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uriy.chiplikov\Documents\СИУА\Для Юрия\"/>
    </mc:Choice>
  </mc:AlternateContent>
  <xr:revisionPtr revIDLastSave="0" documentId="13_ncr:1_{8CE4A65D-DFB1-432C-9B2D-0E083423D3F6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Report" sheetId="22" r:id="rId1"/>
    <sheet name="Report (t-1)" sheetId="23" r:id="rId2"/>
    <sheet name="Report all funds" sheetId="24" state="hidden" r:id="rId3"/>
    <sheet name="Cash" sheetId="19" r:id="rId4"/>
    <sheet name="MV" sheetId="21" r:id="rId5"/>
    <sheet name="ГЦБ" sheetId="2" r:id="rId6"/>
    <sheet name="Агентсткие" sheetId="7" r:id="rId7"/>
    <sheet name="МФО" sheetId="8" r:id="rId8"/>
    <sheet name="Repo" sheetId="5" r:id="rId9"/>
    <sheet name="Trades" sheetId="20" r:id="rId10"/>
    <sheet name="Цены" sheetId="10" r:id="rId11"/>
    <sheet name="Рыночная оценка" sheetId="35" r:id="rId12"/>
    <sheet name="Справочник" sheetId="17" r:id="rId13"/>
    <sheet name="CPI" sheetId="25" r:id="rId14"/>
    <sheet name="MBM Index" sheetId="33" r:id="rId15"/>
    <sheet name="MBM index - с 1 апреля 2024 г  " sheetId="37" r:id="rId16"/>
    <sheet name="Лист1" sheetId="36" r:id="rId17"/>
    <sheet name="Нацбанк Казахстана, Доллар США_" sheetId="30" r:id="rId18"/>
    <sheet name="Accounts receivable" sheetId="34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4" hidden="1">MV!$B$4:$K$4</definedName>
    <definedName name="_xlnm._FilterDatabase" localSheetId="8" hidden="1">Repo!$A$2:$T$2</definedName>
    <definedName name="_xlnm._FilterDatabase" localSheetId="9" hidden="1">Trades!$A$2:$X$13540</definedName>
    <definedName name="_xlnm._FilterDatabase" localSheetId="6" hidden="1">Агентсткие!$A$2:$W$16</definedName>
    <definedName name="_xlnm._FilterDatabase" localSheetId="5" hidden="1">ГЦБ!$A$2:$AI$134</definedName>
    <definedName name="_xlnm._FilterDatabase" localSheetId="7" hidden="1">МФО!$A$2:$AD$18</definedName>
    <definedName name="_xlnm._FilterDatabase" localSheetId="12" hidden="1">Справочник!$A$1:$S$284</definedName>
    <definedName name="_xlnm._FilterDatabase" localSheetId="10" hidden="1">Цены!$M$3:$Q$4</definedName>
    <definedName name="BLPH2" hidden="1">[1]Index!#REF!</definedName>
    <definedName name="BPeriodReturn">#REF!</definedName>
    <definedName name="Date">#REF!</definedName>
    <definedName name="Down">[2]zva!#REF!</definedName>
    <definedName name="DS0_S0" localSheetId="4">OFFSET(#REF!,1,-1,MAX(2,COUNTA(OFFSET(#REF!,1,0,16379,1))+1),1)</definedName>
    <definedName name="DS0_S0" localSheetId="1">OFFSET(#REF!,1,-1,MAX(2,COUNTA(OFFSET(#REF!,1,0,16379,1))+1),1)</definedName>
    <definedName name="DS0_S1" localSheetId="4">OFFSET(#REF!,1,0,MAX(2,COUNTA(OFFSET(#REF!,1,0,16379,1))+1),1)</definedName>
    <definedName name="DS0_S1" localSheetId="1">OFFSET(#REF!,1,0,MAX(2,COUNTA(OFFSET(#REF!,1,0,16379,1))+1),1)</definedName>
    <definedName name="DS1_S0" localSheetId="4">OFFSET(#REF!,1,-1,MAX(2,COUNTA(OFFSET(#REF!,1,0,16381,1))+1),1)</definedName>
    <definedName name="DS1_S0" localSheetId="1">OFFSET(#REF!,1,-1,MAX(2,COUNTA(OFFSET(#REF!,1,0,16381,1))+1),1)</definedName>
    <definedName name="DS1_S1" localSheetId="4">OFFSET(#REF!,1,0,MAX(2,COUNTA(OFFSET(#REF!,1,0,16381,1))+1),1)</definedName>
    <definedName name="DS1_S1" localSheetId="1">OFFSET(#REF!,1,0,MAX(2,COUNTA(OFFSET(#REF!,1,0,16381,1))+1),1)</definedName>
    <definedName name="DS1_S2" localSheetId="4">OFFSET(#REF!,1,1,MAX(2,COUNTA(OFFSET(#REF!,1,0,16381,1))+1),1)</definedName>
    <definedName name="DS1_S2" localSheetId="1">OFFSET(#REF!,1,1,MAX(2,COUNTA(OFFSET(#REF!,1,0,16381,1))+1),1)</definedName>
    <definedName name="DS1_S3" localSheetId="4">OFFSET(#REF!,1,2,MAX(2,COUNTA(OFFSET(#REF!,1,0,16381,1))+1),1)</definedName>
    <definedName name="DS1_S3" localSheetId="1">OFFSET(#REF!,1,2,MAX(2,COUNTA(OFFSET(#REF!,1,0,16381,1))+1),1)</definedName>
    <definedName name="DS1_S4" localSheetId="4">OFFSET(#REF!,1,3,MAX(2,COUNTA(OFFSET(#REF!,1,0,16381,1))+1),1)</definedName>
    <definedName name="DS1_S4" localSheetId="1">OFFSET(#REF!,1,3,MAX(2,COUNTA(OFFSET(#REF!,1,0,16381,1))+1),1)</definedName>
    <definedName name="DS2_S0" localSheetId="4">OFFSET(#REF!,1,-1,MAX(2,COUNTA(OFFSET(#REF!,1,0,16379,1))+1),1)</definedName>
    <definedName name="DS2_S0" localSheetId="1">OFFSET(#REF!,1,-1,MAX(2,COUNTA(OFFSET(#REF!,1,0,16379,1))+1),1)</definedName>
    <definedName name="DS2_S1" localSheetId="4">OFFSET(#REF!,1,0,MAX(2,COUNTA(OFFSET(#REF!,1,0,16379,1))+1),1)</definedName>
    <definedName name="DS2_S1" localSheetId="1">OFFSET(#REF!,1,0,MAX(2,COUNTA(OFFSET(#REF!,1,0,16379,1))+1),1)</definedName>
    <definedName name="DS3_S0" localSheetId="4">OFFSET(#REF!,1,-1,MAX(2,COUNTA(OFFSET(#REF!,1,0,16381,1))+1),1)</definedName>
    <definedName name="DS3_S0" localSheetId="1">OFFSET(#REF!,1,-1,MAX(2,COUNTA(OFFSET(#REF!,1,0,16381,1))+1),1)</definedName>
    <definedName name="DS3_S1" localSheetId="4">OFFSET(#REF!,1,0,MAX(2,COUNTA(OFFSET(#REF!,1,0,16381,1))+1),1)</definedName>
    <definedName name="DS3_S1" localSheetId="1">OFFSET(#REF!,1,0,MAX(2,COUNTA(OFFSET(#REF!,1,0,16381,1))+1),1)</definedName>
    <definedName name="DS3_S2" localSheetId="4">OFFSET(#REF!,1,1,MAX(2,COUNTA(OFFSET(#REF!,1,0,16381,1))+1),1)</definedName>
    <definedName name="DS3_S2" localSheetId="1">OFFSET(#REF!,1,1,MAX(2,COUNTA(OFFSET(#REF!,1,0,16381,1))+1),1)</definedName>
    <definedName name="DS3_S3" localSheetId="4">OFFSET(#REF!,1,2,MAX(2,COUNTA(OFFSET(#REF!,1,0,16381,1))+1),1)</definedName>
    <definedName name="DS3_S3" localSheetId="1">OFFSET(#REF!,1,2,MAX(2,COUNTA(OFFSET(#REF!,1,0,16381,1))+1),1)</definedName>
    <definedName name="DS3_S4" localSheetId="4">OFFSET(#REF!,1,3,MAX(2,COUNTA(OFFSET(#REF!,1,0,16381,1))+1),1)</definedName>
    <definedName name="DS3_S4" localSheetId="1">OFFSET(#REF!,1,3,MAX(2,COUNTA(OFFSET(#REF!,1,0,16381,1))+1),1)</definedName>
    <definedName name="DS4_S0" localSheetId="4">OFFSET(#REF!,1,-1,MAX(2,COUNTA(OFFSET(#REF!,1,0,16380,1))+1),1)</definedName>
    <definedName name="DS4_S0" localSheetId="1">OFFSET(#REF!,1,-1,MAX(2,COUNTA(OFFSET(#REF!,1,0,16380,1))+1),1)</definedName>
    <definedName name="DS4_S1" localSheetId="4">OFFSET(#REF!,1,0,MAX(2,COUNTA(OFFSET(#REF!,1,0,16380,1))+1),1)</definedName>
    <definedName name="DS4_S1" localSheetId="1">OFFSET(#REF!,1,0,MAX(2,COUNTA(OFFSET(#REF!,1,0,16380,1))+1),1)</definedName>
    <definedName name="ExternalData_1" localSheetId="14" hidden="1">'MBM Index'!$A$1:$G$4</definedName>
    <definedName name="ExternalData_1" localSheetId="15" hidden="1">'MBM index - с 1 апреля 2024 г  '!$A$1:$D$387</definedName>
    <definedName name="ExternalData_2" localSheetId="17" hidden="1">'Нацбанк Казахстана, Доллар США_'!$A$1:$C$367</definedName>
    <definedName name="Fmt">[2]zva!#REF!</definedName>
    <definedName name="Fmt_Date">[2]zva!#REF!</definedName>
    <definedName name="FmtDate">[2]zva!#REF!</definedName>
    <definedName name="MarketValue" localSheetId="4">[3]Index!#REF!</definedName>
    <definedName name="MarketValue" localSheetId="1">[3]Index!#REF!</definedName>
    <definedName name="None">[2]zva!#REF!</definedName>
    <definedName name="PPeriodReturn">#REF!</definedName>
    <definedName name="q" hidden="1">[1]Index!#REF!</definedName>
    <definedName name="SpreadsheetBuilder_1" hidden="1">CPI!$I$2:$J$8</definedName>
    <definedName name="Up">[2]zva!#REF!</definedName>
    <definedName name="_xlnm.Print_Area" localSheetId="0">Report!$A$1:$M$97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64" i="21" l="1"/>
  <c r="P464" i="21" s="1"/>
  <c r="X463" i="19"/>
  <c r="T463" i="19"/>
  <c r="P463" i="19"/>
  <c r="L463" i="19"/>
  <c r="H463" i="19"/>
  <c r="D463" i="19"/>
  <c r="B463" i="19"/>
  <c r="E463" i="19" s="1"/>
  <c r="O36" i="5"/>
  <c r="P36" i="5"/>
  <c r="S36" i="5"/>
  <c r="J36" i="5"/>
  <c r="K36" i="5"/>
  <c r="L36" i="5"/>
  <c r="M35" i="5" s="1"/>
  <c r="Q35" i="5" s="1"/>
  <c r="M36" i="5"/>
  <c r="R36" i="5" s="1"/>
  <c r="O35" i="5"/>
  <c r="P35" i="5" s="1"/>
  <c r="S35" i="5"/>
  <c r="J35" i="5"/>
  <c r="K35" i="5"/>
  <c r="L35" i="5"/>
  <c r="O34" i="5"/>
  <c r="P34" i="5" s="1"/>
  <c r="S34" i="5"/>
  <c r="J34" i="5"/>
  <c r="K34" i="5"/>
  <c r="L34" i="5"/>
  <c r="O33" i="5"/>
  <c r="P33" i="5"/>
  <c r="S33" i="5"/>
  <c r="J33" i="5"/>
  <c r="K33" i="5"/>
  <c r="L33" i="5"/>
  <c r="O32" i="5"/>
  <c r="P32" i="5"/>
  <c r="S32" i="5"/>
  <c r="J32" i="5"/>
  <c r="K32" i="5"/>
  <c r="L32" i="5"/>
  <c r="O31" i="5"/>
  <c r="P31" i="5" s="1"/>
  <c r="S31" i="5"/>
  <c r="J31" i="5"/>
  <c r="L31" i="5" s="1"/>
  <c r="K31" i="5"/>
  <c r="O30" i="5"/>
  <c r="P30" i="5"/>
  <c r="S30" i="5"/>
  <c r="J30" i="5"/>
  <c r="K30" i="5"/>
  <c r="L30" i="5"/>
  <c r="O29" i="5"/>
  <c r="P29" i="5" s="1"/>
  <c r="S29" i="5"/>
  <c r="J29" i="5"/>
  <c r="K29" i="5"/>
  <c r="L29" i="5"/>
  <c r="O28" i="5"/>
  <c r="P28" i="5"/>
  <c r="S28" i="5"/>
  <c r="J28" i="5"/>
  <c r="K28" i="5"/>
  <c r="L28" i="5" s="1"/>
  <c r="O27" i="5"/>
  <c r="P27" i="5" s="1"/>
  <c r="S27" i="5"/>
  <c r="J27" i="5"/>
  <c r="K27" i="5"/>
  <c r="L27" i="5"/>
  <c r="O26" i="5"/>
  <c r="P26" i="5" s="1"/>
  <c r="S26" i="5"/>
  <c r="J26" i="5"/>
  <c r="K26" i="5"/>
  <c r="L26" i="5"/>
  <c r="M26" i="5"/>
  <c r="O25" i="5"/>
  <c r="P25" i="5" s="1"/>
  <c r="S25" i="5"/>
  <c r="J25" i="5"/>
  <c r="K25" i="5"/>
  <c r="L25" i="5" s="1"/>
  <c r="O24" i="5"/>
  <c r="P24" i="5" s="1"/>
  <c r="S24" i="5"/>
  <c r="J24" i="5"/>
  <c r="L24" i="5" s="1"/>
  <c r="K24" i="5"/>
  <c r="O23" i="5"/>
  <c r="P23" i="5"/>
  <c r="S23" i="5"/>
  <c r="J23" i="5"/>
  <c r="K23" i="5"/>
  <c r="L23" i="5" s="1"/>
  <c r="O22" i="5"/>
  <c r="P22" i="5" s="1"/>
  <c r="S22" i="5"/>
  <c r="J22" i="5"/>
  <c r="L22" i="5" s="1"/>
  <c r="K22" i="5"/>
  <c r="O21" i="5"/>
  <c r="P21" i="5"/>
  <c r="S21" i="5"/>
  <c r="K21" i="5"/>
  <c r="O20" i="5"/>
  <c r="P20" i="5"/>
  <c r="S20" i="5"/>
  <c r="J20" i="5"/>
  <c r="K20" i="5"/>
  <c r="L20" i="5"/>
  <c r="M20" i="5"/>
  <c r="Q20" i="5" s="1"/>
  <c r="O19" i="5"/>
  <c r="P19" i="5"/>
  <c r="S19" i="5"/>
  <c r="J19" i="5"/>
  <c r="K19" i="5"/>
  <c r="L19" i="5" s="1"/>
  <c r="M19" i="5" s="1"/>
  <c r="R19" i="5" s="1"/>
  <c r="O18" i="5"/>
  <c r="P18" i="5"/>
  <c r="S18" i="5"/>
  <c r="J18" i="5"/>
  <c r="K18" i="5"/>
  <c r="L18" i="5" s="1"/>
  <c r="O17" i="5"/>
  <c r="P17" i="5"/>
  <c r="S17" i="5"/>
  <c r="J17" i="5"/>
  <c r="K17" i="5"/>
  <c r="L17" i="5" s="1"/>
  <c r="O16" i="5"/>
  <c r="P16" i="5"/>
  <c r="S16" i="5"/>
  <c r="J16" i="5"/>
  <c r="K16" i="5"/>
  <c r="L16" i="5"/>
  <c r="O15" i="5"/>
  <c r="P15" i="5" s="1"/>
  <c r="S15" i="5"/>
  <c r="J15" i="5"/>
  <c r="L15" i="5" s="1"/>
  <c r="K15" i="5"/>
  <c r="O14" i="5"/>
  <c r="P14" i="5"/>
  <c r="S14" i="5"/>
  <c r="J14" i="5"/>
  <c r="K14" i="5"/>
  <c r="L14" i="5" s="1"/>
  <c r="O13" i="5"/>
  <c r="P13" i="5"/>
  <c r="S13" i="5"/>
  <c r="J13" i="5"/>
  <c r="K13" i="5"/>
  <c r="L13" i="5"/>
  <c r="O12" i="5"/>
  <c r="P12" i="5"/>
  <c r="S12" i="5"/>
  <c r="J12" i="5"/>
  <c r="K12" i="5"/>
  <c r="L12" i="5"/>
  <c r="O11" i="5"/>
  <c r="P11" i="5" s="1"/>
  <c r="S11" i="5"/>
  <c r="K11" i="5"/>
  <c r="O10" i="5"/>
  <c r="P10" i="5"/>
  <c r="S10" i="5"/>
  <c r="J10" i="5"/>
  <c r="K10" i="5"/>
  <c r="L10" i="5" s="1"/>
  <c r="O9" i="5"/>
  <c r="P9" i="5"/>
  <c r="S9" i="5"/>
  <c r="J9" i="5"/>
  <c r="K9" i="5"/>
  <c r="L9" i="5" s="1"/>
  <c r="O8" i="5"/>
  <c r="P8" i="5"/>
  <c r="S8" i="5"/>
  <c r="J8" i="5"/>
  <c r="K8" i="5"/>
  <c r="O7" i="5"/>
  <c r="P7" i="5"/>
  <c r="S7" i="5"/>
  <c r="K7" i="5"/>
  <c r="I13540" i="20"/>
  <c r="I13539" i="20"/>
  <c r="L464" i="21" l="1"/>
  <c r="D464" i="21"/>
  <c r="T464" i="21"/>
  <c r="H464" i="21"/>
  <c r="X464" i="21"/>
  <c r="Q463" i="19"/>
  <c r="R463" i="19" s="1"/>
  <c r="M463" i="19"/>
  <c r="N463" i="19" s="1"/>
  <c r="F463" i="19"/>
  <c r="U463" i="19"/>
  <c r="V463" i="19" s="1"/>
  <c r="I463" i="19"/>
  <c r="J463" i="19" s="1"/>
  <c r="Y463" i="19"/>
  <c r="Z463" i="19" s="1"/>
  <c r="Q36" i="5"/>
  <c r="M34" i="5"/>
  <c r="Q34" i="5" s="1"/>
  <c r="R35" i="5"/>
  <c r="M33" i="5"/>
  <c r="Q33" i="5" s="1"/>
  <c r="M32" i="5"/>
  <c r="Q32" i="5" s="1"/>
  <c r="R34" i="5"/>
  <c r="R33" i="5"/>
  <c r="R32" i="5"/>
  <c r="M31" i="5"/>
  <c r="M30" i="5"/>
  <c r="Q30" i="5" s="1"/>
  <c r="M29" i="5"/>
  <c r="Q29" i="5" s="1"/>
  <c r="M28" i="5"/>
  <c r="M27" i="5"/>
  <c r="R27" i="5" s="1"/>
  <c r="R26" i="5"/>
  <c r="Q26" i="5"/>
  <c r="M25" i="5"/>
  <c r="R25" i="5" s="1"/>
  <c r="M24" i="5"/>
  <c r="R24" i="5" s="1"/>
  <c r="M23" i="5"/>
  <c r="M22" i="5"/>
  <c r="R22" i="5" s="1"/>
  <c r="J21" i="5"/>
  <c r="L21" i="5" s="1"/>
  <c r="M21" i="5" s="1"/>
  <c r="R20" i="5"/>
  <c r="Q19" i="5"/>
  <c r="M18" i="5"/>
  <c r="R18" i="5" s="1"/>
  <c r="M17" i="5"/>
  <c r="M16" i="5"/>
  <c r="Q16" i="5" s="1"/>
  <c r="M15" i="5"/>
  <c r="R15" i="5" s="1"/>
  <c r="M12" i="5"/>
  <c r="Q12" i="5" s="1"/>
  <c r="M14" i="5"/>
  <c r="M13" i="5"/>
  <c r="Q13" i="5" s="1"/>
  <c r="J11" i="5"/>
  <c r="L11" i="5" s="1"/>
  <c r="L8" i="5"/>
  <c r="M8" i="5" s="1"/>
  <c r="J7" i="5"/>
  <c r="L7" i="5" s="1"/>
  <c r="M7" i="5" s="1"/>
  <c r="B2" i="33"/>
  <c r="R30" i="5" l="1"/>
  <c r="Q31" i="5"/>
  <c r="R31" i="5"/>
  <c r="R29" i="5"/>
  <c r="Q28" i="5"/>
  <c r="R28" i="5"/>
  <c r="Q27" i="5"/>
  <c r="Q25" i="5"/>
  <c r="Q24" i="5"/>
  <c r="Q23" i="5"/>
  <c r="R23" i="5"/>
  <c r="Q22" i="5"/>
  <c r="R21" i="5"/>
  <c r="Q21" i="5"/>
  <c r="Q18" i="5"/>
  <c r="R17" i="5"/>
  <c r="Q17" i="5"/>
  <c r="Q15" i="5"/>
  <c r="R16" i="5"/>
  <c r="R14" i="5"/>
  <c r="Q14" i="5"/>
  <c r="R12" i="5"/>
  <c r="R13" i="5"/>
  <c r="M11" i="5"/>
  <c r="M10" i="5"/>
  <c r="Q10" i="5" s="1"/>
  <c r="M9" i="5"/>
  <c r="R9" i="5" s="1"/>
  <c r="Q8" i="5"/>
  <c r="R8" i="5"/>
  <c r="R7" i="5"/>
  <c r="Q7" i="5"/>
  <c r="C4" i="33"/>
  <c r="C3" i="33"/>
  <c r="C2" i="33"/>
  <c r="B4" i="33"/>
  <c r="B3" i="33"/>
  <c r="G12" i="22"/>
  <c r="O6" i="5"/>
  <c r="O5" i="5"/>
  <c r="O4" i="5"/>
  <c r="O3" i="5"/>
  <c r="C7" i="7"/>
  <c r="Q9" i="5" l="1"/>
  <c r="R10" i="5"/>
  <c r="R11" i="5"/>
  <c r="Q11" i="5"/>
  <c r="D61" i="22"/>
  <c r="J16" i="7" l="1"/>
  <c r="K16" i="7"/>
  <c r="L16" i="7"/>
  <c r="M16" i="7"/>
  <c r="N16" i="7" s="1"/>
  <c r="I16" i="7"/>
  <c r="C16" i="7"/>
  <c r="M12456" i="20"/>
  <c r="F92" i="22" l="1"/>
  <c r="E92" i="22"/>
  <c r="H56" i="2" l="1"/>
  <c r="G56" i="2"/>
  <c r="F56" i="2"/>
  <c r="C56" i="2"/>
  <c r="M13" i="7"/>
  <c r="G15" i="7" l="1"/>
  <c r="F15" i="7"/>
  <c r="G11722" i="20"/>
  <c r="Y11722" i="20" s="1"/>
  <c r="B15" i="7" l="1"/>
  <c r="S15" i="7" s="1"/>
  <c r="W11722" i="20"/>
  <c r="X11722" i="20"/>
  <c r="O11722" i="20"/>
  <c r="M11653" i="20"/>
  <c r="G11653" i="20"/>
  <c r="Y11653" i="20" l="1"/>
  <c r="B56" i="2"/>
  <c r="L15" i="7"/>
  <c r="K15" i="7"/>
  <c r="M11722" i="20"/>
  <c r="H15" i="7"/>
  <c r="J15" i="7"/>
  <c r="I15" i="7"/>
  <c r="C15" i="7"/>
  <c r="M15" i="7"/>
  <c r="N15" i="7" s="1"/>
  <c r="W11653" i="20"/>
  <c r="X11653" i="20"/>
  <c r="T56" i="2" l="1"/>
  <c r="W56" i="2" s="1"/>
  <c r="K56" i="2"/>
  <c r="I56" i="2"/>
  <c r="N56" i="2"/>
  <c r="O56" i="2" s="1"/>
  <c r="M56" i="2"/>
  <c r="L56" i="2"/>
  <c r="T105" i="2" l="1"/>
  <c r="W105" i="2" s="1"/>
  <c r="H63" i="2"/>
  <c r="Y11485" i="20" l="1"/>
  <c r="X11485" i="20"/>
  <c r="W11485" i="20"/>
  <c r="T121" i="2" l="1"/>
  <c r="I121" i="2"/>
  <c r="M121" i="2"/>
  <c r="N121" i="2"/>
  <c r="O121" i="2" s="1"/>
  <c r="L121" i="2"/>
  <c r="K121" i="2"/>
  <c r="B402" i="19"/>
  <c r="H102" i="2"/>
  <c r="W121" i="2" l="1"/>
  <c r="Y11464" i="20"/>
  <c r="X11464" i="20"/>
  <c r="W11464" i="20"/>
  <c r="Y11463" i="20"/>
  <c r="X11463" i="20"/>
  <c r="W11463" i="20"/>
  <c r="O11388" i="20" l="1"/>
  <c r="M11388" i="20" s="1"/>
  <c r="G11388" i="20"/>
  <c r="Y11388" i="20" s="1"/>
  <c r="T120" i="2"/>
  <c r="N120" i="2"/>
  <c r="O120" i="2" s="1"/>
  <c r="M120" i="2"/>
  <c r="L120" i="2"/>
  <c r="K120" i="2"/>
  <c r="I120" i="2"/>
  <c r="G120" i="2"/>
  <c r="F120" i="2"/>
  <c r="E120" i="2"/>
  <c r="T104" i="2"/>
  <c r="N104" i="2"/>
  <c r="O104" i="2" s="1"/>
  <c r="M104" i="2"/>
  <c r="L104" i="2"/>
  <c r="K104" i="2"/>
  <c r="I104" i="2"/>
  <c r="E119" i="2"/>
  <c r="G11379" i="20"/>
  <c r="Y11379" i="20" s="1"/>
  <c r="G11283" i="20"/>
  <c r="Y11283" i="20" l="1"/>
  <c r="W11388" i="20"/>
  <c r="X11388" i="20"/>
  <c r="O11379" i="20"/>
  <c r="X11379" i="20"/>
  <c r="W11379" i="20"/>
  <c r="O11283" i="20"/>
  <c r="W11283" i="20"/>
  <c r="X11283" i="20"/>
  <c r="M11379" i="20" l="1"/>
  <c r="H120" i="2"/>
  <c r="W120" i="2" s="1"/>
  <c r="M11283" i="20"/>
  <c r="H104" i="2"/>
  <c r="C68" i="22"/>
  <c r="C37" i="22"/>
  <c r="C52" i="22"/>
  <c r="C41" i="22"/>
  <c r="C12" i="22"/>
  <c r="W210" i="20"/>
  <c r="Y5136" i="20"/>
  <c r="Y5115" i="20"/>
  <c r="Y5114" i="20"/>
  <c r="X5136" i="20"/>
  <c r="X5115" i="20"/>
  <c r="X5114" i="20"/>
  <c r="W5136" i="20"/>
  <c r="W5115" i="20"/>
  <c r="W5114" i="20"/>
  <c r="O5136" i="20"/>
  <c r="M5136" i="20" s="1"/>
  <c r="O5115" i="20"/>
  <c r="M5115" i="20" s="1"/>
  <c r="O5114" i="20"/>
  <c r="M5114" i="20" s="1"/>
  <c r="Y5011" i="20"/>
  <c r="X5011" i="20"/>
  <c r="W5011" i="20"/>
  <c r="O5011" i="20"/>
  <c r="M5011" i="20" s="1"/>
  <c r="O8558" i="20"/>
  <c r="M8558" i="20" s="1"/>
  <c r="O8313" i="20"/>
  <c r="M8313" i="20" s="1"/>
  <c r="O6270" i="20"/>
  <c r="M6270" i="20" s="1"/>
  <c r="O5558" i="20"/>
  <c r="M5558" i="20" s="1"/>
  <c r="O5533" i="20"/>
  <c r="M5533" i="20" s="1"/>
  <c r="O5478" i="20"/>
  <c r="M5478" i="20" s="1"/>
  <c r="O5477" i="20"/>
  <c r="M5477" i="20" s="1"/>
  <c r="O5476" i="20"/>
  <c r="M5476" i="20" s="1"/>
  <c r="M4789" i="20"/>
  <c r="M4730" i="20"/>
  <c r="M4729" i="20"/>
  <c r="O4316" i="20"/>
  <c r="M4316" i="20" s="1"/>
  <c r="M3962" i="20"/>
  <c r="M3102" i="20"/>
  <c r="M2596" i="20"/>
  <c r="M2523" i="20"/>
  <c r="M2245" i="20"/>
  <c r="M2128" i="20"/>
  <c r="O2047" i="20"/>
  <c r="M2047" i="20" s="1"/>
  <c r="M1850" i="20"/>
  <c r="M1779" i="20"/>
  <c r="M1502" i="20"/>
  <c r="M1475" i="20"/>
  <c r="M1384" i="20"/>
  <c r="M1029" i="20"/>
  <c r="M1028" i="20"/>
  <c r="M629" i="20"/>
  <c r="M309" i="20"/>
  <c r="E50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I8" i="25"/>
  <c r="D8" i="25"/>
  <c r="D7" i="25"/>
  <c r="J6" i="25"/>
  <c r="D6" i="25"/>
  <c r="D5" i="25"/>
  <c r="D4" i="25"/>
  <c r="D3" i="25"/>
  <c r="C279" i="17"/>
  <c r="C278" i="17"/>
  <c r="C188" i="17"/>
  <c r="M78" i="17"/>
  <c r="H48" i="17"/>
  <c r="C36" i="17"/>
  <c r="C35" i="17"/>
  <c r="J16" i="8" s="1"/>
  <c r="C34" i="17"/>
  <c r="C33" i="17"/>
  <c r="C32" i="17"/>
  <c r="C31" i="17"/>
  <c r="C30" i="17"/>
  <c r="C28" i="17"/>
  <c r="C27" i="17"/>
  <c r="C24" i="17"/>
  <c r="C22" i="17"/>
  <c r="C20" i="17"/>
  <c r="C16" i="17"/>
  <c r="C15" i="17"/>
  <c r="C8" i="17"/>
  <c r="C7" i="17"/>
  <c r="B119" i="2"/>
  <c r="Y10676" i="20"/>
  <c r="Y10397" i="20"/>
  <c r="X10397" i="20"/>
  <c r="W10397" i="20"/>
  <c r="O10397" i="20"/>
  <c r="M10397" i="20" s="1"/>
  <c r="Y10374" i="20"/>
  <c r="X10374" i="20"/>
  <c r="W10374" i="20"/>
  <c r="O10374" i="20"/>
  <c r="M10374" i="20" s="1"/>
  <c r="Y10038" i="20"/>
  <c r="Y9921" i="20"/>
  <c r="X9921" i="20"/>
  <c r="W9921" i="20"/>
  <c r="O9921" i="20"/>
  <c r="M9921" i="20" s="1"/>
  <c r="Y9714" i="20"/>
  <c r="X9714" i="20"/>
  <c r="W9714" i="20"/>
  <c r="O9714" i="20"/>
  <c r="M9714" i="20" s="1"/>
  <c r="Y9697" i="20"/>
  <c r="X9697" i="20"/>
  <c r="W9697" i="20"/>
  <c r="M9697" i="20"/>
  <c r="Y9696" i="20"/>
  <c r="X9696" i="20"/>
  <c r="W9696" i="20"/>
  <c r="M9696" i="20"/>
  <c r="Y9695" i="20"/>
  <c r="X9695" i="20"/>
  <c r="W9695" i="20"/>
  <c r="M9695" i="20"/>
  <c r="Y9604" i="20"/>
  <c r="X9604" i="20"/>
  <c r="W9604" i="20"/>
  <c r="M9604" i="20"/>
  <c r="Y9511" i="20"/>
  <c r="X9511" i="20"/>
  <c r="W9511" i="20"/>
  <c r="M9511" i="20"/>
  <c r="Y9510" i="20"/>
  <c r="X9510" i="20"/>
  <c r="W9510" i="20"/>
  <c r="M9510" i="20"/>
  <c r="Y9345" i="20"/>
  <c r="X9345" i="20"/>
  <c r="W9345" i="20"/>
  <c r="M9345" i="20"/>
  <c r="Y9344" i="20"/>
  <c r="X9344" i="20"/>
  <c r="W9344" i="20"/>
  <c r="M9344" i="20"/>
  <c r="Y8879" i="20"/>
  <c r="X8879" i="20"/>
  <c r="W8879" i="20"/>
  <c r="M8879" i="20"/>
  <c r="Y8878" i="20"/>
  <c r="X8878" i="20"/>
  <c r="W8878" i="20"/>
  <c r="M8878" i="20"/>
  <c r="Y8877" i="20"/>
  <c r="X8877" i="20"/>
  <c r="W8877" i="20"/>
  <c r="M8877" i="20"/>
  <c r="Y8876" i="20"/>
  <c r="X8876" i="20"/>
  <c r="W8876" i="20"/>
  <c r="M8876" i="20"/>
  <c r="Y8869" i="20"/>
  <c r="X8869" i="20"/>
  <c r="W8869" i="20"/>
  <c r="M8869" i="20"/>
  <c r="Y8678" i="20"/>
  <c r="X8678" i="20"/>
  <c r="W8678" i="20"/>
  <c r="M8678" i="20"/>
  <c r="Y8643" i="20"/>
  <c r="X8643" i="20"/>
  <c r="W8643" i="20"/>
  <c r="M8643" i="20"/>
  <c r="E8633" i="20"/>
  <c r="Y8558" i="20"/>
  <c r="X8558" i="20"/>
  <c r="W8558" i="20"/>
  <c r="Y8547" i="20"/>
  <c r="X8547" i="20"/>
  <c r="W8547" i="20"/>
  <c r="O8547" i="20"/>
  <c r="M8547" i="20" s="1"/>
  <c r="Y8519" i="20"/>
  <c r="X8519" i="20"/>
  <c r="W8519" i="20"/>
  <c r="Y8313" i="20"/>
  <c r="X8313" i="20"/>
  <c r="W8313" i="20"/>
  <c r="Y8270" i="20"/>
  <c r="X8270" i="20"/>
  <c r="W8270" i="20"/>
  <c r="M8270" i="20"/>
  <c r="E8205" i="20"/>
  <c r="Y8127" i="20"/>
  <c r="X8127" i="20"/>
  <c r="W8127" i="20"/>
  <c r="M8127" i="20"/>
  <c r="Y8126" i="20"/>
  <c r="X8126" i="20"/>
  <c r="W8126" i="20"/>
  <c r="M8126" i="20"/>
  <c r="E8093" i="20"/>
  <c r="E8088" i="20"/>
  <c r="Y8052" i="20"/>
  <c r="X8052" i="20"/>
  <c r="W8052" i="20"/>
  <c r="M8052" i="20"/>
  <c r="Y8051" i="20"/>
  <c r="X8051" i="20"/>
  <c r="W8051" i="20"/>
  <c r="M8051" i="20"/>
  <c r="Y7990" i="20"/>
  <c r="X7990" i="20"/>
  <c r="W7990" i="20"/>
  <c r="M7990" i="20"/>
  <c r="Y7818" i="20"/>
  <c r="X7818" i="20"/>
  <c r="W7818" i="20"/>
  <c r="M7818" i="20"/>
  <c r="Y7683" i="20"/>
  <c r="X7683" i="20"/>
  <c r="W7683" i="20"/>
  <c r="M7683" i="20"/>
  <c r="Y7570" i="20"/>
  <c r="X7570" i="20"/>
  <c r="W7570" i="20"/>
  <c r="M7570" i="20"/>
  <c r="Y7407" i="20"/>
  <c r="X7407" i="20"/>
  <c r="W7407" i="20"/>
  <c r="M7407" i="20"/>
  <c r="Y7290" i="20"/>
  <c r="X7290" i="20"/>
  <c r="W7290" i="20"/>
  <c r="M7290" i="20"/>
  <c r="Y7035" i="20"/>
  <c r="X7035" i="20"/>
  <c r="W7035" i="20"/>
  <c r="M7035" i="20"/>
  <c r="Y6856" i="20"/>
  <c r="X6856" i="20"/>
  <c r="W6856" i="20"/>
  <c r="M6856" i="20"/>
  <c r="Y6855" i="20"/>
  <c r="X6855" i="20"/>
  <c r="W6855" i="20"/>
  <c r="M6855" i="20"/>
  <c r="Y6838" i="20"/>
  <c r="X6838" i="20"/>
  <c r="W6838" i="20"/>
  <c r="M6838" i="20"/>
  <c r="Y6837" i="20"/>
  <c r="X6837" i="20"/>
  <c r="W6837" i="20"/>
  <c r="M6837" i="20"/>
  <c r="Y6836" i="20"/>
  <c r="X6836" i="20"/>
  <c r="W6836" i="20"/>
  <c r="M6836" i="20"/>
  <c r="Y6835" i="20"/>
  <c r="X6835" i="20"/>
  <c r="W6835" i="20"/>
  <c r="M6835" i="20"/>
  <c r="Y6816" i="20"/>
  <c r="X6816" i="20"/>
  <c r="W6816" i="20"/>
  <c r="M6816" i="20"/>
  <c r="Y6804" i="20"/>
  <c r="X6804" i="20"/>
  <c r="W6804" i="20"/>
  <c r="M6804" i="20"/>
  <c r="Y6530" i="20"/>
  <c r="X6530" i="20"/>
  <c r="W6530" i="20"/>
  <c r="M6530" i="20"/>
  <c r="Y6270" i="20"/>
  <c r="X6270" i="20"/>
  <c r="W6270" i="20"/>
  <c r="Y6209" i="20"/>
  <c r="X6209" i="20"/>
  <c r="W6209" i="20"/>
  <c r="E5980" i="20"/>
  <c r="Y5910" i="20"/>
  <c r="X5910" i="20"/>
  <c r="W5910" i="20"/>
  <c r="Y5653" i="20"/>
  <c r="X5653" i="20"/>
  <c r="W5653" i="20"/>
  <c r="Y5558" i="20"/>
  <c r="X5558" i="20"/>
  <c r="W5558" i="20"/>
  <c r="Y5533" i="20"/>
  <c r="X5533" i="20"/>
  <c r="W5533" i="20"/>
  <c r="Y5478" i="20"/>
  <c r="X5478" i="20"/>
  <c r="W5478" i="20"/>
  <c r="Y5477" i="20"/>
  <c r="X5477" i="20"/>
  <c r="W5477" i="20"/>
  <c r="Y5476" i="20"/>
  <c r="X5476" i="20"/>
  <c r="W5476" i="20"/>
  <c r="Y4789" i="20"/>
  <c r="X4789" i="20"/>
  <c r="W4789" i="20"/>
  <c r="Y4766" i="20"/>
  <c r="X4766" i="20"/>
  <c r="W4766" i="20"/>
  <c r="O4766" i="20"/>
  <c r="Y4765" i="20"/>
  <c r="X4765" i="20"/>
  <c r="W4765" i="20"/>
  <c r="O4765" i="20"/>
  <c r="Y4764" i="20"/>
  <c r="X4764" i="20"/>
  <c r="W4764" i="20"/>
  <c r="O4764" i="20"/>
  <c r="Y4763" i="20"/>
  <c r="X4763" i="20"/>
  <c r="W4763" i="20"/>
  <c r="O4763" i="20"/>
  <c r="Y4738" i="20"/>
  <c r="X4738" i="20"/>
  <c r="W4738" i="20"/>
  <c r="O4738" i="20"/>
  <c r="Y4737" i="20"/>
  <c r="X4737" i="20"/>
  <c r="W4737" i="20"/>
  <c r="O4737" i="20"/>
  <c r="Y4736" i="20"/>
  <c r="X4736" i="20"/>
  <c r="W4736" i="20"/>
  <c r="O4736" i="20"/>
  <c r="Y4735" i="20"/>
  <c r="X4735" i="20"/>
  <c r="W4735" i="20"/>
  <c r="O4735" i="20"/>
  <c r="Y4730" i="20"/>
  <c r="X4730" i="20"/>
  <c r="W4730" i="20"/>
  <c r="Y4729" i="20"/>
  <c r="X4729" i="20"/>
  <c r="W4729" i="20"/>
  <c r="Y4408" i="20"/>
  <c r="X4408" i="20"/>
  <c r="W4408" i="20"/>
  <c r="O4408" i="20"/>
  <c r="Y4407" i="20"/>
  <c r="X4407" i="20"/>
  <c r="W4407" i="20"/>
  <c r="O4407" i="20"/>
  <c r="Y4376" i="20"/>
  <c r="X4376" i="20"/>
  <c r="W4376" i="20"/>
  <c r="Y4347" i="20"/>
  <c r="X4347" i="20"/>
  <c r="W4347" i="20"/>
  <c r="O4347" i="20"/>
  <c r="M4347" i="20" s="1"/>
  <c r="Y4346" i="20"/>
  <c r="X4346" i="20"/>
  <c r="W4346" i="20"/>
  <c r="O4346" i="20"/>
  <c r="M4346" i="20" s="1"/>
  <c r="Y4325" i="20"/>
  <c r="X4325" i="20"/>
  <c r="W4325" i="20"/>
  <c r="M4325" i="20"/>
  <c r="Y4316" i="20"/>
  <c r="X4316" i="20"/>
  <c r="W4316" i="20"/>
  <c r="Y4307" i="20"/>
  <c r="X4307" i="20"/>
  <c r="W4307" i="20"/>
  <c r="M4307" i="20"/>
  <c r="B3980" i="20"/>
  <c r="B3979" i="20"/>
  <c r="Y3962" i="20"/>
  <c r="X3962" i="20"/>
  <c r="W3962" i="20"/>
  <c r="Y3203" i="20"/>
  <c r="X3203" i="20"/>
  <c r="W3203" i="20"/>
  <c r="M3203" i="20"/>
  <c r="Y3102" i="20"/>
  <c r="X3102" i="20"/>
  <c r="W3102" i="20"/>
  <c r="Y2833" i="20"/>
  <c r="X2833" i="20"/>
  <c r="W2833" i="20"/>
  <c r="O2833" i="20"/>
  <c r="Y2596" i="20"/>
  <c r="X2596" i="20"/>
  <c r="W2596" i="20"/>
  <c r="Y2595" i="20"/>
  <c r="X2595" i="20"/>
  <c r="W2595" i="20"/>
  <c r="Y2524" i="20"/>
  <c r="X2524" i="20"/>
  <c r="W2524" i="20"/>
  <c r="M2524" i="20"/>
  <c r="Y2523" i="20"/>
  <c r="X2523" i="20"/>
  <c r="W2523" i="20"/>
  <c r="Y2522" i="20"/>
  <c r="X2522" i="20"/>
  <c r="W2522" i="20"/>
  <c r="O2522" i="20"/>
  <c r="M2522" i="20" s="1"/>
  <c r="Y2245" i="20"/>
  <c r="X2245" i="20"/>
  <c r="W2245" i="20"/>
  <c r="Y2202" i="20"/>
  <c r="X2202" i="20"/>
  <c r="W2202" i="20"/>
  <c r="M2202" i="20"/>
  <c r="Y2193" i="20"/>
  <c r="X2193" i="20"/>
  <c r="W2193" i="20"/>
  <c r="M2193" i="20"/>
  <c r="Y2128" i="20"/>
  <c r="X2128" i="20"/>
  <c r="W2128" i="20"/>
  <c r="Y2057" i="20"/>
  <c r="X2057" i="20"/>
  <c r="W2057" i="20"/>
  <c r="M2057" i="20"/>
  <c r="Y2052" i="20"/>
  <c r="X2052" i="20"/>
  <c r="W2052" i="20"/>
  <c r="M2052" i="20"/>
  <c r="Y2047" i="20"/>
  <c r="X2047" i="20"/>
  <c r="W2047" i="20"/>
  <c r="Y2044" i="20"/>
  <c r="X2044" i="20"/>
  <c r="W2044" i="20"/>
  <c r="M2044" i="20"/>
  <c r="Y1993" i="20"/>
  <c r="X1993" i="20"/>
  <c r="W1993" i="20"/>
  <c r="M1993" i="20"/>
  <c r="Y1851" i="20"/>
  <c r="X1851" i="20"/>
  <c r="W1851" i="20"/>
  <c r="Y1850" i="20"/>
  <c r="X1850" i="20"/>
  <c r="W1850" i="20"/>
  <c r="Y1779" i="20"/>
  <c r="X1779" i="20"/>
  <c r="W1779" i="20"/>
  <c r="Y1760" i="20"/>
  <c r="X1760" i="20"/>
  <c r="W1760" i="20"/>
  <c r="Y1502" i="20"/>
  <c r="X1502" i="20"/>
  <c r="W1502" i="20"/>
  <c r="Y1475" i="20"/>
  <c r="X1475" i="20"/>
  <c r="W1475" i="20"/>
  <c r="Y1384" i="20"/>
  <c r="X1384" i="20"/>
  <c r="W1384" i="20"/>
  <c r="Y1373" i="20"/>
  <c r="X1373" i="20"/>
  <c r="W1373" i="20"/>
  <c r="Y1064" i="20"/>
  <c r="X1064" i="20"/>
  <c r="W1064" i="20"/>
  <c r="M1064" i="20"/>
  <c r="Y1035" i="20"/>
  <c r="X1035" i="20"/>
  <c r="W1035" i="20"/>
  <c r="M1035" i="20"/>
  <c r="Y1034" i="20"/>
  <c r="X1034" i="20"/>
  <c r="W1034" i="20"/>
  <c r="M1034" i="20"/>
  <c r="Y1029" i="20"/>
  <c r="X1029" i="20"/>
  <c r="W1029" i="20"/>
  <c r="Y1028" i="20"/>
  <c r="X1028" i="20"/>
  <c r="W1028" i="20"/>
  <c r="Y1025" i="20"/>
  <c r="X1025" i="20"/>
  <c r="W1025" i="20"/>
  <c r="O1025" i="20"/>
  <c r="M1025" i="20" s="1"/>
  <c r="Y890" i="20"/>
  <c r="X890" i="20"/>
  <c r="W890" i="20"/>
  <c r="O890" i="20"/>
  <c r="Y679" i="20"/>
  <c r="X679" i="20"/>
  <c r="W679" i="20"/>
  <c r="Y678" i="20"/>
  <c r="X678" i="20"/>
  <c r="W678" i="20"/>
  <c r="Y629" i="20"/>
  <c r="X629" i="20"/>
  <c r="W629" i="20"/>
  <c r="Y628" i="20"/>
  <c r="X628" i="20"/>
  <c r="W628" i="20"/>
  <c r="O628" i="20"/>
  <c r="Y615" i="20"/>
  <c r="X615" i="20"/>
  <c r="W615" i="20"/>
  <c r="Y580" i="20"/>
  <c r="X580" i="20"/>
  <c r="W580" i="20"/>
  <c r="Y539" i="20"/>
  <c r="X539" i="20"/>
  <c r="W539" i="20"/>
  <c r="O539" i="20"/>
  <c r="M539" i="20" s="1"/>
  <c r="Y514" i="20"/>
  <c r="X514" i="20"/>
  <c r="W514" i="20"/>
  <c r="M514" i="20"/>
  <c r="Y315" i="20"/>
  <c r="X315" i="20"/>
  <c r="W315" i="20"/>
  <c r="M315" i="20"/>
  <c r="Y314" i="20"/>
  <c r="X314" i="20"/>
  <c r="W314" i="20"/>
  <c r="M314" i="20"/>
  <c r="Y309" i="20"/>
  <c r="X309" i="20"/>
  <c r="W309" i="20"/>
  <c r="Y296" i="20"/>
  <c r="X296" i="20"/>
  <c r="W296" i="20"/>
  <c r="M296" i="20"/>
  <c r="Y295" i="20"/>
  <c r="X295" i="20"/>
  <c r="W295" i="20"/>
  <c r="M295" i="20"/>
  <c r="B214" i="20"/>
  <c r="B213" i="20"/>
  <c r="B212" i="20"/>
  <c r="Y211" i="20"/>
  <c r="X211" i="20"/>
  <c r="W211" i="20"/>
  <c r="M211" i="20"/>
  <c r="Y210" i="20"/>
  <c r="X210" i="20"/>
  <c r="M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5" i="20"/>
  <c r="B124" i="20"/>
  <c r="B123" i="20"/>
  <c r="B122" i="20"/>
  <c r="B121" i="20"/>
  <c r="B120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A2" i="5"/>
  <c r="S23" i="8"/>
  <c r="M23" i="8"/>
  <c r="N23" i="8" s="1"/>
  <c r="L23" i="8"/>
  <c r="K23" i="8"/>
  <c r="J23" i="8"/>
  <c r="I23" i="8"/>
  <c r="C23" i="8"/>
  <c r="S22" i="8"/>
  <c r="M22" i="8"/>
  <c r="N22" i="8" s="1"/>
  <c r="L22" i="8"/>
  <c r="K22" i="8"/>
  <c r="J22" i="8"/>
  <c r="I22" i="8"/>
  <c r="C22" i="8"/>
  <c r="S21" i="8"/>
  <c r="M21" i="8"/>
  <c r="N21" i="8" s="1"/>
  <c r="L21" i="8"/>
  <c r="K21" i="8"/>
  <c r="J21" i="8"/>
  <c r="I21" i="8"/>
  <c r="C21" i="8"/>
  <c r="S20" i="8"/>
  <c r="M20" i="8"/>
  <c r="N20" i="8" s="1"/>
  <c r="L20" i="8"/>
  <c r="K20" i="8"/>
  <c r="J20" i="8"/>
  <c r="I20" i="8"/>
  <c r="C20" i="8"/>
  <c r="S19" i="8"/>
  <c r="M19" i="8"/>
  <c r="N19" i="8" s="1"/>
  <c r="L19" i="8"/>
  <c r="K19" i="8"/>
  <c r="J19" i="8"/>
  <c r="I19" i="8"/>
  <c r="C19" i="8"/>
  <c r="S18" i="8"/>
  <c r="M18" i="8"/>
  <c r="N18" i="8" s="1"/>
  <c r="L18" i="8"/>
  <c r="K18" i="8"/>
  <c r="J18" i="8"/>
  <c r="C18" i="8"/>
  <c r="S17" i="8"/>
  <c r="M17" i="8"/>
  <c r="N17" i="8" s="1"/>
  <c r="L17" i="8"/>
  <c r="K17" i="8"/>
  <c r="I17" i="8"/>
  <c r="C17" i="8"/>
  <c r="S16" i="8"/>
  <c r="M16" i="8"/>
  <c r="N16" i="8" s="1"/>
  <c r="L16" i="8"/>
  <c r="K16" i="8"/>
  <c r="I16" i="8"/>
  <c r="C16" i="8"/>
  <c r="S15" i="8"/>
  <c r="M15" i="8"/>
  <c r="N15" i="8" s="1"/>
  <c r="L15" i="8"/>
  <c r="K15" i="8"/>
  <c r="I15" i="8"/>
  <c r="C15" i="8"/>
  <c r="S14" i="8"/>
  <c r="M14" i="8"/>
  <c r="N14" i="8" s="1"/>
  <c r="L14" i="8"/>
  <c r="K14" i="8"/>
  <c r="J14" i="8"/>
  <c r="I14" i="8"/>
  <c r="C14" i="8"/>
  <c r="S13" i="8"/>
  <c r="M13" i="8"/>
  <c r="N13" i="8" s="1"/>
  <c r="L13" i="8"/>
  <c r="K13" i="8"/>
  <c r="J13" i="8"/>
  <c r="I13" i="8"/>
  <c r="C13" i="8"/>
  <c r="S12" i="8"/>
  <c r="M12" i="8"/>
  <c r="N12" i="8" s="1"/>
  <c r="L12" i="8"/>
  <c r="K12" i="8"/>
  <c r="J12" i="8"/>
  <c r="I12" i="8"/>
  <c r="C12" i="8"/>
  <c r="S11" i="8"/>
  <c r="M11" i="8"/>
  <c r="N11" i="8" s="1"/>
  <c r="L11" i="8"/>
  <c r="K11" i="8"/>
  <c r="J11" i="8"/>
  <c r="I11" i="8"/>
  <c r="C11" i="8"/>
  <c r="S10" i="8"/>
  <c r="M10" i="8"/>
  <c r="N10" i="8" s="1"/>
  <c r="L10" i="8"/>
  <c r="K10" i="8"/>
  <c r="J10" i="8"/>
  <c r="I10" i="8"/>
  <c r="C10" i="8"/>
  <c r="S9" i="8"/>
  <c r="M9" i="8"/>
  <c r="N9" i="8" s="1"/>
  <c r="L9" i="8"/>
  <c r="K9" i="8"/>
  <c r="J9" i="8"/>
  <c r="I9" i="8"/>
  <c r="C9" i="8"/>
  <c r="S8" i="8"/>
  <c r="M8" i="8"/>
  <c r="L8" i="8"/>
  <c r="K8" i="8"/>
  <c r="J8" i="8"/>
  <c r="I8" i="8"/>
  <c r="C8" i="8"/>
  <c r="S7" i="8"/>
  <c r="M7" i="8"/>
  <c r="N7" i="8" s="1"/>
  <c r="L7" i="8"/>
  <c r="K7" i="8"/>
  <c r="J7" i="8"/>
  <c r="I7" i="8"/>
  <c r="C7" i="8"/>
  <c r="S6" i="8"/>
  <c r="M6" i="8"/>
  <c r="N6" i="8" s="1"/>
  <c r="L6" i="8"/>
  <c r="K6" i="8"/>
  <c r="J6" i="8"/>
  <c r="I6" i="8"/>
  <c r="C6" i="8"/>
  <c r="S5" i="8"/>
  <c r="M5" i="8"/>
  <c r="N5" i="8" s="1"/>
  <c r="L5" i="8"/>
  <c r="K5" i="8"/>
  <c r="J5" i="8"/>
  <c r="I5" i="8"/>
  <c r="C5" i="8"/>
  <c r="S4" i="8"/>
  <c r="M4" i="8"/>
  <c r="L4" i="8"/>
  <c r="K4" i="8"/>
  <c r="J4" i="8"/>
  <c r="I4" i="8"/>
  <c r="C4" i="8"/>
  <c r="S3" i="8"/>
  <c r="V3" i="8" s="1"/>
  <c r="M3" i="8"/>
  <c r="N3" i="8" s="1"/>
  <c r="L3" i="8"/>
  <c r="K3" i="8"/>
  <c r="J3" i="8"/>
  <c r="I3" i="8"/>
  <c r="C3" i="8"/>
  <c r="A2" i="8"/>
  <c r="K43" i="7"/>
  <c r="J43" i="7" s="1"/>
  <c r="Q32" i="7"/>
  <c r="Q31" i="7"/>
  <c r="Q30" i="7"/>
  <c r="Q29" i="7"/>
  <c r="T14" i="7"/>
  <c r="G14" i="7"/>
  <c r="F14" i="7"/>
  <c r="T13" i="7"/>
  <c r="S13" i="7"/>
  <c r="N13" i="7"/>
  <c r="L13" i="7"/>
  <c r="K13" i="7"/>
  <c r="J13" i="7"/>
  <c r="I13" i="7"/>
  <c r="C13" i="7"/>
  <c r="T12" i="7"/>
  <c r="S12" i="7"/>
  <c r="M12" i="7"/>
  <c r="N12" i="7" s="1"/>
  <c r="L12" i="7"/>
  <c r="K12" i="7"/>
  <c r="J12" i="7"/>
  <c r="I12" i="7"/>
  <c r="C12" i="7"/>
  <c r="S11" i="7"/>
  <c r="M11" i="7"/>
  <c r="N11" i="7" s="1"/>
  <c r="L11" i="7"/>
  <c r="K11" i="7"/>
  <c r="J11" i="7"/>
  <c r="I11" i="7"/>
  <c r="C11" i="7"/>
  <c r="S10" i="7"/>
  <c r="M10" i="7"/>
  <c r="N10" i="7" s="1"/>
  <c r="L10" i="7"/>
  <c r="K10" i="7"/>
  <c r="J10" i="7"/>
  <c r="I10" i="7"/>
  <c r="C10" i="7"/>
  <c r="T9" i="7"/>
  <c r="S9" i="7"/>
  <c r="M9" i="7"/>
  <c r="N9" i="7" s="1"/>
  <c r="L9" i="7"/>
  <c r="K9" i="7"/>
  <c r="J9" i="7"/>
  <c r="I9" i="7"/>
  <c r="C9" i="7"/>
  <c r="T8" i="7"/>
  <c r="M8" i="7"/>
  <c r="N8" i="7" s="1"/>
  <c r="L8" i="7"/>
  <c r="K8" i="7"/>
  <c r="J8" i="7"/>
  <c r="I8" i="7"/>
  <c r="C8" i="7"/>
  <c r="T7" i="7"/>
  <c r="S7" i="7"/>
  <c r="M7" i="7"/>
  <c r="N7" i="7" s="1"/>
  <c r="L7" i="7"/>
  <c r="K7" i="7"/>
  <c r="J7" i="7"/>
  <c r="I7" i="7"/>
  <c r="T6" i="7"/>
  <c r="S6" i="7"/>
  <c r="M6" i="7"/>
  <c r="N6" i="7" s="1"/>
  <c r="L6" i="7"/>
  <c r="K6" i="7"/>
  <c r="J6" i="7"/>
  <c r="I6" i="7"/>
  <c r="C6" i="7"/>
  <c r="T5" i="7"/>
  <c r="S5" i="7"/>
  <c r="M5" i="7"/>
  <c r="N5" i="7" s="1"/>
  <c r="L5" i="7"/>
  <c r="K5" i="7"/>
  <c r="J5" i="7"/>
  <c r="I5" i="7"/>
  <c r="H5" i="7"/>
  <c r="C5" i="7"/>
  <c r="S4" i="7"/>
  <c r="M4" i="7"/>
  <c r="N4" i="7" s="1"/>
  <c r="L4" i="7"/>
  <c r="K4" i="7"/>
  <c r="J4" i="7"/>
  <c r="I4" i="7"/>
  <c r="C4" i="7"/>
  <c r="M3" i="7"/>
  <c r="N3" i="7" s="1"/>
  <c r="L3" i="7"/>
  <c r="K3" i="7"/>
  <c r="J3" i="7"/>
  <c r="I3" i="7"/>
  <c r="H3" i="7"/>
  <c r="C3" i="7"/>
  <c r="A2" i="7"/>
  <c r="U134" i="2"/>
  <c r="T134" i="2"/>
  <c r="N134" i="2"/>
  <c r="O134" i="2" s="1"/>
  <c r="M134" i="2"/>
  <c r="L134" i="2"/>
  <c r="K134" i="2"/>
  <c r="I134" i="2"/>
  <c r="T133" i="2"/>
  <c r="W133" i="2" s="1"/>
  <c r="N133" i="2"/>
  <c r="O133" i="2" s="1"/>
  <c r="M133" i="2"/>
  <c r="L133" i="2"/>
  <c r="K133" i="2"/>
  <c r="I133" i="2"/>
  <c r="T132" i="2"/>
  <c r="W132" i="2" s="1"/>
  <c r="N132" i="2"/>
  <c r="O132" i="2" s="1"/>
  <c r="M132" i="2"/>
  <c r="L132" i="2"/>
  <c r="K132" i="2"/>
  <c r="I132" i="2"/>
  <c r="T131" i="2"/>
  <c r="W131" i="2" s="1"/>
  <c r="N131" i="2"/>
  <c r="O131" i="2" s="1"/>
  <c r="M131" i="2"/>
  <c r="L131" i="2"/>
  <c r="K131" i="2"/>
  <c r="I131" i="2"/>
  <c r="T130" i="2"/>
  <c r="W130" i="2" s="1"/>
  <c r="N130" i="2"/>
  <c r="O130" i="2" s="1"/>
  <c r="M130" i="2"/>
  <c r="L130" i="2"/>
  <c r="K130" i="2"/>
  <c r="I130" i="2"/>
  <c r="T129" i="2"/>
  <c r="W129" i="2" s="1"/>
  <c r="N129" i="2"/>
  <c r="O129" i="2" s="1"/>
  <c r="M129" i="2"/>
  <c r="L129" i="2"/>
  <c r="K129" i="2"/>
  <c r="I129" i="2"/>
  <c r="T128" i="2"/>
  <c r="W128" i="2" s="1"/>
  <c r="N128" i="2"/>
  <c r="O128" i="2" s="1"/>
  <c r="M128" i="2"/>
  <c r="L128" i="2"/>
  <c r="K128" i="2"/>
  <c r="I128" i="2"/>
  <c r="T127" i="2"/>
  <c r="W127" i="2" s="1"/>
  <c r="N127" i="2"/>
  <c r="O127" i="2" s="1"/>
  <c r="M127" i="2"/>
  <c r="L127" i="2"/>
  <c r="K127" i="2"/>
  <c r="I127" i="2"/>
  <c r="T126" i="2"/>
  <c r="W126" i="2" s="1"/>
  <c r="N126" i="2"/>
  <c r="O126" i="2" s="1"/>
  <c r="M126" i="2"/>
  <c r="L126" i="2"/>
  <c r="K126" i="2"/>
  <c r="I126" i="2"/>
  <c r="T125" i="2"/>
  <c r="W125" i="2" s="1"/>
  <c r="N125" i="2"/>
  <c r="O125" i="2" s="1"/>
  <c r="M125" i="2"/>
  <c r="L125" i="2"/>
  <c r="K125" i="2"/>
  <c r="I125" i="2"/>
  <c r="T124" i="2"/>
  <c r="W124" i="2" s="1"/>
  <c r="N124" i="2"/>
  <c r="O124" i="2" s="1"/>
  <c r="M124" i="2"/>
  <c r="L124" i="2"/>
  <c r="K124" i="2"/>
  <c r="I124" i="2"/>
  <c r="T123" i="2"/>
  <c r="W123" i="2" s="1"/>
  <c r="N123" i="2"/>
  <c r="O123" i="2" s="1"/>
  <c r="M123" i="2"/>
  <c r="L123" i="2"/>
  <c r="K123" i="2"/>
  <c r="I123" i="2"/>
  <c r="T122" i="2"/>
  <c r="N122" i="2"/>
  <c r="O122" i="2" s="1"/>
  <c r="M122" i="2"/>
  <c r="L122" i="2"/>
  <c r="K122" i="2"/>
  <c r="I122" i="2"/>
  <c r="H122" i="2"/>
  <c r="G119" i="2"/>
  <c r="F119" i="2"/>
  <c r="T118" i="2"/>
  <c r="W118" i="2" s="1"/>
  <c r="N118" i="2"/>
  <c r="O118" i="2" s="1"/>
  <c r="M118" i="2"/>
  <c r="L118" i="2"/>
  <c r="K118" i="2"/>
  <c r="I118" i="2"/>
  <c r="T117" i="2"/>
  <c r="W117" i="2" s="1"/>
  <c r="N117" i="2"/>
  <c r="O117" i="2" s="1"/>
  <c r="M117" i="2"/>
  <c r="L117" i="2"/>
  <c r="K117" i="2"/>
  <c r="I117" i="2"/>
  <c r="T116" i="2"/>
  <c r="W116" i="2" s="1"/>
  <c r="N116" i="2"/>
  <c r="O116" i="2" s="1"/>
  <c r="M116" i="2"/>
  <c r="L116" i="2"/>
  <c r="K116" i="2"/>
  <c r="I116" i="2"/>
  <c r="T115" i="2"/>
  <c r="W115" i="2" s="1"/>
  <c r="N115" i="2"/>
  <c r="O115" i="2" s="1"/>
  <c r="M115" i="2"/>
  <c r="L115" i="2"/>
  <c r="K115" i="2"/>
  <c r="I115" i="2"/>
  <c r="T114" i="2"/>
  <c r="W114" i="2" s="1"/>
  <c r="N114" i="2"/>
  <c r="O114" i="2" s="1"/>
  <c r="M114" i="2"/>
  <c r="L114" i="2"/>
  <c r="K114" i="2"/>
  <c r="I114" i="2"/>
  <c r="T113" i="2"/>
  <c r="W113" i="2" s="1"/>
  <c r="N113" i="2"/>
  <c r="O113" i="2" s="1"/>
  <c r="M113" i="2"/>
  <c r="L113" i="2"/>
  <c r="K113" i="2"/>
  <c r="I113" i="2"/>
  <c r="T112" i="2"/>
  <c r="W112" i="2" s="1"/>
  <c r="N112" i="2"/>
  <c r="O112" i="2" s="1"/>
  <c r="M112" i="2"/>
  <c r="L112" i="2"/>
  <c r="K112" i="2"/>
  <c r="I112" i="2"/>
  <c r="T111" i="2"/>
  <c r="W111" i="2" s="1"/>
  <c r="N111" i="2"/>
  <c r="O111" i="2" s="1"/>
  <c r="M111" i="2"/>
  <c r="L111" i="2"/>
  <c r="K111" i="2"/>
  <c r="I111" i="2"/>
  <c r="T110" i="2"/>
  <c r="N110" i="2"/>
  <c r="O110" i="2" s="1"/>
  <c r="M110" i="2"/>
  <c r="L110" i="2"/>
  <c r="K110" i="2"/>
  <c r="I110" i="2"/>
  <c r="H110" i="2"/>
  <c r="T109" i="2"/>
  <c r="W109" i="2" s="1"/>
  <c r="N109" i="2"/>
  <c r="O109" i="2" s="1"/>
  <c r="M109" i="2"/>
  <c r="L109" i="2"/>
  <c r="K109" i="2"/>
  <c r="I109" i="2"/>
  <c r="T108" i="2"/>
  <c r="W108" i="2" s="1"/>
  <c r="N108" i="2"/>
  <c r="O108" i="2" s="1"/>
  <c r="M108" i="2"/>
  <c r="L108" i="2"/>
  <c r="K108" i="2"/>
  <c r="I108" i="2"/>
  <c r="T107" i="2"/>
  <c r="W107" i="2" s="1"/>
  <c r="N107" i="2"/>
  <c r="O107" i="2" s="1"/>
  <c r="M107" i="2"/>
  <c r="L107" i="2"/>
  <c r="K107" i="2"/>
  <c r="I107" i="2"/>
  <c r="T106" i="2"/>
  <c r="W106" i="2" s="1"/>
  <c r="N106" i="2"/>
  <c r="O106" i="2" s="1"/>
  <c r="M106" i="2"/>
  <c r="L106" i="2"/>
  <c r="K106" i="2"/>
  <c r="I106" i="2"/>
  <c r="T103" i="2"/>
  <c r="N103" i="2"/>
  <c r="O103" i="2" s="1"/>
  <c r="M103" i="2"/>
  <c r="L103" i="2"/>
  <c r="K103" i="2"/>
  <c r="I103" i="2"/>
  <c r="T102" i="2"/>
  <c r="W102" i="2" s="1"/>
  <c r="N102" i="2"/>
  <c r="O102" i="2" s="1"/>
  <c r="M102" i="2"/>
  <c r="L102" i="2"/>
  <c r="K102" i="2"/>
  <c r="I102" i="2"/>
  <c r="T101" i="2"/>
  <c r="W101" i="2" s="1"/>
  <c r="N101" i="2"/>
  <c r="O101" i="2" s="1"/>
  <c r="M101" i="2"/>
  <c r="L101" i="2"/>
  <c r="K101" i="2"/>
  <c r="I101" i="2"/>
  <c r="T100" i="2"/>
  <c r="W100" i="2" s="1"/>
  <c r="N100" i="2"/>
  <c r="O100" i="2" s="1"/>
  <c r="M100" i="2"/>
  <c r="L100" i="2"/>
  <c r="K100" i="2"/>
  <c r="I100" i="2"/>
  <c r="T99" i="2"/>
  <c r="W99" i="2" s="1"/>
  <c r="N99" i="2"/>
  <c r="O99" i="2" s="1"/>
  <c r="M99" i="2"/>
  <c r="L99" i="2"/>
  <c r="K99" i="2"/>
  <c r="I99" i="2"/>
  <c r="T98" i="2"/>
  <c r="W98" i="2" s="1"/>
  <c r="N98" i="2"/>
  <c r="O98" i="2" s="1"/>
  <c r="M98" i="2"/>
  <c r="L98" i="2"/>
  <c r="K98" i="2"/>
  <c r="I98" i="2"/>
  <c r="T97" i="2"/>
  <c r="W97" i="2" s="1"/>
  <c r="N97" i="2"/>
  <c r="O97" i="2" s="1"/>
  <c r="M97" i="2"/>
  <c r="L97" i="2"/>
  <c r="K97" i="2"/>
  <c r="I97" i="2"/>
  <c r="T96" i="2"/>
  <c r="W96" i="2" s="1"/>
  <c r="N96" i="2"/>
  <c r="O96" i="2" s="1"/>
  <c r="M96" i="2"/>
  <c r="L96" i="2"/>
  <c r="K96" i="2"/>
  <c r="I96" i="2"/>
  <c r="T95" i="2"/>
  <c r="W95" i="2" s="1"/>
  <c r="N95" i="2"/>
  <c r="O95" i="2" s="1"/>
  <c r="M95" i="2"/>
  <c r="L95" i="2"/>
  <c r="K95" i="2"/>
  <c r="I95" i="2"/>
  <c r="T94" i="2"/>
  <c r="W94" i="2" s="1"/>
  <c r="N94" i="2"/>
  <c r="O94" i="2" s="1"/>
  <c r="M94" i="2"/>
  <c r="L94" i="2"/>
  <c r="K94" i="2"/>
  <c r="I94" i="2"/>
  <c r="T93" i="2"/>
  <c r="W93" i="2" s="1"/>
  <c r="N93" i="2"/>
  <c r="O93" i="2" s="1"/>
  <c r="M93" i="2"/>
  <c r="L93" i="2"/>
  <c r="K93" i="2"/>
  <c r="I93" i="2"/>
  <c r="T92" i="2"/>
  <c r="W92" i="2" s="1"/>
  <c r="N92" i="2"/>
  <c r="O92" i="2" s="1"/>
  <c r="M92" i="2"/>
  <c r="L92" i="2"/>
  <c r="K92" i="2"/>
  <c r="I92" i="2"/>
  <c r="T91" i="2"/>
  <c r="W91" i="2" s="1"/>
  <c r="N91" i="2"/>
  <c r="O91" i="2" s="1"/>
  <c r="M91" i="2"/>
  <c r="L91" i="2"/>
  <c r="K91" i="2"/>
  <c r="I91" i="2"/>
  <c r="T90" i="2"/>
  <c r="W90" i="2" s="1"/>
  <c r="N90" i="2"/>
  <c r="O90" i="2" s="1"/>
  <c r="M90" i="2"/>
  <c r="L90" i="2"/>
  <c r="K90" i="2"/>
  <c r="I90" i="2"/>
  <c r="T89" i="2"/>
  <c r="W89" i="2" s="1"/>
  <c r="N89" i="2"/>
  <c r="O89" i="2" s="1"/>
  <c r="M89" i="2"/>
  <c r="L89" i="2"/>
  <c r="K89" i="2"/>
  <c r="I89" i="2"/>
  <c r="T88" i="2"/>
  <c r="W88" i="2" s="1"/>
  <c r="N88" i="2"/>
  <c r="O88" i="2" s="1"/>
  <c r="M88" i="2"/>
  <c r="L88" i="2"/>
  <c r="K88" i="2"/>
  <c r="I88" i="2"/>
  <c r="T87" i="2"/>
  <c r="W87" i="2" s="1"/>
  <c r="N87" i="2"/>
  <c r="O87" i="2" s="1"/>
  <c r="M87" i="2"/>
  <c r="L87" i="2"/>
  <c r="K87" i="2"/>
  <c r="I87" i="2"/>
  <c r="T86" i="2"/>
  <c r="W86" i="2" s="1"/>
  <c r="N86" i="2"/>
  <c r="O86" i="2" s="1"/>
  <c r="M86" i="2"/>
  <c r="L86" i="2"/>
  <c r="K86" i="2"/>
  <c r="I86" i="2"/>
  <c r="T85" i="2"/>
  <c r="W85" i="2" s="1"/>
  <c r="N85" i="2"/>
  <c r="O85" i="2" s="1"/>
  <c r="M85" i="2"/>
  <c r="L85" i="2"/>
  <c r="K85" i="2"/>
  <c r="I85" i="2"/>
  <c r="T84" i="2"/>
  <c r="W84" i="2" s="1"/>
  <c r="N84" i="2"/>
  <c r="O84" i="2" s="1"/>
  <c r="M84" i="2"/>
  <c r="L84" i="2"/>
  <c r="K84" i="2"/>
  <c r="I84" i="2"/>
  <c r="T83" i="2"/>
  <c r="W83" i="2" s="1"/>
  <c r="N83" i="2"/>
  <c r="O83" i="2" s="1"/>
  <c r="M83" i="2"/>
  <c r="L83" i="2"/>
  <c r="K83" i="2"/>
  <c r="I83" i="2"/>
  <c r="T82" i="2"/>
  <c r="W82" i="2" s="1"/>
  <c r="N82" i="2"/>
  <c r="O82" i="2" s="1"/>
  <c r="M82" i="2"/>
  <c r="L82" i="2"/>
  <c r="K82" i="2"/>
  <c r="I82" i="2"/>
  <c r="T81" i="2"/>
  <c r="W81" i="2" s="1"/>
  <c r="N81" i="2"/>
  <c r="O81" i="2" s="1"/>
  <c r="M81" i="2"/>
  <c r="L81" i="2"/>
  <c r="K81" i="2"/>
  <c r="I81" i="2"/>
  <c r="T80" i="2"/>
  <c r="N80" i="2"/>
  <c r="O80" i="2" s="1"/>
  <c r="M80" i="2"/>
  <c r="L80" i="2"/>
  <c r="K80" i="2"/>
  <c r="I80" i="2"/>
  <c r="H80" i="2"/>
  <c r="T79" i="2"/>
  <c r="W79" i="2" s="1"/>
  <c r="N79" i="2"/>
  <c r="O79" i="2" s="1"/>
  <c r="M79" i="2"/>
  <c r="L79" i="2"/>
  <c r="K79" i="2"/>
  <c r="I79" i="2"/>
  <c r="T78" i="2"/>
  <c r="N78" i="2"/>
  <c r="O78" i="2" s="1"/>
  <c r="M78" i="2"/>
  <c r="L78" i="2"/>
  <c r="K78" i="2"/>
  <c r="I78" i="2"/>
  <c r="H78" i="2"/>
  <c r="T77" i="2"/>
  <c r="W77" i="2" s="1"/>
  <c r="N77" i="2"/>
  <c r="O77" i="2" s="1"/>
  <c r="M77" i="2"/>
  <c r="L77" i="2"/>
  <c r="K77" i="2"/>
  <c r="I77" i="2"/>
  <c r="T76" i="2"/>
  <c r="W76" i="2" s="1"/>
  <c r="N76" i="2"/>
  <c r="O76" i="2" s="1"/>
  <c r="M76" i="2"/>
  <c r="L76" i="2"/>
  <c r="K76" i="2"/>
  <c r="I76" i="2"/>
  <c r="T75" i="2"/>
  <c r="W75" i="2" s="1"/>
  <c r="N75" i="2"/>
  <c r="O75" i="2" s="1"/>
  <c r="M75" i="2"/>
  <c r="L75" i="2"/>
  <c r="K75" i="2"/>
  <c r="I75" i="2"/>
  <c r="T74" i="2"/>
  <c r="N74" i="2"/>
  <c r="O74" i="2" s="1"/>
  <c r="M74" i="2"/>
  <c r="L74" i="2"/>
  <c r="K74" i="2"/>
  <c r="I74" i="2"/>
  <c r="H74" i="2"/>
  <c r="T73" i="2"/>
  <c r="N73" i="2"/>
  <c r="O73" i="2" s="1"/>
  <c r="M73" i="2"/>
  <c r="L73" i="2"/>
  <c r="K73" i="2"/>
  <c r="I73" i="2"/>
  <c r="H73" i="2"/>
  <c r="T72" i="2"/>
  <c r="W72" i="2" s="1"/>
  <c r="N72" i="2"/>
  <c r="O72" i="2" s="1"/>
  <c r="M72" i="2"/>
  <c r="L72" i="2"/>
  <c r="K72" i="2"/>
  <c r="I72" i="2"/>
  <c r="T71" i="2"/>
  <c r="N71" i="2"/>
  <c r="O71" i="2" s="1"/>
  <c r="M71" i="2"/>
  <c r="L71" i="2"/>
  <c r="K71" i="2"/>
  <c r="I71" i="2"/>
  <c r="H71" i="2"/>
  <c r="T70" i="2"/>
  <c r="W70" i="2" s="1"/>
  <c r="N70" i="2"/>
  <c r="O70" i="2" s="1"/>
  <c r="M70" i="2"/>
  <c r="L70" i="2"/>
  <c r="K70" i="2"/>
  <c r="I70" i="2"/>
  <c r="H70" i="2"/>
  <c r="T69" i="2"/>
  <c r="W69" i="2" s="1"/>
  <c r="N69" i="2"/>
  <c r="O69" i="2" s="1"/>
  <c r="M69" i="2"/>
  <c r="L69" i="2"/>
  <c r="K69" i="2"/>
  <c r="I69" i="2"/>
  <c r="T68" i="2"/>
  <c r="W68" i="2" s="1"/>
  <c r="I68" i="2"/>
  <c r="T67" i="2"/>
  <c r="W67" i="2" s="1"/>
  <c r="N67" i="2"/>
  <c r="I67" i="2"/>
  <c r="T66" i="2"/>
  <c r="W66" i="2" s="1"/>
  <c r="I66" i="2"/>
  <c r="T65" i="2"/>
  <c r="W65" i="2" s="1"/>
  <c r="N65" i="2"/>
  <c r="O65" i="2" s="1"/>
  <c r="M65" i="2"/>
  <c r="L65" i="2"/>
  <c r="K65" i="2"/>
  <c r="G65" i="2" s="1"/>
  <c r="I65" i="2"/>
  <c r="T64" i="2"/>
  <c r="W64" i="2" s="1"/>
  <c r="T63" i="2"/>
  <c r="T62" i="2"/>
  <c r="W62" i="2" s="1"/>
  <c r="N62" i="2"/>
  <c r="O62" i="2" s="1"/>
  <c r="M62" i="2"/>
  <c r="L62" i="2"/>
  <c r="K62" i="2"/>
  <c r="I62" i="2"/>
  <c r="T61" i="2"/>
  <c r="W61" i="2" s="1"/>
  <c r="I61" i="2"/>
  <c r="T60" i="2"/>
  <c r="W60" i="2" s="1"/>
  <c r="I60" i="2"/>
  <c r="T59" i="2"/>
  <c r="W59" i="2" s="1"/>
  <c r="I59" i="2"/>
  <c r="H59" i="2"/>
  <c r="T58" i="2"/>
  <c r="W58" i="2" s="1"/>
  <c r="I58" i="2"/>
  <c r="T57" i="2"/>
  <c r="N57" i="2"/>
  <c r="O57" i="2" s="1"/>
  <c r="M57" i="2"/>
  <c r="L57" i="2"/>
  <c r="K57" i="2"/>
  <c r="I57" i="2"/>
  <c r="H57" i="2"/>
  <c r="T55" i="2"/>
  <c r="N55" i="2"/>
  <c r="O55" i="2" s="1"/>
  <c r="M55" i="2"/>
  <c r="L55" i="2"/>
  <c r="K55" i="2"/>
  <c r="I55" i="2"/>
  <c r="T54" i="2"/>
  <c r="W54" i="2" s="1"/>
  <c r="N54" i="2"/>
  <c r="O54" i="2" s="1"/>
  <c r="M54" i="2"/>
  <c r="L54" i="2"/>
  <c r="K54" i="2"/>
  <c r="I54" i="2"/>
  <c r="T53" i="2"/>
  <c r="N53" i="2"/>
  <c r="O53" i="2" s="1"/>
  <c r="M53" i="2"/>
  <c r="L53" i="2"/>
  <c r="K53" i="2"/>
  <c r="I53" i="2"/>
  <c r="H53" i="2"/>
  <c r="T52" i="2"/>
  <c r="T51" i="2"/>
  <c r="T50" i="2"/>
  <c r="W50" i="2" s="1"/>
  <c r="N50" i="2"/>
  <c r="O50" i="2" s="1"/>
  <c r="M50" i="2"/>
  <c r="L50" i="2"/>
  <c r="K50" i="2"/>
  <c r="G50" i="2" s="1"/>
  <c r="I50" i="2"/>
  <c r="T49" i="2"/>
  <c r="W49" i="2" s="1"/>
  <c r="N49" i="2"/>
  <c r="O49" i="2" s="1"/>
  <c r="M49" i="2"/>
  <c r="L49" i="2"/>
  <c r="K49" i="2"/>
  <c r="I49" i="2"/>
  <c r="T48" i="2"/>
  <c r="W48" i="2" s="1"/>
  <c r="N48" i="2"/>
  <c r="O48" i="2" s="1"/>
  <c r="M48" i="2"/>
  <c r="L48" i="2"/>
  <c r="K48" i="2"/>
  <c r="I48" i="2"/>
  <c r="T47" i="2"/>
  <c r="W47" i="2" s="1"/>
  <c r="N47" i="2"/>
  <c r="O47" i="2" s="1"/>
  <c r="M47" i="2"/>
  <c r="L47" i="2"/>
  <c r="K47" i="2"/>
  <c r="I47" i="2"/>
  <c r="T46" i="2"/>
  <c r="W46" i="2" s="1"/>
  <c r="N46" i="2"/>
  <c r="O46" i="2" s="1"/>
  <c r="M46" i="2"/>
  <c r="L46" i="2"/>
  <c r="K46" i="2"/>
  <c r="I46" i="2"/>
  <c r="T45" i="2"/>
  <c r="N45" i="2"/>
  <c r="O45" i="2" s="1"/>
  <c r="M45" i="2"/>
  <c r="L45" i="2"/>
  <c r="K45" i="2"/>
  <c r="I45" i="2"/>
  <c r="H45" i="2"/>
  <c r="T44" i="2"/>
  <c r="W44" i="2" s="1"/>
  <c r="N44" i="2"/>
  <c r="O44" i="2" s="1"/>
  <c r="M44" i="2"/>
  <c r="L44" i="2"/>
  <c r="K44" i="2"/>
  <c r="I44" i="2"/>
  <c r="T43" i="2"/>
  <c r="W43" i="2" s="1"/>
  <c r="N43" i="2"/>
  <c r="O43" i="2" s="1"/>
  <c r="M43" i="2"/>
  <c r="L43" i="2"/>
  <c r="K43" i="2"/>
  <c r="I43" i="2"/>
  <c r="T42" i="2"/>
  <c r="W42" i="2" s="1"/>
  <c r="N42" i="2"/>
  <c r="O42" i="2" s="1"/>
  <c r="M42" i="2"/>
  <c r="L42" i="2"/>
  <c r="K42" i="2"/>
  <c r="I42" i="2"/>
  <c r="T41" i="2"/>
  <c r="W41" i="2" s="1"/>
  <c r="N41" i="2"/>
  <c r="O41" i="2" s="1"/>
  <c r="M41" i="2"/>
  <c r="L41" i="2"/>
  <c r="K41" i="2"/>
  <c r="I41" i="2"/>
  <c r="T40" i="2"/>
  <c r="W40" i="2" s="1"/>
  <c r="N40" i="2"/>
  <c r="O40" i="2" s="1"/>
  <c r="M40" i="2"/>
  <c r="L40" i="2"/>
  <c r="K40" i="2"/>
  <c r="I40" i="2"/>
  <c r="T39" i="2"/>
  <c r="W39" i="2" s="1"/>
  <c r="N39" i="2"/>
  <c r="O39" i="2" s="1"/>
  <c r="M39" i="2"/>
  <c r="L39" i="2"/>
  <c r="K39" i="2"/>
  <c r="I39" i="2"/>
  <c r="T38" i="2"/>
  <c r="W38" i="2" s="1"/>
  <c r="N38" i="2"/>
  <c r="O38" i="2" s="1"/>
  <c r="M38" i="2"/>
  <c r="L38" i="2"/>
  <c r="K38" i="2"/>
  <c r="I38" i="2"/>
  <c r="T37" i="2"/>
  <c r="W37" i="2" s="1"/>
  <c r="N37" i="2"/>
  <c r="O37" i="2" s="1"/>
  <c r="M37" i="2"/>
  <c r="L37" i="2"/>
  <c r="K37" i="2"/>
  <c r="I37" i="2"/>
  <c r="T36" i="2"/>
  <c r="W36" i="2" s="1"/>
  <c r="N36" i="2"/>
  <c r="O36" i="2" s="1"/>
  <c r="M36" i="2"/>
  <c r="L36" i="2"/>
  <c r="K36" i="2"/>
  <c r="I36" i="2"/>
  <c r="T35" i="2"/>
  <c r="W35" i="2" s="1"/>
  <c r="N35" i="2"/>
  <c r="O35" i="2" s="1"/>
  <c r="M35" i="2"/>
  <c r="L35" i="2"/>
  <c r="K35" i="2"/>
  <c r="I35" i="2"/>
  <c r="T34" i="2"/>
  <c r="W34" i="2" s="1"/>
  <c r="N34" i="2"/>
  <c r="O34" i="2" s="1"/>
  <c r="M34" i="2"/>
  <c r="L34" i="2"/>
  <c r="K34" i="2"/>
  <c r="I34" i="2"/>
  <c r="T33" i="2"/>
  <c r="W33" i="2" s="1"/>
  <c r="N33" i="2"/>
  <c r="O33" i="2" s="1"/>
  <c r="M33" i="2"/>
  <c r="L33" i="2"/>
  <c r="K33" i="2"/>
  <c r="I33" i="2"/>
  <c r="T32" i="2"/>
  <c r="W32" i="2" s="1"/>
  <c r="N32" i="2"/>
  <c r="O32" i="2" s="1"/>
  <c r="M32" i="2"/>
  <c r="L32" i="2"/>
  <c r="K32" i="2"/>
  <c r="I32" i="2"/>
  <c r="T31" i="2"/>
  <c r="W31" i="2" s="1"/>
  <c r="N31" i="2"/>
  <c r="O31" i="2" s="1"/>
  <c r="M31" i="2"/>
  <c r="L31" i="2"/>
  <c r="K31" i="2"/>
  <c r="I31" i="2"/>
  <c r="T30" i="2"/>
  <c r="W30" i="2" s="1"/>
  <c r="N30" i="2"/>
  <c r="O30" i="2" s="1"/>
  <c r="M30" i="2"/>
  <c r="L30" i="2"/>
  <c r="K30" i="2"/>
  <c r="I30" i="2"/>
  <c r="T29" i="2"/>
  <c r="W29" i="2" s="1"/>
  <c r="N29" i="2"/>
  <c r="O29" i="2" s="1"/>
  <c r="M29" i="2"/>
  <c r="L29" i="2"/>
  <c r="K29" i="2"/>
  <c r="I29" i="2"/>
  <c r="T28" i="2"/>
  <c r="W28" i="2" s="1"/>
  <c r="N28" i="2"/>
  <c r="O28" i="2" s="1"/>
  <c r="M28" i="2"/>
  <c r="L28" i="2"/>
  <c r="K28" i="2"/>
  <c r="I28" i="2"/>
  <c r="T27" i="2"/>
  <c r="W27" i="2" s="1"/>
  <c r="N27" i="2"/>
  <c r="O27" i="2" s="1"/>
  <c r="M27" i="2"/>
  <c r="L27" i="2"/>
  <c r="K27" i="2"/>
  <c r="I27" i="2"/>
  <c r="T26" i="2"/>
  <c r="W26" i="2" s="1"/>
  <c r="N26" i="2"/>
  <c r="O26" i="2" s="1"/>
  <c r="M26" i="2"/>
  <c r="L26" i="2"/>
  <c r="K26" i="2"/>
  <c r="I26" i="2"/>
  <c r="T25" i="2"/>
  <c r="W25" i="2" s="1"/>
  <c r="N25" i="2"/>
  <c r="O25" i="2" s="1"/>
  <c r="M25" i="2"/>
  <c r="L25" i="2"/>
  <c r="K25" i="2"/>
  <c r="I25" i="2"/>
  <c r="T24" i="2"/>
  <c r="W24" i="2" s="1"/>
  <c r="N24" i="2"/>
  <c r="O24" i="2" s="1"/>
  <c r="M24" i="2"/>
  <c r="L24" i="2"/>
  <c r="K24" i="2"/>
  <c r="I24" i="2"/>
  <c r="T23" i="2"/>
  <c r="W23" i="2" s="1"/>
  <c r="N23" i="2"/>
  <c r="O23" i="2" s="1"/>
  <c r="M23" i="2"/>
  <c r="L23" i="2"/>
  <c r="K23" i="2"/>
  <c r="I23" i="2"/>
  <c r="T22" i="2"/>
  <c r="W22" i="2" s="1"/>
  <c r="N22" i="2"/>
  <c r="O22" i="2" s="1"/>
  <c r="M22" i="2"/>
  <c r="L22" i="2"/>
  <c r="K22" i="2"/>
  <c r="I22" i="2"/>
  <c r="T21" i="2"/>
  <c r="W21" i="2" s="1"/>
  <c r="N21" i="2"/>
  <c r="O21" i="2" s="1"/>
  <c r="M21" i="2"/>
  <c r="L21" i="2"/>
  <c r="K21" i="2"/>
  <c r="I21" i="2"/>
  <c r="T20" i="2"/>
  <c r="W20" i="2" s="1"/>
  <c r="N20" i="2"/>
  <c r="O20" i="2" s="1"/>
  <c r="M20" i="2"/>
  <c r="L20" i="2"/>
  <c r="K20" i="2"/>
  <c r="I20" i="2"/>
  <c r="T19" i="2"/>
  <c r="W19" i="2" s="1"/>
  <c r="N19" i="2"/>
  <c r="O19" i="2" s="1"/>
  <c r="M19" i="2"/>
  <c r="L19" i="2"/>
  <c r="K19" i="2"/>
  <c r="G19" i="2" s="1"/>
  <c r="I19" i="2"/>
  <c r="T18" i="2"/>
  <c r="W18" i="2" s="1"/>
  <c r="N18" i="2"/>
  <c r="O18" i="2" s="1"/>
  <c r="M18" i="2"/>
  <c r="L18" i="2"/>
  <c r="K18" i="2"/>
  <c r="I18" i="2"/>
  <c r="T17" i="2"/>
  <c r="W17" i="2" s="1"/>
  <c r="N17" i="2"/>
  <c r="O17" i="2" s="1"/>
  <c r="M17" i="2"/>
  <c r="L17" i="2"/>
  <c r="K17" i="2"/>
  <c r="I17" i="2"/>
  <c r="T16" i="2"/>
  <c r="W16" i="2" s="1"/>
  <c r="N16" i="2"/>
  <c r="O16" i="2" s="1"/>
  <c r="M16" i="2"/>
  <c r="L16" i="2"/>
  <c r="K16" i="2"/>
  <c r="I16" i="2"/>
  <c r="T15" i="2"/>
  <c r="W15" i="2" s="1"/>
  <c r="N15" i="2"/>
  <c r="O15" i="2" s="1"/>
  <c r="M15" i="2"/>
  <c r="L15" i="2"/>
  <c r="K15" i="2"/>
  <c r="I15" i="2"/>
  <c r="T14" i="2"/>
  <c r="W14" i="2" s="1"/>
  <c r="N14" i="2"/>
  <c r="O14" i="2" s="1"/>
  <c r="M14" i="2"/>
  <c r="L14" i="2"/>
  <c r="K14" i="2"/>
  <c r="I14" i="2"/>
  <c r="T13" i="2"/>
  <c r="N13" i="2"/>
  <c r="O13" i="2" s="1"/>
  <c r="M13" i="2"/>
  <c r="L13" i="2"/>
  <c r="K13" i="2"/>
  <c r="I13" i="2"/>
  <c r="H13" i="2"/>
  <c r="T12" i="2"/>
  <c r="N12" i="2"/>
  <c r="O12" i="2" s="1"/>
  <c r="M12" i="2"/>
  <c r="L12" i="2"/>
  <c r="K12" i="2"/>
  <c r="I12" i="2"/>
  <c r="H12" i="2"/>
  <c r="T11" i="2"/>
  <c r="W11" i="2" s="1"/>
  <c r="N11" i="2"/>
  <c r="O11" i="2" s="1"/>
  <c r="M11" i="2"/>
  <c r="L11" i="2"/>
  <c r="K11" i="2"/>
  <c r="I11" i="2"/>
  <c r="T10" i="2"/>
  <c r="W10" i="2" s="1"/>
  <c r="N10" i="2"/>
  <c r="O10" i="2" s="1"/>
  <c r="M10" i="2"/>
  <c r="L10" i="2"/>
  <c r="K10" i="2"/>
  <c r="I10" i="2"/>
  <c r="T9" i="2"/>
  <c r="W9" i="2" s="1"/>
  <c r="N9" i="2"/>
  <c r="O9" i="2" s="1"/>
  <c r="M9" i="2"/>
  <c r="L9" i="2"/>
  <c r="K9" i="2"/>
  <c r="I9" i="2"/>
  <c r="T8" i="2"/>
  <c r="W8" i="2" s="1"/>
  <c r="N8" i="2"/>
  <c r="O8" i="2" s="1"/>
  <c r="M8" i="2"/>
  <c r="L8" i="2"/>
  <c r="K8" i="2"/>
  <c r="I8" i="2"/>
  <c r="T7" i="2"/>
  <c r="W7" i="2" s="1"/>
  <c r="N7" i="2"/>
  <c r="O7" i="2" s="1"/>
  <c r="M7" i="2"/>
  <c r="L7" i="2"/>
  <c r="K7" i="2"/>
  <c r="I7" i="2"/>
  <c r="T6" i="2"/>
  <c r="W6" i="2" s="1"/>
  <c r="N6" i="2"/>
  <c r="O6" i="2" s="1"/>
  <c r="M6" i="2"/>
  <c r="L6" i="2"/>
  <c r="K6" i="2"/>
  <c r="I6" i="2"/>
  <c r="T5" i="2"/>
  <c r="W5" i="2" s="1"/>
  <c r="N5" i="2"/>
  <c r="O5" i="2" s="1"/>
  <c r="M5" i="2"/>
  <c r="L5" i="2"/>
  <c r="K5" i="2"/>
  <c r="I5" i="2"/>
  <c r="T4" i="2"/>
  <c r="W4" i="2" s="1"/>
  <c r="N4" i="2"/>
  <c r="O4" i="2" s="1"/>
  <c r="M4" i="2"/>
  <c r="L4" i="2"/>
  <c r="K4" i="2"/>
  <c r="I4" i="2"/>
  <c r="T3" i="2"/>
  <c r="W3" i="2" s="1"/>
  <c r="N3" i="2"/>
  <c r="O3" i="2" s="1"/>
  <c r="M3" i="2"/>
  <c r="L3" i="2"/>
  <c r="K3" i="2"/>
  <c r="I3" i="2"/>
  <c r="A2" i="2"/>
  <c r="B138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J307" i="19"/>
  <c r="R156" i="19"/>
  <c r="T141" i="19"/>
  <c r="X120" i="19"/>
  <c r="T120" i="19"/>
  <c r="P120" i="19"/>
  <c r="L120" i="19"/>
  <c r="H120" i="19"/>
  <c r="D120" i="19"/>
  <c r="B120" i="19"/>
  <c r="B121" i="19" s="1"/>
  <c r="B122" i="19" s="1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G93" i="24"/>
  <c r="D93" i="24"/>
  <c r="G92" i="24"/>
  <c r="D92" i="24"/>
  <c r="G91" i="24"/>
  <c r="D91" i="24"/>
  <c r="G90" i="24"/>
  <c r="D90" i="24"/>
  <c r="G89" i="24"/>
  <c r="D89" i="24"/>
  <c r="G88" i="24"/>
  <c r="D88" i="24"/>
  <c r="G87" i="24"/>
  <c r="D87" i="24"/>
  <c r="G81" i="24"/>
  <c r="D81" i="24"/>
  <c r="G80" i="24"/>
  <c r="D80" i="24"/>
  <c r="G79" i="24"/>
  <c r="D79" i="24"/>
  <c r="D78" i="24"/>
  <c r="G77" i="24"/>
  <c r="D77" i="24"/>
  <c r="G76" i="24"/>
  <c r="D76" i="24"/>
  <c r="G75" i="24"/>
  <c r="D75" i="24"/>
  <c r="G69" i="24"/>
  <c r="D69" i="24"/>
  <c r="G68" i="24"/>
  <c r="D68" i="24"/>
  <c r="G67" i="24"/>
  <c r="D67" i="24"/>
  <c r="D66" i="24"/>
  <c r="G65" i="24"/>
  <c r="D65" i="24"/>
  <c r="G64" i="24"/>
  <c r="D64" i="24"/>
  <c r="G63" i="24"/>
  <c r="D63" i="24"/>
  <c r="G58" i="24"/>
  <c r="G57" i="24"/>
  <c r="G56" i="24"/>
  <c r="D56" i="24"/>
  <c r="G55" i="24"/>
  <c r="G54" i="24"/>
  <c r="G53" i="24"/>
  <c r="D53" i="24"/>
  <c r="G52" i="24"/>
  <c r="D52" i="24"/>
  <c r="D51" i="24"/>
  <c r="G50" i="24"/>
  <c r="D50" i="24"/>
  <c r="G49" i="24"/>
  <c r="D49" i="24"/>
  <c r="G48" i="24"/>
  <c r="D48" i="24"/>
  <c r="G42" i="24"/>
  <c r="D42" i="24"/>
  <c r="G41" i="24"/>
  <c r="G40" i="24"/>
  <c r="D40" i="24"/>
  <c r="G39" i="24"/>
  <c r="D39" i="24"/>
  <c r="G38" i="24"/>
  <c r="D38" i="24"/>
  <c r="G37" i="24"/>
  <c r="D37" i="24"/>
  <c r="G35" i="24"/>
  <c r="D35" i="24"/>
  <c r="G34" i="24"/>
  <c r="D34" i="24"/>
  <c r="G33" i="24"/>
  <c r="D33" i="24"/>
  <c r="D27" i="24"/>
  <c r="G26" i="24"/>
  <c r="G25" i="24"/>
  <c r="D25" i="24"/>
  <c r="G24" i="24"/>
  <c r="D24" i="24"/>
  <c r="G23" i="24"/>
  <c r="D23" i="24"/>
  <c r="G22" i="24"/>
  <c r="D22" i="24"/>
  <c r="G21" i="24"/>
  <c r="D21" i="24"/>
  <c r="G20" i="24"/>
  <c r="D20" i="24"/>
  <c r="G19" i="24"/>
  <c r="D19" i="24"/>
  <c r="G18" i="24"/>
  <c r="D18" i="24"/>
  <c r="G17" i="24"/>
  <c r="D17" i="24"/>
  <c r="G16" i="24"/>
  <c r="D16" i="24"/>
  <c r="G15" i="24"/>
  <c r="D15" i="24"/>
  <c r="G14" i="24"/>
  <c r="D14" i="24"/>
  <c r="G12" i="24"/>
  <c r="D12" i="24"/>
  <c r="G11" i="24"/>
  <c r="D11" i="24"/>
  <c r="G10" i="24"/>
  <c r="E6" i="24"/>
  <c r="E5" i="24"/>
  <c r="G2" i="24"/>
  <c r="F96" i="22"/>
  <c r="E96" i="22"/>
  <c r="D96" i="22"/>
  <c r="D92" i="22"/>
  <c r="D89" i="22"/>
  <c r="F89" i="22" s="1"/>
  <c r="E84" i="22"/>
  <c r="C83" i="22"/>
  <c r="H82" i="22"/>
  <c r="G82" i="22"/>
  <c r="E82" i="22"/>
  <c r="C81" i="22"/>
  <c r="C80" i="22"/>
  <c r="H79" i="22"/>
  <c r="C79" i="22"/>
  <c r="D75" i="22"/>
  <c r="F75" i="22" s="1"/>
  <c r="E70" i="22"/>
  <c r="C70" i="22"/>
  <c r="H69" i="22"/>
  <c r="G69" i="22"/>
  <c r="E69" i="22"/>
  <c r="H65" i="22"/>
  <c r="F61" i="22"/>
  <c r="E56" i="22"/>
  <c r="C56" i="22"/>
  <c r="C54" i="22"/>
  <c r="H51" i="22"/>
  <c r="D47" i="22"/>
  <c r="E47" i="22" s="1"/>
  <c r="E42" i="22"/>
  <c r="C42" i="22"/>
  <c r="C40" i="22"/>
  <c r="C38" i="22"/>
  <c r="H37" i="22"/>
  <c r="D33" i="22"/>
  <c r="E33" i="22" s="1"/>
  <c r="E27" i="22"/>
  <c r="C27" i="22"/>
  <c r="C26" i="22"/>
  <c r="C22" i="22"/>
  <c r="D18" i="22"/>
  <c r="F18" i="22" s="1"/>
  <c r="H13" i="22"/>
  <c r="G13" i="22"/>
  <c r="E13" i="22"/>
  <c r="H12" i="22"/>
  <c r="E12" i="22"/>
  <c r="E79" i="22" l="1"/>
  <c r="D79" i="22" s="1"/>
  <c r="E22" i="22"/>
  <c r="D22" i="22" s="1"/>
  <c r="E37" i="22"/>
  <c r="D37" i="22" s="1"/>
  <c r="E51" i="22"/>
  <c r="E8" i="22"/>
  <c r="E65" i="22"/>
  <c r="J6" i="5"/>
  <c r="K6" i="5"/>
  <c r="S4" i="5"/>
  <c r="K4" i="5"/>
  <c r="J5" i="5"/>
  <c r="S3" i="5"/>
  <c r="P6" i="5"/>
  <c r="J3" i="5"/>
  <c r="S6" i="5"/>
  <c r="P5" i="5"/>
  <c r="J4" i="5"/>
  <c r="S5" i="5"/>
  <c r="K5" i="5"/>
  <c r="K3" i="5"/>
  <c r="P4" i="5"/>
  <c r="P3" i="5"/>
  <c r="P16" i="7"/>
  <c r="O16" i="7" s="1"/>
  <c r="T16" i="7" s="1"/>
  <c r="Y16" i="7"/>
  <c r="Z16" i="7" s="1"/>
  <c r="R16" i="7"/>
  <c r="AC16" i="7" s="1"/>
  <c r="V16" i="7"/>
  <c r="AD16" i="7"/>
  <c r="Y9" i="7"/>
  <c r="Z9" i="7" s="1"/>
  <c r="AD18" i="8"/>
  <c r="V19" i="8"/>
  <c r="X19" i="8" s="1"/>
  <c r="P15" i="7"/>
  <c r="AF56" i="2"/>
  <c r="S56" i="2"/>
  <c r="AE56" i="2" s="1"/>
  <c r="AA56" i="2"/>
  <c r="Q56" i="2"/>
  <c r="P56" i="2" s="1"/>
  <c r="U56" i="2" s="1"/>
  <c r="AC9" i="7"/>
  <c r="AE15" i="7"/>
  <c r="AD15" i="7"/>
  <c r="Y15" i="7"/>
  <c r="Z15" i="7" s="1"/>
  <c r="R15" i="7"/>
  <c r="AC15" i="7" s="1"/>
  <c r="V15" i="7"/>
  <c r="D12" i="22"/>
  <c r="U9" i="7"/>
  <c r="U5" i="7"/>
  <c r="U13" i="7"/>
  <c r="G22" i="7"/>
  <c r="U12" i="7"/>
  <c r="G20" i="7"/>
  <c r="U6" i="7"/>
  <c r="AA105" i="2"/>
  <c r="AB105" i="2" s="1"/>
  <c r="S105" i="2"/>
  <c r="Q105" i="2"/>
  <c r="P105" i="2" s="1"/>
  <c r="U105" i="2" s="1"/>
  <c r="AF121" i="2"/>
  <c r="S121" i="2"/>
  <c r="AE121" i="2" s="1"/>
  <c r="Q121" i="2"/>
  <c r="P121" i="2" s="1"/>
  <c r="U121" i="2" s="1"/>
  <c r="AA121" i="2"/>
  <c r="AB121" i="2" s="1"/>
  <c r="W53" i="2"/>
  <c r="Q51" i="2"/>
  <c r="V51" i="2" s="1"/>
  <c r="Q104" i="2"/>
  <c r="P104" i="2" s="1"/>
  <c r="U104" i="2" s="1"/>
  <c r="S104" i="2"/>
  <c r="AF120" i="2"/>
  <c r="AA120" i="2"/>
  <c r="AB120" i="2" s="1"/>
  <c r="Q120" i="2"/>
  <c r="P120" i="2" s="1"/>
  <c r="U120" i="2" s="1"/>
  <c r="S120" i="2"/>
  <c r="AE120" i="2" s="1"/>
  <c r="AA104" i="2"/>
  <c r="AB104" i="2" s="1"/>
  <c r="W104" i="2"/>
  <c r="W12" i="2"/>
  <c r="W74" i="2"/>
  <c r="W122" i="2"/>
  <c r="W78" i="2"/>
  <c r="W57" i="2"/>
  <c r="W80" i="2"/>
  <c r="W13" i="2"/>
  <c r="W110" i="2"/>
  <c r="W45" i="2"/>
  <c r="W71" i="2"/>
  <c r="W73" i="2"/>
  <c r="AE4" i="7"/>
  <c r="AC6" i="7"/>
  <c r="J37" i="7"/>
  <c r="AF48" i="2"/>
  <c r="AF129" i="2"/>
  <c r="AF16" i="2"/>
  <c r="AF28" i="2"/>
  <c r="AF38" i="2"/>
  <c r="J47" i="7"/>
  <c r="AE11" i="7"/>
  <c r="AE8" i="7"/>
  <c r="AC3" i="7"/>
  <c r="AC12" i="7"/>
  <c r="AC14" i="7"/>
  <c r="C24" i="22"/>
  <c r="C84" i="22"/>
  <c r="AF70" i="2"/>
  <c r="AF11" i="2"/>
  <c r="Q64" i="2"/>
  <c r="P64" i="2" s="1"/>
  <c r="U64" i="2" s="1"/>
  <c r="AE7" i="7"/>
  <c r="AE10" i="7"/>
  <c r="AA63" i="2"/>
  <c r="AB63" i="2" s="1"/>
  <c r="AF85" i="2"/>
  <c r="Q60" i="2"/>
  <c r="P60" i="2" s="1"/>
  <c r="U60" i="2" s="1"/>
  <c r="S64" i="2"/>
  <c r="AC5" i="7"/>
  <c r="AF57" i="2"/>
  <c r="S51" i="2"/>
  <c r="J41" i="7"/>
  <c r="J45" i="7" s="1"/>
  <c r="AD14" i="8"/>
  <c r="AA51" i="2"/>
  <c r="AB51" i="2" s="1"/>
  <c r="AF69" i="2"/>
  <c r="AF124" i="2"/>
  <c r="AD16" i="8"/>
  <c r="AA52" i="2"/>
  <c r="AB52" i="2" s="1"/>
  <c r="AF108" i="2"/>
  <c r="AF19" i="2"/>
  <c r="AF23" i="2"/>
  <c r="AD12" i="7"/>
  <c r="AF4" i="2"/>
  <c r="AF6" i="2"/>
  <c r="AF8" i="2"/>
  <c r="AF116" i="2"/>
  <c r="AE5" i="7"/>
  <c r="AC13" i="7"/>
  <c r="AD11" i="8"/>
  <c r="C39" i="22"/>
  <c r="C43" i="22" s="1"/>
  <c r="C82" i="22"/>
  <c r="D82" i="22" s="1"/>
  <c r="C8" i="22"/>
  <c r="C51" i="22"/>
  <c r="C53" i="22"/>
  <c r="C10" i="22"/>
  <c r="C55" i="22"/>
  <c r="W63" i="2"/>
  <c r="AA134" i="2"/>
  <c r="AB134" i="2" s="1"/>
  <c r="AA59" i="2"/>
  <c r="AB59" i="2" s="1"/>
  <c r="Z40" i="2"/>
  <c r="W51" i="2"/>
  <c r="W134" i="2"/>
  <c r="W52" i="2"/>
  <c r="V3" i="7"/>
  <c r="V21" i="8"/>
  <c r="X21" i="8" s="1"/>
  <c r="V9" i="8"/>
  <c r="V4" i="8"/>
  <c r="AD6" i="8"/>
  <c r="AE23" i="8"/>
  <c r="J3" i="2"/>
  <c r="AF42" i="2"/>
  <c r="AF47" i="2"/>
  <c r="Q63" i="2"/>
  <c r="P63" i="2" s="1"/>
  <c r="U63" i="2" s="1"/>
  <c r="Q66" i="2"/>
  <c r="P66" i="2" s="1"/>
  <c r="U66" i="2" s="1"/>
  <c r="AF115" i="2"/>
  <c r="AD13" i="7"/>
  <c r="AD3" i="8"/>
  <c r="V18" i="8"/>
  <c r="AF20" i="2"/>
  <c r="AF32" i="2"/>
  <c r="Q61" i="2"/>
  <c r="V61" i="2" s="1"/>
  <c r="X61" i="2" s="1"/>
  <c r="S63" i="2"/>
  <c r="AF110" i="2"/>
  <c r="AF133" i="2"/>
  <c r="V15" i="8"/>
  <c r="AD17" i="8"/>
  <c r="AF53" i="2"/>
  <c r="AF134" i="2"/>
  <c r="AF39" i="2"/>
  <c r="AF49" i="2"/>
  <c r="Q52" i="2"/>
  <c r="AF71" i="2"/>
  <c r="AF117" i="2"/>
  <c r="AF128" i="2"/>
  <c r="Q134" i="2"/>
  <c r="V134" i="2" s="1"/>
  <c r="AD10" i="8"/>
  <c r="AF34" i="2"/>
  <c r="S52" i="2"/>
  <c r="AA64" i="2"/>
  <c r="AB64" i="2" s="1"/>
  <c r="Q67" i="2"/>
  <c r="P67" i="2" s="1"/>
  <c r="U67" i="2" s="1"/>
  <c r="AF107" i="2"/>
  <c r="AF123" i="2"/>
  <c r="S134" i="2"/>
  <c r="AE134" i="2" s="1"/>
  <c r="AD5" i="8"/>
  <c r="AE19" i="8"/>
  <c r="AF17" i="2"/>
  <c r="AE6" i="7"/>
  <c r="AE9" i="7"/>
  <c r="V12" i="8"/>
  <c r="AF36" i="2"/>
  <c r="AF41" i="2"/>
  <c r="AF65" i="2"/>
  <c r="AF109" i="2"/>
  <c r="AF114" i="2"/>
  <c r="AD7" i="8"/>
  <c r="C11" i="22"/>
  <c r="C65" i="22"/>
  <c r="C25" i="22"/>
  <c r="C23" i="22"/>
  <c r="C66" i="22"/>
  <c r="C69" i="22"/>
  <c r="D69" i="22" s="1"/>
  <c r="C67" i="22"/>
  <c r="C9" i="22"/>
  <c r="C13" i="22"/>
  <c r="F33" i="22"/>
  <c r="AE3" i="7"/>
  <c r="Q121" i="19"/>
  <c r="Z19" i="2"/>
  <c r="Z30" i="2"/>
  <c r="Z20" i="2"/>
  <c r="Z32" i="2"/>
  <c r="Q120" i="19"/>
  <c r="R120" i="19" s="1"/>
  <c r="P121" i="19" s="1"/>
  <c r="Z29" i="2"/>
  <c r="Z39" i="2"/>
  <c r="Z31" i="2"/>
  <c r="Z24" i="2"/>
  <c r="Z34" i="2"/>
  <c r="AD11" i="7"/>
  <c r="AD3" i="7"/>
  <c r="J15" i="8"/>
  <c r="Y15" i="8" s="1"/>
  <c r="Z15" i="8" s="1"/>
  <c r="J17" i="8"/>
  <c r="Y17" i="8" s="1"/>
  <c r="Z17" i="8" s="1"/>
  <c r="AE13" i="7"/>
  <c r="Q112" i="2"/>
  <c r="P112" i="2" s="1"/>
  <c r="U112" i="2" s="1"/>
  <c r="AE12" i="7"/>
  <c r="R4" i="7"/>
  <c r="AC4" i="7" s="1"/>
  <c r="P11" i="7"/>
  <c r="T11" i="7" s="1"/>
  <c r="P3" i="7"/>
  <c r="O3" i="7" s="1"/>
  <c r="T3" i="7" s="1"/>
  <c r="V4" i="7"/>
  <c r="V5" i="7"/>
  <c r="V12" i="7"/>
  <c r="V13" i="7"/>
  <c r="AD4" i="7"/>
  <c r="AD5" i="7"/>
  <c r="V11" i="7"/>
  <c r="Y10648" i="20"/>
  <c r="L138" i="21"/>
  <c r="R7" i="7"/>
  <c r="AC7" i="7" s="1"/>
  <c r="D138" i="21"/>
  <c r="V6" i="7"/>
  <c r="V8" i="7"/>
  <c r="V9" i="7"/>
  <c r="V10" i="7"/>
  <c r="P8" i="7"/>
  <c r="U8" i="7" s="1"/>
  <c r="H138" i="21"/>
  <c r="V7" i="7"/>
  <c r="AD8" i="7"/>
  <c r="AD10" i="7"/>
  <c r="AD6" i="7"/>
  <c r="AD7" i="7"/>
  <c r="AD9" i="7"/>
  <c r="R10" i="7"/>
  <c r="AC10" i="7" s="1"/>
  <c r="V10" i="8"/>
  <c r="AD15" i="8"/>
  <c r="S130" i="2"/>
  <c r="AE130" i="2" s="1"/>
  <c r="Q83" i="2"/>
  <c r="P83" i="2" s="1"/>
  <c r="U83" i="2" s="1"/>
  <c r="S95" i="2"/>
  <c r="Q72" i="2"/>
  <c r="P72" i="2" s="1"/>
  <c r="U72" i="2" s="1"/>
  <c r="S80" i="2"/>
  <c r="S8" i="2"/>
  <c r="AE8" i="2" s="1"/>
  <c r="S10" i="2"/>
  <c r="AE10" i="2" s="1"/>
  <c r="Q37" i="2"/>
  <c r="P37" i="2" s="1"/>
  <c r="U37" i="2" s="1"/>
  <c r="S106" i="2"/>
  <c r="AE106" i="2" s="1"/>
  <c r="AA82" i="2"/>
  <c r="AB82" i="2" s="1"/>
  <c r="Q82" i="2"/>
  <c r="P82" i="2" s="1"/>
  <c r="U82" i="2" s="1"/>
  <c r="P9" i="8"/>
  <c r="Q9" i="8" s="1"/>
  <c r="Q14" i="2"/>
  <c r="Q22" i="2"/>
  <c r="P22" i="2" s="1"/>
  <c r="U22" i="2" s="1"/>
  <c r="S27" i="2"/>
  <c r="AE27" i="2" s="1"/>
  <c r="AA46" i="2"/>
  <c r="AB46" i="2" s="1"/>
  <c r="Q98" i="2"/>
  <c r="P98" i="2" s="1"/>
  <c r="U98" i="2" s="1"/>
  <c r="S126" i="2"/>
  <c r="AE126" i="2" s="1"/>
  <c r="Q131" i="2"/>
  <c r="P131" i="2" s="1"/>
  <c r="U131" i="2" s="1"/>
  <c r="S122" i="2"/>
  <c r="AE122" i="2" s="1"/>
  <c r="Q117" i="2"/>
  <c r="P117" i="2" s="1"/>
  <c r="U117" i="2" s="1"/>
  <c r="S90" i="2"/>
  <c r="Y3" i="7"/>
  <c r="P4" i="8"/>
  <c r="O4" i="8" s="1"/>
  <c r="T4" i="8" s="1"/>
  <c r="Q6" i="2"/>
  <c r="P6" i="2" s="1"/>
  <c r="U6" i="2" s="1"/>
  <c r="S43" i="2"/>
  <c r="AE43" i="2" s="1"/>
  <c r="S94" i="2"/>
  <c r="Y11" i="8"/>
  <c r="Z11" i="8" s="1"/>
  <c r="S76" i="2"/>
  <c r="AA99" i="2"/>
  <c r="AB99" i="2" s="1"/>
  <c r="S110" i="2"/>
  <c r="AE110" i="2" s="1"/>
  <c r="AF130" i="2"/>
  <c r="Q28" i="2"/>
  <c r="P28" i="2" s="1"/>
  <c r="U28" i="2" s="1"/>
  <c r="Q20" i="2"/>
  <c r="P20" i="2" s="1"/>
  <c r="U20" i="2" s="1"/>
  <c r="Q25" i="2"/>
  <c r="P25" i="2" s="1"/>
  <c r="U25" i="2" s="1"/>
  <c r="S45" i="2"/>
  <c r="AE45" i="2" s="1"/>
  <c r="R8" i="8"/>
  <c r="AC8" i="8" s="1"/>
  <c r="AA9" i="2"/>
  <c r="AB9" i="2" s="1"/>
  <c r="AA21" i="2"/>
  <c r="AB21" i="2" s="1"/>
  <c r="S23" i="2"/>
  <c r="AE23" i="2" s="1"/>
  <c r="AA28" i="2"/>
  <c r="AB28" i="2" s="1"/>
  <c r="AF43" i="2"/>
  <c r="P10" i="7"/>
  <c r="U10" i="7" s="1"/>
  <c r="P17" i="8"/>
  <c r="O17" i="8" s="1"/>
  <c r="AA36" i="2"/>
  <c r="AB36" i="2" s="1"/>
  <c r="Q69" i="2"/>
  <c r="P69" i="2" s="1"/>
  <c r="U69" i="2" s="1"/>
  <c r="AD21" i="8"/>
  <c r="Q7" i="2"/>
  <c r="P7" i="2" s="1"/>
  <c r="U7" i="2" s="1"/>
  <c r="Q35" i="2"/>
  <c r="P35" i="2" s="1"/>
  <c r="U35" i="2" s="1"/>
  <c r="Q36" i="2"/>
  <c r="P36" i="2" s="1"/>
  <c r="U36" i="2" s="1"/>
  <c r="S118" i="2"/>
  <c r="AE118" i="2" s="1"/>
  <c r="P11" i="8"/>
  <c r="O11" i="8" s="1"/>
  <c r="T11" i="8" s="1"/>
  <c r="S46" i="2"/>
  <c r="AE46" i="2" s="1"/>
  <c r="S62" i="2"/>
  <c r="AE62" i="2" s="1"/>
  <c r="AA133" i="2"/>
  <c r="AB133" i="2" s="1"/>
  <c r="V17" i="8"/>
  <c r="Q3" i="2"/>
  <c r="P3" i="2" s="1"/>
  <c r="U3" i="2" s="1"/>
  <c r="AA19" i="2"/>
  <c r="AB19" i="2" s="1"/>
  <c r="AA44" i="2"/>
  <c r="AB44" i="2" s="1"/>
  <c r="Q133" i="2"/>
  <c r="P133" i="2" s="1"/>
  <c r="U133" i="2" s="1"/>
  <c r="R10" i="8"/>
  <c r="AC10" i="8" s="1"/>
  <c r="V11" i="8"/>
  <c r="S4" i="2"/>
  <c r="AE4" i="2" s="1"/>
  <c r="AF14" i="2"/>
  <c r="Q18" i="2"/>
  <c r="P18" i="2" s="1"/>
  <c r="U18" i="2" s="1"/>
  <c r="S32" i="2"/>
  <c r="AE32" i="2" s="1"/>
  <c r="S37" i="2"/>
  <c r="AE37" i="2" s="1"/>
  <c r="S65" i="2"/>
  <c r="AE65" i="2" s="1"/>
  <c r="P10" i="8"/>
  <c r="Q10" i="8" s="1"/>
  <c r="Q59" i="2"/>
  <c r="V59" i="2" s="1"/>
  <c r="X59" i="2" s="1"/>
  <c r="Q102" i="2"/>
  <c r="Q129" i="2"/>
  <c r="P129" i="2" s="1"/>
  <c r="U129" i="2" s="1"/>
  <c r="Q12" i="2"/>
  <c r="P12" i="2" s="1"/>
  <c r="U12" i="2" s="1"/>
  <c r="Q50" i="2"/>
  <c r="P50" i="2" s="1"/>
  <c r="U50" i="2" s="1"/>
  <c r="Q89" i="2"/>
  <c r="Q113" i="2"/>
  <c r="P113" i="2" s="1"/>
  <c r="U113" i="2" s="1"/>
  <c r="R20" i="8"/>
  <c r="AC20" i="8" s="1"/>
  <c r="S16" i="2"/>
  <c r="AE16" i="2" s="1"/>
  <c r="Q19" i="2"/>
  <c r="P19" i="2" s="1"/>
  <c r="U19" i="2" s="1"/>
  <c r="AA61" i="2"/>
  <c r="AB61" i="2" s="1"/>
  <c r="Q94" i="2"/>
  <c r="P94" i="2" s="1"/>
  <c r="U94" i="2" s="1"/>
  <c r="AA108" i="2"/>
  <c r="AB108" i="2" s="1"/>
  <c r="P3" i="8"/>
  <c r="Q3" i="8" s="1"/>
  <c r="AA45" i="2"/>
  <c r="AB45" i="2" s="1"/>
  <c r="AA111" i="2"/>
  <c r="AB111" i="2" s="1"/>
  <c r="AA16" i="2"/>
  <c r="AB16" i="2" s="1"/>
  <c r="S20" i="2"/>
  <c r="AE20" i="2" s="1"/>
  <c r="Q32" i="2"/>
  <c r="P32" i="2" s="1"/>
  <c r="U32" i="2" s="1"/>
  <c r="Q45" i="2"/>
  <c r="P45" i="2" s="1"/>
  <c r="U45" i="2" s="1"/>
  <c r="Q8" i="2"/>
  <c r="P8" i="2" s="1"/>
  <c r="U8" i="2" s="1"/>
  <c r="Q47" i="2"/>
  <c r="V47" i="2" s="1"/>
  <c r="X47" i="2" s="1"/>
  <c r="Q53" i="2"/>
  <c r="P53" i="2" s="1"/>
  <c r="U53" i="2" s="1"/>
  <c r="Q123" i="2"/>
  <c r="P123" i="2" s="1"/>
  <c r="U123" i="2" s="1"/>
  <c r="AA8" i="2"/>
  <c r="AB8" i="2" s="1"/>
  <c r="AA23" i="2"/>
  <c r="AB23" i="2" s="1"/>
  <c r="AA73" i="2"/>
  <c r="AB73" i="2" s="1"/>
  <c r="Q23" i="2"/>
  <c r="P23" i="2" s="1"/>
  <c r="U23" i="2" s="1"/>
  <c r="AA4" i="2"/>
  <c r="AB4" i="2" s="1"/>
  <c r="S91" i="2"/>
  <c r="AA94" i="2"/>
  <c r="AB94" i="2" s="1"/>
  <c r="S102" i="2"/>
  <c r="Q107" i="2"/>
  <c r="P107" i="2" s="1"/>
  <c r="U107" i="2" s="1"/>
  <c r="S123" i="2"/>
  <c r="AE123" i="2" s="1"/>
  <c r="AA129" i="2"/>
  <c r="AB129" i="2" s="1"/>
  <c r="R6" i="8"/>
  <c r="AC6" i="8" s="1"/>
  <c r="R16" i="8"/>
  <c r="AC16" i="8" s="1"/>
  <c r="Q11" i="2"/>
  <c r="P11" i="2" s="1"/>
  <c r="U11" i="2" s="1"/>
  <c r="S67" i="2"/>
  <c r="AA75" i="2"/>
  <c r="AB75" i="2" s="1"/>
  <c r="S107" i="2"/>
  <c r="AE107" i="2" s="1"/>
  <c r="S128" i="2"/>
  <c r="AE128" i="2" s="1"/>
  <c r="AD9" i="8"/>
  <c r="P16" i="8"/>
  <c r="O16" i="8" s="1"/>
  <c r="T16" i="8" s="1"/>
  <c r="AA13" i="2"/>
  <c r="AB13" i="2" s="1"/>
  <c r="AA7" i="2"/>
  <c r="AB7" i="2" s="1"/>
  <c r="AA11" i="2"/>
  <c r="S12" i="2"/>
  <c r="AE12" i="2" s="1"/>
  <c r="Q15" i="2"/>
  <c r="P15" i="2" s="1"/>
  <c r="U15" i="2" s="1"/>
  <c r="AA25" i="2"/>
  <c r="AB25" i="2" s="1"/>
  <c r="S112" i="2"/>
  <c r="AE112" i="2" s="1"/>
  <c r="Y4" i="7"/>
  <c r="AA6" i="2"/>
  <c r="AB6" i="2" s="1"/>
  <c r="S14" i="2"/>
  <c r="AE14" i="2" s="1"/>
  <c r="S21" i="2"/>
  <c r="AE21" i="2" s="1"/>
  <c r="Q34" i="2"/>
  <c r="P34" i="2" s="1"/>
  <c r="U34" i="2" s="1"/>
  <c r="AA37" i="2"/>
  <c r="AB37" i="2" s="1"/>
  <c r="Q43" i="2"/>
  <c r="P43" i="2" s="1"/>
  <c r="U43" i="2" s="1"/>
  <c r="AA60" i="2"/>
  <c r="AB60" i="2" s="1"/>
  <c r="S71" i="2"/>
  <c r="AE71" i="2" s="1"/>
  <c r="AA77" i="2"/>
  <c r="AB77" i="2" s="1"/>
  <c r="S82" i="2"/>
  <c r="Q90" i="2"/>
  <c r="P90" i="2" s="1"/>
  <c r="U90" i="2" s="1"/>
  <c r="Q95" i="2"/>
  <c r="P95" i="2" s="1"/>
  <c r="U95" i="2" s="1"/>
  <c r="S117" i="2"/>
  <c r="AE117" i="2" s="1"/>
  <c r="V16" i="8"/>
  <c r="AA70" i="2"/>
  <c r="AB70" i="2" s="1"/>
  <c r="AA27" i="2"/>
  <c r="AB27" i="2" s="1"/>
  <c r="AA49" i="2"/>
  <c r="AB49" i="2" s="1"/>
  <c r="AA67" i="2"/>
  <c r="AB67" i="2" s="1"/>
  <c r="Q76" i="2"/>
  <c r="P76" i="2" s="1"/>
  <c r="U76" i="2" s="1"/>
  <c r="S83" i="2"/>
  <c r="AA96" i="2"/>
  <c r="AB96" i="2" s="1"/>
  <c r="S98" i="2"/>
  <c r="R4" i="8"/>
  <c r="AC4" i="8" s="1"/>
  <c r="P15" i="8"/>
  <c r="S3" i="2"/>
  <c r="AE3" i="2" s="1"/>
  <c r="Q10" i="2"/>
  <c r="P10" i="2" s="1"/>
  <c r="U10" i="2" s="1"/>
  <c r="Q13" i="2"/>
  <c r="P13" i="2" s="1"/>
  <c r="U13" i="2" s="1"/>
  <c r="S26" i="2"/>
  <c r="AE26" i="2" s="1"/>
  <c r="S29" i="2"/>
  <c r="AE29" i="2" s="1"/>
  <c r="AA30" i="2"/>
  <c r="AB30" i="2" s="1"/>
  <c r="AA54" i="2"/>
  <c r="AB54" i="2" s="1"/>
  <c r="S61" i="2"/>
  <c r="AA71" i="2"/>
  <c r="AB71" i="2" s="1"/>
  <c r="Q73" i="2"/>
  <c r="P73" i="2" s="1"/>
  <c r="U73" i="2" s="1"/>
  <c r="S116" i="2"/>
  <c r="AE116" i="2" s="1"/>
  <c r="AA117" i="2"/>
  <c r="AB117" i="2" s="1"/>
  <c r="AF122" i="2"/>
  <c r="R11" i="8"/>
  <c r="AC11" i="8" s="1"/>
  <c r="P14" i="8"/>
  <c r="U14" i="8" s="1"/>
  <c r="AA76" i="2"/>
  <c r="AB76" i="2" s="1"/>
  <c r="AA18" i="2"/>
  <c r="AB18" i="2" s="1"/>
  <c r="AA102" i="2"/>
  <c r="AB102" i="2" s="1"/>
  <c r="AF46" i="2"/>
  <c r="AF50" i="2"/>
  <c r="AA81" i="2"/>
  <c r="AB81" i="2" s="1"/>
  <c r="V20" i="8"/>
  <c r="X20" i="8" s="1"/>
  <c r="AA17" i="2"/>
  <c r="AB17" i="2" s="1"/>
  <c r="S30" i="2"/>
  <c r="AE30" i="2" s="1"/>
  <c r="AA93" i="2"/>
  <c r="AB93" i="2" s="1"/>
  <c r="AA95" i="2"/>
  <c r="AB95" i="2" s="1"/>
  <c r="AA118" i="2"/>
  <c r="AB118" i="2" s="1"/>
  <c r="AA122" i="2"/>
  <c r="AB122" i="2" s="1"/>
  <c r="AF131" i="2"/>
  <c r="AD20" i="8"/>
  <c r="AA57" i="2"/>
  <c r="AB57" i="2" s="1"/>
  <c r="AA3" i="2"/>
  <c r="AB3" i="2" s="1"/>
  <c r="S15" i="2"/>
  <c r="AE15" i="2" s="1"/>
  <c r="AF21" i="2"/>
  <c r="AA24" i="2"/>
  <c r="AB24" i="2" s="1"/>
  <c r="AF25" i="2"/>
  <c r="AA31" i="2"/>
  <c r="S60" i="2"/>
  <c r="AA91" i="2"/>
  <c r="AB91" i="2" s="1"/>
  <c r="S101" i="2"/>
  <c r="S132" i="2"/>
  <c r="AE132" i="2" s="1"/>
  <c r="R11" i="7"/>
  <c r="AC11" i="7" s="1"/>
  <c r="R17" i="8"/>
  <c r="AC17" i="8" s="1"/>
  <c r="AE20" i="8"/>
  <c r="AA47" i="2"/>
  <c r="AB47" i="2" s="1"/>
  <c r="AA100" i="2"/>
  <c r="AB100" i="2" s="1"/>
  <c r="Y13" i="8"/>
  <c r="Z13" i="8" s="1"/>
  <c r="AE21" i="8"/>
  <c r="S66" i="2"/>
  <c r="S84" i="2"/>
  <c r="AA106" i="2"/>
  <c r="AB106" i="2" s="1"/>
  <c r="Q16" i="2"/>
  <c r="P16" i="2" s="1"/>
  <c r="U16" i="2" s="1"/>
  <c r="S34" i="2"/>
  <c r="AE34" i="2" s="1"/>
  <c r="S47" i="2"/>
  <c r="AE47" i="2" s="1"/>
  <c r="S73" i="2"/>
  <c r="AE73" i="2" s="1"/>
  <c r="AA86" i="2"/>
  <c r="AB86" i="2" s="1"/>
  <c r="AA87" i="2"/>
  <c r="AB87" i="2" s="1"/>
  <c r="S131" i="2"/>
  <c r="AE131" i="2" s="1"/>
  <c r="AA132" i="2"/>
  <c r="S133" i="2"/>
  <c r="AE133" i="2" s="1"/>
  <c r="Y8" i="7"/>
  <c r="Z8" i="7" s="1"/>
  <c r="P21" i="8"/>
  <c r="AF3" i="2"/>
  <c r="S5" i="2"/>
  <c r="AE5" i="2" s="1"/>
  <c r="AA10" i="2"/>
  <c r="AB10" i="2" s="1"/>
  <c r="AA22" i="2"/>
  <c r="AB22" i="2" s="1"/>
  <c r="AA26" i="2"/>
  <c r="AB26" i="2" s="1"/>
  <c r="AA38" i="2"/>
  <c r="AB38" i="2" s="1"/>
  <c r="Q80" i="2"/>
  <c r="P80" i="2" s="1"/>
  <c r="U80" i="2" s="1"/>
  <c r="AA84" i="2"/>
  <c r="AB84" i="2" s="1"/>
  <c r="Q93" i="2"/>
  <c r="P93" i="2" s="1"/>
  <c r="U93" i="2" s="1"/>
  <c r="AA123" i="2"/>
  <c r="AB123" i="2" s="1"/>
  <c r="AA128" i="2"/>
  <c r="AB128" i="2" s="1"/>
  <c r="P7" i="7"/>
  <c r="U7" i="7" s="1"/>
  <c r="Y23" i="8"/>
  <c r="Z23" i="8" s="1"/>
  <c r="AA97" i="2"/>
  <c r="AB97" i="2" s="1"/>
  <c r="S6" i="2"/>
  <c r="AE6" i="2" s="1"/>
  <c r="S11" i="2"/>
  <c r="AE11" i="2" s="1"/>
  <c r="Q26" i="2"/>
  <c r="P26" i="2" s="1"/>
  <c r="U26" i="2" s="1"/>
  <c r="Q40" i="2"/>
  <c r="P40" i="2" s="1"/>
  <c r="U40" i="2" s="1"/>
  <c r="AA66" i="2"/>
  <c r="AB66" i="2" s="1"/>
  <c r="S93" i="2"/>
  <c r="Q110" i="2"/>
  <c r="P110" i="2" s="1"/>
  <c r="U110" i="2" s="1"/>
  <c r="Q127" i="2"/>
  <c r="P127" i="2" s="1"/>
  <c r="U127" i="2" s="1"/>
  <c r="AA131" i="2"/>
  <c r="AB131" i="2" s="1"/>
  <c r="AD4" i="8"/>
  <c r="V14" i="8"/>
  <c r="P20" i="8"/>
  <c r="AA29" i="2"/>
  <c r="AA33" i="2"/>
  <c r="AB33" i="2" s="1"/>
  <c r="Q71" i="2"/>
  <c r="Y21" i="8"/>
  <c r="Z21" i="8" s="1"/>
  <c r="AA41" i="2"/>
  <c r="AB41" i="2" s="1"/>
  <c r="AA42" i="2"/>
  <c r="AB42" i="2" s="1"/>
  <c r="AA92" i="2"/>
  <c r="AB92" i="2" s="1"/>
  <c r="AA107" i="2"/>
  <c r="AB107" i="2" s="1"/>
  <c r="AA115" i="2"/>
  <c r="AB115" i="2" s="1"/>
  <c r="V7" i="8"/>
  <c r="R21" i="8"/>
  <c r="AC21" i="8" s="1"/>
  <c r="S38" i="2"/>
  <c r="AE38" i="2" s="1"/>
  <c r="AA5" i="2"/>
  <c r="AB5" i="2" s="1"/>
  <c r="S24" i="2"/>
  <c r="AE24" i="2" s="1"/>
  <c r="Q21" i="2"/>
  <c r="P21" i="2" s="1"/>
  <c r="U21" i="2" s="1"/>
  <c r="S25" i="2"/>
  <c r="AE25" i="2" s="1"/>
  <c r="Q27" i="2"/>
  <c r="P27" i="2" s="1"/>
  <c r="U27" i="2" s="1"/>
  <c r="AA35" i="2"/>
  <c r="AB35" i="2" s="1"/>
  <c r="S57" i="2"/>
  <c r="AE57" i="2" s="1"/>
  <c r="S89" i="2"/>
  <c r="S108" i="2"/>
  <c r="AE108" i="2" s="1"/>
  <c r="Q122" i="2"/>
  <c r="P122" i="2" s="1"/>
  <c r="U122" i="2" s="1"/>
  <c r="AA130" i="2"/>
  <c r="AB130" i="2" s="1"/>
  <c r="Y6" i="8"/>
  <c r="Z6" i="8" s="1"/>
  <c r="P13" i="8"/>
  <c r="O13" i="8" s="1"/>
  <c r="T13" i="8" s="1"/>
  <c r="Y19" i="8"/>
  <c r="Z19" i="8" s="1"/>
  <c r="AA48" i="2"/>
  <c r="AB48" i="2" s="1"/>
  <c r="AA85" i="2"/>
  <c r="AB85" i="2" s="1"/>
  <c r="AA53" i="2"/>
  <c r="AB53" i="2" s="1"/>
  <c r="AA39" i="2"/>
  <c r="AB39" i="2" s="1"/>
  <c r="AA43" i="2"/>
  <c r="AB43" i="2" s="1"/>
  <c r="AA34" i="2"/>
  <c r="AB34" i="2" s="1"/>
  <c r="AA15" i="2"/>
  <c r="AA50" i="2"/>
  <c r="AB50" i="2" s="1"/>
  <c r="AA83" i="2"/>
  <c r="AB83" i="2" s="1"/>
  <c r="AA126" i="2"/>
  <c r="AB126" i="2" s="1"/>
  <c r="Y3" i="8"/>
  <c r="Z3" i="8" s="1"/>
  <c r="R3" i="8"/>
  <c r="AC3" i="8" s="1"/>
  <c r="Q33" i="2"/>
  <c r="Q4" i="2"/>
  <c r="P4" i="2" s="1"/>
  <c r="U4" i="2" s="1"/>
  <c r="AF5" i="2"/>
  <c r="AF13" i="2"/>
  <c r="Q17" i="2"/>
  <c r="P17" i="2" s="1"/>
  <c r="U17" i="2" s="1"/>
  <c r="AF33" i="2"/>
  <c r="S39" i="2"/>
  <c r="AE39" i="2" s="1"/>
  <c r="Q39" i="2"/>
  <c r="P39" i="2" s="1"/>
  <c r="U39" i="2" s="1"/>
  <c r="Q79" i="2"/>
  <c r="Q86" i="2"/>
  <c r="P86" i="2" s="1"/>
  <c r="U86" i="2" s="1"/>
  <c r="Q88" i="2"/>
  <c r="P88" i="2" s="1"/>
  <c r="U88" i="2" s="1"/>
  <c r="S88" i="2"/>
  <c r="Y12" i="8"/>
  <c r="Z12" i="8" s="1"/>
  <c r="R12" i="8"/>
  <c r="AC12" i="8" s="1"/>
  <c r="Q38" i="2"/>
  <c r="P38" i="2" s="1"/>
  <c r="U38" i="2" s="1"/>
  <c r="AF40" i="2"/>
  <c r="S54" i="2"/>
  <c r="AE54" i="2" s="1"/>
  <c r="Q54" i="2"/>
  <c r="P54" i="2" s="1"/>
  <c r="U54" i="2" s="1"/>
  <c r="AF54" i="2"/>
  <c r="AF55" i="2"/>
  <c r="Q58" i="2"/>
  <c r="AA58" i="2"/>
  <c r="AB58" i="2" s="1"/>
  <c r="Q65" i="2"/>
  <c r="AA65" i="2"/>
  <c r="AB65" i="2" s="1"/>
  <c r="AA69" i="2"/>
  <c r="AB69" i="2" s="1"/>
  <c r="S124" i="2"/>
  <c r="AE124" i="2" s="1"/>
  <c r="Q124" i="2"/>
  <c r="P124" i="2" s="1"/>
  <c r="U124" i="2" s="1"/>
  <c r="Q5" i="2"/>
  <c r="P5" i="2" s="1"/>
  <c r="U5" i="2" s="1"/>
  <c r="Q9" i="2"/>
  <c r="S13" i="2"/>
  <c r="AE13" i="2" s="1"/>
  <c r="AF18" i="2"/>
  <c r="AA20" i="2"/>
  <c r="AB20" i="2" s="1"/>
  <c r="AF26" i="2"/>
  <c r="AF30" i="2"/>
  <c r="S36" i="2"/>
  <c r="AE36" i="2" s="1"/>
  <c r="Q31" i="2"/>
  <c r="AF31" i="2"/>
  <c r="S42" i="2"/>
  <c r="AE42" i="2" s="1"/>
  <c r="Q42" i="2"/>
  <c r="P42" i="2" s="1"/>
  <c r="U42" i="2" s="1"/>
  <c r="S58" i="2"/>
  <c r="AA74" i="2"/>
  <c r="AB74" i="2" s="1"/>
  <c r="S77" i="2"/>
  <c r="Q77" i="2"/>
  <c r="P77" i="2" s="1"/>
  <c r="U77" i="2" s="1"/>
  <c r="Q84" i="2"/>
  <c r="P84" i="2" s="1"/>
  <c r="U84" i="2" s="1"/>
  <c r="Q87" i="2"/>
  <c r="P87" i="2" s="1"/>
  <c r="U87" i="2" s="1"/>
  <c r="AA98" i="2"/>
  <c r="AB98" i="2" s="1"/>
  <c r="AA125" i="2"/>
  <c r="AB125" i="2" s="1"/>
  <c r="S114" i="2"/>
  <c r="AE114" i="2" s="1"/>
  <c r="Q114" i="2"/>
  <c r="P114" i="2" s="1"/>
  <c r="U114" i="2" s="1"/>
  <c r="AF22" i="2"/>
  <c r="AF27" i="2"/>
  <c r="S33" i="2"/>
  <c r="AE33" i="2" s="1"/>
  <c r="S35" i="2"/>
  <c r="AE35" i="2" s="1"/>
  <c r="AF35" i="2"/>
  <c r="S41" i="2"/>
  <c r="AE41" i="2" s="1"/>
  <c r="Q41" i="2"/>
  <c r="S44" i="2"/>
  <c r="AE44" i="2" s="1"/>
  <c r="Q44" i="2"/>
  <c r="P44" i="2" s="1"/>
  <c r="U44" i="2" s="1"/>
  <c r="AF44" i="2"/>
  <c r="S49" i="2"/>
  <c r="AE49" i="2" s="1"/>
  <c r="Q49" i="2"/>
  <c r="AA68" i="2"/>
  <c r="AB68" i="2" s="1"/>
  <c r="S68" i="2"/>
  <c r="AA88" i="2"/>
  <c r="AB88" i="2" s="1"/>
  <c r="AF9" i="2"/>
  <c r="AF12" i="2"/>
  <c r="AA14" i="2"/>
  <c r="AB14" i="2" s="1"/>
  <c r="S19" i="2"/>
  <c r="AE19" i="2" s="1"/>
  <c r="S28" i="2"/>
  <c r="AE28" i="2" s="1"/>
  <c r="Q30" i="2"/>
  <c r="P30" i="2" s="1"/>
  <c r="U30" i="2" s="1"/>
  <c r="AA40" i="2"/>
  <c r="AB40" i="2" s="1"/>
  <c r="AF45" i="2"/>
  <c r="Q68" i="2"/>
  <c r="S79" i="2"/>
  <c r="AF86" i="2"/>
  <c r="S86" i="2"/>
  <c r="AE86" i="2" s="1"/>
  <c r="Y12" i="7"/>
  <c r="Z12" i="7" s="1"/>
  <c r="R5" i="8"/>
  <c r="AC5" i="8" s="1"/>
  <c r="P5" i="8"/>
  <c r="S7" i="2"/>
  <c r="AE7" i="2" s="1"/>
  <c r="AF10" i="2"/>
  <c r="AF15" i="2"/>
  <c r="S17" i="2"/>
  <c r="AE17" i="2" s="1"/>
  <c r="AA32" i="2"/>
  <c r="AB32" i="2" s="1"/>
  <c r="S40" i="2"/>
  <c r="AE40" i="2" s="1"/>
  <c r="S48" i="2"/>
  <c r="AE48" i="2" s="1"/>
  <c r="Q48" i="2"/>
  <c r="P48" i="2" s="1"/>
  <c r="U48" i="2" s="1"/>
  <c r="AA55" i="2"/>
  <c r="AB55" i="2" s="1"/>
  <c r="Q62" i="2"/>
  <c r="AF62" i="2"/>
  <c r="AA62" i="2"/>
  <c r="AB62" i="2" s="1"/>
  <c r="AA72" i="2"/>
  <c r="AB72" i="2" s="1"/>
  <c r="S74" i="2"/>
  <c r="AE74" i="2" s="1"/>
  <c r="AF74" i="2"/>
  <c r="Q74" i="2"/>
  <c r="P74" i="2" s="1"/>
  <c r="U74" i="2" s="1"/>
  <c r="S75" i="2"/>
  <c r="Q75" i="2"/>
  <c r="P75" i="2" s="1"/>
  <c r="U75" i="2" s="1"/>
  <c r="Q97" i="2"/>
  <c r="AA112" i="2"/>
  <c r="AB112" i="2" s="1"/>
  <c r="AF126" i="2"/>
  <c r="Q126" i="2"/>
  <c r="P126" i="2" s="1"/>
  <c r="U126" i="2" s="1"/>
  <c r="Y5" i="7"/>
  <c r="Z5" i="7" s="1"/>
  <c r="Y14" i="8"/>
  <c r="Z14" i="8" s="1"/>
  <c r="AF37" i="2"/>
  <c r="S70" i="2"/>
  <c r="AE70" i="2" s="1"/>
  <c r="Q70" i="2"/>
  <c r="S97" i="2"/>
  <c r="Y6" i="7"/>
  <c r="Z6" i="7" s="1"/>
  <c r="R14" i="8"/>
  <c r="AC14" i="8" s="1"/>
  <c r="Y22" i="8"/>
  <c r="Z22" i="8" s="1"/>
  <c r="AA12" i="2"/>
  <c r="Q24" i="2"/>
  <c r="P24" i="2" s="1"/>
  <c r="U24" i="2" s="1"/>
  <c r="AF24" i="2"/>
  <c r="Q29" i="2"/>
  <c r="P29" i="2" s="1"/>
  <c r="U29" i="2" s="1"/>
  <c r="AF29" i="2"/>
  <c r="Q55" i="2"/>
  <c r="P55" i="2" s="1"/>
  <c r="S59" i="2"/>
  <c r="S87" i="2"/>
  <c r="Q99" i="2"/>
  <c r="P99" i="2" s="1"/>
  <c r="U99" i="2" s="1"/>
  <c r="S99" i="2"/>
  <c r="Y5" i="8"/>
  <c r="Z5" i="8" s="1"/>
  <c r="AF7" i="2"/>
  <c r="S9" i="2"/>
  <c r="AE9" i="2" s="1"/>
  <c r="S18" i="2"/>
  <c r="AE18" i="2" s="1"/>
  <c r="S22" i="2"/>
  <c r="AE22" i="2" s="1"/>
  <c r="S31" i="2"/>
  <c r="AE31" i="2" s="1"/>
  <c r="Q46" i="2"/>
  <c r="P46" i="2" s="1"/>
  <c r="U46" i="2" s="1"/>
  <c r="S55" i="2"/>
  <c r="AE55" i="2" s="1"/>
  <c r="S69" i="2"/>
  <c r="AE69" i="2" s="1"/>
  <c r="AA79" i="2"/>
  <c r="AB79" i="2" s="1"/>
  <c r="AA80" i="2"/>
  <c r="AB80" i="2" s="1"/>
  <c r="AA90" i="2"/>
  <c r="AB90" i="2" s="1"/>
  <c r="Q101" i="2"/>
  <c r="P101" i="2" s="1"/>
  <c r="U101" i="2" s="1"/>
  <c r="AA113" i="2"/>
  <c r="AB113" i="2" s="1"/>
  <c r="AA116" i="2"/>
  <c r="AB116" i="2" s="1"/>
  <c r="G21" i="7"/>
  <c r="Q106" i="2"/>
  <c r="P106" i="2" s="1"/>
  <c r="U106" i="2" s="1"/>
  <c r="AF106" i="2"/>
  <c r="S115" i="2"/>
  <c r="AE115" i="2" s="1"/>
  <c r="Q115" i="2"/>
  <c r="P115" i="2" s="1"/>
  <c r="U115" i="2" s="1"/>
  <c r="V6" i="8"/>
  <c r="P6" i="8"/>
  <c r="U6" i="8" s="1"/>
  <c r="Q125" i="2"/>
  <c r="P125" i="2" s="1"/>
  <c r="U125" i="2" s="1"/>
  <c r="AF125" i="2"/>
  <c r="S125" i="2"/>
  <c r="AE125" i="2" s="1"/>
  <c r="G19" i="7"/>
  <c r="AD8" i="8"/>
  <c r="P8" i="8"/>
  <c r="U8" i="8" s="1"/>
  <c r="Y8" i="8"/>
  <c r="Z8" i="8" s="1"/>
  <c r="AA101" i="2"/>
  <c r="AB101" i="2" s="1"/>
  <c r="Q103" i="2"/>
  <c r="P103" i="2" s="1"/>
  <c r="G108" i="2"/>
  <c r="Q109" i="2"/>
  <c r="S50" i="2"/>
  <c r="AE50" i="2" s="1"/>
  <c r="S53" i="2"/>
  <c r="AE53" i="2" s="1"/>
  <c r="Q78" i="2"/>
  <c r="S81" i="2"/>
  <c r="Q81" i="2"/>
  <c r="Q100" i="2"/>
  <c r="S100" i="2"/>
  <c r="AA124" i="2"/>
  <c r="AB124" i="2" s="1"/>
  <c r="Q128" i="2"/>
  <c r="P128" i="2" s="1"/>
  <c r="U128" i="2" s="1"/>
  <c r="R8" i="7"/>
  <c r="AC8" i="7" s="1"/>
  <c r="Y13" i="7"/>
  <c r="Z13" i="7" s="1"/>
  <c r="Y7" i="8"/>
  <c r="Z7" i="8" s="1"/>
  <c r="R9" i="8"/>
  <c r="AC9" i="8" s="1"/>
  <c r="R15" i="8"/>
  <c r="AC15" i="8" s="1"/>
  <c r="S72" i="2"/>
  <c r="AE72" i="2" s="1"/>
  <c r="AF72" i="2"/>
  <c r="Q96" i="2"/>
  <c r="S96" i="2"/>
  <c r="Q111" i="2"/>
  <c r="AF111" i="2"/>
  <c r="S111" i="2"/>
  <c r="AE111" i="2" s="1"/>
  <c r="AF112" i="2"/>
  <c r="AA78" i="2"/>
  <c r="AB78" i="2" s="1"/>
  <c r="AA103" i="2"/>
  <c r="AB103" i="2" s="1"/>
  <c r="AA109" i="2"/>
  <c r="AB109" i="2" s="1"/>
  <c r="S113" i="2"/>
  <c r="AE113" i="2" s="1"/>
  <c r="AF113" i="2"/>
  <c r="V8" i="8"/>
  <c r="Y16" i="8"/>
  <c r="Z16" i="8" s="1"/>
  <c r="P18" i="8"/>
  <c r="R18" i="8"/>
  <c r="AC18" i="8" s="1"/>
  <c r="Q57" i="2"/>
  <c r="P57" i="2" s="1"/>
  <c r="U57" i="2" s="1"/>
  <c r="S78" i="2"/>
  <c r="S85" i="2"/>
  <c r="AE85" i="2" s="1"/>
  <c r="Q85" i="2"/>
  <c r="P85" i="2" s="1"/>
  <c r="U85" i="2" s="1"/>
  <c r="Q92" i="2"/>
  <c r="S92" i="2"/>
  <c r="Q108" i="2"/>
  <c r="P108" i="2" s="1"/>
  <c r="U108" i="2" s="1"/>
  <c r="S109" i="2"/>
  <c r="AE109" i="2" s="1"/>
  <c r="Q116" i="2"/>
  <c r="P116" i="2" s="1"/>
  <c r="U116" i="2" s="1"/>
  <c r="Q130" i="2"/>
  <c r="P130" i="2" s="1"/>
  <c r="U130" i="2" s="1"/>
  <c r="Y10" i="7"/>
  <c r="Y10" i="8"/>
  <c r="Z10" i="8" s="1"/>
  <c r="AF73" i="2"/>
  <c r="AA89" i="2"/>
  <c r="AB89" i="2" s="1"/>
  <c r="Q91" i="2"/>
  <c r="P91" i="2" s="1"/>
  <c r="U91" i="2" s="1"/>
  <c r="S103" i="2"/>
  <c r="AA110" i="2"/>
  <c r="AB110" i="2" s="1"/>
  <c r="S127" i="2"/>
  <c r="AE127" i="2" s="1"/>
  <c r="AF127" i="2"/>
  <c r="AA127" i="2"/>
  <c r="AB127" i="2" s="1"/>
  <c r="S129" i="2"/>
  <c r="AE129" i="2" s="1"/>
  <c r="Y7" i="7"/>
  <c r="Y9" i="8"/>
  <c r="Z9" i="8" s="1"/>
  <c r="P12" i="8"/>
  <c r="AD12" i="8"/>
  <c r="R13" i="8"/>
  <c r="AC13" i="8" s="1"/>
  <c r="AD13" i="8"/>
  <c r="V13" i="8"/>
  <c r="Y18" i="8"/>
  <c r="Z18" i="8" s="1"/>
  <c r="Y20" i="8"/>
  <c r="Z20" i="8" s="1"/>
  <c r="AE22" i="8"/>
  <c r="R22" i="8"/>
  <c r="AC22" i="8" s="1"/>
  <c r="AD22" i="8"/>
  <c r="P22" i="8"/>
  <c r="V22" i="8"/>
  <c r="X22" i="8" s="1"/>
  <c r="Y4" i="8"/>
  <c r="Z4" i="8" s="1"/>
  <c r="R7" i="8"/>
  <c r="AC7" i="8" s="1"/>
  <c r="V23" i="8"/>
  <c r="X23" i="8" s="1"/>
  <c r="Y11" i="7"/>
  <c r="Z11" i="7" s="1"/>
  <c r="AF118" i="2"/>
  <c r="AF132" i="2"/>
  <c r="P19" i="8"/>
  <c r="AD19" i="8"/>
  <c r="P23" i="8"/>
  <c r="AD23" i="8"/>
  <c r="AA114" i="2"/>
  <c r="AB114" i="2" s="1"/>
  <c r="V5" i="8"/>
  <c r="R19" i="8"/>
  <c r="AC19" i="8" s="1"/>
  <c r="R23" i="8"/>
  <c r="AC23" i="8" s="1"/>
  <c r="Q118" i="2"/>
  <c r="Q132" i="2"/>
  <c r="P132" i="2" s="1"/>
  <c r="U132" i="2" s="1"/>
  <c r="P4" i="7"/>
  <c r="T4" i="7" s="1"/>
  <c r="P7" i="8"/>
  <c r="X138" i="21"/>
  <c r="Z17" i="2"/>
  <c r="Z27" i="2"/>
  <c r="Z36" i="2"/>
  <c r="Z38" i="2"/>
  <c r="X10676" i="20"/>
  <c r="Z21" i="2"/>
  <c r="Z26" i="2"/>
  <c r="Z33" i="2"/>
  <c r="Z35" i="2"/>
  <c r="H55" i="2"/>
  <c r="Z23" i="2"/>
  <c r="Z37" i="2"/>
  <c r="B14" i="7"/>
  <c r="C14" i="7" s="1"/>
  <c r="Z18" i="2"/>
  <c r="Z28" i="2"/>
  <c r="Z25" i="2"/>
  <c r="O10676" i="20"/>
  <c r="M10676" i="20" s="1"/>
  <c r="T138" i="21"/>
  <c r="Z22" i="2"/>
  <c r="W10676" i="20"/>
  <c r="E18" i="22"/>
  <c r="E61" i="22"/>
  <c r="E89" i="22"/>
  <c r="E75" i="22"/>
  <c r="F47" i="22"/>
  <c r="N119" i="2"/>
  <c r="O119" i="2" s="1"/>
  <c r="M119" i="2"/>
  <c r="T119" i="2"/>
  <c r="L119" i="2"/>
  <c r="K119" i="2"/>
  <c r="I119" i="2"/>
  <c r="O10039" i="20"/>
  <c r="M10039" i="20" s="1"/>
  <c r="Q122" i="19"/>
  <c r="E120" i="19"/>
  <c r="F120" i="19" s="1"/>
  <c r="D121" i="19" s="1"/>
  <c r="U120" i="19"/>
  <c r="V120" i="19" s="1"/>
  <c r="T121" i="19" s="1"/>
  <c r="P138" i="21"/>
  <c r="W10039" i="20"/>
  <c r="X10039" i="20"/>
  <c r="Y10039" i="20"/>
  <c r="I121" i="19"/>
  <c r="O10648" i="20"/>
  <c r="O10697" i="20"/>
  <c r="Y120" i="19"/>
  <c r="Z120" i="19" s="1"/>
  <c r="X121" i="19" s="1"/>
  <c r="W10648" i="20"/>
  <c r="W10697" i="20"/>
  <c r="Y121" i="19"/>
  <c r="E122" i="19"/>
  <c r="I122" i="19"/>
  <c r="O10038" i="20"/>
  <c r="M10038" i="20" s="1"/>
  <c r="X10648" i="20"/>
  <c r="X10697" i="20"/>
  <c r="Y122" i="19"/>
  <c r="M120" i="19"/>
  <c r="N120" i="19" s="1"/>
  <c r="L121" i="19" s="1"/>
  <c r="W10038" i="20"/>
  <c r="Y10697" i="20"/>
  <c r="E121" i="19"/>
  <c r="U121" i="19"/>
  <c r="X10038" i="20"/>
  <c r="M121" i="19"/>
  <c r="U122" i="19"/>
  <c r="I120" i="19"/>
  <c r="J120" i="19" s="1"/>
  <c r="H121" i="19" s="1"/>
  <c r="M122" i="19"/>
  <c r="U141" i="19"/>
  <c r="V141" i="19" s="1"/>
  <c r="P92" i="2" l="1"/>
  <c r="U92" i="2" s="1"/>
  <c r="L6" i="5"/>
  <c r="L5" i="5"/>
  <c r="L3" i="5"/>
  <c r="L4" i="5"/>
  <c r="U16" i="7"/>
  <c r="W16" i="7" s="1"/>
  <c r="U15" i="7"/>
  <c r="W15" i="7" s="1"/>
  <c r="O15" i="7"/>
  <c r="T15" i="7" s="1"/>
  <c r="X16" i="7"/>
  <c r="U23" i="8"/>
  <c r="W23" i="8" s="1"/>
  <c r="O23" i="8"/>
  <c r="T23" i="8" s="1"/>
  <c r="U19" i="8"/>
  <c r="W19" i="8" s="1"/>
  <c r="O19" i="8"/>
  <c r="T19" i="8" s="1"/>
  <c r="U22" i="8"/>
  <c r="W22" i="8" s="1"/>
  <c r="O22" i="8"/>
  <c r="T22" i="8" s="1"/>
  <c r="U21" i="8"/>
  <c r="W21" i="8" s="1"/>
  <c r="O21" i="8"/>
  <c r="T21" i="8" s="1"/>
  <c r="U20" i="8"/>
  <c r="W20" i="8" s="1"/>
  <c r="O20" i="8"/>
  <c r="T20" i="8" s="1"/>
  <c r="V56" i="2"/>
  <c r="X56" i="2" s="1"/>
  <c r="AB56" i="2"/>
  <c r="X15" i="7"/>
  <c r="U11" i="7"/>
  <c r="W11" i="7" s="1"/>
  <c r="U3" i="7"/>
  <c r="W3" i="7" s="1"/>
  <c r="U4" i="7"/>
  <c r="W4" i="7" s="1"/>
  <c r="P14" i="2"/>
  <c r="U14" i="2" s="1"/>
  <c r="P61" i="2"/>
  <c r="U61" i="2" s="1"/>
  <c r="V121" i="2"/>
  <c r="X121" i="2" s="1"/>
  <c r="V105" i="2"/>
  <c r="X105" i="2" s="1"/>
  <c r="X3" i="7"/>
  <c r="AA3" i="7" s="1"/>
  <c r="V104" i="2"/>
  <c r="X104" i="2" s="1"/>
  <c r="Z6" i="2"/>
  <c r="AC6" i="2" s="1"/>
  <c r="Z122" i="2"/>
  <c r="AD122" i="2" s="1"/>
  <c r="P51" i="2"/>
  <c r="U51" i="2" s="1"/>
  <c r="Z3" i="2"/>
  <c r="AD3" i="2" s="1"/>
  <c r="Z15" i="2"/>
  <c r="AC15" i="2" s="1"/>
  <c r="Z10" i="2"/>
  <c r="AD10" i="2" s="1"/>
  <c r="P102" i="2"/>
  <c r="U102" i="2" s="1"/>
  <c r="V120" i="2"/>
  <c r="X120" i="2" s="1"/>
  <c r="Z11" i="2"/>
  <c r="AC11" i="2" s="1"/>
  <c r="Z5" i="2"/>
  <c r="AD5" i="2" s="1"/>
  <c r="Z7" i="2"/>
  <c r="AD7" i="2" s="1"/>
  <c r="Z9" i="2"/>
  <c r="AC9" i="2" s="1"/>
  <c r="Z4" i="2"/>
  <c r="AD4" i="2" s="1"/>
  <c r="Z13" i="2"/>
  <c r="AC13" i="2" s="1"/>
  <c r="Z14" i="2"/>
  <c r="AC14" i="2" s="1"/>
  <c r="Z16" i="2"/>
  <c r="AD16" i="2" s="1"/>
  <c r="Z12" i="2"/>
  <c r="AC12" i="2" s="1"/>
  <c r="Z8" i="2"/>
  <c r="AC8" i="2" s="1"/>
  <c r="Z123" i="2"/>
  <c r="AC123" i="2" s="1"/>
  <c r="P89" i="2"/>
  <c r="U89" i="2" s="1"/>
  <c r="P97" i="2"/>
  <c r="U97" i="2" s="1"/>
  <c r="P118" i="2"/>
  <c r="U118" i="2" s="1"/>
  <c r="Z130" i="2"/>
  <c r="AC130" i="2" s="1"/>
  <c r="V60" i="2"/>
  <c r="X60" i="2" s="1"/>
  <c r="V66" i="2"/>
  <c r="X66" i="2" s="1"/>
  <c r="AB21" i="8"/>
  <c r="H40" i="22" s="1"/>
  <c r="Z128" i="2"/>
  <c r="AC128" i="2" s="1"/>
  <c r="Z126" i="2"/>
  <c r="AD126" i="2" s="1"/>
  <c r="Z127" i="2"/>
  <c r="AD127" i="2" s="1"/>
  <c r="Z125" i="2"/>
  <c r="AD125" i="2" s="1"/>
  <c r="V6" i="2"/>
  <c r="X6" i="2" s="1"/>
  <c r="V67" i="2"/>
  <c r="X67" i="2" s="1"/>
  <c r="V64" i="2"/>
  <c r="X64" i="2" s="1"/>
  <c r="C57" i="22"/>
  <c r="C85" i="22"/>
  <c r="C28" i="22"/>
  <c r="Z134" i="2"/>
  <c r="AD134" i="2" s="1"/>
  <c r="Z131" i="2"/>
  <c r="AC131" i="2" s="1"/>
  <c r="Z129" i="2"/>
  <c r="AD129" i="2" s="1"/>
  <c r="Z124" i="2"/>
  <c r="AC124" i="2" s="1"/>
  <c r="Z133" i="2"/>
  <c r="AD133" i="2" s="1"/>
  <c r="W5" i="7"/>
  <c r="X51" i="2"/>
  <c r="X4" i="7"/>
  <c r="AA4" i="7" s="1"/>
  <c r="D51" i="22"/>
  <c r="D8" i="22"/>
  <c r="AC31" i="2"/>
  <c r="AD40" i="2"/>
  <c r="R121" i="19"/>
  <c r="P122" i="19" s="1"/>
  <c r="R122" i="19" s="1"/>
  <c r="Z132" i="2"/>
  <c r="AC132" i="2" s="1"/>
  <c r="W6" i="7"/>
  <c r="X134" i="2"/>
  <c r="X5" i="7"/>
  <c r="AA5" i="7" s="1"/>
  <c r="V52" i="2"/>
  <c r="X52" i="2" s="1"/>
  <c r="P52" i="2"/>
  <c r="U52" i="2" s="1"/>
  <c r="V63" i="2"/>
  <c r="X63" i="2" s="1"/>
  <c r="C14" i="22"/>
  <c r="C71" i="22"/>
  <c r="D65" i="22"/>
  <c r="AD19" i="2"/>
  <c r="V133" i="2"/>
  <c r="X133" i="2" s="1"/>
  <c r="W12" i="7"/>
  <c r="AD34" i="2"/>
  <c r="AD20" i="2"/>
  <c r="AD39" i="2"/>
  <c r="AD30" i="2"/>
  <c r="J121" i="19"/>
  <c r="H122" i="19" s="1"/>
  <c r="J122" i="19" s="1"/>
  <c r="AC29" i="2"/>
  <c r="AD32" i="2"/>
  <c r="AD24" i="2"/>
  <c r="U16" i="8"/>
  <c r="V34" i="2"/>
  <c r="X34" i="2" s="1"/>
  <c r="V69" i="2"/>
  <c r="X69" i="2" s="1"/>
  <c r="U15" i="8"/>
  <c r="AC19" i="2"/>
  <c r="Q16" i="8"/>
  <c r="V40" i="2"/>
  <c r="X40" i="2" s="1"/>
  <c r="U3" i="8"/>
  <c r="W3" i="8" s="1"/>
  <c r="V94" i="2"/>
  <c r="X94" i="2" s="1"/>
  <c r="V123" i="2"/>
  <c r="X123" i="2" s="1"/>
  <c r="V112" i="2"/>
  <c r="X112" i="2" s="1"/>
  <c r="W8" i="7"/>
  <c r="P47" i="2"/>
  <c r="U47" i="2" s="1"/>
  <c r="V37" i="2"/>
  <c r="X37" i="2" s="1"/>
  <c r="V7" i="2"/>
  <c r="X7" i="2" s="1"/>
  <c r="V15" i="2"/>
  <c r="X15" i="2" s="1"/>
  <c r="W9" i="7"/>
  <c r="T17" i="8"/>
  <c r="Z4" i="7"/>
  <c r="AB31" i="2"/>
  <c r="AD31" i="2" s="1"/>
  <c r="W13" i="7"/>
  <c r="AB29" i="2"/>
  <c r="AD29" i="2" s="1"/>
  <c r="X7" i="7"/>
  <c r="AA7" i="7" s="1"/>
  <c r="V8" i="2"/>
  <c r="X8" i="2" s="1"/>
  <c r="V10" i="2"/>
  <c r="X10" i="2" s="1"/>
  <c r="X10" i="7"/>
  <c r="AA10" i="7" s="1"/>
  <c r="V13" i="2"/>
  <c r="X13" i="2" s="1"/>
  <c r="V131" i="2"/>
  <c r="X131" i="2" s="1"/>
  <c r="AB20" i="8"/>
  <c r="H11" i="22" s="1"/>
  <c r="V117" i="2"/>
  <c r="X117" i="2" s="1"/>
  <c r="U17" i="8"/>
  <c r="I14" i="7"/>
  <c r="AD14" i="7" s="1"/>
  <c r="X9" i="7"/>
  <c r="AA9" i="7" s="1"/>
  <c r="X8" i="7"/>
  <c r="AB8" i="7" s="1"/>
  <c r="V43" i="2"/>
  <c r="X43" i="2" s="1"/>
  <c r="X6" i="7"/>
  <c r="AB6" i="7" s="1"/>
  <c r="V23" i="2"/>
  <c r="X23" i="2" s="1"/>
  <c r="Q17" i="8"/>
  <c r="W10" i="7"/>
  <c r="V72" i="2"/>
  <c r="X72" i="2" s="1"/>
  <c r="X11" i="7"/>
  <c r="AB11" i="7" s="1"/>
  <c r="V14" i="2"/>
  <c r="X14" i="2" s="1"/>
  <c r="W7" i="7"/>
  <c r="V129" i="2"/>
  <c r="X129" i="2" s="1"/>
  <c r="V45" i="2"/>
  <c r="X45" i="2" s="1"/>
  <c r="V113" i="2"/>
  <c r="X113" i="2" s="1"/>
  <c r="O14" i="8"/>
  <c r="T14" i="8" s="1"/>
  <c r="V3" i="2"/>
  <c r="X3" i="2" s="1"/>
  <c r="AC40" i="2"/>
  <c r="Q14" i="8"/>
  <c r="V83" i="2"/>
  <c r="X83" i="2" s="1"/>
  <c r="V18" i="2"/>
  <c r="X18" i="2" s="1"/>
  <c r="V20" i="2"/>
  <c r="X20" i="2" s="1"/>
  <c r="U4" i="8"/>
  <c r="Q4" i="8"/>
  <c r="P59" i="2"/>
  <c r="U59" i="2" s="1"/>
  <c r="Z3" i="7"/>
  <c r="V82" i="2"/>
  <c r="X82" i="2" s="1"/>
  <c r="V25" i="2"/>
  <c r="X25" i="2" s="1"/>
  <c r="AA21" i="8"/>
  <c r="G40" i="22" s="1"/>
  <c r="U10" i="8"/>
  <c r="V36" i="2"/>
  <c r="X36" i="2" s="1"/>
  <c r="V76" i="2"/>
  <c r="X76" i="2" s="1"/>
  <c r="V95" i="2"/>
  <c r="X95" i="2" s="1"/>
  <c r="V98" i="2"/>
  <c r="X98" i="2" s="1"/>
  <c r="V93" i="2"/>
  <c r="X93" i="2" s="1"/>
  <c r="V12" i="2"/>
  <c r="X12" i="2" s="1"/>
  <c r="O9" i="8"/>
  <c r="T9" i="8" s="1"/>
  <c r="V22" i="2"/>
  <c r="X22" i="2" s="1"/>
  <c r="U9" i="8"/>
  <c r="V73" i="2"/>
  <c r="X73" i="2" s="1"/>
  <c r="V38" i="2"/>
  <c r="X38" i="2" s="1"/>
  <c r="V102" i="2"/>
  <c r="X102" i="2" s="1"/>
  <c r="T10" i="7"/>
  <c r="V122" i="2"/>
  <c r="X122" i="2" s="1"/>
  <c r="Q13" i="8"/>
  <c r="V32" i="2"/>
  <c r="X32" i="2" s="1"/>
  <c r="AC39" i="2"/>
  <c r="V28" i="2"/>
  <c r="X28" i="2" s="1"/>
  <c r="U11" i="8"/>
  <c r="O10" i="8"/>
  <c r="T10" i="8" s="1"/>
  <c r="V21" i="2"/>
  <c r="X21" i="2" s="1"/>
  <c r="X7" i="8"/>
  <c r="AB7" i="8" s="1"/>
  <c r="V35" i="2"/>
  <c r="X35" i="2" s="1"/>
  <c r="V27" i="2"/>
  <c r="X27" i="2" s="1"/>
  <c r="AC34" i="2"/>
  <c r="AC20" i="2"/>
  <c r="Q11" i="8"/>
  <c r="AC24" i="2"/>
  <c r="V50" i="2"/>
  <c r="X50" i="2" s="1"/>
  <c r="AD28" i="2"/>
  <c r="V84" i="2"/>
  <c r="X84" i="2" s="1"/>
  <c r="V90" i="2"/>
  <c r="X90" i="2" s="1"/>
  <c r="V75" i="2"/>
  <c r="X75" i="2" s="1"/>
  <c r="V55" i="2"/>
  <c r="V89" i="2"/>
  <c r="X89" i="2" s="1"/>
  <c r="V11" i="2"/>
  <c r="X11" i="2" s="1"/>
  <c r="AB11" i="2"/>
  <c r="AC30" i="2"/>
  <c r="V97" i="2"/>
  <c r="X97" i="2" s="1"/>
  <c r="V77" i="2"/>
  <c r="X77" i="2" s="1"/>
  <c r="V86" i="2"/>
  <c r="X86" i="2" s="1"/>
  <c r="V5" i="2"/>
  <c r="X5" i="2" s="1"/>
  <c r="V107" i="2"/>
  <c r="X107" i="2" s="1"/>
  <c r="U55" i="2"/>
  <c r="V53" i="2"/>
  <c r="X53" i="2" s="1"/>
  <c r="V26" i="2"/>
  <c r="X26" i="2" s="1"/>
  <c r="Q15" i="8"/>
  <c r="O15" i="8"/>
  <c r="T15" i="8" s="1"/>
  <c r="AD37" i="2"/>
  <c r="X9" i="8"/>
  <c r="AA9" i="8" s="1"/>
  <c r="O3" i="8"/>
  <c r="T3" i="8" s="1"/>
  <c r="V19" i="2"/>
  <c r="X19" i="2" s="1"/>
  <c r="V88" i="2"/>
  <c r="X88" i="2" s="1"/>
  <c r="X12" i="8"/>
  <c r="AB12" i="8" s="1"/>
  <c r="AD33" i="2"/>
  <c r="V16" i="2"/>
  <c r="X16" i="2" s="1"/>
  <c r="X11" i="8"/>
  <c r="AB11" i="8" s="1"/>
  <c r="U13" i="8"/>
  <c r="V80" i="2"/>
  <c r="X80" i="2" s="1"/>
  <c r="V71" i="2"/>
  <c r="X71" i="2" s="1"/>
  <c r="P71" i="2"/>
  <c r="U71" i="2" s="1"/>
  <c r="AB132" i="2"/>
  <c r="V29" i="2"/>
  <c r="X29" i="2" s="1"/>
  <c r="X14" i="8"/>
  <c r="AB14" i="8" s="1"/>
  <c r="X4" i="8"/>
  <c r="AB4" i="8" s="1"/>
  <c r="AD18" i="2"/>
  <c r="AC32" i="2"/>
  <c r="V127" i="2"/>
  <c r="X127" i="2" s="1"/>
  <c r="V42" i="2"/>
  <c r="X42" i="2" s="1"/>
  <c r="V110" i="2"/>
  <c r="X110" i="2" s="1"/>
  <c r="V57" i="2"/>
  <c r="X57" i="2" s="1"/>
  <c r="AA20" i="8"/>
  <c r="G11" i="22" s="1"/>
  <c r="V17" i="2"/>
  <c r="X17" i="2" s="1"/>
  <c r="V30" i="2"/>
  <c r="X30" i="2" s="1"/>
  <c r="V48" i="2"/>
  <c r="X48" i="2" s="1"/>
  <c r="AD36" i="2"/>
  <c r="V106" i="2"/>
  <c r="X106" i="2" s="1"/>
  <c r="X17" i="8"/>
  <c r="V92" i="2"/>
  <c r="X92" i="2" s="1"/>
  <c r="V4" i="2"/>
  <c r="X4" i="2" s="1"/>
  <c r="Q7" i="8"/>
  <c r="O7" i="8"/>
  <c r="T7" i="8" s="1"/>
  <c r="AB23" i="8"/>
  <c r="H68" i="22" s="1"/>
  <c r="AA23" i="8"/>
  <c r="G68" i="22" s="1"/>
  <c r="P100" i="2"/>
  <c r="U100" i="2" s="1"/>
  <c r="V100" i="2"/>
  <c r="X100" i="2" s="1"/>
  <c r="X15" i="8"/>
  <c r="P49" i="2"/>
  <c r="U49" i="2" s="1"/>
  <c r="V49" i="2"/>
  <c r="X49" i="2" s="1"/>
  <c r="V81" i="2"/>
  <c r="X81" i="2" s="1"/>
  <c r="P81" i="2"/>
  <c r="U81" i="2" s="1"/>
  <c r="V74" i="2"/>
  <c r="X74" i="2" s="1"/>
  <c r="AB15" i="2"/>
  <c r="U7" i="8"/>
  <c r="V85" i="2"/>
  <c r="X85" i="2" s="1"/>
  <c r="X13" i="8"/>
  <c r="X18" i="8"/>
  <c r="V130" i="2"/>
  <c r="X130" i="2" s="1"/>
  <c r="O6" i="8"/>
  <c r="T6" i="8" s="1"/>
  <c r="Q6" i="8"/>
  <c r="W6" i="8" s="1"/>
  <c r="V132" i="2"/>
  <c r="X132" i="2" s="1"/>
  <c r="P70" i="2"/>
  <c r="U70" i="2" s="1"/>
  <c r="V70" i="2"/>
  <c r="X70" i="2" s="1"/>
  <c r="AB12" i="2"/>
  <c r="P31" i="2"/>
  <c r="U31" i="2" s="1"/>
  <c r="V31" i="2"/>
  <c r="X31" i="2" s="1"/>
  <c r="V125" i="2"/>
  <c r="X125" i="2" s="1"/>
  <c r="AB19" i="8"/>
  <c r="H54" i="22" s="1"/>
  <c r="AA19" i="8"/>
  <c r="G54" i="22" s="1"/>
  <c r="P96" i="2"/>
  <c r="U96" i="2" s="1"/>
  <c r="V96" i="2"/>
  <c r="X96" i="2" s="1"/>
  <c r="V124" i="2"/>
  <c r="X124" i="2" s="1"/>
  <c r="AC33" i="2"/>
  <c r="Z7" i="7"/>
  <c r="Q18" i="8"/>
  <c r="O18" i="8"/>
  <c r="T18" i="8" s="1"/>
  <c r="P109" i="2"/>
  <c r="U109" i="2" s="1"/>
  <c r="V109" i="2"/>
  <c r="X109" i="2" s="1"/>
  <c r="Q8" i="8"/>
  <c r="O8" i="8"/>
  <c r="T8" i="8" s="1"/>
  <c r="X6" i="8"/>
  <c r="V91" i="2"/>
  <c r="X91" i="2" s="1"/>
  <c r="P65" i="2"/>
  <c r="U65" i="2" s="1"/>
  <c r="V65" i="2"/>
  <c r="X65" i="2" s="1"/>
  <c r="X16" i="8"/>
  <c r="AB22" i="8"/>
  <c r="H25" i="22" s="1"/>
  <c r="AA22" i="8"/>
  <c r="G25" i="22" s="1"/>
  <c r="P78" i="2"/>
  <c r="U78" i="2" s="1"/>
  <c r="V78" i="2"/>
  <c r="X78" i="2" s="1"/>
  <c r="P62" i="2"/>
  <c r="U62" i="2" s="1"/>
  <c r="V62" i="2"/>
  <c r="X62" i="2" s="1"/>
  <c r="V24" i="2"/>
  <c r="X24" i="2" s="1"/>
  <c r="V87" i="2"/>
  <c r="X87" i="2" s="1"/>
  <c r="P41" i="2"/>
  <c r="U41" i="2" s="1"/>
  <c r="V41" i="2"/>
  <c r="X41" i="2" s="1"/>
  <c r="U18" i="8"/>
  <c r="V108" i="2"/>
  <c r="X108" i="2" s="1"/>
  <c r="V118" i="2"/>
  <c r="X118" i="2" s="1"/>
  <c r="P68" i="2"/>
  <c r="U68" i="2" s="1"/>
  <c r="V68" i="2"/>
  <c r="X68" i="2" s="1"/>
  <c r="P9" i="2"/>
  <c r="U9" i="2" s="1"/>
  <c r="V9" i="2"/>
  <c r="X9" i="2" s="1"/>
  <c r="X5" i="8"/>
  <c r="X3" i="8"/>
  <c r="X8" i="8"/>
  <c r="V58" i="2"/>
  <c r="X58" i="2" s="1"/>
  <c r="P58" i="2"/>
  <c r="U58" i="2" s="1"/>
  <c r="V128" i="2"/>
  <c r="X128" i="2" s="1"/>
  <c r="Z10" i="7"/>
  <c r="P111" i="2"/>
  <c r="U111" i="2" s="1"/>
  <c r="V111" i="2"/>
  <c r="X111" i="2" s="1"/>
  <c r="V115" i="2"/>
  <c r="X115" i="2" s="1"/>
  <c r="V46" i="2"/>
  <c r="X46" i="2" s="1"/>
  <c r="X10" i="8"/>
  <c r="V126" i="2"/>
  <c r="X126" i="2" s="1"/>
  <c r="V39" i="2"/>
  <c r="X39" i="2" s="1"/>
  <c r="V33" i="2"/>
  <c r="X33" i="2" s="1"/>
  <c r="P33" i="2"/>
  <c r="U33" i="2" s="1"/>
  <c r="AC18" i="2"/>
  <c r="O12" i="8"/>
  <c r="T12" i="8" s="1"/>
  <c r="Q12" i="8"/>
  <c r="V114" i="2"/>
  <c r="X114" i="2" s="1"/>
  <c r="V99" i="2"/>
  <c r="X99" i="2" s="1"/>
  <c r="V101" i="2"/>
  <c r="X101" i="2" s="1"/>
  <c r="V116" i="2"/>
  <c r="X116" i="2" s="1"/>
  <c r="U5" i="8"/>
  <c r="Q5" i="8"/>
  <c r="O5" i="8"/>
  <c r="T5" i="8" s="1"/>
  <c r="U12" i="8"/>
  <c r="P79" i="2"/>
  <c r="U79" i="2" s="1"/>
  <c r="V79" i="2"/>
  <c r="X79" i="2" s="1"/>
  <c r="V54" i="2"/>
  <c r="X54" i="2" s="1"/>
  <c r="V44" i="2"/>
  <c r="X44" i="2" s="1"/>
  <c r="N121" i="19"/>
  <c r="L122" i="19" s="1"/>
  <c r="N122" i="19" s="1"/>
  <c r="H103" i="2"/>
  <c r="W103" i="2" s="1"/>
  <c r="Z104" i="2" s="1"/>
  <c r="AD35" i="2"/>
  <c r="AC35" i="2"/>
  <c r="AD38" i="2"/>
  <c r="AC38" i="2"/>
  <c r="AD21" i="2"/>
  <c r="AC21" i="2"/>
  <c r="AD17" i="2"/>
  <c r="AC17" i="2"/>
  <c r="AC26" i="2"/>
  <c r="AD26" i="2"/>
  <c r="AD27" i="2"/>
  <c r="AC27" i="2"/>
  <c r="AC36" i="2"/>
  <c r="W55" i="2"/>
  <c r="Z56" i="2" s="1"/>
  <c r="AC56" i="2" s="1"/>
  <c r="AC28" i="2"/>
  <c r="AD25" i="2"/>
  <c r="AC25" i="2"/>
  <c r="AC23" i="2"/>
  <c r="AD23" i="2"/>
  <c r="Z121" i="19"/>
  <c r="X122" i="19" s="1"/>
  <c r="Z122" i="19" s="1"/>
  <c r="AC37" i="2"/>
  <c r="AD22" i="2"/>
  <c r="AC22" i="2"/>
  <c r="J14" i="7"/>
  <c r="M14" i="7"/>
  <c r="N14" i="7" s="1"/>
  <c r="L14" i="7"/>
  <c r="K14" i="7"/>
  <c r="S14" i="7"/>
  <c r="M10697" i="20"/>
  <c r="H119" i="2"/>
  <c r="W119" i="2" s="1"/>
  <c r="V121" i="19"/>
  <c r="T122" i="19" s="1"/>
  <c r="V122" i="19" s="1"/>
  <c r="F121" i="19"/>
  <c r="D122" i="19" s="1"/>
  <c r="F122" i="19" s="1"/>
  <c r="S119" i="2"/>
  <c r="AE119" i="2" s="1"/>
  <c r="AF119" i="2"/>
  <c r="Q119" i="2"/>
  <c r="P119" i="2" s="1"/>
  <c r="H14" i="7"/>
  <c r="M10648" i="20"/>
  <c r="AA119" i="2"/>
  <c r="AB119" i="2" s="1"/>
  <c r="E10" i="22" l="1"/>
  <c r="D10" i="22" s="1"/>
  <c r="M3" i="5"/>
  <c r="Q3" i="5" s="1"/>
  <c r="M5" i="5"/>
  <c r="Q5" i="5" s="1"/>
  <c r="M6" i="5"/>
  <c r="R6" i="5" s="1"/>
  <c r="M4" i="5"/>
  <c r="R4" i="5" s="1"/>
  <c r="AA16" i="7"/>
  <c r="G26" i="22" s="1"/>
  <c r="AB16" i="7"/>
  <c r="W9" i="8"/>
  <c r="W14" i="8"/>
  <c r="U14" i="7"/>
  <c r="AD56" i="2"/>
  <c r="AA15" i="7"/>
  <c r="AB15" i="7"/>
  <c r="E41" i="22"/>
  <c r="D41" i="22" s="1"/>
  <c r="E9" i="22"/>
  <c r="Z105" i="2"/>
  <c r="Z120" i="2"/>
  <c r="AC120" i="2" s="1"/>
  <c r="Z121" i="2"/>
  <c r="AB3" i="7"/>
  <c r="AC10" i="2"/>
  <c r="W10" i="8"/>
  <c r="AD6" i="2"/>
  <c r="AD9" i="2"/>
  <c r="AC122" i="2"/>
  <c r="AC3" i="2"/>
  <c r="AD15" i="2"/>
  <c r="AC7" i="2"/>
  <c r="AC5" i="2"/>
  <c r="AD13" i="2"/>
  <c r="AD11" i="2"/>
  <c r="AD104" i="2"/>
  <c r="AC104" i="2"/>
  <c r="AC4" i="2"/>
  <c r="AD12" i="2"/>
  <c r="AC16" i="2"/>
  <c r="AD8" i="2"/>
  <c r="AD14" i="2"/>
  <c r="AD123" i="2"/>
  <c r="E53" i="22"/>
  <c r="D53" i="22" s="1"/>
  <c r="AD130" i="2"/>
  <c r="E40" i="22"/>
  <c r="D40" i="22" s="1"/>
  <c r="AC126" i="2"/>
  <c r="AD128" i="2"/>
  <c r="AC127" i="2"/>
  <c r="AC125" i="2"/>
  <c r="AC129" i="2"/>
  <c r="AD124" i="2"/>
  <c r="AD131" i="2"/>
  <c r="AC134" i="2"/>
  <c r="AC133" i="2"/>
  <c r="AB4" i="7"/>
  <c r="E54" i="22"/>
  <c r="D54" i="22" s="1"/>
  <c r="E25" i="22"/>
  <c r="D25" i="22" s="1"/>
  <c r="E68" i="22"/>
  <c r="D68" i="22" s="1"/>
  <c r="E11" i="22"/>
  <c r="D11" i="22" s="1"/>
  <c r="E24" i="22"/>
  <c r="D24" i="22" s="1"/>
  <c r="E81" i="22"/>
  <c r="D81" i="22" s="1"/>
  <c r="E39" i="22"/>
  <c r="D39" i="22" s="1"/>
  <c r="AD132" i="2"/>
  <c r="E55" i="22"/>
  <c r="D55" i="22" s="1"/>
  <c r="AB5" i="7"/>
  <c r="E67" i="22"/>
  <c r="D67" i="22" s="1"/>
  <c r="E26" i="22"/>
  <c r="D26" i="22" s="1"/>
  <c r="W16" i="8"/>
  <c r="W15" i="8"/>
  <c r="AE14" i="7"/>
  <c r="W4" i="8"/>
  <c r="AB10" i="7"/>
  <c r="AB7" i="7"/>
  <c r="W17" i="8"/>
  <c r="AB9" i="7"/>
  <c r="AA11" i="7"/>
  <c r="G41" i="22" s="1"/>
  <c r="AA6" i="7"/>
  <c r="AA8" i="7"/>
  <c r="W11" i="8"/>
  <c r="AA7" i="8"/>
  <c r="AA12" i="8"/>
  <c r="W13" i="8"/>
  <c r="W8" i="8"/>
  <c r="AA11" i="8"/>
  <c r="X55" i="2"/>
  <c r="E38" i="22" s="1"/>
  <c r="G23" i="22"/>
  <c r="AB9" i="8"/>
  <c r="Z47" i="2"/>
  <c r="AD47" i="2" s="1"/>
  <c r="Z54" i="2"/>
  <c r="AD54" i="2" s="1"/>
  <c r="Z45" i="2"/>
  <c r="AD45" i="2" s="1"/>
  <c r="Z53" i="2"/>
  <c r="AD53" i="2" s="1"/>
  <c r="Z41" i="2"/>
  <c r="AD41" i="2" s="1"/>
  <c r="Z48" i="2"/>
  <c r="AD48" i="2" s="1"/>
  <c r="Z44" i="2"/>
  <c r="AD44" i="2" s="1"/>
  <c r="AA14" i="8"/>
  <c r="E23" i="22"/>
  <c r="AA4" i="8"/>
  <c r="Y14" i="7"/>
  <c r="Z14" i="7" s="1"/>
  <c r="W12" i="8"/>
  <c r="AA15" i="8"/>
  <c r="AB15" i="8"/>
  <c r="W5" i="8"/>
  <c r="W7" i="8"/>
  <c r="H23" i="22"/>
  <c r="AA16" i="8"/>
  <c r="AB16" i="8"/>
  <c r="AB8" i="8"/>
  <c r="AA8" i="8"/>
  <c r="AB13" i="8"/>
  <c r="AA13" i="8"/>
  <c r="W18" i="8"/>
  <c r="Z43" i="2"/>
  <c r="AD43" i="2" s="1"/>
  <c r="U103" i="2"/>
  <c r="E80" i="22"/>
  <c r="Z50" i="2"/>
  <c r="AD50" i="2" s="1"/>
  <c r="V103" i="2"/>
  <c r="X103" i="2" s="1"/>
  <c r="E52" i="22" s="1"/>
  <c r="Z52" i="2"/>
  <c r="AD52" i="2" s="1"/>
  <c r="AB10" i="8"/>
  <c r="AA10" i="8"/>
  <c r="AB3" i="8"/>
  <c r="AA3" i="8"/>
  <c r="AB6" i="8"/>
  <c r="AA6" i="8"/>
  <c r="AA18" i="8"/>
  <c r="AB18" i="8"/>
  <c r="Z49" i="2"/>
  <c r="AC49" i="2" s="1"/>
  <c r="AA5" i="8"/>
  <c r="AB5" i="8"/>
  <c r="AA17" i="8"/>
  <c r="AB17" i="8"/>
  <c r="Z42" i="2"/>
  <c r="AD42" i="2" s="1"/>
  <c r="Z55" i="2"/>
  <c r="AD55" i="2" s="1"/>
  <c r="Z46" i="2"/>
  <c r="AD46" i="2" s="1"/>
  <c r="Z51" i="2"/>
  <c r="AC51" i="2" s="1"/>
  <c r="U119" i="2"/>
  <c r="Z116" i="2"/>
  <c r="Z113" i="2"/>
  <c r="Z110" i="2"/>
  <c r="Z106" i="2"/>
  <c r="Z111" i="2"/>
  <c r="Z108" i="2"/>
  <c r="Z119" i="2"/>
  <c r="Z112" i="2"/>
  <c r="Z109" i="2"/>
  <c r="Z115" i="2"/>
  <c r="Z114" i="2"/>
  <c r="Z118" i="2"/>
  <c r="Z117" i="2"/>
  <c r="Z107" i="2"/>
  <c r="Z102" i="2"/>
  <c r="Z74" i="2"/>
  <c r="Z60" i="2"/>
  <c r="Z84" i="2"/>
  <c r="Z70" i="2"/>
  <c r="Z100" i="2"/>
  <c r="Z98" i="2"/>
  <c r="Z96" i="2"/>
  <c r="Z94" i="2"/>
  <c r="Z85" i="2"/>
  <c r="Z83" i="2"/>
  <c r="Z81" i="2"/>
  <c r="Z59" i="2"/>
  <c r="Z92" i="2"/>
  <c r="Z90" i="2"/>
  <c r="Z71" i="2"/>
  <c r="Z68" i="2"/>
  <c r="Z88" i="2"/>
  <c r="Z79" i="2"/>
  <c r="Z67" i="2"/>
  <c r="Z64" i="2"/>
  <c r="Z63" i="2"/>
  <c r="Z58" i="2"/>
  <c r="Z93" i="2"/>
  <c r="Z77" i="2"/>
  <c r="Z75" i="2"/>
  <c r="Z82" i="2"/>
  <c r="Z103" i="2"/>
  <c r="Z86" i="2"/>
  <c r="Z66" i="2"/>
  <c r="Z62" i="2"/>
  <c r="Z95" i="2"/>
  <c r="Z57" i="2"/>
  <c r="Z61" i="2"/>
  <c r="Z72" i="2"/>
  <c r="Z101" i="2"/>
  <c r="Z99" i="2"/>
  <c r="Z97" i="2"/>
  <c r="Z80" i="2"/>
  <c r="Z91" i="2"/>
  <c r="Z89" i="2"/>
  <c r="Z69" i="2"/>
  <c r="Z65" i="2"/>
  <c r="Z87" i="2"/>
  <c r="Z73" i="2"/>
  <c r="Z78" i="2"/>
  <c r="Z76" i="2"/>
  <c r="V14" i="7"/>
  <c r="V119" i="2"/>
  <c r="X119" i="2" s="1"/>
  <c r="E66" i="22" s="1"/>
  <c r="D52" i="22" l="1"/>
  <c r="R3" i="5"/>
  <c r="R5" i="5"/>
  <c r="Q6" i="5"/>
  <c r="Q4" i="5"/>
  <c r="E43" i="22"/>
  <c r="M464" i="21" s="1"/>
  <c r="H67" i="22"/>
  <c r="H9" i="22"/>
  <c r="D9" i="22"/>
  <c r="H55" i="22"/>
  <c r="AD105" i="2"/>
  <c r="AC105" i="2"/>
  <c r="AD120" i="2"/>
  <c r="AD121" i="2"/>
  <c r="AC121" i="2"/>
  <c r="G9" i="22"/>
  <c r="H80" i="22"/>
  <c r="G80" i="22"/>
  <c r="H26" i="22"/>
  <c r="D80" i="22"/>
  <c r="D38" i="22"/>
  <c r="AC41" i="2"/>
  <c r="H41" i="22"/>
  <c r="AD51" i="2"/>
  <c r="G55" i="22"/>
  <c r="AC43" i="2"/>
  <c r="AC53" i="2"/>
  <c r="AC52" i="2"/>
  <c r="AC47" i="2"/>
  <c r="AC54" i="2"/>
  <c r="AC45" i="2"/>
  <c r="AD49" i="2"/>
  <c r="AC55" i="2"/>
  <c r="AC48" i="2"/>
  <c r="AC46" i="2"/>
  <c r="AC44" i="2"/>
  <c r="AC50" i="2"/>
  <c r="D23" i="22"/>
  <c r="E28" i="22"/>
  <c r="I464" i="21" s="1"/>
  <c r="E14" i="22"/>
  <c r="E464" i="21" s="1"/>
  <c r="AC42" i="2"/>
  <c r="E57" i="22"/>
  <c r="Q464" i="21" s="1"/>
  <c r="W14" i="7"/>
  <c r="AD87" i="2"/>
  <c r="AC87" i="2"/>
  <c r="AD95" i="2"/>
  <c r="AC95" i="2"/>
  <c r="AC67" i="2"/>
  <c r="AD67" i="2"/>
  <c r="AD96" i="2"/>
  <c r="AC96" i="2"/>
  <c r="AD118" i="2"/>
  <c r="AC118" i="2"/>
  <c r="AD65" i="2"/>
  <c r="AC65" i="2"/>
  <c r="AD62" i="2"/>
  <c r="AC62" i="2"/>
  <c r="AC79" i="2"/>
  <c r="AD79" i="2"/>
  <c r="AD98" i="2"/>
  <c r="AC98" i="2"/>
  <c r="AD114" i="2"/>
  <c r="AC114" i="2"/>
  <c r="AD69" i="2"/>
  <c r="AC69" i="2"/>
  <c r="AD66" i="2"/>
  <c r="AC66" i="2"/>
  <c r="AC88" i="2"/>
  <c r="AD88" i="2"/>
  <c r="AD100" i="2"/>
  <c r="AC100" i="2"/>
  <c r="AD115" i="2"/>
  <c r="AC115" i="2"/>
  <c r="AD89" i="2"/>
  <c r="AC89" i="2"/>
  <c r="AD86" i="2"/>
  <c r="AC86" i="2"/>
  <c r="AC68" i="2"/>
  <c r="AD68" i="2"/>
  <c r="AD70" i="2"/>
  <c r="AC70" i="2"/>
  <c r="AD109" i="2"/>
  <c r="AC109" i="2"/>
  <c r="AD103" i="2"/>
  <c r="AC103" i="2"/>
  <c r="AC71" i="2"/>
  <c r="AD71" i="2"/>
  <c r="AD84" i="2"/>
  <c r="AC84" i="2"/>
  <c r="AD112" i="2"/>
  <c r="AC112" i="2"/>
  <c r="AD91" i="2"/>
  <c r="AC91" i="2"/>
  <c r="AD80" i="2"/>
  <c r="AC80" i="2"/>
  <c r="AD82" i="2"/>
  <c r="AC82" i="2"/>
  <c r="AC90" i="2"/>
  <c r="AD90" i="2"/>
  <c r="AD60" i="2"/>
  <c r="AC60" i="2"/>
  <c r="AD119" i="2"/>
  <c r="AC119" i="2"/>
  <c r="AD97" i="2"/>
  <c r="AC97" i="2"/>
  <c r="AD75" i="2"/>
  <c r="AC75" i="2"/>
  <c r="AC92" i="2"/>
  <c r="AD92" i="2"/>
  <c r="AD74" i="2"/>
  <c r="AC74" i="2"/>
  <c r="AD108" i="2"/>
  <c r="AC108" i="2"/>
  <c r="AD99" i="2"/>
  <c r="AC99" i="2"/>
  <c r="AD77" i="2"/>
  <c r="AC77" i="2"/>
  <c r="AD59" i="2"/>
  <c r="AC59" i="2"/>
  <c r="AD102" i="2"/>
  <c r="AC102" i="2"/>
  <c r="AD111" i="2"/>
  <c r="AC111" i="2"/>
  <c r="AD101" i="2"/>
  <c r="AC101" i="2"/>
  <c r="AD93" i="2"/>
  <c r="AC93" i="2"/>
  <c r="AD81" i="2"/>
  <c r="AC81" i="2"/>
  <c r="AD106" i="2"/>
  <c r="AC106" i="2"/>
  <c r="D66" i="22"/>
  <c r="E71" i="22"/>
  <c r="U464" i="21" s="1"/>
  <c r="X14" i="7"/>
  <c r="X13" i="7"/>
  <c r="X12" i="7"/>
  <c r="AC76" i="2"/>
  <c r="AD76" i="2"/>
  <c r="AD72" i="2"/>
  <c r="AC72" i="2"/>
  <c r="AC58" i="2"/>
  <c r="AD58" i="2"/>
  <c r="AD83" i="2"/>
  <c r="AC83" i="2"/>
  <c r="AD110" i="2"/>
  <c r="AC110" i="2"/>
  <c r="AD78" i="2"/>
  <c r="AC78" i="2"/>
  <c r="AD61" i="2"/>
  <c r="AC61" i="2"/>
  <c r="AC63" i="2"/>
  <c r="AD63" i="2"/>
  <c r="AD85" i="2"/>
  <c r="AC85" i="2"/>
  <c r="AC107" i="2"/>
  <c r="AD107" i="2"/>
  <c r="AD113" i="2"/>
  <c r="AC113" i="2"/>
  <c r="AD73" i="2"/>
  <c r="AC73" i="2"/>
  <c r="AD57" i="2"/>
  <c r="AC57" i="2"/>
  <c r="AC64" i="2"/>
  <c r="AD64" i="2"/>
  <c r="AD94" i="2"/>
  <c r="AC94" i="2"/>
  <c r="AD117" i="2"/>
  <c r="AC117" i="2"/>
  <c r="AD116" i="2"/>
  <c r="AC116" i="2"/>
  <c r="F464" i="21" l="1"/>
  <c r="J464" i="21"/>
  <c r="V464" i="21"/>
  <c r="R464" i="21"/>
  <c r="N464" i="21"/>
  <c r="O14" i="22"/>
  <c r="H10" i="22"/>
  <c r="H14" i="22" s="1"/>
  <c r="M11" i="22"/>
  <c r="M10" i="22"/>
  <c r="H53" i="22"/>
  <c r="H39" i="22"/>
  <c r="H24" i="22"/>
  <c r="H28" i="22" s="1"/>
  <c r="H81" i="22"/>
  <c r="G81" i="22"/>
  <c r="G24" i="22"/>
  <c r="G10" i="22"/>
  <c r="E83" i="22"/>
  <c r="F53" i="22"/>
  <c r="L53" i="22" s="1"/>
  <c r="F38" i="22"/>
  <c r="L38" i="22" s="1"/>
  <c r="G39" i="22"/>
  <c r="G67" i="22"/>
  <c r="G53" i="22"/>
  <c r="H38" i="22"/>
  <c r="F37" i="22"/>
  <c r="K37" i="22" s="1"/>
  <c r="H66" i="22"/>
  <c r="H71" i="22" s="1"/>
  <c r="G38" i="22"/>
  <c r="M40" i="22"/>
  <c r="F39" i="22"/>
  <c r="K39" i="22" s="1"/>
  <c r="O43" i="22"/>
  <c r="F41" i="22"/>
  <c r="K41" i="22" s="1"/>
  <c r="F40" i="22"/>
  <c r="L40" i="22" s="1"/>
  <c r="M39" i="22"/>
  <c r="M138" i="21"/>
  <c r="N138" i="21" s="1"/>
  <c r="D43" i="22"/>
  <c r="M41" i="22"/>
  <c r="F42" i="22"/>
  <c r="K42" i="22" s="1"/>
  <c r="M42" i="22"/>
  <c r="F23" i="22"/>
  <c r="F24" i="22"/>
  <c r="F26" i="22"/>
  <c r="O28" i="22"/>
  <c r="F25" i="22"/>
  <c r="M26" i="22"/>
  <c r="I138" i="21"/>
  <c r="J138" i="21" s="1"/>
  <c r="M24" i="22"/>
  <c r="F22" i="22"/>
  <c r="D28" i="22"/>
  <c r="M25" i="22"/>
  <c r="M27" i="22"/>
  <c r="F27" i="22"/>
  <c r="E107" i="21"/>
  <c r="F9" i="22"/>
  <c r="F11" i="22"/>
  <c r="F12" i="22"/>
  <c r="F13" i="22"/>
  <c r="E138" i="21"/>
  <c r="F138" i="21" s="1"/>
  <c r="F10" i="22"/>
  <c r="M12" i="22"/>
  <c r="F8" i="22"/>
  <c r="K8" i="22" s="1"/>
  <c r="M13" i="22"/>
  <c r="D14" i="22"/>
  <c r="M55" i="22"/>
  <c r="F51" i="22"/>
  <c r="L51" i="22" s="1"/>
  <c r="Q138" i="21"/>
  <c r="R138" i="21" s="1"/>
  <c r="F56" i="22"/>
  <c r="L56" i="22" s="1"/>
  <c r="O57" i="22"/>
  <c r="F52" i="22"/>
  <c r="L52" i="22" s="1"/>
  <c r="F55" i="22"/>
  <c r="K55" i="22" s="1"/>
  <c r="D57" i="22"/>
  <c r="F54" i="22"/>
  <c r="L54" i="22" s="1"/>
  <c r="M53" i="22"/>
  <c r="M54" i="22"/>
  <c r="M56" i="22"/>
  <c r="G66" i="22"/>
  <c r="G52" i="22"/>
  <c r="H52" i="22"/>
  <c r="M70" i="22"/>
  <c r="F65" i="22"/>
  <c r="M69" i="22"/>
  <c r="M67" i="22"/>
  <c r="F68" i="22"/>
  <c r="F69" i="22"/>
  <c r="D71" i="22"/>
  <c r="F67" i="22"/>
  <c r="U138" i="21"/>
  <c r="V138" i="21" s="1"/>
  <c r="F70" i="22"/>
  <c r="M68" i="22"/>
  <c r="O71" i="22"/>
  <c r="F66" i="22"/>
  <c r="AB12" i="7"/>
  <c r="AA12" i="7"/>
  <c r="AA13" i="7"/>
  <c r="AB13" i="7"/>
  <c r="AA14" i="7"/>
  <c r="AB14" i="7"/>
  <c r="E15" i="22" l="1"/>
  <c r="E16" i="22" s="1"/>
  <c r="H57" i="22"/>
  <c r="H43" i="22"/>
  <c r="E85" i="22"/>
  <c r="Y464" i="21" s="1"/>
  <c r="D83" i="22"/>
  <c r="K38" i="22"/>
  <c r="K53" i="22"/>
  <c r="E58" i="22"/>
  <c r="E59" i="22" s="1"/>
  <c r="E44" i="22"/>
  <c r="E45" i="22" s="1"/>
  <c r="E29" i="22"/>
  <c r="E30" i="22" s="1"/>
  <c r="E72" i="22"/>
  <c r="E73" i="22" s="1"/>
  <c r="L37" i="22"/>
  <c r="K51" i="22"/>
  <c r="L42" i="22"/>
  <c r="L41" i="22"/>
  <c r="C47" i="22"/>
  <c r="G47" i="22" s="1"/>
  <c r="L39" i="22"/>
  <c r="F43" i="22"/>
  <c r="G43" i="22" s="1"/>
  <c r="K40" i="22"/>
  <c r="K22" i="22"/>
  <c r="F28" i="22"/>
  <c r="G28" i="22" s="1"/>
  <c r="C33" i="22"/>
  <c r="G33" i="22" s="1"/>
  <c r="L22" i="22"/>
  <c r="L25" i="22"/>
  <c r="K25" i="22"/>
  <c r="K27" i="22"/>
  <c r="L27" i="22"/>
  <c r="L26" i="22"/>
  <c r="K26" i="22"/>
  <c r="K24" i="22"/>
  <c r="L24" i="22"/>
  <c r="L23" i="22"/>
  <c r="K23" i="22"/>
  <c r="L10" i="22"/>
  <c r="K10" i="22"/>
  <c r="K13" i="22"/>
  <c r="L13" i="22"/>
  <c r="K12" i="22"/>
  <c r="L12" i="22"/>
  <c r="K11" i="22"/>
  <c r="L11" i="22"/>
  <c r="L9" i="22"/>
  <c r="K9" i="22"/>
  <c r="C18" i="22"/>
  <c r="G18" i="22" s="1"/>
  <c r="L8" i="22"/>
  <c r="F14" i="22"/>
  <c r="G14" i="22" s="1"/>
  <c r="L55" i="22"/>
  <c r="K54" i="22"/>
  <c r="F57" i="22"/>
  <c r="G57" i="22" s="1"/>
  <c r="K56" i="22"/>
  <c r="K52" i="22"/>
  <c r="C61" i="22"/>
  <c r="G61" i="22" s="1"/>
  <c r="G83" i="22"/>
  <c r="L66" i="22"/>
  <c r="K66" i="22"/>
  <c r="L70" i="22"/>
  <c r="K70" i="22"/>
  <c r="L68" i="22"/>
  <c r="K68" i="22"/>
  <c r="H83" i="22"/>
  <c r="L67" i="22"/>
  <c r="K67" i="22"/>
  <c r="K69" i="22"/>
  <c r="L69" i="22"/>
  <c r="K65" i="22"/>
  <c r="L65" i="22"/>
  <c r="C75" i="22"/>
  <c r="G75" i="22" s="1"/>
  <c r="F71" i="22"/>
  <c r="G71" i="22" s="1"/>
  <c r="F79" i="22" l="1"/>
  <c r="K79" i="22" s="1"/>
  <c r="O85" i="22"/>
  <c r="D85" i="22"/>
  <c r="F80" i="22"/>
  <c r="L80" i="22" s="1"/>
  <c r="F81" i="22"/>
  <c r="K81" i="22" s="1"/>
  <c r="M84" i="22"/>
  <c r="H85" i="22"/>
  <c r="Y138" i="21"/>
  <c r="Z138" i="21" s="1"/>
  <c r="M83" i="22"/>
  <c r="F83" i="22"/>
  <c r="K83" i="22" s="1"/>
  <c r="M81" i="22"/>
  <c r="M82" i="22"/>
  <c r="F82" i="22"/>
  <c r="L82" i="22" s="1"/>
  <c r="Y105" i="21"/>
  <c r="D2" i="22"/>
  <c r="D3" i="22" s="1"/>
  <c r="F84" i="22"/>
  <c r="L84" i="22" s="1"/>
  <c r="Z464" i="21" l="1"/>
  <c r="B87" i="22"/>
  <c r="E86" i="22"/>
  <c r="E87" i="22" s="1"/>
  <c r="L81" i="22"/>
  <c r="B73" i="22"/>
  <c r="K84" i="22"/>
  <c r="B45" i="22"/>
  <c r="B59" i="22"/>
  <c r="B31" i="22"/>
  <c r="L79" i="22"/>
  <c r="K80" i="22"/>
  <c r="K82" i="22"/>
  <c r="B16" i="22"/>
  <c r="C89" i="22"/>
  <c r="G89" i="22" s="1"/>
  <c r="F85" i="22"/>
  <c r="G85" i="22" s="1"/>
  <c r="K2" i="24"/>
  <c r="L83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Мархабат Усабаева</author>
    <author>Ляззат Тананова</author>
  </authors>
  <commentList>
    <comment ref="P2" authorId="0" shapeId="0" xr:uid="{89FA969C-C7E1-4BF9-AC14-1CB26691467A}">
      <text>
        <r>
          <rPr>
            <b/>
            <sz val="9"/>
            <color indexed="81"/>
            <rFont val="Tahoma"/>
            <family val="2"/>
            <charset val="204"/>
          </rPr>
          <t>Мархабат Усабаева:</t>
        </r>
        <r>
          <rPr>
            <sz val="9"/>
            <color indexed="81"/>
            <rFont val="Tahoma"/>
            <family val="2"/>
            <charset val="204"/>
          </rPr>
          <t xml:space="preserve">
если красное значение тогда нужно поменять данные в следуюещй колонке  </t>
        </r>
      </text>
    </comment>
    <comment ref="Q2" authorId="0" shapeId="0" xr:uid="{2E3FE875-A3B5-48BB-95FA-76D042E57421}">
      <text>
        <r>
          <rPr>
            <b/>
            <sz val="9"/>
            <color indexed="81"/>
            <rFont val="Tahoma"/>
            <family val="2"/>
            <charset val="204"/>
          </rPr>
          <t>Мархабат Усабаева:</t>
        </r>
        <r>
          <rPr>
            <sz val="9"/>
            <color indexed="81"/>
            <rFont val="Tahoma"/>
            <family val="2"/>
            <charset val="204"/>
          </rPr>
          <t xml:space="preserve">
каждый раз при выплате купона необходимо из графика купонных выплат ставить дату предполагаемой выплаты купона 
ЛИБО если купон пришел по выписке, ставить дату выписки </t>
        </r>
      </text>
    </comment>
    <comment ref="S16" authorId="1" shapeId="0" xr:uid="{F47A7584-9F8B-4EBA-AB04-4D73AFC5FDBA}">
      <text>
        <r>
          <rPr>
            <b/>
            <sz val="9"/>
            <color indexed="81"/>
            <rFont val="Tahoma"/>
            <family val="2"/>
            <charset val="204"/>
          </rPr>
          <t>Ляззат Тананова:</t>
        </r>
        <r>
          <rPr>
            <sz val="9"/>
            <color indexed="81"/>
            <rFont val="Tahoma"/>
            <family val="2"/>
            <charset val="204"/>
          </rPr>
          <t xml:space="preserve">
цены на бирже нет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Alina Kabdrakhmanova</author>
    <author>Дамир Сәкен</author>
  </authors>
  <commentList>
    <comment ref="H3" authorId="0" shapeId="0" xr:uid="{00000000-0006-0000-0B00-000001000000}">
      <text>
        <r>
          <rPr>
            <b/>
            <sz val="10"/>
            <color indexed="81"/>
            <rFont val="Tahoma"/>
            <family val="2"/>
            <charset val="204"/>
          </rPr>
          <t>Alina Kabdrakhmanova:</t>
        </r>
        <r>
          <rPr>
            <sz val="10"/>
            <color indexed="81"/>
            <rFont val="Tahoma"/>
            <family val="2"/>
            <charset val="204"/>
          </rPr>
          <t xml:space="preserve">
частичное погашение 1/13 части</t>
        </r>
      </text>
    </comment>
    <comment ref="I18" authorId="1" shapeId="0" xr:uid="{22F46615-B99B-4C37-9E58-3DE692A080EB}">
      <text>
        <r>
          <rPr>
            <b/>
            <sz val="9"/>
            <color indexed="81"/>
            <rFont val="Tahoma"/>
            <family val="2"/>
            <charset val="204"/>
          </rPr>
          <t>Дамир Сәкен:
Надо поправить в 2027 г. на 28.06.2027 г.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Дамир Сәкен</author>
  </authors>
  <commentList>
    <comment ref="G2258" authorId="0" shapeId="0" xr:uid="{5B9788CF-BC05-4824-8D8A-1811F0C33E9E}">
      <text>
        <r>
          <rPr>
            <b/>
            <sz val="9"/>
            <color indexed="81"/>
            <rFont val="Tahoma"/>
            <family val="2"/>
            <charset val="204"/>
          </rPr>
          <t>Дамир Сәкен:</t>
        </r>
        <r>
          <rPr>
            <sz val="9"/>
            <color indexed="81"/>
            <rFont val="Tahoma"/>
            <family val="2"/>
            <charset val="204"/>
          </rPr>
          <t xml:space="preserve">
Ошибочная сделка, обязательства перебили на Тансар
</t>
        </r>
      </text>
    </comment>
    <comment ref="G2259" authorId="0" shapeId="0" xr:uid="{183950AC-8E6F-432A-93FA-11DB5FDC3EFC}">
      <text>
        <r>
          <rPr>
            <b/>
            <sz val="9"/>
            <color indexed="81"/>
            <rFont val="Tahoma"/>
            <family val="2"/>
            <charset val="204"/>
          </rPr>
          <t>Дамир Сәкен:</t>
        </r>
        <r>
          <rPr>
            <sz val="9"/>
            <color indexed="81"/>
            <rFont val="Tahoma"/>
            <family val="2"/>
            <charset val="204"/>
          </rPr>
          <t xml:space="preserve">
Ошибочная сделка, обязательства перебили на Тансар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0266B0-C99E-47CB-A39A-7C01BBFA628A}" keepAlive="1" name="Запрос — MBM index - с 1 апреля 2024 г  по 29 ноября 2200 г" description="Соединение с запросом &quot;MBM index - с 1 апреля 2024 г  по 29 ноября 2200 г&quot; в книге." type="5" refreshedVersion="7" background="1" refreshOnLoad="1" saveData="1">
    <dbPr connection="Provider=Microsoft.Mashup.OleDb.1;Data Source=$Workbook$;Location=&quot;MBM index - с 1 апреля 2024 г  по 29 ноября 2200 г&quot;;Extended Properties=&quot;&quot;" command="SELECT * FROM [MBM index - с 1 апреля 2024 г  по 29 ноября 2200 г]"/>
  </connection>
  <connection id="2" xr16:uid="{5ACCBA7A-B389-4C62-90AC-E945750F41DB}" keepAlive="1" name="Запрос — MBM index - с 1 апреля 2024 г  по 29 ноября 2200 г (2)" description="Соединение с запросом &quot;MBM index - с 1 апреля 2024 г  по 29 ноября 2200 г (2)&quot; в книге." type="5" refreshedVersion="7" background="1" refreshOnLoad="1" saveData="1">
    <dbPr connection="Provider=Microsoft.Mashup.OleDb.1;Data Source=$Workbook$;Location=&quot;MBM index - с 1 апреля 2024 г  по 29 ноября 2200 г (2)&quot;;Extended Properties=&quot;&quot;" command="SELECT * FROM [MBM index - с 1 апреля 2024 г  по 29 ноября 2200 г (2)]"/>
  </connection>
  <connection id="3" xr16:uid="{96228F62-21AE-4E49-995D-B2A165C0A238}" keepAlive="1" name="Запрос — Table 0" description="Соединение с запросом &quot;Table 0&quot; в книге." type="5" refreshedVersion="7" background="1" saveData="1">
    <dbPr connection="Provider=Microsoft.Mashup.OleDb.1;Data Source=$Workbook$;Location=&quot;Table 0&quot;;Extended Properties=&quot;&quot;" command="SELECT * FROM [Table 0]"/>
  </connection>
  <connection id="4" xr16:uid="{426493B0-ABE7-4C7A-9443-6BCB4494A9A6}" keepAlive="1" name="Запрос — Table 0 (2)" description="Соединение с запросом &quot;Table 0 (2)&quot; в книге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5" xr16:uid="{63E4F2E1-D420-46A8-9193-28A0FF21D738}" keepAlive="1" name="Запрос — Table 0 (3)" description="Соединение с запросом &quot;Table 0 (3)&quot; в книге." type="5" refreshedVersion="7" background="1" saveData="1">
    <dbPr connection="Provider=Microsoft.Mashup.OleDb.1;Data Source=$Workbook$;Location=&quot;Table 0 (3)&quot;;Extended Properties=&quot;&quot;" command="SELECT * FROM [Table 0 (3)]"/>
  </connection>
  <connection id="6" xr16:uid="{2737C436-8555-4E9E-AFED-04E05E9D10B9}" keepAlive="1" name="Запрос — Table 0 (4)" description="Соединение с запросом &quot;Table 0 (4)&quot; в книге." type="5" refreshedVersion="7" background="1" saveData="1">
    <dbPr connection="Provider=Microsoft.Mashup.OleDb.1;Data Source=$Workbook$;Location=&quot;Table 0 (4)&quot;;Extended Properties=&quot;&quot;" command="SELECT * FROM [Table 0 (4)]"/>
  </connection>
  <connection id="7" xr16:uid="{A28D5C22-8D43-436F-BD3C-3F2CA7B75AAC}" keepAlive="1" name="Запрос — Нацбанк Казахстана, Доллар США: курсы с 01 01 2024 по 31 03 2024" description="Соединение с запросом &quot;Нацбанк Казахстана, Доллар США: курсы с 01 01 2024 по 31 03 2024&quot; в книге." type="5" refreshedVersion="7" background="1" refreshOnLoad="1" saveData="1">
    <dbPr connection="Provider=Microsoft.Mashup.OleDb.1;Data Source=$Workbook$;Location=&quot;Нацбанк Казахстана, Доллар США: курсы с 01 01 2024 по 31 03 2024&quot;;Extended Properties=&quot;&quot;" command="SELECT * FROM [Нацбанк Казахстана, Доллар США: курсы с 01 01 2024 по 31 03 2024]"/>
  </connection>
  <connection id="8" xr16:uid="{6B343B48-3742-4FE1-8F8A-65F443C86231}" keepAlive="1" name="Запрос — Нацбанк Казахстана, Доллар США: курсы с 01 01 2024 по 31 03 2024 (2)" description="Соединение с запросом &quot;Нацбанк Казахстана, Доллар США: курсы с 01 01 2024 по 31 03 2024 (2)&quot; в книге." type="5" refreshedVersion="7" background="1" saveData="1">
    <dbPr connection="Provider=Microsoft.Mashup.OleDb.1;Data Source=$Workbook$;Location=&quot;Нацбанк Казахстана, Доллар США: курсы с 01 01 2024 по 31 03 2024 (2)&quot;;Extended Properties=&quot;&quot;" command="SELECT * FROM [Нацбанк Казахстана, Доллар США: курсы с 01 01 2024 по 31 03 2024 (2)]"/>
  </connection>
</connections>
</file>

<file path=xl/sharedStrings.xml><?xml version="1.0" encoding="utf-8"?>
<sst xmlns="http://schemas.openxmlformats.org/spreadsheetml/2006/main" count="68789" uniqueCount="3507">
  <si>
    <t>№ п/п</t>
  </si>
  <si>
    <t>НИН</t>
  </si>
  <si>
    <t>Торговый код</t>
  </si>
  <si>
    <t>Дней до погашения</t>
  </si>
  <si>
    <t>KZ000A1A1S48</t>
  </si>
  <si>
    <t>KZ000A1A1S55</t>
  </si>
  <si>
    <t>KZ000A1A1UU3</t>
  </si>
  <si>
    <t>KZK200000596</t>
  </si>
  <si>
    <t>KZK200000604</t>
  </si>
  <si>
    <t>KZK200000638</t>
  </si>
  <si>
    <t>KZK200000646</t>
  </si>
  <si>
    <t>KZK200000661</t>
  </si>
  <si>
    <t>KZKA00000199</t>
  </si>
  <si>
    <t>KZKA00000207</t>
  </si>
  <si>
    <t>KZKA00000215</t>
  </si>
  <si>
    <t>KZKA00000264</t>
  </si>
  <si>
    <t>KZKA00000314</t>
  </si>
  <si>
    <t>KZKA00000322</t>
  </si>
  <si>
    <t>KZKA00000330</t>
  </si>
  <si>
    <t>KZKA00000363</t>
  </si>
  <si>
    <t>KZKA00000389</t>
  </si>
  <si>
    <t>KZKA00000405</t>
  </si>
  <si>
    <t>KZKA00000413</t>
  </si>
  <si>
    <t>KZKA00000454</t>
  </si>
  <si>
    <t>KZKA00000462</t>
  </si>
  <si>
    <t>KZKA00000496</t>
  </si>
  <si>
    <t>KZKA00000504</t>
  </si>
  <si>
    <t>KZKA00000553</t>
  </si>
  <si>
    <t>KZKA00000561</t>
  </si>
  <si>
    <t>KZKA00000579</t>
  </si>
  <si>
    <t>KZKA00000595</t>
  </si>
  <si>
    <t>KZKA00000603</t>
  </si>
  <si>
    <t>KZKA00000611</t>
  </si>
  <si>
    <t>KZKA00000629</t>
  </si>
  <si>
    <t>KZKA00000637</t>
  </si>
  <si>
    <t>KZKA00000645</t>
  </si>
  <si>
    <t>KZKA00000652</t>
  </si>
  <si>
    <t>KZKA00000660</t>
  </si>
  <si>
    <t>KZKA00000686</t>
  </si>
  <si>
    <t>KZKD00000105</t>
  </si>
  <si>
    <t>KZKD00000139</t>
  </si>
  <si>
    <t>KZKD00000204</t>
  </si>
  <si>
    <t>KZKD00000238</t>
  </si>
  <si>
    <t>KZKD00000337</t>
  </si>
  <si>
    <t>KZKD00000345</t>
  </si>
  <si>
    <t>KZKD00000352</t>
  </si>
  <si>
    <t>KZKD00000360</t>
  </si>
  <si>
    <t>KZKD00000378</t>
  </si>
  <si>
    <t>KZKD00000402</t>
  </si>
  <si>
    <t>KZKD00000428</t>
  </si>
  <si>
    <t>KZKD00000444</t>
  </si>
  <si>
    <t>KZKD00000451</t>
  </si>
  <si>
    <t>KZKD00000469</t>
  </si>
  <si>
    <t>KZKD00000477</t>
  </si>
  <si>
    <t>KZKD00000485</t>
  </si>
  <si>
    <t>KZKD00000493</t>
  </si>
  <si>
    <t>KZKD00000501</t>
  </si>
  <si>
    <t>KZKD00000519</t>
  </si>
  <si>
    <t>KZKD00000527</t>
  </si>
  <si>
    <t>KZKD00000535</t>
  </si>
  <si>
    <t>KZKD00000543</t>
  </si>
  <si>
    <t>KZKD00000550</t>
  </si>
  <si>
    <t>KZKD00000568</t>
  </si>
  <si>
    <t>KZKD00000576</t>
  </si>
  <si>
    <t>KZKD00000600</t>
  </si>
  <si>
    <t>KZKD00000618</t>
  </si>
  <si>
    <t>KZKD00000626</t>
  </si>
  <si>
    <t>KZKD00000642</t>
  </si>
  <si>
    <t>KZKD00000659</t>
  </si>
  <si>
    <t>KZKD00000683</t>
  </si>
  <si>
    <t>KZKD00000709</t>
  </si>
  <si>
    <t>KZKD00000717</t>
  </si>
  <si>
    <t>KZKD00000725</t>
  </si>
  <si>
    <t>KZKD00000733</t>
  </si>
  <si>
    <t>KZKD00000741</t>
  </si>
  <si>
    <t>KZKD00000758</t>
  </si>
  <si>
    <t>KZKD00000766</t>
  </si>
  <si>
    <t>KZKD00000782</t>
  </si>
  <si>
    <t>KZKD00000790</t>
  </si>
  <si>
    <t>KZKD00000808</t>
  </si>
  <si>
    <t>KZKD00000816</t>
  </si>
  <si>
    <t>KZKD00000832</t>
  </si>
  <si>
    <t>KZKD00000840</t>
  </si>
  <si>
    <t>KZKD00000865</t>
  </si>
  <si>
    <t>KZKD00000873</t>
  </si>
  <si>
    <t>KZKD00000881</t>
  </si>
  <si>
    <t>KZKD00000899</t>
  </si>
  <si>
    <t>KZKD00000907</t>
  </si>
  <si>
    <t>KZKD00000915</t>
  </si>
  <si>
    <t>KZKD00000931</t>
  </si>
  <si>
    <t>KZKD00000949</t>
  </si>
  <si>
    <t>KZKD00000956</t>
  </si>
  <si>
    <t>KZKD00000964</t>
  </si>
  <si>
    <t>KZKD00000972</t>
  </si>
  <si>
    <t>KZKD00001079</t>
  </si>
  <si>
    <t>KZKD00001087</t>
  </si>
  <si>
    <t>KZW100011508</t>
  </si>
  <si>
    <t>KZW100011938</t>
  </si>
  <si>
    <t>KZW100011979</t>
  </si>
  <si>
    <t>KZW100012050</t>
  </si>
  <si>
    <t>KZW100012134</t>
  </si>
  <si>
    <t>KZW100012159</t>
  </si>
  <si>
    <t>KZW100012175</t>
  </si>
  <si>
    <t>KZW100012191</t>
  </si>
  <si>
    <t>KZW100012209</t>
  </si>
  <si>
    <t>ISIN</t>
  </si>
  <si>
    <t>Краткое наименование эмитента</t>
  </si>
  <si>
    <t>XS1937714597</t>
  </si>
  <si>
    <t>Азиатский банк развития</t>
  </si>
  <si>
    <t>XS1937714753</t>
  </si>
  <si>
    <t>XS2024657061</t>
  </si>
  <si>
    <t>KZ2D00004413</t>
  </si>
  <si>
    <t>Евразийский банк развития</t>
  </si>
  <si>
    <t>KZ2D00004421</t>
  </si>
  <si>
    <t>KZ2D00004298</t>
  </si>
  <si>
    <t>KZ2D00004306</t>
  </si>
  <si>
    <t>KZ2D00004314</t>
  </si>
  <si>
    <t>KZ2C00004737</t>
  </si>
  <si>
    <t>KZ2D00003241</t>
  </si>
  <si>
    <t>KZ2C00004711</t>
  </si>
  <si>
    <t>KZ2C00004745</t>
  </si>
  <si>
    <t>XS1982112572</t>
  </si>
  <si>
    <t>Европейский банк реконструкции и развития</t>
  </si>
  <si>
    <t>XS2027948582</t>
  </si>
  <si>
    <t>XS2093223076</t>
  </si>
  <si>
    <t>XS2093242530</t>
  </si>
  <si>
    <t>XS2012983693</t>
  </si>
  <si>
    <t>XS1982112069</t>
  </si>
  <si>
    <t>XS1957561555</t>
  </si>
  <si>
    <t>XS1940060046</t>
  </si>
  <si>
    <t>Международная финансовая корпорация</t>
  </si>
  <si>
    <t>XS1831081408</t>
  </si>
  <si>
    <t>Единица измерения цены</t>
  </si>
  <si>
    <t>АО "Банк Развития Казахстана"</t>
  </si>
  <si>
    <t>АО "Национальная компания "Қазақстан темір жолы"</t>
  </si>
  <si>
    <t>KZ2C00003911</t>
  </si>
  <si>
    <t>KZ2C00003903</t>
  </si>
  <si>
    <t>АО "Фонд национального благосостояния "Самрук-Қазына"</t>
  </si>
  <si>
    <t>KZ2C00002319</t>
  </si>
  <si>
    <t>XS1120709669</t>
  </si>
  <si>
    <t>KZ2C00004190</t>
  </si>
  <si>
    <t>KZ2C00005908</t>
  </si>
  <si>
    <t>KZ2C00005916</t>
  </si>
  <si>
    <t>KZ2C00005718</t>
  </si>
  <si>
    <t>АО "Национальный управляющий холдинг "Байтерек"</t>
  </si>
  <si>
    <t>KZ2C00006088</t>
  </si>
  <si>
    <t>KZ2C00006203</t>
  </si>
  <si>
    <t>KZ2C00004133</t>
  </si>
  <si>
    <t>АО "Жилищный строительный сберегательный банк Казахстана"</t>
  </si>
  <si>
    <t>АО "KEGOC"</t>
  </si>
  <si>
    <t>KZ2C00003978</t>
  </si>
  <si>
    <t>KZ2C00004323</t>
  </si>
  <si>
    <t>KZ2C00002285</t>
  </si>
  <si>
    <t>KZ2C00002293</t>
  </si>
  <si>
    <t>KZ2C00002335</t>
  </si>
  <si>
    <t>KZ2C00002343</t>
  </si>
  <si>
    <t>KZ2C00005882</t>
  </si>
  <si>
    <t>KZ2C00005890</t>
  </si>
  <si>
    <t>Face value</t>
  </si>
  <si>
    <t>Last coupon date</t>
  </si>
  <si>
    <t>Next coupon date</t>
  </si>
  <si>
    <t>Coupon frequence</t>
  </si>
  <si>
    <t>Base</t>
  </si>
  <si>
    <t>Maturity</t>
  </si>
  <si>
    <t>Coupon rate</t>
  </si>
  <si>
    <t>Accrued interest</t>
  </si>
  <si>
    <t>Market price</t>
  </si>
  <si>
    <t>Market value</t>
  </si>
  <si>
    <t>Total value</t>
  </si>
  <si>
    <t>Trade date</t>
  </si>
  <si>
    <t>Valuation date</t>
  </si>
  <si>
    <t>Fund name</t>
  </si>
  <si>
    <t>Sub portfolio name</t>
  </si>
  <si>
    <t>КФГД</t>
  </si>
  <si>
    <t>собст</t>
  </si>
  <si>
    <t>спец</t>
  </si>
  <si>
    <t>НИК</t>
  </si>
  <si>
    <t>ЦДЦБ</t>
  </si>
  <si>
    <t>ФСМС</t>
  </si>
  <si>
    <t>19.03.2022</t>
  </si>
  <si>
    <t>25.03.2022</t>
  </si>
  <si>
    <t>15.05.2023</t>
  </si>
  <si>
    <t>26.04.2023</t>
  </si>
  <si>
    <t>20.07.2023</t>
  </si>
  <si>
    <t>11.12.2022</t>
  </si>
  <si>
    <t>25.01.2024</t>
  </si>
  <si>
    <t>21.09.2024</t>
  </si>
  <si>
    <t>03.10.2025</t>
  </si>
  <si>
    <t>16.11.2025</t>
  </si>
  <si>
    <t>24.06.2024</t>
  </si>
  <si>
    <t>24.11.2025</t>
  </si>
  <si>
    <t>27.03.2027</t>
  </si>
  <si>
    <t>24.10.2027</t>
  </si>
  <si>
    <t>23.11.2026</t>
  </si>
  <si>
    <t>19.10.2027</t>
  </si>
  <si>
    <t>18.04.2028</t>
  </si>
  <si>
    <t>24.04.2032</t>
  </si>
  <si>
    <t>10.12.2028</t>
  </si>
  <si>
    <t>20.12.2038</t>
  </si>
  <si>
    <t>18.08.2026</t>
  </si>
  <si>
    <t>20.06.2027</t>
  </si>
  <si>
    <t>16.07.2025</t>
  </si>
  <si>
    <t>12.05.2034</t>
  </si>
  <si>
    <t>06.08.2024</t>
  </si>
  <si>
    <t>13.08.2029</t>
  </si>
  <si>
    <t>29.01.2035</t>
  </si>
  <si>
    <t>27.08.2020</t>
  </si>
  <si>
    <t>09.04.2021</t>
  </si>
  <si>
    <t>21.05.2021</t>
  </si>
  <si>
    <t>14.12.2020</t>
  </si>
  <si>
    <t>23.08.2021</t>
  </si>
  <si>
    <t>15.09.2020</t>
  </si>
  <si>
    <t>16.03.2021</t>
  </si>
  <si>
    <t>18.10.2022</t>
  </si>
  <si>
    <t>15.08.2025</t>
  </si>
  <si>
    <t>23.05.2021</t>
  </si>
  <si>
    <t>06.03.2027</t>
  </si>
  <si>
    <t>21.10.2020</t>
  </si>
  <si>
    <t>25.08.2021</t>
  </si>
  <si>
    <t>03.04.2021</t>
  </si>
  <si>
    <t>29.08.2023</t>
  </si>
  <si>
    <t>23.01.2022</t>
  </si>
  <si>
    <t>04.04.2033</t>
  </si>
  <si>
    <t>16.04.2032</t>
  </si>
  <si>
    <t>23.04.2033</t>
  </si>
  <si>
    <t>04.02.2030</t>
  </si>
  <si>
    <t>10.05.2031</t>
  </si>
  <si>
    <t>09.07.2021</t>
  </si>
  <si>
    <t>07.09.2020</t>
  </si>
  <si>
    <t>14.08.2021</t>
  </si>
  <si>
    <t>09.06.2022</t>
  </si>
  <si>
    <t>30.07.2036</t>
  </si>
  <si>
    <t>11.02.2037</t>
  </si>
  <si>
    <t>20.05.2024</t>
  </si>
  <si>
    <t>18.09.2027</t>
  </si>
  <si>
    <t>20.09.2028</t>
  </si>
  <si>
    <t>03.07.2022</t>
  </si>
  <si>
    <t>03.07.2026</t>
  </si>
  <si>
    <t>03.07.2027</t>
  </si>
  <si>
    <t>31.03.2029</t>
  </si>
  <si>
    <t>KZW100012217</t>
  </si>
  <si>
    <t>БСБ</t>
  </si>
  <si>
    <t>КЦМР</t>
  </si>
  <si>
    <t>Issuer</t>
  </si>
  <si>
    <t>KZ2C00004273</t>
  </si>
  <si>
    <t>30/360</t>
  </si>
  <si>
    <t>Coupon type</t>
  </si>
  <si>
    <t>fix</t>
  </si>
  <si>
    <t>float</t>
  </si>
  <si>
    <t>Acrcrued interest (debit)</t>
  </si>
  <si>
    <t>Previous coupon date</t>
  </si>
  <si>
    <t>End of coupon date</t>
  </si>
  <si>
    <t>XS1535796368</t>
  </si>
  <si>
    <t>XS1522918256</t>
  </si>
  <si>
    <t>XS1876166973</t>
  </si>
  <si>
    <t>Frequency</t>
  </si>
  <si>
    <t>Coupon</t>
  </si>
  <si>
    <t>купонные амортизационные международные облигации</t>
  </si>
  <si>
    <t>actual/360</t>
  </si>
  <si>
    <t>actual/actual</t>
  </si>
  <si>
    <t>End of last coupon date</t>
  </si>
  <si>
    <t>Base code</t>
  </si>
  <si>
    <t>Coupon date status</t>
  </si>
  <si>
    <t>Министерство финансов Республики Казахстан</t>
  </si>
  <si>
    <t>Clouse date</t>
  </si>
  <si>
    <t>Interest rate</t>
  </si>
  <si>
    <t>Date</t>
  </si>
  <si>
    <t>Market Value T-0</t>
  </si>
  <si>
    <t>Market Value T-1</t>
  </si>
  <si>
    <t>Cash flow</t>
  </si>
  <si>
    <t>FUND</t>
  </si>
  <si>
    <t>sub-fund</t>
  </si>
  <si>
    <t>KZW100012225</t>
  </si>
  <si>
    <t>КФГД собст</t>
  </si>
  <si>
    <t>КФГД спец</t>
  </si>
  <si>
    <t>Instruments</t>
  </si>
  <si>
    <t>Государственные облигации (МФ РК)</t>
  </si>
  <si>
    <t>Cash</t>
  </si>
  <si>
    <t>МФО</t>
  </si>
  <si>
    <t>Total:</t>
  </si>
  <si>
    <t>% of Total Invest</t>
  </si>
  <si>
    <t>Min. Limit</t>
  </si>
  <si>
    <t>КФУ (Баспана)</t>
  </si>
  <si>
    <t>Финансовый инструмент</t>
  </si>
  <si>
    <t>Текущая стоимость, млрд. тенге</t>
  </si>
  <si>
    <t>Денежные средства</t>
  </si>
  <si>
    <t>Ноты НБРК</t>
  </si>
  <si>
    <t>ГЦБ РК</t>
  </si>
  <si>
    <t>Депозиты в НБРК</t>
  </si>
  <si>
    <t>РЕПО</t>
  </si>
  <si>
    <t>БРК</t>
  </si>
  <si>
    <t>ЖССБК</t>
  </si>
  <si>
    <t>НУХ Байтерек</t>
  </si>
  <si>
    <t>Самрук-Казына</t>
  </si>
  <si>
    <t>КТЖ</t>
  </si>
  <si>
    <t>НУХ КазАгро</t>
  </si>
  <si>
    <t>ЕБРР</t>
  </si>
  <si>
    <t>АБР</t>
  </si>
  <si>
    <t>МФК</t>
  </si>
  <si>
    <t>Итого:</t>
  </si>
  <si>
    <t>KEGOC</t>
  </si>
  <si>
    <t>Current Market Value</t>
  </si>
  <si>
    <t>ALL assets</t>
  </si>
  <si>
    <t>YTM</t>
  </si>
  <si>
    <t>Modified duration</t>
  </si>
  <si>
    <t>Weight</t>
  </si>
  <si>
    <t>Weighted average YTM</t>
  </si>
  <si>
    <t>Weighted average Duration</t>
  </si>
  <si>
    <t>Duration</t>
  </si>
  <si>
    <t>-</t>
  </si>
  <si>
    <t>Bond type</t>
  </si>
  <si>
    <t>Daily return</t>
  </si>
  <si>
    <t>Market Value</t>
  </si>
  <si>
    <t>Дата оценки</t>
  </si>
  <si>
    <t>Вид ценной бумаги</t>
  </si>
  <si>
    <t>Расчетная цена</t>
  </si>
  <si>
    <t>Тип цены</t>
  </si>
  <si>
    <t>Рыночная</t>
  </si>
  <si>
    <t>Индикативная</t>
  </si>
  <si>
    <t>Чистая цена в%</t>
  </si>
  <si>
    <t>Акимат г. Алматы</t>
  </si>
  <si>
    <t>KZW100012241</t>
  </si>
  <si>
    <t>Daily change</t>
  </si>
  <si>
    <t>KZW100012258</t>
  </si>
  <si>
    <t>09.10.2020</t>
  </si>
  <si>
    <t>02.04.2021</t>
  </si>
  <si>
    <t>19.03.2021</t>
  </si>
  <si>
    <t>07.08.2020</t>
  </si>
  <si>
    <t>11.09.2020</t>
  </si>
  <si>
    <t>18.06.2021</t>
  </si>
  <si>
    <t>25.12.2020</t>
  </si>
  <si>
    <t>05.08.2020</t>
  </si>
  <si>
    <t>12.08.2020</t>
  </si>
  <si>
    <t>22.01.2021</t>
  </si>
  <si>
    <t>30.10.2020</t>
  </si>
  <si>
    <t>02.09.2020</t>
  </si>
  <si>
    <t>Month start</t>
  </si>
  <si>
    <t>Curr Date</t>
  </si>
  <si>
    <t>Quarter start</t>
  </si>
  <si>
    <t>KZW100012266</t>
  </si>
  <si>
    <t>KZW100012274</t>
  </si>
  <si>
    <t>Описание</t>
  </si>
  <si>
    <t>ЕАБР</t>
  </si>
  <si>
    <t>долговые ценные бумаги</t>
  </si>
  <si>
    <t xml:space="preserve">                                  Отчет о состоянии активов фондов (доверительное управление) </t>
  </si>
  <si>
    <t xml:space="preserve">Всего активов в фондах, млрд. тенге </t>
  </si>
  <si>
    <r>
      <t>Своб. средства</t>
    </r>
    <r>
      <rPr>
        <b/>
        <sz val="12"/>
        <rFont val="Calibri"/>
        <family val="2"/>
        <charset val="204"/>
      </rPr>
      <t xml:space="preserve"> (ГФСС, КФГД, СК ЕНПФ, Баспана)</t>
    </r>
  </si>
  <si>
    <t>ГФСС (инвестиционный)</t>
  </si>
  <si>
    <t>КФГД (специальный резервный)</t>
  </si>
  <si>
    <t>КФГД (собственный портфель)</t>
  </si>
  <si>
    <t>ЕНПФ (собственный портфель)</t>
  </si>
  <si>
    <t>ФПК (инвестиционный счет)</t>
  </si>
  <si>
    <t>ФПК (счет средст НФ)</t>
  </si>
  <si>
    <t>МФО (не ниже «А-»)</t>
  </si>
  <si>
    <t>Агентские облигации (не ниже «ВВ-)</t>
  </si>
  <si>
    <t>KZW100012282</t>
  </si>
  <si>
    <t>XS2214305737</t>
  </si>
  <si>
    <t>CPI</t>
  </si>
  <si>
    <t>KACPMOM Index</t>
  </si>
  <si>
    <t>Start Date</t>
  </si>
  <si>
    <t>End Date</t>
  </si>
  <si>
    <t>Dates</t>
  </si>
  <si>
    <t>PX_LAST</t>
  </si>
  <si>
    <t>инфляция + 0,025% (1-11 / 4-2 / 7-5 / 10-8)</t>
  </si>
  <si>
    <t>инфляция + 0,025% (2-12 / 5-3 / 8-6 / 11-9)</t>
  </si>
  <si>
    <t>инфляция + 0,5% (1-8 / 7-2)</t>
  </si>
  <si>
    <t>инфляция + 0,5% (3-10 / 9-4)</t>
  </si>
  <si>
    <t>инфляция + 0,5% (5-12 / 11-6)</t>
  </si>
  <si>
    <t>инфляция + 0,5% (6-1 / 12-7)</t>
  </si>
  <si>
    <t>инфляция + 0,25% (12-10 / 3-1 / 6-4 / 9-7)</t>
  </si>
  <si>
    <t>инфляция + 0,5% (4-11 / 10-5)</t>
  </si>
  <si>
    <t>инфляция + 0,325% (12-10 / 3-1 / 6-4 / 9-7)</t>
  </si>
  <si>
    <t>инфляция + 0,375% (12-10 / 3-1 / 6-4 / 9-7)</t>
  </si>
  <si>
    <t>инфляция + 0,75% (11-6 / 5-12)</t>
  </si>
  <si>
    <t>инфляция + 1% (7-2 / 1-8)</t>
  </si>
  <si>
    <t>0,5% + базовая ставка НБРК</t>
  </si>
  <si>
    <t>KZW100012324</t>
  </si>
  <si>
    <t>KZW100012332</t>
  </si>
  <si>
    <t>KZW100012340</t>
  </si>
  <si>
    <t>KZW100012357</t>
  </si>
  <si>
    <t>Эмитент</t>
  </si>
  <si>
    <t>купон</t>
  </si>
  <si>
    <t>дата расчета</t>
  </si>
  <si>
    <t>дата погашения</t>
  </si>
  <si>
    <t>доходность</t>
  </si>
  <si>
    <t xml:space="preserve">частота </t>
  </si>
  <si>
    <t>Цена</t>
  </si>
  <si>
    <t>KZW100012381</t>
  </si>
  <si>
    <t>KazAgro</t>
  </si>
  <si>
    <t>KZW100012399</t>
  </si>
  <si>
    <t>KZKD00001095</t>
  </si>
  <si>
    <t>KZW100012449</t>
  </si>
  <si>
    <t>KZW100012456</t>
  </si>
  <si>
    <t>KZW100012464</t>
  </si>
  <si>
    <t>XS2252216937</t>
  </si>
  <si>
    <t>инфляция + 1% (10-5 / 4-11)</t>
  </si>
  <si>
    <t>Расчетная грязная</t>
  </si>
  <si>
    <t>Доходность до погашения, % годовых</t>
  </si>
  <si>
    <t>KZW100012514</t>
  </si>
  <si>
    <t>XS2264979431</t>
  </si>
  <si>
    <t>инфляция + 1% (11-6 / 5-12)</t>
  </si>
  <si>
    <t>KZ2C00007060</t>
  </si>
  <si>
    <t>KZ2C00007078</t>
  </si>
  <si>
    <t>BTRKb4</t>
  </si>
  <si>
    <t>KZ2C00007052</t>
  </si>
  <si>
    <t>KZW100012530</t>
  </si>
  <si>
    <t>BTRKb5</t>
  </si>
  <si>
    <t>BTRKb6</t>
  </si>
  <si>
    <t>KZW100012548</t>
  </si>
  <si>
    <t>KZW100012571</t>
  </si>
  <si>
    <t>KZW100012613</t>
  </si>
  <si>
    <t>KZW100012639</t>
  </si>
  <si>
    <t>KZW100012654</t>
  </si>
  <si>
    <t>XS2294363689</t>
  </si>
  <si>
    <t>KZKD00001103</t>
  </si>
  <si>
    <t>KZW100012670</t>
  </si>
  <si>
    <t>KZW100012712</t>
  </si>
  <si>
    <t>KZKD00001129</t>
  </si>
  <si>
    <t>KZ2C00007383</t>
  </si>
  <si>
    <t>KZW100012720</t>
  </si>
  <si>
    <t>KZW100012753</t>
  </si>
  <si>
    <t>KZW100012761</t>
  </si>
  <si>
    <t>KZKD00001137</t>
  </si>
  <si>
    <t>KZW100012787</t>
  </si>
  <si>
    <t>KZW100012811</t>
  </si>
  <si>
    <t>BTRKb7</t>
  </si>
  <si>
    <t>KZW100012837</t>
  </si>
  <si>
    <t>KZKD00001145</t>
  </si>
  <si>
    <t>KZW100012860</t>
  </si>
  <si>
    <t>KZW100012886</t>
  </si>
  <si>
    <t>KZW100012894</t>
  </si>
  <si>
    <t>11,20000</t>
  </si>
  <si>
    <t>11,17000</t>
  </si>
  <si>
    <t>KZW100012928</t>
  </si>
  <si>
    <t>11,27000</t>
  </si>
  <si>
    <t>11,28000</t>
  </si>
  <si>
    <t>3399</t>
  </si>
  <si>
    <t>2319</t>
  </si>
  <si>
    <t>101,65484</t>
  </si>
  <si>
    <t>3371</t>
  </si>
  <si>
    <t>101,23560</t>
  </si>
  <si>
    <t>100,78199</t>
  </si>
  <si>
    <t>101,88230</t>
  </si>
  <si>
    <t>3499</t>
  </si>
  <si>
    <t>АО "НУХ "Байтерек"</t>
  </si>
  <si>
    <t>KZW100012944</t>
  </si>
  <si>
    <t>KZKD00001152</t>
  </si>
  <si>
    <t>KZW100012985</t>
  </si>
  <si>
    <t>KZKD00001160</t>
  </si>
  <si>
    <t>KZK200000679</t>
  </si>
  <si>
    <t>KZW100013017</t>
  </si>
  <si>
    <t>KZAE00000015</t>
  </si>
  <si>
    <t>Облигации МИО</t>
  </si>
  <si>
    <t>KZKD00001178</t>
  </si>
  <si>
    <t>KZW100013041</t>
  </si>
  <si>
    <t>Oбратное REPO</t>
  </si>
  <si>
    <t>KZW100013058</t>
  </si>
  <si>
    <t>KZW100013066</t>
  </si>
  <si>
    <t>KZW100013074</t>
  </si>
  <si>
    <t>KZW100013090</t>
  </si>
  <si>
    <t>KZW100013116</t>
  </si>
  <si>
    <t>KZ2D00005790</t>
  </si>
  <si>
    <t>12 months</t>
  </si>
  <si>
    <t>Year start</t>
  </si>
  <si>
    <t>KZW100013140</t>
  </si>
  <si>
    <t>KZ2D00005816</t>
  </si>
  <si>
    <t>KZW100013157</t>
  </si>
  <si>
    <t>KZW100013199</t>
  </si>
  <si>
    <t>KZW100013207</t>
  </si>
  <si>
    <t>KZ2D00008133</t>
  </si>
  <si>
    <t>KZW100013249</t>
  </si>
  <si>
    <t>KZW100013306</t>
  </si>
  <si>
    <t>Корзина (только для ЦДЦБ)</t>
  </si>
  <si>
    <t>KZK200000687</t>
  </si>
  <si>
    <t>KZK100000266</t>
  </si>
  <si>
    <t>KZKD00001194</t>
  </si>
  <si>
    <t>KZKD00001202</t>
  </si>
  <si>
    <t>KZW100013371</t>
  </si>
  <si>
    <t>KZK200000695</t>
  </si>
  <si>
    <t>KZW100013389</t>
  </si>
  <si>
    <t>KZW100013421</t>
  </si>
  <si>
    <t>KZW100013447</t>
  </si>
  <si>
    <t>KZW100013488</t>
  </si>
  <si>
    <t>KZW100013546</t>
  </si>
  <si>
    <t>KZW100013587</t>
  </si>
  <si>
    <t>KZK200000703</t>
  </si>
  <si>
    <t>KZW100013637</t>
  </si>
  <si>
    <t>Свободный остаток лимита (млн тенге)</t>
  </si>
  <si>
    <t>Hard limit</t>
  </si>
  <si>
    <t>Soft Limit</t>
  </si>
  <si>
    <t>KZW100013645</t>
  </si>
  <si>
    <t>XS2507222904</t>
  </si>
  <si>
    <t>KZW100013686</t>
  </si>
  <si>
    <t>KZW100013736</t>
  </si>
  <si>
    <t>KZK200000729</t>
  </si>
  <si>
    <t>XS2541297557</t>
  </si>
  <si>
    <t>KZW100013793</t>
  </si>
  <si>
    <t>XS2555207096</t>
  </si>
  <si>
    <t>KZK200000737</t>
  </si>
  <si>
    <t>KZ2C00007797</t>
  </si>
  <si>
    <t>TONIA+3%</t>
  </si>
  <si>
    <t>30/365</t>
  </si>
  <si>
    <t>KZW100013835</t>
  </si>
  <si>
    <t>KZKD00001210</t>
  </si>
  <si>
    <t>US912797GP65</t>
  </si>
  <si>
    <t>US912797HG57</t>
  </si>
  <si>
    <t>USA</t>
  </si>
  <si>
    <t>Ин. ЦБ</t>
  </si>
  <si>
    <t>29.02.2024</t>
  </si>
  <si>
    <t>25.04.2024</t>
  </si>
  <si>
    <t>actual/365</t>
  </si>
  <si>
    <t>Trade Date</t>
  </si>
  <si>
    <t xml:space="preserve">Value date </t>
  </si>
  <si>
    <t>KZKD00001244</t>
  </si>
  <si>
    <t>пополнение фондом</t>
  </si>
  <si>
    <t>US912797KF38</t>
  </si>
  <si>
    <t>KZKD00001251</t>
  </si>
  <si>
    <t>Курс</t>
  </si>
  <si>
    <t>Изменение</t>
  </si>
  <si>
    <t>Дата</t>
  </si>
  <si>
    <t>AIRA</t>
  </si>
  <si>
    <t>KZ1C00004050</t>
  </si>
  <si>
    <t>АО "Эйр Астана"</t>
  </si>
  <si>
    <t>AKZM</t>
  </si>
  <si>
    <t>KZ1C00001288</t>
  </si>
  <si>
    <t>BASPb7</t>
  </si>
  <si>
    <t>KZ2C00006476</t>
  </si>
  <si>
    <t>АО "Казахстанский фонд устойчивости"</t>
  </si>
  <si>
    <t>BCCIbe</t>
  </si>
  <si>
    <t>KZPF00000553</t>
  </si>
  <si>
    <t>АО "BCC Invest" - дочерняя организация АО "Банк ЦентрКредит"</t>
  </si>
  <si>
    <t>BCCIrb</t>
  </si>
  <si>
    <t>KZPF00000231</t>
  </si>
  <si>
    <t>BRKZe11</t>
  </si>
  <si>
    <t>XS2337670421</t>
  </si>
  <si>
    <t>BRKZe4</t>
  </si>
  <si>
    <t>XS0248160102</t>
  </si>
  <si>
    <t>CCBN</t>
  </si>
  <si>
    <t>KZ0007786572</t>
  </si>
  <si>
    <t>АО "Банк ЦентрКредит"</t>
  </si>
  <si>
    <t>CCBNp</t>
  </si>
  <si>
    <t>KZ000A0H0930</t>
  </si>
  <si>
    <t>CSECfe</t>
  </si>
  <si>
    <t>KZPF00000025</t>
  </si>
  <si>
    <t>АО "Сентрас Секьюритиз"</t>
  </si>
  <si>
    <t>CSECtf</t>
  </si>
  <si>
    <t>KZPF00000280</t>
  </si>
  <si>
    <t>EABRb21</t>
  </si>
  <si>
    <t>KZ2D00008083</t>
  </si>
  <si>
    <t>EABRb30</t>
  </si>
  <si>
    <t>EABRb40</t>
  </si>
  <si>
    <t>KZ2D00009628</t>
  </si>
  <si>
    <t>FFINgw</t>
  </si>
  <si>
    <t>KZPF00000090</t>
  </si>
  <si>
    <t>АО "Фридом Финанс"</t>
  </si>
  <si>
    <t>FFIN_or</t>
  </si>
  <si>
    <t>KZPF00000082</t>
  </si>
  <si>
    <t>HCBNb10</t>
  </si>
  <si>
    <t>KZ2C00009918</t>
  </si>
  <si>
    <t>АО "Home Credit Bank"</t>
  </si>
  <si>
    <t>HFINhl</t>
  </si>
  <si>
    <t>KZPF00000538</t>
  </si>
  <si>
    <t>HFINhp</t>
  </si>
  <si>
    <t>KZPF00000546</t>
  </si>
  <si>
    <t>HFINhs</t>
  </si>
  <si>
    <t>KZPF00000520</t>
  </si>
  <si>
    <t>HFINhv</t>
  </si>
  <si>
    <t>KZPF00000041</t>
  </si>
  <si>
    <t>HSBK</t>
  </si>
  <si>
    <t>KZ000A0LE0S4</t>
  </si>
  <si>
    <t>АО "Народный Банк Казахстана"</t>
  </si>
  <si>
    <t>HSBKd</t>
  </si>
  <si>
    <t>US46627J3023</t>
  </si>
  <si>
    <t>IBRDe2</t>
  </si>
  <si>
    <t>IBRDe3</t>
  </si>
  <si>
    <t>US459058KL69</t>
  </si>
  <si>
    <t>IFDR</t>
  </si>
  <si>
    <t>KZ1C00000256</t>
  </si>
  <si>
    <t>АО "Teniz Capital Investment Banking"</t>
  </si>
  <si>
    <t>KAFIb11</t>
  </si>
  <si>
    <t>KZ2C00007862</t>
  </si>
  <si>
    <t>KAFIb12</t>
  </si>
  <si>
    <t>KZ2C00008514</t>
  </si>
  <si>
    <t>KCEL</t>
  </si>
  <si>
    <t>KZ1C00000876</t>
  </si>
  <si>
    <t>АО "Кселл"</t>
  </si>
  <si>
    <t>KEGC</t>
  </si>
  <si>
    <t>KZ1C00000959</t>
  </si>
  <si>
    <t>KFUSb1</t>
  </si>
  <si>
    <t>KZ2C00006906</t>
  </si>
  <si>
    <t>KFUSb10</t>
  </si>
  <si>
    <t>KZ2C00007326</t>
  </si>
  <si>
    <t>KFUSb11</t>
  </si>
  <si>
    <t>KZ2C00007334</t>
  </si>
  <si>
    <t>KFUSb21</t>
  </si>
  <si>
    <t>KZ2C00007540</t>
  </si>
  <si>
    <t>KFUSb3</t>
  </si>
  <si>
    <t>KZ2C00006955</t>
  </si>
  <si>
    <t>KFUSb5</t>
  </si>
  <si>
    <t>KZ2C00007110</t>
  </si>
  <si>
    <t>KFUSb6</t>
  </si>
  <si>
    <t>KZ2C00007128</t>
  </si>
  <si>
    <t>KFUSb7</t>
  </si>
  <si>
    <t>KZ2C00007136</t>
  </si>
  <si>
    <t>KFUSb9</t>
  </si>
  <si>
    <t>KZ2C00007318</t>
  </si>
  <si>
    <t>KMGZ</t>
  </si>
  <si>
    <t>KZ1C00001122</t>
  </si>
  <si>
    <t>АО "Национальная компания "КазМунайГаз"</t>
  </si>
  <si>
    <t>KMGZe12</t>
  </si>
  <si>
    <t>XS1595714087</t>
  </si>
  <si>
    <t>KMGZe14</t>
  </si>
  <si>
    <t>XS1807300105</t>
  </si>
  <si>
    <t>KMGZe15</t>
  </si>
  <si>
    <t>XS1807299331</t>
  </si>
  <si>
    <t>KMGZe16</t>
  </si>
  <si>
    <t>XS2242422397</t>
  </si>
  <si>
    <t>KSPI</t>
  </si>
  <si>
    <t>KZ1C00001536</t>
  </si>
  <si>
    <t>АО Kaspi.kz</t>
  </si>
  <si>
    <t>KSPId</t>
  </si>
  <si>
    <t>US48581R2058</t>
  </si>
  <si>
    <t>KZAP</t>
  </si>
  <si>
    <t>KZ1C00001619</t>
  </si>
  <si>
    <t>KZTK</t>
  </si>
  <si>
    <t>KZ0009093241</t>
  </si>
  <si>
    <t>АО "Казахтелеком"</t>
  </si>
  <si>
    <t>KZTO</t>
  </si>
  <si>
    <t>KZ1C00000744</t>
  </si>
  <si>
    <t>АО "КазТрансОйл"</t>
  </si>
  <si>
    <t>KZ_05_2410</t>
  </si>
  <si>
    <t>KZ_06_4410</t>
  </si>
  <si>
    <t>XS1120709826</t>
  </si>
  <si>
    <t>KZ_07_2507</t>
  </si>
  <si>
    <t>XS1263054519</t>
  </si>
  <si>
    <t>KZ_14_2609</t>
  </si>
  <si>
    <t>XS2050933899</t>
  </si>
  <si>
    <t>KZ_22_4507</t>
  </si>
  <si>
    <t>XS1263139856</t>
  </si>
  <si>
    <t>ТОО "МФО "Mogo Kazakhstan (Мого Казахстан)"</t>
  </si>
  <si>
    <t>АО "МФО ОнлайнКазФинанс"</t>
  </si>
  <si>
    <t>MFOKb16</t>
  </si>
  <si>
    <t>KZ2C00010171</t>
  </si>
  <si>
    <t>ТОО "Микрофинансовая организация "R-Finance"</t>
  </si>
  <si>
    <t>MKM009_0019</t>
  </si>
  <si>
    <t>KZK100000324</t>
  </si>
  <si>
    <t>MKM012_0156</t>
  </si>
  <si>
    <t>KZK100000316</t>
  </si>
  <si>
    <t>MOM024_0087</t>
  </si>
  <si>
    <t>KZK200000745</t>
  </si>
  <si>
    <t>MOM024_0088</t>
  </si>
  <si>
    <t>KZK200000752</t>
  </si>
  <si>
    <t>MOM036_0091</t>
  </si>
  <si>
    <t>MOM048_0052</t>
  </si>
  <si>
    <t>MOM048_0053</t>
  </si>
  <si>
    <t>KZK200000711</t>
  </si>
  <si>
    <t>MOM048_0054</t>
  </si>
  <si>
    <t>MOM060_0052</t>
  </si>
  <si>
    <t>MOM060_0054</t>
  </si>
  <si>
    <t>MTM036_0001</t>
  </si>
  <si>
    <t>MTM048_0001</t>
  </si>
  <si>
    <t>KZKT00000024</t>
  </si>
  <si>
    <t>MTM060_0001</t>
  </si>
  <si>
    <t>KZKT00000032</t>
  </si>
  <si>
    <t>MTM072_0001</t>
  </si>
  <si>
    <t>KZKT00000040</t>
  </si>
  <si>
    <t>MTM084_0001</t>
  </si>
  <si>
    <t>KZKT00000073</t>
  </si>
  <si>
    <t>MTM096_0001</t>
  </si>
  <si>
    <t>KZKT00000057</t>
  </si>
  <si>
    <t>MUM072_0013</t>
  </si>
  <si>
    <t>MUM072_0014</t>
  </si>
  <si>
    <t>MUM072_0015</t>
  </si>
  <si>
    <t>MUM084_0018</t>
  </si>
  <si>
    <t>MUM084_0019</t>
  </si>
  <si>
    <t>MUM096_0011</t>
  </si>
  <si>
    <t>MUM096_0012</t>
  </si>
  <si>
    <t>MUM096_0013</t>
  </si>
  <si>
    <t>MUM096_0014</t>
  </si>
  <si>
    <t>KZKD00001228</t>
  </si>
  <si>
    <t>MUM108_0012</t>
  </si>
  <si>
    <t>MUM108_0013</t>
  </si>
  <si>
    <t>MUM108_0014</t>
  </si>
  <si>
    <t>KZKD00001236</t>
  </si>
  <si>
    <t>MUM120_0016</t>
  </si>
  <si>
    <t>MUM120_0017</t>
  </si>
  <si>
    <t>MUM120_0018</t>
  </si>
  <si>
    <t>MUM120_0019</t>
  </si>
  <si>
    <t>MUM132_0006</t>
  </si>
  <si>
    <t>MUM132_0007</t>
  </si>
  <si>
    <t>MUM144_0009</t>
  </si>
  <si>
    <t>MUM156_0005</t>
  </si>
  <si>
    <t>MUM156_0006</t>
  </si>
  <si>
    <t>MUM156_0007</t>
  </si>
  <si>
    <t>MUM168_0002</t>
  </si>
  <si>
    <t>MUM168_0003</t>
  </si>
  <si>
    <t>MUM168_0005</t>
  </si>
  <si>
    <t>KZKD00001111</t>
  </si>
  <si>
    <t>MUM180_0003</t>
  </si>
  <si>
    <t>MUM180_0004</t>
  </si>
  <si>
    <t>MUM180_0005</t>
  </si>
  <si>
    <t>MUM180_0006</t>
  </si>
  <si>
    <t>MUM180_0007</t>
  </si>
  <si>
    <t>MUM180_0008</t>
  </si>
  <si>
    <t>MUM180_0009</t>
  </si>
  <si>
    <t>MUM180_0011</t>
  </si>
  <si>
    <t>MUM180_0012</t>
  </si>
  <si>
    <t>MUM180_0013</t>
  </si>
  <si>
    <t>MUM180_0014</t>
  </si>
  <si>
    <t>MUM180_0015</t>
  </si>
  <si>
    <t>KZKD00001186</t>
  </si>
  <si>
    <t>MUM180_0016</t>
  </si>
  <si>
    <t>MUM192_0001</t>
  </si>
  <si>
    <t>MUM192_0002</t>
  </si>
  <si>
    <t>MUM192_0003</t>
  </si>
  <si>
    <t>MUM216_0001</t>
  </si>
  <si>
    <t>MUM216_0002</t>
  </si>
  <si>
    <t>MUM240_0001</t>
  </si>
  <si>
    <t>MUM240_0002</t>
  </si>
  <si>
    <t>MUM240_0004</t>
  </si>
  <si>
    <t>MUM300_0001</t>
  </si>
  <si>
    <t>MUM300_0002</t>
  </si>
  <si>
    <t>KZKD00000774</t>
  </si>
  <si>
    <t>MUM300_0003</t>
  </si>
  <si>
    <t>KZKD00000857</t>
  </si>
  <si>
    <t>MUM360_0001</t>
  </si>
  <si>
    <t>KZKD00000824</t>
  </si>
  <si>
    <t>NCOMb1</t>
  </si>
  <si>
    <t>KZ2D00005949</t>
  </si>
  <si>
    <t>ТОО "Fincraft Group"</t>
  </si>
  <si>
    <t>NCOMb3</t>
  </si>
  <si>
    <t>KZ2P00009178</t>
  </si>
  <si>
    <t>ГУ "Национальный Банк Республики Казахстан"</t>
  </si>
  <si>
    <t>SKKZe1</t>
  </si>
  <si>
    <t>XS2399149694</t>
  </si>
  <si>
    <t>TSBNb33</t>
  </si>
  <si>
    <t>KZ2C00004430</t>
  </si>
  <si>
    <t>TSBNb36</t>
  </si>
  <si>
    <t>KZ2C00004463</t>
  </si>
  <si>
    <t>XS2444205756</t>
  </si>
  <si>
    <t>KZ2D00010766</t>
  </si>
  <si>
    <t>HCBNb11</t>
  </si>
  <si>
    <t>KZ2C00009926</t>
  </si>
  <si>
    <t>JETGe1</t>
  </si>
  <si>
    <t>KZX000001870</t>
  </si>
  <si>
    <t>KZ2C00008902</t>
  </si>
  <si>
    <t>KZ2C00008944</t>
  </si>
  <si>
    <t>MKM012_0157</t>
  </si>
  <si>
    <t>KZK100000332</t>
  </si>
  <si>
    <t>US912797HR13</t>
  </si>
  <si>
    <t>MFOKb18</t>
  </si>
  <si>
    <t>KZ2C00010478</t>
  </si>
  <si>
    <t>US912797LE53</t>
  </si>
  <si>
    <t>US912797LP01</t>
  </si>
  <si>
    <t>TONIA Compounded ((Tonia index End/Tonia Index Start - 1) * 365/DC)  +2,75%</t>
  </si>
  <si>
    <t>Float</t>
  </si>
  <si>
    <t>BTRKb13</t>
  </si>
  <si>
    <t>KZ2C00011237</t>
  </si>
  <si>
    <t>2,3% + сложная процентная ставка TONIA</t>
  </si>
  <si>
    <t>Halyk finance</t>
  </si>
  <si>
    <t>Jusan Invest</t>
  </si>
  <si>
    <t>Сентрас</t>
  </si>
  <si>
    <t>BCC Invest</t>
  </si>
  <si>
    <t>UD Capital</t>
  </si>
  <si>
    <t>Tansar Capital</t>
  </si>
  <si>
    <t>EBRDe26</t>
  </si>
  <si>
    <t>HCBNb14</t>
  </si>
  <si>
    <t>KZ2C00011351</t>
  </si>
  <si>
    <t>MKM012_0158</t>
  </si>
  <si>
    <t>KZK100000357</t>
  </si>
  <si>
    <t>KZT</t>
  </si>
  <si>
    <r>
      <t xml:space="preserve">МФО (не ниже «А-» </t>
    </r>
    <r>
      <rPr>
        <sz val="10"/>
        <color rgb="FFFF0000"/>
        <rFont val="Tahoma"/>
        <family val="2"/>
        <charset val="204"/>
      </rPr>
      <t>со сроком до 3х лет</t>
    </r>
    <r>
      <rPr>
        <sz val="10"/>
        <rFont val="Tahoma"/>
        <family val="2"/>
        <charset val="204"/>
      </rPr>
      <t>)</t>
    </r>
  </si>
  <si>
    <t xml:space="preserve">benchmark duration </t>
  </si>
  <si>
    <t>+0,5</t>
  </si>
  <si>
    <t>limit</t>
  </si>
  <si>
    <t>Column1</t>
  </si>
  <si>
    <t>Дата расчёта</t>
  </si>
  <si>
    <t>Последнее значение</t>
  </si>
  <si>
    <t>Изменение к предыдущему значению, %</t>
  </si>
  <si>
    <t>Изменение с начала месяца, %</t>
  </si>
  <si>
    <t>Изменение за месяц, %</t>
  </si>
  <si>
    <t>Изменение с начала года, %</t>
  </si>
  <si>
    <t>MBM index</t>
  </si>
  <si>
    <t>–</t>
  </si>
  <si>
    <t>ModDuration</t>
  </si>
  <si>
    <r>
      <t xml:space="preserve">МФО (не ниже «А-»  </t>
    </r>
    <r>
      <rPr>
        <sz val="10"/>
        <color rgb="FFFF0000"/>
        <rFont val="Tahoma"/>
        <family val="2"/>
        <charset val="204"/>
      </rPr>
      <t>со сроком до 3х лет</t>
    </r>
    <r>
      <rPr>
        <sz val="10"/>
        <rFont val="Tahoma"/>
        <family val="2"/>
        <charset val="204"/>
      </rPr>
      <t>)</t>
    </r>
  </si>
  <si>
    <t>Max Limit</t>
  </si>
  <si>
    <t>ok</t>
  </si>
  <si>
    <t>МФО (не ниже «А-» со сроком до 3х лет)</t>
  </si>
  <si>
    <t>МФО (не ниже «А-»  со сроком до 3х лет)</t>
  </si>
  <si>
    <t>HCBNb15</t>
  </si>
  <si>
    <t>KZ2C00011401</t>
  </si>
  <si>
    <t>ACARb1</t>
  </si>
  <si>
    <t>KZ2P00011364</t>
  </si>
  <si>
    <t>ASDBe10</t>
  </si>
  <si>
    <t>XS2489628870</t>
  </si>
  <si>
    <t>ASDBe13</t>
  </si>
  <si>
    <t>EABRb31</t>
  </si>
  <si>
    <t>EABRb41</t>
  </si>
  <si>
    <t>KZ2D00009958</t>
  </si>
  <si>
    <t>EABRb43</t>
  </si>
  <si>
    <t>KZ2D00011038</t>
  </si>
  <si>
    <t>KZ2D00011004</t>
  </si>
  <si>
    <t>EABRb51</t>
  </si>
  <si>
    <t>KZ2D00011012</t>
  </si>
  <si>
    <t>EABRe5</t>
  </si>
  <si>
    <t>KZX000001433</t>
  </si>
  <si>
    <t>EBRDe21</t>
  </si>
  <si>
    <t>XS2733527670</t>
  </si>
  <si>
    <t>EBRDe22</t>
  </si>
  <si>
    <t>XS2754484439</t>
  </si>
  <si>
    <t>EBRDe23</t>
  </si>
  <si>
    <t>XS2774403690</t>
  </si>
  <si>
    <t>KFUSb19</t>
  </si>
  <si>
    <t>KZ2C00007557</t>
  </si>
  <si>
    <t>KFUSb23</t>
  </si>
  <si>
    <t>KFUSb44</t>
  </si>
  <si>
    <t>KFUSb45</t>
  </si>
  <si>
    <t>KZ2C00008910</t>
  </si>
  <si>
    <t>KFUSb46</t>
  </si>
  <si>
    <t>KZ2C00008928</t>
  </si>
  <si>
    <t>KFUSb47</t>
  </si>
  <si>
    <t>KZ2C00008936</t>
  </si>
  <si>
    <t>KFUSb48</t>
  </si>
  <si>
    <t>KFUSb49</t>
  </si>
  <si>
    <t>KZ2C00008951</t>
  </si>
  <si>
    <t>KZ2C00009389</t>
  </si>
  <si>
    <t>KFUSb53</t>
  </si>
  <si>
    <t>KZ2C00009454</t>
  </si>
  <si>
    <t>KFUSb54</t>
  </si>
  <si>
    <t>KZ2C00009462</t>
  </si>
  <si>
    <t>KZ2C00010510</t>
  </si>
  <si>
    <t>KFUSb65</t>
  </si>
  <si>
    <t>KZ_10_2811</t>
  </si>
  <si>
    <t>XS1901718335</t>
  </si>
  <si>
    <t>KZ_16_2709</t>
  </si>
  <si>
    <t>RU000A101RV2</t>
  </si>
  <si>
    <t>RU000A101RT6</t>
  </si>
  <si>
    <t>MUJ144_0005</t>
  </si>
  <si>
    <t>MUJ156_0004</t>
  </si>
  <si>
    <t>MUJ168_0004</t>
  </si>
  <si>
    <t>MUJ168_0005</t>
  </si>
  <si>
    <t>KZKA00000538</t>
  </si>
  <si>
    <t>MUJ180_0007</t>
  </si>
  <si>
    <t>MUJ180_0008</t>
  </si>
  <si>
    <t>MUJ192_0002</t>
  </si>
  <si>
    <t>KZKA00000249</t>
  </si>
  <si>
    <t>MUJ192_0003</t>
  </si>
  <si>
    <t>MUJ192_0004</t>
  </si>
  <si>
    <t>MUJ204_0001</t>
  </si>
  <si>
    <t>MUJ204_0002</t>
  </si>
  <si>
    <t>MUJ204_0003</t>
  </si>
  <si>
    <t>KZKA00000306</t>
  </si>
  <si>
    <t>MUJ204_0004</t>
  </si>
  <si>
    <t>MUJ204_0005</t>
  </si>
  <si>
    <t>KZKA00000488</t>
  </si>
  <si>
    <t>MUJ204_0006</t>
  </si>
  <si>
    <t>KZKA00000520</t>
  </si>
  <si>
    <t>MUJ216_0001</t>
  </si>
  <si>
    <t>MUJ216_0002</t>
  </si>
  <si>
    <t>KZKA00000256</t>
  </si>
  <si>
    <t>MUJ216_0003</t>
  </si>
  <si>
    <t>KZKA00000280</t>
  </si>
  <si>
    <t>MUJ216_0004</t>
  </si>
  <si>
    <t>KZKA00000447</t>
  </si>
  <si>
    <t>MUJ216_0005</t>
  </si>
  <si>
    <t>KZKA00000512</t>
  </si>
  <si>
    <t>MUJ228_0001</t>
  </si>
  <si>
    <t>KZKA00000223</t>
  </si>
  <si>
    <t>MUJ228_0002</t>
  </si>
  <si>
    <t>MUJ228_0003</t>
  </si>
  <si>
    <t>MUJ228_0004</t>
  </si>
  <si>
    <t>KZKA00000371</t>
  </si>
  <si>
    <t>MUJ228_0005</t>
  </si>
  <si>
    <t>MUJ228_0006</t>
  </si>
  <si>
    <t>KZKA00000546</t>
  </si>
  <si>
    <t>MUJ240_0001</t>
  </si>
  <si>
    <t>KZKA00000470</t>
  </si>
  <si>
    <t>Repo</t>
  </si>
  <si>
    <t xml:space="preserve">Repo </t>
  </si>
  <si>
    <t>обратное репо под KZKD00001202</t>
  </si>
  <si>
    <t>обратное репо под KZKD00001251</t>
  </si>
  <si>
    <t>22.07.2024</t>
  </si>
  <si>
    <t>23.07.2024</t>
  </si>
  <si>
    <t xml:space="preserve"> KZKD00001152 </t>
  </si>
  <si>
    <t xml:space="preserve"> KZ2C00010502 </t>
  </si>
  <si>
    <t xml:space="preserve"> KZKD00001228 </t>
  </si>
  <si>
    <t xml:space="preserve"> 23.07.2024 </t>
  </si>
  <si>
    <t xml:space="preserve">KZKD00000550 </t>
  </si>
  <si>
    <t>NTK028_2852</t>
  </si>
  <si>
    <t>KZW100014189</t>
  </si>
  <si>
    <t>KAZAKS 3.8750 10/14/24 Corp</t>
  </si>
  <si>
    <t>Ok</t>
  </si>
  <si>
    <t>Дебиторская задолженность</t>
  </si>
  <si>
    <t>Наименование</t>
  </si>
  <si>
    <t>Валюта</t>
  </si>
  <si>
    <t>Дата постановки на учет</t>
  </si>
  <si>
    <t>Остаток в валюте</t>
  </si>
  <si>
    <t>Остаток в тенге</t>
  </si>
  <si>
    <t>ДУ</t>
  </si>
  <si>
    <t>0,5% + ставка рефинансирования НБ РК на момент фикса реестра</t>
  </si>
  <si>
    <t>JSBNb2</t>
  </si>
  <si>
    <t>KZ2C00011658</t>
  </si>
  <si>
    <t>KZ2C00010577</t>
  </si>
  <si>
    <t xml:space="preserve">Close Value </t>
  </si>
  <si>
    <t>Фикс</t>
  </si>
  <si>
    <t>Покупка</t>
  </si>
  <si>
    <t>MFOKb20</t>
  </si>
  <si>
    <t>KZ2C00010916</t>
  </si>
  <si>
    <t>NTK028_2853</t>
  </si>
  <si>
    <t>KZW100014197</t>
  </si>
  <si>
    <t>Погашение</t>
  </si>
  <si>
    <t>Продажа</t>
  </si>
  <si>
    <t>продажа</t>
  </si>
  <si>
    <t>KZ2D00011863</t>
  </si>
  <si>
    <t>Евразийский Банк Развития</t>
  </si>
  <si>
    <t>EABRb52</t>
  </si>
  <si>
    <t>чистая цена в %</t>
  </si>
  <si>
    <t>Код</t>
  </si>
  <si>
    <t>Компания</t>
  </si>
  <si>
    <t>Рыночная цена</t>
  </si>
  <si>
    <t>Рыночная "грязная" цена</t>
  </si>
  <si>
    <t>Срок до погашения</t>
  </si>
  <si>
    <t>акции</t>
  </si>
  <si>
    <t>тенге</t>
  </si>
  <si>
    <t>KZ2C00011245</t>
  </si>
  <si>
    <t>BTRKb14</t>
  </si>
  <si>
    <t>NTK028_2854</t>
  </si>
  <si>
    <t>KZW100014205</t>
  </si>
  <si>
    <t>16_1</t>
  </si>
  <si>
    <t>16_2</t>
  </si>
  <si>
    <t>16_3</t>
  </si>
  <si>
    <t>16_4</t>
  </si>
  <si>
    <t>114138196|S|114515</t>
  </si>
  <si>
    <t>114138371|S|114813</t>
  </si>
  <si>
    <t>код сделки на бирже</t>
  </si>
  <si>
    <t>114154792|S|115610</t>
  </si>
  <si>
    <t>114154807|S|115629</t>
  </si>
  <si>
    <t>114168762|S|113757</t>
  </si>
  <si>
    <t>114168791|S|113842</t>
  </si>
  <si>
    <t>114169168|S|114358</t>
  </si>
  <si>
    <t>16_5</t>
  </si>
  <si>
    <t>16_6</t>
  </si>
  <si>
    <t>114183550|S|114302</t>
  </si>
  <si>
    <t>114183712|S|114438</t>
  </si>
  <si>
    <t>114197415|S|114757</t>
  </si>
  <si>
    <t>114197418|S|114757</t>
  </si>
  <si>
    <t>114197726|S|115653</t>
  </si>
  <si>
    <t>114210069|S|115048</t>
  </si>
  <si>
    <t>114210749|S|120148</t>
  </si>
  <si>
    <t>98,9726gsd</t>
  </si>
  <si>
    <t>486,3013198g</t>
  </si>
  <si>
    <t>114226435|S|115443</t>
  </si>
  <si>
    <t>114226504|S|115545</t>
  </si>
  <si>
    <t>114238996|S|114558</t>
  </si>
  <si>
    <t>114239327|S|115207</t>
  </si>
  <si>
    <t>490,216248det89</t>
  </si>
  <si>
    <t>1011,052715df569</t>
  </si>
  <si>
    <t>1056,4028adfg</t>
  </si>
  <si>
    <t>1128,313SDFGGRE</t>
  </si>
  <si>
    <t>114253846|S|114313</t>
  </si>
  <si>
    <t>114253974|S|114552</t>
  </si>
  <si>
    <t>492,6441выап</t>
  </si>
  <si>
    <t>944,4294вукп</t>
  </si>
  <si>
    <t>996,949ацфк49ацык</t>
  </si>
  <si>
    <t>1039,41091фвп1</t>
  </si>
  <si>
    <t>114267105|S|114426</t>
  </si>
  <si>
    <t>114267381|S|115030</t>
  </si>
  <si>
    <t>114267675|S|115707</t>
  </si>
  <si>
    <t>487,8196df</t>
  </si>
  <si>
    <t>1039,5707dfdhhj,k</t>
  </si>
  <si>
    <t>114281174|S|115211</t>
  </si>
  <si>
    <t>114281290|S|115456</t>
  </si>
  <si>
    <t>114294987|S|114219</t>
  </si>
  <si>
    <t>114295099|S|114348</t>
  </si>
  <si>
    <t>MUM0840018</t>
  </si>
  <si>
    <t>MUM1080012</t>
  </si>
  <si>
    <t>496,45335rg5gr</t>
  </si>
  <si>
    <t>998,09978/7g48</t>
  </si>
  <si>
    <t>114310874|S|120011</t>
  </si>
  <si>
    <t>114310919|S|120107</t>
  </si>
  <si>
    <t>MUM1680005</t>
  </si>
  <si>
    <t>MOM0240087</t>
  </si>
  <si>
    <t>MUM0960012</t>
  </si>
  <si>
    <t>MUM1680003</t>
  </si>
  <si>
    <t>MUM1440009</t>
  </si>
  <si>
    <t>MUM2400001</t>
  </si>
  <si>
    <t>MUM2400004</t>
  </si>
  <si>
    <t>495,6588t541</t>
  </si>
  <si>
    <t>999,2251465ftg</t>
  </si>
  <si>
    <t>1137,6565416yjg</t>
  </si>
  <si>
    <t>114324205|S|114631</t>
  </si>
  <si>
    <t>114324252|S|114709</t>
  </si>
  <si>
    <t>MOM0360091</t>
  </si>
  <si>
    <t>MKM0120156</t>
  </si>
  <si>
    <t>97,1409df</t>
  </si>
  <si>
    <t>485,4048we78r</t>
  </si>
  <si>
    <t>499,720998s84g</t>
  </si>
  <si>
    <t>114339002|S|115626</t>
  </si>
  <si>
    <t>114339158|S|120016</t>
  </si>
  <si>
    <t>114353522|S|120448</t>
  </si>
  <si>
    <t>114354391|S|122443</t>
  </si>
  <si>
    <t>MUM1800011</t>
  </si>
  <si>
    <t>114368010|S|115706</t>
  </si>
  <si>
    <t>114368085|S|115842</t>
  </si>
  <si>
    <t>MOM0480052</t>
  </si>
  <si>
    <t>MUM3000003</t>
  </si>
  <si>
    <t>NTK028_2855</t>
  </si>
  <si>
    <t>MUM1080014</t>
  </si>
  <si>
    <t>MKM0090019</t>
  </si>
  <si>
    <t>MOM0480054</t>
  </si>
  <si>
    <t>MUM1080013</t>
  </si>
  <si>
    <t>MUM1800012</t>
  </si>
  <si>
    <t>KZ_23_3504</t>
  </si>
  <si>
    <t>XS2914770545</t>
  </si>
  <si>
    <t>MFOKb22</t>
  </si>
  <si>
    <t>KZ2C00011914</t>
  </si>
  <si>
    <t>KZK100000365</t>
  </si>
  <si>
    <t>MKM012_0159</t>
  </si>
  <si>
    <t>АО "Национальная атомная компания "Казатомпром"</t>
  </si>
  <si>
    <t>MFMOb9</t>
  </si>
  <si>
    <t>KZ2P00012552</t>
  </si>
  <si>
    <t>BIGDb1</t>
  </si>
  <si>
    <t>KZ2D00012457</t>
  </si>
  <si>
    <t>MUM1200016</t>
  </si>
  <si>
    <t>Доходность до погашения. % годовых</t>
  </si>
  <si>
    <t>Дата расчетов</t>
  </si>
  <si>
    <t>KZ2C00012698</t>
  </si>
  <si>
    <t>1089,951591689255fr</t>
  </si>
  <si>
    <t>601,86963746180254asd</t>
  </si>
  <si>
    <t>1153,749528029281fs98df41</t>
  </si>
  <si>
    <t>528,739280827313sdfq</t>
  </si>
  <si>
    <t>894,1207590612ef54e8w65</t>
  </si>
  <si>
    <t>HSBKb22</t>
  </si>
  <si>
    <t>KZ2C00012482</t>
  </si>
  <si>
    <t>MFMOb11</t>
  </si>
  <si>
    <t>KZ2P00012925</t>
  </si>
  <si>
    <t>Столбец1</t>
  </si>
  <si>
    <t>&gt;31/12/2024</t>
  </si>
  <si>
    <t>MUM1200019</t>
  </si>
  <si>
    <t>NTK028_2859</t>
  </si>
  <si>
    <t>KZK100000373</t>
  </si>
  <si>
    <t>MUM120_0020</t>
  </si>
  <si>
    <t>Кол-во бумаг</t>
  </si>
  <si>
    <t>Номинал</t>
  </si>
  <si>
    <t xml:space="preserve">Чистая цена </t>
  </si>
  <si>
    <t xml:space="preserve">Грязная цена </t>
  </si>
  <si>
    <t>EABRb42</t>
  </si>
  <si>
    <t>EBRDe27</t>
  </si>
  <si>
    <t>MOM0240088</t>
  </si>
  <si>
    <t>MKM0120159</t>
  </si>
  <si>
    <t>EABRb53</t>
  </si>
  <si>
    <t>NTK028_2861</t>
  </si>
  <si>
    <t>KZ2C00012268</t>
  </si>
  <si>
    <t>AIRAd</t>
  </si>
  <si>
    <t>US0090632078</t>
  </si>
  <si>
    <t>ALMSb1</t>
  </si>
  <si>
    <t>KZ2C00012953</t>
  </si>
  <si>
    <t>АО "АК Алтыналмас"</t>
  </si>
  <si>
    <t>BRKZe14</t>
  </si>
  <si>
    <t>XS2800066297</t>
  </si>
  <si>
    <t>FPSTb5</t>
  </si>
  <si>
    <t>KZ2P00011778</t>
  </si>
  <si>
    <t>ТОО "BASS Gold"</t>
  </si>
  <si>
    <t>KMGZe11</t>
  </si>
  <si>
    <t>XS1595713782</t>
  </si>
  <si>
    <t>KZTKp</t>
  </si>
  <si>
    <t>KZ0009094645</t>
  </si>
  <si>
    <t>MFMCb2</t>
  </si>
  <si>
    <t>KZ2P00011968</t>
  </si>
  <si>
    <t>MFMOb10</t>
  </si>
  <si>
    <t>KZ2P00012651</t>
  </si>
  <si>
    <t>MFMOb14</t>
  </si>
  <si>
    <t>KZ2P00013287</t>
  </si>
  <si>
    <t>MFOKb19</t>
  </si>
  <si>
    <t>KZ2C00010825</t>
  </si>
  <si>
    <t>MFOKb21</t>
  </si>
  <si>
    <t>KZ2C00011906</t>
  </si>
  <si>
    <t>MFOKb24</t>
  </si>
  <si>
    <t>KZ2C00013258</t>
  </si>
  <si>
    <t>MFOKb25</t>
  </si>
  <si>
    <t>KZ2C00013266</t>
  </si>
  <si>
    <t>MFRFb13</t>
  </si>
  <si>
    <t>KZ2P00011398</t>
  </si>
  <si>
    <t>MFRFb14</t>
  </si>
  <si>
    <t>KZ2P00011687</t>
  </si>
  <si>
    <t>MFRFb16</t>
  </si>
  <si>
    <t>KZ2P00013063</t>
  </si>
  <si>
    <t>MFUCb6</t>
  </si>
  <si>
    <t>KZ2P00011174</t>
  </si>
  <si>
    <t>MKM012_0160</t>
  </si>
  <si>
    <t>MUM084_0020</t>
  </si>
  <si>
    <t>KZKD00001285</t>
  </si>
  <si>
    <t>MUM108_0015</t>
  </si>
  <si>
    <t>KZKD00001277</t>
  </si>
  <si>
    <t>KZKD00001269</t>
  </si>
  <si>
    <t>MUX072_0003</t>
  </si>
  <si>
    <t>KZKB00000040</t>
  </si>
  <si>
    <t>NCOMb5</t>
  </si>
  <si>
    <t>KZ2P00013170</t>
  </si>
  <si>
    <t>AAFD</t>
  </si>
  <si>
    <t>KZ1C00008721</t>
  </si>
  <si>
    <t>AAL_KZ</t>
  </si>
  <si>
    <t>US02376R1023</t>
  </si>
  <si>
    <t>American Airlines</t>
  </si>
  <si>
    <t>AAPL_KZ</t>
  </si>
  <si>
    <t>US0378331005</t>
  </si>
  <si>
    <t xml:space="preserve">Apple Inc. </t>
  </si>
  <si>
    <t>ABK022_210</t>
  </si>
  <si>
    <t>KZMJ00002103</t>
  </si>
  <si>
    <t>ABK024_183</t>
  </si>
  <si>
    <t>KZMJ00001832</t>
  </si>
  <si>
    <t>ABK114_193</t>
  </si>
  <si>
    <t>KZMJ00001931</t>
  </si>
  <si>
    <t>ABK119_006</t>
  </si>
  <si>
    <t>KZMF00000069</t>
  </si>
  <si>
    <t>ABK119_081</t>
  </si>
  <si>
    <t>KZMF00000812</t>
  </si>
  <si>
    <t>ABK131_021</t>
  </si>
  <si>
    <t>KZMF00000218</t>
  </si>
  <si>
    <t>ABK143_032</t>
  </si>
  <si>
    <t>KZMF00000325</t>
  </si>
  <si>
    <t>ABK143_033</t>
  </si>
  <si>
    <t>KZMF00000333</t>
  </si>
  <si>
    <t>ABT_KZ</t>
  </si>
  <si>
    <t>US0028241000</t>
  </si>
  <si>
    <t>Abbott Lab.</t>
  </si>
  <si>
    <t>ADLA</t>
  </si>
  <si>
    <t>KZ1C00000918</t>
  </si>
  <si>
    <t>ADRP</t>
  </si>
  <si>
    <t>KZ1C00014562</t>
  </si>
  <si>
    <t>AEP_KZ</t>
  </si>
  <si>
    <t>US0255371017</t>
  </si>
  <si>
    <t>American Electric Power Company, Inc.</t>
  </si>
  <si>
    <t>AE_01_3004</t>
  </si>
  <si>
    <t>XS2125308168</t>
  </si>
  <si>
    <t>AE_02_2909</t>
  </si>
  <si>
    <t>XS2057865979</t>
  </si>
  <si>
    <t>AGKKb11</t>
  </si>
  <si>
    <t>KZ2C00006120</t>
  </si>
  <si>
    <t>AGKKb12</t>
  </si>
  <si>
    <t>KZ2C00006161</t>
  </si>
  <si>
    <t>AGKKb14</t>
  </si>
  <si>
    <t>KZ2C00006922</t>
  </si>
  <si>
    <t>AGKKb19</t>
  </si>
  <si>
    <t>KZ2C00007755</t>
  </si>
  <si>
    <t>AGKKb20</t>
  </si>
  <si>
    <t>KZ2C00007953</t>
  </si>
  <si>
    <t>AGKKb22</t>
  </si>
  <si>
    <t>KZ2C00008316</t>
  </si>
  <si>
    <t>AGKKb7</t>
  </si>
  <si>
    <t>KZ2C00003796</t>
  </si>
  <si>
    <t>AGRC</t>
  </si>
  <si>
    <t>KZ1C00014513</t>
  </si>
  <si>
    <t>AIK022_200</t>
  </si>
  <si>
    <t>KZMJ00002004</t>
  </si>
  <si>
    <t>AIK024_167</t>
  </si>
  <si>
    <t>KZMJ00001675</t>
  </si>
  <si>
    <t>AIK024_185</t>
  </si>
  <si>
    <t>KZMJ00001857</t>
  </si>
  <si>
    <t>AIK112_208</t>
  </si>
  <si>
    <t>KZMJ00002087</t>
  </si>
  <si>
    <t>AIK117_097</t>
  </si>
  <si>
    <t>KZMF00000978</t>
  </si>
  <si>
    <t>AIR_KZ</t>
  </si>
  <si>
    <t>NL0000235190</t>
  </si>
  <si>
    <t>Airbus</t>
  </si>
  <si>
    <t>AKGR</t>
  </si>
  <si>
    <t>KZ1C00014141</t>
  </si>
  <si>
    <t>AKK022_201</t>
  </si>
  <si>
    <t>KZMJ00002012</t>
  </si>
  <si>
    <t>AKK024_177</t>
  </si>
  <si>
    <t>KZMJ00001774</t>
  </si>
  <si>
    <t>AKK024_179</t>
  </si>
  <si>
    <t>KZMJ00001790</t>
  </si>
  <si>
    <t>AKK116_104</t>
  </si>
  <si>
    <t>KZMF00001042</t>
  </si>
  <si>
    <t>AKK119_005</t>
  </si>
  <si>
    <t>KZMF00000051</t>
  </si>
  <si>
    <t>AKK119_076</t>
  </si>
  <si>
    <t>KZMF00000762</t>
  </si>
  <si>
    <t>AKK131_028</t>
  </si>
  <si>
    <t>KZMF00000283</t>
  </si>
  <si>
    <t>AKK143_036</t>
  </si>
  <si>
    <t>KZMF00000366</t>
  </si>
  <si>
    <t>AKK143_037</t>
  </si>
  <si>
    <t>KZMF00000374</t>
  </si>
  <si>
    <t>AKK143_061</t>
  </si>
  <si>
    <t>KZMF00000614</t>
  </si>
  <si>
    <t>AKMGb1</t>
  </si>
  <si>
    <t>KZ2C00005676</t>
  </si>
  <si>
    <t>AKMGb2</t>
  </si>
  <si>
    <t>KZ2C00005841</t>
  </si>
  <si>
    <t>AKRL</t>
  </si>
  <si>
    <t>KZ1C00001007</t>
  </si>
  <si>
    <t xml:space="preserve">АО "Актюбинский завод металлоконструкций" </t>
  </si>
  <si>
    <t>ALBNb5</t>
  </si>
  <si>
    <t>KZ2C00006062</t>
  </si>
  <si>
    <t>ALK022_012</t>
  </si>
  <si>
    <t>KZAJ00000127</t>
  </si>
  <si>
    <t>ALK115_013</t>
  </si>
  <si>
    <t>KZAJ00000135</t>
  </si>
  <si>
    <t>ALK117_008</t>
  </si>
  <si>
    <t>KZAF00000089</t>
  </si>
  <si>
    <t>ALK119_002</t>
  </si>
  <si>
    <t>KZAF00000022</t>
  </si>
  <si>
    <t>ALK119_007</t>
  </si>
  <si>
    <t>KZAF00000071</t>
  </si>
  <si>
    <t>ALK131_003</t>
  </si>
  <si>
    <t>KZAF00000030</t>
  </si>
  <si>
    <t>ALK143_004</t>
  </si>
  <si>
    <t>KZAF00000048</t>
  </si>
  <si>
    <t>ALK143_005</t>
  </si>
  <si>
    <t>KZAF00000055</t>
  </si>
  <si>
    <t>ALK143_006</t>
  </si>
  <si>
    <t>KZAF00000063</t>
  </si>
  <si>
    <t>ALLCpp1</t>
  </si>
  <si>
    <t>KZ2P00008758</t>
  </si>
  <si>
    <t>ALMS</t>
  </si>
  <si>
    <t>KZ1C00001080</t>
  </si>
  <si>
    <t>ALTV</t>
  </si>
  <si>
    <t>KZ1C00001460</t>
  </si>
  <si>
    <t>AMAN</t>
  </si>
  <si>
    <t>KZ1C00000983</t>
  </si>
  <si>
    <t>AMD_KZ</t>
  </si>
  <si>
    <t>US0079031078</t>
  </si>
  <si>
    <t>Advanced Micro Devices, Inc.</t>
  </si>
  <si>
    <t>AMGZp</t>
  </si>
  <si>
    <t>KZ0009093902</t>
  </si>
  <si>
    <t>AMIN</t>
  </si>
  <si>
    <t>KZ1C00000603</t>
  </si>
  <si>
    <t>AMXP</t>
  </si>
  <si>
    <t>KZ1C00001601</t>
  </si>
  <si>
    <t>AMZN_KZ</t>
  </si>
  <si>
    <t>US0231351067</t>
  </si>
  <si>
    <t>Amazon.com, Inc.</t>
  </si>
  <si>
    <t>ANSA</t>
  </si>
  <si>
    <t>KZ1C00001163</t>
  </si>
  <si>
    <t>ARCDpp1</t>
  </si>
  <si>
    <t>KZ2P00008493</t>
  </si>
  <si>
    <t>ARCDpp2</t>
  </si>
  <si>
    <t>KZ2P00009202</t>
  </si>
  <si>
    <t>ARCDpp3</t>
  </si>
  <si>
    <t>KZ2P00009665</t>
  </si>
  <si>
    <t>ARK116_103</t>
  </si>
  <si>
    <t>KZMF00001034</t>
  </si>
  <si>
    <t>ARK119_002</t>
  </si>
  <si>
    <t>KZMF00000028</t>
  </si>
  <si>
    <t>ARK119_079</t>
  </si>
  <si>
    <t>KZMF00000796</t>
  </si>
  <si>
    <t>ARK131_029</t>
  </si>
  <si>
    <t>KZMF00000291</t>
  </si>
  <si>
    <t>ARK143_045</t>
  </si>
  <si>
    <t>KZMF00000457</t>
  </si>
  <si>
    <t>ARK143_046</t>
  </si>
  <si>
    <t>KZMF00000465</t>
  </si>
  <si>
    <t>ARK143_067</t>
  </si>
  <si>
    <t>KZMF00000671</t>
  </si>
  <si>
    <t>ARMAb1</t>
  </si>
  <si>
    <t>KZ2P00011786</t>
  </si>
  <si>
    <t>ARSApp1</t>
  </si>
  <si>
    <t>KZ2C00011203</t>
  </si>
  <si>
    <t>ASBN</t>
  </si>
  <si>
    <t>KZ000A0F4546</t>
  </si>
  <si>
    <t>ASBNd</t>
  </si>
  <si>
    <t>US34955X5077</t>
  </si>
  <si>
    <t>ASDBe15</t>
  </si>
  <si>
    <t>XS2610164944</t>
  </si>
  <si>
    <t>ASDBe17</t>
  </si>
  <si>
    <t>US045167FW84</t>
  </si>
  <si>
    <t>ASDBe18</t>
  </si>
  <si>
    <t>US045167GD94</t>
  </si>
  <si>
    <t>ASDBe19</t>
  </si>
  <si>
    <t>XS2971950428</t>
  </si>
  <si>
    <t>ASDBe2</t>
  </si>
  <si>
    <t>ASDBe20</t>
  </si>
  <si>
    <t>XS3015676425</t>
  </si>
  <si>
    <t>ASDBe6</t>
  </si>
  <si>
    <t>XS2294363416</t>
  </si>
  <si>
    <t>ASDBe7</t>
  </si>
  <si>
    <t>ASDBe8</t>
  </si>
  <si>
    <t>XS2351373134</t>
  </si>
  <si>
    <t>ASDBe9</t>
  </si>
  <si>
    <t>ASK022_013</t>
  </si>
  <si>
    <t>KZZJ00000136</t>
  </si>
  <si>
    <t>ASK024_012</t>
  </si>
  <si>
    <t>KZZJ00000128</t>
  </si>
  <si>
    <t>ASK116_014</t>
  </si>
  <si>
    <t>KZZJ00000144</t>
  </si>
  <si>
    <t>ASK119_001</t>
  </si>
  <si>
    <t>KZZF00000015</t>
  </si>
  <si>
    <t>ASKQ</t>
  </si>
  <si>
    <t>KZ1C00014851</t>
  </si>
  <si>
    <t>ASKQb1</t>
  </si>
  <si>
    <t>KZ2C00010155</t>
  </si>
  <si>
    <t>ASKQp</t>
  </si>
  <si>
    <t>KZ1P00014989</t>
  </si>
  <si>
    <t>ASLF</t>
  </si>
  <si>
    <t>KZ1C00001585</t>
  </si>
  <si>
    <t>ASPKpp1</t>
  </si>
  <si>
    <t>KZ2P00008998</t>
  </si>
  <si>
    <t>ASPKpp2</t>
  </si>
  <si>
    <t>KZ2P00011091</t>
  </si>
  <si>
    <t>ASTL</t>
  </si>
  <si>
    <t>KZ1C00000678</t>
  </si>
  <si>
    <t>ATEC</t>
  </si>
  <si>
    <t>KZ1C00001171</t>
  </si>
  <si>
    <t>ATFBb15</t>
  </si>
  <si>
    <t>KZ2C00003135</t>
  </si>
  <si>
    <t>ATFBb16</t>
  </si>
  <si>
    <t>KZ2C00004059</t>
  </si>
  <si>
    <t>ATK022_197</t>
  </si>
  <si>
    <t>KZMJ00001972</t>
  </si>
  <si>
    <t>ATK024_184</t>
  </si>
  <si>
    <t>KZMJ00001840</t>
  </si>
  <si>
    <t>ATK114_199</t>
  </si>
  <si>
    <t>KZMJ00001998</t>
  </si>
  <si>
    <t>ATK116_096</t>
  </si>
  <si>
    <t>KZMF00000960</t>
  </si>
  <si>
    <t>ATK119_007</t>
  </si>
  <si>
    <t>KZMF00000077</t>
  </si>
  <si>
    <t>ATK119_072</t>
  </si>
  <si>
    <t>KZMF00000721</t>
  </si>
  <si>
    <t>ATK131_031</t>
  </si>
  <si>
    <t>KZMF00000317</t>
  </si>
  <si>
    <t>ATK143_047</t>
  </si>
  <si>
    <t>KZMF00000473</t>
  </si>
  <si>
    <t>ATK143_049</t>
  </si>
  <si>
    <t>KZMF00000499</t>
  </si>
  <si>
    <t>ATK143_065</t>
  </si>
  <si>
    <t>KZMF00000655</t>
  </si>
  <si>
    <t>ATVS</t>
  </si>
  <si>
    <t>KZ1C00001155</t>
  </si>
  <si>
    <t>AT_01_2006</t>
  </si>
  <si>
    <t>AT0000A2HLC4</t>
  </si>
  <si>
    <t>AVKGpp1</t>
  </si>
  <si>
    <t>KZ2P00008741</t>
  </si>
  <si>
    <t>AVKGpp2</t>
  </si>
  <si>
    <t>KZ2P00011075</t>
  </si>
  <si>
    <t>AZNO</t>
  </si>
  <si>
    <t>KZ000A1CTMD1</t>
  </si>
  <si>
    <t>AZNOp</t>
  </si>
  <si>
    <t>KZ1P00000269</t>
  </si>
  <si>
    <t>BAC_KZ</t>
  </si>
  <si>
    <t>US0605051046</t>
  </si>
  <si>
    <t>Bank of America Corporation</t>
  </si>
  <si>
    <t>BAST</t>
  </si>
  <si>
    <t>KZ1C00001015</t>
  </si>
  <si>
    <t>BA_KZ</t>
  </si>
  <si>
    <t>US0970231058</t>
  </si>
  <si>
    <t>The Boeing Company</t>
  </si>
  <si>
    <t>BCCI_cc</t>
  </si>
  <si>
    <t>KZPF00000058</t>
  </si>
  <si>
    <t>BCCIwah</t>
  </si>
  <si>
    <t>KZPF00000900</t>
  </si>
  <si>
    <t>BENK</t>
  </si>
  <si>
    <t>KZ1C00013663</t>
  </si>
  <si>
    <t>BERKb13</t>
  </si>
  <si>
    <t>KZ2C00009934</t>
  </si>
  <si>
    <t>BERKb19</t>
  </si>
  <si>
    <t>KZ2C00011708</t>
  </si>
  <si>
    <t>BERKb20</t>
  </si>
  <si>
    <t>KZ2C00011831</t>
  </si>
  <si>
    <t>BI Development Ltd.</t>
  </si>
  <si>
    <t>BIGDb2</t>
  </si>
  <si>
    <t>KZ2D00012531</t>
  </si>
  <si>
    <t>BIIB_KZ</t>
  </si>
  <si>
    <t>US09062X1037</t>
  </si>
  <si>
    <t>Biogen</t>
  </si>
  <si>
    <t>BIL_KZ</t>
  </si>
  <si>
    <t>US78468R6633</t>
  </si>
  <si>
    <t xml:space="preserve">SPDR Series Trust </t>
  </si>
  <si>
    <t>BITO_KZ</t>
  </si>
  <si>
    <t>US74347G4405</t>
  </si>
  <si>
    <t>ProShares Trust</t>
  </si>
  <si>
    <t>BKBTb1</t>
  </si>
  <si>
    <t>KZ2P00010317</t>
  </si>
  <si>
    <t>BOTZ_KZ</t>
  </si>
  <si>
    <t>US37954Y7159</t>
  </si>
  <si>
    <t>Mirae Asset Global Investments</t>
  </si>
  <si>
    <t>BRBKb1</t>
  </si>
  <si>
    <t>KZ2P00009905</t>
  </si>
  <si>
    <t>BRKZb10</t>
  </si>
  <si>
    <t>KZ2C00004000</t>
  </si>
  <si>
    <t>BRKZb11</t>
  </si>
  <si>
    <t>KZ2C00004018</t>
  </si>
  <si>
    <t>BRKZb12</t>
  </si>
  <si>
    <t>KZ2C00004026</t>
  </si>
  <si>
    <t>BRKZb13</t>
  </si>
  <si>
    <t>BRKZb14</t>
  </si>
  <si>
    <t>BRKZb15</t>
  </si>
  <si>
    <t>BRKZb17</t>
  </si>
  <si>
    <t>KZ2C00006286</t>
  </si>
  <si>
    <t>BRKZb18</t>
  </si>
  <si>
    <t>KZ2C00006765</t>
  </si>
  <si>
    <t>BRKZb20</t>
  </si>
  <si>
    <t>KZ2C00006898</t>
  </si>
  <si>
    <t>BRKZb21</t>
  </si>
  <si>
    <t>KZ2C00007102</t>
  </si>
  <si>
    <t>BRKZb24</t>
  </si>
  <si>
    <t>KZ2C00007904</t>
  </si>
  <si>
    <t>BRKZb27</t>
  </si>
  <si>
    <t>KZ2C00009132</t>
  </si>
  <si>
    <t>BRKZb28</t>
  </si>
  <si>
    <t>KZ2C00009140</t>
  </si>
  <si>
    <t>BRKZb3</t>
  </si>
  <si>
    <t>KZ2C00003580</t>
  </si>
  <si>
    <t>BRKZb32</t>
  </si>
  <si>
    <t>KZ2C00009637</t>
  </si>
  <si>
    <t>BRKZb38</t>
  </si>
  <si>
    <t>KZ2C00011583</t>
  </si>
  <si>
    <t>BRKZb41</t>
  </si>
  <si>
    <t>KZ2C00012813</t>
  </si>
  <si>
    <t>BRKZb5</t>
  </si>
  <si>
    <t>KZ2C00003648</t>
  </si>
  <si>
    <t>BRKZb6</t>
  </si>
  <si>
    <t>KZ2C00003713</t>
  </si>
  <si>
    <t>BRKZe12</t>
  </si>
  <si>
    <t>XS2337670694</t>
  </si>
  <si>
    <t>BRKZe15</t>
  </si>
  <si>
    <t>XS2800066370</t>
  </si>
  <si>
    <t>BRKZe16</t>
  </si>
  <si>
    <t>XS2917067204</t>
  </si>
  <si>
    <t>BRKZe17</t>
  </si>
  <si>
    <t>XS2917067386</t>
  </si>
  <si>
    <t>BRKZe18</t>
  </si>
  <si>
    <t>XS3032932645</t>
  </si>
  <si>
    <t>BSGR</t>
  </si>
  <si>
    <t>KZ1C00001353</t>
  </si>
  <si>
    <t>BSTD_KZe1</t>
  </si>
  <si>
    <t>KZX000002183</t>
  </si>
  <si>
    <t>Black Sea Trade and Development Bank</t>
  </si>
  <si>
    <t>BSUL</t>
  </si>
  <si>
    <t>KZ1C00000165</t>
  </si>
  <si>
    <t>BTDVb4</t>
  </si>
  <si>
    <t>KZ2C00006807</t>
  </si>
  <si>
    <t>BTDVb5</t>
  </si>
  <si>
    <t>KZ2C00006815</t>
  </si>
  <si>
    <t>BTDVb6</t>
  </si>
  <si>
    <t>KZ2C00006823</t>
  </si>
  <si>
    <t>BTDVb7</t>
  </si>
  <si>
    <t>KZ2C00006831</t>
  </si>
  <si>
    <t>BTRKb1</t>
  </si>
  <si>
    <t>BTRKb11</t>
  </si>
  <si>
    <t>KZ2C00011211</t>
  </si>
  <si>
    <t>BTRKb17</t>
  </si>
  <si>
    <t>BTRKb18</t>
  </si>
  <si>
    <t>KZ2C00012987</t>
  </si>
  <si>
    <t>BTRKb19</t>
  </si>
  <si>
    <t>KZ2C00012995</t>
  </si>
  <si>
    <t>BTRKb20</t>
  </si>
  <si>
    <t>BTRKb8</t>
  </si>
  <si>
    <t>KZ2C00008332</t>
  </si>
  <si>
    <t>BTRKb9</t>
  </si>
  <si>
    <t>KZ2C00010304</t>
  </si>
  <si>
    <t>BTTRb1</t>
  </si>
  <si>
    <t>KZ000A0T88N8</t>
  </si>
  <si>
    <t>CAHO</t>
  </si>
  <si>
    <t>KZ1C00000629</t>
  </si>
  <si>
    <t>CAT_KZ</t>
  </si>
  <si>
    <t>US1491231015</t>
  </si>
  <si>
    <t>Caterpillar</t>
  </si>
  <si>
    <t>CCBNb30</t>
  </si>
  <si>
    <t>KZ2C00004158</t>
  </si>
  <si>
    <t>CCBNb32</t>
  </si>
  <si>
    <t>KZ2C00004554</t>
  </si>
  <si>
    <t>CCBNb33</t>
  </si>
  <si>
    <t>KZ2C00007714</t>
  </si>
  <si>
    <t>CCBNb37</t>
  </si>
  <si>
    <t>KZ2C00013472</t>
  </si>
  <si>
    <t>ТОО "Capital Leasing Group (Капитал Лизинг Груп)"</t>
  </si>
  <si>
    <t>CLSGb3</t>
  </si>
  <si>
    <t>KZ2P00010192</t>
  </si>
  <si>
    <t>CLSGb4</t>
  </si>
  <si>
    <t>KZ2P00011604</t>
  </si>
  <si>
    <t>CLSGb5</t>
  </si>
  <si>
    <t>KZ2P00011612</t>
  </si>
  <si>
    <t>COP_KZ</t>
  </si>
  <si>
    <t>US20825C1045</t>
  </si>
  <si>
    <t>ConocoPhillips</t>
  </si>
  <si>
    <t>CRMG</t>
  </si>
  <si>
    <t>KZ1C00001486</t>
  </si>
  <si>
    <t>CRM_KZ</t>
  </si>
  <si>
    <t>US79466L3024</t>
  </si>
  <si>
    <t>SALESFORCE.COM Inc</t>
  </si>
  <si>
    <t>CSEC</t>
  </si>
  <si>
    <t>KZ1C00009562</t>
  </si>
  <si>
    <t>CSECgm</t>
  </si>
  <si>
    <t>KZPF00000033</t>
  </si>
  <si>
    <t>C_KZ</t>
  </si>
  <si>
    <t>US1729674242</t>
  </si>
  <si>
    <t>Citigroup Inc.</t>
  </si>
  <si>
    <t>DIS_KZ</t>
  </si>
  <si>
    <t>US2546871060</t>
  </si>
  <si>
    <t>The Walt Disney Company</t>
  </si>
  <si>
    <t>DTJLb1</t>
  </si>
  <si>
    <t>KZ2C00000701</t>
  </si>
  <si>
    <t>DZK022_191</t>
  </si>
  <si>
    <t>KZMJ00001915</t>
  </si>
  <si>
    <t>DZK024_168</t>
  </si>
  <si>
    <t>KZMJ00001683</t>
  </si>
  <si>
    <t>DZK024_170</t>
  </si>
  <si>
    <t>KZMJ00001709</t>
  </si>
  <si>
    <t>DZK024_180</t>
  </si>
  <si>
    <t>KZMJ00001808</t>
  </si>
  <si>
    <t>DZK024_213</t>
  </si>
  <si>
    <t>KZMJ00002137</t>
  </si>
  <si>
    <t>DZK117_088</t>
  </si>
  <si>
    <t>KZMF00000887</t>
  </si>
  <si>
    <t>DZK119_016</t>
  </si>
  <si>
    <t>KZMF00000168</t>
  </si>
  <si>
    <t>DZK119_082</t>
  </si>
  <si>
    <t>KZMF00000820</t>
  </si>
  <si>
    <t>DZK131_022</t>
  </si>
  <si>
    <t>KZMF00000226</t>
  </si>
  <si>
    <t>DZK143_042</t>
  </si>
  <si>
    <t>KZMF00000424</t>
  </si>
  <si>
    <t>DZK143_043</t>
  </si>
  <si>
    <t>KZMF00000432</t>
  </si>
  <si>
    <t>DZK143_064</t>
  </si>
  <si>
    <t>KZMF00000648</t>
  </si>
  <si>
    <t>KZ2D00009222</t>
  </si>
  <si>
    <t>EABRb49</t>
  </si>
  <si>
    <t>KZ2D00013620</t>
  </si>
  <si>
    <t>EABRe6</t>
  </si>
  <si>
    <t>XS2315951041</t>
  </si>
  <si>
    <t>EBRDe10</t>
  </si>
  <si>
    <t>EBRDe11</t>
  </si>
  <si>
    <t>EBRDe13</t>
  </si>
  <si>
    <t>EBRDe19</t>
  </si>
  <si>
    <t>XS2655869530</t>
  </si>
  <si>
    <t>EBRDe20</t>
  </si>
  <si>
    <t>XS2708176610</t>
  </si>
  <si>
    <t>EBRDe24</t>
  </si>
  <si>
    <t>US29874QEX88</t>
  </si>
  <si>
    <t>US29874QFA76</t>
  </si>
  <si>
    <t>XS3004202225</t>
  </si>
  <si>
    <t>EBRDe4</t>
  </si>
  <si>
    <t>EBRDe7</t>
  </si>
  <si>
    <t>EBRDe8</t>
  </si>
  <si>
    <t>EBRDe9</t>
  </si>
  <si>
    <t>EIB_e1</t>
  </si>
  <si>
    <t>US298785JT41</t>
  </si>
  <si>
    <t>EIB_e3</t>
  </si>
  <si>
    <t>US298785JW79</t>
  </si>
  <si>
    <t>EKTN</t>
  </si>
  <si>
    <t>KZ1C00000538</t>
  </si>
  <si>
    <t>EUBNb17</t>
  </si>
  <si>
    <t>KZ2C00004075</t>
  </si>
  <si>
    <t>EUBNb18</t>
  </si>
  <si>
    <t>KZ2C00005981</t>
  </si>
  <si>
    <t>EUCPb1</t>
  </si>
  <si>
    <t>KZ2C00010924</t>
  </si>
  <si>
    <t>EWQ_KZ</t>
  </si>
  <si>
    <t>US4642867075</t>
  </si>
  <si>
    <t>iShares Inc.</t>
  </si>
  <si>
    <t>EXCS</t>
  </si>
  <si>
    <t>KZ1C00005560</t>
  </si>
  <si>
    <t>EXCSp</t>
  </si>
  <si>
    <t>KZ1P00013585</t>
  </si>
  <si>
    <t>EXPA</t>
  </si>
  <si>
    <t>KZ1C00001478</t>
  </si>
  <si>
    <t>FAGRb1</t>
  </si>
  <si>
    <t>KZ2C00002962</t>
  </si>
  <si>
    <t>FAGRb2</t>
  </si>
  <si>
    <t>KZ2C00003465</t>
  </si>
  <si>
    <t>FATNb1</t>
  </si>
  <si>
    <t>KZ2P00003874</t>
  </si>
  <si>
    <t>FATNb2</t>
  </si>
  <si>
    <t>KZ2P00004286</t>
  </si>
  <si>
    <t>FATNb3</t>
  </si>
  <si>
    <t>KZ2P00004500</t>
  </si>
  <si>
    <t>FCX_KZ</t>
  </si>
  <si>
    <t>US35671D8570</t>
  </si>
  <si>
    <t>Freeport-McMoRan Inc.</t>
  </si>
  <si>
    <t>FFIN</t>
  </si>
  <si>
    <t>KZ1C00001262</t>
  </si>
  <si>
    <t>FHJIag</t>
  </si>
  <si>
    <t>KZPF00000132</t>
  </si>
  <si>
    <t>FHJIds</t>
  </si>
  <si>
    <t>KZPF00000173</t>
  </si>
  <si>
    <t>FHJIhm</t>
  </si>
  <si>
    <t>KZPF00000124</t>
  </si>
  <si>
    <t>FHJIpc</t>
  </si>
  <si>
    <t>KZPF00000140</t>
  </si>
  <si>
    <t>FHRP</t>
  </si>
  <si>
    <t>KZ1C00015171</t>
  </si>
  <si>
    <t>FINQpp1</t>
  </si>
  <si>
    <t>KZ2P00008477</t>
  </si>
  <si>
    <t>FINQpp2</t>
  </si>
  <si>
    <t>KZ2P00011471</t>
  </si>
  <si>
    <t>FIVEb6</t>
  </si>
  <si>
    <t>KZ2C00013548</t>
  </si>
  <si>
    <t>FLGB_KZ</t>
  </si>
  <si>
    <t>US35473P6786</t>
  </si>
  <si>
    <t>Franklin Templeton Investments, Inc.</t>
  </si>
  <si>
    <t>FPSTb4</t>
  </si>
  <si>
    <t>KZ2P00011141</t>
  </si>
  <si>
    <t>FPSTb6</t>
  </si>
  <si>
    <t>KZ2P00013592</t>
  </si>
  <si>
    <t>FRHC_KZ</t>
  </si>
  <si>
    <t>US3563901046</t>
  </si>
  <si>
    <t>Freedom Holding Corp.</t>
  </si>
  <si>
    <t>FRMPb3</t>
  </si>
  <si>
    <t>KZ2C00008068</t>
  </si>
  <si>
    <t>FTNT_KZ</t>
  </si>
  <si>
    <t>US34959E1091</t>
  </si>
  <si>
    <t>Fortinet, Inc.</t>
  </si>
  <si>
    <t>F_KZ</t>
  </si>
  <si>
    <t>US3453708600</t>
  </si>
  <si>
    <t>Ford Motor Company</t>
  </si>
  <si>
    <t>GB_ALTN</t>
  </si>
  <si>
    <t>GB00BMH19X50</t>
  </si>
  <si>
    <t>AltynGold plc</t>
  </si>
  <si>
    <t>GDX_KZ</t>
  </si>
  <si>
    <t>US92189F1066</t>
  </si>
  <si>
    <t>VANECK ETF TRUST</t>
  </si>
  <si>
    <t>GLD_KZ</t>
  </si>
  <si>
    <t>US78463V1070</t>
  </si>
  <si>
    <t>SPDR Gold Trust</t>
  </si>
  <si>
    <t>GOOG_KZ</t>
  </si>
  <si>
    <t>US02079K1079</t>
  </si>
  <si>
    <t>ALPHABET INC.</t>
  </si>
  <si>
    <t>HCBNb13</t>
  </si>
  <si>
    <t>KZ2C00011195</t>
  </si>
  <si>
    <t xml:space="preserve">АО "Дочерняя организация Народного Банка Казахстана "Halyk Finance" </t>
  </si>
  <si>
    <t>HKGMhg</t>
  </si>
  <si>
    <t>KZPF00000165</t>
  </si>
  <si>
    <t>HK_01_2702</t>
  </si>
  <si>
    <t>XS1555404786</t>
  </si>
  <si>
    <t>HSBKb21</t>
  </si>
  <si>
    <t>KZ2C00011468</t>
  </si>
  <si>
    <t>HYG_KZ</t>
  </si>
  <si>
    <t>US4642885135</t>
  </si>
  <si>
    <t>BlackRock, Inc</t>
  </si>
  <si>
    <t>IBM_KZ</t>
  </si>
  <si>
    <t>US4592001014</t>
  </si>
  <si>
    <t>IBM corp.</t>
  </si>
  <si>
    <t>US459058KW25</t>
  </si>
  <si>
    <t>IBRDe5</t>
  </si>
  <si>
    <t>US459058LA95</t>
  </si>
  <si>
    <t>IBRDe6</t>
  </si>
  <si>
    <t>US459058LF82</t>
  </si>
  <si>
    <t>ICD_e1</t>
  </si>
  <si>
    <t>XS2624614751</t>
  </si>
  <si>
    <t>ICLN_KZ</t>
  </si>
  <si>
    <t>US4642882249</t>
  </si>
  <si>
    <t>iShares Trust</t>
  </si>
  <si>
    <t>IDFRb2</t>
  </si>
  <si>
    <t>KZ2C00007011</t>
  </si>
  <si>
    <t>IDFRb3</t>
  </si>
  <si>
    <t>KZ2C00007391</t>
  </si>
  <si>
    <t>IDFRb4</t>
  </si>
  <si>
    <t>KZ2C00008217</t>
  </si>
  <si>
    <t>IDFRb5</t>
  </si>
  <si>
    <t>KZ2C00010338</t>
  </si>
  <si>
    <t>IDFRb7</t>
  </si>
  <si>
    <t>KZ2C00011542</t>
  </si>
  <si>
    <t>IE_FXBF</t>
  </si>
  <si>
    <t>IE00BG0C3K84</t>
  </si>
  <si>
    <t>IFC_e1</t>
  </si>
  <si>
    <t>IFC_e7</t>
  </si>
  <si>
    <t>XS2725046283</t>
  </si>
  <si>
    <t>IFC_e8</t>
  </si>
  <si>
    <t>XS2725047505</t>
  </si>
  <si>
    <t>IFC_e9</t>
  </si>
  <si>
    <t>US45950KDD90</t>
  </si>
  <si>
    <t>IGLB_KZ</t>
  </si>
  <si>
    <t>US4642895118</t>
  </si>
  <si>
    <t>INBNb11</t>
  </si>
  <si>
    <t>KZ2C00008845</t>
  </si>
  <si>
    <t>INBNb12</t>
  </si>
  <si>
    <t>KZ2C00008852</t>
  </si>
  <si>
    <t>INBNb13</t>
  </si>
  <si>
    <t>KZ2C00009827</t>
  </si>
  <si>
    <t>INBNb14</t>
  </si>
  <si>
    <t>KZ2C00009835</t>
  </si>
  <si>
    <t>INBNb16</t>
  </si>
  <si>
    <t>KZ2C00011880</t>
  </si>
  <si>
    <t>INBNb7</t>
  </si>
  <si>
    <t>KZ2C00004125</t>
  </si>
  <si>
    <t>INBNb8</t>
  </si>
  <si>
    <t>KZ2C00006013</t>
  </si>
  <si>
    <t>INBNb9</t>
  </si>
  <si>
    <t>KZ2C00006021</t>
  </si>
  <si>
    <t>INBNp</t>
  </si>
  <si>
    <t>KZ1P00000764</t>
  </si>
  <si>
    <t>INTC_KZ</t>
  </si>
  <si>
    <t>US4581401001</t>
  </si>
  <si>
    <t>Intel Corporation</t>
  </si>
  <si>
    <t>JNJ_KZ</t>
  </si>
  <si>
    <t>US4781601046</t>
  </si>
  <si>
    <t>Johnson &amp; Johnson</t>
  </si>
  <si>
    <t>JPM_KZ</t>
  </si>
  <si>
    <t>US46625H1005</t>
  </si>
  <si>
    <t>JPMorgan Chase &amp; Co.</t>
  </si>
  <si>
    <t>JRES</t>
  </si>
  <si>
    <t>KZ1C00001510</t>
  </si>
  <si>
    <t>JSBNb1</t>
  </si>
  <si>
    <t>JSBNb3</t>
  </si>
  <si>
    <t>KZ2C00011740</t>
  </si>
  <si>
    <t>JSBNb4</t>
  </si>
  <si>
    <t>KZ2C00011757</t>
  </si>
  <si>
    <t>JTK022_204</t>
  </si>
  <si>
    <t>KZMJ00002046</t>
  </si>
  <si>
    <t>JTK022_206</t>
  </si>
  <si>
    <t>KZMJ00002061</t>
  </si>
  <si>
    <t>JTK024_166</t>
  </si>
  <si>
    <t>KZMJ00001667</t>
  </si>
  <si>
    <t>JTK116_101</t>
  </si>
  <si>
    <t>KZMF00001018</t>
  </si>
  <si>
    <t>KACMb1</t>
  </si>
  <si>
    <t>KZ2C00007805</t>
  </si>
  <si>
    <t>KAFIb13</t>
  </si>
  <si>
    <t>KZ2C00009843</t>
  </si>
  <si>
    <t>KASE</t>
  </si>
  <si>
    <t>KZ1C00001213</t>
  </si>
  <si>
    <t>KATR</t>
  </si>
  <si>
    <t>KZ1C00000025</t>
  </si>
  <si>
    <t>KATRp</t>
  </si>
  <si>
    <t>KZ1P00000038</t>
  </si>
  <si>
    <t>KEGCb1</t>
  </si>
  <si>
    <t>KZ2C00003572</t>
  </si>
  <si>
    <t>KEGCb2</t>
  </si>
  <si>
    <t>KEGCb3</t>
  </si>
  <si>
    <t>KZ2C00006658</t>
  </si>
  <si>
    <t>KEGCb4</t>
  </si>
  <si>
    <t>KFUSb52</t>
  </si>
  <si>
    <t>KFUSb55</t>
  </si>
  <si>
    <t>KZ2C00009470</t>
  </si>
  <si>
    <t>KFUSb68</t>
  </si>
  <si>
    <t>KFUSb69</t>
  </si>
  <si>
    <t>KZ2C00010726</t>
  </si>
  <si>
    <t>KFUSb70</t>
  </si>
  <si>
    <t>KZ2C00010791</t>
  </si>
  <si>
    <t>KFUSb71</t>
  </si>
  <si>
    <t>KZ2C00010809</t>
  </si>
  <si>
    <t>KFUSb77</t>
  </si>
  <si>
    <t>KZ2C00012037</t>
  </si>
  <si>
    <t>KFUSb82</t>
  </si>
  <si>
    <t>KZ2C00012086</t>
  </si>
  <si>
    <t>KFUSb90</t>
  </si>
  <si>
    <t>KZ2C00012383</t>
  </si>
  <si>
    <t>KFUSb91</t>
  </si>
  <si>
    <t>KZ2C00012391</t>
  </si>
  <si>
    <t>KGK024_190</t>
  </si>
  <si>
    <t>KZMJ00001907</t>
  </si>
  <si>
    <t>KGK116_102</t>
  </si>
  <si>
    <t>KZMF00001026</t>
  </si>
  <si>
    <t>KGK117_087</t>
  </si>
  <si>
    <t>KZMF00000879</t>
  </si>
  <si>
    <t>KGK119_004</t>
  </si>
  <si>
    <t>KZMF00000044</t>
  </si>
  <si>
    <t>KGK119_080</t>
  </si>
  <si>
    <t>KZMF00000804</t>
  </si>
  <si>
    <t>KGK131_030</t>
  </si>
  <si>
    <t>KZMF00000309</t>
  </si>
  <si>
    <t>KGK143_053</t>
  </si>
  <si>
    <t>KZMF00000531</t>
  </si>
  <si>
    <t>KGK143_054</t>
  </si>
  <si>
    <t>KZMF00000549</t>
  </si>
  <si>
    <t>KKGBb13</t>
  </si>
  <si>
    <t>KZ2C00003457</t>
  </si>
  <si>
    <t>KMCP</t>
  </si>
  <si>
    <t>KZ1C00001379</t>
  </si>
  <si>
    <t>KMGD</t>
  </si>
  <si>
    <t>KZ1C00001254</t>
  </si>
  <si>
    <t>KOK022_196</t>
  </si>
  <si>
    <t>KZMJ00001964</t>
  </si>
  <si>
    <t>KOK024_172</t>
  </si>
  <si>
    <t>KZMJ00001725</t>
  </si>
  <si>
    <t>KOK024_188</t>
  </si>
  <si>
    <t>KZMJ00001881</t>
  </si>
  <si>
    <t>KOK113_205</t>
  </si>
  <si>
    <t>KZMJ00002053</t>
  </si>
  <si>
    <t>KOK117_092</t>
  </si>
  <si>
    <t>KZMF00000929</t>
  </si>
  <si>
    <t>KOK119_017</t>
  </si>
  <si>
    <t>KZMF00000176</t>
  </si>
  <si>
    <t>KOK131_020</t>
  </si>
  <si>
    <t>KZMF00000200</t>
  </si>
  <si>
    <t>KOK143_048</t>
  </si>
  <si>
    <t>KZMF00000481</t>
  </si>
  <si>
    <t>KOK143_050</t>
  </si>
  <si>
    <t>KZMF00000507</t>
  </si>
  <si>
    <t>KOK143_066</t>
  </si>
  <si>
    <t>KZMF00000663</t>
  </si>
  <si>
    <t>KOZN</t>
  </si>
  <si>
    <t>KZ1C00001072</t>
  </si>
  <si>
    <t>KO_KZ</t>
  </si>
  <si>
    <t>US1912161007</t>
  </si>
  <si>
    <t>The Coca-Cola Company</t>
  </si>
  <si>
    <t>KSK022_209</t>
  </si>
  <si>
    <t>KZMJ00002095</t>
  </si>
  <si>
    <t>KSK024_159</t>
  </si>
  <si>
    <t>KZMJ00001592</t>
  </si>
  <si>
    <t>KSK024_192</t>
  </si>
  <si>
    <t>KZMJ00001923</t>
  </si>
  <si>
    <t>KSK024_211</t>
  </si>
  <si>
    <t>KZMJ00002111</t>
  </si>
  <si>
    <t>KSK116_195</t>
  </si>
  <si>
    <t>KZMJ00001956</t>
  </si>
  <si>
    <t>KSK118_090</t>
  </si>
  <si>
    <t>KZMF00000903</t>
  </si>
  <si>
    <t>KSK119_003</t>
  </si>
  <si>
    <t>KZMF00000036</t>
  </si>
  <si>
    <t>KSK119_075</t>
  </si>
  <si>
    <t>KZMF00000754</t>
  </si>
  <si>
    <t>KSK131_025</t>
  </si>
  <si>
    <t>KZMF00000259</t>
  </si>
  <si>
    <t>KSK143_057</t>
  </si>
  <si>
    <t>KZMF00000572</t>
  </si>
  <si>
    <t>KSK143_058</t>
  </si>
  <si>
    <t>KZMF00000580</t>
  </si>
  <si>
    <t>KSK143_068</t>
  </si>
  <si>
    <t>KZMF00000689</t>
  </si>
  <si>
    <t>KSNF</t>
  </si>
  <si>
    <t>KZ1C00000694</t>
  </si>
  <si>
    <t>KTGAb2</t>
  </si>
  <si>
    <t>KZ2C00003499</t>
  </si>
  <si>
    <t>KY_TPL_</t>
  </si>
  <si>
    <t>KYG876361257</t>
  </si>
  <si>
    <t>Tethys Petroleum Limited</t>
  </si>
  <si>
    <t>KZAGb4</t>
  </si>
  <si>
    <t>KZ2C00003812</t>
  </si>
  <si>
    <t>KZAGb5</t>
  </si>
  <si>
    <t>KZ2C00003820</t>
  </si>
  <si>
    <t>KZAGb6</t>
  </si>
  <si>
    <t>KZAGb7</t>
  </si>
  <si>
    <t>KZ2C00004547</t>
  </si>
  <si>
    <t>KZAPd</t>
  </si>
  <si>
    <t>US63253R2013</t>
  </si>
  <si>
    <t>KZAZ</t>
  </si>
  <si>
    <t>KZ1C00001395</t>
  </si>
  <si>
    <t>KZHR</t>
  </si>
  <si>
    <t>KZ1C00001296</t>
  </si>
  <si>
    <t>KZHRb1</t>
  </si>
  <si>
    <t>KZ2C00007144</t>
  </si>
  <si>
    <t>KZIK</t>
  </si>
  <si>
    <t>KZ1C00000637</t>
  </si>
  <si>
    <t>KZIKb27</t>
  </si>
  <si>
    <t>KZ2C00003333</t>
  </si>
  <si>
    <t>KZIKb28</t>
  </si>
  <si>
    <t>KZ2C00004356</t>
  </si>
  <si>
    <t>KZIKb29</t>
  </si>
  <si>
    <t>KZ2C00004349</t>
  </si>
  <si>
    <t>KZIKb30</t>
  </si>
  <si>
    <t>KZ2C00006393</t>
  </si>
  <si>
    <t>KZIKb31</t>
  </si>
  <si>
    <t>KZ2C00006401</t>
  </si>
  <si>
    <t>KZIKb32</t>
  </si>
  <si>
    <t>KZ2C00007086</t>
  </si>
  <si>
    <t>KZIKb33</t>
  </si>
  <si>
    <t>KZ2C00007094</t>
  </si>
  <si>
    <t>KZIKb34</t>
  </si>
  <si>
    <t>KZ2C00007409</t>
  </si>
  <si>
    <t>KZIKb35</t>
  </si>
  <si>
    <t>KZ2C00007631</t>
  </si>
  <si>
    <t>KZIKb36</t>
  </si>
  <si>
    <t>KZ2C00007839</t>
  </si>
  <si>
    <t>KZIKb37</t>
  </si>
  <si>
    <t>KZ2C00007854</t>
  </si>
  <si>
    <t>KZIKb38</t>
  </si>
  <si>
    <t>KZ2C00007649</t>
  </si>
  <si>
    <t>KZTCb3</t>
  </si>
  <si>
    <t>KZ2C00012961</t>
  </si>
  <si>
    <t>АО "Jusan Mobile"</t>
  </si>
  <si>
    <t>KZTGe1</t>
  </si>
  <si>
    <t>XS1682544157</t>
  </si>
  <si>
    <t>KZTKb4</t>
  </si>
  <si>
    <t>KZ2C00005932</t>
  </si>
  <si>
    <t>KZWEb1</t>
  </si>
  <si>
    <t>KZ2P00010119</t>
  </si>
  <si>
    <t>KZ_17_3009</t>
  </si>
  <si>
    <t>RU000A101RZ3</t>
  </si>
  <si>
    <t>KZ_18_2606</t>
  </si>
  <si>
    <t>KZ_19_2806</t>
  </si>
  <si>
    <t>RU000A101RW0</t>
  </si>
  <si>
    <t>KZ_20_3106</t>
  </si>
  <si>
    <t>RU000A101S08</t>
  </si>
  <si>
    <t>KZ_21_3106</t>
  </si>
  <si>
    <t>RU000A101S16</t>
  </si>
  <si>
    <t>LNPT</t>
  </si>
  <si>
    <t>KZ1C00000215</t>
  </si>
  <si>
    <t>LOGC</t>
  </si>
  <si>
    <t>KZ1C00000892</t>
  </si>
  <si>
    <t>LOGCb4</t>
  </si>
  <si>
    <t>KZ2C00008886</t>
  </si>
  <si>
    <t>LQD_KZ</t>
  </si>
  <si>
    <t>US4642872422</t>
  </si>
  <si>
    <t>LZGR</t>
  </si>
  <si>
    <t>KZ1C00001593</t>
  </si>
  <si>
    <t>MATN</t>
  </si>
  <si>
    <t>KZ1C00000868</t>
  </si>
  <si>
    <t>MA_KZ</t>
  </si>
  <si>
    <t>US57636Q1040</t>
  </si>
  <si>
    <t>Mastercard, Inc.</t>
  </si>
  <si>
    <t>META_KZ</t>
  </si>
  <si>
    <t>US30303M1027</t>
  </si>
  <si>
    <t>Meta Platforms, Inc.</t>
  </si>
  <si>
    <t>MFABb1</t>
  </si>
  <si>
    <t>KZ2P00010390</t>
  </si>
  <si>
    <t>MFACb2</t>
  </si>
  <si>
    <t>KZ2P00010226</t>
  </si>
  <si>
    <t>MFBRb1</t>
  </si>
  <si>
    <t>KZ2C00012581</t>
  </si>
  <si>
    <t>MFCFb1</t>
  </si>
  <si>
    <t>KZ2P00011950</t>
  </si>
  <si>
    <t>ТОО "Микрофинансовая организация "Азиатский Кредитный Фонд"</t>
  </si>
  <si>
    <t>MFCIb2</t>
  </si>
  <si>
    <t>KZ2P00011166</t>
  </si>
  <si>
    <t>MFDFb1</t>
  </si>
  <si>
    <t>KZ2P00010457</t>
  </si>
  <si>
    <t>MFDFb2</t>
  </si>
  <si>
    <t>KZ2P00010465</t>
  </si>
  <si>
    <t>MFDGb1</t>
  </si>
  <si>
    <t>KZ2P00012677</t>
  </si>
  <si>
    <t>MFECb1</t>
  </si>
  <si>
    <t>KZ2P00010598</t>
  </si>
  <si>
    <t>MFECb2</t>
  </si>
  <si>
    <t>KZ2P00011380</t>
  </si>
  <si>
    <t>MFKTb3</t>
  </si>
  <si>
    <t>KZ2P00009186</t>
  </si>
  <si>
    <t>MFKTb4</t>
  </si>
  <si>
    <t>KZ2P00010002</t>
  </si>
  <si>
    <t>MFLGb1</t>
  </si>
  <si>
    <t>KZ2P00011877</t>
  </si>
  <si>
    <t>MFLGb13</t>
  </si>
  <si>
    <t>KZ2P00013501</t>
  </si>
  <si>
    <t>MFLGb3</t>
  </si>
  <si>
    <t>KZ2P00012214</t>
  </si>
  <si>
    <t>MFLGb4</t>
  </si>
  <si>
    <t>KZ2P00012230</t>
  </si>
  <si>
    <t>MFLGb5</t>
  </si>
  <si>
    <t>KZ2P00012719</t>
  </si>
  <si>
    <t>MFLGb6</t>
  </si>
  <si>
    <t>KZ2P00012727</t>
  </si>
  <si>
    <t>MFLGb7</t>
  </si>
  <si>
    <t>KZ2P00012875</t>
  </si>
  <si>
    <t>MFLGb8</t>
  </si>
  <si>
    <t>KZ2P00012883</t>
  </si>
  <si>
    <t>MFLGb9</t>
  </si>
  <si>
    <t>KZ2P00013584</t>
  </si>
  <si>
    <t>MFLPb1</t>
  </si>
  <si>
    <t>KZ2P00010283</t>
  </si>
  <si>
    <t>MFLPb2</t>
  </si>
  <si>
    <t>KZ2P00012479</t>
  </si>
  <si>
    <t>MFMOb12</t>
  </si>
  <si>
    <t>KZ2P00012933</t>
  </si>
  <si>
    <t>MFMOb13</t>
  </si>
  <si>
    <t>KZ2P00012941</t>
  </si>
  <si>
    <t>MFMOb16</t>
  </si>
  <si>
    <t>KZ2P00013303</t>
  </si>
  <si>
    <t>MFMOb17</t>
  </si>
  <si>
    <t>KZ2P00013329</t>
  </si>
  <si>
    <t>MFMOb18</t>
  </si>
  <si>
    <t>KZ2P00013444</t>
  </si>
  <si>
    <t>MFMOb19</t>
  </si>
  <si>
    <t>KZ2P00013451</t>
  </si>
  <si>
    <t>MFMOb20</t>
  </si>
  <si>
    <t>KZ2P00013469</t>
  </si>
  <si>
    <t>MFMOb21</t>
  </si>
  <si>
    <t>KZ2P00013642</t>
  </si>
  <si>
    <t>MFMOb22</t>
  </si>
  <si>
    <t>KZ2P00013659</t>
  </si>
  <si>
    <t>MFMOb7</t>
  </si>
  <si>
    <t>KZ2P00012305</t>
  </si>
  <si>
    <t>MFMOb8</t>
  </si>
  <si>
    <t>KZ2P00012545</t>
  </si>
  <si>
    <t>MFNKb1</t>
  </si>
  <si>
    <t>KZ2P00007420</t>
  </si>
  <si>
    <t>MFOKb23</t>
  </si>
  <si>
    <t>KZ2C00013241</t>
  </si>
  <si>
    <t>MFOKb26</t>
  </si>
  <si>
    <t>KZ2C00013274</t>
  </si>
  <si>
    <t>MFRFb11</t>
  </si>
  <si>
    <t>KZ2P00010937</t>
  </si>
  <si>
    <t>MFRFb4</t>
  </si>
  <si>
    <t>KZ2P00008766</t>
  </si>
  <si>
    <t>MFRFb9</t>
  </si>
  <si>
    <t>KZ2P00010366</t>
  </si>
  <si>
    <t>MFRGb1</t>
  </si>
  <si>
    <t>KZ2P00008204</t>
  </si>
  <si>
    <t>ТОО "МФО "Swiss Capital (Свисс Капитал)"</t>
  </si>
  <si>
    <t>MFSCb4</t>
  </si>
  <si>
    <t>KZ2P00011497</t>
  </si>
  <si>
    <t>MFSLb3</t>
  </si>
  <si>
    <t>KZ2P00011729</t>
  </si>
  <si>
    <t>MFSLb4</t>
  </si>
  <si>
    <t>KZ2P00012313</t>
  </si>
  <si>
    <t>MFSLb5</t>
  </si>
  <si>
    <t>KZ2P00012339</t>
  </si>
  <si>
    <t>MFSLb6</t>
  </si>
  <si>
    <t>KZ2P00012362</t>
  </si>
  <si>
    <t>MFSLb7</t>
  </si>
  <si>
    <t>KZ2P00012370</t>
  </si>
  <si>
    <t>MFTFb1</t>
  </si>
  <si>
    <t>KZ2P00007776</t>
  </si>
  <si>
    <t>MFTFb3</t>
  </si>
  <si>
    <t>KZ2P00011596</t>
  </si>
  <si>
    <t>MFTFb4</t>
  </si>
  <si>
    <t>KZ2P00011976</t>
  </si>
  <si>
    <t>MFTSb1</t>
  </si>
  <si>
    <t>KZ2P00010580</t>
  </si>
  <si>
    <t>MFTSb2</t>
  </si>
  <si>
    <t>KZ2P00010788</t>
  </si>
  <si>
    <t>MFUCb7</t>
  </si>
  <si>
    <t>KZ2P00013014</t>
  </si>
  <si>
    <t>MGK116_089</t>
  </si>
  <si>
    <t>KZMF00000895</t>
  </si>
  <si>
    <t>MGK118_083</t>
  </si>
  <si>
    <t>KZMF00000838</t>
  </si>
  <si>
    <t>MGK119_009</t>
  </si>
  <si>
    <t>KZMF00000093</t>
  </si>
  <si>
    <t>MGK119_077</t>
  </si>
  <si>
    <t>KZMF00000770</t>
  </si>
  <si>
    <t>MGK130_084</t>
  </si>
  <si>
    <t>KZMF00000846</t>
  </si>
  <si>
    <t>MGK131_023</t>
  </si>
  <si>
    <t>KZMF00000234</t>
  </si>
  <si>
    <t>MGK132_085</t>
  </si>
  <si>
    <t>KZMF00000853</t>
  </si>
  <si>
    <t>MGK143_038</t>
  </si>
  <si>
    <t>KZMF00000382</t>
  </si>
  <si>
    <t>MGK143_039</t>
  </si>
  <si>
    <t>KZMF00000390</t>
  </si>
  <si>
    <t>MGK143_063</t>
  </si>
  <si>
    <t>KZMF00000630</t>
  </si>
  <si>
    <t>MKBW</t>
  </si>
  <si>
    <t>KZ1C00014422</t>
  </si>
  <si>
    <t>MMGZ</t>
  </si>
  <si>
    <t>KZ0009093696</t>
  </si>
  <si>
    <t>MMGZp</t>
  </si>
  <si>
    <t>KZ0009089736</t>
  </si>
  <si>
    <t>MNZH</t>
  </si>
  <si>
    <t>KZ1C00012020</t>
  </si>
  <si>
    <t>MOBIpp1</t>
  </si>
  <si>
    <t>KZ2P00009012</t>
  </si>
  <si>
    <t>MREK</t>
  </si>
  <si>
    <t>KZ1C00000413</t>
  </si>
  <si>
    <t>MRNA_KZ</t>
  </si>
  <si>
    <t>US60770K1079</t>
  </si>
  <si>
    <t>Moderna</t>
  </si>
  <si>
    <t>MSFT_KZ</t>
  </si>
  <si>
    <t>US5949181045</t>
  </si>
  <si>
    <t xml:space="preserve">Microsoft Corporation </t>
  </si>
  <si>
    <t>MTB_KZ</t>
  </si>
  <si>
    <t>US55261F1049</t>
  </si>
  <si>
    <t xml:space="preserve">M&amp;T Bank Corporation </t>
  </si>
  <si>
    <t>MU_KZ</t>
  </si>
  <si>
    <t>US5951121038</t>
  </si>
  <si>
    <t>Micron Technology, Inc.</t>
  </si>
  <si>
    <t>MY_01_3104</t>
  </si>
  <si>
    <t>USY57542AA32</t>
  </si>
  <si>
    <t>M_KZ</t>
  </si>
  <si>
    <t>US55616P1049</t>
  </si>
  <si>
    <t>Macy's</t>
  </si>
  <si>
    <t>NCOMpp1</t>
  </si>
  <si>
    <t>KZ2P00008832</t>
  </si>
  <si>
    <t>NCOMpp2</t>
  </si>
  <si>
    <t>KZ2P00010747</t>
  </si>
  <si>
    <t>NEM_KZ</t>
  </si>
  <si>
    <t>US6516391066</t>
  </si>
  <si>
    <t>Newmont Corp.</t>
  </si>
  <si>
    <t>NFLX_KZ</t>
  </si>
  <si>
    <t>US64110L1061</t>
  </si>
  <si>
    <t>Netflix, Inc</t>
  </si>
  <si>
    <t>NITCb1</t>
  </si>
  <si>
    <t>KZ2C00012904</t>
  </si>
  <si>
    <t>NKE_KZ</t>
  </si>
  <si>
    <t>US6541061031</t>
  </si>
  <si>
    <t>NIKE, Inc.</t>
  </si>
  <si>
    <t>NRBN</t>
  </si>
  <si>
    <t>KZ000A1CTMU5</t>
  </si>
  <si>
    <t>NRBNb12</t>
  </si>
  <si>
    <t>KZ2C00002897</t>
  </si>
  <si>
    <t>NRBNb13</t>
  </si>
  <si>
    <t>KZ2C00005700</t>
  </si>
  <si>
    <t>NRBNb14</t>
  </si>
  <si>
    <t>KZ2C00005734</t>
  </si>
  <si>
    <t>NRBNb15</t>
  </si>
  <si>
    <t>KZ2C00002871</t>
  </si>
  <si>
    <t>NRBNb16</t>
  </si>
  <si>
    <t>KZ2C00006070</t>
  </si>
  <si>
    <t>NRBNp6</t>
  </si>
  <si>
    <t>KZ000A1CTMV3</t>
  </si>
  <si>
    <t>NSK119_006</t>
  </si>
  <si>
    <t>KZZF00000064</t>
  </si>
  <si>
    <t>NSK131_002</t>
  </si>
  <si>
    <t>KZZF00000023</t>
  </si>
  <si>
    <t>NSK143_003</t>
  </si>
  <si>
    <t>KZZF00000031</t>
  </si>
  <si>
    <t>NSK143_004</t>
  </si>
  <si>
    <t>KZZF00000049</t>
  </si>
  <si>
    <t>NSK143_005</t>
  </si>
  <si>
    <t>KZZF00000056</t>
  </si>
  <si>
    <t>NVDA_KZ</t>
  </si>
  <si>
    <t>US67066G1040</t>
  </si>
  <si>
    <t>NVIDIA Corp.</t>
  </si>
  <si>
    <t>OASIpp1</t>
  </si>
  <si>
    <t>KZ2P00010770</t>
  </si>
  <si>
    <t>OM_01_2908</t>
  </si>
  <si>
    <t>XS1944412748</t>
  </si>
  <si>
    <t>ORBSb3</t>
  </si>
  <si>
    <t>KZ2P00012743</t>
  </si>
  <si>
    <t>ORBSb4</t>
  </si>
  <si>
    <t>KZ2P00013535</t>
  </si>
  <si>
    <t>ORCL_KZ</t>
  </si>
  <si>
    <t>US68389X1054</t>
  </si>
  <si>
    <t>ORACLE CORPORATION</t>
  </si>
  <si>
    <t>ORNTpp1</t>
  </si>
  <si>
    <t>KZ2P00011448</t>
  </si>
  <si>
    <t>ORPTb1</t>
  </si>
  <si>
    <t>KZ2C00004539</t>
  </si>
  <si>
    <t>ORPTb2</t>
  </si>
  <si>
    <t>KZ2C00006187</t>
  </si>
  <si>
    <t>OXY_KZ</t>
  </si>
  <si>
    <t>US6745991058</t>
  </si>
  <si>
    <t>Occidental Petroleum Corp.</t>
  </si>
  <si>
    <t>PDENb2</t>
  </si>
  <si>
    <t>KZ2C00003739</t>
  </si>
  <si>
    <t>PE_01_2708</t>
  </si>
  <si>
    <t>US715638BU55</t>
  </si>
  <si>
    <t>PE_02_2601</t>
  </si>
  <si>
    <t>US715638DE95</t>
  </si>
  <si>
    <t>PFE_KZ</t>
  </si>
  <si>
    <t>US7170811035</t>
  </si>
  <si>
    <t>Pfizer Inc.</t>
  </si>
  <si>
    <t>PHO_KZ</t>
  </si>
  <si>
    <t>US46137V1420</t>
  </si>
  <si>
    <t>Invesco Exchange-Traded Fund Trust</t>
  </si>
  <si>
    <t>PHYS</t>
  </si>
  <si>
    <t>KZ1C00001148</t>
  </si>
  <si>
    <t>PH_01_2901</t>
  </si>
  <si>
    <t>US718286CG02</t>
  </si>
  <si>
    <t>PH_02_2802</t>
  </si>
  <si>
    <t>US718286CC97</t>
  </si>
  <si>
    <t>PKDAb1</t>
  </si>
  <si>
    <t>KZ2D00007002</t>
  </si>
  <si>
    <t>PRKRb7</t>
  </si>
  <si>
    <t>KZ2C00008464</t>
  </si>
  <si>
    <t>PRKRb9</t>
  </si>
  <si>
    <t>KZ2C00010023</t>
  </si>
  <si>
    <t>PRKRe1</t>
  </si>
  <si>
    <t>RU000A102BF7</t>
  </si>
  <si>
    <t>PVK022_198</t>
  </si>
  <si>
    <t>KZMJ00001980</t>
  </si>
  <si>
    <t>PVK024_175</t>
  </si>
  <si>
    <t>KZMJ00001758</t>
  </si>
  <si>
    <t>PVK024_182</t>
  </si>
  <si>
    <t>KZMJ00001824</t>
  </si>
  <si>
    <t>PVK116_095</t>
  </si>
  <si>
    <t>KZMF00000952</t>
  </si>
  <si>
    <t>PVK119_019</t>
  </si>
  <si>
    <t>KZMF00000192</t>
  </si>
  <si>
    <t>PVK119_078</t>
  </si>
  <si>
    <t>KZMF00000788</t>
  </si>
  <si>
    <t>PVK131_024</t>
  </si>
  <si>
    <t>KZMF00000242</t>
  </si>
  <si>
    <t>PVK143_051</t>
  </si>
  <si>
    <t>KZMF00000515</t>
  </si>
  <si>
    <t>PVK143_052</t>
  </si>
  <si>
    <t>KZMF00000523</t>
  </si>
  <si>
    <t>PVK143_062</t>
  </si>
  <si>
    <t>KZMF00000622</t>
  </si>
  <si>
    <t>PYPL_KZ</t>
  </si>
  <si>
    <t>US70450Y1038</t>
  </si>
  <si>
    <t>PayPal Holdings Inc.</t>
  </si>
  <si>
    <t>PZVA</t>
  </si>
  <si>
    <t>KZ1C00001577</t>
  </si>
  <si>
    <t>QA_01_2606</t>
  </si>
  <si>
    <t>XS1405782159</t>
  </si>
  <si>
    <t>QA_02_3004</t>
  </si>
  <si>
    <t>XS2155352664</t>
  </si>
  <si>
    <t>QA_03_2903</t>
  </si>
  <si>
    <t>XS1959337582</t>
  </si>
  <si>
    <t>QA_04_2804</t>
  </si>
  <si>
    <t>XS1807174393</t>
  </si>
  <si>
    <t>QCOM_KZ</t>
  </si>
  <si>
    <t>US7475251036</t>
  </si>
  <si>
    <t xml:space="preserve">QUALCOMM Inc. </t>
  </si>
  <si>
    <t>QQQ_KZ</t>
  </si>
  <si>
    <t>US46090E1038</t>
  </si>
  <si>
    <t>RAHT</t>
  </si>
  <si>
    <t>KZ000A1CTMZ4</t>
  </si>
  <si>
    <t>RETMb1</t>
  </si>
  <si>
    <t>KZ2C00009363</t>
  </si>
  <si>
    <t>RGBKb1</t>
  </si>
  <si>
    <t>KZ2P00007727</t>
  </si>
  <si>
    <t>RGBKb2</t>
  </si>
  <si>
    <t>KZ2P00009970</t>
  </si>
  <si>
    <t>RGBR</t>
  </si>
  <si>
    <t>KZ1C00000496</t>
  </si>
  <si>
    <t>RGBRp</t>
  </si>
  <si>
    <t>KZ1P00000509</t>
  </si>
  <si>
    <t>SABR</t>
  </si>
  <si>
    <t>KZ1C00005388</t>
  </si>
  <si>
    <t>SABRp</t>
  </si>
  <si>
    <t>KZ1P00014559</t>
  </si>
  <si>
    <t>SAPHpp1</t>
  </si>
  <si>
    <t>KZ2P00011133</t>
  </si>
  <si>
    <t>SAS_</t>
  </si>
  <si>
    <t>KZ1C00000827</t>
  </si>
  <si>
    <t>SATC</t>
  </si>
  <si>
    <t>KZ1C00000553</t>
  </si>
  <si>
    <t>SATCp</t>
  </si>
  <si>
    <t>KZ1P00000566</t>
  </si>
  <si>
    <t>SA_01_2803</t>
  </si>
  <si>
    <t>XS1694217495</t>
  </si>
  <si>
    <t>SA_02_2904</t>
  </si>
  <si>
    <t>XS1936302865</t>
  </si>
  <si>
    <t>SA_03_2702</t>
  </si>
  <si>
    <t>XS2109766126</t>
  </si>
  <si>
    <t>SA_04_2610</t>
  </si>
  <si>
    <t>XS1508675417</t>
  </si>
  <si>
    <t>SA_05_2704</t>
  </si>
  <si>
    <t>XS1599284202</t>
  </si>
  <si>
    <t>SBUX_KZ</t>
  </si>
  <si>
    <t>US8552441094</t>
  </si>
  <si>
    <t>Starbucks Corporation</t>
  </si>
  <si>
    <t>SCLBb1</t>
  </si>
  <si>
    <t>KZ2P00013113</t>
  </si>
  <si>
    <t>SHK022_015</t>
  </si>
  <si>
    <t>KZSJ00000150</t>
  </si>
  <si>
    <t>SHK022_016</t>
  </si>
  <si>
    <t>KZSJ00000168</t>
  </si>
  <si>
    <t>SHK024_014</t>
  </si>
  <si>
    <t>KZSJ00000143</t>
  </si>
  <si>
    <t>SHK060_002</t>
  </si>
  <si>
    <t>KZSE00000023</t>
  </si>
  <si>
    <t>SHK116_007</t>
  </si>
  <si>
    <t>KZSF00000071</t>
  </si>
  <si>
    <t>SHK119_001</t>
  </si>
  <si>
    <t>KZSF00000014</t>
  </si>
  <si>
    <t>SHK119_006</t>
  </si>
  <si>
    <t>KZSF00000063</t>
  </si>
  <si>
    <t>SHK131_002</t>
  </si>
  <si>
    <t>KZSF00000022</t>
  </si>
  <si>
    <t>SHK143_003</t>
  </si>
  <si>
    <t>KZSF00000030</t>
  </si>
  <si>
    <t>SHK143_004</t>
  </si>
  <si>
    <t>KZSF00000048</t>
  </si>
  <si>
    <t>SHK143_005</t>
  </si>
  <si>
    <t>KZSF00000055</t>
  </si>
  <si>
    <t>SHUP</t>
  </si>
  <si>
    <t>KZ1C00001445</t>
  </si>
  <si>
    <t>SHZN</t>
  </si>
  <si>
    <t>KZ1C00000967</t>
  </si>
  <si>
    <t>SKENb3</t>
  </si>
  <si>
    <t>KZ2C00006500</t>
  </si>
  <si>
    <t>SKK024_178</t>
  </si>
  <si>
    <t>KZMJ00001782</t>
  </si>
  <si>
    <t>SKK024_186</t>
  </si>
  <si>
    <t>KZMJ00001865</t>
  </si>
  <si>
    <t>SKK113_203</t>
  </si>
  <si>
    <t>KZMJ00002038</t>
  </si>
  <si>
    <t>SKK119_015</t>
  </si>
  <si>
    <t>KZMF00000150</t>
  </si>
  <si>
    <t>SKK119_073</t>
  </si>
  <si>
    <t>KZMF00000739</t>
  </si>
  <si>
    <t>SKK131_014</t>
  </si>
  <si>
    <t>KZMF00000143</t>
  </si>
  <si>
    <t>SKK143_040</t>
  </si>
  <si>
    <t>KZMF00000408</t>
  </si>
  <si>
    <t>SKK143_041</t>
  </si>
  <si>
    <t>KZMF00000416</t>
  </si>
  <si>
    <t>SKK143_059</t>
  </si>
  <si>
    <t>KZMF00000598</t>
  </si>
  <si>
    <t>SKKZb11</t>
  </si>
  <si>
    <t>SKSL</t>
  </si>
  <si>
    <t>KZ1C00001429</t>
  </si>
  <si>
    <t>SNRGb4</t>
  </si>
  <si>
    <t>KZ2C00004521</t>
  </si>
  <si>
    <t>SNSIpp1</t>
  </si>
  <si>
    <t>KZ2C00011849</t>
  </si>
  <si>
    <t>SPY_KZ</t>
  </si>
  <si>
    <t>US78462F1030</t>
  </si>
  <si>
    <t>State Street Global Advisors</t>
  </si>
  <si>
    <t>SRBT</t>
  </si>
  <si>
    <t>KZ1C00000595</t>
  </si>
  <si>
    <t>TCOMb1</t>
  </si>
  <si>
    <t>KZ2C00006344</t>
  </si>
  <si>
    <t>TCOMb2</t>
  </si>
  <si>
    <t>KZ2C00006880</t>
  </si>
  <si>
    <t>TEBNb10</t>
  </si>
  <si>
    <t>KZ2C00000065</t>
  </si>
  <si>
    <t>TEBNb11</t>
  </si>
  <si>
    <t>KZ2C00000073</t>
  </si>
  <si>
    <t>TEBNb14</t>
  </si>
  <si>
    <t>KZ2C00000107</t>
  </si>
  <si>
    <t>TEBNb15</t>
  </si>
  <si>
    <t>KZ2C00000115</t>
  </si>
  <si>
    <t>TEBNb16</t>
  </si>
  <si>
    <t>KZ000A1AT8V6</t>
  </si>
  <si>
    <t>TEBNb17</t>
  </si>
  <si>
    <t>KZ2C00000123</t>
  </si>
  <si>
    <t>TERRb1</t>
  </si>
  <si>
    <t>KZ2P00011810</t>
  </si>
  <si>
    <t>TKK022_194</t>
  </si>
  <si>
    <t>KZMJ00001949</t>
  </si>
  <si>
    <t>TKK024_169</t>
  </si>
  <si>
    <t>KZMJ00001691</t>
  </si>
  <si>
    <t>TKK024_187</t>
  </si>
  <si>
    <t>KZMJ00001873</t>
  </si>
  <si>
    <t>TKK113_207</t>
  </si>
  <si>
    <t>KZMJ00002079</t>
  </si>
  <si>
    <t>TKK117_086</t>
  </si>
  <si>
    <t>KZMF00000861</t>
  </si>
  <si>
    <t>TKK117_100</t>
  </si>
  <si>
    <t>KZMF00001000</t>
  </si>
  <si>
    <t>TKK118_091</t>
  </si>
  <si>
    <t>KZMF00000911</t>
  </si>
  <si>
    <t>TKK119_018</t>
  </si>
  <si>
    <t>KZMF00000184</t>
  </si>
  <si>
    <t>TKK131_026</t>
  </si>
  <si>
    <t>KZMF00000267</t>
  </si>
  <si>
    <t>TKK141_070</t>
  </si>
  <si>
    <t>KZMF00000705</t>
  </si>
  <si>
    <t>TKK143_055</t>
  </si>
  <si>
    <t>KZMF00000556</t>
  </si>
  <si>
    <t>TKK143_056</t>
  </si>
  <si>
    <t>KZMF00000564</t>
  </si>
  <si>
    <t>TKK143_069</t>
  </si>
  <si>
    <t>KZMF00000697</t>
  </si>
  <si>
    <t>TLT_KZ</t>
  </si>
  <si>
    <t>US4642874329</t>
  </si>
  <si>
    <t>TMJLb3</t>
  </si>
  <si>
    <t>KZ2C00003564</t>
  </si>
  <si>
    <t>TMJLb4</t>
  </si>
  <si>
    <t>KZ2C00004109</t>
  </si>
  <si>
    <t>TMJLb6</t>
  </si>
  <si>
    <t>KZ2C00005866</t>
  </si>
  <si>
    <t>TMJLb8</t>
  </si>
  <si>
    <t>TMJLb9</t>
  </si>
  <si>
    <t>TMLZ</t>
  </si>
  <si>
    <t>KZ1C00000405</t>
  </si>
  <si>
    <t>TPIB</t>
  </si>
  <si>
    <t>KZ1C00007665</t>
  </si>
  <si>
    <t>TR_02_2904</t>
  </si>
  <si>
    <t>US900123CT57</t>
  </si>
  <si>
    <t>TSBN</t>
  </si>
  <si>
    <t>KZ000A0Q5HK5</t>
  </si>
  <si>
    <t>TSBNb16</t>
  </si>
  <si>
    <t>KZ2C00002061</t>
  </si>
  <si>
    <t>TSBNb27</t>
  </si>
  <si>
    <t>KZ2C00002913</t>
  </si>
  <si>
    <t>TSBNb28</t>
  </si>
  <si>
    <t>KZ2C00002921</t>
  </si>
  <si>
    <t>TSBNb29</t>
  </si>
  <si>
    <t>KZ2C00002939</t>
  </si>
  <si>
    <t>TSBNb30</t>
  </si>
  <si>
    <t>KZ2C00002947</t>
  </si>
  <si>
    <t>TSBNb31</t>
  </si>
  <si>
    <t>KZ2C00004091</t>
  </si>
  <si>
    <t>TSBNb34</t>
  </si>
  <si>
    <t>KZ2C00004448</t>
  </si>
  <si>
    <t>TSBNb35</t>
  </si>
  <si>
    <t>KZ2C00004455</t>
  </si>
  <si>
    <t>TSBNb37</t>
  </si>
  <si>
    <t>KZ2C00007235</t>
  </si>
  <si>
    <t>TSBNb7</t>
  </si>
  <si>
    <t>KZ000A0T9AL7</t>
  </si>
  <si>
    <t>TSBNp</t>
  </si>
  <si>
    <t>KZ000A0RM3V6</t>
  </si>
  <si>
    <t>TSLA_KZ</t>
  </si>
  <si>
    <t>US88160R1014</t>
  </si>
  <si>
    <t>Tesla, Inc.</t>
  </si>
  <si>
    <t>TSSPb4</t>
  </si>
  <si>
    <t>KZ2P00009079</t>
  </si>
  <si>
    <t>TSSPb5</t>
  </si>
  <si>
    <t>KZ2P00009087</t>
  </si>
  <si>
    <t>TXN_KZ</t>
  </si>
  <si>
    <t>US8825081040</t>
  </si>
  <si>
    <t xml:space="preserve">Texas Instruments Inc. </t>
  </si>
  <si>
    <t>T_KZ</t>
  </si>
  <si>
    <t>US00206R1023</t>
  </si>
  <si>
    <t>AT&amp;T Inc.</t>
  </si>
  <si>
    <t>UBER_KZ</t>
  </si>
  <si>
    <t>US90353T1007</t>
  </si>
  <si>
    <t>Uber Technologies Inc.</t>
  </si>
  <si>
    <t>ULBS</t>
  </si>
  <si>
    <t>KZ1C00001627</t>
  </si>
  <si>
    <t>URA_KZ</t>
  </si>
  <si>
    <t>US37954Y8710</t>
  </si>
  <si>
    <t>US101_3302</t>
  </si>
  <si>
    <t>US91282CGM73</t>
  </si>
  <si>
    <t>US102_3308</t>
  </si>
  <si>
    <t>US91282CHT18</t>
  </si>
  <si>
    <t>US103_3102</t>
  </si>
  <si>
    <t>US912810FP85</t>
  </si>
  <si>
    <t>US105_2612</t>
  </si>
  <si>
    <t>US912828YX25</t>
  </si>
  <si>
    <t>US106_2812</t>
  </si>
  <si>
    <t>US91282CDP32</t>
  </si>
  <si>
    <t>US107_3102</t>
  </si>
  <si>
    <t>US91282CBL46</t>
  </si>
  <si>
    <t>US108_2701</t>
  </si>
  <si>
    <t>US912828V491</t>
  </si>
  <si>
    <t>US135_2511</t>
  </si>
  <si>
    <t>US91282CJL63</t>
  </si>
  <si>
    <t>US141_2611</t>
  </si>
  <si>
    <t>US91282CJK80</t>
  </si>
  <si>
    <t>US142_3105</t>
  </si>
  <si>
    <t>US91282CKU44</t>
  </si>
  <si>
    <t>US143_3405</t>
  </si>
  <si>
    <t>US91282CKQ32</t>
  </si>
  <si>
    <t>US149_2602</t>
  </si>
  <si>
    <t>US91282CKB62</t>
  </si>
  <si>
    <t>US150_2601</t>
  </si>
  <si>
    <t>US91282CJV46</t>
  </si>
  <si>
    <t>US158_2610</t>
  </si>
  <si>
    <t>US912828YQ73</t>
  </si>
  <si>
    <t>US159_4311</t>
  </si>
  <si>
    <t>US912810TW80</t>
  </si>
  <si>
    <t>US_04_2908</t>
  </si>
  <si>
    <t>US912810FJ26</t>
  </si>
  <si>
    <t>US_06_3011</t>
  </si>
  <si>
    <t>US91282CAV37</t>
  </si>
  <si>
    <t>US_07_4411</t>
  </si>
  <si>
    <t>US912810RJ97</t>
  </si>
  <si>
    <t>US_08_4105</t>
  </si>
  <si>
    <t>US912810SY55</t>
  </si>
  <si>
    <t>US_62_2601</t>
  </si>
  <si>
    <t>US91282CBH34</t>
  </si>
  <si>
    <t>US_64_2510</t>
  </si>
  <si>
    <t>US9128285J52</t>
  </si>
  <si>
    <t>US_72_5211</t>
  </si>
  <si>
    <t>US912810TL26</t>
  </si>
  <si>
    <t>US_82_2603</t>
  </si>
  <si>
    <t>US91282CBT71</t>
  </si>
  <si>
    <t>US_85_2606</t>
  </si>
  <si>
    <t>US91282CCJ80</t>
  </si>
  <si>
    <t>US_86_2512</t>
  </si>
  <si>
    <t>US91282CGA36</t>
  </si>
  <si>
    <t>US_97_3205</t>
  </si>
  <si>
    <t>US91282CEP23</t>
  </si>
  <si>
    <t>UTK022_202</t>
  </si>
  <si>
    <t>KZMJ00002020</t>
  </si>
  <si>
    <t>UTK024_164</t>
  </si>
  <si>
    <t>KZMJ00001642</t>
  </si>
  <si>
    <t>UTK116_094</t>
  </si>
  <si>
    <t>KZMF00000945</t>
  </si>
  <si>
    <t>UTMK</t>
  </si>
  <si>
    <t>KZ000A1CTM59</t>
  </si>
  <si>
    <t>UTMKp</t>
  </si>
  <si>
    <t>KZ000A1CTM67</t>
  </si>
  <si>
    <t>VKK117_099</t>
  </si>
  <si>
    <t>KZMF00000994</t>
  </si>
  <si>
    <t>VKK118_093</t>
  </si>
  <si>
    <t>KZMF00000937</t>
  </si>
  <si>
    <t>VKK119_010</t>
  </si>
  <si>
    <t>KZMF00000101</t>
  </si>
  <si>
    <t>VKK119_074</t>
  </si>
  <si>
    <t>KZMF00000747</t>
  </si>
  <si>
    <t>VKK131_027</t>
  </si>
  <si>
    <t>KZMF00000275</t>
  </si>
  <si>
    <t>VKK143_034</t>
  </si>
  <si>
    <t>KZMF00000341</t>
  </si>
  <si>
    <t>VKK143_035</t>
  </si>
  <si>
    <t>KZMF00000358</t>
  </si>
  <si>
    <t>VKK143_060</t>
  </si>
  <si>
    <t>KZMF00000606</t>
  </si>
  <si>
    <t>VZ_KZ</t>
  </si>
  <si>
    <t>US92343V1044</t>
  </si>
  <si>
    <t>Verizon Communications Inc.</t>
  </si>
  <si>
    <t>XLP_KZ</t>
  </si>
  <si>
    <t>US81369Y3080</t>
  </si>
  <si>
    <t xml:space="preserve">The Select Sector SPDR Trust  </t>
  </si>
  <si>
    <t>XLU_KZ</t>
  </si>
  <si>
    <t>US81369Y8865</t>
  </si>
  <si>
    <t>XOM_KZ</t>
  </si>
  <si>
    <t>US30231G1022</t>
  </si>
  <si>
    <t>Exxon Mobil Corporation</t>
  </si>
  <si>
    <t>ZHLT</t>
  </si>
  <si>
    <t>KZ1C00003821</t>
  </si>
  <si>
    <t>ZHMNe2</t>
  </si>
  <si>
    <t>USN97716AA72</t>
  </si>
  <si>
    <t>ZHMNe3</t>
  </si>
  <si>
    <t>USN64884AA29</t>
  </si>
  <si>
    <t>ZKK022_189</t>
  </si>
  <si>
    <t>KZMJ00001899</t>
  </si>
  <si>
    <t>ZKK024_176</t>
  </si>
  <si>
    <t>KZMJ00001766</t>
  </si>
  <si>
    <t>ZKK024_181</t>
  </si>
  <si>
    <t>KZMJ00001816</t>
  </si>
  <si>
    <t>ZKK024_212</t>
  </si>
  <si>
    <t>KZMJ00002129</t>
  </si>
  <si>
    <t>ZKK117_098</t>
  </si>
  <si>
    <t>KZMF00000986</t>
  </si>
  <si>
    <t>ZKK119_011</t>
  </si>
  <si>
    <t>KZMF00000119</t>
  </si>
  <si>
    <t>ZKK119_071</t>
  </si>
  <si>
    <t>KZMF00000713</t>
  </si>
  <si>
    <t>ZKK131_012</t>
  </si>
  <si>
    <t>KZMF00000127</t>
  </si>
  <si>
    <t>ZKK143_013</t>
  </si>
  <si>
    <t>KZMF00000135</t>
  </si>
  <si>
    <t>ZKK143_044</t>
  </si>
  <si>
    <t>KZMF00000440</t>
  </si>
  <si>
    <t>Тикер</t>
  </si>
  <si>
    <t>Рыночная цена при покупке</t>
  </si>
  <si>
    <t xml:space="preserve">Рыночная цена при продаже </t>
  </si>
  <si>
    <t>Цена открытия</t>
  </si>
  <si>
    <t>Цена закрытия</t>
  </si>
  <si>
    <t>ORBSb5</t>
  </si>
  <si>
    <t>KZ2P00013832</t>
  </si>
  <si>
    <t xml:space="preserve">Комиссия клиринга </t>
  </si>
  <si>
    <t>Комиссия Касе</t>
  </si>
  <si>
    <t>MFSCb5</t>
  </si>
  <si>
    <t>KZ2P00011638</t>
  </si>
  <si>
    <t>NCOMb6</t>
  </si>
  <si>
    <t>KZ2P00013568</t>
  </si>
  <si>
    <t>AKVEpp1</t>
  </si>
  <si>
    <t>KZ2P00013733</t>
  </si>
  <si>
    <t>NTK028_2862</t>
  </si>
  <si>
    <t>KZ2C00010106</t>
  </si>
  <si>
    <t>Фикс, будет известна после первых торгов</t>
  </si>
  <si>
    <t>BTRKb21</t>
  </si>
  <si>
    <t>KZ2C00013878</t>
  </si>
  <si>
    <t>MUM240_0002_</t>
  </si>
  <si>
    <t>MUM120_0018_</t>
  </si>
  <si>
    <t>MOM048_0053_</t>
  </si>
  <si>
    <t>MFMOb15</t>
  </si>
  <si>
    <t>KZ2P00013295</t>
  </si>
  <si>
    <t>MFTFb5</t>
  </si>
  <si>
    <t>KZ2P00013782</t>
  </si>
  <si>
    <t>MOM048_0052_</t>
  </si>
  <si>
    <t>KZ_07_2507_</t>
  </si>
  <si>
    <t>KZ_07_2507__</t>
  </si>
  <si>
    <t>KZ_07_2507___</t>
  </si>
  <si>
    <t>Алгоритмы и параметры расчета ЦБ</t>
  </si>
  <si>
    <t>KFUSb78</t>
  </si>
  <si>
    <t>KZ2C00012045</t>
  </si>
  <si>
    <t>KFUSb92</t>
  </si>
  <si>
    <t>KZ2C00012409</t>
  </si>
  <si>
    <t>MFLGb16</t>
  </si>
  <si>
    <t>KZ2P00013865</t>
  </si>
  <si>
    <t>EABRe5_</t>
  </si>
  <si>
    <t>MUM180_0012_</t>
  </si>
  <si>
    <t>MUM216_0002_</t>
  </si>
  <si>
    <t>EABRb53_</t>
  </si>
  <si>
    <t>MUM120_0019_</t>
  </si>
  <si>
    <t>MUM072_0015_</t>
  </si>
  <si>
    <t>EBRDe29</t>
  </si>
  <si>
    <t>XS3059487721</t>
  </si>
  <si>
    <t>MFSLb10</t>
  </si>
  <si>
    <t>KZ2P00013402</t>
  </si>
  <si>
    <t>MUM108_0012_</t>
  </si>
  <si>
    <t>MUM156_0005_</t>
  </si>
  <si>
    <t>KOK024_216</t>
  </si>
  <si>
    <t>KZMJ00002160</t>
  </si>
  <si>
    <t>MFKMb5</t>
  </si>
  <si>
    <t>KZ2P00011257</t>
  </si>
  <si>
    <t>TKK024_215</t>
  </si>
  <si>
    <t>KZMJ00002152</t>
  </si>
  <si>
    <t>MUM120_0020_</t>
  </si>
  <si>
    <t>MKM012_0161</t>
  </si>
  <si>
    <t>KZK100000423</t>
  </si>
  <si>
    <t>MFMOb23</t>
  </si>
  <si>
    <t>KZ2P00013154</t>
  </si>
  <si>
    <t>MFMOb26</t>
  </si>
  <si>
    <t>KZ2P00013204</t>
  </si>
  <si>
    <t>MFRCb1</t>
  </si>
  <si>
    <t>KZ2P00010291</t>
  </si>
  <si>
    <t>ТОО МФО "Робокэш.кз"</t>
  </si>
  <si>
    <t>BTRKb25</t>
  </si>
  <si>
    <t>KZ2C00014033</t>
  </si>
  <si>
    <t>JSBNb5</t>
  </si>
  <si>
    <t>KZ2C00013662</t>
  </si>
  <si>
    <t>US160_2510</t>
  </si>
  <si>
    <t>US912797NA14</t>
  </si>
  <si>
    <t>US161_2511</t>
  </si>
  <si>
    <t>US912797NL78</t>
  </si>
  <si>
    <t>US162_2512</t>
  </si>
  <si>
    <t>US912797NU77</t>
  </si>
  <si>
    <t>US163_2601</t>
  </si>
  <si>
    <t>US912797PD35</t>
  </si>
  <si>
    <t>MUM096_0014_</t>
  </si>
  <si>
    <t>BTRKe1</t>
  </si>
  <si>
    <t>XS3067899610</t>
  </si>
  <si>
    <t>US164_2602</t>
  </si>
  <si>
    <t>US912797PM34</t>
  </si>
  <si>
    <t>US165_2603</t>
  </si>
  <si>
    <t>US912797PV33</t>
  </si>
  <si>
    <t>MFRFb17</t>
  </si>
  <si>
    <t>KZ2P00014012</t>
  </si>
  <si>
    <t>Доходность до погашения, %</t>
  </si>
  <si>
    <t>MUM168_0005_</t>
  </si>
  <si>
    <t>MUM180_0016_</t>
  </si>
  <si>
    <t>MUM156_0008</t>
  </si>
  <si>
    <t>KZKD00001293</t>
  </si>
  <si>
    <t>NTK028_2863</t>
  </si>
  <si>
    <t>AIK024_214</t>
  </si>
  <si>
    <t>KZMJ00002145</t>
  </si>
  <si>
    <t>PVK024_217</t>
  </si>
  <si>
    <t>KZMJ00002178</t>
  </si>
  <si>
    <t>SWPSb1</t>
  </si>
  <si>
    <t>KZ2P00013881</t>
  </si>
  <si>
    <t>ТОО "Частная школа имени Шокана Уалиханова"</t>
  </si>
  <si>
    <t>VKK024_218</t>
  </si>
  <si>
    <t>KZMJ00002186</t>
  </si>
  <si>
    <t>MUM108_0012dsjds</t>
  </si>
  <si>
    <t>EABRb42k32</t>
  </si>
  <si>
    <t>BIGDb5</t>
  </si>
  <si>
    <t>KZ2D00012861</t>
  </si>
  <si>
    <t>MFKMb6</t>
  </si>
  <si>
    <t>KZ2C00013761</t>
  </si>
  <si>
    <t>MFKMb7</t>
  </si>
  <si>
    <t>KZ2C00013779</t>
  </si>
  <si>
    <t>MFLGb15</t>
  </si>
  <si>
    <t>KZ2P00013857</t>
  </si>
  <si>
    <t>KASAb1</t>
  </si>
  <si>
    <t>KZ2C00013753</t>
  </si>
  <si>
    <t>UZPAb1</t>
  </si>
  <si>
    <t>KZ2C00013811</t>
  </si>
  <si>
    <t>Частная компания BI Development Ltd.</t>
  </si>
  <si>
    <t>MUM096_0015</t>
  </si>
  <si>
    <t>KZKD00001301</t>
  </si>
  <si>
    <t>IDCOpp2</t>
  </si>
  <si>
    <t>KZ2P00009889</t>
  </si>
  <si>
    <t>MFMOb24</t>
  </si>
  <si>
    <t>KZ2P00013212</t>
  </si>
  <si>
    <t>MFMOb25</t>
  </si>
  <si>
    <t>KZ2P00013220</t>
  </si>
  <si>
    <t>MFMOb27</t>
  </si>
  <si>
    <t>KZ2P00013345</t>
  </si>
  <si>
    <t>MFMOb28</t>
  </si>
  <si>
    <t>KZ2P00013352</t>
  </si>
  <si>
    <t>KFUSb85</t>
  </si>
  <si>
    <t>KZ2C00012128</t>
  </si>
  <si>
    <t>Accrued interest (debet)</t>
  </si>
  <si>
    <t>Amount</t>
  </si>
  <si>
    <t>Type of operations</t>
  </si>
  <si>
    <t>Maturity status</t>
  </si>
  <si>
    <t>MFUCb8</t>
  </si>
  <si>
    <t>KZ2P00013824</t>
  </si>
  <si>
    <t>BTRKb22</t>
  </si>
  <si>
    <t>KZ2C00013902</t>
  </si>
  <si>
    <t>BTRKb23</t>
  </si>
  <si>
    <t>KZ2C00013928</t>
  </si>
  <si>
    <t>MFAFb9</t>
  </si>
  <si>
    <t>KZ2P00014244</t>
  </si>
  <si>
    <t>Доходность</t>
  </si>
  <si>
    <t>KFUSb83</t>
  </si>
  <si>
    <t>KZ2C00012094</t>
  </si>
  <si>
    <t xml:space="preserve">Процентная ставка </t>
  </si>
  <si>
    <t xml:space="preserve">Наименование эмитента </t>
  </si>
  <si>
    <t xml:space="preserve">Национальный банка Республики Казахстан </t>
  </si>
  <si>
    <t>Дата погашения</t>
  </si>
  <si>
    <t>АО "Казахстанский электролизный завод"</t>
  </si>
  <si>
    <t>АО "Alatau City Bank"</t>
  </si>
  <si>
    <t>Акции</t>
  </si>
  <si>
    <t>АО "АзияАгроФуд"</t>
  </si>
  <si>
    <t>Тенге</t>
  </si>
  <si>
    <t>Облигации</t>
  </si>
  <si>
    <t>Акимат Актюбинской области</t>
  </si>
  <si>
    <t>Чистая цена в %</t>
  </si>
  <si>
    <t>ТОО "A-cars"</t>
  </si>
  <si>
    <t>АО "Айдала Мунай"</t>
  </si>
  <si>
    <t>АО "Aidarly Project (Айдарлы Проджект)"</t>
  </si>
  <si>
    <t>Эмират Абу-Даби</t>
  </si>
  <si>
    <t>АО "Аграрная кредитная корпорация"</t>
  </si>
  <si>
    <t>АО "Акбакай Голд Ресорсиз"</t>
  </si>
  <si>
    <t>Акимат области Абай</t>
  </si>
  <si>
    <t>Депозитарные расписки</t>
  </si>
  <si>
    <t>АО "Акжал Голд Ресорсиз"</t>
  </si>
  <si>
    <t>Акимат Акмолинской области</t>
  </si>
  <si>
    <t>АО "АстанаГаз КМГ"</t>
  </si>
  <si>
    <t>АО "Ай Карааул"</t>
  </si>
  <si>
    <t>ТОО "АКВЕЙ"</t>
  </si>
  <si>
    <t>АО "АИФН "Алматы Логистик Центр"</t>
  </si>
  <si>
    <t>АО "Алма Телекоммуникейшнс Казахстан"</t>
  </si>
  <si>
    <t>АО "Алтай Ресорсиз"</t>
  </si>
  <si>
    <t>АО "СНПС - Актобемунайгаз"</t>
  </si>
  <si>
    <t>АО "СК "Amanat"</t>
  </si>
  <si>
    <t>АО "Аскер Мунай Эксплорэйшн"</t>
  </si>
  <si>
    <t>АО "Ушкую"</t>
  </si>
  <si>
    <t>ТОО "АРКАДА ИНДАСТРИ"</t>
  </si>
  <si>
    <t>Акимат Атырауской области</t>
  </si>
  <si>
    <t>ТОО "Арма-Сервис"</t>
  </si>
  <si>
    <t>АО "Аэропорт "Сары-Арка"</t>
  </si>
  <si>
    <t>АО "ForteBank"</t>
  </si>
  <si>
    <t>Акимат г. Астана</t>
  </si>
  <si>
    <t xml:space="preserve">АО "ALTYN SAMRUK QAZAQSTAN" </t>
  </si>
  <si>
    <t>АО "КСЖ "Freedom Life"</t>
  </si>
  <si>
    <t>ТОО "ASIA PARK" ("АЗИЯ ПАРК")</t>
  </si>
  <si>
    <t>АО "ASTEL" (АСТЕЛ)</t>
  </si>
  <si>
    <t>АО "AltynEx Company"</t>
  </si>
  <si>
    <t>Акимат Алматинской области</t>
  </si>
  <si>
    <t>АО "Дочернее предприятие "Актобе-Темир-ВС"</t>
  </si>
  <si>
    <t>Австрийская Республика</t>
  </si>
  <si>
    <t>ТОО "Авеста-Караганда"</t>
  </si>
  <si>
    <t>АО "Актюбинский завод нефтяного оборудования"</t>
  </si>
  <si>
    <t>АО "БАСТ"</t>
  </si>
  <si>
    <t>Паи ПИФ</t>
  </si>
  <si>
    <t>АО "Горнорудная компания "Бенкала"</t>
  </si>
  <si>
    <t>АО Bereke Bank (ДБ Lesha Bank LLC (Public))</t>
  </si>
  <si>
    <t>Бумаги ин. инвест. фондов. ETF</t>
  </si>
  <si>
    <t>ТОО "Black Biotechnology (Блэк Биотехнолоджи)"</t>
  </si>
  <si>
    <t>ТОО "BRBAPK"</t>
  </si>
  <si>
    <t>АО "3А-БэстГрупп"</t>
  </si>
  <si>
    <t>АО "Баян Сулу"</t>
  </si>
  <si>
    <t>АО "Казахстанская Жилищная Компания"</t>
  </si>
  <si>
    <t>АО "Батыс транзит"</t>
  </si>
  <si>
    <t>АО "CHINATOWN"</t>
  </si>
  <si>
    <t>АО "Кристалл Менеджмент"</t>
  </si>
  <si>
    <t>АО "Dosjan temir joly"</t>
  </si>
  <si>
    <t>Акимат Жамбылской области</t>
  </si>
  <si>
    <t>Европейский инвестиционный банк</t>
  </si>
  <si>
    <t>АО "ЭКОТОН+"</t>
  </si>
  <si>
    <t>АО "Евразийский банк"</t>
  </si>
  <si>
    <t>АО "Евразийский Капитал"</t>
  </si>
  <si>
    <t>АО "Товарная Биржа "Каспий"</t>
  </si>
  <si>
    <t>АО "Green Power Generation"</t>
  </si>
  <si>
    <t>ТОО "Компания Фаэтон"</t>
  </si>
  <si>
    <t>АО "ФИНАНСОВЫЙ ХОЛДИНГ "РЕСПУБЛИКА"</t>
  </si>
  <si>
    <t>ТОО "FinQ"</t>
  </si>
  <si>
    <t>АО "FIVE BROKERS' CAPITAL"</t>
  </si>
  <si>
    <t xml:space="preserve">АО "Фонд развития предпринимательства "Даму" </t>
  </si>
  <si>
    <t>Правительство специального административного региона Гонконг Китайской Народной Республики</t>
  </si>
  <si>
    <t>Международный банк реконструкции и развития</t>
  </si>
  <si>
    <t>Исламская корпорация по развитию частного сектора</t>
  </si>
  <si>
    <t>ТОО "КА "ID Collect (АйДи Коллект)"</t>
  </si>
  <si>
    <t>АО "Фонд развития промышленности"</t>
  </si>
  <si>
    <t>FinEx Physically Backed Funds</t>
  </si>
  <si>
    <t>АО "Банк "Bank RBK"</t>
  </si>
  <si>
    <t>ЧК JET Group Ltd.</t>
  </si>
  <si>
    <t>АО "Joint Resources"</t>
  </si>
  <si>
    <t>АО "Жилищный строительный сберегательный банк "Отбасы банк"</t>
  </si>
  <si>
    <t>JSBNb6</t>
  </si>
  <si>
    <t>KZ2C00013670</t>
  </si>
  <si>
    <t>Акимат области Жетісу</t>
  </si>
  <si>
    <t>АО "Qazaqstan Investment Corporation"</t>
  </si>
  <si>
    <t>АО "КазАгроФинанс"</t>
  </si>
  <si>
    <t>АО "Казахстанская фондовая биржа"</t>
  </si>
  <si>
    <t>АО "Атамекен-Агро"</t>
  </si>
  <si>
    <t>Акимат Карагандинской области</t>
  </si>
  <si>
    <t>АО "Kazakhmys Copper" (Казахмыс Коппер)</t>
  </si>
  <si>
    <t>АО "KM GOLD"</t>
  </si>
  <si>
    <t>Акимат Кызылординской области</t>
  </si>
  <si>
    <t>АО "КоЖаН"</t>
  </si>
  <si>
    <t>Акимат Костанайской области</t>
  </si>
  <si>
    <t>АО "Каспий нефть"</t>
  </si>
  <si>
    <t>АО "QAZAQGAZ AIMAQ"</t>
  </si>
  <si>
    <t>АО "КазАзот"</t>
  </si>
  <si>
    <t>АО "Каражыра"</t>
  </si>
  <si>
    <t>АО "Национальная компания "QazaqGaz"</t>
  </si>
  <si>
    <t>ТОО "KazWind Energy" ("КазВинд Энерджи")</t>
  </si>
  <si>
    <t>АО "KMK Мунай"</t>
  </si>
  <si>
    <t>АО "ЛОГИКОМ"</t>
  </si>
  <si>
    <t>АО "Лизинг Групп"</t>
  </si>
  <si>
    <t>АО "Матен Петролеум"</t>
  </si>
  <si>
    <t>ТОО "КТ"AgroBusiness KZ"</t>
  </si>
  <si>
    <t>ТОО "МФО "Арнур Кредит"</t>
  </si>
  <si>
    <t>ТОО "Микрофинансовая организация аФинанс"</t>
  </si>
  <si>
    <t>ТОО "Birinshi Lombard"</t>
  </si>
  <si>
    <t>АО "МФО "Береке"</t>
  </si>
  <si>
    <t>ТОО "МФО "Капиталинвест"</t>
  </si>
  <si>
    <t>ТОО "Микрофинансовая организация "ФинТехЛаб"</t>
  </si>
  <si>
    <t>ТОО "Микрофинансовая организация "Деньги говорят"</t>
  </si>
  <si>
    <t>ТОО "МФО ЭКО - Финанс"</t>
  </si>
  <si>
    <t>ТОО "МФО "Кредит Time"</t>
  </si>
  <si>
    <t>ТОО "Ломбард "GoldFinMarket"</t>
  </si>
  <si>
    <t>ТОО "Ломбард Прогресс"</t>
  </si>
  <si>
    <t>ТОО "МФО "MyCar Finance"</t>
  </si>
  <si>
    <t>ТОО "МФО "НИЕТ Кредит"</t>
  </si>
  <si>
    <t>ТОО "МФО "Rangeld Finance"</t>
  </si>
  <si>
    <t>ТОО "Сейф-Ломбард"</t>
  </si>
  <si>
    <t>ТОО "МФО "Тойота Файнаншл Сервисез Казахстан"</t>
  </si>
  <si>
    <t>ТОО "МФО "TAS FINANCE GROUP" (ТАС ФИНАНС ГРУПП)</t>
  </si>
  <si>
    <t>ТОО "МФО "ЮНИКРЕДО"</t>
  </si>
  <si>
    <t>Акимат Мангистауской области</t>
  </si>
  <si>
    <t>АО "Майкубен-Вест"</t>
  </si>
  <si>
    <t>АО "Мангистаумунайгаз"</t>
  </si>
  <si>
    <t>АО "Марганец Жайрема"</t>
  </si>
  <si>
    <t>ТОО "Freedom Mobile"</t>
  </si>
  <si>
    <t>АО "Мангистауская региональная электросетевая компания"</t>
  </si>
  <si>
    <t>Министерство финансов Федерации Малайзия</t>
  </si>
  <si>
    <t>АО "Национальные информационные технологии"</t>
  </si>
  <si>
    <t>АО "Нурбанк"</t>
  </si>
  <si>
    <t>ТОО "Oasis Logistics"</t>
  </si>
  <si>
    <t>Султанат Оман</t>
  </si>
  <si>
    <t>ТОО "Orbis Leasing"</t>
  </si>
  <si>
    <t>ТОО "Orient Group KZ"</t>
  </si>
  <si>
    <t>АО "Оптово-розничное предприятие торговли"</t>
  </si>
  <si>
    <t>АО "ПАВЛОДАРЭНЕРГО"</t>
  </si>
  <si>
    <t>Министерство экономики и финансов Республики Перу</t>
  </si>
  <si>
    <t>АО "Phystech II"</t>
  </si>
  <si>
    <t>Республика Филиппины</t>
  </si>
  <si>
    <t>ПК "СПК "ДАМУ АГРО"</t>
  </si>
  <si>
    <t>АО "Национальная компания "Продовольственная контрактная корпорация"</t>
  </si>
  <si>
    <t>Акимат Павлодарской области</t>
  </si>
  <si>
    <t>АО "ПОЗИТИВ-А"</t>
  </si>
  <si>
    <t>Министерство финансов Государства Катар</t>
  </si>
  <si>
    <t>АО "ЛОТТЕ Рахат"</t>
  </si>
  <si>
    <t>АО "АИФН "RETAM"</t>
  </si>
  <si>
    <t>ТОО "RG Brands Kazakhstan"</t>
  </si>
  <si>
    <t>АО "RG Brands"</t>
  </si>
  <si>
    <t>АО "СК "Sinoasia B&amp;R (Синоазия БиЭндАр)"</t>
  </si>
  <si>
    <t>ТОО "Сапфир Инвест"</t>
  </si>
  <si>
    <t>АО "С.А.С."</t>
  </si>
  <si>
    <t>АО "Fincraft Resources"</t>
  </si>
  <si>
    <t xml:space="preserve">Министерства финансов Королевства Саудовской Аравии </t>
  </si>
  <si>
    <t>ТОО "Скулбас"</t>
  </si>
  <si>
    <t>Акимат города Шымкент</t>
  </si>
  <si>
    <t>АО "Шубарколь Премиум"</t>
  </si>
  <si>
    <t>АО "ШалкияЦинк ЛТД"</t>
  </si>
  <si>
    <t>АО "СевКазЭнерго"</t>
  </si>
  <si>
    <t>Акимат Северо-Казахстанской области</t>
  </si>
  <si>
    <t>АО "Компания по страхованию жизни "Standard Life"</t>
  </si>
  <si>
    <t>АО "Самрук-Энерго"</t>
  </si>
  <si>
    <t>АО "АИФН "SNS INVESTMENTS (СНС ИНВЕСТМЕНТС)"</t>
  </si>
  <si>
    <t>АО "Tin One Mining" (Тин Уан Майнинг)</t>
  </si>
  <si>
    <t>АО "Транстелеком"</t>
  </si>
  <si>
    <t>ТОО "Терра"</t>
  </si>
  <si>
    <t>ГУ "Аппарат акима Туркестанской области"</t>
  </si>
  <si>
    <t>АО "ForteLeasing" (ФортеЛизинг)</t>
  </si>
  <si>
    <t>АО "Tengri Partners Investment Banking (Kazakhstan)"</t>
  </si>
  <si>
    <t>Турецкая Республика</t>
  </si>
  <si>
    <t>ТОО "ТССП Групп"</t>
  </si>
  <si>
    <t>АО "ULMUS BESSHOKY (УЛМУС БЕСШОКЫ)"</t>
  </si>
  <si>
    <t>Министерство финансов США</t>
  </si>
  <si>
    <t>Акимат области Ұлытау</t>
  </si>
  <si>
    <t>АО "Усть-Каменогорский титано-магниевый комбинат"</t>
  </si>
  <si>
    <t>АО "Усть-Каменогорский завод промышленной арматуры"</t>
  </si>
  <si>
    <t>Акимат Восточно-Казахстанской области</t>
  </si>
  <si>
    <t>АО "Жалтырбулак"</t>
  </si>
  <si>
    <t>ТОО "Жаикмунай"</t>
  </si>
  <si>
    <t>Акимат Западно-Казахстанской области</t>
  </si>
  <si>
    <t>Ticker of KASE</t>
  </si>
  <si>
    <t>Nominal</t>
  </si>
  <si>
    <t>Start date</t>
  </si>
  <si>
    <t xml:space="preserve">погашение </t>
  </si>
  <si>
    <t>Агентские</t>
  </si>
  <si>
    <t>TYPE</t>
  </si>
  <si>
    <t>ГЦБ</t>
  </si>
  <si>
    <t>Бумаги местных исполнительных органов</t>
  </si>
  <si>
    <t>Ноты НБ РК</t>
  </si>
  <si>
    <t>MFDFb3</t>
  </si>
  <si>
    <t>KZ2P00013840</t>
  </si>
  <si>
    <t>MJETpp1</t>
  </si>
  <si>
    <t>KZ2P00014368</t>
  </si>
  <si>
    <t>ТОО "MARKET JET"</t>
  </si>
  <si>
    <t>MFRFb19</t>
  </si>
  <si>
    <t>KZ2P00014004</t>
  </si>
  <si>
    <t>Settlement date</t>
  </si>
  <si>
    <t>usd</t>
  </si>
  <si>
    <t>AKK024_221</t>
  </si>
  <si>
    <t>KZMJ00002210</t>
  </si>
  <si>
    <t>ATK024_220</t>
  </si>
  <si>
    <t>KZMJ00002202</t>
  </si>
  <si>
    <t>JTK024_219</t>
  </si>
  <si>
    <t>KZMJ00002194</t>
  </si>
  <si>
    <t>&gt;30/06/2025</t>
  </si>
  <si>
    <t>KZ_24_3207</t>
  </si>
  <si>
    <t>XS3093655341</t>
  </si>
  <si>
    <t>KZ_25_3707</t>
  </si>
  <si>
    <t>XS3093658014</t>
  </si>
  <si>
    <t>MFBRb2</t>
  </si>
  <si>
    <t>KZ2C00014223</t>
  </si>
  <si>
    <t>MFBRb3</t>
  </si>
  <si>
    <t>KZ2C00014231</t>
  </si>
  <si>
    <t>US168_2701</t>
  </si>
  <si>
    <t>US91282CMH15</t>
  </si>
  <si>
    <t>US169_2604</t>
  </si>
  <si>
    <t>US912797QD26</t>
  </si>
  <si>
    <t>US170_2605</t>
  </si>
  <si>
    <t>US912797QN08</t>
  </si>
  <si>
    <t>KFUSb86</t>
  </si>
  <si>
    <t>KZ2C00012136</t>
  </si>
  <si>
    <t>HCBNb19</t>
  </si>
  <si>
    <t>KZ2C00014124</t>
  </si>
  <si>
    <t>Направление сделки (для РЕПО)</t>
  </si>
  <si>
    <t>ASK022_015</t>
  </si>
  <si>
    <t>KZZJ00000151</t>
  </si>
  <si>
    <t>TSSPb1</t>
  </si>
  <si>
    <t>KZ2P00008113</t>
  </si>
  <si>
    <t>Reference number  of deal (Buy/Sell)</t>
  </si>
  <si>
    <t>ASBLb1</t>
  </si>
  <si>
    <t>KZ2P00014293</t>
  </si>
  <si>
    <t>ТОО "Asia Bell"</t>
  </si>
  <si>
    <t>MFTSb3</t>
  </si>
  <si>
    <t>KZ2P00014400</t>
  </si>
  <si>
    <t>UTK024_223</t>
  </si>
  <si>
    <t>KZMJ00002236</t>
  </si>
  <si>
    <t>ZKK024_222</t>
  </si>
  <si>
    <t>KZMJ00002228</t>
  </si>
  <si>
    <t>JTK120_225</t>
  </si>
  <si>
    <t>KZMJ00002251</t>
  </si>
  <si>
    <t>KSK120_226</t>
  </si>
  <si>
    <t>KZMJ00002269</t>
  </si>
  <si>
    <t>PVK120_228</t>
  </si>
  <si>
    <t>KZMJ00002285</t>
  </si>
  <si>
    <t>SKK120_229</t>
  </si>
  <si>
    <t>KZMJ00002293</t>
  </si>
  <si>
    <t>VKK120_227</t>
  </si>
  <si>
    <t>KZMJ00002277</t>
  </si>
  <si>
    <t>ZKK120_231</t>
  </si>
  <si>
    <t>KZMJ00002319</t>
  </si>
  <si>
    <t>BTRKb27</t>
  </si>
  <si>
    <t>KZ2C00014520</t>
  </si>
  <si>
    <t>HCBNb17</t>
  </si>
  <si>
    <t>KZ2C00014066</t>
  </si>
  <si>
    <t>NTK028_2865</t>
  </si>
  <si>
    <t>CLSGb7</t>
  </si>
  <si>
    <t>KZ2P00014780</t>
  </si>
  <si>
    <t>MFRFb18</t>
  </si>
  <si>
    <t>KZ2P00013998</t>
  </si>
  <si>
    <t>KZIKb39</t>
  </si>
  <si>
    <t>KZ2C00014736</t>
  </si>
  <si>
    <t>BRKZb35</t>
  </si>
  <si>
    <t xml:space="preserve">купон </t>
  </si>
  <si>
    <t>MTC048_0001</t>
  </si>
  <si>
    <t>KZKF00000012</t>
  </si>
  <si>
    <t>грязная цена в тенге</t>
  </si>
  <si>
    <t>MIATb2</t>
  </si>
  <si>
    <t>KZ2P00014160</t>
  </si>
  <si>
    <t>ТОО "МеталлИнвестАтырау"</t>
  </si>
  <si>
    <t>ASK024_016</t>
  </si>
  <si>
    <t>KZZJ00000169</t>
  </si>
  <si>
    <t>ATK120_233</t>
  </si>
  <si>
    <t>KZMJ00002335</t>
  </si>
  <si>
    <t>JTK120_224</t>
  </si>
  <si>
    <t>KZMJ00002244</t>
  </si>
  <si>
    <t>KOK120_236</t>
  </si>
  <si>
    <t>KZMJ00002368</t>
  </si>
  <si>
    <t>MFACb3</t>
  </si>
  <si>
    <t>KZ2P00014434</t>
  </si>
  <si>
    <t>MGK120_235</t>
  </si>
  <si>
    <t>KZMJ00002350</t>
  </si>
  <si>
    <t>SKK120_230</t>
  </si>
  <si>
    <t>KZMJ00002301</t>
  </si>
  <si>
    <t>UTK120_237</t>
  </si>
  <si>
    <t>KZMJ00002376</t>
  </si>
  <si>
    <t>VKK120_232</t>
  </si>
  <si>
    <t>KZMJ00002327</t>
  </si>
  <si>
    <t>АО "Alatau City Invest"</t>
  </si>
  <si>
    <t>SCLBb2</t>
  </si>
  <si>
    <t>KZ2P00014798</t>
  </si>
  <si>
    <t>MOM048_0056</t>
  </si>
  <si>
    <t>KZK200000760</t>
  </si>
  <si>
    <t>CITI_KZe1</t>
  </si>
  <si>
    <t>XS3045699132</t>
  </si>
  <si>
    <t>Citigroup Global Markets Holdings Inc.</t>
  </si>
  <si>
    <t>KFUSb72</t>
  </si>
  <si>
    <t>KZ2C00011989</t>
  </si>
  <si>
    <t>MFRFb21</t>
  </si>
  <si>
    <t>KZ2P00014723</t>
  </si>
  <si>
    <t>MFSLb11</t>
  </si>
  <si>
    <t>KZ2P00014491</t>
  </si>
  <si>
    <t>Sum of deal</t>
  </si>
  <si>
    <t>АО "KMF Банк"</t>
  </si>
  <si>
    <t>Режим</t>
  </si>
  <si>
    <t>EBRP</t>
  </si>
  <si>
    <t>MFMOb32</t>
  </si>
  <si>
    <t>KZ2P00014590</t>
  </si>
  <si>
    <t>NTK028_2866</t>
  </si>
  <si>
    <t>MFCFb2</t>
  </si>
  <si>
    <t>KZ2P00014640</t>
  </si>
  <si>
    <t>KGK024_241</t>
  </si>
  <si>
    <t>KZMJ00002418</t>
  </si>
  <si>
    <t>EBWP</t>
  </si>
  <si>
    <t>MFECb3</t>
  </si>
  <si>
    <t>KZ2P00014210</t>
  </si>
  <si>
    <t>MFLGb19</t>
  </si>
  <si>
    <t>KZ2P00014277</t>
  </si>
  <si>
    <t>MFAFb10</t>
  </si>
  <si>
    <t>KZ2P00014996</t>
  </si>
  <si>
    <t>KZIKb40</t>
  </si>
  <si>
    <t>KZ2C00014744</t>
  </si>
  <si>
    <t>&gt;31/08/2025</t>
  </si>
  <si>
    <t>AIK120_238</t>
  </si>
  <si>
    <t>KZMJ00002384</t>
  </si>
  <si>
    <t>AIK120_252</t>
  </si>
  <si>
    <t>KZMJ00002525</t>
  </si>
  <si>
    <t>AKK120_245</t>
  </si>
  <si>
    <t>KZMJ00002459</t>
  </si>
  <si>
    <t>ATK120_248</t>
  </si>
  <si>
    <t>KZMJ00002483</t>
  </si>
  <si>
    <t>ATK120_249</t>
  </si>
  <si>
    <t>KZMJ00002491</t>
  </si>
  <si>
    <t>DZK120_246</t>
  </si>
  <si>
    <t>KZMJ00002467</t>
  </si>
  <si>
    <t>KGK120_243</t>
  </si>
  <si>
    <t>KZMJ00002434</t>
  </si>
  <si>
    <t>KOK120_239</t>
  </si>
  <si>
    <t>KZMJ00002392</t>
  </si>
  <si>
    <t>KOK120_256</t>
  </si>
  <si>
    <t>KZMJ00002566</t>
  </si>
  <si>
    <t>KSK120_247</t>
  </si>
  <si>
    <t>KZMJ00002475</t>
  </si>
  <si>
    <t>MGK120_257</t>
  </si>
  <si>
    <t>KZMJ00002574</t>
  </si>
  <si>
    <t>SKK120_250</t>
  </si>
  <si>
    <t>KZMJ00002509</t>
  </si>
  <si>
    <t>UTK120_253</t>
  </si>
  <si>
    <t>KZMJ00002533</t>
  </si>
  <si>
    <t>VKK120_254</t>
  </si>
  <si>
    <t>KZMJ00002541</t>
  </si>
  <si>
    <t>VKK120_255</t>
  </si>
  <si>
    <t>KZMJ00002558</t>
  </si>
  <si>
    <t>ZKK120_251</t>
  </si>
  <si>
    <t>KZMJ00002517</t>
  </si>
  <si>
    <t>KGK120_242</t>
  </si>
  <si>
    <t>KZMJ00002426</t>
  </si>
  <si>
    <t>KGK120_244</t>
  </si>
  <si>
    <t>KZMJ00002442</t>
  </si>
  <si>
    <t>MFLGb14</t>
  </si>
  <si>
    <t>KZ2P00013519</t>
  </si>
  <si>
    <t>PVK120_258</t>
  </si>
  <si>
    <t>KZMJ00002582</t>
  </si>
  <si>
    <t>AIK120_261</t>
  </si>
  <si>
    <t>KZMJ00002616</t>
  </si>
  <si>
    <t>ATK120_265</t>
  </si>
  <si>
    <t>KZMJ00002657</t>
  </si>
  <si>
    <t>MFTFb6</t>
  </si>
  <si>
    <t>KZ2P00014442</t>
  </si>
  <si>
    <t>MGK120_264</t>
  </si>
  <si>
    <t>KZMJ00002640</t>
  </si>
  <si>
    <t>SKK120_262</t>
  </si>
  <si>
    <t>KZMJ00002624</t>
  </si>
  <si>
    <t>SKK180_260</t>
  </si>
  <si>
    <t>KZMJ00002608</t>
  </si>
  <si>
    <t>UTK120_263</t>
  </si>
  <si>
    <t>KZMJ00002632</t>
  </si>
  <si>
    <t>MFBHb1</t>
  </si>
  <si>
    <t>KZ2P00014475</t>
  </si>
  <si>
    <t>ТОО "МФО "Бухта"</t>
  </si>
  <si>
    <t>JSBNb7</t>
  </si>
  <si>
    <t>KZ2C00013688</t>
  </si>
  <si>
    <t>JSBNb8</t>
  </si>
  <si>
    <t>KZ2C00013696</t>
  </si>
  <si>
    <t>ZKK180_259</t>
  </si>
  <si>
    <t>KZMJ00002590</t>
  </si>
  <si>
    <t>&lt;=09/09/2025</t>
  </si>
  <si>
    <t>&gt;09/09/2024</t>
  </si>
  <si>
    <t>Столбец2</t>
  </si>
  <si>
    <t>ASDBe22</t>
  </si>
  <si>
    <t>XS3171554333</t>
  </si>
  <si>
    <t>KFUSb76</t>
  </si>
  <si>
    <t>KZ2C00012029</t>
  </si>
  <si>
    <t>MRDNb1</t>
  </si>
  <si>
    <t>KZ2P00014673</t>
  </si>
  <si>
    <t>ТОО "Управляющая компания "Marden Property"</t>
  </si>
  <si>
    <t>NCOMb7</t>
  </si>
  <si>
    <t>KZ2P00015084</t>
  </si>
  <si>
    <t>NTK028_2867</t>
  </si>
  <si>
    <t>BTRKb24</t>
  </si>
  <si>
    <t>KZ2C00013936</t>
  </si>
  <si>
    <t>KZIKb41</t>
  </si>
  <si>
    <t>KZ2C00014751</t>
  </si>
  <si>
    <t>SEGRb1</t>
  </si>
  <si>
    <t>KZ2C00014355</t>
  </si>
  <si>
    <t>АО "Станция Экибастузская ГРЭС-2"</t>
  </si>
  <si>
    <t>BRKZe21</t>
  </si>
  <si>
    <t>HK0001185674</t>
  </si>
  <si>
    <t>EABRb54</t>
  </si>
  <si>
    <t>KZ2D00014701</t>
  </si>
  <si>
    <t>MFAFb11</t>
  </si>
  <si>
    <t>KZ2P00015589</t>
  </si>
  <si>
    <t>MFLGb17</t>
  </si>
  <si>
    <t>KZ2P00014251</t>
  </si>
  <si>
    <t>KZ2C00014769</t>
  </si>
  <si>
    <t>KZIKb42</t>
  </si>
  <si>
    <t>KFUSb117</t>
  </si>
  <si>
    <t>KZ2C00015220</t>
  </si>
  <si>
    <t>MFUCb9</t>
  </si>
  <si>
    <t>KZ2P00015431</t>
  </si>
  <si>
    <t>ATK120_271</t>
  </si>
  <si>
    <t>KZMJ00002715</t>
  </si>
  <si>
    <t>DZK120_266</t>
  </si>
  <si>
    <t>KZMJ00002665</t>
  </si>
  <si>
    <t>JTK120_267</t>
  </si>
  <si>
    <t>KZMJ00002673</t>
  </si>
  <si>
    <t>JTK120_268</t>
  </si>
  <si>
    <t>KZMJ00002681</t>
  </si>
  <si>
    <t>KGK120_269</t>
  </si>
  <si>
    <t>KZMJ00002699</t>
  </si>
  <si>
    <t>MGK120_274</t>
  </si>
  <si>
    <t>KZMJ00002749</t>
  </si>
  <si>
    <t>MGK120_277</t>
  </si>
  <si>
    <t>KZMJ00002772</t>
  </si>
  <si>
    <t>PVK120_276</t>
  </si>
  <si>
    <t>KZMJ00002764</t>
  </si>
  <si>
    <t>SKK120_270</t>
  </si>
  <si>
    <t>KZMJ00002707</t>
  </si>
  <si>
    <t>UTK120_275</t>
  </si>
  <si>
    <t>KZMJ00002756</t>
  </si>
  <si>
    <t>VKK120_272</t>
  </si>
  <si>
    <t>KZMJ00002723</t>
  </si>
  <si>
    <t>VKK120_273</t>
  </si>
  <si>
    <t>KZMJ00002731</t>
  </si>
  <si>
    <t>BIGDb6</t>
  </si>
  <si>
    <t>KZ2D00015328</t>
  </si>
  <si>
    <t>CLSGb8</t>
  </si>
  <si>
    <t>KZ2P00015506</t>
  </si>
  <si>
    <t>MFBLb6</t>
  </si>
  <si>
    <t>KZ2P00013311</t>
  </si>
  <si>
    <t>MFBLb7</t>
  </si>
  <si>
    <t>KZ2P00014202</t>
  </si>
  <si>
    <t>SHK120_017</t>
  </si>
  <si>
    <t>KZSJ00000176</t>
  </si>
  <si>
    <t>ASDBe21</t>
  </si>
  <si>
    <t>XS3145682491</t>
  </si>
  <si>
    <t>MFMOb29</t>
  </si>
  <si>
    <t>KZ2P00014459</t>
  </si>
  <si>
    <t>&gt;30/09/2025</t>
  </si>
  <si>
    <t>EABRb56</t>
  </si>
  <si>
    <t>KZ2D00014982</t>
  </si>
  <si>
    <t>AIK120_234</t>
  </si>
  <si>
    <t>KZMJ00002343</t>
  </si>
  <si>
    <t>BTRKe2</t>
  </si>
  <si>
    <t>XS3189694345</t>
  </si>
  <si>
    <t>KFUSb87</t>
  </si>
  <si>
    <t>KZ2C00012144</t>
  </si>
  <si>
    <t>PRKRb11</t>
  </si>
  <si>
    <t>KZ2C00015071</t>
  </si>
  <si>
    <t>KAFIb16</t>
  </si>
  <si>
    <t>KZ2C00015535</t>
  </si>
  <si>
    <t>KAFIb17</t>
  </si>
  <si>
    <t>KZ2C00015543</t>
  </si>
  <si>
    <t>-13,45</t>
  </si>
  <si>
    <t>-17,31</t>
  </si>
  <si>
    <t>MOM060_0055</t>
  </si>
  <si>
    <t>KZK200000778</t>
  </si>
  <si>
    <t>NTK0282867</t>
  </si>
  <si>
    <t>Сумма купона по ЦБ KZ2C00012268, эмитент АО "Национальный управляющий холдинг "Байтерек", кол-во ЦБ 200 000</t>
  </si>
  <si>
    <t>-2,20</t>
  </si>
  <si>
    <t>1AIRA</t>
  </si>
  <si>
    <t>Эйр Астана</t>
  </si>
  <si>
    <t>2AKZM</t>
  </si>
  <si>
    <t>Актюбинский завод металлоконструкций</t>
  </si>
  <si>
    <t>3ALMSb1</t>
  </si>
  <si>
    <t>долговые ЦБ</t>
  </si>
  <si>
    <t>АК Алтыналмас</t>
  </si>
  <si>
    <t>4BCCI_cc</t>
  </si>
  <si>
    <t>ЦБ инвест. фондов</t>
  </si>
  <si>
    <t>5BCCIbe</t>
  </si>
  <si>
    <t>6BCCIrb</t>
  </si>
  <si>
    <t>7BCCIwah</t>
  </si>
  <si>
    <t>Банк Развития Казахстана</t>
  </si>
  <si>
    <t>Национальный управляющий холдинг "Байтерек"</t>
  </si>
  <si>
    <t>Банк ЦентрКредит</t>
  </si>
  <si>
    <t>Сентрас Секьюритиз</t>
  </si>
  <si>
    <t>ЦБ МФО</t>
  </si>
  <si>
    <t>Фридом Финанс</t>
  </si>
  <si>
    <t>Home Credit Bank</t>
  </si>
  <si>
    <t>Halyk Finance</t>
  </si>
  <si>
    <t>Народный Банк Казахстана</t>
  </si>
  <si>
    <t>производные ЦБ</t>
  </si>
  <si>
    <t>Teniz Capital Investment Banking</t>
  </si>
  <si>
    <t>Казахстанский электролизный завод</t>
  </si>
  <si>
    <t>Kcell</t>
  </si>
  <si>
    <t>Национальная компания "КазМунайГаз"</t>
  </si>
  <si>
    <t>Kaspi.kz</t>
  </si>
  <si>
    <t>Национальная атомная компания "Казатомпром"</t>
  </si>
  <si>
    <t>Jusan Mobile</t>
  </si>
  <si>
    <t>Казахтелеком</t>
  </si>
  <si>
    <t>КазТрансОйл</t>
  </si>
  <si>
    <t>Минфин</t>
  </si>
  <si>
    <t>МФО "ФинТехЛаб"</t>
  </si>
  <si>
    <t>МФО MyCar Finance</t>
  </si>
  <si>
    <t>МФО "Mogo Kazakhstan (Мого Казахстан)</t>
  </si>
  <si>
    <t>МФО ОнлайнКазФинанс</t>
  </si>
  <si>
    <t>МФО "R-Finance</t>
  </si>
  <si>
    <t>МФО "TAS FINANCE GROUP" (ТАС ФИНАНС ГРУПП)</t>
  </si>
  <si>
    <t>Fincraft Group</t>
  </si>
  <si>
    <t xml:space="preserve">Национальный Банк </t>
  </si>
  <si>
    <t>Продкорпорация</t>
  </si>
  <si>
    <t>Фонд национального благосостояния "Самрук-Қазына</t>
  </si>
  <si>
    <t>МФО "Деньги говорят"</t>
  </si>
  <si>
    <t>KZW100014346</t>
  </si>
  <si>
    <t>NTK028_2868</t>
  </si>
  <si>
    <t>SFKFb1</t>
  </si>
  <si>
    <t>KZ2P00014632</t>
  </si>
  <si>
    <t>ТОО "СФК "СМК ФФ-1"</t>
  </si>
  <si>
    <t>8BIGDb1</t>
  </si>
  <si>
    <t>9BIGDb2</t>
  </si>
  <si>
    <t>10BIGDb5</t>
  </si>
  <si>
    <t>11BIGDb6</t>
  </si>
  <si>
    <t>1 050 (3)</t>
  </si>
  <si>
    <t>892 (2)</t>
  </si>
  <si>
    <t>27HCBNb13</t>
  </si>
  <si>
    <t>28HFINhl</t>
  </si>
  <si>
    <t>29HFINhp</t>
  </si>
  <si>
    <t>30HFINhs</t>
  </si>
  <si>
    <t>31HFINhv</t>
  </si>
  <si>
    <t>32HSBK</t>
  </si>
  <si>
    <t>33HSBKb22</t>
  </si>
  <si>
    <t>34HSBKd</t>
  </si>
  <si>
    <t>35IFDR</t>
  </si>
  <si>
    <t>609 (2)</t>
  </si>
  <si>
    <t>569 (2)</t>
  </si>
  <si>
    <t>59MFOKb16</t>
  </si>
  <si>
    <t>60MFOKb18</t>
  </si>
  <si>
    <t>61MFOKb20</t>
  </si>
  <si>
    <t>62MFOKb21</t>
  </si>
  <si>
    <t>63MFOKb22</t>
  </si>
  <si>
    <t>64MFOKb24</t>
  </si>
  <si>
    <t>65MFOKb25</t>
  </si>
  <si>
    <t>66MFOKb26</t>
  </si>
  <si>
    <t>67MFRFb11</t>
  </si>
  <si>
    <t>109 (0)</t>
  </si>
  <si>
    <t>881 (2)</t>
  </si>
  <si>
    <t>612 (2)</t>
  </si>
  <si>
    <t>37 (0)</t>
  </si>
  <si>
    <t>1 133 (3)</t>
  </si>
  <si>
    <t>26 (0)</t>
  </si>
  <si>
    <t>371 (1)</t>
  </si>
  <si>
    <t>Tengri Partners Investment Banking (Kazakhstan)</t>
  </si>
  <si>
    <t>FXI_KZ</t>
  </si>
  <si>
    <t>US4642871846</t>
  </si>
  <si>
    <t>LZGRb10</t>
  </si>
  <si>
    <t>KZ2C00012854</t>
  </si>
  <si>
    <t>LZGRb3</t>
  </si>
  <si>
    <t>KZ2C00008639</t>
  </si>
  <si>
    <t>LZGRb4</t>
  </si>
  <si>
    <t>KZ2C00008647</t>
  </si>
  <si>
    <t>LZGRb9</t>
  </si>
  <si>
    <t>KZ2C00012193</t>
  </si>
  <si>
    <t>MFHCb1</t>
  </si>
  <si>
    <t>KZ2P00015266</t>
  </si>
  <si>
    <t>ТОО "Ломбард "HAYAT CAPITAL"</t>
  </si>
  <si>
    <t>&lt;=19/10/2025</t>
  </si>
  <si>
    <t>&gt;19/10/2024</t>
  </si>
  <si>
    <t>20 октября 2025 года</t>
  </si>
  <si>
    <t>786 (2)</t>
  </si>
  <si>
    <t>579 (2)</t>
  </si>
  <si>
    <t>688 (2)</t>
  </si>
  <si>
    <t>12BRKZe12</t>
  </si>
  <si>
    <t>1 996 (6)</t>
  </si>
  <si>
    <t>13BRKZe16</t>
  </si>
  <si>
    <t>1 443 (4)</t>
  </si>
  <si>
    <t>14BRKZe18</t>
  </si>
  <si>
    <t>1 607 (4)</t>
  </si>
  <si>
    <t>15BRKZe21</t>
  </si>
  <si>
    <t>1 047 (3)</t>
  </si>
  <si>
    <t>16BTRKe1</t>
  </si>
  <si>
    <t>918 (3)</t>
  </si>
  <si>
    <t>17CCBN</t>
  </si>
  <si>
    <t>18CCBNp</t>
  </si>
  <si>
    <t>19CSECfe</t>
  </si>
  <si>
    <t>20CSECtf</t>
  </si>
  <si>
    <t>21EABRb40</t>
  </si>
  <si>
    <t>150 (0)</t>
  </si>
  <si>
    <t>22EABRb42</t>
  </si>
  <si>
    <t>858 (2)</t>
  </si>
  <si>
    <t>23EABRb53</t>
  </si>
  <si>
    <t>889 (2)</t>
  </si>
  <si>
    <t>24FFIN_or</t>
  </si>
  <si>
    <t>25FFINgw</t>
  </si>
  <si>
    <t>26FPSTb5</t>
  </si>
  <si>
    <t>BASS Gold</t>
  </si>
  <si>
    <t>314 (1)</t>
  </si>
  <si>
    <t>847 (2)</t>
  </si>
  <si>
    <t>774 (2)</t>
  </si>
  <si>
    <t>36KAFIb16</t>
  </si>
  <si>
    <t>КазАгроФинанс</t>
  </si>
  <si>
    <t>1 787 (5)</t>
  </si>
  <si>
    <t>37KAFIb17</t>
  </si>
  <si>
    <t>38KASAb1</t>
  </si>
  <si>
    <t>940 (3)</t>
  </si>
  <si>
    <t>39KCEL</t>
  </si>
  <si>
    <t>40KEGC</t>
  </si>
  <si>
    <t>41KMGZ</t>
  </si>
  <si>
    <t>42KMGZe12</t>
  </si>
  <si>
    <t>7 739 (21)</t>
  </si>
  <si>
    <t>43KMGZe15</t>
  </si>
  <si>
    <t>8 284 (23)</t>
  </si>
  <si>
    <t>44KMGZe16</t>
  </si>
  <si>
    <t>2 694 (7)</t>
  </si>
  <si>
    <t>45KSPId</t>
  </si>
  <si>
    <t>46KZAP</t>
  </si>
  <si>
    <t>47KZTCb3</t>
  </si>
  <si>
    <t>867 (2)</t>
  </si>
  <si>
    <t>48KZTK</t>
  </si>
  <si>
    <t>49KZTKp</t>
  </si>
  <si>
    <t>50KZTO</t>
  </si>
  <si>
    <t>51KZ_23_3504</t>
  </si>
  <si>
    <t>3 409 (9)</t>
  </si>
  <si>
    <t>52MFDFb1</t>
  </si>
  <si>
    <t>93 (0)</t>
  </si>
  <si>
    <t>53MFDGb1</t>
  </si>
  <si>
    <t>389 (1)</t>
  </si>
  <si>
    <t>54MFMCb2</t>
  </si>
  <si>
    <t>384 (1)</t>
  </si>
  <si>
    <t>55MFMOb23</t>
  </si>
  <si>
    <t>566 (2)</t>
  </si>
  <si>
    <t>56MFMOb24</t>
  </si>
  <si>
    <t>57MFMOb27</t>
  </si>
  <si>
    <t>613 (2)</t>
  </si>
  <si>
    <t>58MFMOb29</t>
  </si>
  <si>
    <t>706 (2)</t>
  </si>
  <si>
    <t>24 (0)</t>
  </si>
  <si>
    <t>186 (1)</t>
  </si>
  <si>
    <t>655 (2)</t>
  </si>
  <si>
    <t>818 (2)</t>
  </si>
  <si>
    <t>361 (1)</t>
  </si>
  <si>
    <t>862 (2)</t>
  </si>
  <si>
    <t>960 (3)</t>
  </si>
  <si>
    <t>106 (0)</t>
  </si>
  <si>
    <t>68MFRFb14</t>
  </si>
  <si>
    <t>370 (1)</t>
  </si>
  <si>
    <t>69MFRFb16</t>
  </si>
  <si>
    <t>878 (2)</t>
  </si>
  <si>
    <t>70MFRFb19</t>
  </si>
  <si>
    <t>966 (3)</t>
  </si>
  <si>
    <t>71MFRFb9</t>
  </si>
  <si>
    <t>414 (1)</t>
  </si>
  <si>
    <t>72MFTSb1</t>
  </si>
  <si>
    <t>54 (0)</t>
  </si>
  <si>
    <t>73MFTSb2</t>
  </si>
  <si>
    <t>269 (1)</t>
  </si>
  <si>
    <t>74MFTSb3</t>
  </si>
  <si>
    <t>625 (2)</t>
  </si>
  <si>
    <t>75MKM012_0159</t>
  </si>
  <si>
    <t>4 (0)</t>
  </si>
  <si>
    <t>76MKM012_0160</t>
  </si>
  <si>
    <t>77MKM012_0161</t>
  </si>
  <si>
    <t>207 (1)</t>
  </si>
  <si>
    <t>78MOM048_0052</t>
  </si>
  <si>
    <t>91 (0)</t>
  </si>
  <si>
    <t>79MOM048_0053</t>
  </si>
  <si>
    <t>244 (1)</t>
  </si>
  <si>
    <t>80MOM048_0054</t>
  </si>
  <si>
    <t>326 (1)</t>
  </si>
  <si>
    <t>81MOM048_0056</t>
  </si>
  <si>
    <t>1 367 (4)</t>
  </si>
  <si>
    <t>82MOM060_0052</t>
  </si>
  <si>
    <t>284 (1)</t>
  </si>
  <si>
    <t>83MOM060_0054</t>
  </si>
  <si>
    <t>748 (2)</t>
  </si>
  <si>
    <t>84MOM060_0055</t>
  </si>
  <si>
    <t>1 789 (5)</t>
  </si>
  <si>
    <t>85MTC048_0001</t>
  </si>
  <si>
    <t>1 379 (4)</t>
  </si>
  <si>
    <t>86MTM048_0001</t>
  </si>
  <si>
    <t>319 (1)</t>
  </si>
  <si>
    <t>87MTM060_0001</t>
  </si>
  <si>
    <t>714 (2)</t>
  </si>
  <si>
    <t>88MTM072_0001</t>
  </si>
  <si>
    <t>1 108 (3)</t>
  </si>
  <si>
    <t>89MTM084_0001</t>
  </si>
  <si>
    <t>1 573 (4)</t>
  </si>
  <si>
    <t>90MTM096_0001</t>
  </si>
  <si>
    <t>1 883 (5)</t>
  </si>
  <si>
    <t>91MUJ144_0005</t>
  </si>
  <si>
    <t>92MUJ156_0004</t>
  </si>
  <si>
    <t>340 (1)</t>
  </si>
  <si>
    <t>93MUJ168_0004</t>
  </si>
  <si>
    <t>159 (0)</t>
  </si>
  <si>
    <t>94MUJ168_0005</t>
  </si>
  <si>
    <t>308 (1)</t>
  </si>
  <si>
    <t>95MUJ180_0007</t>
  </si>
  <si>
    <t>8 (0)</t>
  </si>
  <si>
    <t>96MUJ180_0008</t>
  </si>
  <si>
    <t>97MUJ192_0002</t>
  </si>
  <si>
    <t>9 (0)</t>
  </si>
  <si>
    <t>98MUJ192_0003</t>
  </si>
  <si>
    <t>218 (1)</t>
  </si>
  <si>
    <t>99MUJ192_0004</t>
  </si>
  <si>
    <t>1 564 (4)</t>
  </si>
  <si>
    <t>100MUJ204_0001</t>
  </si>
  <si>
    <t>101MUJ204_0002</t>
  </si>
  <si>
    <t>280 (1)</t>
  </si>
  <si>
    <t>102MUJ204_0003</t>
  </si>
  <si>
    <t>549 (2)</t>
  </si>
  <si>
    <t>103MUJ204_0004</t>
  </si>
  <si>
    <t>639 (2)</t>
  </si>
  <si>
    <t>104MUJ204_0005</t>
  </si>
  <si>
    <t>1 208 (3)</t>
  </si>
  <si>
    <t>105MUJ204_0006</t>
  </si>
  <si>
    <t>1 328 (4)</t>
  </si>
  <si>
    <t>106MUJ216_0001</t>
  </si>
  <si>
    <t>107MUJ216_0002</t>
  </si>
  <si>
    <t>756 (2)</t>
  </si>
  <si>
    <t>108MUJ216_0003</t>
  </si>
  <si>
    <t>845 (2)</t>
  </si>
  <si>
    <t>109MUJ216_0004</t>
  </si>
  <si>
    <t>1 387 (4)</t>
  </si>
  <si>
    <t>110MUJ216_0005</t>
  </si>
  <si>
    <t>1 660 (5)</t>
  </si>
  <si>
    <t>111MUJ228_0001</t>
  </si>
  <si>
    <t>1 027 (3)</t>
  </si>
  <si>
    <t>112MUJ228_0002</t>
  </si>
  <si>
    <t>1 150 (3)</t>
  </si>
  <si>
    <t>113MUJ228_0003</t>
  </si>
  <si>
    <t>1 329 (4)</t>
  </si>
  <si>
    <t>114MUJ228_0004</t>
  </si>
  <si>
    <t>1 538 (4)</t>
  </si>
  <si>
    <t>115MUJ228_0005</t>
  </si>
  <si>
    <t>1 779 (5)</t>
  </si>
  <si>
    <t>116MUJ228_0006</t>
  </si>
  <si>
    <t>2 137 (6)</t>
  </si>
  <si>
    <t>117MUJ240_0001</t>
  </si>
  <si>
    <t>2 229 (6)</t>
  </si>
  <si>
    <t>118MUM072_0013</t>
  </si>
  <si>
    <t>119MUM072_0014</t>
  </si>
  <si>
    <t>1 213 (3)</t>
  </si>
  <si>
    <t>120MUM072_0015</t>
  </si>
  <si>
    <t>1 577 (4)</t>
  </si>
  <si>
    <t>121MUM084_0018</t>
  </si>
  <si>
    <t>122MUM084_0019</t>
  </si>
  <si>
    <t>1 922 (5)</t>
  </si>
  <si>
    <t>123MUM084_0020</t>
  </si>
  <si>
    <t>2 296 (6)</t>
  </si>
  <si>
    <t>124MUM096_0011</t>
  </si>
  <si>
    <t>1 087 (3)</t>
  </si>
  <si>
    <t>125MUM096_0012</t>
  </si>
  <si>
    <t>1 358 (4)</t>
  </si>
  <si>
    <t>126MUM096_0013</t>
  </si>
  <si>
    <t>1 544 (4)</t>
  </si>
  <si>
    <t>127MUM096_0014</t>
  </si>
  <si>
    <t>2 002 (6)</t>
  </si>
  <si>
    <t>128MUM096_0015</t>
  </si>
  <si>
    <t>2 745 (8)</t>
  </si>
  <si>
    <t>129MUM108_0012</t>
  </si>
  <si>
    <t>253 (1)</t>
  </si>
  <si>
    <t>130MUM108_0013</t>
  </si>
  <si>
    <t>1 241 (3)</t>
  </si>
  <si>
    <t>131MUM108_0014</t>
  </si>
  <si>
    <t>2 369 (7)</t>
  </si>
  <si>
    <t>132MUM108_0015</t>
  </si>
  <si>
    <t>3 016 (8)</t>
  </si>
  <si>
    <t>133MUM120_0017</t>
  </si>
  <si>
    <t>496 (1)</t>
  </si>
  <si>
    <t>134MUM120_0018</t>
  </si>
  <si>
    <t>135MUM120_0019</t>
  </si>
  <si>
    <t>1 947 (5)</t>
  </si>
  <si>
    <t>136MUM120_0020</t>
  </si>
  <si>
    <t>3 353 (9)</t>
  </si>
  <si>
    <t>137MUM132_0007</t>
  </si>
  <si>
    <t>2 436 (7)</t>
  </si>
  <si>
    <t>138MUM144_0009</t>
  </si>
  <si>
    <t>2 823 (8)</t>
  </si>
  <si>
    <t>139MUM156_0005</t>
  </si>
  <si>
    <t>600 (2)</t>
  </si>
  <si>
    <t>140MUM156_0006</t>
  </si>
  <si>
    <t>2 000 (6)</t>
  </si>
  <si>
    <t>141MUM156_0007</t>
  </si>
  <si>
    <t>2 997 (8)</t>
  </si>
  <si>
    <t>142MUM156_0008</t>
  </si>
  <si>
    <t>4 532 (13)</t>
  </si>
  <si>
    <t>143MUM168_0002</t>
  </si>
  <si>
    <t>144MUM168_0003</t>
  </si>
  <si>
    <t>2 336 (6)</t>
  </si>
  <si>
    <t>145MUM168_0005</t>
  </si>
  <si>
    <t>3 380 (9)</t>
  </si>
  <si>
    <t>146MUM180_0003</t>
  </si>
  <si>
    <t>34 (0)</t>
  </si>
  <si>
    <t>147MUM180_0004</t>
  </si>
  <si>
    <t>298 (1)</t>
  </si>
  <si>
    <t>148MUM180_0005</t>
  </si>
  <si>
    <t>393 (1)</t>
  </si>
  <si>
    <t>149MUM180_0006</t>
  </si>
  <si>
    <t>517 (1)</t>
  </si>
  <si>
    <t>150MUM180_0007</t>
  </si>
  <si>
    <t>151MUM180_0008</t>
  </si>
  <si>
    <t>724 (2)</t>
  </si>
  <si>
    <t>152MUM180_0009</t>
  </si>
  <si>
    <t>1 130 (3)</t>
  </si>
  <si>
    <t>153MUM180_0011</t>
  </si>
  <si>
    <t>1 373 (4)</t>
  </si>
  <si>
    <t>154MUM180_0012</t>
  </si>
  <si>
    <t>155MUM180_0013</t>
  </si>
  <si>
    <t>2 684 (7)</t>
  </si>
  <si>
    <t>156MUM180_0014</t>
  </si>
  <si>
    <t>2 703 (8)</t>
  </si>
  <si>
    <t>157MUM180_0015</t>
  </si>
  <si>
    <t>3 905 (11)</t>
  </si>
  <si>
    <t>158MUM180_0016</t>
  </si>
  <si>
    <t>4 058 (11)</t>
  </si>
  <si>
    <t>159MUM192_0001</t>
  </si>
  <si>
    <t>719 (2)</t>
  </si>
  <si>
    <t>160MUM192_0002</t>
  </si>
  <si>
    <t>898 (2)</t>
  </si>
  <si>
    <t>161MUM192_0003</t>
  </si>
  <si>
    <t>162MUM216_0001</t>
  </si>
  <si>
    <t>3 880 (11)</t>
  </si>
  <si>
    <t>163MUM216_0002</t>
  </si>
  <si>
    <t>4 071 (11)</t>
  </si>
  <si>
    <t>164MUM240_0001</t>
  </si>
  <si>
    <t>2 344 (7)</t>
  </si>
  <si>
    <t>165MUM240_0002</t>
  </si>
  <si>
    <t>3 082 (9)</t>
  </si>
  <si>
    <t>166MUM240_0004</t>
  </si>
  <si>
    <t>3 339 (9)</t>
  </si>
  <si>
    <t>167MUM300_0001</t>
  </si>
  <si>
    <t>4 740 (13)</t>
  </si>
  <si>
    <t>168MUM300_0002</t>
  </si>
  <si>
    <t>4 955 (14)</t>
  </si>
  <si>
    <t>169MUM300_0003</t>
  </si>
  <si>
    <t>5 166 (14)</t>
  </si>
  <si>
    <t>170MUM360_0001</t>
  </si>
  <si>
    <t>6 816 (19)</t>
  </si>
  <si>
    <t>171MUX072_0003</t>
  </si>
  <si>
    <t>1 961 (5)</t>
  </si>
  <si>
    <t>172NCOMb7</t>
  </si>
  <si>
    <t>173NTK028_2868</t>
  </si>
  <si>
    <t>23 (0)</t>
  </si>
  <si>
    <t>174PRKRe1</t>
  </si>
  <si>
    <t>157 (0)</t>
  </si>
  <si>
    <t>175SKKZe1</t>
  </si>
  <si>
    <t>368 (1)</t>
  </si>
  <si>
    <t>176TPIB</t>
  </si>
  <si>
    <t>KFUSb105</t>
  </si>
  <si>
    <t>KZ2C00015105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</si>
</sst>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3" formatCode="_-* #,##0.00_-;\-* #,##0.00_-;_-* &quot;-&quot;??_-;_-@_-"/>
    <numFmt numFmtId="164" formatCode="_-* #,##0.00\ _₽_-;\-* #,##0.00\ _₽_-;_-* &quot;-&quot;??\ _₽_-;_-@_-"/>
    <numFmt numFmtId="165" formatCode="#,##0.0"/>
    <numFmt numFmtId="166" formatCode="#,##0.0000"/>
    <numFmt numFmtId="167" formatCode="0.0%"/>
    <numFmt numFmtId="168" formatCode="0.000%"/>
    <numFmt numFmtId="169" formatCode="_(* #,##0.00_);_(* \(#,##0.00\);_(* &quot;-&quot;??_);_(@_)"/>
    <numFmt numFmtId="170" formatCode="0.0000%"/>
    <numFmt numFmtId="171" formatCode="#,##0.000"/>
    <numFmt numFmtId="172" formatCode="dd\.mm\.yyyy"/>
    <numFmt numFmtId="173" formatCode="0.0"/>
    <numFmt numFmtId="174" formatCode="_-* #,##0.00_р_._-;\-* #,##0.00_р_._-;_-* &quot;-&quot;??_р_._-;_-@_-"/>
    <numFmt numFmtId="175" formatCode="#,##0.000000"/>
    <numFmt numFmtId="176" formatCode="#,##0\ _₽"/>
    <numFmt numFmtId="177" formatCode="#,##0.00\ _₽"/>
    <numFmt numFmtId="178" formatCode="_-* #,##0\ _т_г_-;\-* #,##0\ _т_г_-;_-* &quot;-&quot;\ _т_г_-;_-@_-"/>
    <numFmt numFmtId="179" formatCode="_-* #,##0.00\ _т_г_-;\-* #,##0.00\ _т_г_-;_-* &quot;-&quot;??\ _т_г_-;_-@_-"/>
    <numFmt numFmtId="180" formatCode="_-* #,##0\ _₽_-;\-* #,##0\ _₽_-;_-* &quot;-&quot;??\ _₽_-;_-@_-"/>
    <numFmt numFmtId="181" formatCode="_-* #,##0.00\ _₸_-;\-* #,##0.00\ _₸_-;_-* &quot;-&quot;??\ _₸_-;_-@_-"/>
    <numFmt numFmtId="182" formatCode="_-* #,##0.0\ _₽_-;\-* #,##0.0\ _₽_-;_-* &quot;-&quot;??\ _₽_-;_-@_-"/>
    <numFmt numFmtId="183" formatCode="_-* #,##0.00_K_Z_T_-;\-* #,##0.00_K_Z_T_-;_-* &quot;-&quot;??_K_Z_T_-;_-@_-"/>
    <numFmt numFmtId="184" formatCode="#,##0.00##"/>
    <numFmt numFmtId="185" formatCode="_-* #,##0.0000\ _₽_-;\-* #,##0.0000\ _₽_-;_-* &quot;-&quot;??\ _₽_-;_-@_-"/>
    <numFmt numFmtId="186" formatCode="_-* #,##0.0000_-;\-* #,##0.0000_-;_-* &quot;-&quot;??_-;_-@_-"/>
    <numFmt numFmtId="187" formatCode="######0.0###################;\-######0.0###################"/>
    <numFmt numFmtId="188" formatCode="_-* #,##0.00[$€-1]_-;\-* #,##0.00[$€-1]_-;_-* &quot;-&quot;??[$€-1]_-"/>
    <numFmt numFmtId="189" formatCode="0.000"/>
    <numFmt numFmtId="190" formatCode="#"/>
    <numFmt numFmtId="191" formatCode="0.0000_ ;\-0.0000\ "/>
  </numFmts>
  <fonts count="160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0"/>
      <name val="Tahoma"/>
      <family val="2"/>
    </font>
    <font>
      <sz val="11"/>
      <color theme="1"/>
      <name val="Calibri"/>
      <family val="2"/>
      <scheme val="minor"/>
    </font>
    <font>
      <b/>
      <sz val="10"/>
      <color theme="0"/>
      <name val="Arial Cyr"/>
      <charset val="204"/>
    </font>
    <font>
      <b/>
      <sz val="10"/>
      <name val="Tahoma"/>
      <family val="2"/>
      <charset val="204"/>
    </font>
    <font>
      <sz val="10"/>
      <name val="Tahoma"/>
      <family val="2"/>
      <charset val="204"/>
    </font>
    <font>
      <sz val="10"/>
      <color indexed="10"/>
      <name val="Tahoma"/>
      <family val="2"/>
      <charset val="204"/>
    </font>
    <font>
      <b/>
      <sz val="10"/>
      <color theme="0"/>
      <name val="Tahoma"/>
      <family val="2"/>
      <charset val="204"/>
    </font>
    <font>
      <sz val="10"/>
      <color theme="0" tint="-0.249977111117893"/>
      <name val="Tahoma"/>
      <family val="2"/>
      <charset val="204"/>
    </font>
    <font>
      <b/>
      <u/>
      <sz val="10"/>
      <name val="Tahoma"/>
      <family val="2"/>
      <charset val="204"/>
    </font>
    <font>
      <b/>
      <sz val="10"/>
      <name val="Times New Roman Cyr"/>
      <charset val="204"/>
    </font>
    <font>
      <sz val="10"/>
      <name val="Times New Roman CYR"/>
      <charset val="204"/>
    </font>
    <font>
      <b/>
      <sz val="10"/>
      <color theme="0"/>
      <name val="Tahoma"/>
      <family val="2"/>
    </font>
    <font>
      <b/>
      <sz val="10"/>
      <name val="Arial Cyr"/>
      <charset val="204"/>
    </font>
    <font>
      <sz val="1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2"/>
      <name val="Calibri"/>
      <family val="2"/>
      <charset val="204"/>
    </font>
    <font>
      <b/>
      <sz val="18"/>
      <color rgb="FFFF0000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i/>
      <sz val="10"/>
      <name val="Tahoma"/>
      <family val="2"/>
      <charset val="204"/>
    </font>
    <font>
      <u/>
      <sz val="10"/>
      <name val="Tahoma"/>
      <family val="2"/>
      <charset val="204"/>
    </font>
    <font>
      <b/>
      <sz val="10"/>
      <color rgb="FF000000"/>
      <name val="Arial Cyr"/>
    </font>
    <font>
      <b/>
      <sz val="12"/>
      <name val="Tahoma"/>
      <family val="2"/>
      <charset val="204"/>
    </font>
    <font>
      <sz val="12"/>
      <name val="Tahoma"/>
      <family val="2"/>
    </font>
    <font>
      <b/>
      <sz val="12"/>
      <name val="Tahoma"/>
      <family val="2"/>
    </font>
    <font>
      <sz val="8"/>
      <name val="Calibri"/>
      <family val="2"/>
      <charset val="204"/>
    </font>
    <font>
      <b/>
      <sz val="10"/>
      <name val="Calibri"/>
      <family val="2"/>
      <charset val="204"/>
    </font>
    <font>
      <b/>
      <sz val="11"/>
      <color theme="0"/>
      <name val="Tahoma"/>
      <family val="2"/>
      <charset val="204"/>
    </font>
    <font>
      <sz val="10"/>
      <color rgb="FFFF0000"/>
      <name val="Arial Cyr"/>
      <charset val="204"/>
    </font>
    <font>
      <sz val="11"/>
      <color rgb="FF45464F"/>
      <name val="Arial"/>
      <family val="2"/>
      <charset val="204"/>
    </font>
    <font>
      <sz val="8"/>
      <name val="Arial"/>
      <family val="2"/>
      <charset val="204"/>
    </font>
    <font>
      <sz val="10"/>
      <name val="Arial Cyr"/>
    </font>
    <font>
      <u/>
      <sz val="10"/>
      <color indexed="12"/>
      <name val="Arial Cyr"/>
      <charset val="204"/>
    </font>
    <font>
      <sz val="10"/>
      <name val="Arial"/>
      <family val="2"/>
    </font>
    <font>
      <sz val="12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sz val="10"/>
      <color rgb="FFFF0000"/>
      <name val="Arial"/>
      <family val="2"/>
      <charset val="204"/>
    </font>
    <font>
      <sz val="11"/>
      <color theme="1"/>
      <name val="Arial"/>
      <family val="2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sz val="11"/>
      <color indexed="8"/>
      <name val="Calibri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  <charset val="204"/>
    </font>
    <font>
      <sz val="10"/>
      <color rgb="FFC0000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8"/>
      <name val="MS Sans Serif"/>
    </font>
    <font>
      <sz val="8"/>
      <name val="Arial"/>
      <family val="2"/>
    </font>
    <font>
      <sz val="10"/>
      <color rgb="FFFF0000"/>
      <name val="Tahoma"/>
      <family val="2"/>
      <charset val="204"/>
    </font>
    <font>
      <sz val="6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sz val="8"/>
      <color rgb="FF000000"/>
      <name val="Microsoft Sans Serif"/>
      <family val="2"/>
      <charset val="204"/>
    </font>
    <font>
      <b/>
      <sz val="10"/>
      <name val="Arial"/>
      <family val="2"/>
      <charset val="204"/>
    </font>
    <font>
      <sz val="10"/>
      <color rgb="FF000000"/>
      <name val="Tahoma"/>
      <family val="2"/>
      <charset val="204"/>
    </font>
    <font>
      <sz val="1"/>
      <color rgb="FF000000"/>
      <name val="Arial"/>
      <family val="2"/>
      <charset val="204"/>
    </font>
    <font>
      <b/>
      <sz val="16"/>
      <color rgb="FF000000"/>
      <name val="Tahoma"/>
      <family val="2"/>
      <charset val="204"/>
    </font>
    <font>
      <b/>
      <sz val="7"/>
      <color rgb="FF000000"/>
      <name val="Arial"/>
      <family val="2"/>
      <charset val="204"/>
    </font>
    <font>
      <sz val="8"/>
      <color rgb="FF000000"/>
      <name val="Tahoma"/>
      <family val="2"/>
      <charset val="204"/>
    </font>
    <font>
      <b/>
      <sz val="8"/>
      <color rgb="FF007A5C"/>
      <name val="Tahoma"/>
      <family val="2"/>
      <charset val="204"/>
    </font>
    <font>
      <sz val="8"/>
      <color rgb="FF6D6D6D"/>
      <name val="Tahoma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rgb="FF45464F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name val="Arial"/>
      <family val="2"/>
      <charset val="204"/>
    </font>
    <font>
      <sz val="12"/>
      <color theme="1"/>
      <name val="Times New Roman"/>
      <family val="2"/>
      <charset val="204"/>
    </font>
    <font>
      <b/>
      <sz val="8"/>
      <color theme="1"/>
      <name val="Arial"/>
      <family val="2"/>
      <charset val="204"/>
    </font>
    <font>
      <sz val="7"/>
      <color indexed="8"/>
      <name val="Arial"/>
      <family val="2"/>
      <charset val="204"/>
    </font>
    <font>
      <sz val="10"/>
      <color theme="1"/>
      <name val="Arial Cyr"/>
      <charset val="204"/>
    </font>
    <font>
      <sz val="11"/>
      <name val="Calibri"/>
      <family val="2"/>
      <scheme val="minor"/>
    </font>
    <font>
      <sz val="11"/>
      <color theme="1"/>
      <name val="Arial"/>
      <family val="2"/>
      <charset val="204"/>
    </font>
    <font>
      <sz val="11"/>
      <color theme="1"/>
      <name val="MuseoSansCyrl500"/>
    </font>
  </fonts>
  <fills count="6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9ED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rgb="FFF0F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1F3F4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E6E6E6"/>
      </left>
      <right style="thin">
        <color rgb="FFE6E6E6"/>
      </right>
      <top style="thin">
        <color rgb="FFE6E6E6"/>
      </top>
      <bottom style="thin">
        <color rgb="FFE6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553">
    <xf numFmtId="0" fontId="0" fillId="0" borderId="0"/>
    <xf numFmtId="0" fontId="46" fillId="0" borderId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47" fillId="0" borderId="0"/>
    <xf numFmtId="9" fontId="54" fillId="0" borderId="0" applyFont="0" applyFill="0" applyBorder="0" applyAlignment="0" applyProtection="0"/>
    <xf numFmtId="169" fontId="54" fillId="0" borderId="0" applyFont="0" applyFill="0" applyBorder="0" applyAlignment="0" applyProtection="0"/>
    <xf numFmtId="0" fontId="47" fillId="0" borderId="0"/>
    <xf numFmtId="9" fontId="47" fillId="0" borderId="0" applyFont="0" applyFill="0" applyBorder="0" applyAlignment="0" applyProtection="0"/>
    <xf numFmtId="16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73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43" fontId="73" fillId="0" borderId="0" applyFont="0" applyFill="0" applyBorder="0" applyAlignment="0" applyProtection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63" fillId="0" borderId="0"/>
    <xf numFmtId="174" fontId="47" fillId="0" borderId="0" applyFont="0" applyFill="0" applyBorder="0" applyAlignment="0" applyProtection="0"/>
    <xf numFmtId="174" fontId="49" fillId="0" borderId="0" applyFont="0" applyFill="0" applyBorder="0" applyAlignment="0" applyProtection="0"/>
    <xf numFmtId="0" fontId="54" fillId="0" borderId="0"/>
    <xf numFmtId="43" fontId="54" fillId="0" borderId="0" applyFont="0" applyFill="0" applyBorder="0" applyAlignment="0" applyProtection="0"/>
    <xf numFmtId="9" fontId="54" fillId="0" borderId="0" applyFont="0" applyFill="0" applyBorder="0" applyAlignment="0" applyProtection="0"/>
    <xf numFmtId="0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/>
    <xf numFmtId="0" fontId="89" fillId="0" borderId="0"/>
    <xf numFmtId="43" fontId="54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34" fillId="0" borderId="0"/>
    <xf numFmtId="0" fontId="34" fillId="0" borderId="0"/>
    <xf numFmtId="0" fontId="54" fillId="0" borderId="0"/>
    <xf numFmtId="43" fontId="54" fillId="0" borderId="0" applyFont="0" applyFill="0" applyBorder="0" applyAlignment="0" applyProtection="0"/>
    <xf numFmtId="9" fontId="54" fillId="0" borderId="0" applyFont="0" applyFill="0" applyBorder="0" applyAlignment="0" applyProtection="0"/>
    <xf numFmtId="0" fontId="87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47" fillId="0" borderId="0"/>
    <xf numFmtId="0" fontId="85" fillId="0" borderId="0"/>
    <xf numFmtId="9" fontId="47" fillId="0" borderId="0" applyFont="0" applyFill="0" applyBorder="0" applyAlignment="0" applyProtection="0"/>
    <xf numFmtId="179" fontId="47" fillId="0" borderId="0" applyFont="0" applyFill="0" applyBorder="0" applyAlignment="0" applyProtection="0"/>
    <xf numFmtId="178" fontId="47" fillId="0" borderId="0" applyFont="0" applyFill="0" applyBorder="0" applyAlignment="0" applyProtection="0"/>
    <xf numFmtId="9" fontId="88" fillId="0" borderId="0" applyFont="0" applyFill="0" applyBorder="0" applyAlignment="0" applyProtection="0"/>
    <xf numFmtId="0" fontId="88" fillId="0" borderId="0"/>
    <xf numFmtId="0" fontId="34" fillId="0" borderId="0"/>
    <xf numFmtId="0" fontId="34" fillId="0" borderId="0"/>
    <xf numFmtId="0" fontId="34" fillId="0" borderId="0"/>
    <xf numFmtId="0" fontId="54" fillId="0" borderId="0"/>
    <xf numFmtId="0" fontId="92" fillId="0" borderId="0"/>
    <xf numFmtId="174" fontId="54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54" fillId="24" borderId="42" applyNumberFormat="0" applyFont="0" applyAlignment="0" applyProtection="0"/>
    <xf numFmtId="43" fontId="88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0" fontId="88" fillId="0" borderId="0"/>
    <xf numFmtId="0" fontId="88" fillId="0" borderId="0"/>
    <xf numFmtId="0" fontId="54" fillId="24" borderId="42" applyNumberFormat="0" applyFont="0" applyAlignment="0" applyProtection="0"/>
    <xf numFmtId="43" fontId="54" fillId="0" borderId="0" applyFont="0" applyFill="0" applyBorder="0" applyAlignment="0" applyProtection="0"/>
    <xf numFmtId="0" fontId="95" fillId="0" borderId="0"/>
    <xf numFmtId="0" fontId="95" fillId="0" borderId="0"/>
    <xf numFmtId="0" fontId="95" fillId="0" borderId="0"/>
    <xf numFmtId="0" fontId="54" fillId="0" borderId="0"/>
    <xf numFmtId="0" fontId="95" fillId="0" borderId="0"/>
    <xf numFmtId="0" fontId="95" fillId="0" borderId="0"/>
    <xf numFmtId="0" fontId="95" fillId="0" borderId="0"/>
    <xf numFmtId="9" fontId="88" fillId="0" borderId="0" applyFont="0" applyFill="0" applyBorder="0" applyAlignment="0" applyProtection="0"/>
    <xf numFmtId="9" fontId="96" fillId="0" borderId="0" applyFont="0" applyFill="0" applyBorder="0" applyAlignment="0" applyProtection="0"/>
    <xf numFmtId="0" fontId="88" fillId="0" borderId="0"/>
    <xf numFmtId="0" fontId="97" fillId="0" borderId="0" applyNumberFormat="0" applyFill="0" applyBorder="0" applyAlignment="0" applyProtection="0"/>
    <xf numFmtId="0" fontId="98" fillId="0" borderId="35" applyNumberFormat="0" applyFill="0" applyAlignment="0" applyProtection="0"/>
    <xf numFmtId="0" fontId="99" fillId="0" borderId="36" applyNumberFormat="0" applyFill="0" applyAlignment="0" applyProtection="0"/>
    <xf numFmtId="0" fontId="100" fillId="0" borderId="37" applyNumberFormat="0" applyFill="0" applyAlignment="0" applyProtection="0"/>
    <xf numFmtId="0" fontId="100" fillId="0" borderId="0" applyNumberFormat="0" applyFill="0" applyBorder="0" applyAlignment="0" applyProtection="0"/>
    <xf numFmtId="0" fontId="101" fillId="18" borderId="0" applyNumberFormat="0" applyBorder="0" applyAlignment="0" applyProtection="0"/>
    <xf numFmtId="0" fontId="102" fillId="19" borderId="0" applyNumberFormat="0" applyBorder="0" applyAlignment="0" applyProtection="0"/>
    <xf numFmtId="0" fontId="103" fillId="20" borderId="0" applyNumberFormat="0" applyBorder="0" applyAlignment="0" applyProtection="0"/>
    <xf numFmtId="0" fontId="104" fillId="21" borderId="38" applyNumberFormat="0" applyAlignment="0" applyProtection="0"/>
    <xf numFmtId="0" fontId="105" fillId="22" borderId="39" applyNumberFormat="0" applyAlignment="0" applyProtection="0"/>
    <xf numFmtId="0" fontId="106" fillId="22" borderId="38" applyNumberFormat="0" applyAlignment="0" applyProtection="0"/>
    <xf numFmtId="0" fontId="107" fillId="0" borderId="40" applyNumberFormat="0" applyFill="0" applyAlignment="0" applyProtection="0"/>
    <xf numFmtId="0" fontId="108" fillId="23" borderId="41" applyNumberFormat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94" fillId="0" borderId="43" applyNumberFormat="0" applyFill="0" applyAlignment="0" applyProtection="0"/>
    <xf numFmtId="0" fontId="111" fillId="25" borderId="0" applyNumberFormat="0" applyBorder="0" applyAlignment="0" applyProtection="0"/>
    <xf numFmtId="0" fontId="54" fillId="26" borderId="0" applyNumberFormat="0" applyBorder="0" applyAlignment="0" applyProtection="0"/>
    <xf numFmtId="0" fontId="54" fillId="27" borderId="0" applyNumberFormat="0" applyBorder="0" applyAlignment="0" applyProtection="0"/>
    <xf numFmtId="0" fontId="111" fillId="28" borderId="0" applyNumberFormat="0" applyBorder="0" applyAlignment="0" applyProtection="0"/>
    <xf numFmtId="0" fontId="111" fillId="29" borderId="0" applyNumberFormat="0" applyBorder="0" applyAlignment="0" applyProtection="0"/>
    <xf numFmtId="0" fontId="54" fillId="30" borderId="0" applyNumberFormat="0" applyBorder="0" applyAlignment="0" applyProtection="0"/>
    <xf numFmtId="0" fontId="54" fillId="31" borderId="0" applyNumberFormat="0" applyBorder="0" applyAlignment="0" applyProtection="0"/>
    <xf numFmtId="0" fontId="111" fillId="32" borderId="0" applyNumberFormat="0" applyBorder="0" applyAlignment="0" applyProtection="0"/>
    <xf numFmtId="0" fontId="111" fillId="33" borderId="0" applyNumberFormat="0" applyBorder="0" applyAlignment="0" applyProtection="0"/>
    <xf numFmtId="0" fontId="54" fillId="34" borderId="0" applyNumberFormat="0" applyBorder="0" applyAlignment="0" applyProtection="0"/>
    <xf numFmtId="0" fontId="54" fillId="35" borderId="0" applyNumberFormat="0" applyBorder="0" applyAlignment="0" applyProtection="0"/>
    <xf numFmtId="0" fontId="111" fillId="36" borderId="0" applyNumberFormat="0" applyBorder="0" applyAlignment="0" applyProtection="0"/>
    <xf numFmtId="0" fontId="111" fillId="37" borderId="0" applyNumberFormat="0" applyBorder="0" applyAlignment="0" applyProtection="0"/>
    <xf numFmtId="0" fontId="54" fillId="38" borderId="0" applyNumberFormat="0" applyBorder="0" applyAlignment="0" applyProtection="0"/>
    <xf numFmtId="0" fontId="54" fillId="39" borderId="0" applyNumberFormat="0" applyBorder="0" applyAlignment="0" applyProtection="0"/>
    <xf numFmtId="0" fontId="111" fillId="40" borderId="0" applyNumberFormat="0" applyBorder="0" applyAlignment="0" applyProtection="0"/>
    <xf numFmtId="0" fontId="111" fillId="41" borderId="0" applyNumberFormat="0" applyBorder="0" applyAlignment="0" applyProtection="0"/>
    <xf numFmtId="0" fontId="54" fillId="42" borderId="0" applyNumberFormat="0" applyBorder="0" applyAlignment="0" applyProtection="0"/>
    <xf numFmtId="0" fontId="54" fillId="43" borderId="0" applyNumberFormat="0" applyBorder="0" applyAlignment="0" applyProtection="0"/>
    <xf numFmtId="0" fontId="111" fillId="44" borderId="0" applyNumberFormat="0" applyBorder="0" applyAlignment="0" applyProtection="0"/>
    <xf numFmtId="0" fontId="111" fillId="45" borderId="0" applyNumberFormat="0" applyBorder="0" applyAlignment="0" applyProtection="0"/>
    <xf numFmtId="0" fontId="54" fillId="46" borderId="0" applyNumberFormat="0" applyBorder="0" applyAlignment="0" applyProtection="0"/>
    <xf numFmtId="0" fontId="54" fillId="47" borderId="0" applyNumberFormat="0" applyBorder="0" applyAlignment="0" applyProtection="0"/>
    <xf numFmtId="0" fontId="111" fillId="48" borderId="0" applyNumberFormat="0" applyBorder="0" applyAlignment="0" applyProtection="0"/>
    <xf numFmtId="0" fontId="54" fillId="0" borderId="0"/>
    <xf numFmtId="0" fontId="88" fillId="0" borderId="0"/>
    <xf numFmtId="0" fontId="88" fillId="0" borderId="0"/>
    <xf numFmtId="9" fontId="88" fillId="0" borderId="0" applyFont="0" applyFill="0" applyBorder="0" applyAlignment="0" applyProtection="0"/>
    <xf numFmtId="0" fontId="88" fillId="0" borderId="0"/>
    <xf numFmtId="9" fontId="88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112" fillId="0" borderId="0"/>
    <xf numFmtId="0" fontId="88" fillId="0" borderId="0"/>
    <xf numFmtId="0" fontId="88" fillId="0" borderId="0"/>
    <xf numFmtId="9" fontId="88" fillId="0" borderId="0" applyFont="0" applyFill="0" applyBorder="0" applyAlignment="0" applyProtection="0"/>
    <xf numFmtId="0" fontId="88" fillId="0" borderId="0"/>
    <xf numFmtId="9" fontId="88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0" fontId="54" fillId="0" borderId="0"/>
    <xf numFmtId="9" fontId="54" fillId="0" borderId="0" applyFont="0" applyFill="0" applyBorder="0" applyAlignment="0" applyProtection="0"/>
    <xf numFmtId="9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9" fontId="54" fillId="0" borderId="0" applyFont="0" applyFill="0" applyBorder="0" applyAlignment="0" applyProtection="0"/>
    <xf numFmtId="0" fontId="54" fillId="0" borderId="0"/>
    <xf numFmtId="0" fontId="88" fillId="0" borderId="0"/>
    <xf numFmtId="0" fontId="88" fillId="0" borderId="0"/>
    <xf numFmtId="0" fontId="88" fillId="0" borderId="0"/>
    <xf numFmtId="9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0" fontId="8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111" fillId="28" borderId="0" applyNumberFormat="0" applyBorder="0" applyAlignment="0" applyProtection="0"/>
    <xf numFmtId="0" fontId="111" fillId="32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43" fontId="5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111" fillId="28" borderId="0" applyNumberFormat="0" applyBorder="0" applyAlignment="0" applyProtection="0"/>
    <xf numFmtId="0" fontId="111" fillId="32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111" fillId="36" borderId="0" applyNumberFormat="0" applyBorder="0" applyAlignment="0" applyProtection="0"/>
    <xf numFmtId="0" fontId="103" fillId="20" borderId="0" applyNumberFormat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11" fillId="32" borderId="0" applyNumberFormat="0" applyBorder="0" applyAlignment="0" applyProtection="0"/>
    <xf numFmtId="0" fontId="111" fillId="44" borderId="0" applyNumberFormat="0" applyBorder="0" applyAlignment="0" applyProtection="0"/>
    <xf numFmtId="43" fontId="54" fillId="0" borderId="0" applyFont="0" applyFill="0" applyBorder="0" applyAlignment="0" applyProtection="0"/>
    <xf numFmtId="0" fontId="111" fillId="28" borderId="0" applyNumberFormat="0" applyBorder="0" applyAlignment="0" applyProtection="0"/>
    <xf numFmtId="0" fontId="111" fillId="28" borderId="0" applyNumberFormat="0" applyBorder="0" applyAlignment="0" applyProtection="0"/>
    <xf numFmtId="0" fontId="97" fillId="0" borderId="0" applyNumberFormat="0" applyFill="0" applyBorder="0" applyAlignment="0" applyProtection="0"/>
    <xf numFmtId="0" fontId="111" fillId="32" borderId="0" applyNumberFormat="0" applyBorder="0" applyAlignment="0" applyProtection="0"/>
    <xf numFmtId="43" fontId="54" fillId="0" borderId="0" applyFont="0" applyFill="0" applyBorder="0" applyAlignment="0" applyProtection="0"/>
    <xf numFmtId="0" fontId="111" fillId="44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111" fillId="40" borderId="0" applyNumberFormat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111" fillId="28" borderId="0" applyNumberFormat="0" applyBorder="0" applyAlignment="0" applyProtection="0"/>
    <xf numFmtId="0" fontId="111" fillId="32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111" fillId="32" borderId="0" applyNumberFormat="0" applyBorder="0" applyAlignment="0" applyProtection="0"/>
    <xf numFmtId="0" fontId="111" fillId="36" borderId="0" applyNumberFormat="0" applyBorder="0" applyAlignment="0" applyProtection="0"/>
    <xf numFmtId="0" fontId="111" fillId="48" borderId="0" applyNumberFormat="0" applyBorder="0" applyAlignment="0" applyProtection="0"/>
    <xf numFmtId="0" fontId="111" fillId="32" borderId="0" applyNumberFormat="0" applyBorder="0" applyAlignment="0" applyProtection="0"/>
    <xf numFmtId="43" fontId="54" fillId="0" borderId="0" applyFont="0" applyFill="0" applyBorder="0" applyAlignment="0" applyProtection="0"/>
    <xf numFmtId="0" fontId="111" fillId="36" borderId="0" applyNumberFormat="0" applyBorder="0" applyAlignment="0" applyProtection="0"/>
    <xf numFmtId="0" fontId="97" fillId="0" borderId="0" applyNumberFormat="0" applyFill="0" applyBorder="0" applyAlignment="0" applyProtection="0"/>
    <xf numFmtId="0" fontId="111" fillId="48" borderId="0" applyNumberFormat="0" applyBorder="0" applyAlignment="0" applyProtection="0"/>
    <xf numFmtId="0" fontId="103" fillId="20" borderId="0" applyNumberFormat="0" applyBorder="0" applyAlignment="0" applyProtection="0"/>
    <xf numFmtId="43" fontId="54" fillId="0" borderId="0" applyFont="0" applyFill="0" applyBorder="0" applyAlignment="0" applyProtection="0"/>
    <xf numFmtId="0" fontId="103" fillId="20" borderId="0" applyNumberFormat="0" applyBorder="0" applyAlignment="0" applyProtection="0"/>
    <xf numFmtId="0" fontId="111" fillId="48" borderId="0" applyNumberFormat="0" applyBorder="0" applyAlignment="0" applyProtection="0"/>
    <xf numFmtId="0" fontId="111" fillId="40" borderId="0" applyNumberFormat="0" applyBorder="0" applyAlignment="0" applyProtection="0"/>
    <xf numFmtId="0" fontId="111" fillId="40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0" fontId="111" fillId="32" borderId="0" applyNumberFormat="0" applyBorder="0" applyAlignment="0" applyProtection="0"/>
    <xf numFmtId="0" fontId="111" fillId="40" borderId="0" applyNumberFormat="0" applyBorder="0" applyAlignment="0" applyProtection="0"/>
    <xf numFmtId="0" fontId="111" fillId="28" borderId="0" applyNumberFormat="0" applyBorder="0" applyAlignment="0" applyProtection="0"/>
    <xf numFmtId="0" fontId="111" fillId="44" borderId="0" applyNumberFormat="0" applyBorder="0" applyAlignment="0" applyProtection="0"/>
    <xf numFmtId="0" fontId="111" fillId="32" borderId="0" applyNumberFormat="0" applyBorder="0" applyAlignment="0" applyProtection="0"/>
    <xf numFmtId="0" fontId="111" fillId="44" borderId="0" applyNumberFormat="0" applyBorder="0" applyAlignment="0" applyProtection="0"/>
    <xf numFmtId="0" fontId="111" fillId="36" borderId="0" applyNumberFormat="0" applyBorder="0" applyAlignment="0" applyProtection="0"/>
    <xf numFmtId="0" fontId="111" fillId="32" borderId="0" applyNumberFormat="0" applyBorder="0" applyAlignment="0" applyProtection="0"/>
    <xf numFmtId="0" fontId="111" fillId="40" borderId="0" applyNumberFormat="0" applyBorder="0" applyAlignment="0" applyProtection="0"/>
    <xf numFmtId="0" fontId="111" fillId="36" borderId="0" applyNumberFormat="0" applyBorder="0" applyAlignment="0" applyProtection="0"/>
    <xf numFmtId="0" fontId="111" fillId="28" borderId="0" applyNumberFormat="0" applyBorder="0" applyAlignment="0" applyProtection="0"/>
    <xf numFmtId="0" fontId="111" fillId="40" borderId="0" applyNumberFormat="0" applyBorder="0" applyAlignment="0" applyProtection="0"/>
    <xf numFmtId="0" fontId="111" fillId="36" borderId="0" applyNumberFormat="0" applyBorder="0" applyAlignment="0" applyProtection="0"/>
    <xf numFmtId="0" fontId="111" fillId="36" borderId="0" applyNumberFormat="0" applyBorder="0" applyAlignment="0" applyProtection="0"/>
    <xf numFmtId="0" fontId="111" fillId="32" borderId="0" applyNumberFormat="0" applyBorder="0" applyAlignment="0" applyProtection="0"/>
    <xf numFmtId="0" fontId="111" fillId="48" borderId="0" applyNumberFormat="0" applyBorder="0" applyAlignment="0" applyProtection="0"/>
    <xf numFmtId="43" fontId="54" fillId="0" borderId="0" applyFont="0" applyFill="0" applyBorder="0" applyAlignment="0" applyProtection="0"/>
    <xf numFmtId="0" fontId="103" fillId="20" borderId="0" applyNumberFormat="0" applyBorder="0" applyAlignment="0" applyProtection="0"/>
    <xf numFmtId="0" fontId="103" fillId="20" borderId="0" applyNumberFormat="0" applyBorder="0" applyAlignment="0" applyProtection="0"/>
    <xf numFmtId="0" fontId="111" fillId="40" borderId="0" applyNumberFormat="0" applyBorder="0" applyAlignment="0" applyProtection="0"/>
    <xf numFmtId="0" fontId="111" fillId="28" borderId="0" applyNumberFormat="0" applyBorder="0" applyAlignment="0" applyProtection="0"/>
    <xf numFmtId="43" fontId="5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11" fillId="36" borderId="0" applyNumberFormat="0" applyBorder="0" applyAlignment="0" applyProtection="0"/>
    <xf numFmtId="0" fontId="111" fillId="28" borderId="0" applyNumberFormat="0" applyBorder="0" applyAlignment="0" applyProtection="0"/>
    <xf numFmtId="0" fontId="111" fillId="40" borderId="0" applyNumberFormat="0" applyBorder="0" applyAlignment="0" applyProtection="0"/>
    <xf numFmtId="0" fontId="111" fillId="28" borderId="0" applyNumberFormat="0" applyBorder="0" applyAlignment="0" applyProtection="0"/>
    <xf numFmtId="0" fontId="111" fillId="44" borderId="0" applyNumberFormat="0" applyBorder="0" applyAlignment="0" applyProtection="0"/>
    <xf numFmtId="0" fontId="111" fillId="36" borderId="0" applyNumberFormat="0" applyBorder="0" applyAlignment="0" applyProtection="0"/>
    <xf numFmtId="0" fontId="111" fillId="28" borderId="0" applyNumberFormat="0" applyBorder="0" applyAlignment="0" applyProtection="0"/>
    <xf numFmtId="43" fontId="54" fillId="0" borderId="0" applyFont="0" applyFill="0" applyBorder="0" applyAlignment="0" applyProtection="0"/>
    <xf numFmtId="0" fontId="111" fillId="32" borderId="0" applyNumberFormat="0" applyBorder="0" applyAlignment="0" applyProtection="0"/>
    <xf numFmtId="43" fontId="54" fillId="0" borderId="0" applyFont="0" applyFill="0" applyBorder="0" applyAlignment="0" applyProtection="0"/>
    <xf numFmtId="0" fontId="111" fillId="44" borderId="0" applyNumberFormat="0" applyBorder="0" applyAlignment="0" applyProtection="0"/>
    <xf numFmtId="43" fontId="54" fillId="0" borderId="0" applyFont="0" applyFill="0" applyBorder="0" applyAlignment="0" applyProtection="0"/>
    <xf numFmtId="0" fontId="111" fillId="36" borderId="0" applyNumberFormat="0" applyBorder="0" applyAlignment="0" applyProtection="0"/>
    <xf numFmtId="0" fontId="103" fillId="20" borderId="0" applyNumberFormat="0" applyBorder="0" applyAlignment="0" applyProtection="0"/>
    <xf numFmtId="0" fontId="97" fillId="0" borderId="0" applyNumberFormat="0" applyFill="0" applyBorder="0" applyAlignment="0" applyProtection="0"/>
    <xf numFmtId="0" fontId="111" fillId="32" borderId="0" applyNumberFormat="0" applyBorder="0" applyAlignment="0" applyProtection="0"/>
    <xf numFmtId="0" fontId="111" fillId="48" borderId="0" applyNumberFormat="0" applyBorder="0" applyAlignment="0" applyProtection="0"/>
    <xf numFmtId="0" fontId="111" fillId="32" borderId="0" applyNumberFormat="0" applyBorder="0" applyAlignment="0" applyProtection="0"/>
    <xf numFmtId="0" fontId="103" fillId="20" borderId="0" applyNumberFormat="0" applyBorder="0" applyAlignment="0" applyProtection="0"/>
    <xf numFmtId="0" fontId="111" fillId="44" borderId="0" applyNumberFormat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111" fillId="28" borderId="0" applyNumberFormat="0" applyBorder="0" applyAlignment="0" applyProtection="0"/>
    <xf numFmtId="0" fontId="111" fillId="32" borderId="0" applyNumberFormat="0" applyBorder="0" applyAlignment="0" applyProtection="0"/>
    <xf numFmtId="0" fontId="111" fillId="48" borderId="0" applyNumberFormat="0" applyBorder="0" applyAlignment="0" applyProtection="0"/>
    <xf numFmtId="0" fontId="111" fillId="48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111" fillId="40" borderId="0" applyNumberFormat="0" applyBorder="0" applyAlignment="0" applyProtection="0"/>
    <xf numFmtId="43" fontId="54" fillId="0" borderId="0" applyFont="0" applyFill="0" applyBorder="0" applyAlignment="0" applyProtection="0"/>
    <xf numFmtId="0" fontId="111" fillId="48" borderId="0" applyNumberFormat="0" applyBorder="0" applyAlignment="0" applyProtection="0"/>
    <xf numFmtId="0" fontId="111" fillId="44" borderId="0" applyNumberFormat="0" applyBorder="0" applyAlignment="0" applyProtection="0"/>
    <xf numFmtId="0" fontId="103" fillId="20" borderId="0" applyNumberFormat="0" applyBorder="0" applyAlignment="0" applyProtection="0"/>
    <xf numFmtId="0" fontId="97" fillId="0" borderId="0" applyNumberFormat="0" applyFill="0" applyBorder="0" applyAlignment="0" applyProtection="0"/>
    <xf numFmtId="43" fontId="5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11" fillId="28" borderId="0" applyNumberFormat="0" applyBorder="0" applyAlignment="0" applyProtection="0"/>
    <xf numFmtId="0" fontId="97" fillId="0" borderId="0" applyNumberFormat="0" applyFill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111" fillId="28" borderId="0" applyNumberFormat="0" applyBorder="0" applyAlignment="0" applyProtection="0"/>
    <xf numFmtId="43" fontId="54" fillId="0" borderId="0" applyFont="0" applyFill="0" applyBorder="0" applyAlignment="0" applyProtection="0"/>
    <xf numFmtId="0" fontId="111" fillId="28" borderId="0" applyNumberFormat="0" applyBorder="0" applyAlignment="0" applyProtection="0"/>
    <xf numFmtId="0" fontId="111" fillId="44" borderId="0" applyNumberFormat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11" fillId="32" borderId="0" applyNumberFormat="0" applyBorder="0" applyAlignment="0" applyProtection="0"/>
    <xf numFmtId="43" fontId="54" fillId="0" borderId="0" applyFont="0" applyFill="0" applyBorder="0" applyAlignment="0" applyProtection="0"/>
    <xf numFmtId="0" fontId="111" fillId="40" borderId="0" applyNumberFormat="0" applyBorder="0" applyAlignment="0" applyProtection="0"/>
    <xf numFmtId="0" fontId="111" fillId="40" borderId="0" applyNumberFormat="0" applyBorder="0" applyAlignment="0" applyProtection="0"/>
    <xf numFmtId="0" fontId="111" fillId="44" borderId="0" applyNumberFormat="0" applyBorder="0" applyAlignment="0" applyProtection="0"/>
    <xf numFmtId="0" fontId="111" fillId="28" borderId="0" applyNumberFormat="0" applyBorder="0" applyAlignment="0" applyProtection="0"/>
    <xf numFmtId="0" fontId="111" fillId="48" borderId="0" applyNumberFormat="0" applyBorder="0" applyAlignment="0" applyProtection="0"/>
    <xf numFmtId="0" fontId="103" fillId="20" borderId="0" applyNumberFormat="0" applyBorder="0" applyAlignment="0" applyProtection="0"/>
    <xf numFmtId="0" fontId="103" fillId="20" borderId="0" applyNumberFormat="0" applyBorder="0" applyAlignment="0" applyProtection="0"/>
    <xf numFmtId="0" fontId="103" fillId="20" borderId="0" applyNumberFormat="0" applyBorder="0" applyAlignment="0" applyProtection="0"/>
    <xf numFmtId="0" fontId="111" fillId="36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43" fontId="54" fillId="0" borderId="0" applyFont="0" applyFill="0" applyBorder="0" applyAlignment="0" applyProtection="0"/>
    <xf numFmtId="0" fontId="111" fillId="48" borderId="0" applyNumberFormat="0" applyBorder="0" applyAlignment="0" applyProtection="0"/>
    <xf numFmtId="43" fontId="5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03" fillId="20" borderId="0" applyNumberFormat="0" applyBorder="0" applyAlignment="0" applyProtection="0"/>
    <xf numFmtId="0" fontId="111" fillId="28" borderId="0" applyNumberFormat="0" applyBorder="0" applyAlignment="0" applyProtection="0"/>
    <xf numFmtId="0" fontId="111" fillId="32" borderId="0" applyNumberFormat="0" applyBorder="0" applyAlignment="0" applyProtection="0"/>
    <xf numFmtId="0" fontId="111" fillId="36" borderId="0" applyNumberFormat="0" applyBorder="0" applyAlignment="0" applyProtection="0"/>
    <xf numFmtId="0" fontId="111" fillId="40" borderId="0" applyNumberFormat="0" applyBorder="0" applyAlignment="0" applyProtection="0"/>
    <xf numFmtId="0" fontId="111" fillId="44" borderId="0" applyNumberFormat="0" applyBorder="0" applyAlignment="0" applyProtection="0"/>
    <xf numFmtId="0" fontId="111" fillId="48" borderId="0" applyNumberFormat="0" applyBorder="0" applyAlignment="0" applyProtection="0"/>
    <xf numFmtId="0" fontId="73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33" fillId="0" borderId="0"/>
    <xf numFmtId="43" fontId="47" fillId="0" borderId="0" applyFont="0" applyFill="0" applyBorder="0" applyAlignment="0" applyProtection="0"/>
    <xf numFmtId="0" fontId="117" fillId="0" borderId="0"/>
    <xf numFmtId="43" fontId="54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73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32" fillId="0" borderId="0"/>
    <xf numFmtId="0" fontId="32" fillId="0" borderId="0"/>
    <xf numFmtId="43" fontId="54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32" fillId="0" borderId="0"/>
    <xf numFmtId="43" fontId="47" fillId="0" borderId="0" applyFont="0" applyFill="0" applyBorder="0" applyAlignment="0" applyProtection="0"/>
    <xf numFmtId="0" fontId="119" fillId="0" borderId="0"/>
    <xf numFmtId="0" fontId="121" fillId="0" borderId="0">
      <alignment horizontal="center" vertical="center"/>
    </xf>
    <xf numFmtId="183" fontId="47" fillId="0" borderId="0" applyFont="0" applyFill="0" applyBorder="0" applyAlignment="0" applyProtection="0"/>
    <xf numFmtId="183" fontId="47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0" fillId="0" borderId="0"/>
    <xf numFmtId="43" fontId="30" fillId="0" borderId="0" applyFont="0" applyFill="0" applyBorder="0" applyAlignment="0" applyProtection="0"/>
    <xf numFmtId="0" fontId="121" fillId="0" borderId="0">
      <alignment horizontal="center" vertical="center"/>
    </xf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7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8" fillId="0" borderId="0"/>
    <xf numFmtId="0" fontId="28" fillId="0" borderId="0"/>
    <xf numFmtId="43" fontId="54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8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7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8" fillId="0" borderId="0"/>
    <xf numFmtId="0" fontId="28" fillId="0" borderId="0"/>
    <xf numFmtId="43" fontId="54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8" fillId="0" borderId="0"/>
    <xf numFmtId="43" fontId="47" fillId="0" borderId="0" applyFont="0" applyFill="0" applyBorder="0" applyAlignment="0" applyProtection="0"/>
    <xf numFmtId="0" fontId="28" fillId="0" borderId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43" fontId="28" fillId="0" borderId="0" applyFont="0" applyFill="0" applyBorder="0" applyAlignment="0" applyProtection="0"/>
    <xf numFmtId="0" fontId="28" fillId="0" borderId="0"/>
    <xf numFmtId="0" fontId="27" fillId="0" borderId="0"/>
    <xf numFmtId="0" fontId="12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49" fillId="0" borderId="0"/>
    <xf numFmtId="0" fontId="49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0" fontId="49" fillId="0" borderId="0"/>
    <xf numFmtId="0" fontId="49" fillId="0" borderId="0"/>
    <xf numFmtId="0" fontId="54" fillId="0" borderId="0"/>
    <xf numFmtId="0" fontId="26" fillId="0" borderId="0"/>
    <xf numFmtId="0" fontId="123" fillId="0" borderId="0"/>
    <xf numFmtId="0" fontId="7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9" fontId="123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7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7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43" fontId="47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7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73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43" fontId="54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5" fillId="0" borderId="0"/>
    <xf numFmtId="43" fontId="47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9" fontId="25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21" fillId="0" borderId="0">
      <alignment horizontal="center"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73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43" fontId="5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4" fillId="0" borderId="0"/>
    <xf numFmtId="43" fontId="47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7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7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43" fontId="47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126" fillId="0" borderId="0">
      <alignment horizontal="left" vertical="top"/>
    </xf>
    <xf numFmtId="0" fontId="127" fillId="0" borderId="0">
      <alignment horizontal="left" vertical="top"/>
    </xf>
    <xf numFmtId="0" fontId="130" fillId="0" borderId="0">
      <alignment horizontal="left" vertical="center"/>
    </xf>
    <xf numFmtId="0" fontId="131" fillId="0" borderId="0">
      <alignment horizontal="right" vertical="top"/>
    </xf>
    <xf numFmtId="0" fontId="128" fillId="0" borderId="0">
      <alignment horizontal="left" vertical="center"/>
    </xf>
    <xf numFmtId="0" fontId="129" fillId="59" borderId="0">
      <alignment horizontal="center" vertical="center"/>
    </xf>
    <xf numFmtId="0" fontId="129" fillId="59" borderId="0">
      <alignment horizontal="center" vertical="center"/>
    </xf>
    <xf numFmtId="0" fontId="129" fillId="59" borderId="0">
      <alignment horizontal="center" vertical="top"/>
    </xf>
    <xf numFmtId="0" fontId="121" fillId="0" borderId="0">
      <alignment horizontal="center"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3" fontId="47" fillId="0" borderId="0" applyFont="0" applyFill="0" applyBorder="0" applyAlignment="0" applyProtection="0"/>
    <xf numFmtId="0" fontId="132" fillId="58" borderId="0" applyNumberFormat="0" applyFont="0" applyFill="0" applyBorder="0" applyAlignment="0" applyProtection="0">
      <alignment horizontal="left" vertical="top" wrapText="1"/>
    </xf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47" fillId="0" borderId="0"/>
    <xf numFmtId="0" fontId="23" fillId="0" borderId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7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43" fontId="47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7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43" fontId="54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43" fontId="47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7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123" fillId="0" borderId="0"/>
    <xf numFmtId="0" fontId="123" fillId="0" borderId="0"/>
    <xf numFmtId="0" fontId="49" fillId="0" borderId="0"/>
    <xf numFmtId="0" fontId="123" fillId="0" borderId="0"/>
    <xf numFmtId="0" fontId="123" fillId="0" borderId="0"/>
    <xf numFmtId="0" fontId="123" fillId="0" borderId="0"/>
    <xf numFmtId="0" fontId="123" fillId="0" borderId="0"/>
    <xf numFmtId="9" fontId="1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73" fillId="0" borderId="0"/>
    <xf numFmtId="43" fontId="54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23" fillId="0" borderId="0"/>
    <xf numFmtId="43" fontId="54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33" fillId="0" borderId="0" applyNumberFormat="0" applyFill="0" applyBorder="0" applyAlignment="0" applyProtection="0"/>
    <xf numFmtId="0" fontId="134" fillId="0" borderId="35" applyNumberFormat="0" applyFill="0" applyAlignment="0" applyProtection="0"/>
    <xf numFmtId="0" fontId="135" fillId="0" borderId="36" applyNumberFormat="0" applyFill="0" applyAlignment="0" applyProtection="0"/>
    <xf numFmtId="0" fontId="136" fillId="0" borderId="37" applyNumberFormat="0" applyFill="0" applyAlignment="0" applyProtection="0"/>
    <xf numFmtId="0" fontId="136" fillId="0" borderId="0" applyNumberFormat="0" applyFill="0" applyBorder="0" applyAlignment="0" applyProtection="0"/>
    <xf numFmtId="0" fontId="137" fillId="18" borderId="0" applyNumberFormat="0" applyBorder="0" applyAlignment="0" applyProtection="0"/>
    <xf numFmtId="0" fontId="138" fillId="19" borderId="0" applyNumberFormat="0" applyBorder="0" applyAlignment="0" applyProtection="0"/>
    <xf numFmtId="0" fontId="139" fillId="20" borderId="0" applyNumberFormat="0" applyBorder="0" applyAlignment="0" applyProtection="0"/>
    <xf numFmtId="0" fontId="140" fillId="21" borderId="38" applyNumberFormat="0" applyAlignment="0" applyProtection="0"/>
    <xf numFmtId="0" fontId="141" fillId="22" borderId="39" applyNumberFormat="0" applyAlignment="0" applyProtection="0"/>
    <xf numFmtId="0" fontId="142" fillId="22" borderId="38" applyNumberFormat="0" applyAlignment="0" applyProtection="0"/>
    <xf numFmtId="0" fontId="143" fillId="0" borderId="40" applyNumberFormat="0" applyFill="0" applyAlignment="0" applyProtection="0"/>
    <xf numFmtId="0" fontId="144" fillId="23" borderId="41" applyNumberFormat="0" applyAlignment="0" applyProtection="0"/>
    <xf numFmtId="0" fontId="145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43" applyNumberFormat="0" applyFill="0" applyAlignment="0" applyProtection="0"/>
    <xf numFmtId="0" fontId="148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148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148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148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148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148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0" borderId="0"/>
    <xf numFmtId="0" fontId="22" fillId="24" borderId="42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7" fillId="0" borderId="0"/>
    <xf numFmtId="0" fontId="16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19" fillId="0" borderId="0"/>
    <xf numFmtId="0" fontId="15" fillId="0" borderId="0"/>
    <xf numFmtId="0" fontId="15" fillId="0" borderId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4" fillId="0" borderId="0"/>
    <xf numFmtId="0" fontId="152" fillId="0" borderId="0">
      <alignment horizontal="right"/>
    </xf>
    <xf numFmtId="0" fontId="1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5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11" fillId="0" borderId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9" fontId="11" fillId="0" borderId="0" applyFont="0" applyFill="0" applyBorder="0" applyAlignment="0" applyProtection="0"/>
    <xf numFmtId="9" fontId="123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174" fontId="123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74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174" fontId="123" fillId="0" borderId="0" applyFont="0" applyFill="0" applyBorder="0" applyAlignment="0" applyProtection="0"/>
    <xf numFmtId="174" fontId="123" fillId="0" borderId="0" applyFont="0" applyFill="0" applyBorder="0" applyAlignment="0" applyProtection="0"/>
    <xf numFmtId="0" fontId="5" fillId="0" borderId="0"/>
    <xf numFmtId="188" fontId="49" fillId="0" borderId="0" applyFont="0" applyFill="0" applyBorder="0" applyAlignment="0" applyProtection="0"/>
    <xf numFmtId="0" fontId="155" fillId="61" borderId="0">
      <alignment horizontal="center" vertical="center"/>
    </xf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43" fontId="5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0" fontId="5" fillId="0" borderId="0"/>
    <xf numFmtId="188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43" fontId="5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0" fontId="49" fillId="0" borderId="0"/>
    <xf numFmtId="188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0" fontId="49" fillId="0" borderId="0"/>
    <xf numFmtId="0" fontId="123" fillId="0" borderId="0"/>
    <xf numFmtId="0" fontId="49" fillId="0" borderId="0"/>
    <xf numFmtId="0" fontId="5" fillId="0" borderId="0"/>
    <xf numFmtId="9" fontId="5" fillId="0" borderId="0" applyFont="0" applyFill="0" applyBorder="0" applyAlignment="0" applyProtection="0"/>
    <xf numFmtId="43" fontId="54" fillId="0" borderId="0" applyFont="0" applyFill="0" applyBorder="0" applyAlignment="0" applyProtection="0"/>
    <xf numFmtId="188" fontId="49" fillId="0" borderId="0" applyFont="0" applyFill="0" applyBorder="0" applyAlignment="0" applyProtection="0"/>
    <xf numFmtId="0" fontId="96" fillId="0" borderId="0"/>
    <xf numFmtId="9" fontId="49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49" fillId="0" borderId="0" applyNumberFormat="0" applyFont="0" applyFill="0" applyBorder="0" applyAlignment="0" applyProtection="0"/>
    <xf numFmtId="9" fontId="123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43" fontId="54" fillId="0" borderId="0" applyFont="0" applyFill="0" applyBorder="0" applyAlignment="0" applyProtection="0"/>
    <xf numFmtId="0" fontId="49" fillId="0" borderId="0" applyNumberFormat="0" applyFont="0" applyFill="0" applyBorder="0" applyAlignment="0" applyProtection="0"/>
    <xf numFmtId="0" fontId="49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0" fontId="4" fillId="24" borderId="42" applyNumberFormat="0" applyFont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0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4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48" borderId="0" applyNumberFormat="0" applyBorder="0" applyAlignment="0" applyProtection="0"/>
    <xf numFmtId="0" fontId="3" fillId="0" borderId="0"/>
    <xf numFmtId="0" fontId="123" fillId="0" borderId="0"/>
    <xf numFmtId="0" fontId="2" fillId="0" borderId="0"/>
    <xf numFmtId="0" fontId="1" fillId="0" borderId="0"/>
    <xf numFmtId="0" fontId="1" fillId="24" borderId="42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49" fillId="0" borderId="0" applyNumberFormat="0" applyFont="0" applyFill="0" applyBorder="0" applyAlignment="0" applyProtection="0"/>
    <xf numFmtId="0" fontId="152" fillId="0" borderId="0">
      <alignment horizontal="center"/>
    </xf>
    <xf numFmtId="0" fontId="49" fillId="0" borderId="0" applyNumberFormat="0" applyFont="0" applyFill="0" applyBorder="0" applyAlignment="0" applyProtection="0"/>
  </cellStyleXfs>
  <cellXfs count="685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vertical="center" wrapText="1"/>
    </xf>
    <xf numFmtId="167" fontId="0" fillId="0" borderId="0" xfId="2" applyNumberFormat="1" applyFont="1" applyAlignment="1">
      <alignment horizontal="center" vertical="center" wrapText="1"/>
    </xf>
    <xf numFmtId="165" fontId="0" fillId="0" borderId="0" xfId="0" applyNumberFormat="1" applyAlignment="1">
      <alignment vertical="center" wrapText="1"/>
    </xf>
    <xf numFmtId="165" fontId="49" fillId="0" borderId="6" xfId="3" applyNumberFormat="1" applyFont="1" applyFill="1" applyBorder="1" applyAlignment="1"/>
    <xf numFmtId="10" fontId="0" fillId="0" borderId="0" xfId="2" applyNumberFormat="1" applyFont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165" fontId="49" fillId="0" borderId="0" xfId="3" applyNumberFormat="1" applyFont="1" applyFill="1" applyBorder="1" applyAlignment="1"/>
    <xf numFmtId="0" fontId="0" fillId="8" borderId="0" xfId="0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165" fontId="55" fillId="9" borderId="6" xfId="0" applyNumberFormat="1" applyFont="1" applyFill="1" applyBorder="1" applyAlignment="1">
      <alignment horizontal="center" vertical="center"/>
    </xf>
    <xf numFmtId="165" fontId="0" fillId="8" borderId="0" xfId="0" applyNumberFormat="1" applyFill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7" borderId="0" xfId="0" applyNumberFormat="1" applyFill="1" applyAlignment="1">
      <alignment horizontal="right" vertical="center"/>
    </xf>
    <xf numFmtId="9" fontId="0" fillId="0" borderId="0" xfId="0" applyNumberFormat="1" applyAlignment="1">
      <alignment horizontal="center" vertical="center"/>
    </xf>
    <xf numFmtId="169" fontId="57" fillId="0" borderId="0" xfId="9" applyFont="1" applyBorder="1" applyAlignment="1">
      <alignment horizontal="center" vertical="center" wrapText="1"/>
    </xf>
    <xf numFmtId="2" fontId="56" fillId="0" borderId="0" xfId="0" applyNumberFormat="1" applyFont="1" applyFill="1" applyBorder="1" applyAlignment="1">
      <alignment horizontal="center" vertical="center" wrapText="1"/>
    </xf>
    <xf numFmtId="170" fontId="56" fillId="0" borderId="0" xfId="8" applyNumberFormat="1" applyFont="1" applyFill="1" applyBorder="1" applyAlignment="1">
      <alignment horizontal="center"/>
    </xf>
    <xf numFmtId="4" fontId="56" fillId="0" borderId="0" xfId="4" applyNumberFormat="1" applyFont="1" applyFill="1" applyBorder="1" applyAlignment="1">
      <alignment horizontal="right"/>
    </xf>
    <xf numFmtId="14" fontId="57" fillId="0" borderId="6" xfId="4" applyNumberFormat="1" applyFont="1" applyFill="1" applyBorder="1" applyAlignment="1">
      <alignment horizontal="center" vertical="center"/>
    </xf>
    <xf numFmtId="4" fontId="57" fillId="0" borderId="6" xfId="4" applyNumberFormat="1" applyFont="1" applyFill="1" applyBorder="1" applyAlignment="1">
      <alignment horizontal="center" vertical="center"/>
    </xf>
    <xf numFmtId="4" fontId="57" fillId="0" borderId="0" xfId="4" applyNumberFormat="1" applyFont="1" applyBorder="1"/>
    <xf numFmtId="164" fontId="57" fillId="0" borderId="0" xfId="3" applyFont="1" applyFill="1" applyBorder="1"/>
    <xf numFmtId="0" fontId="59" fillId="5" borderId="11" xfId="4" applyFont="1" applyFill="1" applyBorder="1" applyAlignment="1">
      <alignment vertical="center" wrapText="1"/>
    </xf>
    <xf numFmtId="0" fontId="59" fillId="5" borderId="17" xfId="4" applyFont="1" applyFill="1" applyBorder="1" applyAlignment="1">
      <alignment vertical="center" wrapText="1"/>
    </xf>
    <xf numFmtId="0" fontId="59" fillId="5" borderId="13" xfId="4" applyFont="1" applyFill="1" applyBorder="1" applyAlignment="1">
      <alignment horizontal="center" vertical="center" wrapText="1"/>
    </xf>
    <xf numFmtId="14" fontId="59" fillId="5" borderId="6" xfId="4" applyNumberFormat="1" applyFont="1" applyFill="1" applyBorder="1" applyAlignment="1">
      <alignment horizontal="center"/>
    </xf>
    <xf numFmtId="3" fontId="0" fillId="8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0" fontId="57" fillId="0" borderId="6" xfId="8" applyNumberFormat="1" applyFont="1" applyFill="1" applyBorder="1" applyAlignment="1">
      <alignment horizontal="right"/>
    </xf>
    <xf numFmtId="3" fontId="0" fillId="0" borderId="0" xfId="0" applyNumberFormat="1" applyAlignment="1">
      <alignment horizontal="right" vertical="center" wrapText="1"/>
    </xf>
    <xf numFmtId="4" fontId="59" fillId="5" borderId="17" xfId="4" applyNumberFormat="1" applyFont="1" applyFill="1" applyBorder="1" applyAlignment="1">
      <alignment vertical="center" wrapText="1"/>
    </xf>
    <xf numFmtId="4" fontId="57" fillId="0" borderId="0" xfId="4" applyNumberFormat="1" applyFont="1" applyFill="1" applyBorder="1" applyAlignment="1">
      <alignment horizontal="right"/>
    </xf>
    <xf numFmtId="0" fontId="60" fillId="0" borderId="0" xfId="0" applyFont="1"/>
    <xf numFmtId="169" fontId="57" fillId="0" borderId="0" xfId="4" applyNumberFormat="1" applyFont="1"/>
    <xf numFmtId="14" fontId="56" fillId="0" borderId="0" xfId="4" applyNumberFormat="1" applyFont="1" applyBorder="1" applyAlignment="1">
      <alignment horizontal="center" vertical="center" wrapText="1"/>
    </xf>
    <xf numFmtId="0" fontId="56" fillId="0" borderId="0" xfId="4" applyFont="1" applyBorder="1" applyAlignment="1">
      <alignment horizontal="center" vertical="center" wrapText="1"/>
    </xf>
    <xf numFmtId="0" fontId="57" fillId="0" borderId="0" xfId="0" applyFont="1"/>
    <xf numFmtId="0" fontId="56" fillId="0" borderId="9" xfId="0" applyFont="1" applyBorder="1" applyAlignment="1">
      <alignment horizontal="right"/>
    </xf>
    <xf numFmtId="14" fontId="56" fillId="0" borderId="9" xfId="4" applyNumberFormat="1" applyFont="1" applyFill="1" applyBorder="1" applyAlignment="1">
      <alignment horizontal="center" vertical="center" wrapText="1"/>
    </xf>
    <xf numFmtId="4" fontId="57" fillId="0" borderId="0" xfId="4" applyNumberFormat="1" applyFont="1" applyFill="1" applyBorder="1"/>
    <xf numFmtId="0" fontId="60" fillId="0" borderId="0" xfId="0" applyFont="1" applyBorder="1"/>
    <xf numFmtId="10" fontId="57" fillId="0" borderId="6" xfId="8" applyNumberFormat="1" applyFont="1" applyFill="1" applyBorder="1" applyAlignment="1">
      <alignment horizontal="right" vertical="center"/>
    </xf>
    <xf numFmtId="4" fontId="57" fillId="0" borderId="6" xfId="8" applyNumberFormat="1" applyFont="1" applyFill="1" applyBorder="1" applyAlignment="1">
      <alignment horizontal="right" vertical="center"/>
    </xf>
    <xf numFmtId="14" fontId="57" fillId="0" borderId="6" xfId="4" applyNumberFormat="1" applyFont="1" applyFill="1" applyBorder="1" applyAlignment="1">
      <alignment horizontal="center"/>
    </xf>
    <xf numFmtId="14" fontId="56" fillId="0" borderId="0" xfId="4" applyNumberFormat="1" applyFont="1" applyFill="1" applyBorder="1" applyAlignment="1">
      <alignment horizontal="center"/>
    </xf>
    <xf numFmtId="0" fontId="57" fillId="0" borderId="0" xfId="4" applyFont="1"/>
    <xf numFmtId="0" fontId="57" fillId="0" borderId="0" xfId="4" applyFont="1" applyBorder="1"/>
    <xf numFmtId="164" fontId="57" fillId="0" borderId="0" xfId="3" applyFont="1"/>
    <xf numFmtId="4" fontId="57" fillId="0" borderId="0" xfId="0" applyNumberFormat="1" applyFont="1"/>
    <xf numFmtId="4" fontId="57" fillId="0" borderId="0" xfId="3" applyNumberFormat="1" applyFont="1" applyFill="1" applyBorder="1"/>
    <xf numFmtId="14" fontId="57" fillId="0" borderId="6" xfId="4" applyNumberFormat="1" applyFont="1" applyFill="1" applyBorder="1" applyAlignment="1">
      <alignment horizontal="center" wrapText="1"/>
    </xf>
    <xf numFmtId="0" fontId="57" fillId="0" borderId="0" xfId="4" applyFont="1" applyFill="1" applyBorder="1" applyAlignment="1">
      <alignment horizontal="center"/>
    </xf>
    <xf numFmtId="0" fontId="57" fillId="0" borderId="0" xfId="0" applyFont="1" applyFill="1"/>
    <xf numFmtId="9" fontId="57" fillId="0" borderId="6" xfId="8" applyFont="1" applyFill="1" applyBorder="1" applyAlignment="1">
      <alignment horizontal="center"/>
    </xf>
    <xf numFmtId="4" fontId="57" fillId="0" borderId="0" xfId="4" applyNumberFormat="1" applyFont="1"/>
    <xf numFmtId="3" fontId="56" fillId="0" borderId="0" xfId="0" applyNumberFormat="1" applyFont="1" applyBorder="1"/>
    <xf numFmtId="4" fontId="56" fillId="0" borderId="0" xfId="0" applyNumberFormat="1" applyFont="1" applyBorder="1"/>
    <xf numFmtId="4" fontId="56" fillId="0" borderId="0" xfId="0" applyNumberFormat="1" applyFont="1"/>
    <xf numFmtId="0" fontId="59" fillId="5" borderId="13" xfId="7" applyFont="1" applyFill="1" applyBorder="1" applyAlignment="1">
      <alignment horizontal="center" vertical="center" wrapText="1"/>
    </xf>
    <xf numFmtId="4" fontId="59" fillId="5" borderId="13" xfId="7" applyNumberFormat="1" applyFont="1" applyFill="1" applyBorder="1" applyAlignment="1">
      <alignment horizontal="center" vertical="center" wrapText="1"/>
    </xf>
    <xf numFmtId="0" fontId="57" fillId="0" borderId="6" xfId="0" applyFont="1" applyBorder="1"/>
    <xf numFmtId="4" fontId="57" fillId="0" borderId="6" xfId="0" applyNumberFormat="1" applyFont="1" applyBorder="1" applyAlignment="1">
      <alignment horizontal="right" indent="3"/>
    </xf>
    <xf numFmtId="167" fontId="59" fillId="5" borderId="6" xfId="7" applyNumberFormat="1" applyFont="1" applyFill="1" applyBorder="1" applyAlignment="1">
      <alignment horizontal="right" vertical="center" wrapText="1"/>
    </xf>
    <xf numFmtId="0" fontId="59" fillId="5" borderId="6" xfId="7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/>
    </xf>
    <xf numFmtId="4" fontId="61" fillId="0" borderId="6" xfId="0" applyNumberFormat="1" applyFont="1" applyBorder="1" applyAlignment="1">
      <alignment horizontal="right" indent="3"/>
    </xf>
    <xf numFmtId="0" fontId="59" fillId="5" borderId="17" xfId="4" applyFont="1" applyFill="1" applyBorder="1" applyAlignment="1">
      <alignment horizontal="center" vertical="center" wrapText="1"/>
    </xf>
    <xf numFmtId="0" fontId="59" fillId="5" borderId="10" xfId="4" applyFont="1" applyFill="1" applyBorder="1" applyAlignment="1">
      <alignment horizontal="center" vertical="center" wrapText="1"/>
    </xf>
    <xf numFmtId="164" fontId="56" fillId="0" borderId="0" xfId="3" applyFont="1" applyFill="1" applyBorder="1" applyAlignment="1">
      <alignment horizontal="center"/>
    </xf>
    <xf numFmtId="4" fontId="56" fillId="0" borderId="0" xfId="0" applyNumberFormat="1" applyFont="1" applyAlignment="1">
      <alignment horizontal="center"/>
    </xf>
    <xf numFmtId="169" fontId="57" fillId="0" borderId="0" xfId="3" applyNumberFormat="1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0" xfId="4" applyFont="1" applyBorder="1" applyAlignment="1">
      <alignment horizontal="center"/>
    </xf>
    <xf numFmtId="0" fontId="57" fillId="0" borderId="0" xfId="4" applyFont="1" applyAlignment="1">
      <alignment horizontal="center"/>
    </xf>
    <xf numFmtId="0" fontId="57" fillId="0" borderId="0" xfId="0" applyFont="1" applyFill="1" applyBorder="1"/>
    <xf numFmtId="4" fontId="57" fillId="0" borderId="0" xfId="0" applyNumberFormat="1" applyFont="1" applyFill="1"/>
    <xf numFmtId="10" fontId="0" fillId="0" borderId="0" xfId="0" applyNumberFormat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14" fontId="55" fillId="14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0" fillId="0" borderId="0" xfId="0" applyFill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65" fontId="0" fillId="0" borderId="0" xfId="0" applyNumberFormat="1" applyFill="1" applyAlignment="1">
      <alignment vertical="center" wrapText="1"/>
    </xf>
    <xf numFmtId="167" fontId="0" fillId="0" borderId="0" xfId="2" applyNumberFormat="1" applyFont="1" applyFill="1" applyAlignment="1">
      <alignment vertical="center" wrapText="1"/>
    </xf>
    <xf numFmtId="0" fontId="0" fillId="0" borderId="0" xfId="0" applyFill="1" applyAlignment="1">
      <alignment horizontal="center"/>
    </xf>
    <xf numFmtId="0" fontId="62" fillId="16" borderId="6" xfId="4" applyFont="1" applyFill="1" applyBorder="1" applyAlignment="1">
      <alignment horizontal="center" vertical="center" wrapText="1"/>
    </xf>
    <xf numFmtId="14" fontId="62" fillId="16" borderId="6" xfId="4" applyNumberFormat="1" applyFont="1" applyFill="1" applyBorder="1" applyAlignment="1">
      <alignment horizontal="center" vertical="center" wrapText="1"/>
    </xf>
    <xf numFmtId="0" fontId="63" fillId="16" borderId="0" xfId="4" applyFont="1" applyFill="1"/>
    <xf numFmtId="4" fontId="63" fillId="16" borderId="0" xfId="4" applyNumberFormat="1" applyFont="1" applyFill="1"/>
    <xf numFmtId="0" fontId="55" fillId="6" borderId="15" xfId="0" applyFont="1" applyFill="1" applyBorder="1" applyAlignment="1">
      <alignment vertical="center"/>
    </xf>
    <xf numFmtId="0" fontId="55" fillId="6" borderId="13" xfId="0" applyFont="1" applyFill="1" applyBorder="1" applyAlignment="1">
      <alignment horizontal="center" vertical="center"/>
    </xf>
    <xf numFmtId="168" fontId="0" fillId="0" borderId="0" xfId="2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64" fillId="14" borderId="6" xfId="4" applyNumberFormat="1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/>
    </xf>
    <xf numFmtId="4" fontId="53" fillId="0" borderId="0" xfId="4" applyNumberFormat="1" applyFont="1" applyFill="1" applyBorder="1" applyAlignment="1"/>
    <xf numFmtId="14" fontId="55" fillId="14" borderId="6" xfId="0" applyNumberFormat="1" applyFont="1" applyFill="1" applyBorder="1" applyAlignment="1">
      <alignment horizontal="center" vertical="center"/>
    </xf>
    <xf numFmtId="0" fontId="55" fillId="14" borderId="6" xfId="0" applyFont="1" applyFill="1" applyBorder="1" applyAlignment="1">
      <alignment horizontal="center" vertical="center"/>
    </xf>
    <xf numFmtId="165" fontId="0" fillId="15" borderId="0" xfId="0" applyNumberFormat="1" applyFill="1" applyAlignment="1">
      <alignment horizontal="right" vertical="center" wrapText="1"/>
    </xf>
    <xf numFmtId="165" fontId="0" fillId="15" borderId="0" xfId="0" applyNumberFormat="1" applyFill="1" applyAlignment="1">
      <alignment horizontal="center" vertical="center" wrapText="1"/>
    </xf>
    <xf numFmtId="3" fontId="57" fillId="0" borderId="6" xfId="4" applyNumberFormat="1" applyFont="1" applyFill="1" applyBorder="1" applyAlignment="1">
      <alignment horizontal="right" vertical="center"/>
    </xf>
    <xf numFmtId="165" fontId="57" fillId="0" borderId="16" xfId="4" applyNumberFormat="1" applyFont="1" applyFill="1" applyBorder="1" applyAlignment="1">
      <alignment horizontal="right"/>
    </xf>
    <xf numFmtId="165" fontId="57" fillId="0" borderId="0" xfId="4" applyNumberFormat="1" applyFont="1" applyBorder="1"/>
    <xf numFmtId="165" fontId="59" fillId="5" borderId="6" xfId="4" applyNumberFormat="1" applyFont="1" applyFill="1" applyBorder="1" applyAlignment="1">
      <alignment horizontal="right"/>
    </xf>
    <xf numFmtId="165" fontId="57" fillId="0" borderId="6" xfId="4" applyNumberFormat="1" applyFont="1" applyFill="1" applyBorder="1" applyAlignment="1">
      <alignment horizontal="right"/>
    </xf>
    <xf numFmtId="0" fontId="66" fillId="0" borderId="0" xfId="0" applyFont="1"/>
    <xf numFmtId="0" fontId="66" fillId="0" borderId="2" xfId="0" applyFont="1" applyBorder="1"/>
    <xf numFmtId="0" fontId="67" fillId="0" borderId="3" xfId="0" applyFont="1" applyBorder="1" applyAlignment="1">
      <alignment horizontal="left"/>
    </xf>
    <xf numFmtId="0" fontId="66" fillId="0" borderId="3" xfId="0" applyFont="1" applyBorder="1"/>
    <xf numFmtId="0" fontId="66" fillId="0" borderId="3" xfId="0" applyFont="1" applyBorder="1" applyAlignment="1"/>
    <xf numFmtId="14" fontId="67" fillId="0" borderId="3" xfId="0" applyNumberFormat="1" applyFont="1" applyBorder="1" applyAlignment="1">
      <alignment horizontal="left"/>
    </xf>
    <xf numFmtId="0" fontId="66" fillId="0" borderId="4" xfId="0" applyFont="1" applyBorder="1"/>
    <xf numFmtId="0" fontId="67" fillId="0" borderId="0" xfId="0" applyFont="1" applyBorder="1" applyAlignment="1"/>
    <xf numFmtId="0" fontId="66" fillId="0" borderId="0" xfId="0" applyFont="1" applyBorder="1"/>
    <xf numFmtId="0" fontId="67" fillId="0" borderId="0" xfId="0" applyFont="1" applyBorder="1" applyAlignment="1">
      <alignment horizontal="center"/>
    </xf>
    <xf numFmtId="0" fontId="68" fillId="0" borderId="0" xfId="0" applyFont="1" applyBorder="1" applyAlignment="1"/>
    <xf numFmtId="0" fontId="66" fillId="0" borderId="7" xfId="0" applyFont="1" applyBorder="1"/>
    <xf numFmtId="0" fontId="68" fillId="0" borderId="18" xfId="0" applyFont="1" applyBorder="1" applyAlignment="1">
      <alignment horizontal="center"/>
    </xf>
    <xf numFmtId="4" fontId="68" fillId="0" borderId="18" xfId="0" applyNumberFormat="1" applyFont="1" applyBorder="1" applyAlignment="1">
      <alignment horizontal="center"/>
    </xf>
    <xf numFmtId="0" fontId="68" fillId="0" borderId="19" xfId="0" applyFont="1" applyBorder="1" applyAlignment="1"/>
    <xf numFmtId="0" fontId="66" fillId="0" borderId="20" xfId="0" applyFont="1" applyBorder="1"/>
    <xf numFmtId="4" fontId="69" fillId="7" borderId="6" xfId="0" applyNumberFormat="1" applyFont="1" applyFill="1" applyBorder="1" applyAlignment="1">
      <alignment horizontal="right"/>
    </xf>
    <xf numFmtId="4" fontId="68" fillId="0" borderId="0" xfId="0" applyNumberFormat="1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0" fontId="68" fillId="0" borderId="21" xfId="0" applyFont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6" fillId="0" borderId="0" xfId="0" applyFont="1" applyFill="1" applyBorder="1"/>
    <xf numFmtId="4" fontId="72" fillId="7" borderId="6" xfId="0" applyNumberFormat="1" applyFont="1" applyFill="1" applyBorder="1" applyAlignment="1">
      <alignment horizontal="right"/>
    </xf>
    <xf numFmtId="0" fontId="68" fillId="0" borderId="0" xfId="0" applyFont="1" applyBorder="1" applyAlignment="1">
      <alignment horizontal="center"/>
    </xf>
    <xf numFmtId="166" fontId="57" fillId="0" borderId="6" xfId="0" applyNumberFormat="1" applyFont="1" applyBorder="1" applyAlignment="1">
      <alignment horizontal="right" indent="3"/>
    </xf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8" xfId="0" applyBorder="1"/>
    <xf numFmtId="0" fontId="0" fillId="0" borderId="9" xfId="0" applyBorder="1"/>
    <xf numFmtId="0" fontId="0" fillId="0" borderId="22" xfId="0" applyBorder="1"/>
    <xf numFmtId="14" fontId="0" fillId="0" borderId="0" xfId="0" applyNumberFormat="1" applyAlignment="1">
      <alignment horizontal="left" vertical="center"/>
    </xf>
    <xf numFmtId="9" fontId="57" fillId="0" borderId="6" xfId="8" applyFont="1" applyFill="1" applyBorder="1" applyAlignment="1">
      <alignment horizontal="center" vertical="center"/>
    </xf>
    <xf numFmtId="0" fontId="57" fillId="0" borderId="0" xfId="0" applyFont="1" applyFill="1" applyAlignment="1">
      <alignment horizontal="center"/>
    </xf>
    <xf numFmtId="14" fontId="49" fillId="0" borderId="0" xfId="3" applyNumberFormat="1" applyFont="1" applyFill="1" applyBorder="1" applyAlignment="1"/>
    <xf numFmtId="14" fontId="0" fillId="0" borderId="0" xfId="0" applyNumberFormat="1" applyAlignment="1">
      <alignment vertical="center" wrapText="1"/>
    </xf>
    <xf numFmtId="10" fontId="57" fillId="0" borderId="0" xfId="2" applyNumberFormat="1" applyFont="1"/>
    <xf numFmtId="172" fontId="0" fillId="0" borderId="0" xfId="0" applyNumberFormat="1"/>
    <xf numFmtId="10" fontId="0" fillId="0" borderId="0" xfId="2" applyNumberFormat="1" applyFont="1"/>
    <xf numFmtId="0" fontId="74" fillId="0" borderId="0" xfId="4" applyFont="1" applyAlignment="1">
      <alignment horizontal="left"/>
    </xf>
    <xf numFmtId="10" fontId="0" fillId="0" borderId="0" xfId="0" applyNumberFormat="1"/>
    <xf numFmtId="171" fontId="0" fillId="0" borderId="0" xfId="2" applyNumberFormat="1" applyFont="1"/>
    <xf numFmtId="3" fontId="57" fillId="0" borderId="0" xfId="4" applyNumberFormat="1" applyFont="1" applyFill="1" applyBorder="1"/>
    <xf numFmtId="0" fontId="0" fillId="0" borderId="0" xfId="0" applyAlignment="1">
      <alignment horizontal="right" vertical="center" wrapText="1"/>
    </xf>
    <xf numFmtId="4" fontId="0" fillId="0" borderId="25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4" fontId="0" fillId="0" borderId="25" xfId="0" applyNumberFormat="1" applyBorder="1" applyAlignment="1">
      <alignment horizontal="center" vertical="center" wrapText="1"/>
    </xf>
    <xf numFmtId="167" fontId="0" fillId="0" borderId="25" xfId="0" applyNumberFormat="1" applyBorder="1" applyAlignment="1">
      <alignment horizontal="center" vertical="center" wrapText="1"/>
    </xf>
    <xf numFmtId="10" fontId="0" fillId="0" borderId="25" xfId="0" applyNumberFormat="1" applyBorder="1" applyAlignment="1">
      <alignment horizontal="center" vertical="center" wrapText="1"/>
    </xf>
    <xf numFmtId="14" fontId="65" fillId="0" borderId="25" xfId="0" applyNumberFormat="1" applyFont="1" applyBorder="1" applyAlignment="1">
      <alignment horizontal="center" vertical="center" wrapText="1"/>
    </xf>
    <xf numFmtId="4" fontId="57" fillId="0" borderId="0" xfId="4" applyNumberFormat="1" applyFont="1" applyFill="1" applyAlignment="1">
      <alignment horizontal="center"/>
    </xf>
    <xf numFmtId="173" fontId="0" fillId="0" borderId="0" xfId="0" applyNumberFormat="1"/>
    <xf numFmtId="14" fontId="78" fillId="0" borderId="26" xfId="24" applyNumberFormat="1" applyFont="1" applyFill="1" applyBorder="1" applyAlignment="1">
      <alignment horizontal="center"/>
    </xf>
    <xf numFmtId="14" fontId="79" fillId="0" borderId="27" xfId="24" applyNumberFormat="1" applyFont="1" applyFill="1" applyBorder="1" applyAlignment="1">
      <alignment horizontal="center"/>
    </xf>
    <xf numFmtId="14" fontId="79" fillId="0" borderId="28" xfId="24" applyNumberFormat="1" applyFont="1" applyFill="1" applyBorder="1" applyAlignment="1">
      <alignment horizontal="center"/>
    </xf>
    <xf numFmtId="14" fontId="79" fillId="0" borderId="29" xfId="24" applyNumberFormat="1" applyFont="1" applyFill="1" applyBorder="1" applyAlignment="1">
      <alignment horizontal="center"/>
    </xf>
    <xf numFmtId="165" fontId="77" fillId="0" borderId="31" xfId="24" applyNumberFormat="1" applyFont="1" applyFill="1" applyBorder="1" applyAlignment="1">
      <alignment horizontal="right"/>
    </xf>
    <xf numFmtId="165" fontId="78" fillId="0" borderId="30" xfId="24" applyNumberFormat="1" applyFont="1" applyFill="1" applyBorder="1" applyAlignment="1">
      <alignment horizontal="right"/>
    </xf>
    <xf numFmtId="14" fontId="78" fillId="0" borderId="32" xfId="24" applyNumberFormat="1" applyFont="1" applyFill="1" applyBorder="1" applyAlignment="1">
      <alignment horizontal="center"/>
    </xf>
    <xf numFmtId="165" fontId="78" fillId="0" borderId="33" xfId="24" applyNumberFormat="1" applyFont="1" applyFill="1" applyBorder="1" applyAlignment="1">
      <alignment horizontal="right"/>
    </xf>
    <xf numFmtId="166" fontId="0" fillId="0" borderId="25" xfId="0" applyNumberFormat="1" applyBorder="1" applyAlignment="1">
      <alignment horizontal="center" vertical="center" wrapText="1"/>
    </xf>
    <xf numFmtId="3" fontId="57" fillId="0" borderId="0" xfId="4" applyNumberFormat="1" applyFont="1" applyFill="1" applyBorder="1" applyAlignment="1">
      <alignment horizontal="center"/>
    </xf>
    <xf numFmtId="10" fontId="0" fillId="0" borderId="0" xfId="2" applyNumberFormat="1" applyFont="1" applyFill="1" applyAlignment="1">
      <alignment horizontal="center" vertical="center"/>
    </xf>
    <xf numFmtId="4" fontId="61" fillId="0" borderId="6" xfId="0" applyNumberFormat="1" applyFont="1" applyFill="1" applyBorder="1" applyAlignment="1">
      <alignment horizontal="right" indent="3"/>
    </xf>
    <xf numFmtId="0" fontId="80" fillId="0" borderId="25" xfId="11" applyFont="1" applyBorder="1"/>
    <xf numFmtId="0" fontId="80" fillId="0" borderId="25" xfId="11" applyFont="1" applyBorder="1" applyAlignment="1">
      <alignment horizontal="right"/>
    </xf>
    <xf numFmtId="14" fontId="57" fillId="3" borderId="6" xfId="4" applyNumberFormat="1" applyFont="1" applyFill="1" applyBorder="1" applyAlignment="1">
      <alignment horizontal="center"/>
    </xf>
    <xf numFmtId="0" fontId="62" fillId="16" borderId="25" xfId="4" applyFont="1" applyFill="1" applyBorder="1" applyAlignment="1">
      <alignment horizontal="center" vertical="center" wrapText="1"/>
    </xf>
    <xf numFmtId="14" fontId="62" fillId="16" borderId="25" xfId="4" applyNumberFormat="1" applyFont="1" applyFill="1" applyBorder="1" applyAlignment="1">
      <alignment horizontal="center" vertical="center" wrapText="1"/>
    </xf>
    <xf numFmtId="4" fontId="57" fillId="0" borderId="0" xfId="2" applyNumberFormat="1" applyFont="1"/>
    <xf numFmtId="4" fontId="66" fillId="0" borderId="0" xfId="0" applyNumberFormat="1" applyFont="1"/>
    <xf numFmtId="0" fontId="57" fillId="0" borderId="25" xfId="0" applyFont="1" applyBorder="1"/>
    <xf numFmtId="0" fontId="0" fillId="13" borderId="0" xfId="0" applyFill="1"/>
    <xf numFmtId="165" fontId="0" fillId="0" borderId="0" xfId="0" applyNumberFormat="1"/>
    <xf numFmtId="165" fontId="0" fillId="13" borderId="0" xfId="0" applyNumberFormat="1" applyFill="1" applyAlignment="1">
      <alignment horizontal="right" vertical="center" wrapText="1"/>
    </xf>
    <xf numFmtId="176" fontId="56" fillId="0" borderId="0" xfId="4" applyNumberFormat="1" applyFont="1" applyBorder="1" applyAlignment="1">
      <alignment horizontal="center" vertical="center" wrapText="1"/>
    </xf>
    <xf numFmtId="0" fontId="57" fillId="5" borderId="6" xfId="4" applyFont="1" applyFill="1" applyBorder="1" applyAlignment="1">
      <alignment horizontal="center"/>
    </xf>
    <xf numFmtId="0" fontId="57" fillId="0" borderId="6" xfId="4" applyFont="1" applyFill="1" applyBorder="1" applyAlignment="1">
      <alignment horizontal="center" vertical="center"/>
    </xf>
    <xf numFmtId="177" fontId="57" fillId="0" borderId="6" xfId="4" applyNumberFormat="1" applyFont="1" applyFill="1" applyBorder="1" applyAlignment="1">
      <alignment horizontal="center" vertical="center"/>
    </xf>
    <xf numFmtId="177" fontId="57" fillId="0" borderId="0" xfId="4" applyNumberFormat="1" applyFont="1" applyFill="1" applyBorder="1" applyAlignment="1">
      <alignment horizontal="center"/>
    </xf>
    <xf numFmtId="177" fontId="57" fillId="5" borderId="6" xfId="4" applyNumberFormat="1" applyFont="1" applyFill="1" applyBorder="1" applyAlignment="1">
      <alignment horizontal="center"/>
    </xf>
    <xf numFmtId="177" fontId="82" fillId="5" borderId="6" xfId="4" applyNumberFormat="1" applyFont="1" applyFill="1" applyBorder="1" applyAlignment="1">
      <alignment horizontal="center" wrapText="1"/>
    </xf>
    <xf numFmtId="177" fontId="57" fillId="0" borderId="0" xfId="0" applyNumberFormat="1" applyFont="1" applyFill="1" applyAlignment="1">
      <alignment horizontal="center"/>
    </xf>
    <xf numFmtId="0" fontId="59" fillId="5" borderId="6" xfId="4" applyFont="1" applyFill="1" applyBorder="1" applyAlignment="1">
      <alignment horizontal="center" vertical="center"/>
    </xf>
    <xf numFmtId="4" fontId="58" fillId="0" borderId="6" xfId="4" applyNumberFormat="1" applyFont="1" applyFill="1" applyBorder="1" applyAlignment="1">
      <alignment horizontal="center" vertical="center"/>
    </xf>
    <xf numFmtId="177" fontId="58" fillId="0" borderId="6" xfId="4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14" fontId="0" fillId="13" borderId="0" xfId="0" applyNumberFormat="1" applyFill="1" applyAlignment="1">
      <alignment horizontal="center" vertical="center" wrapText="1"/>
    </xf>
    <xf numFmtId="0" fontId="83" fillId="0" borderId="0" xfId="0" applyFont="1" applyFill="1" applyAlignment="1">
      <alignment horizontal="center" vertical="center" wrapText="1"/>
    </xf>
    <xf numFmtId="14" fontId="83" fillId="0" borderId="0" xfId="0" applyNumberFormat="1" applyFont="1" applyFill="1" applyAlignment="1">
      <alignment horizontal="center" vertical="center" wrapText="1"/>
    </xf>
    <xf numFmtId="3" fontId="83" fillId="0" borderId="0" xfId="0" applyNumberFormat="1" applyFont="1" applyFill="1" applyAlignment="1">
      <alignment horizontal="center" vertical="center" wrapText="1"/>
    </xf>
    <xf numFmtId="166" fontId="83" fillId="0" borderId="0" xfId="0" applyNumberFormat="1" applyFont="1" applyFill="1" applyAlignment="1">
      <alignment horizontal="center" vertical="center" wrapText="1"/>
    </xf>
    <xf numFmtId="165" fontId="83" fillId="0" borderId="0" xfId="0" applyNumberFormat="1" applyFont="1" applyFill="1" applyAlignment="1">
      <alignment vertical="center" wrapText="1"/>
    </xf>
    <xf numFmtId="4" fontId="83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center" wrapText="1"/>
    </xf>
    <xf numFmtId="3" fontId="83" fillId="0" borderId="0" xfId="0" applyNumberFormat="1" applyFont="1" applyFill="1" applyAlignment="1">
      <alignment horizontal="right" vertical="center" wrapText="1"/>
    </xf>
    <xf numFmtId="3" fontId="0" fillId="0" borderId="0" xfId="0" applyNumberFormat="1" applyFont="1" applyFill="1" applyAlignment="1">
      <alignment vertical="center" wrapText="1"/>
    </xf>
    <xf numFmtId="14" fontId="91" fillId="0" borderId="0" xfId="3" applyNumberFormat="1" applyFont="1" applyFill="1" applyBorder="1" applyAlignment="1"/>
    <xf numFmtId="0" fontId="49" fillId="0" borderId="6" xfId="0" applyFont="1" applyFill="1" applyBorder="1"/>
    <xf numFmtId="14" fontId="0" fillId="0" borderId="0" xfId="0" applyNumberFormat="1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14" fontId="0" fillId="0" borderId="0" xfId="0" applyNumberFormat="1" applyFont="1" applyFill="1" applyAlignment="1">
      <alignment vertical="center" wrapText="1"/>
    </xf>
    <xf numFmtId="4" fontId="0" fillId="0" borderId="0" xfId="0" applyNumberFormat="1" applyFont="1" applyFill="1" applyAlignment="1">
      <alignment horizontal="center" vertical="center" wrapText="1"/>
    </xf>
    <xf numFmtId="14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wrapText="1"/>
    </xf>
    <xf numFmtId="3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horizontal="left" vertical="center"/>
    </xf>
    <xf numFmtId="3" fontId="0" fillId="0" borderId="0" xfId="0" applyNumberFormat="1" applyFont="1" applyFill="1" applyAlignment="1">
      <alignment horizontal="right" vertical="center" wrapText="1"/>
    </xf>
    <xf numFmtId="0" fontId="91" fillId="0" borderId="6" xfId="0" applyFont="1" applyFill="1" applyBorder="1"/>
    <xf numFmtId="165" fontId="0" fillId="0" borderId="0" xfId="0" applyNumberFormat="1" applyFont="1" applyFill="1" applyAlignment="1">
      <alignment vertical="center" wrapText="1"/>
    </xf>
    <xf numFmtId="167" fontId="83" fillId="0" borderId="0" xfId="2" applyNumberFormat="1" applyFont="1" applyFill="1" applyAlignment="1">
      <alignment vertical="center" wrapText="1"/>
    </xf>
    <xf numFmtId="165" fontId="91" fillId="0" borderId="6" xfId="3" applyNumberFormat="1" applyFont="1" applyFill="1" applyBorder="1" applyAlignment="1"/>
    <xf numFmtId="3" fontId="113" fillId="0" borderId="44" xfId="27" applyNumberFormat="1" applyFont="1" applyBorder="1" applyAlignment="1">
      <alignment horizontal="right" vertical="top"/>
    </xf>
    <xf numFmtId="0" fontId="113" fillId="0" borderId="44" xfId="27" applyFont="1" applyBorder="1" applyAlignment="1">
      <alignment horizontal="left" vertical="top" wrapText="1"/>
    </xf>
    <xf numFmtId="3" fontId="113" fillId="0" borderId="44" xfId="27" applyNumberFormat="1" applyFont="1" applyBorder="1" applyAlignment="1">
      <alignment horizontal="right" vertical="top"/>
    </xf>
    <xf numFmtId="164" fontId="0" fillId="0" borderId="0" xfId="3" applyFont="1" applyFill="1" applyAlignment="1">
      <alignment horizontal="center" vertical="center" wrapText="1"/>
    </xf>
    <xf numFmtId="14" fontId="0" fillId="49" borderId="6" xfId="0" applyNumberFormat="1" applyFont="1" applyFill="1" applyBorder="1" applyAlignment="1">
      <alignment horizontal="center" vertical="center"/>
    </xf>
    <xf numFmtId="14" fontId="0" fillId="0" borderId="0" xfId="3" applyNumberFormat="1" applyFont="1" applyFill="1" applyAlignment="1">
      <alignment horizontal="center" vertical="center" wrapText="1"/>
    </xf>
    <xf numFmtId="180" fontId="0" fillId="0" borderId="0" xfId="3" applyNumberFormat="1" applyFont="1" applyAlignment="1">
      <alignment horizontal="center" vertical="center" wrapText="1"/>
    </xf>
    <xf numFmtId="14" fontId="84" fillId="0" borderId="0" xfId="0" applyNumberFormat="1" applyFont="1" applyAlignment="1">
      <alignment horizontal="center" vertical="top" wrapText="1"/>
    </xf>
    <xf numFmtId="0" fontId="84" fillId="0" borderId="0" xfId="0" applyFont="1" applyAlignment="1">
      <alignment horizontal="right" vertical="top" wrapText="1"/>
    </xf>
    <xf numFmtId="182" fontId="0" fillId="0" borderId="0" xfId="3" applyNumberFormat="1" applyFont="1" applyFill="1" applyAlignment="1">
      <alignment horizontal="right" vertical="center" wrapText="1"/>
    </xf>
    <xf numFmtId="164" fontId="84" fillId="0" borderId="0" xfId="3" applyFont="1" applyAlignment="1">
      <alignment horizontal="right" vertical="top" wrapText="1"/>
    </xf>
    <xf numFmtId="181" fontId="84" fillId="0" borderId="0" xfId="0" applyNumberFormat="1" applyFont="1" applyAlignment="1">
      <alignment horizontal="right" vertical="top" wrapText="1"/>
    </xf>
    <xf numFmtId="164" fontId="84" fillId="0" borderId="0" xfId="3" applyFont="1" applyAlignment="1">
      <alignment horizontal="center" vertical="top" wrapText="1"/>
    </xf>
    <xf numFmtId="180" fontId="84" fillId="0" borderId="0" xfId="0" applyNumberFormat="1" applyFont="1" applyAlignment="1">
      <alignment horizontal="right" vertical="top" wrapText="1"/>
    </xf>
    <xf numFmtId="0" fontId="0" fillId="0" borderId="6" xfId="0" applyFont="1" applyFill="1" applyBorder="1" applyAlignment="1">
      <alignment horizontal="center" vertical="center" wrapText="1"/>
    </xf>
    <xf numFmtId="0" fontId="49" fillId="0" borderId="0" xfId="0" applyFont="1" applyFill="1" applyBorder="1"/>
    <xf numFmtId="3" fontId="0" fillId="0" borderId="6" xfId="0" applyNumberFormat="1" applyFont="1" applyFill="1" applyBorder="1" applyAlignment="1">
      <alignment vertical="center" wrapText="1"/>
    </xf>
    <xf numFmtId="14" fontId="79" fillId="0" borderId="0" xfId="24" applyNumberFormat="1" applyFont="1" applyFill="1" applyBorder="1" applyAlignment="1">
      <alignment horizontal="center"/>
    </xf>
    <xf numFmtId="165" fontId="77" fillId="0" borderId="0" xfId="24" applyNumberFormat="1" applyFont="1" applyFill="1" applyBorder="1" applyAlignment="1">
      <alignment horizontal="right"/>
    </xf>
    <xf numFmtId="0" fontId="84" fillId="0" borderId="0" xfId="0" applyFont="1"/>
    <xf numFmtId="4" fontId="84" fillId="0" borderId="0" xfId="0" applyNumberFormat="1" applyFont="1" applyAlignment="1">
      <alignment horizontal="right" vertical="top" wrapText="1"/>
    </xf>
    <xf numFmtId="170" fontId="0" fillId="0" borderId="0" xfId="2" applyNumberFormat="1" applyFont="1" applyFill="1" applyAlignment="1">
      <alignment horizontal="center" vertical="center" wrapText="1"/>
    </xf>
    <xf numFmtId="14" fontId="0" fillId="3" borderId="0" xfId="0" applyNumberFormat="1" applyFont="1" applyFill="1" applyAlignment="1">
      <alignment horizontal="center" vertical="center" wrapText="1"/>
    </xf>
    <xf numFmtId="0" fontId="59" fillId="5" borderId="13" xfId="7" applyFont="1" applyFill="1" applyBorder="1" applyAlignment="1">
      <alignment horizontal="center" vertical="center" wrapText="1"/>
    </xf>
    <xf numFmtId="0" fontId="60" fillId="0" borderId="0" xfId="0" applyFont="1"/>
    <xf numFmtId="0" fontId="57" fillId="0" borderId="0" xfId="0" applyFont="1"/>
    <xf numFmtId="10" fontId="57" fillId="0" borderId="6" xfId="8" applyNumberFormat="1" applyFont="1" applyFill="1" applyBorder="1" applyAlignment="1">
      <alignment horizontal="right"/>
    </xf>
    <xf numFmtId="10" fontId="57" fillId="0" borderId="6" xfId="8" applyNumberFormat="1" applyFont="1" applyFill="1" applyBorder="1" applyAlignment="1">
      <alignment horizontal="right" vertical="center"/>
    </xf>
    <xf numFmtId="4" fontId="57" fillId="0" borderId="6" xfId="8" applyNumberFormat="1" applyFont="1" applyFill="1" applyBorder="1" applyAlignment="1">
      <alignment horizontal="right" vertical="center"/>
    </xf>
    <xf numFmtId="14" fontId="55" fillId="14" borderId="45" xfId="0" applyNumberFormat="1" applyFont="1" applyFill="1" applyBorder="1" applyAlignment="1">
      <alignment horizontal="center" vertical="center"/>
    </xf>
    <xf numFmtId="0" fontId="0" fillId="0" borderId="0" xfId="0"/>
    <xf numFmtId="4" fontId="57" fillId="0" borderId="0" xfId="0" applyNumberFormat="1" applyFont="1"/>
    <xf numFmtId="0" fontId="0" fillId="50" borderId="0" xfId="0" applyFill="1" applyAlignment="1">
      <alignment horizontal="center" vertical="center" wrapText="1"/>
    </xf>
    <xf numFmtId="14" fontId="0" fillId="50" borderId="0" xfId="0" applyNumberFormat="1" applyFill="1" applyAlignment="1">
      <alignment horizontal="center" vertical="center" wrapText="1"/>
    </xf>
    <xf numFmtId="165" fontId="0" fillId="50" borderId="0" xfId="0" applyNumberFormat="1" applyFill="1" applyAlignment="1">
      <alignment horizontal="right" vertical="center" wrapText="1"/>
    </xf>
    <xf numFmtId="4" fontId="0" fillId="50" borderId="0" xfId="0" applyNumberFormat="1" applyFill="1" applyAlignment="1">
      <alignment horizontal="center" vertical="center" wrapText="1"/>
    </xf>
    <xf numFmtId="164" fontId="0" fillId="0" borderId="0" xfId="3" applyFont="1" applyAlignment="1">
      <alignment horizontal="center" vertical="center" wrapText="1"/>
    </xf>
    <xf numFmtId="165" fontId="0" fillId="0" borderId="47" xfId="0" applyNumberFormat="1" applyFont="1" applyFill="1" applyBorder="1" applyAlignment="1">
      <alignment vertical="center" wrapText="1"/>
    </xf>
    <xf numFmtId="165" fontId="0" fillId="0" borderId="47" xfId="0" applyNumberFormat="1" applyFill="1" applyBorder="1" applyAlignment="1">
      <alignment vertical="center" wrapText="1"/>
    </xf>
    <xf numFmtId="4" fontId="118" fillId="0" borderId="46" xfId="44" applyNumberFormat="1" applyFont="1" applyBorder="1" applyAlignment="1">
      <alignment horizontal="right"/>
    </xf>
    <xf numFmtId="170" fontId="84" fillId="0" borderId="0" xfId="2" applyNumberFormat="1" applyFont="1" applyAlignment="1">
      <alignment horizontal="center" vertical="top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3" applyFont="1"/>
    <xf numFmtId="165" fontId="0" fillId="0" borderId="0" xfId="0" applyNumberFormat="1" applyAlignment="1">
      <alignment horizontal="right" vertical="center"/>
    </xf>
    <xf numFmtId="165" fontId="0" fillId="7" borderId="0" xfId="0" applyNumberFormat="1" applyFill="1" applyAlignment="1">
      <alignment horizontal="right" vertical="center"/>
    </xf>
    <xf numFmtId="166" fontId="0" fillId="0" borderId="0" xfId="2" applyNumberFormat="1" applyFont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67" fontId="0" fillId="0" borderId="0" xfId="2" applyNumberFormat="1" applyFont="1" applyFill="1" applyAlignment="1">
      <alignment horizontal="center" vertical="center" wrapText="1"/>
    </xf>
    <xf numFmtId="3" fontId="0" fillId="0" borderId="0" xfId="0" applyNumberFormat="1" applyFill="1" applyAlignment="1">
      <alignment horizontal="center" vertical="center" wrapText="1"/>
    </xf>
    <xf numFmtId="165" fontId="0" fillId="0" borderId="0" xfId="0" applyNumberFormat="1" applyFill="1" applyAlignment="1">
      <alignment vertical="center" wrapText="1"/>
    </xf>
    <xf numFmtId="166" fontId="0" fillId="0" borderId="0" xfId="0" applyNumberFormat="1" applyFill="1" applyAlignment="1">
      <alignment horizontal="center" vertical="center" wrapText="1"/>
    </xf>
    <xf numFmtId="0" fontId="83" fillId="0" borderId="0" xfId="0" applyFont="1" applyFill="1" applyAlignment="1">
      <alignment horizontal="center" vertical="center" wrapText="1"/>
    </xf>
    <xf numFmtId="14" fontId="0" fillId="0" borderId="0" xfId="0" applyNumberFormat="1" applyFont="1" applyFill="1" applyAlignment="1">
      <alignment horizontal="center" vertical="center" wrapText="1"/>
    </xf>
    <xf numFmtId="165" fontId="0" fillId="49" borderId="0" xfId="0" applyNumberFormat="1" applyFont="1" applyFill="1" applyAlignment="1">
      <alignment horizontal="right" vertical="center"/>
    </xf>
    <xf numFmtId="10" fontId="0" fillId="50" borderId="0" xfId="2" applyNumberFormat="1" applyFont="1" applyFill="1" applyAlignment="1">
      <alignment horizontal="center" vertical="center" wrapText="1"/>
    </xf>
    <xf numFmtId="0" fontId="0" fillId="50" borderId="0" xfId="0" applyFill="1"/>
    <xf numFmtId="164" fontId="59" fillId="5" borderId="6" xfId="3" applyFont="1" applyFill="1" applyBorder="1" applyAlignment="1">
      <alignment horizontal="right" vertical="center" wrapText="1"/>
    </xf>
    <xf numFmtId="10" fontId="57" fillId="0" borderId="0" xfId="0" applyNumberFormat="1" applyFont="1"/>
    <xf numFmtId="164" fontId="0" fillId="13" borderId="0" xfId="3" applyFont="1" applyFill="1" applyAlignment="1">
      <alignment horizontal="center" vertical="center" wrapText="1"/>
    </xf>
    <xf numFmtId="0" fontId="0" fillId="0" borderId="0" xfId="0"/>
    <xf numFmtId="0" fontId="60" fillId="0" borderId="0" xfId="0" applyFont="1"/>
    <xf numFmtId="4" fontId="57" fillId="0" borderId="0" xfId="4" applyNumberFormat="1" applyFont="1"/>
    <xf numFmtId="0" fontId="57" fillId="0" borderId="0" xfId="0" applyFont="1"/>
    <xf numFmtId="4" fontId="56" fillId="0" borderId="0" xfId="0" applyNumberFormat="1" applyFont="1"/>
    <xf numFmtId="164" fontId="57" fillId="0" borderId="0" xfId="3" applyFont="1" applyFill="1" applyBorder="1"/>
    <xf numFmtId="170" fontId="56" fillId="0" borderId="0" xfId="8" applyNumberFormat="1" applyFont="1" applyFill="1" applyBorder="1" applyAlignment="1">
      <alignment horizontal="center"/>
    </xf>
    <xf numFmtId="4" fontId="57" fillId="0" borderId="0" xfId="3" applyNumberFormat="1" applyFont="1" applyFill="1" applyBorder="1"/>
    <xf numFmtId="4" fontId="57" fillId="0" borderId="0" xfId="0" applyNumberFormat="1" applyFont="1"/>
    <xf numFmtId="10" fontId="57" fillId="0" borderId="0" xfId="2" applyNumberFormat="1" applyFont="1"/>
    <xf numFmtId="10" fontId="57" fillId="0" borderId="0" xfId="0" applyNumberFormat="1" applyFont="1"/>
    <xf numFmtId="0" fontId="57" fillId="0" borderId="0" xfId="4" applyFont="1"/>
    <xf numFmtId="164" fontId="57" fillId="0" borderId="0" xfId="3" applyFont="1"/>
    <xf numFmtId="10" fontId="57" fillId="0" borderId="0" xfId="2" applyNumberFormat="1" applyFont="1" applyBorder="1"/>
    <xf numFmtId="0" fontId="63" fillId="16" borderId="0" xfId="4" applyFont="1" applyFill="1"/>
    <xf numFmtId="4" fontId="63" fillId="16" borderId="0" xfId="4" applyNumberFormat="1" applyFont="1" applyFill="1"/>
    <xf numFmtId="4" fontId="57" fillId="0" borderId="0" xfId="2" applyNumberFormat="1" applyFont="1"/>
    <xf numFmtId="4" fontId="0" fillId="49" borderId="0" xfId="0" applyNumberFormat="1" applyFont="1" applyFill="1" applyAlignment="1">
      <alignment horizontal="right" vertical="center"/>
    </xf>
    <xf numFmtId="14" fontId="0" fillId="2" borderId="0" xfId="0" applyNumberFormat="1" applyFill="1" applyAlignment="1">
      <alignment horizontal="center" vertical="center" wrapText="1"/>
    </xf>
    <xf numFmtId="165" fontId="0" fillId="2" borderId="0" xfId="0" applyNumberFormat="1" applyFill="1" applyAlignment="1">
      <alignment vertical="center" wrapText="1"/>
    </xf>
    <xf numFmtId="170" fontId="0" fillId="13" borderId="0" xfId="2" applyNumberFormat="1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9" fontId="57" fillId="0" borderId="15" xfId="8" applyFont="1" applyFill="1" applyBorder="1" applyAlignment="1">
      <alignment horizontal="center" vertical="center"/>
    </xf>
    <xf numFmtId="0" fontId="57" fillId="0" borderId="6" xfId="4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 wrapText="1"/>
    </xf>
    <xf numFmtId="165" fontId="0" fillId="2" borderId="0" xfId="0" applyNumberFormat="1" applyFill="1" applyAlignment="1">
      <alignment horizontal="right" vertical="center" wrapText="1"/>
    </xf>
    <xf numFmtId="10" fontId="0" fillId="2" borderId="0" xfId="2" applyNumberFormat="1" applyFont="1" applyFill="1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14" fontId="0" fillId="2" borderId="0" xfId="0" applyNumberFormat="1" applyFont="1" applyFill="1" applyAlignment="1">
      <alignment horizontal="center" vertical="center" wrapText="1"/>
    </xf>
    <xf numFmtId="164" fontId="114" fillId="2" borderId="0" xfId="3" applyFont="1" applyFill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4" fontId="0" fillId="2" borderId="0" xfId="0" applyNumberFormat="1" applyFill="1" applyAlignment="1">
      <alignment horizontal="right" vertical="center" wrapText="1"/>
    </xf>
    <xf numFmtId="167" fontId="0" fillId="2" borderId="0" xfId="2" applyNumberFormat="1" applyFont="1" applyFill="1" applyAlignment="1">
      <alignment horizontal="center" vertical="center" wrapText="1"/>
    </xf>
    <xf numFmtId="4" fontId="0" fillId="2" borderId="0" xfId="0" applyNumberFormat="1" applyFill="1" applyAlignment="1">
      <alignment horizontal="center" vertical="center" wrapText="1"/>
    </xf>
    <xf numFmtId="167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wrapText="1"/>
    </xf>
    <xf numFmtId="164" fontId="0" fillId="2" borderId="0" xfId="3" applyFont="1" applyFill="1" applyAlignment="1">
      <alignment horizontal="right" vertical="center" wrapText="1"/>
    </xf>
    <xf numFmtId="14" fontId="0" fillId="50" borderId="0" xfId="0" applyNumberFormat="1" applyFont="1" applyFill="1" applyAlignment="1">
      <alignment horizontal="center" vertical="center" wrapText="1"/>
    </xf>
    <xf numFmtId="166" fontId="0" fillId="50" borderId="0" xfId="0" applyNumberFormat="1" applyFill="1" applyAlignment="1">
      <alignment horizontal="center" vertical="center" wrapText="1"/>
    </xf>
    <xf numFmtId="164" fontId="0" fillId="50" borderId="0" xfId="3" applyFont="1" applyFill="1" applyAlignment="1">
      <alignment horizontal="center" vertical="center" wrapText="1"/>
    </xf>
    <xf numFmtId="3" fontId="0" fillId="50" borderId="0" xfId="0" applyNumberFormat="1" applyFill="1" applyAlignment="1">
      <alignment horizontal="right" vertical="center" wrapText="1"/>
    </xf>
    <xf numFmtId="14" fontId="0" fillId="13" borderId="0" xfId="0" applyNumberFormat="1" applyFont="1" applyFill="1" applyAlignment="1">
      <alignment horizontal="center" vertical="center" wrapText="1"/>
    </xf>
    <xf numFmtId="166" fontId="0" fillId="13" borderId="0" xfId="0" applyNumberFormat="1" applyFill="1" applyAlignment="1">
      <alignment horizontal="center" vertical="center" wrapText="1"/>
    </xf>
    <xf numFmtId="3" fontId="0" fillId="13" borderId="0" xfId="0" applyNumberFormat="1" applyFill="1" applyAlignment="1">
      <alignment horizontal="right" vertical="center" wrapText="1"/>
    </xf>
    <xf numFmtId="0" fontId="0" fillId="51" borderId="0" xfId="0" applyFill="1" applyAlignment="1">
      <alignment horizontal="center" vertical="center" wrapText="1"/>
    </xf>
    <xf numFmtId="14" fontId="0" fillId="51" borderId="0" xfId="0" applyNumberFormat="1" applyFill="1" applyAlignment="1">
      <alignment horizontal="center" vertical="center" wrapText="1"/>
    </xf>
    <xf numFmtId="165" fontId="0" fillId="51" borderId="0" xfId="0" applyNumberFormat="1" applyFill="1" applyAlignment="1">
      <alignment horizontal="right" vertical="center" wrapText="1"/>
    </xf>
    <xf numFmtId="14" fontId="0" fillId="51" borderId="0" xfId="0" applyNumberFormat="1" applyFont="1" applyFill="1" applyAlignment="1">
      <alignment horizontal="center" vertical="center" wrapText="1"/>
    </xf>
    <xf numFmtId="166" fontId="0" fillId="51" borderId="0" xfId="0" applyNumberFormat="1" applyFill="1" applyAlignment="1">
      <alignment horizontal="center" vertical="center" wrapText="1"/>
    </xf>
    <xf numFmtId="164" fontId="0" fillId="51" borderId="0" xfId="3" applyFont="1" applyFill="1" applyAlignment="1">
      <alignment horizontal="center" vertical="center" wrapText="1"/>
    </xf>
    <xf numFmtId="0" fontId="0" fillId="51" borderId="0" xfId="0" applyFill="1"/>
    <xf numFmtId="3" fontId="0" fillId="51" borderId="0" xfId="0" applyNumberFormat="1" applyFill="1" applyAlignment="1">
      <alignment horizontal="right" vertical="center" wrapText="1"/>
    </xf>
    <xf numFmtId="0" fontId="0" fillId="49" borderId="0" xfId="0" applyFill="1" applyAlignment="1">
      <alignment horizontal="center" vertical="center" wrapText="1"/>
    </xf>
    <xf numFmtId="14" fontId="0" fillId="49" borderId="0" xfId="0" applyNumberFormat="1" applyFill="1" applyAlignment="1">
      <alignment horizontal="center" vertical="center" wrapText="1"/>
    </xf>
    <xf numFmtId="165" fontId="0" fillId="49" borderId="0" xfId="0" applyNumberFormat="1" applyFill="1" applyAlignment="1">
      <alignment horizontal="right" vertical="center" wrapText="1"/>
    </xf>
    <xf numFmtId="14" fontId="0" fillId="49" borderId="0" xfId="0" applyNumberFormat="1" applyFont="1" applyFill="1" applyAlignment="1">
      <alignment horizontal="center" vertical="center" wrapText="1"/>
    </xf>
    <xf numFmtId="166" fontId="0" fillId="49" borderId="0" xfId="0" applyNumberFormat="1" applyFill="1" applyAlignment="1">
      <alignment horizontal="center" vertical="center" wrapText="1"/>
    </xf>
    <xf numFmtId="164" fontId="0" fillId="49" borderId="0" xfId="3" applyFont="1" applyFill="1" applyAlignment="1">
      <alignment horizontal="center" vertical="center" wrapText="1"/>
    </xf>
    <xf numFmtId="0" fontId="0" fillId="49" borderId="0" xfId="0" applyFill="1"/>
    <xf numFmtId="3" fontId="0" fillId="49" borderId="0" xfId="0" applyNumberFormat="1" applyFill="1" applyAlignment="1">
      <alignment horizontal="right" vertical="center" wrapText="1"/>
    </xf>
    <xf numFmtId="0" fontId="0" fillId="52" borderId="0" xfId="0" applyFill="1" applyAlignment="1">
      <alignment horizontal="center" vertical="center" wrapText="1"/>
    </xf>
    <xf numFmtId="14" fontId="0" fillId="52" borderId="0" xfId="0" applyNumberFormat="1" applyFill="1" applyAlignment="1">
      <alignment horizontal="center" vertical="center" wrapText="1"/>
    </xf>
    <xf numFmtId="165" fontId="0" fillId="52" borderId="0" xfId="0" applyNumberFormat="1" applyFill="1" applyAlignment="1">
      <alignment horizontal="right" vertical="center" wrapText="1"/>
    </xf>
    <xf numFmtId="14" fontId="0" fillId="52" borderId="0" xfId="0" applyNumberFormat="1" applyFont="1" applyFill="1" applyAlignment="1">
      <alignment horizontal="center" vertical="center" wrapText="1"/>
    </xf>
    <xf numFmtId="166" fontId="0" fillId="52" borderId="0" xfId="0" applyNumberFormat="1" applyFill="1" applyAlignment="1">
      <alignment horizontal="center" vertical="center" wrapText="1"/>
    </xf>
    <xf numFmtId="164" fontId="0" fillId="52" borderId="0" xfId="3" applyFont="1" applyFill="1" applyAlignment="1">
      <alignment horizontal="center" vertical="center" wrapText="1"/>
    </xf>
    <xf numFmtId="0" fontId="0" fillId="52" borderId="0" xfId="0" applyFill="1"/>
    <xf numFmtId="3" fontId="0" fillId="52" borderId="0" xfId="0" applyNumberFormat="1" applyFill="1" applyAlignment="1">
      <alignment horizontal="right" vertical="center" wrapText="1"/>
    </xf>
    <xf numFmtId="10" fontId="0" fillId="13" borderId="0" xfId="2" applyNumberFormat="1" applyFont="1" applyFill="1" applyAlignment="1">
      <alignment horizontal="center" vertical="center" wrapText="1"/>
    </xf>
    <xf numFmtId="10" fontId="0" fillId="51" borderId="0" xfId="2" applyNumberFormat="1" applyFont="1" applyFill="1" applyAlignment="1">
      <alignment horizontal="center" vertical="center" wrapText="1"/>
    </xf>
    <xf numFmtId="10" fontId="0" fillId="49" borderId="0" xfId="2" applyNumberFormat="1" applyFont="1" applyFill="1" applyAlignment="1">
      <alignment horizontal="center" vertical="center" wrapText="1"/>
    </xf>
    <xf numFmtId="10" fontId="0" fillId="52" borderId="0" xfId="2" applyNumberFormat="1" applyFont="1" applyFill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4" fontId="0" fillId="13" borderId="0" xfId="0" applyNumberFormat="1" applyFill="1" applyAlignment="1">
      <alignment horizontal="center" vertical="center" wrapText="1"/>
    </xf>
    <xf numFmtId="4" fontId="0" fillId="51" borderId="0" xfId="0" applyNumberFormat="1" applyFill="1" applyAlignment="1">
      <alignment horizontal="center" vertical="center" wrapText="1"/>
    </xf>
    <xf numFmtId="4" fontId="0" fillId="49" borderId="0" xfId="0" applyNumberFormat="1" applyFill="1" applyAlignment="1">
      <alignment horizontal="center" vertical="center" wrapText="1"/>
    </xf>
    <xf numFmtId="4" fontId="0" fillId="52" borderId="0" xfId="0" applyNumberFormat="1" applyFill="1" applyAlignment="1">
      <alignment horizontal="center" vertical="center" wrapText="1"/>
    </xf>
    <xf numFmtId="164" fontId="0" fillId="2" borderId="0" xfId="3" applyFont="1" applyFill="1" applyAlignment="1">
      <alignment vertical="center" wrapText="1"/>
    </xf>
    <xf numFmtId="165" fontId="55" fillId="2" borderId="6" xfId="0" applyNumberFormat="1" applyFont="1" applyFill="1" applyBorder="1" applyAlignment="1">
      <alignment horizontal="center" vertical="center"/>
    </xf>
    <xf numFmtId="165" fontId="55" fillId="11" borderId="6" xfId="0" applyNumberFormat="1" applyFont="1" applyFill="1" applyBorder="1" applyAlignment="1">
      <alignment horizontal="center" vertical="center"/>
    </xf>
    <xf numFmtId="165" fontId="55" fillId="53" borderId="6" xfId="0" applyNumberFormat="1" applyFont="1" applyFill="1" applyBorder="1" applyAlignment="1">
      <alignment horizontal="center" vertical="center"/>
    </xf>
    <xf numFmtId="165" fontId="55" fillId="54" borderId="6" xfId="0" applyNumberFormat="1" applyFont="1" applyFill="1" applyBorder="1" applyAlignment="1">
      <alignment horizontal="center" vertical="center"/>
    </xf>
    <xf numFmtId="165" fontId="55" fillId="12" borderId="6" xfId="0" applyNumberFormat="1" applyFont="1" applyFill="1" applyBorder="1" applyAlignment="1">
      <alignment horizontal="center" vertical="center"/>
    </xf>
    <xf numFmtId="165" fontId="0" fillId="2" borderId="0" xfId="0" applyNumberFormat="1" applyFill="1" applyAlignment="1">
      <alignment horizontal="right" vertical="center"/>
    </xf>
    <xf numFmtId="165" fontId="0" fillId="50" borderId="0" xfId="0" applyNumberFormat="1" applyFill="1" applyAlignment="1">
      <alignment horizontal="right" vertical="center"/>
    </xf>
    <xf numFmtId="165" fontId="55" fillId="50" borderId="6" xfId="0" applyNumberFormat="1" applyFont="1" applyFill="1" applyBorder="1" applyAlignment="1">
      <alignment horizontal="center" vertical="center"/>
    </xf>
    <xf numFmtId="165" fontId="0" fillId="9" borderId="0" xfId="0" applyNumberFormat="1" applyFill="1" applyAlignment="1">
      <alignment horizontal="right" vertical="center"/>
    </xf>
    <xf numFmtId="165" fontId="0" fillId="55" borderId="0" xfId="0" applyNumberFormat="1" applyFill="1" applyAlignment="1">
      <alignment horizontal="right" vertical="center"/>
    </xf>
    <xf numFmtId="165" fontId="55" fillId="55" borderId="6" xfId="0" applyNumberFormat="1" applyFont="1" applyFill="1" applyBorder="1" applyAlignment="1">
      <alignment horizontal="center" vertical="center"/>
    </xf>
    <xf numFmtId="165" fontId="0" fillId="14" borderId="0" xfId="0" applyNumberFormat="1" applyFill="1" applyAlignment="1">
      <alignment horizontal="right" vertical="center"/>
    </xf>
    <xf numFmtId="165" fontId="55" fillId="14" borderId="6" xfId="0" applyNumberFormat="1" applyFont="1" applyFill="1" applyBorder="1" applyAlignment="1">
      <alignment horizontal="center" vertical="center"/>
    </xf>
    <xf numFmtId="165" fontId="0" fillId="17" borderId="0" xfId="0" applyNumberFormat="1" applyFill="1" applyAlignment="1">
      <alignment horizontal="right" vertical="center"/>
    </xf>
    <xf numFmtId="165" fontId="55" fillId="17" borderId="6" xfId="0" applyNumberFormat="1" applyFont="1" applyFill="1" applyBorder="1" applyAlignment="1">
      <alignment horizontal="center" vertical="center"/>
    </xf>
    <xf numFmtId="177" fontId="57" fillId="0" borderId="34" xfId="4" applyNumberFormat="1" applyFont="1" applyFill="1" applyBorder="1" applyAlignment="1">
      <alignment vertical="center"/>
    </xf>
    <xf numFmtId="164" fontId="0" fillId="50" borderId="0" xfId="3" applyFont="1" applyFill="1" applyAlignment="1">
      <alignment horizontal="right" vertical="center" wrapText="1"/>
    </xf>
    <xf numFmtId="164" fontId="0" fillId="13" borderId="0" xfId="3" applyFont="1" applyFill="1" applyAlignment="1">
      <alignment horizontal="right" vertical="center" wrapText="1"/>
    </xf>
    <xf numFmtId="164" fontId="0" fillId="51" borderId="0" xfId="3" applyFont="1" applyFill="1" applyAlignment="1">
      <alignment horizontal="right" vertical="center" wrapText="1"/>
    </xf>
    <xf numFmtId="164" fontId="0" fillId="49" borderId="0" xfId="3" applyFont="1" applyFill="1" applyAlignment="1">
      <alignment horizontal="right" vertical="center" wrapText="1"/>
    </xf>
    <xf numFmtId="164" fontId="0" fillId="52" borderId="0" xfId="3" applyFont="1" applyFill="1" applyAlignment="1">
      <alignment horizontal="right" vertical="center" wrapText="1"/>
    </xf>
    <xf numFmtId="167" fontId="57" fillId="0" borderId="6" xfId="8" applyNumberFormat="1" applyFont="1" applyFill="1" applyBorder="1" applyAlignment="1">
      <alignment horizontal="center" vertical="center"/>
    </xf>
    <xf numFmtId="167" fontId="57" fillId="0" borderId="15" xfId="8" applyNumberFormat="1" applyFont="1" applyFill="1" applyBorder="1" applyAlignment="1">
      <alignment horizontal="center" vertical="center"/>
    </xf>
    <xf numFmtId="10" fontId="56" fillId="0" borderId="0" xfId="2" applyNumberFormat="1" applyFont="1"/>
    <xf numFmtId="10" fontId="56" fillId="0" borderId="0" xfId="2" applyNumberFormat="1" applyFont="1" applyAlignment="1">
      <alignment horizontal="center"/>
    </xf>
    <xf numFmtId="14" fontId="84" fillId="0" borderId="0" xfId="0" applyNumberFormat="1" applyFont="1" applyAlignment="1">
      <alignment horizontal="right" vertical="top" wrapText="1"/>
    </xf>
    <xf numFmtId="15" fontId="56" fillId="4" borderId="7" xfId="0" applyNumberFormat="1" applyFont="1" applyFill="1" applyBorder="1" applyAlignment="1">
      <alignment horizontal="center"/>
    </xf>
    <xf numFmtId="10" fontId="56" fillId="10" borderId="9" xfId="8" applyNumberFormat="1" applyFont="1" applyFill="1" applyBorder="1" applyAlignment="1">
      <alignment horizontal="center"/>
    </xf>
    <xf numFmtId="10" fontId="56" fillId="10" borderId="22" xfId="8" applyNumberFormat="1" applyFont="1" applyFill="1" applyBorder="1" applyAlignment="1">
      <alignment horizontal="center"/>
    </xf>
    <xf numFmtId="15" fontId="56" fillId="4" borderId="18" xfId="0" applyNumberFormat="1" applyFont="1" applyFill="1" applyBorder="1" applyAlignment="1">
      <alignment horizontal="center"/>
    </xf>
    <xf numFmtId="49" fontId="56" fillId="4" borderId="18" xfId="0" applyNumberFormat="1" applyFont="1" applyFill="1" applyBorder="1" applyAlignment="1">
      <alignment horizontal="center"/>
    </xf>
    <xf numFmtId="49" fontId="56" fillId="4" borderId="19" xfId="0" applyNumberFormat="1" applyFont="1" applyFill="1" applyBorder="1" applyAlignment="1">
      <alignment horizontal="center"/>
    </xf>
    <xf numFmtId="10" fontId="56" fillId="9" borderId="8" xfId="2" applyNumberFormat="1" applyFont="1" applyFill="1" applyBorder="1" applyAlignment="1">
      <alignment horizontal="center"/>
    </xf>
    <xf numFmtId="0" fontId="60" fillId="0" borderId="0" xfId="0" applyFont="1" applyFill="1"/>
    <xf numFmtId="0" fontId="56" fillId="0" borderId="0" xfId="0" applyFont="1" applyFill="1" applyAlignment="1">
      <alignment horizontal="center"/>
    </xf>
    <xf numFmtId="175" fontId="56" fillId="0" borderId="0" xfId="0" applyNumberFormat="1" applyFont="1" applyFill="1" applyAlignment="1">
      <alignment horizontal="center"/>
    </xf>
    <xf numFmtId="165" fontId="60" fillId="0" borderId="0" xfId="0" applyNumberFormat="1" applyFont="1" applyFill="1"/>
    <xf numFmtId="0" fontId="75" fillId="0" borderId="0" xfId="0" applyFont="1" applyFill="1"/>
    <xf numFmtId="4" fontId="56" fillId="0" borderId="0" xfId="0" applyNumberFormat="1" applyFont="1" applyFill="1" applyBorder="1" applyAlignment="1">
      <alignment horizontal="center"/>
    </xf>
    <xf numFmtId="0" fontId="57" fillId="0" borderId="0" xfId="4" applyFont="1" applyFill="1" applyAlignment="1">
      <alignment horizontal="center"/>
    </xf>
    <xf numFmtId="4" fontId="57" fillId="0" borderId="0" xfId="4" applyNumberFormat="1" applyFont="1" applyFill="1"/>
    <xf numFmtId="2" fontId="56" fillId="4" borderId="1" xfId="0" applyNumberFormat="1" applyFont="1" applyFill="1" applyBorder="1" applyAlignment="1">
      <alignment vertical="center" wrapText="1"/>
    </xf>
    <xf numFmtId="2" fontId="56" fillId="4" borderId="5" xfId="0" applyNumberFormat="1" applyFont="1" applyFill="1" applyBorder="1" applyAlignment="1">
      <alignment vertical="center" wrapText="1"/>
    </xf>
    <xf numFmtId="164" fontId="57" fillId="0" borderId="0" xfId="3" applyFont="1" applyFill="1"/>
    <xf numFmtId="170" fontId="57" fillId="0" borderId="0" xfId="2" applyNumberFormat="1" applyFont="1" applyFill="1"/>
    <xf numFmtId="0" fontId="0" fillId="0" borderId="0" xfId="0"/>
    <xf numFmtId="164" fontId="0" fillId="0" borderId="0" xfId="3" applyFont="1" applyAlignment="1">
      <alignment vertical="center" wrapText="1"/>
    </xf>
    <xf numFmtId="164" fontId="0" fillId="0" borderId="0" xfId="3" applyFont="1" applyAlignment="1">
      <alignment horizontal="center"/>
    </xf>
    <xf numFmtId="168" fontId="0" fillId="0" borderId="0" xfId="2" applyNumberFormat="1" applyFont="1" applyAlignment="1">
      <alignment horizontal="center" vertical="center" wrapText="1"/>
    </xf>
    <xf numFmtId="0" fontId="114" fillId="2" borderId="0" xfId="3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right" vertical="center" wrapText="1"/>
    </xf>
    <xf numFmtId="184" fontId="0" fillId="13" borderId="0" xfId="0" applyNumberFormat="1" applyFill="1" applyAlignment="1">
      <alignment horizontal="right" vertical="center" wrapText="1"/>
    </xf>
    <xf numFmtId="14" fontId="57" fillId="0" borderId="51" xfId="4" applyNumberFormat="1" applyFont="1" applyFill="1" applyBorder="1" applyAlignment="1">
      <alignment horizontal="center" wrapText="1"/>
    </xf>
    <xf numFmtId="165" fontId="57" fillId="0" borderId="51" xfId="4" applyNumberFormat="1" applyFont="1" applyFill="1" applyBorder="1" applyAlignment="1">
      <alignment horizontal="right"/>
    </xf>
    <xf numFmtId="3" fontId="57" fillId="0" borderId="51" xfId="4" applyNumberFormat="1" applyFont="1" applyFill="1" applyBorder="1" applyAlignment="1">
      <alignment horizontal="right" vertical="center"/>
    </xf>
    <xf numFmtId="14" fontId="78" fillId="0" borderId="52" xfId="24" applyNumberFormat="1" applyFont="1" applyFill="1" applyBorder="1" applyAlignment="1">
      <alignment horizontal="center"/>
    </xf>
    <xf numFmtId="165" fontId="78" fillId="0" borderId="53" xfId="24" applyNumberFormat="1" applyFont="1" applyFill="1" applyBorder="1" applyAlignment="1">
      <alignment horizontal="right"/>
    </xf>
    <xf numFmtId="10" fontId="59" fillId="5" borderId="6" xfId="7" applyNumberFormat="1" applyFont="1" applyFill="1" applyBorder="1" applyAlignment="1">
      <alignment horizontal="right" vertical="center" wrapText="1"/>
    </xf>
    <xf numFmtId="4" fontId="56" fillId="0" borderId="9" xfId="0" applyNumberFormat="1" applyFont="1" applyBorder="1"/>
    <xf numFmtId="164" fontId="0" fillId="0" borderId="0" xfId="3" applyFont="1" applyAlignment="1">
      <alignment horizontal="left" vertical="center"/>
    </xf>
    <xf numFmtId="164" fontId="0" fillId="0" borderId="0" xfId="3" applyFont="1" applyFill="1" applyAlignment="1">
      <alignment vertical="center" wrapText="1"/>
    </xf>
    <xf numFmtId="164" fontId="0" fillId="51" borderId="0" xfId="0" applyNumberFormat="1" applyFill="1" applyAlignment="1">
      <alignment horizontal="right" vertical="center" wrapText="1"/>
    </xf>
    <xf numFmtId="165" fontId="57" fillId="49" borderId="54" xfId="4" applyNumberFormat="1" applyFont="1" applyFill="1" applyBorder="1" applyAlignment="1">
      <alignment horizontal="right"/>
    </xf>
    <xf numFmtId="4" fontId="57" fillId="49" borderId="6" xfId="4" applyNumberFormat="1" applyFont="1" applyFill="1" applyBorder="1" applyAlignment="1">
      <alignment horizontal="right"/>
    </xf>
    <xf numFmtId="185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165" fontId="57" fillId="0" borderId="0" xfId="0" applyNumberFormat="1" applyFont="1" applyFill="1"/>
    <xf numFmtId="3" fontId="0" fillId="49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165" fontId="0" fillId="7" borderId="0" xfId="0" applyNumberFormat="1" applyFill="1" applyAlignment="1">
      <alignment horizontal="right" vertical="center"/>
    </xf>
    <xf numFmtId="166" fontId="0" fillId="0" borderId="0" xfId="2" applyNumberFormat="1" applyFont="1" applyAlignment="1">
      <alignment horizontal="right" vertical="center"/>
    </xf>
    <xf numFmtId="165" fontId="0" fillId="49" borderId="0" xfId="0" applyNumberFormat="1" applyFont="1" applyFill="1" applyAlignment="1">
      <alignment horizontal="right" vertical="center"/>
    </xf>
    <xf numFmtId="4" fontId="0" fillId="49" borderId="0" xfId="0" applyNumberFormat="1" applyFont="1" applyFill="1" applyAlignment="1">
      <alignment horizontal="right" vertical="center"/>
    </xf>
    <xf numFmtId="165" fontId="57" fillId="0" borderId="0" xfId="0" applyNumberFormat="1" applyFont="1" applyFill="1" applyBorder="1"/>
    <xf numFmtId="0" fontId="50" fillId="0" borderId="0" xfId="0" applyFont="1"/>
    <xf numFmtId="0" fontId="22" fillId="0" borderId="0" xfId="4330" applyFill="1"/>
    <xf numFmtId="0" fontId="0" fillId="3" borderId="0" xfId="0" applyFill="1" applyAlignment="1">
      <alignment horizontal="center" vertical="center" wrapText="1"/>
    </xf>
    <xf numFmtId="165" fontId="0" fillId="3" borderId="0" xfId="0" applyNumberFormat="1" applyFill="1" applyAlignment="1">
      <alignment horizontal="right" vertical="center" wrapText="1"/>
    </xf>
    <xf numFmtId="10" fontId="0" fillId="3" borderId="0" xfId="2" applyNumberFormat="1" applyFont="1" applyFill="1" applyAlignment="1">
      <alignment horizontal="center" vertical="center" wrapText="1"/>
    </xf>
    <xf numFmtId="166" fontId="0" fillId="3" borderId="0" xfId="0" applyNumberFormat="1" applyFill="1" applyAlignment="1">
      <alignment horizontal="center" vertical="center" wrapText="1"/>
    </xf>
    <xf numFmtId="4" fontId="0" fillId="3" borderId="0" xfId="0" applyNumberFormat="1" applyFill="1" applyAlignment="1">
      <alignment horizontal="center" vertical="center" wrapText="1"/>
    </xf>
    <xf numFmtId="0" fontId="0" fillId="3" borderId="0" xfId="0" applyFill="1"/>
    <xf numFmtId="3" fontId="0" fillId="3" borderId="0" xfId="0" applyNumberFormat="1" applyFill="1" applyAlignment="1">
      <alignment horizontal="right" vertical="center" wrapText="1"/>
    </xf>
    <xf numFmtId="164" fontId="0" fillId="3" borderId="0" xfId="3" applyFont="1" applyFill="1" applyAlignment="1">
      <alignment vertical="center" wrapText="1"/>
    </xf>
    <xf numFmtId="4" fontId="57" fillId="0" borderId="51" xfId="4" applyNumberFormat="1" applyFont="1" applyFill="1" applyBorder="1" applyAlignment="1">
      <alignment horizontal="right"/>
    </xf>
    <xf numFmtId="181" fontId="0" fillId="0" borderId="0" xfId="0" applyNumberFormat="1"/>
    <xf numFmtId="165" fontId="0" fillId="0" borderId="0" xfId="0" applyNumberFormat="1" applyFont="1" applyFill="1" applyBorder="1" applyAlignment="1">
      <alignment vertical="center" wrapText="1"/>
    </xf>
    <xf numFmtId="165" fontId="0" fillId="0" borderId="0" xfId="0" applyNumberFormat="1" applyFill="1" applyBorder="1" applyAlignment="1">
      <alignment vertical="center" wrapText="1"/>
    </xf>
    <xf numFmtId="164" fontId="56" fillId="0" borderId="0" xfId="3" applyFont="1" applyBorder="1"/>
    <xf numFmtId="0" fontId="152" fillId="0" borderId="0" xfId="4365">
      <alignment horizontal="right"/>
    </xf>
    <xf numFmtId="14" fontId="84" fillId="0" borderId="0" xfId="0" applyNumberFormat="1" applyFont="1"/>
    <xf numFmtId="0" fontId="125" fillId="0" borderId="57" xfId="0" applyFont="1" applyBorder="1" applyAlignment="1">
      <alignment horizontal="center" vertical="top" wrapText="1"/>
    </xf>
    <xf numFmtId="0" fontId="149" fillId="57" borderId="0" xfId="27" applyFont="1" applyFill="1" applyAlignment="1">
      <alignment horizontal="right" vertical="center" wrapText="1"/>
    </xf>
    <xf numFmtId="0" fontId="149" fillId="57" borderId="0" xfId="27" applyFont="1" applyFill="1" applyAlignment="1">
      <alignment horizontal="left" vertical="center" wrapText="1"/>
    </xf>
    <xf numFmtId="3" fontId="0" fillId="2" borderId="0" xfId="0" applyNumberFormat="1" applyFill="1" applyAlignment="1">
      <alignment horizontal="right" vertical="center" wrapText="1"/>
    </xf>
    <xf numFmtId="164" fontId="0" fillId="3" borderId="0" xfId="3" applyFont="1" applyFill="1" applyAlignment="1">
      <alignment horizontal="center" vertical="center" wrapText="1"/>
    </xf>
    <xf numFmtId="0" fontId="123" fillId="0" borderId="0" xfId="4272"/>
    <xf numFmtId="0" fontId="151" fillId="0" borderId="0" xfId="4272" applyFont="1"/>
    <xf numFmtId="14" fontId="151" fillId="0" borderId="0" xfId="4272" applyNumberFormat="1" applyFont="1"/>
    <xf numFmtId="0" fontId="154" fillId="0" borderId="0" xfId="4272" applyFont="1"/>
    <xf numFmtId="14" fontId="154" fillId="0" borderId="0" xfId="4272" applyNumberFormat="1" applyFont="1"/>
    <xf numFmtId="0" fontId="125" fillId="0" borderId="34" xfId="4403" applyNumberFormat="1" applyFont="1" applyFill="1" applyBorder="1" applyAlignment="1">
      <alignment horizontal="center" vertical="center" wrapText="1"/>
    </xf>
    <xf numFmtId="0" fontId="125" fillId="0" borderId="55" xfId="4403" applyNumberFormat="1" applyFont="1" applyFill="1" applyBorder="1" applyAlignment="1">
      <alignment horizontal="center" vertical="center" wrapText="1"/>
    </xf>
    <xf numFmtId="14" fontId="0" fillId="60" borderId="0" xfId="0" applyNumberFormat="1" applyFill="1" applyAlignment="1">
      <alignment horizontal="center" vertical="center" wrapText="1"/>
    </xf>
    <xf numFmtId="14" fontId="0" fillId="60" borderId="0" xfId="0" applyNumberFormat="1" applyFont="1" applyFill="1" applyAlignment="1">
      <alignment horizontal="center" vertical="center" wrapText="1"/>
    </xf>
    <xf numFmtId="0" fontId="0" fillId="0" borderId="55" xfId="0" applyBorder="1"/>
    <xf numFmtId="14" fontId="0" fillId="0" borderId="55" xfId="0" applyNumberFormat="1" applyBorder="1"/>
    <xf numFmtId="0" fontId="0" fillId="0" borderId="0" xfId="0" applyFill="1" applyAlignment="1">
      <alignment horizontal="center" vertical="center"/>
    </xf>
    <xf numFmtId="168" fontId="0" fillId="0" borderId="0" xfId="2" applyNumberFormat="1" applyFon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10" fontId="84" fillId="0" borderId="0" xfId="2" applyNumberFormat="1" applyFont="1" applyFill="1"/>
    <xf numFmtId="10" fontId="0" fillId="0" borderId="0" xfId="0" applyNumberFormat="1" applyFill="1" applyAlignment="1">
      <alignment horizontal="center" vertical="center" wrapText="1"/>
    </xf>
    <xf numFmtId="9" fontId="0" fillId="0" borderId="0" xfId="0" applyNumberForma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4" fontId="57" fillId="0" borderId="0" xfId="0" applyNumberFormat="1" applyFont="1" applyFill="1"/>
    <xf numFmtId="10" fontId="57" fillId="0" borderId="0" xfId="0" applyNumberFormat="1" applyFont="1" applyFill="1"/>
    <xf numFmtId="2" fontId="57" fillId="0" borderId="0" xfId="0" applyNumberFormat="1" applyFont="1" applyFill="1"/>
    <xf numFmtId="49" fontId="57" fillId="0" borderId="0" xfId="0" applyNumberFormat="1" applyFont="1" applyFill="1"/>
    <xf numFmtId="4" fontId="57" fillId="0" borderId="0" xfId="0" applyNumberFormat="1" applyFont="1" applyFill="1" applyBorder="1"/>
    <xf numFmtId="165" fontId="57" fillId="0" borderId="0" xfId="0" applyNumberFormat="1" applyFont="1"/>
    <xf numFmtId="4" fontId="0" fillId="0" borderId="0" xfId="0" applyNumberFormat="1" applyAlignment="1">
      <alignment horizontal="right" vertical="center" wrapText="1"/>
    </xf>
    <xf numFmtId="14" fontId="0" fillId="0" borderId="0" xfId="0" applyNumberFormat="1" applyFill="1"/>
    <xf numFmtId="0" fontId="0" fillId="0" borderId="0" xfId="0" applyFill="1"/>
    <xf numFmtId="164" fontId="0" fillId="0" borderId="0" xfId="3" applyFont="1" applyFill="1"/>
    <xf numFmtId="4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right"/>
    </xf>
    <xf numFmtId="43" fontId="85" fillId="0" borderId="45" xfId="695" applyFont="1" applyFill="1" applyBorder="1" applyAlignment="1">
      <alignment horizontal="center"/>
    </xf>
    <xf numFmtId="14" fontId="0" fillId="0" borderId="0" xfId="3" applyNumberFormat="1" applyFont="1" applyFill="1"/>
    <xf numFmtId="172" fontId="0" fillId="0" borderId="0" xfId="0" applyNumberFormat="1" applyFill="1"/>
    <xf numFmtId="14" fontId="22" fillId="0" borderId="0" xfId="4330" applyNumberFormat="1" applyFill="1"/>
    <xf numFmtId="164" fontId="0" fillId="0" borderId="0" xfId="3" applyFont="1" applyFill="1" applyAlignment="1">
      <alignment horizontal="right" vertical="center"/>
    </xf>
    <xf numFmtId="0" fontId="0" fillId="0" borderId="0" xfId="2" applyNumberFormat="1" applyFont="1" applyAlignment="1">
      <alignment horizontal="center" vertical="center"/>
    </xf>
    <xf numFmtId="164" fontId="64" fillId="14" borderId="6" xfId="3" applyFont="1" applyFill="1" applyBorder="1" applyAlignment="1">
      <alignment horizontal="center" vertical="center" wrapText="1"/>
    </xf>
    <xf numFmtId="164" fontId="0" fillId="0" borderId="0" xfId="3" applyFont="1" applyFill="1" applyAlignment="1">
      <alignment horizontal="right"/>
    </xf>
    <xf numFmtId="164" fontId="0" fillId="51" borderId="0" xfId="3" applyFont="1" applyFill="1" applyAlignment="1">
      <alignment vertical="center" wrapText="1"/>
    </xf>
    <xf numFmtId="165" fontId="156" fillId="3" borderId="0" xfId="0" applyNumberFormat="1" applyFont="1" applyFill="1" applyAlignment="1">
      <alignment horizontal="right" vertical="center" wrapText="1"/>
    </xf>
    <xf numFmtId="166" fontId="0" fillId="0" borderId="0" xfId="0" applyNumberFormat="1" applyAlignment="1">
      <alignment horizontal="right" vertical="center"/>
    </xf>
    <xf numFmtId="164" fontId="80" fillId="0" borderId="25" xfId="3" applyFont="1" applyBorder="1"/>
    <xf numFmtId="0" fontId="73" fillId="0" borderId="0" xfId="11" applyAlignment="1">
      <alignment horizontal="center"/>
    </xf>
    <xf numFmtId="0" fontId="80" fillId="0" borderId="25" xfId="11" applyFont="1" applyBorder="1" applyAlignment="1">
      <alignment horizontal="center"/>
    </xf>
    <xf numFmtId="4" fontId="0" fillId="0" borderId="0" xfId="0" applyNumberFormat="1" applyAlignment="1">
      <alignment horizontal="right" vertical="center"/>
    </xf>
    <xf numFmtId="164" fontId="0" fillId="0" borderId="55" xfId="0" applyNumberFormat="1" applyBorder="1"/>
    <xf numFmtId="0" fontId="0" fillId="0" borderId="55" xfId="0" applyBorder="1" applyAlignment="1">
      <alignment wrapText="1"/>
    </xf>
    <xf numFmtId="3" fontId="0" fillId="0" borderId="0" xfId="0" applyNumberFormat="1" applyFill="1" applyAlignment="1">
      <alignment horizontal="center"/>
    </xf>
    <xf numFmtId="0" fontId="123" fillId="0" borderId="0" xfId="0" applyFont="1" applyFill="1" applyAlignment="1">
      <alignment horizontal="center"/>
    </xf>
    <xf numFmtId="164" fontId="0" fillId="0" borderId="0" xfId="3" applyFont="1" applyFill="1" applyAlignment="1">
      <alignment horizontal="center" vertical="center"/>
    </xf>
    <xf numFmtId="164" fontId="55" fillId="14" borderId="6" xfId="3" applyFont="1" applyFill="1" applyBorder="1" applyAlignment="1">
      <alignment horizontal="center" vertical="center"/>
    </xf>
    <xf numFmtId="164" fontId="0" fillId="0" borderId="0" xfId="3" applyFont="1" applyFill="1" applyAlignment="1">
      <alignment horizontal="center"/>
    </xf>
    <xf numFmtId="164" fontId="3" fillId="0" borderId="0" xfId="3" applyFont="1" applyAlignment="1">
      <alignment horizontal="center"/>
    </xf>
    <xf numFmtId="164" fontId="157" fillId="0" borderId="0" xfId="3" applyFont="1" applyAlignment="1">
      <alignment horizontal="center"/>
    </xf>
    <xf numFmtId="164" fontId="158" fillId="0" borderId="0" xfId="3" applyFont="1" applyAlignment="1">
      <alignment horizontal="center"/>
    </xf>
    <xf numFmtId="0" fontId="0" fillId="0" borderId="0" xfId="3" applyNumberFormat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3" fontId="55" fillId="14" borderId="55" xfId="0" applyNumberFormat="1" applyFont="1" applyFill="1" applyBorder="1" applyAlignment="1">
      <alignment horizontal="center" vertical="center"/>
    </xf>
    <xf numFmtId="0" fontId="22" fillId="0" borderId="0" xfId="4330" applyFill="1" applyAlignment="1">
      <alignment horizontal="center"/>
    </xf>
    <xf numFmtId="49" fontId="150" fillId="0" borderId="0" xfId="0" applyNumberFormat="1" applyFont="1" applyFill="1" applyBorder="1" applyAlignment="1">
      <alignment horizontal="center" vertical="center"/>
    </xf>
    <xf numFmtId="43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117" fillId="0" borderId="0" xfId="0" applyFont="1" applyFill="1" applyAlignment="1">
      <alignment horizontal="center"/>
    </xf>
    <xf numFmtId="3" fontId="0" fillId="0" borderId="0" xfId="0" applyNumberFormat="1" applyFill="1" applyAlignment="1">
      <alignment vertical="center"/>
    </xf>
    <xf numFmtId="164" fontId="0" fillId="0" borderId="0" xfId="3" applyFont="1" applyFill="1" applyAlignment="1"/>
    <xf numFmtId="0" fontId="0" fillId="0" borderId="0" xfId="0" applyFill="1" applyAlignment="1"/>
    <xf numFmtId="3" fontId="55" fillId="14" borderId="55" xfId="0" applyNumberFormat="1" applyFont="1" applyFill="1" applyBorder="1" applyAlignment="1">
      <alignment vertical="center"/>
    </xf>
    <xf numFmtId="164" fontId="55" fillId="14" borderId="6" xfId="3" applyFont="1" applyFill="1" applyBorder="1" applyAlignment="1">
      <alignment vertical="center"/>
    </xf>
    <xf numFmtId="164" fontId="55" fillId="14" borderId="55" xfId="3" applyFont="1" applyFill="1" applyBorder="1" applyAlignment="1">
      <alignment vertical="center"/>
    </xf>
    <xf numFmtId="3" fontId="55" fillId="14" borderId="6" xfId="0" applyNumberFormat="1" applyFont="1" applyFill="1" applyBorder="1" applyAlignment="1">
      <alignment vertical="center"/>
    </xf>
    <xf numFmtId="166" fontId="0" fillId="0" borderId="6" xfId="0" applyNumberFormat="1" applyFill="1" applyBorder="1" applyAlignment="1">
      <alignment vertical="center" wrapText="1"/>
    </xf>
    <xf numFmtId="168" fontId="0" fillId="0" borderId="6" xfId="2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181" fontId="0" fillId="0" borderId="0" xfId="0" applyNumberFormat="1" applyFill="1" applyAlignment="1"/>
    <xf numFmtId="0" fontId="0" fillId="0" borderId="0" xfId="0" applyAlignment="1"/>
    <xf numFmtId="164" fontId="0" fillId="0" borderId="0" xfId="3" applyFont="1" applyAlignment="1"/>
    <xf numFmtId="10" fontId="0" fillId="0" borderId="0" xfId="0" applyNumberFormat="1" applyFill="1" applyAlignment="1"/>
    <xf numFmtId="14" fontId="0" fillId="0" borderId="0" xfId="0" applyNumberFormat="1" applyFill="1" applyAlignment="1"/>
    <xf numFmtId="3" fontId="0" fillId="0" borderId="0" xfId="0" applyNumberFormat="1" applyAlignment="1"/>
    <xf numFmtId="164" fontId="0" fillId="0" borderId="0" xfId="3" applyFont="1" applyFill="1" applyBorder="1" applyAlignment="1"/>
    <xf numFmtId="164" fontId="3" fillId="0" borderId="0" xfId="3" applyFont="1" applyAlignment="1"/>
    <xf numFmtId="164" fontId="65" fillId="0" borderId="0" xfId="3" applyFont="1" applyFill="1" applyAlignment="1"/>
    <xf numFmtId="164" fontId="3" fillId="0" borderId="0" xfId="3" applyFont="1" applyFill="1" applyAlignment="1"/>
    <xf numFmtId="187" fontId="0" fillId="0" borderId="0" xfId="0" applyNumberFormat="1" applyFill="1" applyAlignment="1"/>
    <xf numFmtId="43" fontId="0" fillId="0" borderId="0" xfId="0" applyNumberFormat="1" applyFill="1" applyAlignment="1"/>
    <xf numFmtId="186" fontId="0" fillId="0" borderId="0" xfId="0" applyNumberFormat="1" applyFill="1" applyAlignment="1"/>
    <xf numFmtId="0" fontId="117" fillId="0" borderId="0" xfId="0" applyFont="1" applyFill="1" applyAlignment="1"/>
    <xf numFmtId="0" fontId="123" fillId="0" borderId="0" xfId="0" applyFont="1" applyFill="1" applyAlignment="1"/>
    <xf numFmtId="164" fontId="123" fillId="0" borderId="0" xfId="3" applyFont="1" applyFill="1" applyAlignment="1"/>
    <xf numFmtId="17" fontId="0" fillId="0" borderId="0" xfId="0" applyNumberFormat="1" applyFill="1" applyAlignment="1"/>
    <xf numFmtId="3" fontId="0" fillId="0" borderId="0" xfId="0" applyNumberFormat="1" applyAlignment="1">
      <alignment vertical="center"/>
    </xf>
    <xf numFmtId="2" fontId="0" fillId="0" borderId="0" xfId="0" applyNumberFormat="1" applyAlignment="1"/>
    <xf numFmtId="0" fontId="0" fillId="62" borderId="0" xfId="0" applyFill="1" applyAlignment="1"/>
    <xf numFmtId="0" fontId="0" fillId="0" borderId="0" xfId="3" applyNumberFormat="1" applyFont="1" applyFill="1" applyAlignment="1"/>
    <xf numFmtId="10" fontId="0" fillId="0" borderId="0" xfId="2" applyNumberFormat="1" applyFont="1" applyFill="1" applyAlignment="1">
      <alignment horizontal="center"/>
    </xf>
    <xf numFmtId="0" fontId="124" fillId="0" borderId="56" xfId="0" applyFont="1" applyFill="1" applyBorder="1" applyAlignment="1">
      <alignment horizontal="center" vertical="top" wrapText="1"/>
    </xf>
    <xf numFmtId="166" fontId="0" fillId="0" borderId="0" xfId="0" applyNumberFormat="1" applyFill="1" applyAlignment="1">
      <alignment horizontal="center" vertical="center"/>
    </xf>
    <xf numFmtId="18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 vertical="center"/>
    </xf>
    <xf numFmtId="0" fontId="0" fillId="0" borderId="0" xfId="488" applyNumberFormat="1" applyFont="1" applyFill="1" applyAlignment="1">
      <alignment horizontal="center"/>
    </xf>
    <xf numFmtId="0" fontId="84" fillId="0" borderId="0" xfId="0" applyFont="1" applyFill="1" applyAlignment="1">
      <alignment horizontal="center"/>
    </xf>
    <xf numFmtId="164" fontId="0" fillId="0" borderId="0" xfId="3" applyFont="1" applyFill="1" applyAlignment="1">
      <alignment horizontal="right" vertical="center" wrapText="1"/>
    </xf>
    <xf numFmtId="169" fontId="0" fillId="0" borderId="0" xfId="0" applyNumberFormat="1"/>
    <xf numFmtId="176" fontId="0" fillId="0" borderId="0" xfId="0" applyNumberFormat="1"/>
    <xf numFmtId="4" fontId="0" fillId="0" borderId="0" xfId="0" applyNumberFormat="1"/>
    <xf numFmtId="164" fontId="0" fillId="0" borderId="0" xfId="0" applyNumberFormat="1"/>
    <xf numFmtId="2" fontId="0" fillId="0" borderId="0" xfId="0" applyNumberFormat="1"/>
    <xf numFmtId="3" fontId="0" fillId="0" borderId="0" xfId="0" applyNumberFormat="1"/>
    <xf numFmtId="170" fontId="0" fillId="0" borderId="0" xfId="0" applyNumberFormat="1"/>
    <xf numFmtId="167" fontId="0" fillId="0" borderId="0" xfId="0" applyNumberFormat="1"/>
    <xf numFmtId="15" fontId="0" fillId="0" borderId="0" xfId="0" applyNumberFormat="1"/>
    <xf numFmtId="49" fontId="0" fillId="0" borderId="0" xfId="0" applyNumberFormat="1"/>
    <xf numFmtId="165" fontId="0" fillId="49" borderId="0" xfId="0" applyNumberFormat="1" applyFill="1" applyAlignment="1">
      <alignment horizontal="right" vertical="center"/>
    </xf>
    <xf numFmtId="165" fontId="0" fillId="63" borderId="0" xfId="0" applyNumberFormat="1" applyFont="1" applyFill="1" applyAlignment="1">
      <alignment horizontal="right" vertical="center"/>
    </xf>
    <xf numFmtId="165" fontId="0" fillId="63" borderId="0" xfId="0" applyNumberFormat="1" applyFill="1" applyAlignment="1">
      <alignment horizontal="right" vertical="center"/>
    </xf>
    <xf numFmtId="43" fontId="0" fillId="0" borderId="0" xfId="488" applyFont="1" applyFill="1"/>
    <xf numFmtId="43" fontId="0" fillId="0" borderId="0" xfId="488" applyFont="1" applyFill="1" applyAlignment="1"/>
    <xf numFmtId="0" fontId="157" fillId="0" borderId="0" xfId="11" applyFont="1"/>
    <xf numFmtId="189" fontId="0" fillId="0" borderId="0" xfId="0" applyNumberFormat="1"/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14" fontId="0" fillId="3" borderId="0" xfId="0" applyNumberFormat="1" applyFill="1"/>
    <xf numFmtId="165" fontId="57" fillId="49" borderId="6" xfId="4" applyNumberFormat="1" applyFont="1" applyFill="1" applyBorder="1" applyAlignment="1">
      <alignment horizontal="right"/>
    </xf>
    <xf numFmtId="180" fontId="0" fillId="0" borderId="0" xfId="3" applyNumberFormat="1" applyFont="1" applyFill="1" applyAlignment="1">
      <alignment horizontal="right"/>
    </xf>
    <xf numFmtId="180" fontId="55" fillId="14" borderId="6" xfId="3" applyNumberFormat="1" applyFont="1" applyFill="1" applyBorder="1" applyAlignment="1">
      <alignment horizontal="right" vertical="center"/>
    </xf>
    <xf numFmtId="180" fontId="0" fillId="0" borderId="0" xfId="0" applyNumberFormat="1" applyFill="1" applyAlignment="1">
      <alignment horizontal="right"/>
    </xf>
    <xf numFmtId="180" fontId="0" fillId="0" borderId="0" xfId="0" applyNumberFormat="1" applyAlignment="1">
      <alignment horizontal="right"/>
    </xf>
    <xf numFmtId="180" fontId="73" fillId="0" borderId="0" xfId="11" applyNumberFormat="1" applyAlignment="1">
      <alignment horizontal="right"/>
    </xf>
    <xf numFmtId="14" fontId="156" fillId="0" borderId="0" xfId="0" applyNumberFormat="1" applyFont="1" applyAlignment="1">
      <alignment horizontal="center" vertical="center" wrapText="1"/>
    </xf>
    <xf numFmtId="190" fontId="85" fillId="0" borderId="55" xfId="0" applyNumberFormat="1" applyFont="1" applyBorder="1"/>
    <xf numFmtId="190" fontId="85" fillId="0" borderId="0" xfId="0" applyNumberFormat="1" applyFont="1"/>
    <xf numFmtId="0" fontId="73" fillId="0" borderId="0" xfId="11" applyAlignment="1">
      <alignment horizontal="center" vertical="center"/>
    </xf>
    <xf numFmtId="0" fontId="157" fillId="0" borderId="0" xfId="0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0" fontId="157" fillId="0" borderId="0" xfId="11" applyFont="1" applyAlignment="1">
      <alignment vertical="center"/>
    </xf>
    <xf numFmtId="0" fontId="0" fillId="0" borderId="0" xfId="3" applyNumberFormat="1" applyFont="1" applyFill="1" applyAlignment="1">
      <alignment horizontal="right"/>
    </xf>
    <xf numFmtId="43" fontId="0" fillId="0" borderId="0" xfId="3" applyNumberFormat="1" applyFont="1" applyFill="1" applyAlignment="1">
      <alignment horizontal="right"/>
    </xf>
    <xf numFmtId="190" fontId="85" fillId="0" borderId="55" xfId="4485" applyNumberFormat="1" applyFont="1" applyFill="1" applyBorder="1" applyAlignment="1"/>
    <xf numFmtId="190" fontId="85" fillId="0" borderId="0" xfId="4485" applyNumberFormat="1" applyFont="1" applyFill="1" applyBorder="1" applyAlignment="1"/>
    <xf numFmtId="190" fontId="85" fillId="0" borderId="55" xfId="4550" applyNumberFormat="1" applyFont="1" applyFill="1" applyBorder="1" applyAlignment="1"/>
    <xf numFmtId="190" fontId="85" fillId="0" borderId="0" xfId="4550" applyNumberFormat="1" applyFont="1" applyFill="1" applyBorder="1" applyAlignment="1"/>
    <xf numFmtId="164" fontId="157" fillId="0" borderId="0" xfId="3" applyFont="1"/>
    <xf numFmtId="49" fontId="0" fillId="0" borderId="59" xfId="3" applyNumberFormat="1" applyFont="1" applyBorder="1" applyAlignment="1">
      <alignment horizontal="center" vertical="center"/>
    </xf>
    <xf numFmtId="164" fontId="0" fillId="0" borderId="59" xfId="3" applyFont="1" applyFill="1" applyBorder="1" applyAlignment="1">
      <alignment vertical="center"/>
    </xf>
    <xf numFmtId="164" fontId="0" fillId="0" borderId="59" xfId="3" applyFont="1" applyBorder="1" applyAlignment="1">
      <alignment vertical="center" wrapText="1"/>
    </xf>
    <xf numFmtId="164" fontId="0" fillId="0" borderId="59" xfId="3" applyFont="1" applyBorder="1" applyAlignment="1">
      <alignment vertical="center"/>
    </xf>
    <xf numFmtId="14" fontId="0" fillId="0" borderId="59" xfId="0" applyNumberFormat="1" applyBorder="1"/>
    <xf numFmtId="164" fontId="0" fillId="0" borderId="59" xfId="3" applyFont="1" applyBorder="1"/>
    <xf numFmtId="0" fontId="122" fillId="56" borderId="58" xfId="0" applyFont="1" applyFill="1" applyBorder="1" applyAlignment="1">
      <alignment horizontal="center" vertical="center" wrapText="1"/>
    </xf>
    <xf numFmtId="164" fontId="0" fillId="0" borderId="0" xfId="3" applyFont="1" applyAlignment="1">
      <alignment horizontal="center" vertical="center"/>
    </xf>
    <xf numFmtId="0" fontId="90" fillId="64" borderId="0" xfId="56" applyFill="1" applyAlignment="1">
      <alignment horizontal="left" vertical="center" indent="1"/>
    </xf>
    <xf numFmtId="0" fontId="0" fillId="62" borderId="0" xfId="0" applyFill="1"/>
    <xf numFmtId="190" fontId="85" fillId="0" borderId="55" xfId="4552" applyNumberFormat="1" applyFont="1" applyFill="1" applyBorder="1" applyAlignment="1"/>
    <xf numFmtId="0" fontId="85" fillId="0" borderId="50" xfId="4552" applyNumberFormat="1" applyFont="1" applyFill="1" applyBorder="1" applyAlignment="1"/>
    <xf numFmtId="0" fontId="85" fillId="0" borderId="55" xfId="4552" applyNumberFormat="1" applyFont="1" applyFill="1" applyBorder="1" applyAlignment="1"/>
    <xf numFmtId="187" fontId="85" fillId="0" borderId="55" xfId="4552" applyNumberFormat="1" applyFont="1" applyFill="1" applyBorder="1" applyAlignment="1"/>
    <xf numFmtId="190" fontId="85" fillId="0" borderId="0" xfId="4552" applyNumberFormat="1" applyFont="1" applyFill="1" applyBorder="1" applyAlignment="1"/>
    <xf numFmtId="4" fontId="85" fillId="0" borderId="0" xfId="4552" applyNumberFormat="1" applyFont="1" applyFill="1" applyBorder="1" applyAlignment="1"/>
    <xf numFmtId="166" fontId="85" fillId="0" borderId="0" xfId="4552" applyNumberFormat="1" applyFont="1" applyFill="1" applyBorder="1" applyAlignment="1"/>
    <xf numFmtId="191" fontId="85" fillId="0" borderId="0" xfId="4552" applyNumberFormat="1" applyFont="1" applyFill="1" applyBorder="1" applyAlignment="1"/>
    <xf numFmtId="3" fontId="85" fillId="0" borderId="0" xfId="4552" applyNumberFormat="1" applyFont="1" applyFill="1" applyBorder="1" applyAlignment="1"/>
    <xf numFmtId="0" fontId="159" fillId="64" borderId="0" xfId="0" applyFont="1" applyFill="1" applyAlignment="1">
      <alignment horizontal="left" vertical="center" indent="1"/>
    </xf>
    <xf numFmtId="4" fontId="159" fillId="64" borderId="0" xfId="0" applyNumberFormat="1" applyFont="1" applyFill="1" applyAlignment="1">
      <alignment horizontal="left" vertical="center" indent="1"/>
    </xf>
    <xf numFmtId="0" fontId="57" fillId="0" borderId="2" xfId="0" applyFont="1" applyFill="1" applyBorder="1" applyAlignment="1">
      <alignment horizontal="center"/>
    </xf>
    <xf numFmtId="0" fontId="57" fillId="0" borderId="4" xfId="0" applyFont="1" applyFill="1" applyBorder="1" applyAlignment="1">
      <alignment horizontal="center"/>
    </xf>
    <xf numFmtId="0" fontId="67" fillId="7" borderId="6" xfId="0" applyFont="1" applyFill="1" applyBorder="1" applyAlignment="1">
      <alignment horizontal="left"/>
    </xf>
    <xf numFmtId="0" fontId="67" fillId="7" borderId="11" xfId="0" applyFont="1" applyFill="1" applyBorder="1" applyAlignment="1">
      <alignment horizontal="left"/>
    </xf>
    <xf numFmtId="0" fontId="67" fillId="7" borderId="10" xfId="0" applyFont="1" applyFill="1" applyBorder="1" applyAlignment="1">
      <alignment horizontal="left"/>
    </xf>
    <xf numFmtId="0" fontId="59" fillId="5" borderId="11" xfId="7" applyFont="1" applyFill="1" applyBorder="1" applyAlignment="1">
      <alignment horizontal="center" vertical="center"/>
    </xf>
    <xf numFmtId="0" fontId="59" fillId="5" borderId="10" xfId="7" applyFont="1" applyFill="1" applyBorder="1" applyAlignment="1">
      <alignment horizontal="center" vertical="center"/>
    </xf>
    <xf numFmtId="165" fontId="55" fillId="54" borderId="11" xfId="0" applyNumberFormat="1" applyFont="1" applyFill="1" applyBorder="1" applyAlignment="1">
      <alignment horizontal="center" vertical="center"/>
    </xf>
    <xf numFmtId="165" fontId="55" fillId="54" borderId="17" xfId="0" applyNumberFormat="1" applyFont="1" applyFill="1" applyBorder="1" applyAlignment="1">
      <alignment horizontal="center" vertical="center"/>
    </xf>
    <xf numFmtId="165" fontId="55" fillId="54" borderId="10" xfId="0" applyNumberFormat="1" applyFont="1" applyFill="1" applyBorder="1" applyAlignment="1">
      <alignment horizontal="center" vertical="center"/>
    </xf>
    <xf numFmtId="165" fontId="55" fillId="12" borderId="11" xfId="0" applyNumberFormat="1" applyFont="1" applyFill="1" applyBorder="1" applyAlignment="1">
      <alignment horizontal="center" vertical="center"/>
    </xf>
    <xf numFmtId="165" fontId="55" fillId="12" borderId="17" xfId="0" applyNumberFormat="1" applyFont="1" applyFill="1" applyBorder="1" applyAlignment="1">
      <alignment horizontal="center" vertical="center"/>
    </xf>
    <xf numFmtId="165" fontId="55" fillId="12" borderId="10" xfId="0" applyNumberFormat="1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5" fillId="6" borderId="12" xfId="0" applyFont="1" applyFill="1" applyBorder="1" applyAlignment="1">
      <alignment horizontal="center" vertical="center"/>
    </xf>
    <xf numFmtId="165" fontId="55" fillId="2" borderId="11" xfId="0" applyNumberFormat="1" applyFont="1" applyFill="1" applyBorder="1" applyAlignment="1">
      <alignment horizontal="center" vertical="center"/>
    </xf>
    <xf numFmtId="165" fontId="55" fillId="2" borderId="17" xfId="0" applyNumberFormat="1" applyFont="1" applyFill="1" applyBorder="1" applyAlignment="1">
      <alignment horizontal="center" vertical="center"/>
    </xf>
    <xf numFmtId="165" fontId="55" fillId="2" borderId="10" xfId="0" applyNumberFormat="1" applyFont="1" applyFill="1" applyBorder="1" applyAlignment="1">
      <alignment horizontal="center" vertical="center"/>
    </xf>
    <xf numFmtId="165" fontId="55" fillId="11" borderId="11" xfId="0" applyNumberFormat="1" applyFont="1" applyFill="1" applyBorder="1" applyAlignment="1">
      <alignment horizontal="center" vertical="center"/>
    </xf>
    <xf numFmtId="165" fontId="55" fillId="11" borderId="17" xfId="0" applyNumberFormat="1" applyFont="1" applyFill="1" applyBorder="1" applyAlignment="1">
      <alignment horizontal="center" vertical="center"/>
    </xf>
    <xf numFmtId="165" fontId="55" fillId="11" borderId="10" xfId="0" applyNumberFormat="1" applyFont="1" applyFill="1" applyBorder="1" applyAlignment="1">
      <alignment horizontal="center" vertical="center"/>
    </xf>
    <xf numFmtId="165" fontId="55" fillId="9" borderId="11" xfId="0" applyNumberFormat="1" applyFont="1" applyFill="1" applyBorder="1" applyAlignment="1">
      <alignment horizontal="center" vertical="center"/>
    </xf>
    <xf numFmtId="165" fontId="55" fillId="9" borderId="17" xfId="0" applyNumberFormat="1" applyFont="1" applyFill="1" applyBorder="1" applyAlignment="1">
      <alignment horizontal="center" vertical="center"/>
    </xf>
    <xf numFmtId="165" fontId="55" fillId="9" borderId="10" xfId="0" applyNumberFormat="1" applyFont="1" applyFill="1" applyBorder="1" applyAlignment="1">
      <alignment horizontal="center" vertical="center"/>
    </xf>
    <xf numFmtId="165" fontId="55" fillId="53" borderId="11" xfId="0" applyNumberFormat="1" applyFont="1" applyFill="1" applyBorder="1" applyAlignment="1">
      <alignment horizontal="center" vertical="center"/>
    </xf>
    <xf numFmtId="165" fontId="55" fillId="53" borderId="17" xfId="0" applyNumberFormat="1" applyFont="1" applyFill="1" applyBorder="1" applyAlignment="1">
      <alignment horizontal="center" vertical="center"/>
    </xf>
    <xf numFmtId="165" fontId="55" fillId="53" borderId="10" xfId="0" applyNumberFormat="1" applyFont="1" applyFill="1" applyBorder="1" applyAlignment="1">
      <alignment horizontal="center" vertical="center"/>
    </xf>
    <xf numFmtId="165" fontId="55" fillId="17" borderId="11" xfId="0" applyNumberFormat="1" applyFont="1" applyFill="1" applyBorder="1" applyAlignment="1">
      <alignment horizontal="center" vertical="center"/>
    </xf>
    <xf numFmtId="165" fontId="55" fillId="17" borderId="17" xfId="0" applyNumberFormat="1" applyFont="1" applyFill="1" applyBorder="1" applyAlignment="1">
      <alignment horizontal="center" vertical="center"/>
    </xf>
    <xf numFmtId="165" fontId="55" fillId="17" borderId="10" xfId="0" applyNumberFormat="1" applyFont="1" applyFill="1" applyBorder="1" applyAlignment="1">
      <alignment horizontal="center" vertical="center"/>
    </xf>
    <xf numFmtId="165" fontId="55" fillId="2" borderId="48" xfId="0" applyNumberFormat="1" applyFont="1" applyFill="1" applyBorder="1" applyAlignment="1">
      <alignment horizontal="center" vertical="center"/>
    </xf>
    <xf numFmtId="165" fontId="55" fillId="2" borderId="49" xfId="0" applyNumberFormat="1" applyFont="1" applyFill="1" applyBorder="1" applyAlignment="1">
      <alignment horizontal="center" vertical="center"/>
    </xf>
    <xf numFmtId="165" fontId="55" fillId="2" borderId="50" xfId="0" applyNumberFormat="1" applyFont="1" applyFill="1" applyBorder="1" applyAlignment="1">
      <alignment horizontal="center" vertical="center"/>
    </xf>
    <xf numFmtId="165" fontId="55" fillId="50" borderId="11" xfId="0" applyNumberFormat="1" applyFont="1" applyFill="1" applyBorder="1" applyAlignment="1">
      <alignment horizontal="center" vertical="center"/>
    </xf>
    <xf numFmtId="165" fontId="55" fillId="50" borderId="17" xfId="0" applyNumberFormat="1" applyFont="1" applyFill="1" applyBorder="1" applyAlignment="1">
      <alignment horizontal="center" vertical="center"/>
    </xf>
    <xf numFmtId="165" fontId="55" fillId="50" borderId="10" xfId="0" applyNumberFormat="1" applyFont="1" applyFill="1" applyBorder="1" applyAlignment="1">
      <alignment horizontal="center" vertical="center"/>
    </xf>
    <xf numFmtId="165" fontId="55" fillId="55" borderId="11" xfId="0" applyNumberFormat="1" applyFont="1" applyFill="1" applyBorder="1" applyAlignment="1">
      <alignment horizontal="center" vertical="center"/>
    </xf>
    <xf numFmtId="165" fontId="55" fillId="55" borderId="17" xfId="0" applyNumberFormat="1" applyFont="1" applyFill="1" applyBorder="1" applyAlignment="1">
      <alignment horizontal="center" vertical="center"/>
    </xf>
    <xf numFmtId="165" fontId="55" fillId="55" borderId="10" xfId="0" applyNumberFormat="1" applyFont="1" applyFill="1" applyBorder="1" applyAlignment="1">
      <alignment horizontal="center" vertical="center"/>
    </xf>
    <xf numFmtId="165" fontId="55" fillId="14" borderId="11" xfId="0" applyNumberFormat="1" applyFont="1" applyFill="1" applyBorder="1" applyAlignment="1">
      <alignment horizontal="center" vertical="center"/>
    </xf>
    <xf numFmtId="165" fontId="55" fillId="14" borderId="17" xfId="0" applyNumberFormat="1" applyFont="1" applyFill="1" applyBorder="1" applyAlignment="1">
      <alignment horizontal="center" vertical="center"/>
    </xf>
    <xf numFmtId="165" fontId="55" fillId="14" borderId="10" xfId="0" applyNumberFormat="1" applyFont="1" applyFill="1" applyBorder="1" applyAlignment="1">
      <alignment horizontal="center" vertical="center"/>
    </xf>
    <xf numFmtId="0" fontId="81" fillId="0" borderId="23" xfId="11" applyNumberFormat="1" applyFont="1" applyFill="1" applyBorder="1" applyAlignment="1">
      <alignment horizontal="center" vertical="top" wrapText="1"/>
    </xf>
    <xf numFmtId="0" fontId="73" fillId="0" borderId="24" xfId="11" applyNumberFormat="1" applyFont="1" applyFill="1" applyBorder="1"/>
    <xf numFmtId="0" fontId="73" fillId="0" borderId="24" xfId="11" applyNumberFormat="1" applyFont="1" applyFill="1" applyBorder="1" applyAlignment="1">
      <alignment horizontal="center"/>
    </xf>
    <xf numFmtId="164" fontId="81" fillId="0" borderId="23" xfId="3" applyFont="1" applyFill="1" applyBorder="1" applyAlignment="1">
      <alignment horizontal="center" vertical="top" wrapText="1"/>
    </xf>
    <xf numFmtId="164" fontId="73" fillId="0" borderId="24" xfId="3" applyFont="1" applyFill="1" applyBorder="1"/>
  </cellXfs>
  <cellStyles count="4553">
    <cellStyle name="20% — акцент1" xfId="4307" builtinId="30" customBuiltin="1"/>
    <cellStyle name="20% — акцент1 2" xfId="91" xr:uid="{68F1AAAF-4E18-4FE6-89FF-877A9C4A310B}"/>
    <cellStyle name="20% — акцент1 3" xfId="4509" xr:uid="{6BD2AE46-49F1-476F-B1C2-6C956092DA7E}"/>
    <cellStyle name="20% — акцент1 4" xfId="4532" xr:uid="{D632A6A0-128F-4CA1-9DFB-EBD5CA8F566A}"/>
    <cellStyle name="20% — акцент2" xfId="4311" builtinId="34" customBuiltin="1"/>
    <cellStyle name="20% — акцент2 2" xfId="95" xr:uid="{5928127C-02D1-4477-8AE1-C8E259868FAF}"/>
    <cellStyle name="20% — акцент2 3" xfId="4512" xr:uid="{F37A286A-4F55-4D9F-8FA5-DE979321CEE0}"/>
    <cellStyle name="20% — акцент2 4" xfId="4535" xr:uid="{AF745D8B-0B6F-4791-82CF-081B97749D21}"/>
    <cellStyle name="20% — акцент3" xfId="4315" builtinId="38" customBuiltin="1"/>
    <cellStyle name="20% — акцент3 2" xfId="99" xr:uid="{3E499D92-5AF7-4D85-89E3-DAF5339BF434}"/>
    <cellStyle name="20% — акцент3 3" xfId="4515" xr:uid="{46E22C38-A0DF-4A28-8257-7CFE30C4CA8E}"/>
    <cellStyle name="20% — акцент3 4" xfId="4538" xr:uid="{38476116-9E4A-4AF9-82CB-9BAAF134B39D}"/>
    <cellStyle name="20% — акцент4" xfId="4319" builtinId="42" customBuiltin="1"/>
    <cellStyle name="20% — акцент4 2" xfId="103" xr:uid="{DA68DC43-1E62-4D0F-8B8A-0BE8972DC43F}"/>
    <cellStyle name="20% — акцент4 3" xfId="4518" xr:uid="{4F9C670F-41D0-4A7E-9906-AD664B461D4B}"/>
    <cellStyle name="20% — акцент4 4" xfId="4541" xr:uid="{2FF01EEA-2255-4A46-BBB6-02BE3D4E828E}"/>
    <cellStyle name="20% — акцент5" xfId="4323" builtinId="46" customBuiltin="1"/>
    <cellStyle name="20% — акцент5 2" xfId="107" xr:uid="{91D0DA2A-084F-4072-ACD3-4B09D8F9D450}"/>
    <cellStyle name="20% — акцент5 3" xfId="4521" xr:uid="{039C53DF-4B6E-4798-8FC2-21517308BEFD}"/>
    <cellStyle name="20% — акцент5 4" xfId="4544" xr:uid="{E0E9392C-C9CA-463A-A01D-A082383D4CB6}"/>
    <cellStyle name="20% — акцент6" xfId="4327" builtinId="50" customBuiltin="1"/>
    <cellStyle name="20% — акцент6 2" xfId="111" xr:uid="{535B43FB-4B73-4B55-AB8F-1EF1490C2D19}"/>
    <cellStyle name="20% — акцент6 3" xfId="4524" xr:uid="{EF73A130-2B2F-4AEF-A359-03924F95ADC2}"/>
    <cellStyle name="20% — акцент6 4" xfId="4547" xr:uid="{B3EC2927-E353-4370-83FD-0449F4A5377E}"/>
    <cellStyle name="40% — акцент1" xfId="4308" builtinId="31" customBuiltin="1"/>
    <cellStyle name="40% — акцент1 2" xfId="92" xr:uid="{0CA60600-384D-4456-93BF-9879FAAF6FCB}"/>
    <cellStyle name="40% — акцент1 3" xfId="4510" xr:uid="{696FC093-9F10-4254-947B-20FB1B132525}"/>
    <cellStyle name="40% — акцент1 4" xfId="4533" xr:uid="{96A6F48D-865C-4545-A0F9-6B3D620D79D3}"/>
    <cellStyle name="40% — акцент2" xfId="4312" builtinId="35" customBuiltin="1"/>
    <cellStyle name="40% — акцент2 2" xfId="96" xr:uid="{D769C294-42C6-4356-A78C-AC1727948AFE}"/>
    <cellStyle name="40% — акцент2 3" xfId="4513" xr:uid="{AC1228CF-D476-422E-8F14-EDDC5B1B2CCB}"/>
    <cellStyle name="40% — акцент2 4" xfId="4536" xr:uid="{826FC5B4-D3F0-4697-8F6D-B2E4963A1656}"/>
    <cellStyle name="40% — акцент3" xfId="4316" builtinId="39" customBuiltin="1"/>
    <cellStyle name="40% — акцент3 2" xfId="100" xr:uid="{01A8DDBE-618E-49F6-ADA8-EC7BA43ED9E8}"/>
    <cellStyle name="40% — акцент3 3" xfId="4516" xr:uid="{2B16F101-CCBA-4DEB-A9C5-193D51EC63CA}"/>
    <cellStyle name="40% — акцент3 4" xfId="4539" xr:uid="{89DE560D-F13C-46EC-80C3-1A8347AFC70A}"/>
    <cellStyle name="40% — акцент4" xfId="4320" builtinId="43" customBuiltin="1"/>
    <cellStyle name="40% — акцент4 2" xfId="104" xr:uid="{4E29A250-7B0A-48A6-B302-7E70E74ED3D3}"/>
    <cellStyle name="40% — акцент4 3" xfId="4519" xr:uid="{BA4EADF2-6D37-4995-81BE-1CF14066D90C}"/>
    <cellStyle name="40% — акцент4 4" xfId="4542" xr:uid="{2A055EB5-F42C-4968-8C4E-FE89C4800712}"/>
    <cellStyle name="40% — акцент5" xfId="4324" builtinId="47" customBuiltin="1"/>
    <cellStyle name="40% — акцент5 2" xfId="108" xr:uid="{EAFCB1B1-F7A5-4E2A-920B-93DD18B9F528}"/>
    <cellStyle name="40% — акцент5 3" xfId="4522" xr:uid="{61681678-1F2C-4154-99E4-AAC36F1E99CF}"/>
    <cellStyle name="40% — акцент5 4" xfId="4545" xr:uid="{C16208A1-6EB4-4417-B5F9-E5E3930DBA82}"/>
    <cellStyle name="40% — акцент6" xfId="4328" builtinId="51" customBuiltin="1"/>
    <cellStyle name="40% — акцент6 2" xfId="112" xr:uid="{D34F55BF-6DB6-4AA2-A947-87A4408649B4}"/>
    <cellStyle name="40% — акцент6 3" xfId="4525" xr:uid="{6B001E93-11C1-49A4-A1CA-74F26D745E70}"/>
    <cellStyle name="40% — акцент6 4" xfId="4548" xr:uid="{02AA739D-18EE-4B63-AAAE-6F3A31372754}"/>
    <cellStyle name="60% - Accent1 10" xfId="418" xr:uid="{5D27B279-C485-4E58-B76C-09A4F552134B}"/>
    <cellStyle name="60% - Accent1 11" xfId="456" xr:uid="{CDBB8A47-3F34-4E52-9ED3-22730D73A438}"/>
    <cellStyle name="60% - Accent1 12" xfId="436" xr:uid="{9667C011-6CB8-405C-8140-82F7DA329104}"/>
    <cellStyle name="60% - Accent1 13" xfId="450" xr:uid="{ED06B682-4ECC-4178-AA71-4B069000AF7E}"/>
    <cellStyle name="60% - Accent1 14" xfId="356" xr:uid="{077E60F3-4520-43D9-ADCD-8924EB494F43}"/>
    <cellStyle name="60% - Accent1 15" xfId="454" xr:uid="{D6CBA59F-7C86-4ABE-8734-84AA0B566E7B}"/>
    <cellStyle name="60% - Accent1 16" xfId="465" xr:uid="{C1201F3F-9A08-4D99-8D7C-8E54EB024B6D}"/>
    <cellStyle name="60% - Accent1 17" xfId="391" xr:uid="{22254410-3A53-447F-99CF-C6666E63E982}"/>
    <cellStyle name="60% - Accent1 18" xfId="478" xr:uid="{B2718897-32B1-4C51-8373-9B9BB452EC01}"/>
    <cellStyle name="60% - Accent1 2" xfId="334" xr:uid="{1BE845EB-8D7A-4DAB-83D9-49F83F2C7FD1}"/>
    <cellStyle name="60% - Accent1 3" xfId="343" xr:uid="{6C09748B-D9A9-4770-B9C6-9ED3DF643864}"/>
    <cellStyle name="60% - Accent1 4" xfId="367" xr:uid="{EE12387E-CD74-4126-A50A-4D96DA46248D}"/>
    <cellStyle name="60% - Accent1 5" xfId="413" xr:uid="{A98C13AA-2FAA-4ED7-B2CE-2854A83FEB4B}"/>
    <cellStyle name="60% - Accent1 6" xfId="399" xr:uid="{2FBF009C-C553-4221-A681-AD297FC33AB4}"/>
    <cellStyle name="60% - Accent1 7" xfId="357" xr:uid="{FB06C8E8-07A8-4F4E-B109-FD4E67FA915B}"/>
    <cellStyle name="60% - Accent1 8" xfId="415" xr:uid="{F8363F54-41EE-4017-9C30-ADED9CF62348}"/>
    <cellStyle name="60% - Accent1 9" xfId="409" xr:uid="{6138F041-07B2-44B6-9E31-E2AD9D29D5E8}"/>
    <cellStyle name="60% - Accent2 10" xfId="373" xr:uid="{DAE63E55-18E4-45FE-AE5C-803D0FAA1EE0}"/>
    <cellStyle name="60% - Accent2 11" xfId="353" xr:uid="{F6331FA6-53AB-47B3-AE9E-12D03F6B8193}"/>
    <cellStyle name="60% - Accent2 12" xfId="396" xr:uid="{C90069C2-9876-413F-BB4C-A4C7466A8FD8}"/>
    <cellStyle name="60% - Accent2 13" xfId="427" xr:uid="{BC33262B-219F-4F2F-92CB-56452A8F23D9}"/>
    <cellStyle name="60% - Accent2 14" xfId="376" xr:uid="{16B77062-A432-4D83-BCAB-DDCABD5918AC}"/>
    <cellStyle name="60% - Accent2 15" xfId="389" xr:uid="{D1C77BC6-5AEB-43FB-8842-E5B4F0B36754}"/>
    <cellStyle name="60% - Accent2 16" xfId="359" xr:uid="{862A18B5-4529-4C0B-A1BA-952D3B424D8A}"/>
    <cellStyle name="60% - Accent2 17" xfId="460" xr:uid="{FED1E9EA-DB56-40C7-BE40-DAC0ABD90648}"/>
    <cellStyle name="60% - Accent2 18" xfId="479" xr:uid="{9DA49DC3-81AB-4E7B-9E0E-933C19A03489}"/>
    <cellStyle name="60% - Accent2 2" xfId="335" xr:uid="{AC959EA2-BCDF-48DE-9956-6D71D49CBBFF}"/>
    <cellStyle name="60% - Accent2 3" xfId="344" xr:uid="{2AD850E8-2356-4AD7-8664-48C5B8FCEE3C}"/>
    <cellStyle name="60% - Accent2 4" xfId="368" xr:uid="{93A9EC37-8A19-4D95-B497-8A947EA118A0}"/>
    <cellStyle name="60% - Accent2 5" xfId="429" xr:uid="{A74F5009-5DB1-4A63-85B5-52B58977BE4C}"/>
    <cellStyle name="60% - Accent2 6" xfId="437" xr:uid="{24831C22-D8E3-41DF-B4A7-89D9A0349261}"/>
    <cellStyle name="60% - Accent2 7" xfId="420" xr:uid="{CF6627E6-EFB3-4B06-8F25-F97D31C1963B}"/>
    <cellStyle name="60% - Accent2 8" xfId="403" xr:uid="{96B0D8B9-3DBC-4437-9E2C-6708927263C1}"/>
    <cellStyle name="60% - Accent2 9" xfId="393" xr:uid="{65279763-489D-47B0-8F7C-BE5EE94FB1FD}"/>
    <cellStyle name="60% - Accent3 10" xfId="412" xr:uid="{DA80A276-08F0-4B1D-AFBB-E8BC21143C47}"/>
    <cellStyle name="60% - Accent3 11" xfId="387" xr:uid="{DF341876-7B83-4CCA-B9F2-0A7BE365AF34}"/>
    <cellStyle name="60% - Accent3 12" xfId="401" xr:uid="{B8061531-CCE8-4780-82CF-F54618925179}"/>
    <cellStyle name="60% - Accent3 13" xfId="378" xr:uid="{AB3C9FE8-B780-4EA9-8ABE-8D414A1859B7}"/>
    <cellStyle name="60% - Accent3 14" xfId="424" xr:uid="{534A7E8A-B712-413F-82D0-1823DBF3061F}"/>
    <cellStyle name="60% - Accent3 15" xfId="395" xr:uid="{EB269E1E-1C6B-4B8A-88A2-883F1E157728}"/>
    <cellStyle name="60% - Accent3 16" xfId="471" xr:uid="{92BB5741-6CAC-404D-8950-2681EF419414}"/>
    <cellStyle name="60% - Accent3 17" xfId="470" xr:uid="{330DEC3B-2BE6-4DB0-B9FB-75730463BB59}"/>
    <cellStyle name="60% - Accent3 18" xfId="480" xr:uid="{03CA2697-B591-41FC-AADA-03F7165E4CA2}"/>
    <cellStyle name="60% - Accent3 2" xfId="336" xr:uid="{2D829363-1C19-4DFE-90A6-B75AAD856167}"/>
    <cellStyle name="60% - Accent3 3" xfId="345" xr:uid="{209BC2FD-9890-494B-BD0E-3AB44AAEE087}"/>
    <cellStyle name="60% - Accent3 4" xfId="369" xr:uid="{213E63C4-6427-4538-8D79-1480AC72D819}"/>
    <cellStyle name="60% - Accent3 5" xfId="349" xr:uid="{86DB45F1-A3FD-4D5E-9752-63F7909EC20C}"/>
    <cellStyle name="60% - Accent3 6" xfId="402" xr:uid="{B28FCAEC-3D80-4433-9E18-CDE9CF5B1A24}"/>
    <cellStyle name="60% - Accent3 7" xfId="374" xr:uid="{5CC8A5C3-6C6D-464A-8E60-AF0EBD6CCDDA}"/>
    <cellStyle name="60% - Accent3 8" xfId="398" xr:uid="{21E67BF8-61C7-4434-9B00-15EEA03D0D42}"/>
    <cellStyle name="60% - Accent3 9" xfId="417" xr:uid="{F57203AC-C2D5-484D-B9DA-78F1DA40FC5A}"/>
    <cellStyle name="60% - Accent4 10" xfId="400" xr:uid="{9F4BB412-2CC9-40B7-897A-2A8092367994}"/>
    <cellStyle name="60% - Accent4 11" xfId="408" xr:uid="{3B73B086-C9B0-4153-8375-51613C5527F2}"/>
    <cellStyle name="60% - Accent4 12" xfId="388" xr:uid="{1AEE1704-3570-49B5-B4DB-B7D5CA8E4BB1}"/>
    <cellStyle name="60% - Accent4 13" xfId="364" xr:uid="{804482B7-1C39-4A95-8589-67DB598D1C6B}"/>
    <cellStyle name="60% - Accent4 14" xfId="462" xr:uid="{1F66F919-0BF0-45C0-9641-D7149EE9D37D}"/>
    <cellStyle name="60% - Accent4 15" xfId="385" xr:uid="{061E857E-C734-4B63-9A3F-549A85F4CC6E}"/>
    <cellStyle name="60% - Accent4 16" xfId="472" xr:uid="{3DA411BE-2C4D-4DD9-9A13-5ADB82855555}"/>
    <cellStyle name="60% - Accent4 17" xfId="463" xr:uid="{726C434F-B868-4144-AC9D-A49523C5FF4B}"/>
    <cellStyle name="60% - Accent4 18" xfId="481" xr:uid="{F14742D6-1A6A-4284-A352-A5F7E7144C8B}"/>
    <cellStyle name="60% - Accent4 2" xfId="337" xr:uid="{224710D6-A860-457E-9001-5A0001F3D745}"/>
    <cellStyle name="60% - Accent4 3" xfId="346" xr:uid="{2803E6C5-AC63-49F6-80BE-F8DB818CE3A1}"/>
    <cellStyle name="60% - Accent4 4" xfId="370" xr:uid="{DBB65075-7921-4090-9E90-81ED11977656}"/>
    <cellStyle name="60% - Accent4 5" xfId="397" xr:uid="{D5A3E619-5C7C-4646-A835-25E47138F7E9}"/>
    <cellStyle name="60% - Accent4 6" xfId="414" xr:uid="{0B693751-15A1-4FEC-A754-6560818717AD}"/>
    <cellStyle name="60% - Accent4 7" xfId="442" xr:uid="{7DDDB9F5-136C-4DE4-8419-BD222FB8E4A5}"/>
    <cellStyle name="60% - Accent4 8" xfId="386" xr:uid="{994EB6D8-E377-49D7-B178-0DAD96A66DC6}"/>
    <cellStyle name="60% - Accent4 9" xfId="390" xr:uid="{0F01CA1B-7D8C-4605-99E0-C4A5D59CD37A}"/>
    <cellStyle name="60% - Accent5 10" xfId="361" xr:uid="{1883B8D3-C7AD-464C-8B11-84C5D16F22F3}"/>
    <cellStyle name="60% - Accent5 11" xfId="354" xr:uid="{EBACC1B5-8CB9-4200-8474-66346745B34B}"/>
    <cellStyle name="60% - Accent5 12" xfId="457" xr:uid="{D0362084-A7CB-4636-909E-9A8D9B8C2CF6}"/>
    <cellStyle name="60% - Accent5 13" xfId="394" xr:uid="{490C1510-B9D3-4F5C-9B3B-EE3BE814C960}"/>
    <cellStyle name="60% - Accent5 14" xfId="422" xr:uid="{24596766-6C13-4E81-B5CB-07E794ABC672}"/>
    <cellStyle name="60% - Accent5 15" xfId="392" xr:uid="{0C860FC2-A3E6-4092-BE0E-AADBFCBC9DD4}"/>
    <cellStyle name="60% - Accent5 16" xfId="464" xr:uid="{53CF49A6-4350-481B-970A-9FBE031857FC}"/>
    <cellStyle name="60% - Accent5 17" xfId="452" xr:uid="{BFE73362-55D3-438A-85CB-42B4A40F0B5B}"/>
    <cellStyle name="60% - Accent5 18" xfId="482" xr:uid="{DC928DE3-2936-4B19-B348-819A70DB8185}"/>
    <cellStyle name="60% - Accent5 2" xfId="338" xr:uid="{B4A5FCD7-208C-4CDC-8E72-A4171404893D}"/>
    <cellStyle name="60% - Accent5 3" xfId="347" xr:uid="{69B9B748-6D97-46EB-AEB5-61FE63134E80}"/>
    <cellStyle name="60% - Accent5 4" xfId="371" xr:uid="{004EA13F-DAA6-4F9D-90C8-076960E47720}"/>
    <cellStyle name="60% - Accent5 5" xfId="362" xr:uid="{3ABA82E5-BD6F-47E9-AE25-D3C79CC04DFB}"/>
    <cellStyle name="60% - Accent5 6" xfId="431" xr:uid="{BB657E58-D8A4-4F57-B4AE-C26740A832E9}"/>
    <cellStyle name="60% - Accent5 7" xfId="416" xr:uid="{8FB42EE5-B76D-41E8-ABD2-C4D25B1E421C}"/>
    <cellStyle name="60% - Accent5 8" xfId="445" xr:uid="{187CB90C-B412-4FD0-AC98-E2C09F7E7133}"/>
    <cellStyle name="60% - Accent5 9" xfId="440" xr:uid="{C5612055-1C10-4B46-93B4-C0952A5FFB17}"/>
    <cellStyle name="60% - Accent6 10" xfId="384" xr:uid="{DF309244-31E6-4257-8EBE-89073671DD4A}"/>
    <cellStyle name="60% - Accent6 11" xfId="363" xr:uid="{1E5430C8-8C7D-4DBD-AF80-CEB0A5AB2F11}"/>
    <cellStyle name="60% - Accent6 12" xfId="404" xr:uid="{1387359F-A437-4B59-AF85-81A5AF55CB51}"/>
    <cellStyle name="60% - Accent6 13" xfId="438" xr:uid="{CCF68C17-09D1-487D-8CCB-24D511F3322A}"/>
    <cellStyle name="60% - Accent6 14" xfId="453" xr:uid="{233CCEDA-29D3-4360-895C-938B3EA366E2}"/>
    <cellStyle name="60% - Accent6 15" xfId="466" xr:uid="{FF3E8758-68F2-445A-9B16-EB5E2B4DC96E}"/>
    <cellStyle name="60% - Accent6 16" xfId="474" xr:uid="{BAB39845-91BB-4F6E-A55A-7E6E1F25D42B}"/>
    <cellStyle name="60% - Accent6 17" xfId="439" xr:uid="{D0544BBA-9B9F-47C5-8757-CBA2964B8A76}"/>
    <cellStyle name="60% - Accent6 18" xfId="483" xr:uid="{55660675-7C61-4318-A8FE-77E88D432862}"/>
    <cellStyle name="60% - Accent6 2" xfId="339" xr:uid="{687824F2-516A-4273-942C-1D3171AB9F66}"/>
    <cellStyle name="60% - Accent6 3" xfId="348" xr:uid="{8BB60EFE-D6FE-4DE7-97A7-AC15425C4FA7}"/>
    <cellStyle name="60% - Accent6 4" xfId="372" xr:uid="{E87940FF-729D-49AD-93FA-715B7441B8B8}"/>
    <cellStyle name="60% - Accent6 5" xfId="375" xr:uid="{E9C3F46C-62F6-4C62-8455-C955613A088C}"/>
    <cellStyle name="60% - Accent6 6" xfId="444" xr:uid="{EEB3266F-8575-483B-A288-9131384DECD7}"/>
    <cellStyle name="60% - Accent6 7" xfId="428" xr:uid="{38B9BB7D-4D79-4968-B22D-AD93DC574667}"/>
    <cellStyle name="60% - Accent6 8" xfId="380" xr:uid="{F46FA343-EA67-461D-BA9D-996890A1F64C}"/>
    <cellStyle name="60% - Accent6 9" xfId="441" xr:uid="{DD7D39A3-E665-4C2D-AE53-9F5B8C42C4C9}"/>
    <cellStyle name="60% — акцент1" xfId="4309" builtinId="32" customBuiltin="1"/>
    <cellStyle name="60% — акцент1 2" xfId="93" xr:uid="{989216E0-604D-487C-BA4B-CA31C9A92CD3}"/>
    <cellStyle name="60% — акцент1 3" xfId="4511" xr:uid="{3A150B9F-7342-4ECC-8F25-53701904F6E2}"/>
    <cellStyle name="60% — акцент1 4" xfId="4534" xr:uid="{49BE65AA-5D4D-4A81-B308-313E841D607B}"/>
    <cellStyle name="60% — акцент2" xfId="4313" builtinId="36" customBuiltin="1"/>
    <cellStyle name="60% — акцент2 2" xfId="97" xr:uid="{6C0724CA-3160-4396-B96D-13C47743DD24}"/>
    <cellStyle name="60% — акцент2 3" xfId="4514" xr:uid="{90B8D4C6-5B6A-49D9-8124-C9A07FE7DD00}"/>
    <cellStyle name="60% — акцент2 4" xfId="4537" xr:uid="{3DB4D4D7-72CA-4931-B7D7-1DA506470D6B}"/>
    <cellStyle name="60% — акцент3" xfId="4317" builtinId="40" customBuiltin="1"/>
    <cellStyle name="60% — акцент3 2" xfId="101" xr:uid="{C15D5B0B-5F98-48DA-900D-F1DB216A5381}"/>
    <cellStyle name="60% — акцент3 3" xfId="4517" xr:uid="{D5A2D7CE-76D8-43F7-A116-33612B5DC5DA}"/>
    <cellStyle name="60% — акцент3 4" xfId="4540" xr:uid="{8C6A78E3-C073-46F3-A173-5DDFB22AAB84}"/>
    <cellStyle name="60% — акцент4" xfId="4321" builtinId="44" customBuiltin="1"/>
    <cellStyle name="60% — акцент4 2" xfId="105" xr:uid="{BFCDC075-7C15-41CB-B8A7-CD12E8B7E832}"/>
    <cellStyle name="60% — акцент4 3" xfId="4520" xr:uid="{87D4A3B7-7DA6-4BD1-88E0-53BAE06653AD}"/>
    <cellStyle name="60% — акцент4 4" xfId="4543" xr:uid="{D0A935DA-B68D-44B1-996F-A00175E8B8FA}"/>
    <cellStyle name="60% — акцент5" xfId="4325" builtinId="48" customBuiltin="1"/>
    <cellStyle name="60% — акцент5 2" xfId="109" xr:uid="{D6C4306F-CF70-47FD-BC15-24953EAF904A}"/>
    <cellStyle name="60% — акцент5 3" xfId="4523" xr:uid="{64A5D035-EC0E-460D-9A39-F8C42D129794}"/>
    <cellStyle name="60% — акцент5 4" xfId="4546" xr:uid="{EE72E0C2-CB10-4D18-955A-B19CA8A61758}"/>
    <cellStyle name="60% — акцент6" xfId="4329" builtinId="52" customBuiltin="1"/>
    <cellStyle name="60% — акцент6 2" xfId="113" xr:uid="{C34A1892-30CE-4E8E-A2ED-098FCD113D40}"/>
    <cellStyle name="60% — акцент6 3" xfId="4526" xr:uid="{71A21E41-6B14-496B-AE70-B29614812764}"/>
    <cellStyle name="60% — акцент6 4" xfId="4549" xr:uid="{9B301429-5CE6-43A8-94CB-DCF97763E49B}"/>
    <cellStyle name="center_style" xfId="4551" xr:uid="{9FB23F62-6E5F-46CB-AEE7-5F357018E11E}"/>
    <cellStyle name="Comma 10" xfId="146" xr:uid="{E6CAB75B-8300-4920-AABD-8C07FDECEA2F}"/>
    <cellStyle name="Comma 10 2" xfId="532" xr:uid="{2D3754D1-21FA-4E07-9D10-53902CD7DE47}"/>
    <cellStyle name="Comma 10 2 2" xfId="918" xr:uid="{0955DDBB-CD89-478C-8FB3-DAED753ED604}"/>
    <cellStyle name="Comma 10 2 2 2" xfId="1729" xr:uid="{C11EF387-3252-4B1D-A09D-B16B857469C2}"/>
    <cellStyle name="Comma 10 2 2 2 2" xfId="3262" xr:uid="{C11FC0E8-6BA5-47ED-A816-03BA853318A6}"/>
    <cellStyle name="Comma 10 2 2 3" xfId="2496" xr:uid="{7E8EC8A4-25F1-4166-AAD1-8B20781A19E0}"/>
    <cellStyle name="Comma 10 2 2 4" xfId="4061" xr:uid="{CCC8F803-F72F-45A0-9825-414CF56B43BA}"/>
    <cellStyle name="Comma 10 2 3" xfId="1348" xr:uid="{1D15CC09-B162-49BA-AE64-347BAFD66110}"/>
    <cellStyle name="Comma 10 2 3 2" xfId="2881" xr:uid="{3FED3546-15AA-4E29-A556-7EF42374D3A3}"/>
    <cellStyle name="Comma 10 2 4" xfId="2115" xr:uid="{18471CC4-151C-4718-A097-DD0623D26C24}"/>
    <cellStyle name="Comma 10 2 5" xfId="3650" xr:uid="{5300AE0B-0F28-4691-A6EC-4E7A5E7AF216}"/>
    <cellStyle name="Comma 10 3" xfId="732" xr:uid="{B1B4B77C-6B61-4BC1-B156-023D20D82FDF}"/>
    <cellStyle name="Comma 10 3 2" xfId="1543" xr:uid="{D4C7AE0F-A2AB-4C40-BC97-74BE81F68B2D}"/>
    <cellStyle name="Comma 10 3 2 2" xfId="3076" xr:uid="{9019A2B8-D34D-4ED6-8FDA-BB4659C1F1AB}"/>
    <cellStyle name="Comma 10 3 3" xfId="2310" xr:uid="{D525BE24-167D-4B5A-A025-50D3A6857FFE}"/>
    <cellStyle name="Comma 10 3 4" xfId="3875" xr:uid="{5A31AB38-FEDF-4CC0-87D9-A2806DAFCAF6}"/>
    <cellStyle name="Comma 10 4" xfId="1162" xr:uid="{092E3046-7AA8-4D3C-894E-65F8B24516A9}"/>
    <cellStyle name="Comma 10 4 2" xfId="2695" xr:uid="{5B1C2B8C-4ABA-4B8D-A37D-7734359BEADF}"/>
    <cellStyle name="Comma 10 5" xfId="1929" xr:uid="{CE2E7349-FF07-4DBE-8DC9-513FD2F94DA6}"/>
    <cellStyle name="Comma 10 6" xfId="3464" xr:uid="{6C9FAD4E-7F5A-48E1-A940-6349316C1B05}"/>
    <cellStyle name="Comma 100" xfId="287" xr:uid="{6B756BA6-2949-485B-B479-D76E59FDEC89}"/>
    <cellStyle name="Comma 100 2" xfId="620" xr:uid="{80F9AD22-27FF-4099-ABF5-96EB4056E18D}"/>
    <cellStyle name="Comma 100 2 2" xfId="1006" xr:uid="{FE359D97-B672-43A2-A5C7-9404AFB61EFE}"/>
    <cellStyle name="Comma 100 2 2 2" xfId="1817" xr:uid="{78AE5DCD-1ECC-4730-8BF9-AF6AB624C5FB}"/>
    <cellStyle name="Comma 100 2 2 2 2" xfId="3350" xr:uid="{59577FF3-29BF-4E07-AC17-F4EA0A11C2B6}"/>
    <cellStyle name="Comma 100 2 2 3" xfId="2584" xr:uid="{E9927CF7-13CC-4E15-A533-F49047FCDD20}"/>
    <cellStyle name="Comma 100 2 2 4" xfId="4149" xr:uid="{450C6620-B6B0-4C01-96F9-269B2A48007B}"/>
    <cellStyle name="Comma 100 2 3" xfId="1436" xr:uid="{DB778DE7-0F75-482D-9C68-D5634870A9B2}"/>
    <cellStyle name="Comma 100 2 3 2" xfId="2969" xr:uid="{FB356869-3AB2-402A-A151-F38057DD2D79}"/>
    <cellStyle name="Comma 100 2 4" xfId="2203" xr:uid="{D96D02B4-55E6-4329-9785-BE00111A4988}"/>
    <cellStyle name="Comma 100 2 5" xfId="3738" xr:uid="{7AE2BE0E-796F-4482-B1FF-D2B445E2A7DC}"/>
    <cellStyle name="Comma 100 3" xfId="820" xr:uid="{AC0C231F-43A4-4534-A685-8FF5B7EB38F4}"/>
    <cellStyle name="Comma 100 3 2" xfId="1631" xr:uid="{41ECCABF-799C-4361-9E3E-1133176B9006}"/>
    <cellStyle name="Comma 100 3 2 2" xfId="3164" xr:uid="{708B4766-942B-40E1-82EA-2D406D7BAD15}"/>
    <cellStyle name="Comma 100 3 3" xfId="2398" xr:uid="{4FC0D6B1-0A00-4160-BB5A-5A531741EF39}"/>
    <cellStyle name="Comma 100 3 4" xfId="3963" xr:uid="{C4600041-18CE-4DE6-9D7B-6D16109971F9}"/>
    <cellStyle name="Comma 100 4" xfId="1250" xr:uid="{9156D8B5-F2CF-43B5-B6F2-1484320B585D}"/>
    <cellStyle name="Comma 100 4 2" xfId="2783" xr:uid="{EDB29152-D5BA-485F-8A19-3DF66E8E3DE3}"/>
    <cellStyle name="Comma 100 5" xfId="2017" xr:uid="{8E6EC53E-E106-462D-B664-5FABEE1171B0}"/>
    <cellStyle name="Comma 100 6" xfId="3552" xr:uid="{FD19BC81-A28D-4943-84B0-46971C95C759}"/>
    <cellStyle name="Comma 101" xfId="288" xr:uid="{F68A7B89-54AE-4744-B4F2-28E53C7032AA}"/>
    <cellStyle name="Comma 101 2" xfId="621" xr:uid="{C045D8D3-F7A6-4E4A-92A4-6AA31D5D419F}"/>
    <cellStyle name="Comma 101 2 2" xfId="1007" xr:uid="{C1F486E2-3447-40EB-9C7E-4CBCA4757CDA}"/>
    <cellStyle name="Comma 101 2 2 2" xfId="1818" xr:uid="{24AB1B86-6FA6-428D-B716-45E87A213089}"/>
    <cellStyle name="Comma 101 2 2 2 2" xfId="3351" xr:uid="{C89FC6CF-3FCB-4CE2-8914-9D6BF77F313C}"/>
    <cellStyle name="Comma 101 2 2 3" xfId="2585" xr:uid="{6B2B70FF-B7F0-4CB1-81AD-75A4DCD619B0}"/>
    <cellStyle name="Comma 101 2 2 4" xfId="4150" xr:uid="{AAE6DA8B-78EA-4238-8CB4-45F558D87CD8}"/>
    <cellStyle name="Comma 101 2 3" xfId="1437" xr:uid="{BE12E4D9-DFD9-4080-A075-01BA8793453F}"/>
    <cellStyle name="Comma 101 2 3 2" xfId="2970" xr:uid="{0F42370B-5771-44B7-8D3B-FAB9046FA2E7}"/>
    <cellStyle name="Comma 101 2 4" xfId="2204" xr:uid="{792AA154-BD83-452F-B07B-03877FD6C36A}"/>
    <cellStyle name="Comma 101 2 5" xfId="3739" xr:uid="{997AC171-8310-4493-9FE5-3AAECD2D82E6}"/>
    <cellStyle name="Comma 101 3" xfId="821" xr:uid="{57D84841-FD5E-4BA0-927F-044B7893C359}"/>
    <cellStyle name="Comma 101 3 2" xfId="1632" xr:uid="{AE6C1A1C-62B4-43B8-99FF-A523C2FD871F}"/>
    <cellStyle name="Comma 101 3 2 2" xfId="3165" xr:uid="{3C932CAC-F832-43C9-84C1-2F55AEC94C86}"/>
    <cellStyle name="Comma 101 3 3" xfId="2399" xr:uid="{D10262D1-3F33-45AB-A3E3-8B9D73226E7E}"/>
    <cellStyle name="Comma 101 3 4" xfId="3964" xr:uid="{7297F67D-392A-42C5-B6EF-8C315CA93C99}"/>
    <cellStyle name="Comma 101 4" xfId="1251" xr:uid="{9F187426-C25B-4827-8FC2-24EF1ADCAE64}"/>
    <cellStyle name="Comma 101 4 2" xfId="2784" xr:uid="{53473F4A-6C7A-4850-B6B5-BD924BD8F6E3}"/>
    <cellStyle name="Comma 101 5" xfId="2018" xr:uid="{C6E03BD5-01D2-4A56-A935-877B6DD94290}"/>
    <cellStyle name="Comma 101 6" xfId="3553" xr:uid="{3393EFD8-559D-43FB-AFA0-561D80398342}"/>
    <cellStyle name="Comma 102" xfId="289" xr:uid="{BCFA1522-EFC6-4D64-A2CF-70664B5968AD}"/>
    <cellStyle name="Comma 102 2" xfId="622" xr:uid="{6687B9BB-66F6-4007-B650-80B86DC659BA}"/>
    <cellStyle name="Comma 102 2 2" xfId="1008" xr:uid="{061DEB18-50D3-46FD-93AA-FB4B50C97158}"/>
    <cellStyle name="Comma 102 2 2 2" xfId="1819" xr:uid="{FB192C82-7347-4068-BCBA-5E2659907FA3}"/>
    <cellStyle name="Comma 102 2 2 2 2" xfId="3352" xr:uid="{8220A9A9-6358-4DC6-9544-890CD5B62FD4}"/>
    <cellStyle name="Comma 102 2 2 3" xfId="2586" xr:uid="{0AE5A370-69FE-493F-B596-62C8C26BAA1F}"/>
    <cellStyle name="Comma 102 2 2 4" xfId="4151" xr:uid="{17FC3FCF-9078-4D1C-B8FD-C126C80E2EAB}"/>
    <cellStyle name="Comma 102 2 3" xfId="1438" xr:uid="{30F0347B-5904-4383-948E-DDBD35A4FAAD}"/>
    <cellStyle name="Comma 102 2 3 2" xfId="2971" xr:uid="{5EA59465-9FAA-4472-B119-3A58B186FEF1}"/>
    <cellStyle name="Comma 102 2 4" xfId="2205" xr:uid="{BD7CD0C0-8526-4333-AC00-3E89A5754031}"/>
    <cellStyle name="Comma 102 2 5" xfId="3740" xr:uid="{BA584EDB-D5F4-49AB-A4C6-7986463FF5F9}"/>
    <cellStyle name="Comma 102 3" xfId="822" xr:uid="{2ACBF17F-7973-454D-885E-FA63C5EAA93E}"/>
    <cellStyle name="Comma 102 3 2" xfId="1633" xr:uid="{3A22BD1D-073D-47CC-8161-D3960FD67B26}"/>
    <cellStyle name="Comma 102 3 2 2" xfId="3166" xr:uid="{5FC8317A-97AA-4A5A-91FB-177E861CDD28}"/>
    <cellStyle name="Comma 102 3 3" xfId="2400" xr:uid="{9405AA45-AB6C-40D1-BB73-B41076ACFFBE}"/>
    <cellStyle name="Comma 102 3 4" xfId="3965" xr:uid="{57D8D83E-2DBA-4E86-B05B-8D834A64B1AA}"/>
    <cellStyle name="Comma 102 4" xfId="1252" xr:uid="{B639BCD2-9787-4160-9463-E565F17EB563}"/>
    <cellStyle name="Comma 102 4 2" xfId="2785" xr:uid="{2B2A7DEE-2B16-4069-AF50-F644E98E4523}"/>
    <cellStyle name="Comma 102 5" xfId="2019" xr:uid="{2C3B043F-2A05-4C85-B355-D6494E825C6B}"/>
    <cellStyle name="Comma 102 6" xfId="3554" xr:uid="{C3E15726-C548-4C05-B2F7-6BFB4A0ABA06}"/>
    <cellStyle name="Comma 103" xfId="290" xr:uid="{00BA2133-1816-40C5-83DA-F7F8B4AF67B9}"/>
    <cellStyle name="Comma 103 2" xfId="623" xr:uid="{C5055CAF-4CC1-43EA-8C4A-0956B4C25B39}"/>
    <cellStyle name="Comma 103 2 2" xfId="1009" xr:uid="{E359FC09-F783-4AAF-BC51-205CEC11D866}"/>
    <cellStyle name="Comma 103 2 2 2" xfId="1820" xr:uid="{ADAB66D4-21E7-45A4-885C-AF50C9D729C8}"/>
    <cellStyle name="Comma 103 2 2 2 2" xfId="3353" xr:uid="{CED49EAB-5D77-4F3F-B446-31258A2086C5}"/>
    <cellStyle name="Comma 103 2 2 3" xfId="2587" xr:uid="{71623DDC-AB45-45E9-9962-3A8A7C10ED85}"/>
    <cellStyle name="Comma 103 2 2 4" xfId="4152" xr:uid="{4E2DC345-FB75-484C-9559-DF4F922EECFF}"/>
    <cellStyle name="Comma 103 2 3" xfId="1439" xr:uid="{83EC57FB-33F5-4B04-8C3C-B18CB31AD9A1}"/>
    <cellStyle name="Comma 103 2 3 2" xfId="2972" xr:uid="{2B8D57FA-FF6A-41B7-A822-545FDA8130B1}"/>
    <cellStyle name="Comma 103 2 4" xfId="2206" xr:uid="{3B7E6BFA-9B06-418B-9187-B4F231D3603D}"/>
    <cellStyle name="Comma 103 2 5" xfId="3741" xr:uid="{0A0CF600-5AB4-4BEF-AC9D-42B751ECC048}"/>
    <cellStyle name="Comma 103 3" xfId="823" xr:uid="{E535235F-ABF4-4D21-8FB4-D0AC4B090A09}"/>
    <cellStyle name="Comma 103 3 2" xfId="1634" xr:uid="{0EACF494-9AC5-4EFB-9BD6-2A7D03533D9A}"/>
    <cellStyle name="Comma 103 3 2 2" xfId="3167" xr:uid="{B329C779-C294-4BFB-962B-4541CD36AA59}"/>
    <cellStyle name="Comma 103 3 3" xfId="2401" xr:uid="{3C7069C2-6B7A-475A-9E93-AC2F96959BFC}"/>
    <cellStyle name="Comma 103 3 4" xfId="3966" xr:uid="{B7E98279-4C04-496A-8C60-DE8D5A0981C3}"/>
    <cellStyle name="Comma 103 4" xfId="1253" xr:uid="{12BB7120-5E7B-4A8D-917E-18C537EB4F2E}"/>
    <cellStyle name="Comma 103 4 2" xfId="2786" xr:uid="{D91D3B25-0E37-4913-BD02-54F67C248F47}"/>
    <cellStyle name="Comma 103 5" xfId="2020" xr:uid="{1EB73267-7A48-4229-A5BF-A663866578F7}"/>
    <cellStyle name="Comma 103 6" xfId="3555" xr:uid="{2ED3FE03-993F-46D9-A234-D0FB65B712B2}"/>
    <cellStyle name="Comma 104" xfId="292" xr:uid="{4F754279-6D31-46BD-B3A9-02A4D0DD0A2E}"/>
    <cellStyle name="Comma 104 2" xfId="625" xr:uid="{ADFD5CA6-C200-475C-AC80-1095BA73E7D5}"/>
    <cellStyle name="Comma 104 2 2" xfId="1011" xr:uid="{B9B0B085-C48C-466A-8980-8FB48D9679F0}"/>
    <cellStyle name="Comma 104 2 2 2" xfId="1822" xr:uid="{11B32CE2-913D-4A75-8296-A598B6789A40}"/>
    <cellStyle name="Comma 104 2 2 2 2" xfId="3355" xr:uid="{00FFF602-8DCD-4494-A698-6D64D4267B55}"/>
    <cellStyle name="Comma 104 2 2 3" xfId="2589" xr:uid="{26FA924C-5A51-41E9-A175-000F867538DE}"/>
    <cellStyle name="Comma 104 2 2 4" xfId="4154" xr:uid="{609FC8AC-0BF1-4DFD-AA88-F36B9542BFA8}"/>
    <cellStyle name="Comma 104 2 3" xfId="1441" xr:uid="{18FD2C93-C7F5-4873-9765-3E3EAF74AC7D}"/>
    <cellStyle name="Comma 104 2 3 2" xfId="2974" xr:uid="{394836BA-4408-4A07-8E1B-C5816703BE44}"/>
    <cellStyle name="Comma 104 2 4" xfId="2208" xr:uid="{8A4DB6E9-4005-4F5C-B5A9-DF00EE0D3582}"/>
    <cellStyle name="Comma 104 2 5" xfId="3743" xr:uid="{B27305FA-DE71-4518-AD9F-49FBDF5A0C98}"/>
    <cellStyle name="Comma 104 3" xfId="825" xr:uid="{8D8FDC0C-09DA-4C4D-BCE6-7FBC71FADA4F}"/>
    <cellStyle name="Comma 104 3 2" xfId="1636" xr:uid="{6144899F-EE1C-4CDE-A933-C3E009D6FC29}"/>
    <cellStyle name="Comma 104 3 2 2" xfId="3169" xr:uid="{3237933E-BE8A-4D8F-830B-BC0D84D2CF50}"/>
    <cellStyle name="Comma 104 3 3" xfId="2403" xr:uid="{ED996940-09AF-4B7F-A1A4-DA8F20F3BD9E}"/>
    <cellStyle name="Comma 104 3 4" xfId="3968" xr:uid="{D0A181C9-62A1-4547-9A90-3AAB0BC1AAE4}"/>
    <cellStyle name="Comma 104 4" xfId="1255" xr:uid="{0E55F911-77F9-42BF-B324-D822BF88A0DE}"/>
    <cellStyle name="Comma 104 4 2" xfId="2788" xr:uid="{663540EC-9FC8-401E-8900-938A0FB8F49B}"/>
    <cellStyle name="Comma 104 5" xfId="2022" xr:uid="{2FB73C7B-0058-4FFD-9B94-84C2C70A2F41}"/>
    <cellStyle name="Comma 104 6" xfId="3557" xr:uid="{D90BBCDA-4C22-47A8-BDAB-7B2E55E550FE}"/>
    <cellStyle name="Comma 105" xfId="295" xr:uid="{3635F401-B118-487F-81C3-6794F5884630}"/>
    <cellStyle name="Comma 105 2" xfId="628" xr:uid="{B020C93E-5F14-4B06-9DF3-2AC230B66122}"/>
    <cellStyle name="Comma 105 2 2" xfId="1014" xr:uid="{D4DD30D1-7BB1-47B0-8F10-605C478CCC95}"/>
    <cellStyle name="Comma 105 2 2 2" xfId="1825" xr:uid="{19CCF3B3-4D0A-43BA-80C8-DE43010A572E}"/>
    <cellStyle name="Comma 105 2 2 2 2" xfId="3358" xr:uid="{E65302CE-87B9-4E82-B739-C22DDED595F8}"/>
    <cellStyle name="Comma 105 2 2 3" xfId="2592" xr:uid="{D4FA0E61-1FAE-4943-9FE4-1AD4477B87AC}"/>
    <cellStyle name="Comma 105 2 2 4" xfId="4157" xr:uid="{FCD11FD9-2354-4C6C-9BCE-ECD65E9EA2AF}"/>
    <cellStyle name="Comma 105 2 3" xfId="1444" xr:uid="{7250C461-C319-443A-8910-0790454CE20D}"/>
    <cellStyle name="Comma 105 2 3 2" xfId="2977" xr:uid="{F46E5ABB-2680-4788-B418-5E758B9F5583}"/>
    <cellStyle name="Comma 105 2 4" xfId="2211" xr:uid="{56020E09-02F4-471D-8B6A-AC3FCC737B36}"/>
    <cellStyle name="Comma 105 2 5" xfId="3746" xr:uid="{BE294C2D-A346-44D0-B49E-3D3EF613F026}"/>
    <cellStyle name="Comma 105 3" xfId="828" xr:uid="{E16329A6-2A16-4A51-9B2B-7064DC4A1373}"/>
    <cellStyle name="Comma 105 3 2" xfId="1639" xr:uid="{34629073-3864-403E-BD50-BCA608AEF789}"/>
    <cellStyle name="Comma 105 3 2 2" xfId="3172" xr:uid="{A8D975A2-1E84-4ECF-9C23-4CD67F56A22F}"/>
    <cellStyle name="Comma 105 3 3" xfId="2406" xr:uid="{F98F79A9-F421-47D9-BF17-32DDFDE53A4D}"/>
    <cellStyle name="Comma 105 3 4" xfId="3971" xr:uid="{734FD9A1-6D49-4D08-86E0-03AC323ADF52}"/>
    <cellStyle name="Comma 105 4" xfId="1258" xr:uid="{597FF421-233C-433F-9465-3D731689E1B4}"/>
    <cellStyle name="Comma 105 4 2" xfId="2791" xr:uid="{DE5C00E0-9C53-43DC-BB46-0975A7DF7218}"/>
    <cellStyle name="Comma 105 5" xfId="2025" xr:uid="{1F8567DA-5D65-4209-BE45-87757B6E508F}"/>
    <cellStyle name="Comma 105 6" xfId="3560" xr:uid="{B45C96E8-5138-4D1C-8C62-72FC9A051123}"/>
    <cellStyle name="Comma 106" xfId="297" xr:uid="{C54340C3-CFD8-469F-BE2F-54BA539F79A8}"/>
    <cellStyle name="Comma 106 2" xfId="630" xr:uid="{9AC2AA04-F54B-4DA4-953E-3492E826D283}"/>
    <cellStyle name="Comma 106 2 2" xfId="1016" xr:uid="{06736700-3DA6-496A-A6DA-52F55D895322}"/>
    <cellStyle name="Comma 106 2 2 2" xfId="1827" xr:uid="{4CB4A475-D133-4B87-A7CD-590622A55326}"/>
    <cellStyle name="Comma 106 2 2 2 2" xfId="3360" xr:uid="{D2C1FD79-73E6-43B4-B0AA-D338397D30DF}"/>
    <cellStyle name="Comma 106 2 2 3" xfId="2594" xr:uid="{468479E2-9EA8-431C-8BEF-B4396D3FB99D}"/>
    <cellStyle name="Comma 106 2 2 4" xfId="4159" xr:uid="{50DCCB47-F285-4B73-968A-FFA691545614}"/>
    <cellStyle name="Comma 106 2 3" xfId="1446" xr:uid="{CD8B63FD-6C1A-4B06-B94A-FF4B5CC20C60}"/>
    <cellStyle name="Comma 106 2 3 2" xfId="2979" xr:uid="{57617272-49E2-461E-A19B-6E82D6F37C99}"/>
    <cellStyle name="Comma 106 2 4" xfId="2213" xr:uid="{BAD2F935-2C64-4887-84F2-CBE9D60E929A}"/>
    <cellStyle name="Comma 106 2 5" xfId="3748" xr:uid="{FF88B83A-D9F6-4578-B55E-1AFF7F0ADFB0}"/>
    <cellStyle name="Comma 106 3" xfId="830" xr:uid="{7EFB9182-8FB4-418A-8108-20B4F474094C}"/>
    <cellStyle name="Comma 106 3 2" xfId="1641" xr:uid="{7E5B09DE-E8C1-4C72-A436-46EB574EAFCB}"/>
    <cellStyle name="Comma 106 3 2 2" xfId="3174" xr:uid="{051DC1BA-4B28-44C4-B8D7-3385946CC865}"/>
    <cellStyle name="Comma 106 3 3" xfId="2408" xr:uid="{609EECBE-E01B-4B13-BBCC-68447E0B4B82}"/>
    <cellStyle name="Comma 106 3 4" xfId="3973" xr:uid="{8BC56171-D099-472A-A4C7-7C0359990984}"/>
    <cellStyle name="Comma 106 4" xfId="1260" xr:uid="{14ABEEF3-1717-4FB1-A34B-8FDE49A8BD23}"/>
    <cellStyle name="Comma 106 4 2" xfId="2793" xr:uid="{FC04D495-1E31-4FEE-866D-0B2CAD86FCDC}"/>
    <cellStyle name="Comma 106 5" xfId="2027" xr:uid="{21A4E021-C329-43EA-9BB3-DDC1F2EB8BBF}"/>
    <cellStyle name="Comma 106 6" xfId="3562" xr:uid="{8631AF54-E1F8-48F5-AF08-0D0F5D9B063F}"/>
    <cellStyle name="Comma 107" xfId="293" xr:uid="{CC9F73BB-8D24-4A70-B246-06FB2A01672D}"/>
    <cellStyle name="Comma 107 2" xfId="626" xr:uid="{1F72516B-2F32-44BA-AB3D-EE4C6255D46B}"/>
    <cellStyle name="Comma 107 2 2" xfId="1012" xr:uid="{234B6CF3-4344-486F-A190-B1BD8324F528}"/>
    <cellStyle name="Comma 107 2 2 2" xfId="1823" xr:uid="{C6BB85F6-043B-4896-9D3E-CFC6FDFF019B}"/>
    <cellStyle name="Comma 107 2 2 2 2" xfId="3356" xr:uid="{0EA7BEEA-82F7-4386-B2E0-5B8A9704B380}"/>
    <cellStyle name="Comma 107 2 2 3" xfId="2590" xr:uid="{5F5BDFC7-CEE1-4B90-B556-C79484DE6B68}"/>
    <cellStyle name="Comma 107 2 2 4" xfId="4155" xr:uid="{3E45527E-F411-4FCF-99E1-091C486FEFEE}"/>
    <cellStyle name="Comma 107 2 3" xfId="1442" xr:uid="{7B36601F-FE89-4EE4-B37A-7548312FCCD0}"/>
    <cellStyle name="Comma 107 2 3 2" xfId="2975" xr:uid="{A7405C2B-A042-4BED-9A5A-7E40FE5B8B71}"/>
    <cellStyle name="Comma 107 2 4" xfId="2209" xr:uid="{7FE3E067-D31E-45CE-A1B8-08555EDAA8EB}"/>
    <cellStyle name="Comma 107 2 5" xfId="3744" xr:uid="{772CA4FA-2202-4031-8166-201AB08A8381}"/>
    <cellStyle name="Comma 107 3" xfId="826" xr:uid="{35FCC1C7-6CD7-4BCA-AA4D-2D1C36910611}"/>
    <cellStyle name="Comma 107 3 2" xfId="1637" xr:uid="{6F1A7F18-71B3-4DD7-A418-554EBFC902B5}"/>
    <cellStyle name="Comma 107 3 2 2" xfId="3170" xr:uid="{FCEB3971-B313-4963-9AF1-4C5508E9D2D1}"/>
    <cellStyle name="Comma 107 3 3" xfId="2404" xr:uid="{C2ABD5C4-B60A-4413-8462-E82385576E91}"/>
    <cellStyle name="Comma 107 3 4" xfId="3969" xr:uid="{9247C4AA-FA1B-45D9-97E5-F43FA32DBFA7}"/>
    <cellStyle name="Comma 107 4" xfId="1256" xr:uid="{FD5B6E05-0BB4-41A7-9B4F-2D5D1E6A3D94}"/>
    <cellStyle name="Comma 107 4 2" xfId="2789" xr:uid="{F251FFDD-0743-4EF2-8D41-18F2A1F26CE4}"/>
    <cellStyle name="Comma 107 5" xfId="2023" xr:uid="{76C44FEE-C1A6-414C-9DC3-60941CA0E30C}"/>
    <cellStyle name="Comma 107 6" xfId="3558" xr:uid="{77679619-73F4-4BC6-A8AF-C80ADBC6CB86}"/>
    <cellStyle name="Comma 108" xfId="296" xr:uid="{CDB01317-EBD1-4FC9-A62A-7DB4909C0EFB}"/>
    <cellStyle name="Comma 108 2" xfId="629" xr:uid="{32816F53-F3A6-463C-AED9-2A6DFDCD69AA}"/>
    <cellStyle name="Comma 108 2 2" xfId="1015" xr:uid="{0459CD13-0352-4D0A-AADA-6178EA09EFA3}"/>
    <cellStyle name="Comma 108 2 2 2" xfId="1826" xr:uid="{7CAC6B9B-D0C1-46B3-8954-4DDD2281BF02}"/>
    <cellStyle name="Comma 108 2 2 2 2" xfId="3359" xr:uid="{CF23785D-5532-4995-98E0-E1A68B686DA6}"/>
    <cellStyle name="Comma 108 2 2 3" xfId="2593" xr:uid="{BD8B66B5-94E5-4FFD-B7EE-E5F5955B51AA}"/>
    <cellStyle name="Comma 108 2 2 4" xfId="4158" xr:uid="{92C0EE15-C013-46A0-AEEA-50607E6B74E5}"/>
    <cellStyle name="Comma 108 2 3" xfId="1445" xr:uid="{79C8EFAE-97F0-4712-A246-72B35A33D9CE}"/>
    <cellStyle name="Comma 108 2 3 2" xfId="2978" xr:uid="{E2F1708B-1A70-425D-B06E-D086F7D22EED}"/>
    <cellStyle name="Comma 108 2 4" xfId="2212" xr:uid="{D31C62DB-0E92-4412-8A17-A4B7122E64D3}"/>
    <cellStyle name="Comma 108 2 5" xfId="3747" xr:uid="{2CCF5C05-A9D8-459A-9A17-A15936207FD6}"/>
    <cellStyle name="Comma 108 3" xfId="829" xr:uid="{56BAFD5C-B9D4-483C-83E0-FB341F78B8A5}"/>
    <cellStyle name="Comma 108 3 2" xfId="1640" xr:uid="{A1F0E073-DF37-44E7-A99A-9211D6981BAF}"/>
    <cellStyle name="Comma 108 3 2 2" xfId="3173" xr:uid="{5E71065D-F45B-4EEB-BE20-845949F21BCA}"/>
    <cellStyle name="Comma 108 3 3" xfId="2407" xr:uid="{20C5F584-12F3-43FE-9781-D094C5E084C8}"/>
    <cellStyle name="Comma 108 3 4" xfId="3972" xr:uid="{88B760E2-8F7E-4CDD-B9F7-3627EE196371}"/>
    <cellStyle name="Comma 108 4" xfId="1259" xr:uid="{05FB6B03-B9A5-4E4D-BE19-0D2405A95BE5}"/>
    <cellStyle name="Comma 108 4 2" xfId="2792" xr:uid="{B30E175E-A05C-4DF9-82DC-A010FB0A24AF}"/>
    <cellStyle name="Comma 108 5" xfId="2026" xr:uid="{6106665D-FF65-40F6-9199-496D42120D8B}"/>
    <cellStyle name="Comma 108 6" xfId="3561" xr:uid="{B5909076-0BA4-4D01-9936-0D7BF4F37B40}"/>
    <cellStyle name="Comma 109" xfId="294" xr:uid="{3104ABA2-B626-4635-B924-6E794CFA6142}"/>
    <cellStyle name="Comma 109 2" xfId="627" xr:uid="{236F4F1F-2B31-4C7A-95FE-DC67B649E7E4}"/>
    <cellStyle name="Comma 109 2 2" xfId="1013" xr:uid="{2E37A859-F970-47E5-9A2C-A38F9E2E6845}"/>
    <cellStyle name="Comma 109 2 2 2" xfId="1824" xr:uid="{5844DF77-C122-4B61-B77C-79F1933D564D}"/>
    <cellStyle name="Comma 109 2 2 2 2" xfId="3357" xr:uid="{BA5B0D73-BC51-4955-BD9D-1439A9C4DF87}"/>
    <cellStyle name="Comma 109 2 2 3" xfId="2591" xr:uid="{6D98968C-8661-4B80-9B8B-F97DD8245A72}"/>
    <cellStyle name="Comma 109 2 2 4" xfId="4156" xr:uid="{9FBAF3B4-8264-4F00-882E-317AEC762DA1}"/>
    <cellStyle name="Comma 109 2 3" xfId="1443" xr:uid="{AD5B5E37-FF38-42B7-86CA-235F07DE70F0}"/>
    <cellStyle name="Comma 109 2 3 2" xfId="2976" xr:uid="{2269309B-56E8-4DD7-B9F3-A0937EBAB99B}"/>
    <cellStyle name="Comma 109 2 4" xfId="2210" xr:uid="{97BCD648-AD69-46A4-92C1-82CFDDD18B0D}"/>
    <cellStyle name="Comma 109 2 5" xfId="3745" xr:uid="{803500C7-8FC4-4F3A-A3FE-762869B46AC9}"/>
    <cellStyle name="Comma 109 3" xfId="827" xr:uid="{71C0AE0C-6456-4970-956B-A54C8FE2117D}"/>
    <cellStyle name="Comma 109 3 2" xfId="1638" xr:uid="{C2C2720D-D5FD-4318-858D-E327FF25AEE8}"/>
    <cellStyle name="Comma 109 3 2 2" xfId="3171" xr:uid="{CE51891C-C67F-4B6B-9D0A-63D9222A7B9C}"/>
    <cellStyle name="Comma 109 3 3" xfId="2405" xr:uid="{D10B3514-C710-4DE3-954C-9DFF768FD640}"/>
    <cellStyle name="Comma 109 3 4" xfId="3970" xr:uid="{7B84C1F5-D317-43F5-BFD8-C4F795409070}"/>
    <cellStyle name="Comma 109 4" xfId="1257" xr:uid="{D99557C1-1AB7-40F0-8DCE-E90ADECB30FF}"/>
    <cellStyle name="Comma 109 4 2" xfId="2790" xr:uid="{C03C8DF6-C016-4469-AF80-E1D0C138DAB5}"/>
    <cellStyle name="Comma 109 5" xfId="2024" xr:uid="{0F669E72-F5B7-42B9-95EA-240E841FD5EB}"/>
    <cellStyle name="Comma 109 6" xfId="3559" xr:uid="{4811959A-57CF-45F9-B8CF-9FF2F57E1C38}"/>
    <cellStyle name="Comma 11" xfId="143" xr:uid="{E159AFD2-733C-4012-B035-B7D1B3A38BFB}"/>
    <cellStyle name="Comma 11 2" xfId="529" xr:uid="{D760B65F-4F2A-4F32-9C71-98D72B2382B5}"/>
    <cellStyle name="Comma 11 2 2" xfId="915" xr:uid="{1217E0A7-4B87-4E1A-90C2-A192A711D0DE}"/>
    <cellStyle name="Comma 11 2 2 2" xfId="1726" xr:uid="{E3BAAD61-5EDE-4D9E-AA2C-E267A741A18E}"/>
    <cellStyle name="Comma 11 2 2 2 2" xfId="3259" xr:uid="{6C8C5071-0380-42CB-A1BE-FABD91E7B38B}"/>
    <cellStyle name="Comma 11 2 2 3" xfId="2493" xr:uid="{983B44A4-6A4E-4A1A-A7F3-4847ECC4B989}"/>
    <cellStyle name="Comma 11 2 2 4" xfId="4058" xr:uid="{A704E393-B504-4559-957E-99AAD9E8048D}"/>
    <cellStyle name="Comma 11 2 3" xfId="1345" xr:uid="{9998B6D6-4E8C-4540-8613-D9CA6C872DB3}"/>
    <cellStyle name="Comma 11 2 3 2" xfId="2878" xr:uid="{600A367A-BDF3-49AA-A544-EBF7DC88CE80}"/>
    <cellStyle name="Comma 11 2 4" xfId="2112" xr:uid="{31F03EF5-6983-45DB-B4D9-25824DDE4264}"/>
    <cellStyle name="Comma 11 2 5" xfId="3647" xr:uid="{06E8F148-1B23-47C7-AF0C-B5AFCB4B83F8}"/>
    <cellStyle name="Comma 11 3" xfId="729" xr:uid="{5190F3AC-8A52-4410-9129-C0D129DDA2E2}"/>
    <cellStyle name="Comma 11 3 2" xfId="1540" xr:uid="{48D2BDB2-863A-432F-A45A-FD3BEC4F4970}"/>
    <cellStyle name="Comma 11 3 2 2" xfId="3073" xr:uid="{A63C3622-FC7A-46AA-A7F5-B69D2AA8B4C6}"/>
    <cellStyle name="Comma 11 3 3" xfId="2307" xr:uid="{4E8AA97C-46A6-491C-9B2C-1080FBD73554}"/>
    <cellStyle name="Comma 11 3 4" xfId="3872" xr:uid="{837FDDD8-7629-495F-8142-C02290D10B57}"/>
    <cellStyle name="Comma 11 4" xfId="1159" xr:uid="{FAC4905F-9479-4E93-BACC-6F02021770C5}"/>
    <cellStyle name="Comma 11 4 2" xfId="2692" xr:uid="{370F4BE4-BBBB-4C87-8DFC-60812CE6E2B6}"/>
    <cellStyle name="Comma 11 5" xfId="1926" xr:uid="{45C7AA4D-C7F4-492B-A701-B4C671AF620A}"/>
    <cellStyle name="Comma 11 6" xfId="3461" xr:uid="{CD321F30-308B-43E6-BBB9-0D52CF5D9E87}"/>
    <cellStyle name="Comma 110" xfId="291" xr:uid="{A84D7B23-D420-49F8-991A-CEBED43FDF5B}"/>
    <cellStyle name="Comma 110 2" xfId="624" xr:uid="{6F6D1F5A-08B2-4A5E-8A75-21C96A973EF4}"/>
    <cellStyle name="Comma 110 2 2" xfId="1010" xr:uid="{AE92A47C-01D7-48B9-B401-DE5B69781071}"/>
    <cellStyle name="Comma 110 2 2 2" xfId="1821" xr:uid="{6CF90B99-DB88-498C-837E-DB0D55729DCB}"/>
    <cellStyle name="Comma 110 2 2 2 2" xfId="3354" xr:uid="{DE6ADD22-E871-41E2-8576-7FC6326237AF}"/>
    <cellStyle name="Comma 110 2 2 3" xfId="2588" xr:uid="{342A29E0-E242-4113-A127-1384B38B6A9A}"/>
    <cellStyle name="Comma 110 2 2 4" xfId="4153" xr:uid="{B9EFD7E0-5BF5-4D79-A4E9-80908B86AD01}"/>
    <cellStyle name="Comma 110 2 3" xfId="1440" xr:uid="{9A897DDD-FC8A-48E9-B749-EBD13FF2FB2D}"/>
    <cellStyle name="Comma 110 2 3 2" xfId="2973" xr:uid="{D5751F75-688B-4794-AB1D-1D162F8C8BB4}"/>
    <cellStyle name="Comma 110 2 4" xfId="2207" xr:uid="{A3DBBE4F-8796-4388-A60D-99EC135FCDEE}"/>
    <cellStyle name="Comma 110 2 5" xfId="3742" xr:uid="{A0C4563C-5323-445A-AD3B-0D7B40C88E13}"/>
    <cellStyle name="Comma 110 3" xfId="824" xr:uid="{BF2B43EF-9552-4BE6-8FE0-4F989CB2DFEE}"/>
    <cellStyle name="Comma 110 3 2" xfId="1635" xr:uid="{B38A77A0-1408-48E8-A122-3963AB9F146B}"/>
    <cellStyle name="Comma 110 3 2 2" xfId="3168" xr:uid="{C3640DC6-166B-4A80-A98D-DD721CE89C6F}"/>
    <cellStyle name="Comma 110 3 3" xfId="2402" xr:uid="{F638B106-7C2E-4933-8DE4-A63A407FEAD7}"/>
    <cellStyle name="Comma 110 3 4" xfId="3967" xr:uid="{92F1E6FA-4A2E-4B99-AF8E-1A10247ECDCA}"/>
    <cellStyle name="Comma 110 4" xfId="1254" xr:uid="{AF6B3F7B-E6CD-4302-877E-79C9276C8225}"/>
    <cellStyle name="Comma 110 4 2" xfId="2787" xr:uid="{1542FC69-5E66-46F0-A2C6-057768252646}"/>
    <cellStyle name="Comma 110 5" xfId="2021" xr:uid="{CA747361-7603-430C-AC3C-8F05C6BB13C4}"/>
    <cellStyle name="Comma 110 6" xfId="3556" xr:uid="{AE0C1833-024C-4416-99C6-C1837B739DDA}"/>
    <cellStyle name="Comma 111" xfId="298" xr:uid="{F2707DB0-EE28-4BDE-B8C4-E3CDA8F66112}"/>
    <cellStyle name="Comma 111 2" xfId="631" xr:uid="{9EC9C608-6CE9-4C45-ADEE-817FA5EC1E90}"/>
    <cellStyle name="Comma 111 2 2" xfId="1017" xr:uid="{315A297F-2C40-4FCD-B661-6C6CD3263697}"/>
    <cellStyle name="Comma 111 2 2 2" xfId="1828" xr:uid="{EC151C32-8CDA-4C2A-84F2-71EA35A141E1}"/>
    <cellStyle name="Comma 111 2 2 2 2" xfId="3361" xr:uid="{B9E0012C-C060-476F-AA5A-90517BAB3D98}"/>
    <cellStyle name="Comma 111 2 2 3" xfId="2595" xr:uid="{9CFCE920-72D6-4A18-9ACC-B7A769DC57B3}"/>
    <cellStyle name="Comma 111 2 2 4" xfId="4160" xr:uid="{807E0BF9-A969-495F-BCBD-D7870C29CA08}"/>
    <cellStyle name="Comma 111 2 3" xfId="1447" xr:uid="{6FE52ADA-6446-4049-8D14-7E48B8977439}"/>
    <cellStyle name="Comma 111 2 3 2" xfId="2980" xr:uid="{D0483A29-EB84-4E62-9E00-BC883E450629}"/>
    <cellStyle name="Comma 111 2 4" xfId="2214" xr:uid="{CB5EB3FE-CAA2-461C-878F-D289B517FEB7}"/>
    <cellStyle name="Comma 111 2 5" xfId="3749" xr:uid="{18A14A8B-F197-4BBB-8CF7-E7BB54C4E35A}"/>
    <cellStyle name="Comma 111 3" xfId="831" xr:uid="{3D4FE87C-1C5C-41F6-9603-64DB27C3E1B1}"/>
    <cellStyle name="Comma 111 3 2" xfId="1642" xr:uid="{7F49D463-D6AD-4F01-B5E9-4F63281513C3}"/>
    <cellStyle name="Comma 111 3 2 2" xfId="3175" xr:uid="{522044C1-E4E3-483B-A79E-A9541B870528}"/>
    <cellStyle name="Comma 111 3 3" xfId="2409" xr:uid="{B023E752-2993-48A4-B6A0-2302C7D39032}"/>
    <cellStyle name="Comma 111 3 4" xfId="3974" xr:uid="{982B2DFE-FEEE-43C0-B043-2F5E6044C554}"/>
    <cellStyle name="Comma 111 4" xfId="1261" xr:uid="{612CD16B-7A16-4CC8-B2E2-5B97C8A96133}"/>
    <cellStyle name="Comma 111 4 2" xfId="2794" xr:uid="{8ECBEC9D-047B-4A65-8575-772AFFB9C4D6}"/>
    <cellStyle name="Comma 111 5" xfId="2028" xr:uid="{4A6E41D8-861D-4286-B6D6-698683A5ED2C}"/>
    <cellStyle name="Comma 111 6" xfId="3563" xr:uid="{2A045279-B588-4593-9C48-2F979C451F21}"/>
    <cellStyle name="Comma 112" xfId="300" xr:uid="{01EAB711-86A8-4422-A3B9-855F5BC23A75}"/>
    <cellStyle name="Comma 112 2" xfId="633" xr:uid="{683D31EF-8105-410F-AB64-2F392853BE3D}"/>
    <cellStyle name="Comma 112 2 2" xfId="1019" xr:uid="{03935FFC-B6AF-4A67-A781-D02C8F9FE8C0}"/>
    <cellStyle name="Comma 112 2 2 2" xfId="1830" xr:uid="{ED51E90D-8EDE-489C-A997-C8BD83F4EBEB}"/>
    <cellStyle name="Comma 112 2 2 2 2" xfId="3363" xr:uid="{6A9EF379-1AF2-4F20-8A7F-45BFDA8C8381}"/>
    <cellStyle name="Comma 112 2 2 3" xfId="2597" xr:uid="{01F24DC8-D086-40ED-A8EA-47406C3ED9FF}"/>
    <cellStyle name="Comma 112 2 2 4" xfId="4162" xr:uid="{FA89F220-7E99-4951-8F06-07DA4A5FDA70}"/>
    <cellStyle name="Comma 112 2 3" xfId="1449" xr:uid="{CACBA6BB-8DB9-4E81-8E40-D8C6D93AE866}"/>
    <cellStyle name="Comma 112 2 3 2" xfId="2982" xr:uid="{66772D8D-925C-4B2A-9C39-504281FD8173}"/>
    <cellStyle name="Comma 112 2 4" xfId="2216" xr:uid="{55D213C9-333E-40B2-A477-609D111D2FC8}"/>
    <cellStyle name="Comma 112 2 5" xfId="3751" xr:uid="{18506B2A-C6F7-4416-A130-CDF5618BFBDA}"/>
    <cellStyle name="Comma 112 3" xfId="833" xr:uid="{F2C38F2B-BAAE-4397-9C7A-013FFF92BDE5}"/>
    <cellStyle name="Comma 112 3 2" xfId="1644" xr:uid="{0651D1DC-DF84-4426-865E-92457AD2691D}"/>
    <cellStyle name="Comma 112 3 2 2" xfId="3177" xr:uid="{BD0DA62E-9127-42E3-B97A-2F7BFFF8003F}"/>
    <cellStyle name="Comma 112 3 3" xfId="2411" xr:uid="{C6AB391B-DBD7-4E50-B35A-D5AA413554B5}"/>
    <cellStyle name="Comma 112 3 4" xfId="3976" xr:uid="{A1448568-4106-490C-83F0-C4E2E4CFFB5E}"/>
    <cellStyle name="Comma 112 4" xfId="1263" xr:uid="{B9350B47-8D30-4AB4-B2BA-52D88EA627EC}"/>
    <cellStyle name="Comma 112 4 2" xfId="2796" xr:uid="{0D0AAE7A-162E-4405-BE6D-9018657C3A6C}"/>
    <cellStyle name="Comma 112 5" xfId="2030" xr:uid="{549632A0-F09B-4737-BACC-B71DE4023F7B}"/>
    <cellStyle name="Comma 112 6" xfId="3565" xr:uid="{524EE41B-E07D-400B-9F2D-2CE4CB29108F}"/>
    <cellStyle name="Comma 113" xfId="302" xr:uid="{16910F27-BD4F-4C67-B93F-02E0D877F014}"/>
    <cellStyle name="Comma 113 2" xfId="634" xr:uid="{91FB00A4-1D9C-4CBC-87C7-3F4DB0017B80}"/>
    <cellStyle name="Comma 113 2 2" xfId="1020" xr:uid="{B1AC10D3-D619-4A4D-9A48-3868DAA1B30E}"/>
    <cellStyle name="Comma 113 2 2 2" xfId="1831" xr:uid="{4F985E37-1485-4A62-9ED6-20B37E7923DB}"/>
    <cellStyle name="Comma 113 2 2 2 2" xfId="3364" xr:uid="{3AC9A3E6-3F1A-403F-B90A-E7F450B3AD18}"/>
    <cellStyle name="Comma 113 2 2 3" xfId="2598" xr:uid="{9D59EB7E-E3BD-44CD-94AB-0341BF6CB7B8}"/>
    <cellStyle name="Comma 113 2 2 4" xfId="4163" xr:uid="{661600BF-85F3-48D4-AFD8-0F588D1C34A6}"/>
    <cellStyle name="Comma 113 2 3" xfId="1450" xr:uid="{F4D264CB-891B-4856-92A2-B5CE9B7A641C}"/>
    <cellStyle name="Comma 113 2 3 2" xfId="2983" xr:uid="{00E5713D-F522-4E4B-9DAF-E3AE4B32B894}"/>
    <cellStyle name="Comma 113 2 4" xfId="2217" xr:uid="{A8C8EFAC-61B1-4401-90FB-0C687AABAB70}"/>
    <cellStyle name="Comma 113 2 5" xfId="3752" xr:uid="{B5CDD0F8-0074-4229-961B-FD22D7E2BCF7}"/>
    <cellStyle name="Comma 113 3" xfId="834" xr:uid="{372B0769-17E3-4A1F-BB99-1F8B87A33CFE}"/>
    <cellStyle name="Comma 113 3 2" xfId="1645" xr:uid="{15F71262-7914-4537-9368-B485471EA8DC}"/>
    <cellStyle name="Comma 113 3 2 2" xfId="3178" xr:uid="{A1107D8B-6E4F-44A8-BA38-6476B5C27FE7}"/>
    <cellStyle name="Comma 113 3 3" xfId="2412" xr:uid="{E8F07EFC-A934-4B12-89B3-705960D96B9B}"/>
    <cellStyle name="Comma 113 3 4" xfId="3977" xr:uid="{0A513628-4482-4351-B57B-D9CB2DBDA4F5}"/>
    <cellStyle name="Comma 113 4" xfId="1264" xr:uid="{E8913443-B19C-46E3-8D78-0C427E11EB2A}"/>
    <cellStyle name="Comma 113 4 2" xfId="2797" xr:uid="{FDFFFAD6-EE73-4FB2-9A92-CE839168DD5C}"/>
    <cellStyle name="Comma 113 5" xfId="2031" xr:uid="{C1D1560D-35EC-4F3C-8A90-6DF4DDB6C96A}"/>
    <cellStyle name="Comma 113 6" xfId="3566" xr:uid="{1CD1223E-674B-4D1E-8F3A-CE2EE1E35DA2}"/>
    <cellStyle name="Comma 114" xfId="309" xr:uid="{328AA161-560A-48BF-946D-655AFF5C0099}"/>
    <cellStyle name="Comma 114 2" xfId="638" xr:uid="{87010062-4248-4EB1-80D4-DEBE2AF87CF4}"/>
    <cellStyle name="Comma 114 2 2" xfId="1024" xr:uid="{226068EE-8708-4E06-818A-7C6161DDB7F2}"/>
    <cellStyle name="Comma 114 2 2 2" xfId="1835" xr:uid="{3334975E-E4C9-4C36-9595-B3F660064A1F}"/>
    <cellStyle name="Comma 114 2 2 2 2" xfId="3368" xr:uid="{D2D77D50-03A7-452A-9477-CDA461F0A1CF}"/>
    <cellStyle name="Comma 114 2 2 3" xfId="2602" xr:uid="{F579E75F-788E-489A-82ED-A51772B93D1F}"/>
    <cellStyle name="Comma 114 2 2 4" xfId="4167" xr:uid="{E552A950-E79E-4924-9AA4-95C3C949D2F0}"/>
    <cellStyle name="Comma 114 2 3" xfId="1454" xr:uid="{B6099805-0324-46E7-BB6C-245E2B11B458}"/>
    <cellStyle name="Comma 114 2 3 2" xfId="2987" xr:uid="{2D34C4D7-F676-455B-8D3C-9702552A8CAD}"/>
    <cellStyle name="Comma 114 2 4" xfId="2221" xr:uid="{17480545-CDD3-4A12-AF4A-E8FE0551D585}"/>
    <cellStyle name="Comma 114 2 5" xfId="3756" xr:uid="{B31C4134-D242-4B19-899B-7AC8BA2312D8}"/>
    <cellStyle name="Comma 114 3" xfId="838" xr:uid="{9293FFBE-2456-410A-9AAE-2F71F177E89C}"/>
    <cellStyle name="Comma 114 3 2" xfId="1649" xr:uid="{A8E5A7EB-CA96-4C0C-977B-4CE98A1FEC25}"/>
    <cellStyle name="Comma 114 3 2 2" xfId="3182" xr:uid="{85D50C9B-1803-4C71-AFB6-8C9C03E866C6}"/>
    <cellStyle name="Comma 114 3 3" xfId="2416" xr:uid="{4E760B51-DC27-45AC-85A2-F33B284A2E45}"/>
    <cellStyle name="Comma 114 3 4" xfId="3981" xr:uid="{2813F7C1-70A4-4765-AF3B-342656D80E7E}"/>
    <cellStyle name="Comma 114 4" xfId="1268" xr:uid="{1ACC8939-009B-46CA-B777-1B5052AF8BA0}"/>
    <cellStyle name="Comma 114 4 2" xfId="2801" xr:uid="{3AF73B2B-1A1B-4B46-8FCE-88C0EA862566}"/>
    <cellStyle name="Comma 114 5" xfId="2035" xr:uid="{20B9BD7F-1500-41C1-A230-6E9CD3F49BA0}"/>
    <cellStyle name="Comma 114 6" xfId="3570" xr:uid="{4130718A-0C43-45C0-AFE6-BBD5ED73966D}"/>
    <cellStyle name="Comma 115" xfId="304" xr:uid="{1A21E1A3-8170-49D9-B1E1-E5A68FFDB401}"/>
    <cellStyle name="Comma 115 2" xfId="636" xr:uid="{16896B6C-F1F9-47E6-AABB-B6CA1A0948B9}"/>
    <cellStyle name="Comma 115 2 2" xfId="1022" xr:uid="{0C695899-8C7A-4CE6-91AD-81E411C5D768}"/>
    <cellStyle name="Comma 115 2 2 2" xfId="1833" xr:uid="{E986706B-6CAF-4AEE-B90E-BD7389A93702}"/>
    <cellStyle name="Comma 115 2 2 2 2" xfId="3366" xr:uid="{6CAC0954-2844-43E7-9271-7833E397598E}"/>
    <cellStyle name="Comma 115 2 2 3" xfId="2600" xr:uid="{AB5B355A-789E-41BD-99C9-BC6FBD4A9F0C}"/>
    <cellStyle name="Comma 115 2 2 4" xfId="4165" xr:uid="{1E6C140A-CCC5-42EE-9FA5-775F445BF712}"/>
    <cellStyle name="Comma 115 2 3" xfId="1452" xr:uid="{B898977F-A17C-4450-8D05-4F334D899B92}"/>
    <cellStyle name="Comma 115 2 3 2" xfId="2985" xr:uid="{76E4EE3E-E967-4D87-BBE9-3862306B5C8A}"/>
    <cellStyle name="Comma 115 2 4" xfId="2219" xr:uid="{58E2AB1F-D23E-4A25-B852-AF626446E27D}"/>
    <cellStyle name="Comma 115 2 5" xfId="3754" xr:uid="{43E3FFE2-5CC6-4871-B454-379A0A65F68E}"/>
    <cellStyle name="Comma 115 3" xfId="836" xr:uid="{8C630AFB-045B-4EBC-9B6D-EF3C7D1D889F}"/>
    <cellStyle name="Comma 115 3 2" xfId="1647" xr:uid="{40409257-DE7E-4045-829F-765F4D14B561}"/>
    <cellStyle name="Comma 115 3 2 2" xfId="3180" xr:uid="{C779A2E4-1DB9-4D69-A712-0E2C49E7F50D}"/>
    <cellStyle name="Comma 115 3 3" xfId="2414" xr:uid="{B9FB5A54-97B7-4CCC-A427-4704E2B7CB35}"/>
    <cellStyle name="Comma 115 3 4" xfId="3979" xr:uid="{B06E4346-26ED-4FC3-9EB4-18791B0E1B93}"/>
    <cellStyle name="Comma 115 4" xfId="1266" xr:uid="{A5F9940A-E859-4DDA-B787-D6D0D557CF7C}"/>
    <cellStyle name="Comma 115 4 2" xfId="2799" xr:uid="{4BA13AD8-80E5-4E98-9244-2227E2F555BA}"/>
    <cellStyle name="Comma 115 5" xfId="2033" xr:uid="{F14D70A0-3005-4F40-AEB8-E5EE9A56B8FC}"/>
    <cellStyle name="Comma 115 6" xfId="3568" xr:uid="{6E7CFA9D-F8B8-49D2-B1E2-6F01F4A54046}"/>
    <cellStyle name="Comma 116" xfId="311" xr:uid="{4661DDD0-F6AC-42A5-930B-B0F5C0E53767}"/>
    <cellStyle name="Comma 116 2" xfId="640" xr:uid="{E81D55D2-1763-47A2-87FD-240E5D6576FC}"/>
    <cellStyle name="Comma 116 2 2" xfId="1026" xr:uid="{2BA919B6-EFFA-4065-91CB-1C0616628A92}"/>
    <cellStyle name="Comma 116 2 2 2" xfId="1837" xr:uid="{54B61C74-9468-45FF-93D5-874A134F8B62}"/>
    <cellStyle name="Comma 116 2 2 2 2" xfId="3370" xr:uid="{A86F8495-322E-46C0-84BF-C53E23465D0F}"/>
    <cellStyle name="Comma 116 2 2 3" xfId="2604" xr:uid="{60C9051F-C144-4D78-98D5-6445ED809A67}"/>
    <cellStyle name="Comma 116 2 2 4" xfId="4169" xr:uid="{BD7D5240-8AA2-4D4F-AAF0-FC885A6C98FE}"/>
    <cellStyle name="Comma 116 2 3" xfId="1456" xr:uid="{E6E458D5-6F7A-4254-99D7-C24E929E066F}"/>
    <cellStyle name="Comma 116 2 3 2" xfId="2989" xr:uid="{8F9C8A28-63DD-4A6F-9820-778950BCABB3}"/>
    <cellStyle name="Comma 116 2 4" xfId="2223" xr:uid="{F101A41E-A0ED-45E3-A290-D241D5076CD2}"/>
    <cellStyle name="Comma 116 2 5" xfId="3758" xr:uid="{8C35B390-FCB3-496D-8661-69EC8D76CF87}"/>
    <cellStyle name="Comma 116 3" xfId="840" xr:uid="{2C4E0DBD-CB6C-43E8-BFF2-50A649865009}"/>
    <cellStyle name="Comma 116 3 2" xfId="1651" xr:uid="{2517CDF5-C470-42DB-9C7F-899789025EFF}"/>
    <cellStyle name="Comma 116 3 2 2" xfId="3184" xr:uid="{9A09D94D-34E4-4486-A9AA-FE714014FA8A}"/>
    <cellStyle name="Comma 116 3 3" xfId="2418" xr:uid="{658C7751-E8B7-43A7-8639-E03EEB7635C5}"/>
    <cellStyle name="Comma 116 3 4" xfId="3983" xr:uid="{EC39EBC0-63DA-4517-94E4-4FDB6710B42F}"/>
    <cellStyle name="Comma 116 4" xfId="1270" xr:uid="{AB7ECD5B-D873-46E1-858B-E77A69CD6C48}"/>
    <cellStyle name="Comma 116 4 2" xfId="2803" xr:uid="{15514F01-9748-45A7-B105-9BD27C3C2738}"/>
    <cellStyle name="Comma 116 5" xfId="2037" xr:uid="{CA4311F9-2382-4846-B165-B3639B8DCC4F}"/>
    <cellStyle name="Comma 116 6" xfId="3572" xr:uid="{96043BFA-799E-48CC-A6D9-30BD962B8A2A}"/>
    <cellStyle name="Comma 117" xfId="308" xr:uid="{7C0BB6E2-5718-41E2-9BC7-7093ADDABBDA}"/>
    <cellStyle name="Comma 117 2" xfId="637" xr:uid="{4C4E5F6C-2962-47A8-8DFF-B23B86634E3F}"/>
    <cellStyle name="Comma 117 2 2" xfId="1023" xr:uid="{0B260404-C8CF-4DCB-9110-5B90C86BC395}"/>
    <cellStyle name="Comma 117 2 2 2" xfId="1834" xr:uid="{ECC0F867-AF0A-4EDE-B922-2F76EB0C5E1C}"/>
    <cellStyle name="Comma 117 2 2 2 2" xfId="3367" xr:uid="{3C85D103-A912-4126-A466-759847D5DF0A}"/>
    <cellStyle name="Comma 117 2 2 3" xfId="2601" xr:uid="{BE72C150-1564-47A6-B204-F493A5ED61AD}"/>
    <cellStyle name="Comma 117 2 2 4" xfId="4166" xr:uid="{37E50EE7-F79A-4E7A-9C17-631E23B27960}"/>
    <cellStyle name="Comma 117 2 3" xfId="1453" xr:uid="{11060E0A-D44A-40D0-AEAC-AFDFF63ECF1F}"/>
    <cellStyle name="Comma 117 2 3 2" xfId="2986" xr:uid="{4BD0B5CF-F063-4E9F-8411-CE5730CB617C}"/>
    <cellStyle name="Comma 117 2 4" xfId="2220" xr:uid="{CE5C5DE4-02D7-44F6-B5DC-B092F3EA2EF1}"/>
    <cellStyle name="Comma 117 2 5" xfId="3755" xr:uid="{44CE9D01-039A-4EB8-9585-FD1B4D6E3E48}"/>
    <cellStyle name="Comma 117 3" xfId="837" xr:uid="{8257E7B6-D94F-4D6A-8880-16EF54239672}"/>
    <cellStyle name="Comma 117 3 2" xfId="1648" xr:uid="{2B050760-9C42-4A86-AA3F-C181941DF9EB}"/>
    <cellStyle name="Comma 117 3 2 2" xfId="3181" xr:uid="{919BB024-ABF3-4250-AC0A-D8D0558FCFB1}"/>
    <cellStyle name="Comma 117 3 3" xfId="2415" xr:uid="{28C6F549-82F6-4F36-B890-D3017E1052AB}"/>
    <cellStyle name="Comma 117 3 4" xfId="3980" xr:uid="{AFEDCBFD-9FC5-4413-BCED-5EDAE3434C43}"/>
    <cellStyle name="Comma 117 4" xfId="1267" xr:uid="{1AE65098-65C7-4F87-8682-592A9144DE34}"/>
    <cellStyle name="Comma 117 4 2" xfId="2800" xr:uid="{577E2AAF-44CB-4713-BD86-68D6C7E3EE3A}"/>
    <cellStyle name="Comma 117 5" xfId="2034" xr:uid="{D30BBFBC-F9B4-49FF-912F-EC2957781B88}"/>
    <cellStyle name="Comma 117 6" xfId="3569" xr:uid="{1A321DF3-B3E1-4107-B84B-C1C67FD46D68}"/>
    <cellStyle name="Comma 118" xfId="317" xr:uid="{2C7D74D8-F708-469F-B215-5BF351EB59F1}"/>
    <cellStyle name="Comma 118 2" xfId="643" xr:uid="{4CE97B5E-A4AA-4EA9-AB0C-864621B0B764}"/>
    <cellStyle name="Comma 118 2 2" xfId="1029" xr:uid="{D6322CF7-FCDA-413C-A2AE-245D72979627}"/>
    <cellStyle name="Comma 118 2 2 2" xfId="1840" xr:uid="{3222E6F3-4173-4DA4-B512-7DD50656A954}"/>
    <cellStyle name="Comma 118 2 2 2 2" xfId="3373" xr:uid="{37EACCD2-1B18-4C1A-AEA5-EA6B87FD8697}"/>
    <cellStyle name="Comma 118 2 2 3" xfId="2607" xr:uid="{EFB5B92E-5674-4C04-B096-6DF38CDA26FC}"/>
    <cellStyle name="Comma 118 2 2 4" xfId="4172" xr:uid="{481E17BC-D917-4E8F-9293-B673BFE703ED}"/>
    <cellStyle name="Comma 118 2 3" xfId="1459" xr:uid="{FCC548FD-2371-492F-BC73-793BA29C3101}"/>
    <cellStyle name="Comma 118 2 3 2" xfId="2992" xr:uid="{268C56A7-2879-44C9-8CCC-DC14345BFFB8}"/>
    <cellStyle name="Comma 118 2 4" xfId="2226" xr:uid="{4AA1D388-3580-4FD4-9267-B6B22C5F68EB}"/>
    <cellStyle name="Comma 118 2 5" xfId="3761" xr:uid="{2D6A4375-833F-4764-AF33-27CF42B55449}"/>
    <cellStyle name="Comma 118 3" xfId="843" xr:uid="{750E618C-6B58-405A-BA71-2D5098B98393}"/>
    <cellStyle name="Comma 118 3 2" xfId="1654" xr:uid="{604E0BAF-DF92-4EC8-9301-535E38D5EDC1}"/>
    <cellStyle name="Comma 118 3 2 2" xfId="3187" xr:uid="{A661E413-112A-44D5-9CE8-489DE63B6B6E}"/>
    <cellStyle name="Comma 118 3 3" xfId="2421" xr:uid="{7C49BDB6-E55B-421A-B077-3B557BD111BC}"/>
    <cellStyle name="Comma 118 3 4" xfId="3986" xr:uid="{AE4CAD72-1BC2-4329-B203-0DB831F8084E}"/>
    <cellStyle name="Comma 118 4" xfId="1273" xr:uid="{6EBE301A-5390-4B83-8B8C-3420A8874690}"/>
    <cellStyle name="Comma 118 4 2" xfId="2806" xr:uid="{126FB646-3BB6-40D0-881E-DCA8314A3A8B}"/>
    <cellStyle name="Comma 118 5" xfId="2040" xr:uid="{BFB50C14-F9E5-4173-B70A-12AFA1BCF25E}"/>
    <cellStyle name="Comma 118 6" xfId="3575" xr:uid="{DD543C26-F446-4D4A-8468-D14821FB4D6C}"/>
    <cellStyle name="Comma 119" xfId="310" xr:uid="{FCBAD500-FAF9-4A62-811D-DAC864031F93}"/>
    <cellStyle name="Comma 119 2" xfId="639" xr:uid="{4A15FDF0-DDE0-4FF1-A06E-C298A34CF26D}"/>
    <cellStyle name="Comma 119 2 2" xfId="1025" xr:uid="{6D6B4D8D-660B-4BD6-B2CF-F2A2A7F286E0}"/>
    <cellStyle name="Comma 119 2 2 2" xfId="1836" xr:uid="{00D7FB92-BDA9-4562-A752-69F3CF6A49A6}"/>
    <cellStyle name="Comma 119 2 2 2 2" xfId="3369" xr:uid="{215C1777-55DD-4211-A147-C7A4EDB1FC60}"/>
    <cellStyle name="Comma 119 2 2 3" xfId="2603" xr:uid="{D0BBFF6F-0A47-4F22-BD20-65673B13C52D}"/>
    <cellStyle name="Comma 119 2 2 4" xfId="4168" xr:uid="{4D1F58B9-2F47-4CDC-BA9F-BD505E64E1E9}"/>
    <cellStyle name="Comma 119 2 3" xfId="1455" xr:uid="{EA90201A-7F0A-46DB-A469-3B6914B06F6B}"/>
    <cellStyle name="Comma 119 2 3 2" xfId="2988" xr:uid="{90802BB4-624E-4175-B071-AF8BFB0E4D92}"/>
    <cellStyle name="Comma 119 2 4" xfId="2222" xr:uid="{441B19EF-0D07-4C1D-B3E7-7283D8A6AEC3}"/>
    <cellStyle name="Comma 119 2 5" xfId="3757" xr:uid="{595A5C0D-8F7C-4FC6-A2E3-F4272B2A569E}"/>
    <cellStyle name="Comma 119 3" xfId="839" xr:uid="{0370F3F1-C4FB-4196-BB4B-6DBEADC52C3E}"/>
    <cellStyle name="Comma 119 3 2" xfId="1650" xr:uid="{B1FA786F-4887-42C1-ABD6-06D7CFCF5399}"/>
    <cellStyle name="Comma 119 3 2 2" xfId="3183" xr:uid="{2649EF4B-6695-4FDA-B277-68E0EB3C840D}"/>
    <cellStyle name="Comma 119 3 3" xfId="2417" xr:uid="{EB56D81E-2AD0-4C0E-95F7-3365631CF4F9}"/>
    <cellStyle name="Comma 119 3 4" xfId="3982" xr:uid="{3240AF93-E7F6-42E8-9A3F-6540190A8641}"/>
    <cellStyle name="Comma 119 4" xfId="1269" xr:uid="{8907C204-2497-470F-8EE3-37B502171FF0}"/>
    <cellStyle name="Comma 119 4 2" xfId="2802" xr:uid="{2B92F575-F9BC-4A52-8190-518B47204688}"/>
    <cellStyle name="Comma 119 5" xfId="2036" xr:uid="{E4798130-029F-4C1A-BB55-1DB39A6966B4}"/>
    <cellStyle name="Comma 119 6" xfId="3571" xr:uid="{6BFB49EB-5F0E-4D73-9931-D6B2B59FF85B}"/>
    <cellStyle name="Comma 12" xfId="148" xr:uid="{457C0CD7-9F3E-4251-9CA1-8C18657CE776}"/>
    <cellStyle name="Comma 12 2" xfId="533" xr:uid="{5F55AED5-8997-4144-B779-7667467C7729}"/>
    <cellStyle name="Comma 12 2 2" xfId="919" xr:uid="{C1723CF8-AEEC-4C79-B89D-C2BD1B3C4426}"/>
    <cellStyle name="Comma 12 2 2 2" xfId="1730" xr:uid="{22AA18C9-C093-4D26-B4BB-EA8D2EF764F1}"/>
    <cellStyle name="Comma 12 2 2 2 2" xfId="3263" xr:uid="{D77498E6-C60D-41EF-9D75-66CB2D35DED9}"/>
    <cellStyle name="Comma 12 2 2 3" xfId="2497" xr:uid="{C99B3769-4E1F-4E31-B1D5-238B6FA41EFA}"/>
    <cellStyle name="Comma 12 2 2 4" xfId="4062" xr:uid="{683C5CC0-A898-44BF-B23B-3358ED3FC7D5}"/>
    <cellStyle name="Comma 12 2 3" xfId="1349" xr:uid="{36603C5E-8D27-4479-BA6A-85D296FA5B52}"/>
    <cellStyle name="Comma 12 2 3 2" xfId="2882" xr:uid="{E212368D-51DF-4D8A-985E-69619BCC516B}"/>
    <cellStyle name="Comma 12 2 4" xfId="2116" xr:uid="{EA9A7AAA-E0BA-479B-A924-8A5DFBF22D83}"/>
    <cellStyle name="Comma 12 2 5" xfId="3651" xr:uid="{6615AFDB-A091-489F-9AF9-432ECD8CF0FB}"/>
    <cellStyle name="Comma 12 3" xfId="733" xr:uid="{AC6175F1-BF1E-4E00-B598-6E50A571544D}"/>
    <cellStyle name="Comma 12 3 2" xfId="1544" xr:uid="{001C937F-2390-47CA-87DD-BD4C4D779928}"/>
    <cellStyle name="Comma 12 3 2 2" xfId="3077" xr:uid="{280238B1-140F-4272-8A04-94B0C570C454}"/>
    <cellStyle name="Comma 12 3 3" xfId="2311" xr:uid="{4C3C7037-1487-4B7C-9B42-54A8954F664F}"/>
    <cellStyle name="Comma 12 3 4" xfId="3876" xr:uid="{8EE22335-8294-45CF-8D32-45428DFD7C3A}"/>
    <cellStyle name="Comma 12 4" xfId="1163" xr:uid="{FFCF7720-F056-4A28-B1BA-D05902F57052}"/>
    <cellStyle name="Comma 12 4 2" xfId="2696" xr:uid="{5CE7B30E-CD44-4EBE-A0F6-A6EBB1BFCAA5}"/>
    <cellStyle name="Comma 12 5" xfId="1930" xr:uid="{D3EB8CE1-3ED3-4874-9CB5-D48D7B9272C4}"/>
    <cellStyle name="Comma 12 6" xfId="3465" xr:uid="{255560D3-6E60-4177-9F9A-3B3E0527DCE2}"/>
    <cellStyle name="Comma 120" xfId="315" xr:uid="{79AC30FA-6DF1-46B5-B8BC-504F4A5A2583}"/>
    <cellStyle name="Comma 120 2" xfId="642" xr:uid="{548BC5FF-CFCF-4010-A56B-032AEA446F66}"/>
    <cellStyle name="Comma 120 2 2" xfId="1028" xr:uid="{B193E8FE-93B5-4566-9390-DF3E63E05D3A}"/>
    <cellStyle name="Comma 120 2 2 2" xfId="1839" xr:uid="{C918808A-83A2-462D-89FE-43F0FA686AAA}"/>
    <cellStyle name="Comma 120 2 2 2 2" xfId="3372" xr:uid="{34AA2B3A-E493-4830-93D7-BEC032676D14}"/>
    <cellStyle name="Comma 120 2 2 3" xfId="2606" xr:uid="{4A6F77C7-B3CC-4359-AB32-2F45D661D40E}"/>
    <cellStyle name="Comma 120 2 2 4" xfId="4171" xr:uid="{B05BDDDB-F4E2-4BF7-A58C-5817F3EA59D7}"/>
    <cellStyle name="Comma 120 2 3" xfId="1458" xr:uid="{DE598961-ACD7-4A21-B351-9FB79642F686}"/>
    <cellStyle name="Comma 120 2 3 2" xfId="2991" xr:uid="{CC5A2161-0FB6-496E-AD8F-25BF312A46C1}"/>
    <cellStyle name="Comma 120 2 4" xfId="2225" xr:uid="{AA9F1A45-139E-4031-824C-8CE897AA72FB}"/>
    <cellStyle name="Comma 120 2 5" xfId="3760" xr:uid="{604BBCB3-7965-46E3-87DC-3C031B2166AF}"/>
    <cellStyle name="Comma 120 3" xfId="842" xr:uid="{D5C28FD8-F8DA-4A7A-AE34-82A5414453E3}"/>
    <cellStyle name="Comma 120 3 2" xfId="1653" xr:uid="{21BB9533-8A4B-4C5D-AD08-64B8D31E1A41}"/>
    <cellStyle name="Comma 120 3 2 2" xfId="3186" xr:uid="{D0CFF76E-C85E-41DD-874E-63E343D97D11}"/>
    <cellStyle name="Comma 120 3 3" xfId="2420" xr:uid="{F3B8D09D-AFE6-43AE-B3DD-AC6FD57BB52B}"/>
    <cellStyle name="Comma 120 3 4" xfId="3985" xr:uid="{2647C8E9-C4F9-4CEA-BD5A-37C8169E5EB1}"/>
    <cellStyle name="Comma 120 4" xfId="1272" xr:uid="{F876CCE7-B85E-40AB-8A71-037CE6B290C8}"/>
    <cellStyle name="Comma 120 4 2" xfId="2805" xr:uid="{69039B11-CE57-4729-BA3C-B14DB8D715FB}"/>
    <cellStyle name="Comma 120 5" xfId="2039" xr:uid="{B9FAC2BA-E947-41A7-907C-CD86B5CC8F60}"/>
    <cellStyle name="Comma 120 6" xfId="3574" xr:uid="{F84D1090-558E-4347-8F53-896E34A82C46}"/>
    <cellStyle name="Comma 121" xfId="320" xr:uid="{AC81486E-35FA-47AE-8CC5-CA49965E30B8}"/>
    <cellStyle name="Comma 121 2" xfId="645" xr:uid="{63F5DCAA-E012-40F5-8AAA-7DB6999F0F88}"/>
    <cellStyle name="Comma 121 2 2" xfId="1031" xr:uid="{A37D5648-2F44-4722-A1A0-86176E40556E}"/>
    <cellStyle name="Comma 121 2 2 2" xfId="1842" xr:uid="{11D0773E-4801-4F8F-BAF4-35EBE2FAF252}"/>
    <cellStyle name="Comma 121 2 2 2 2" xfId="3375" xr:uid="{F3598FF1-6601-4B06-8817-4E3C90F690DD}"/>
    <cellStyle name="Comma 121 2 2 3" xfId="2609" xr:uid="{AE7FF8A4-0D06-49EB-A049-0536516E2CEA}"/>
    <cellStyle name="Comma 121 2 2 4" xfId="4174" xr:uid="{45C18441-51B8-4A39-9E11-9CA11D6900A9}"/>
    <cellStyle name="Comma 121 2 3" xfId="1461" xr:uid="{4F959352-0E7B-4E03-83AB-3C22E1CAD3B6}"/>
    <cellStyle name="Comma 121 2 3 2" xfId="2994" xr:uid="{755FD188-88C1-417F-B317-9E7ED2D0DAC0}"/>
    <cellStyle name="Comma 121 2 4" xfId="2228" xr:uid="{A156001E-765F-45EC-B65D-ABEA1ECF9FBF}"/>
    <cellStyle name="Comma 121 2 5" xfId="3763" xr:uid="{26B2FB6C-217F-47AB-899A-E9AE0D949266}"/>
    <cellStyle name="Comma 121 3" xfId="845" xr:uid="{EFEAB9B2-F9B1-437C-906F-047C452B3157}"/>
    <cellStyle name="Comma 121 3 2" xfId="1656" xr:uid="{3B0C0BF6-2FBF-4F06-A1E7-DBC68106DA38}"/>
    <cellStyle name="Comma 121 3 2 2" xfId="3189" xr:uid="{70614EE8-4832-49BA-9F6E-5FA339DD66BF}"/>
    <cellStyle name="Comma 121 3 3" xfId="2423" xr:uid="{6B37C800-C001-4C55-89B7-0FD11F396657}"/>
    <cellStyle name="Comma 121 3 4" xfId="3988" xr:uid="{2B595D78-FAE2-4AB9-96E0-D2155FBA4BB1}"/>
    <cellStyle name="Comma 121 4" xfId="1275" xr:uid="{67CE62A9-5A07-4A11-BF84-7CC7E9A62532}"/>
    <cellStyle name="Comma 121 4 2" xfId="2808" xr:uid="{9D33809A-7557-4555-8074-B5365D437400}"/>
    <cellStyle name="Comma 121 5" xfId="2042" xr:uid="{2D26680F-307A-4C42-98FB-0DB0FDD87449}"/>
    <cellStyle name="Comma 121 6" xfId="3577" xr:uid="{A05A3168-00A6-43FB-BE10-EF4E6D5A6CCE}"/>
    <cellStyle name="Comma 122" xfId="318" xr:uid="{6FC17532-4065-4F4E-A3F0-2135B110CC9F}"/>
    <cellStyle name="Comma 122 2" xfId="644" xr:uid="{C9F37CF2-AC80-4E6A-B996-25F72583D75C}"/>
    <cellStyle name="Comma 122 2 2" xfId="1030" xr:uid="{B29CB70C-9D6A-4533-8D02-ACF185DEA71E}"/>
    <cellStyle name="Comma 122 2 2 2" xfId="1841" xr:uid="{D7290901-0EF2-4A42-88A5-6FC9F5E7D115}"/>
    <cellStyle name="Comma 122 2 2 2 2" xfId="3374" xr:uid="{67068DA6-B899-490B-9805-D8ADD92C722C}"/>
    <cellStyle name="Comma 122 2 2 3" xfId="2608" xr:uid="{C4AF3172-C2AA-45AE-9BFB-6A3E8E0791D2}"/>
    <cellStyle name="Comma 122 2 2 4" xfId="4173" xr:uid="{29EB297D-CF86-41F2-A7A4-B457FD128461}"/>
    <cellStyle name="Comma 122 2 3" xfId="1460" xr:uid="{23C26579-72BA-4251-9059-E6F3ADE3198E}"/>
    <cellStyle name="Comma 122 2 3 2" xfId="2993" xr:uid="{05D8E166-69BC-46D8-9DFC-4418F84D7DF3}"/>
    <cellStyle name="Comma 122 2 4" xfId="2227" xr:uid="{B6659C0A-B304-4A9E-ADE0-8410CB3756DA}"/>
    <cellStyle name="Comma 122 2 5" xfId="3762" xr:uid="{8CF21E79-2EF8-438E-A1E1-EB7F03BBDDD8}"/>
    <cellStyle name="Comma 122 3" xfId="844" xr:uid="{C8EFFD51-DBA6-45FD-8A8B-EEE84C4C4593}"/>
    <cellStyle name="Comma 122 3 2" xfId="1655" xr:uid="{27C8A934-57ED-411F-B263-FF1C264EB8BE}"/>
    <cellStyle name="Comma 122 3 2 2" xfId="3188" xr:uid="{C6A5EBCD-063B-4304-A79F-61B9766CC282}"/>
    <cellStyle name="Comma 122 3 3" xfId="2422" xr:uid="{CB401FBD-B442-4E8B-812C-9F105BD1421C}"/>
    <cellStyle name="Comma 122 3 4" xfId="3987" xr:uid="{5D1FBC25-B8DF-4199-854A-D3FE1347CFAC}"/>
    <cellStyle name="Comma 122 4" xfId="1274" xr:uid="{84458210-2D31-46CE-A980-9CCA273FAC82}"/>
    <cellStyle name="Comma 122 4 2" xfId="2807" xr:uid="{2E0C34FD-7578-427A-A4A7-9EAC545D08CA}"/>
    <cellStyle name="Comma 122 5" xfId="2041" xr:uid="{D1D2C510-DA2F-4B72-B317-DBA6CFEEBFEC}"/>
    <cellStyle name="Comma 122 6" xfId="3576" xr:uid="{E47B0802-294C-4015-9B21-D33C65F75F6F}"/>
    <cellStyle name="Comma 123" xfId="299" xr:uid="{25FCBD42-C1B7-43A8-91B6-C5B9A6FF6659}"/>
    <cellStyle name="Comma 123 2" xfId="632" xr:uid="{60E3C507-DC2A-42BE-9AC7-E5B5D17DE6EE}"/>
    <cellStyle name="Comma 123 2 2" xfId="1018" xr:uid="{A3449915-E2D6-42BB-B836-0AD12F0F32AA}"/>
    <cellStyle name="Comma 123 2 2 2" xfId="1829" xr:uid="{781C8F45-EB12-4DDE-AA4D-ADBE31CC65AE}"/>
    <cellStyle name="Comma 123 2 2 2 2" xfId="3362" xr:uid="{8859314D-6995-4277-940A-9CEAB21A3BC7}"/>
    <cellStyle name="Comma 123 2 2 3" xfId="2596" xr:uid="{13895CA7-1518-4533-9931-7B3428837D9E}"/>
    <cellStyle name="Comma 123 2 2 4" xfId="4161" xr:uid="{BFFD4FB9-74F3-42C9-A6B2-1625D47CCAB8}"/>
    <cellStyle name="Comma 123 2 3" xfId="1448" xr:uid="{7712D134-D3D5-4047-83E5-F670AB9C5182}"/>
    <cellStyle name="Comma 123 2 3 2" xfId="2981" xr:uid="{B0304E08-B805-426C-BAFB-6F058973B8AE}"/>
    <cellStyle name="Comma 123 2 4" xfId="2215" xr:uid="{03BE6954-45C7-4559-ADE9-871B9E9EC943}"/>
    <cellStyle name="Comma 123 2 5" xfId="3750" xr:uid="{5A5B2496-337C-4F48-93DF-CC8937DD3094}"/>
    <cellStyle name="Comma 123 3" xfId="832" xr:uid="{04A4042E-E3E1-4066-8D57-8A92DB0E370D}"/>
    <cellStyle name="Comma 123 3 2" xfId="1643" xr:uid="{71308B3E-EDD2-4CE8-ADF3-B9473A7D9D5A}"/>
    <cellStyle name="Comma 123 3 2 2" xfId="3176" xr:uid="{45EE6CD1-42A4-4ABA-9527-506FEB80CC81}"/>
    <cellStyle name="Comma 123 3 3" xfId="2410" xr:uid="{6D06C8B1-6944-4BF4-AD8C-38CB6D35D528}"/>
    <cellStyle name="Comma 123 3 4" xfId="3975" xr:uid="{4246E8E7-104C-4E05-88F2-6D6B0CC024AC}"/>
    <cellStyle name="Comma 123 4" xfId="1262" xr:uid="{26E48F39-2EC1-48E6-958F-FF301AAAD412}"/>
    <cellStyle name="Comma 123 4 2" xfId="2795" xr:uid="{ADEA0119-842A-41B3-B233-06ED979CEFA9}"/>
    <cellStyle name="Comma 123 5" xfId="2029" xr:uid="{359062C7-6298-4506-80FC-96F54590DEE5}"/>
    <cellStyle name="Comma 123 6" xfId="3564" xr:uid="{F0DDF149-3490-432A-8C41-337E0BDCBCF9}"/>
    <cellStyle name="Comma 124" xfId="303" xr:uid="{8ECE1530-482D-4922-9723-487DADDF7AC3}"/>
    <cellStyle name="Comma 124 2" xfId="635" xr:uid="{C688150E-70E8-46BE-BC6F-92F6AF242019}"/>
    <cellStyle name="Comma 124 2 2" xfId="1021" xr:uid="{E4A9C914-33A2-40F1-A600-950CA8769D15}"/>
    <cellStyle name="Comma 124 2 2 2" xfId="1832" xr:uid="{7BC2A327-E5E3-47E3-8194-00BA34716325}"/>
    <cellStyle name="Comma 124 2 2 2 2" xfId="3365" xr:uid="{016A97F1-695F-4AEE-A1F5-0B34E2174F42}"/>
    <cellStyle name="Comma 124 2 2 3" xfId="2599" xr:uid="{300E3CB2-C02B-4296-A4B8-251803E41BCA}"/>
    <cellStyle name="Comma 124 2 2 4" xfId="4164" xr:uid="{957972D7-67FA-4D24-86E2-C603BC266E63}"/>
    <cellStyle name="Comma 124 2 3" xfId="1451" xr:uid="{0891E9E6-108C-4DFE-B7EA-3EE48E9FE8A3}"/>
    <cellStyle name="Comma 124 2 3 2" xfId="2984" xr:uid="{065ED7A3-F6BB-4D60-A0D8-37B5A361E3EE}"/>
    <cellStyle name="Comma 124 2 4" xfId="2218" xr:uid="{98A67FA5-BD20-48B0-8CA4-DA88A41CEC02}"/>
    <cellStyle name="Comma 124 2 5" xfId="3753" xr:uid="{2CE0D7FC-8BCE-4B58-A500-861E60388A0F}"/>
    <cellStyle name="Comma 124 3" xfId="835" xr:uid="{A787D1E7-A016-435C-98EA-11C843A1057E}"/>
    <cellStyle name="Comma 124 3 2" xfId="1646" xr:uid="{2A92868C-A2B1-468D-87C1-956494EEF376}"/>
    <cellStyle name="Comma 124 3 2 2" xfId="3179" xr:uid="{4941BD61-CAEF-4810-B704-323E0BFFE871}"/>
    <cellStyle name="Comma 124 3 3" xfId="2413" xr:uid="{A50ACCB0-ED6E-4FB2-A161-64148DD4D8DF}"/>
    <cellStyle name="Comma 124 3 4" xfId="3978" xr:uid="{D2498135-90B7-4B9D-81D6-582701AD945F}"/>
    <cellStyle name="Comma 124 4" xfId="1265" xr:uid="{4BBC2DF3-750F-4C6C-8C84-EBCEAC00881A}"/>
    <cellStyle name="Comma 124 4 2" xfId="2798" xr:uid="{9360EDEA-E474-49A0-951B-E1FA96449D78}"/>
    <cellStyle name="Comma 124 5" xfId="2032" xr:uid="{2407C0FA-EC44-4010-9792-F915956215F5}"/>
    <cellStyle name="Comma 124 6" xfId="3567" xr:uid="{B12D6F35-2308-407D-8A12-79A2BA1F7358}"/>
    <cellStyle name="Comma 125" xfId="312" xr:uid="{6BD35055-B687-4CCF-93BF-72EF47619AC9}"/>
    <cellStyle name="Comma 125 2" xfId="641" xr:uid="{737B7826-037F-4846-8378-63991110A0CD}"/>
    <cellStyle name="Comma 125 2 2" xfId="1027" xr:uid="{8B46A799-16F1-4576-88C9-12B0AF3F045A}"/>
    <cellStyle name="Comma 125 2 2 2" xfId="1838" xr:uid="{36B08B95-EFDC-414C-A317-0F6CD4BC07E1}"/>
    <cellStyle name="Comma 125 2 2 2 2" xfId="3371" xr:uid="{01685014-3B28-4839-8E6F-8E3326C7E823}"/>
    <cellStyle name="Comma 125 2 2 3" xfId="2605" xr:uid="{C69728A6-C108-4E5A-B27D-BCB85A9555EF}"/>
    <cellStyle name="Comma 125 2 2 4" xfId="4170" xr:uid="{25191521-BC2F-4781-A925-858D5DE937BB}"/>
    <cellStyle name="Comma 125 2 3" xfId="1457" xr:uid="{215FE38B-8A25-40D6-9E7E-AE7A677023CD}"/>
    <cellStyle name="Comma 125 2 3 2" xfId="2990" xr:uid="{C4220F61-13BB-4CDF-8611-F326EE15A01A}"/>
    <cellStyle name="Comma 125 2 4" xfId="2224" xr:uid="{721CD2F9-1937-4A29-9F7C-E723D7608E8D}"/>
    <cellStyle name="Comma 125 2 5" xfId="3759" xr:uid="{A13DC13C-AE2C-41E1-8EE7-DC759B53B3ED}"/>
    <cellStyle name="Comma 125 3" xfId="841" xr:uid="{C09FFE07-6B86-45F8-8A02-4F0E668C3235}"/>
    <cellStyle name="Comma 125 3 2" xfId="1652" xr:uid="{CCE505FE-19EE-443B-831A-C3693FD16D7C}"/>
    <cellStyle name="Comma 125 3 2 2" xfId="3185" xr:uid="{B497D1BB-6C95-4ABE-A415-DCA6A556B20F}"/>
    <cellStyle name="Comma 125 3 3" xfId="2419" xr:uid="{F8E36722-DB8B-48F1-9C82-B06EE73C5F68}"/>
    <cellStyle name="Comma 125 3 4" xfId="3984" xr:uid="{9561DC09-DA0D-4181-980C-CD9554F6240C}"/>
    <cellStyle name="Comma 125 4" xfId="1271" xr:uid="{A675170D-8C78-4B19-AB08-07C0B3CDF066}"/>
    <cellStyle name="Comma 125 4 2" xfId="2804" xr:uid="{4205A725-F9A6-4301-88E4-5F03784D2215}"/>
    <cellStyle name="Comma 125 5" xfId="2038" xr:uid="{31C9A9AE-3692-4E94-8749-585ED8654C01}"/>
    <cellStyle name="Comma 125 6" xfId="3573" xr:uid="{CB14C96F-E226-49CD-8E04-A30D405D72E5}"/>
    <cellStyle name="Comma 126" xfId="325" xr:uid="{58B6D195-40AC-451C-B3E4-E3FD52BDB47F}"/>
    <cellStyle name="Comma 126 2" xfId="649" xr:uid="{2EC07007-7A19-4526-BA88-ECCDEFC79179}"/>
    <cellStyle name="Comma 126 2 2" xfId="1035" xr:uid="{DB3A0CEC-4019-4A29-93C0-CC18697BD4C7}"/>
    <cellStyle name="Comma 126 2 2 2" xfId="1846" xr:uid="{0C0BD0CA-5948-43D2-9573-91F151971883}"/>
    <cellStyle name="Comma 126 2 2 2 2" xfId="3379" xr:uid="{5C3AB178-85F2-4573-95B4-FD3CCE2FE251}"/>
    <cellStyle name="Comma 126 2 2 3" xfId="2613" xr:uid="{4A625373-E79D-43C1-9DF6-FF36CA8917D0}"/>
    <cellStyle name="Comma 126 2 2 4" xfId="4178" xr:uid="{5F8DCADF-A8F9-43C0-98D6-0BD46BC53CF3}"/>
    <cellStyle name="Comma 126 2 3" xfId="1465" xr:uid="{82AFC386-E6D3-49A0-8AF3-251C3BCB571A}"/>
    <cellStyle name="Comma 126 2 3 2" xfId="2998" xr:uid="{F6EEDA1C-0B6B-4D11-85CB-C1E9CD8F0671}"/>
    <cellStyle name="Comma 126 2 4" xfId="2232" xr:uid="{F27AAD60-D9E0-49B7-B20C-FDE8F2E122B8}"/>
    <cellStyle name="Comma 126 2 5" xfId="3767" xr:uid="{6F146A58-B74D-425D-A043-BF1144B176C4}"/>
    <cellStyle name="Comma 126 3" xfId="849" xr:uid="{880D96B5-8B19-4BBE-A474-4D6720FBA388}"/>
    <cellStyle name="Comma 126 3 2" xfId="1660" xr:uid="{A795C22A-47FB-4D52-96B6-C71FED325ECA}"/>
    <cellStyle name="Comma 126 3 2 2" xfId="3193" xr:uid="{8F4A63A5-404F-480D-9802-BB3E074AD460}"/>
    <cellStyle name="Comma 126 3 3" xfId="2427" xr:uid="{C0ADF6C7-BCD8-4F1D-9580-AA849183287C}"/>
    <cellStyle name="Comma 126 3 4" xfId="3992" xr:uid="{C2644B3F-BCEF-4B24-8B0C-9D21CD86FDD4}"/>
    <cellStyle name="Comma 126 4" xfId="1279" xr:uid="{D0A5891C-FF63-437B-B5B6-30CDF013838B}"/>
    <cellStyle name="Comma 126 4 2" xfId="2812" xr:uid="{5D82A201-CE9C-4D9E-BBB7-2023EC76F4C8}"/>
    <cellStyle name="Comma 126 5" xfId="2046" xr:uid="{F32DE07D-5E11-497C-B40B-B433A5C00F4A}"/>
    <cellStyle name="Comma 126 6" xfId="3581" xr:uid="{A6FBBA1F-CAAE-4A20-A505-C946576400E2}"/>
    <cellStyle name="Comma 127" xfId="323" xr:uid="{4D0B11C0-78F5-48E0-84F9-6EE696D23FE4}"/>
    <cellStyle name="Comma 127 2" xfId="647" xr:uid="{25365A1E-806B-4438-8FE5-6E707FF6F7B2}"/>
    <cellStyle name="Comma 127 2 2" xfId="1033" xr:uid="{FA7C7452-26EF-496F-BBDC-FED3265382B4}"/>
    <cellStyle name="Comma 127 2 2 2" xfId="1844" xr:uid="{CC114145-A165-4FD1-B341-BD904E456951}"/>
    <cellStyle name="Comma 127 2 2 2 2" xfId="3377" xr:uid="{1FC9DE4C-E131-4456-81FC-3294E69F542B}"/>
    <cellStyle name="Comma 127 2 2 3" xfId="2611" xr:uid="{E562EC56-1A8F-4CAC-A513-A6DAA950A2D0}"/>
    <cellStyle name="Comma 127 2 2 4" xfId="4176" xr:uid="{1213CD58-AEDB-434E-A213-12177AA58F63}"/>
    <cellStyle name="Comma 127 2 3" xfId="1463" xr:uid="{820BB735-C6A1-4A3D-A13E-F2717DE09E04}"/>
    <cellStyle name="Comma 127 2 3 2" xfId="2996" xr:uid="{3315680D-C1D8-4D86-96D5-449CD37653E5}"/>
    <cellStyle name="Comma 127 2 4" xfId="2230" xr:uid="{49970B91-92F2-4C4A-BF38-E35042EF6137}"/>
    <cellStyle name="Comma 127 2 5" xfId="3765" xr:uid="{4CF65121-417F-40AB-B406-1C7B141A7A49}"/>
    <cellStyle name="Comma 127 3" xfId="847" xr:uid="{AB922620-7A58-4708-993A-9B1AA96C86A9}"/>
    <cellStyle name="Comma 127 3 2" xfId="1658" xr:uid="{544D807F-A8E8-4DBA-B5B6-4B59674FBC95}"/>
    <cellStyle name="Comma 127 3 2 2" xfId="3191" xr:uid="{2CDEC9CC-C96E-4F36-B39A-39F17C1E7B99}"/>
    <cellStyle name="Comma 127 3 3" xfId="2425" xr:uid="{AB7D7DD7-705B-4F3C-A179-CE730E862AAD}"/>
    <cellStyle name="Comma 127 3 4" xfId="3990" xr:uid="{815D87EC-F614-4A03-8416-C822792C7A7E}"/>
    <cellStyle name="Comma 127 4" xfId="1277" xr:uid="{5B5592CA-6051-45F5-A88F-5334F04F9645}"/>
    <cellStyle name="Comma 127 4 2" xfId="2810" xr:uid="{01FDFC75-9C72-4CE6-AA1E-D99835F59FD8}"/>
    <cellStyle name="Comma 127 5" xfId="2044" xr:uid="{C85AE895-0C23-4FDD-91E8-AD3718037D7C}"/>
    <cellStyle name="Comma 127 6" xfId="3579" xr:uid="{3943F6D7-0AA1-452B-96A6-748F8663E2AD}"/>
    <cellStyle name="Comma 128" xfId="324" xr:uid="{1D92DDAE-A814-4026-8299-EBD1A84B1A28}"/>
    <cellStyle name="Comma 128 2" xfId="648" xr:uid="{09554F99-0168-404C-B484-748CE2ABD7BD}"/>
    <cellStyle name="Comma 128 2 2" xfId="1034" xr:uid="{B94ED9B8-138E-413C-B94A-2C8273926F99}"/>
    <cellStyle name="Comma 128 2 2 2" xfId="1845" xr:uid="{C94A5437-40D1-4868-B003-D13B5E8235C3}"/>
    <cellStyle name="Comma 128 2 2 2 2" xfId="3378" xr:uid="{1CDC051D-B1CF-4AA6-A5DE-F361F245FE82}"/>
    <cellStyle name="Comma 128 2 2 3" xfId="2612" xr:uid="{80FBCF19-527F-41DE-A1D5-6B0D56E59E19}"/>
    <cellStyle name="Comma 128 2 2 4" xfId="4177" xr:uid="{4440349E-D1AC-42CB-8D18-D14666B5412C}"/>
    <cellStyle name="Comma 128 2 3" xfId="1464" xr:uid="{F0D1F9C8-F131-4140-B38D-C05026450E40}"/>
    <cellStyle name="Comma 128 2 3 2" xfId="2997" xr:uid="{5E5B04CB-A4AA-46A7-A77E-B22FFA1C2807}"/>
    <cellStyle name="Comma 128 2 4" xfId="2231" xr:uid="{2C2F95DF-0430-487B-A540-4CA85BE1AF91}"/>
    <cellStyle name="Comma 128 2 5" xfId="3766" xr:uid="{34A4AD40-8FF2-44A4-814B-E339FD454C38}"/>
    <cellStyle name="Comma 128 3" xfId="848" xr:uid="{56955551-09D0-4998-8BBF-44EFCFA42A35}"/>
    <cellStyle name="Comma 128 3 2" xfId="1659" xr:uid="{72B41765-C005-4161-8BE5-8DFB32A27A78}"/>
    <cellStyle name="Comma 128 3 2 2" xfId="3192" xr:uid="{5669A2FF-84E3-4BEA-824C-0C1DA7165C72}"/>
    <cellStyle name="Comma 128 3 3" xfId="2426" xr:uid="{3CCD718B-F355-48EC-926B-02C5F529BC16}"/>
    <cellStyle name="Comma 128 3 4" xfId="3991" xr:uid="{3582CF4D-5E32-4F2E-9AE0-5DC33BE9017A}"/>
    <cellStyle name="Comma 128 4" xfId="1278" xr:uid="{E8A47204-F3B6-4D0C-8893-1F66158DC796}"/>
    <cellStyle name="Comma 128 4 2" xfId="2811" xr:uid="{33E3AE11-942E-48D0-87BC-254E4628621E}"/>
    <cellStyle name="Comma 128 5" xfId="2045" xr:uid="{E8D63946-2B39-4BAF-8142-19F8A43EBCBA}"/>
    <cellStyle name="Comma 128 6" xfId="3580" xr:uid="{E3AEC60D-2F33-4366-A604-BD0375424763}"/>
    <cellStyle name="Comma 129" xfId="322" xr:uid="{3F05799C-F5DF-4FBB-A77A-2755C7397778}"/>
    <cellStyle name="Comma 129 2" xfId="646" xr:uid="{3AD0B7B7-0BB0-448A-9EF9-17071A207605}"/>
    <cellStyle name="Comma 129 2 2" xfId="1032" xr:uid="{2134031B-4338-4B64-9A00-D26D462674DF}"/>
    <cellStyle name="Comma 129 2 2 2" xfId="1843" xr:uid="{6EB07700-47A3-45DE-87B5-0A3059D6D9A5}"/>
    <cellStyle name="Comma 129 2 2 2 2" xfId="3376" xr:uid="{09ED846E-3D3E-48D0-A541-840005483734}"/>
    <cellStyle name="Comma 129 2 2 3" xfId="2610" xr:uid="{AFE790AC-F278-4951-AA73-24D03C078A90}"/>
    <cellStyle name="Comma 129 2 2 4" xfId="4175" xr:uid="{13CFFB0C-1C86-4E2F-A636-E72D545CDED9}"/>
    <cellStyle name="Comma 129 2 3" xfId="1462" xr:uid="{1AD0AFC5-E01D-4434-99BA-ACDCA32DDA79}"/>
    <cellStyle name="Comma 129 2 3 2" xfId="2995" xr:uid="{0F0B9553-897D-42DB-821C-3E4BAB649151}"/>
    <cellStyle name="Comma 129 2 4" xfId="2229" xr:uid="{376631F2-62C2-4928-8FAD-5B84B3F0768B}"/>
    <cellStyle name="Comma 129 2 5" xfId="3764" xr:uid="{DD2C8BC8-B10B-4F9D-9739-F257AB9D51C3}"/>
    <cellStyle name="Comma 129 3" xfId="846" xr:uid="{924B1071-2E87-4B72-AFDC-BFC2E568A7C2}"/>
    <cellStyle name="Comma 129 3 2" xfId="1657" xr:uid="{6B699872-8855-4EA2-A1C3-55974796329F}"/>
    <cellStyle name="Comma 129 3 2 2" xfId="3190" xr:uid="{287A32D8-3ECF-4E19-98F9-553E5B7481D9}"/>
    <cellStyle name="Comma 129 3 3" xfId="2424" xr:uid="{52725554-3426-42F5-A94F-CD5CAB33E892}"/>
    <cellStyle name="Comma 129 3 4" xfId="3989" xr:uid="{AC40AB3D-6026-4422-896E-5A2F9B3F62B6}"/>
    <cellStyle name="Comma 129 4" xfId="1276" xr:uid="{D44DBE88-672F-462A-8079-6E02C1AA22BC}"/>
    <cellStyle name="Comma 129 4 2" xfId="2809" xr:uid="{DC2C1E89-B7EB-4EBE-9404-961FB5665678}"/>
    <cellStyle name="Comma 129 5" xfId="2043" xr:uid="{3DE041B4-EF3E-4B07-B9AF-0CD841432749}"/>
    <cellStyle name="Comma 129 6" xfId="3578" xr:uid="{FABAC280-3882-463C-B998-DF2696568552}"/>
    <cellStyle name="Comma 13" xfId="153" xr:uid="{1687DEC0-A709-4CC5-9B29-B8B23F515923}"/>
    <cellStyle name="Comma 13 2" xfId="535" xr:uid="{7BC44B30-505F-4321-9534-781E41FD7FD4}"/>
    <cellStyle name="Comma 13 2 2" xfId="921" xr:uid="{CC4A195E-91ED-4C57-A6A0-B74C26889A8A}"/>
    <cellStyle name="Comma 13 2 2 2" xfId="1732" xr:uid="{74AC4AA6-932E-4D60-BCE2-1BB71D8AABA9}"/>
    <cellStyle name="Comma 13 2 2 2 2" xfId="3265" xr:uid="{95E4A58A-A6B2-4F27-BC2D-CCE51BEADF6E}"/>
    <cellStyle name="Comma 13 2 2 3" xfId="2499" xr:uid="{D2995E9D-48F5-46B2-97AE-1800E8A8FE96}"/>
    <cellStyle name="Comma 13 2 2 4" xfId="4064" xr:uid="{76FBBB73-C708-489A-A3CB-F2881D758E3E}"/>
    <cellStyle name="Comma 13 2 3" xfId="1351" xr:uid="{620C76A5-CE86-403A-8C6A-1E634DF3F61F}"/>
    <cellStyle name="Comma 13 2 3 2" xfId="2884" xr:uid="{E84A6801-DF8E-4154-9D04-5E469E7EC03A}"/>
    <cellStyle name="Comma 13 2 4" xfId="2118" xr:uid="{66BD7ED5-5883-407F-91DD-40BCAFEC1BF0}"/>
    <cellStyle name="Comma 13 2 5" xfId="3653" xr:uid="{1027C27A-549A-4559-A075-5616D952E197}"/>
    <cellStyle name="Comma 13 3" xfId="735" xr:uid="{D77DF7C5-226B-4D4B-A09C-B55884239537}"/>
    <cellStyle name="Comma 13 3 2" xfId="1546" xr:uid="{3AB3F41C-21DA-445F-A6D9-1F5081E75069}"/>
    <cellStyle name="Comma 13 3 2 2" xfId="3079" xr:uid="{9B2F35B0-7F21-4B30-A495-2E93644AA519}"/>
    <cellStyle name="Comma 13 3 3" xfId="2313" xr:uid="{5832F395-45A1-45AE-AB1B-1945873C3A6E}"/>
    <cellStyle name="Comma 13 3 4" xfId="3878" xr:uid="{B6C71EDB-6860-453C-9BA3-CF2E4C6193AD}"/>
    <cellStyle name="Comma 13 4" xfId="1165" xr:uid="{891D740A-8F24-48A7-B076-CE76699C182F}"/>
    <cellStyle name="Comma 13 4 2" xfId="2698" xr:uid="{B2A30F0B-DF18-442D-9763-3EA2D17D2429}"/>
    <cellStyle name="Comma 13 5" xfId="1932" xr:uid="{78B8FCD0-5FD3-4DB4-BA64-2217145CD4AC}"/>
    <cellStyle name="Comma 13 6" xfId="3467" xr:uid="{B9C95941-BB35-4DBA-95E0-6DC202D78D1A}"/>
    <cellStyle name="Comma 130" xfId="327" xr:uid="{ECF44D5B-61F2-431B-AC91-45020E91AB1F}"/>
    <cellStyle name="Comma 130 2" xfId="651" xr:uid="{65233BBA-33F3-41F6-A03E-2021C1383567}"/>
    <cellStyle name="Comma 130 2 2" xfId="1037" xr:uid="{D74B2264-FE1E-42A0-A06D-985C9DD4BED7}"/>
    <cellStyle name="Comma 130 2 2 2" xfId="1848" xr:uid="{CA53E006-68B0-4C57-82C1-E70461EFB8EC}"/>
    <cellStyle name="Comma 130 2 2 2 2" xfId="3381" xr:uid="{43B1DD29-3325-48B5-8478-4FEC20E95AA1}"/>
    <cellStyle name="Comma 130 2 2 3" xfId="2615" xr:uid="{5F6138D3-6997-424B-9547-86D61E41F2BD}"/>
    <cellStyle name="Comma 130 2 2 4" xfId="4180" xr:uid="{2412AEF1-05B3-46A8-8B33-4526DFCE5A0C}"/>
    <cellStyle name="Comma 130 2 3" xfId="1467" xr:uid="{F470C533-2E9F-4850-B7E2-BF7005545BC7}"/>
    <cellStyle name="Comma 130 2 3 2" xfId="3000" xr:uid="{6FD51401-1948-4916-A716-F0A857FBD423}"/>
    <cellStyle name="Comma 130 2 4" xfId="2234" xr:uid="{F2B85E2F-5334-4F4F-A3CE-A8E77B7115B1}"/>
    <cellStyle name="Comma 130 2 5" xfId="3769" xr:uid="{19507F69-0537-4822-90DE-52B6936447BC}"/>
    <cellStyle name="Comma 130 3" xfId="851" xr:uid="{6868442D-57A5-4173-AA32-26135D8C0104}"/>
    <cellStyle name="Comma 130 3 2" xfId="1662" xr:uid="{81FC4BED-6236-4FFA-9FD5-E9C53A7740DD}"/>
    <cellStyle name="Comma 130 3 2 2" xfId="3195" xr:uid="{8131C922-05A3-4C48-AB2C-77E0366EBE15}"/>
    <cellStyle name="Comma 130 3 3" xfId="2429" xr:uid="{9E1E89C1-2998-4D5F-8513-824FF9C8CEC1}"/>
    <cellStyle name="Comma 130 3 4" xfId="3994" xr:uid="{EF764CBF-CE21-44E1-BE43-A06B80F8BE07}"/>
    <cellStyle name="Comma 130 4" xfId="1281" xr:uid="{3CDAC3B8-C813-43FA-8A7E-A32651F27620}"/>
    <cellStyle name="Comma 130 4 2" xfId="2814" xr:uid="{AF03FE4E-D143-40D5-9A9E-784EDF40D12D}"/>
    <cellStyle name="Comma 130 5" xfId="2048" xr:uid="{3D413397-D34F-46B7-AF67-6F5F8D9A7B86}"/>
    <cellStyle name="Comma 130 6" xfId="3583" xr:uid="{445E59B3-45CC-4F4E-B8C5-4956FA2D7A46}"/>
    <cellStyle name="Comma 131" xfId="326" xr:uid="{A828ECF0-7CD2-4487-AE2E-C5491DDCD543}"/>
    <cellStyle name="Comma 131 2" xfId="650" xr:uid="{71EAF2E1-0C45-43B3-9BD5-323462ADDE6C}"/>
    <cellStyle name="Comma 131 2 2" xfId="1036" xr:uid="{00BB5CA3-15D4-4672-A484-B74A161BFA57}"/>
    <cellStyle name="Comma 131 2 2 2" xfId="1847" xr:uid="{6EF385B2-379E-4916-BA46-C8E455F83700}"/>
    <cellStyle name="Comma 131 2 2 2 2" xfId="3380" xr:uid="{7F332B65-C5BB-4559-902C-E1A0D08FE77A}"/>
    <cellStyle name="Comma 131 2 2 3" xfId="2614" xr:uid="{B07AA5F4-4A1B-49F5-BE0E-33596A6660FB}"/>
    <cellStyle name="Comma 131 2 2 4" xfId="4179" xr:uid="{2A011B5A-9CBA-4A1C-B4D0-FE6F2256EEF5}"/>
    <cellStyle name="Comma 131 2 3" xfId="1466" xr:uid="{3F911E49-D461-41E2-A44F-E4ABBD86777A}"/>
    <cellStyle name="Comma 131 2 3 2" xfId="2999" xr:uid="{8E20B421-1CEE-4F33-909D-BF1426915A5B}"/>
    <cellStyle name="Comma 131 2 4" xfId="2233" xr:uid="{56FC0614-E302-463A-8347-0BFBF442DC86}"/>
    <cellStyle name="Comma 131 2 5" xfId="3768" xr:uid="{B5053D1C-9BDC-41F0-AE5C-643086C9CB55}"/>
    <cellStyle name="Comma 131 3" xfId="850" xr:uid="{B090C368-BFC8-4B8A-B0F2-283ADBF16064}"/>
    <cellStyle name="Comma 131 3 2" xfId="1661" xr:uid="{025DD2CC-6BBF-4FF2-86A9-30D9D7DF956A}"/>
    <cellStyle name="Comma 131 3 2 2" xfId="3194" xr:uid="{5BE52A98-9511-4F6A-9401-51772F1EEF2D}"/>
    <cellStyle name="Comma 131 3 3" xfId="2428" xr:uid="{7D11F13B-9C6B-47C8-A7D3-0607F1435330}"/>
    <cellStyle name="Comma 131 3 4" xfId="3993" xr:uid="{56E1522D-AACD-4AF7-B241-891AAE10B664}"/>
    <cellStyle name="Comma 131 4" xfId="1280" xr:uid="{80B41CA1-C576-48B0-B2EB-4F264016E517}"/>
    <cellStyle name="Comma 131 4 2" xfId="2813" xr:uid="{B527BA50-A5FD-4433-A3CD-F5F704A7D052}"/>
    <cellStyle name="Comma 131 5" xfId="2047" xr:uid="{869CA8AE-661A-4808-A57C-C7511D393CB9}"/>
    <cellStyle name="Comma 131 6" xfId="3582" xr:uid="{46967FFF-0B8D-47A5-A6B7-0EE873346D32}"/>
    <cellStyle name="Comma 132" xfId="328" xr:uid="{29025306-996A-4356-B787-8DFA69F2FA53}"/>
    <cellStyle name="Comma 132 2" xfId="652" xr:uid="{1710E08A-FEDA-4489-A063-4E955EE5563C}"/>
    <cellStyle name="Comma 132 2 2" xfId="1038" xr:uid="{2D306898-7ACD-4B65-8072-E330AFD19303}"/>
    <cellStyle name="Comma 132 2 2 2" xfId="1849" xr:uid="{B7F91308-79ED-4DC6-AA42-5595B3B7D12A}"/>
    <cellStyle name="Comma 132 2 2 2 2" xfId="3382" xr:uid="{06865867-B727-4DC1-9321-91707836F608}"/>
    <cellStyle name="Comma 132 2 2 3" xfId="2616" xr:uid="{2A3A4157-23BE-409B-8D52-6746D5384FBF}"/>
    <cellStyle name="Comma 132 2 2 4" xfId="4181" xr:uid="{D2DA5E5C-1A21-4B11-ACD1-A3B65D3AEC7A}"/>
    <cellStyle name="Comma 132 2 3" xfId="1468" xr:uid="{DFEE1C8A-9820-4CD3-95D1-2F2CBA99C81D}"/>
    <cellStyle name="Comma 132 2 3 2" xfId="3001" xr:uid="{4E03DAEB-FFBC-4D5C-8656-77D191354FDB}"/>
    <cellStyle name="Comma 132 2 4" xfId="2235" xr:uid="{1A2F5ADE-613F-417C-9A59-359383F7ABA9}"/>
    <cellStyle name="Comma 132 2 5" xfId="3770" xr:uid="{C29173AA-2231-4C90-B161-EABF6DC4D457}"/>
    <cellStyle name="Comma 132 3" xfId="852" xr:uid="{296C02F3-D085-4CC9-AD06-E5C305408062}"/>
    <cellStyle name="Comma 132 3 2" xfId="1663" xr:uid="{544D98C6-DCD0-4FDE-BE84-974844B1F9A6}"/>
    <cellStyle name="Comma 132 3 2 2" xfId="3196" xr:uid="{699BEA90-C561-4176-8BD6-B313269E40C6}"/>
    <cellStyle name="Comma 132 3 3" xfId="2430" xr:uid="{6870F752-9D98-4884-90A9-2228DF2A9EA6}"/>
    <cellStyle name="Comma 132 3 4" xfId="3995" xr:uid="{67C9CB9B-E1FF-4B9C-B11D-F1DDD347D036}"/>
    <cellStyle name="Comma 132 4" xfId="1282" xr:uid="{BF0221A2-4A35-486F-9DC1-8CC706B38AF8}"/>
    <cellStyle name="Comma 132 4 2" xfId="2815" xr:uid="{DAE4DC93-BE40-4791-B27B-EA96F08B442F}"/>
    <cellStyle name="Comma 132 5" xfId="2049" xr:uid="{B9B22BB6-1496-4087-AD52-1B2D3EF3EA4E}"/>
    <cellStyle name="Comma 132 6" xfId="3584" xr:uid="{358743EE-4A93-497B-A56C-EFA95D28AC9A}"/>
    <cellStyle name="Comma 133" xfId="329" xr:uid="{4B8B7CC8-5C01-44F5-98A4-B9E8ACAFE972}"/>
    <cellStyle name="Comma 133 2" xfId="653" xr:uid="{2BC67BCA-5EAA-44C1-BD1E-3045EBEDF966}"/>
    <cellStyle name="Comma 133 2 2" xfId="1039" xr:uid="{E8D4690C-0BDE-4A91-A0E2-1A65289F7E2E}"/>
    <cellStyle name="Comma 133 2 2 2" xfId="1850" xr:uid="{BECF83E3-E06A-4663-9669-3714DEFD9C8C}"/>
    <cellStyle name="Comma 133 2 2 2 2" xfId="3383" xr:uid="{44D449F2-D910-4461-BF62-D520C5E2EAC8}"/>
    <cellStyle name="Comma 133 2 2 3" xfId="2617" xr:uid="{DDB1E22C-3B50-4B11-8750-D825CE2C3EB6}"/>
    <cellStyle name="Comma 133 2 2 4" xfId="4182" xr:uid="{53192508-98E1-46B7-973B-0EF1D0483777}"/>
    <cellStyle name="Comma 133 2 3" xfId="1469" xr:uid="{D904C426-AA98-48E8-B830-2BBF81F4B05F}"/>
    <cellStyle name="Comma 133 2 3 2" xfId="3002" xr:uid="{BA8CE1D5-5A47-404D-9C71-168BBAFAE507}"/>
    <cellStyle name="Comma 133 2 4" xfId="2236" xr:uid="{60948753-D330-4441-98A1-6D5178200E73}"/>
    <cellStyle name="Comma 133 2 5" xfId="3771" xr:uid="{DFC26D33-05A5-4EFE-9248-D8E5B4425D3A}"/>
    <cellStyle name="Comma 133 3" xfId="853" xr:uid="{E150E727-2629-4DBC-BF76-E6C5B325B761}"/>
    <cellStyle name="Comma 133 3 2" xfId="1664" xr:uid="{53D78E35-BD55-44D7-A316-8AFB23FF0EE0}"/>
    <cellStyle name="Comma 133 3 2 2" xfId="3197" xr:uid="{645BD428-0EFC-479A-89F6-1DC71A5DD0C3}"/>
    <cellStyle name="Comma 133 3 3" xfId="2431" xr:uid="{178AE24E-41B5-4F45-86E2-1536B7CD82B5}"/>
    <cellStyle name="Comma 133 3 4" xfId="3996" xr:uid="{F52EFE98-59E2-4910-9B4F-FF36E17AE890}"/>
    <cellStyle name="Comma 133 4" xfId="1283" xr:uid="{2D81722F-DA25-4645-8E4E-8C3EFE2B2718}"/>
    <cellStyle name="Comma 133 4 2" xfId="2816" xr:uid="{EC8CE0CE-14C4-4BCA-8908-1BE33505EBB2}"/>
    <cellStyle name="Comma 133 5" xfId="2050" xr:uid="{3B9406B4-5FDD-4936-9BE5-47235D114A6C}"/>
    <cellStyle name="Comma 133 6" xfId="3585" xr:uid="{0399BCA3-224D-4736-AD37-92C370149EAF}"/>
    <cellStyle name="Comma 134" xfId="330" xr:uid="{F1FE7F25-D60C-4965-B3D5-90BE4906FDE7}"/>
    <cellStyle name="Comma 134 2" xfId="654" xr:uid="{00DB6BDF-B343-4CEC-BA51-8A17AE4B7036}"/>
    <cellStyle name="Comma 134 2 2" xfId="1040" xr:uid="{D7715B7A-4965-43CF-B5F1-D94434251686}"/>
    <cellStyle name="Comma 134 2 2 2" xfId="1851" xr:uid="{7D7B77B6-D388-41EC-9908-E2ABE0D6CF36}"/>
    <cellStyle name="Comma 134 2 2 2 2" xfId="3384" xr:uid="{E9DAB7C3-59BB-4B48-A5AE-570D1828B834}"/>
    <cellStyle name="Comma 134 2 2 3" xfId="2618" xr:uid="{B2233E3C-9010-4BAC-833F-F219D51D019D}"/>
    <cellStyle name="Comma 134 2 2 4" xfId="4183" xr:uid="{8DB5C742-2FD3-4C89-88C6-718AEF45B492}"/>
    <cellStyle name="Comma 134 2 3" xfId="1470" xr:uid="{E187DB25-7D11-49FE-B4D8-A382759122F3}"/>
    <cellStyle name="Comma 134 2 3 2" xfId="3003" xr:uid="{EC5D9F59-F8ED-4C79-98C8-E1110A52B53A}"/>
    <cellStyle name="Comma 134 2 4" xfId="2237" xr:uid="{AF225224-D50F-429C-9B5A-9F5203FCEDBA}"/>
    <cellStyle name="Comma 134 2 5" xfId="3772" xr:uid="{C7BFD74E-0004-46EE-A0BD-3C4CBD85A2F6}"/>
    <cellStyle name="Comma 134 3" xfId="854" xr:uid="{EDA2FFA4-0962-4643-9127-DD29451BDCF0}"/>
    <cellStyle name="Comma 134 3 2" xfId="1665" xr:uid="{BFB88CAD-DEF5-445C-B2C0-A2BC0342CBA8}"/>
    <cellStyle name="Comma 134 3 2 2" xfId="3198" xr:uid="{60820E64-028B-4CB6-B0EE-595195A1D631}"/>
    <cellStyle name="Comma 134 3 3" xfId="2432" xr:uid="{DB10E341-036A-42E8-927E-0047C6FEA8E8}"/>
    <cellStyle name="Comma 134 3 4" xfId="3997" xr:uid="{3BADC16B-4A67-449A-B9FD-1F85A7B2B6DB}"/>
    <cellStyle name="Comma 134 4" xfId="1284" xr:uid="{EC6546D1-7811-429D-A700-1727E3E2E26D}"/>
    <cellStyle name="Comma 134 4 2" xfId="2817" xr:uid="{C2E37579-1B07-4677-AFBC-62EB893C1AED}"/>
    <cellStyle name="Comma 134 5" xfId="2051" xr:uid="{A29752EF-6B9F-440A-91B0-3130C748B953}"/>
    <cellStyle name="Comma 134 6" xfId="3586" xr:uid="{5C676FAD-A34F-41F3-86FE-8740FBB20BD1}"/>
    <cellStyle name="Comma 135" xfId="331" xr:uid="{B65D38F7-3169-4599-8880-ECBE36CC3F27}"/>
    <cellStyle name="Comma 135 2" xfId="655" xr:uid="{C0C9AD63-37D5-471E-8E9E-7664FF87E0DC}"/>
    <cellStyle name="Comma 135 2 2" xfId="1041" xr:uid="{F2209D0C-4E90-41EB-8EBF-B423E569E853}"/>
    <cellStyle name="Comma 135 2 2 2" xfId="1852" xr:uid="{85B6E2F9-D31F-4798-89F4-5B005F07D088}"/>
    <cellStyle name="Comma 135 2 2 2 2" xfId="3385" xr:uid="{53520009-4A1C-4A0E-A2FD-2CB6A8BE2C02}"/>
    <cellStyle name="Comma 135 2 2 3" xfId="2619" xr:uid="{5467557F-AA33-44BF-8E3F-2FDF18336CD8}"/>
    <cellStyle name="Comma 135 2 2 4" xfId="4184" xr:uid="{FB26AB67-0562-4B07-A724-3AB329E26AAA}"/>
    <cellStyle name="Comma 135 2 3" xfId="1471" xr:uid="{CE30AAB1-8563-403D-8F86-798855517802}"/>
    <cellStyle name="Comma 135 2 3 2" xfId="3004" xr:uid="{CC099733-E5B7-4145-9404-D3C4DB62BDEB}"/>
    <cellStyle name="Comma 135 2 4" xfId="2238" xr:uid="{4CEB82EE-A904-4F1B-9BB3-7A7971CD0451}"/>
    <cellStyle name="Comma 135 2 5" xfId="3773" xr:uid="{7334EA31-B219-4371-A522-2E2AA39723E8}"/>
    <cellStyle name="Comma 135 3" xfId="855" xr:uid="{80FF3748-AD19-4E67-8913-3B21FABC5F17}"/>
    <cellStyle name="Comma 135 3 2" xfId="1666" xr:uid="{09814AEF-9850-49F1-A42B-02170A4BBC0D}"/>
    <cellStyle name="Comma 135 3 2 2" xfId="3199" xr:uid="{218EAA8D-F973-4CEF-A780-1EAD096399F9}"/>
    <cellStyle name="Comma 135 3 3" xfId="2433" xr:uid="{0F0239B2-71A2-4D9A-A281-8FD30F98AFB6}"/>
    <cellStyle name="Comma 135 3 4" xfId="3998" xr:uid="{31CAEAD0-B5AF-4298-90B3-EAE0D27EFEA0}"/>
    <cellStyle name="Comma 135 4" xfId="1285" xr:uid="{59213F48-3631-4EC8-8310-B3D13E3AE7EF}"/>
    <cellStyle name="Comma 135 4 2" xfId="2818" xr:uid="{1CB0EFDB-8754-451E-AD8C-BDABE6260FBB}"/>
    <cellStyle name="Comma 135 5" xfId="2052" xr:uid="{3A8143B9-D6D7-4380-B267-509AA04684AE}"/>
    <cellStyle name="Comma 135 6" xfId="3587" xr:uid="{5AA30F2C-AE84-4535-8422-F19579C9B8B3}"/>
    <cellStyle name="Comma 136" xfId="340" xr:uid="{92B42CD1-C396-47F1-867B-4F8446580934}"/>
    <cellStyle name="Comma 136 2" xfId="656" xr:uid="{9F200387-CD54-401E-8283-9FAAFB85F398}"/>
    <cellStyle name="Comma 136 2 2" xfId="1042" xr:uid="{6A546587-0D60-4E2B-8BD8-113734F59725}"/>
    <cellStyle name="Comma 136 2 2 2" xfId="1853" xr:uid="{30AAACB8-AF0F-4629-BD76-84DD43FAA5C8}"/>
    <cellStyle name="Comma 136 2 2 2 2" xfId="3386" xr:uid="{B8AAB581-26F7-4B05-9D8E-E661A7CD3D65}"/>
    <cellStyle name="Comma 136 2 2 3" xfId="2620" xr:uid="{0E72AC84-A913-45CB-BB07-82A962D649E8}"/>
    <cellStyle name="Comma 136 2 2 4" xfId="4185" xr:uid="{258C39D3-5617-4F95-BE6D-6CDA107E197C}"/>
    <cellStyle name="Comma 136 2 3" xfId="1472" xr:uid="{C89B021C-956D-4050-979B-934286184D70}"/>
    <cellStyle name="Comma 136 2 3 2" xfId="3005" xr:uid="{0583E052-BF18-4270-A039-C19879B2DF4B}"/>
    <cellStyle name="Comma 136 2 4" xfId="2239" xr:uid="{D8D49149-96A6-4A9B-A2DF-54876D5D9C99}"/>
    <cellStyle name="Comma 136 2 5" xfId="3774" xr:uid="{B356D555-EBF9-4CC9-8F98-94A9B4B63862}"/>
    <cellStyle name="Comma 136 3" xfId="856" xr:uid="{2625B1D8-F674-4A13-AE32-90316B7C4844}"/>
    <cellStyle name="Comma 136 3 2" xfId="1667" xr:uid="{25D0EE64-2470-407E-A1D7-96E399BD7CD0}"/>
    <cellStyle name="Comma 136 3 2 2" xfId="3200" xr:uid="{24018C09-5DA1-47B0-AB16-22A6643975D6}"/>
    <cellStyle name="Comma 136 3 3" xfId="2434" xr:uid="{9090E03B-5331-479A-879E-9A5DCCD555B1}"/>
    <cellStyle name="Comma 136 3 4" xfId="3999" xr:uid="{25087969-F444-4E63-B014-2796A6BE396E}"/>
    <cellStyle name="Comma 136 4" xfId="1286" xr:uid="{A3980B6A-0A07-4F9D-AAB1-5AB26950D4EB}"/>
    <cellStyle name="Comma 136 4 2" xfId="2819" xr:uid="{50D78361-84B6-405D-A7FA-3A114C17917B}"/>
    <cellStyle name="Comma 136 5" xfId="2053" xr:uid="{58A26896-0142-4FF5-9B61-9C981EA5B863}"/>
    <cellStyle name="Comma 136 6" xfId="3588" xr:uid="{68DC1CD0-760F-4357-B978-76B4ECE977B2}"/>
    <cellStyle name="Comma 137" xfId="360" xr:uid="{8DAEFBBF-8E3F-450F-BE7A-56AEEFCCDEBA}"/>
    <cellStyle name="Comma 137 2" xfId="658" xr:uid="{7BFCEB41-0C30-4629-9DE3-6873155C9226}"/>
    <cellStyle name="Comma 137 2 2" xfId="1044" xr:uid="{E767C305-3D11-483F-BE2D-11CD56D029D6}"/>
    <cellStyle name="Comma 137 2 2 2" xfId="1855" xr:uid="{B84BC2BB-EB67-49C4-94E3-09EC3D61C070}"/>
    <cellStyle name="Comma 137 2 2 2 2" xfId="3388" xr:uid="{4C2F7243-39C3-408B-B06F-B87C4BBC6644}"/>
    <cellStyle name="Comma 137 2 2 3" xfId="2622" xr:uid="{178A75CC-7DC0-4BBF-B22B-1D84D1F3BA5D}"/>
    <cellStyle name="Comma 137 2 2 4" xfId="4187" xr:uid="{267419AB-7EEA-4EDA-B504-3B0977B0E8AE}"/>
    <cellStyle name="Comma 137 2 3" xfId="1474" xr:uid="{40D88772-E5F6-4562-A80F-BE762568B12F}"/>
    <cellStyle name="Comma 137 2 3 2" xfId="3007" xr:uid="{B1BF3819-26E3-4D2B-A045-4D019EBE0D37}"/>
    <cellStyle name="Comma 137 2 4" xfId="2241" xr:uid="{E5568631-5D51-4996-A2BF-1C68E41F6BF1}"/>
    <cellStyle name="Comma 137 2 5" xfId="3776" xr:uid="{419CBD3B-1B63-49C6-BC53-C3302EADC577}"/>
    <cellStyle name="Comma 137 3" xfId="858" xr:uid="{0E2DE38E-F947-445A-8B18-144CC5F0E8C7}"/>
    <cellStyle name="Comma 137 3 2" xfId="1669" xr:uid="{1652E274-ACED-4AA1-8E6D-E2A6085F539D}"/>
    <cellStyle name="Comma 137 3 2 2" xfId="3202" xr:uid="{26907D9C-4C77-4A94-B475-AC1F2306D1A7}"/>
    <cellStyle name="Comma 137 3 3" xfId="2436" xr:uid="{DEB63D4E-6F8A-4544-A925-6F1993D70310}"/>
    <cellStyle name="Comma 137 3 4" xfId="4001" xr:uid="{BCF6118B-5F91-40BA-8ED8-24ED6F527532}"/>
    <cellStyle name="Comma 137 4" xfId="1288" xr:uid="{1673A814-1704-4EAF-9538-11DA35334979}"/>
    <cellStyle name="Comma 137 4 2" xfId="2821" xr:uid="{1AA8DE75-7833-4B09-8DEE-896BFCBFF6A1}"/>
    <cellStyle name="Comma 137 5" xfId="2055" xr:uid="{5F33A23C-A183-4F20-B089-43AC76F9B4C2}"/>
    <cellStyle name="Comma 137 6" xfId="3590" xr:uid="{F52C568B-F410-4E1C-8DB4-3C673EAFB961}"/>
    <cellStyle name="Comma 138" xfId="382" xr:uid="{92C39E89-B810-4053-AD3D-4F9D0F08AABB}"/>
    <cellStyle name="Comma 138 2" xfId="660" xr:uid="{7229AAED-7F4A-4588-8533-8522E08680EF}"/>
    <cellStyle name="Comma 138 2 2" xfId="1046" xr:uid="{BE696266-E147-4345-962C-1F46956B4BCC}"/>
    <cellStyle name="Comma 138 2 2 2" xfId="1857" xr:uid="{FD5D7DAB-4E46-47ED-890A-D2672D9F712A}"/>
    <cellStyle name="Comma 138 2 2 2 2" xfId="3390" xr:uid="{B1EF6EB4-A6D3-4413-BFA7-EAF79AE8947A}"/>
    <cellStyle name="Comma 138 2 2 3" xfId="2624" xr:uid="{AD011E7B-2FDC-4DA4-A408-E81195403BAA}"/>
    <cellStyle name="Comma 138 2 2 4" xfId="4189" xr:uid="{0A601866-E9BA-40A7-B748-928466F961EB}"/>
    <cellStyle name="Comma 138 2 3" xfId="1476" xr:uid="{84DF66FB-B1AA-431C-9CC6-2B71A017095E}"/>
    <cellStyle name="Comma 138 2 3 2" xfId="3009" xr:uid="{DB2C0209-DA7E-4F96-AEA8-396BDE3C0D58}"/>
    <cellStyle name="Comma 138 2 4" xfId="2243" xr:uid="{5834888E-5599-4B66-8ACF-19B86918F4A0}"/>
    <cellStyle name="Comma 138 2 5" xfId="3778" xr:uid="{8377F083-36EC-4C7A-8542-DE74BC707B5F}"/>
    <cellStyle name="Comma 138 3" xfId="860" xr:uid="{C8ACC7A8-A250-43F8-B525-2C2B0390DE01}"/>
    <cellStyle name="Comma 138 3 2" xfId="1671" xr:uid="{65FD2F0B-6700-44E7-ADEE-02EB5E894FCB}"/>
    <cellStyle name="Comma 138 3 2 2" xfId="3204" xr:uid="{62A86CDC-F1F1-42B0-8377-3223F33796FC}"/>
    <cellStyle name="Comma 138 3 3" xfId="2438" xr:uid="{4D6F74A9-1E35-48AD-B447-76C98C97D811}"/>
    <cellStyle name="Comma 138 3 4" xfId="4003" xr:uid="{A716C407-3F8C-4F75-9D43-047E45758067}"/>
    <cellStyle name="Comma 138 4" xfId="1290" xr:uid="{2500CD0E-975A-4057-AD34-6DCC56B432FB}"/>
    <cellStyle name="Comma 138 4 2" xfId="2823" xr:uid="{DF705495-E54F-4337-A152-07BBD8812206}"/>
    <cellStyle name="Comma 138 5" xfId="2057" xr:uid="{04BD0CB3-D041-46AA-9488-A1D11D4314FA}"/>
    <cellStyle name="Comma 138 6" xfId="3592" xr:uid="{87F075BA-F03D-4B00-B31A-EF669C6B2DFE}"/>
    <cellStyle name="Comma 139" xfId="405" xr:uid="{90008947-11AE-4421-AE08-4C5B4EF038E2}"/>
    <cellStyle name="Comma 139 2" xfId="661" xr:uid="{0557DD9A-4AEB-4B98-9688-916894B59487}"/>
    <cellStyle name="Comma 139 2 2" xfId="1047" xr:uid="{AD44F599-6509-43FA-AACF-5B4E05D76D3E}"/>
    <cellStyle name="Comma 139 2 2 2" xfId="1858" xr:uid="{2C913780-1281-4373-BB41-C49166700292}"/>
    <cellStyle name="Comma 139 2 2 2 2" xfId="3391" xr:uid="{C090BA6E-C3C7-4E53-9349-4BB283148F41}"/>
    <cellStyle name="Comma 139 2 2 3" xfId="2625" xr:uid="{B8B230EA-3E64-4B8B-9D6B-6416BF65A443}"/>
    <cellStyle name="Comma 139 2 2 4" xfId="4190" xr:uid="{F1016015-B42A-456E-85E5-382EDECB28B9}"/>
    <cellStyle name="Comma 139 2 3" xfId="1477" xr:uid="{2504FC5F-B396-480B-9CB6-4592F6004038}"/>
    <cellStyle name="Comma 139 2 3 2" xfId="3010" xr:uid="{61566D8C-C083-4B0F-A7F1-EF757AD49E77}"/>
    <cellStyle name="Comma 139 2 4" xfId="2244" xr:uid="{21C4059A-06F2-4E56-8695-23B6749C8273}"/>
    <cellStyle name="Comma 139 2 5" xfId="3779" xr:uid="{31C0674F-3C38-4E6F-8438-29D42681E5D3}"/>
    <cellStyle name="Comma 139 3" xfId="861" xr:uid="{DB0898D7-59CD-4294-92C4-C441A3D04993}"/>
    <cellStyle name="Comma 139 3 2" xfId="1672" xr:uid="{51B387AA-54B9-4AD9-96AD-B01EA933F318}"/>
    <cellStyle name="Comma 139 3 2 2" xfId="3205" xr:uid="{581CA07C-C74D-452F-8580-B5154129CD27}"/>
    <cellStyle name="Comma 139 3 3" xfId="2439" xr:uid="{6C0E4FAE-1764-40D0-87AF-4404D6A42580}"/>
    <cellStyle name="Comma 139 3 4" xfId="4004" xr:uid="{7B698391-D140-4B1A-A878-B4B2D101971B}"/>
    <cellStyle name="Comma 139 4" xfId="1291" xr:uid="{A32A29FD-2E0D-4D94-88CA-652FFE5873F9}"/>
    <cellStyle name="Comma 139 4 2" xfId="2824" xr:uid="{C6372FF2-4FB3-4406-AC4F-A05010DF9D26}"/>
    <cellStyle name="Comma 139 5" xfId="2058" xr:uid="{F4E41DA5-3D67-4C7C-903E-E66B5DE297AF}"/>
    <cellStyle name="Comma 139 6" xfId="3593" xr:uid="{23429189-4B98-4545-9CCC-EF107506A86A}"/>
    <cellStyle name="Comma 14" xfId="145" xr:uid="{147BFA37-3F54-4389-9B76-63E488AE4BF0}"/>
    <cellStyle name="Comma 14 2" xfId="531" xr:uid="{673901B3-5338-488E-B31B-6C1D7D39F228}"/>
    <cellStyle name="Comma 14 2 2" xfId="917" xr:uid="{0A37A166-0B26-46FE-A964-06D8BB95A9F6}"/>
    <cellStyle name="Comma 14 2 2 2" xfId="1728" xr:uid="{DBC2A860-E424-4DE2-B014-1C75BC45F678}"/>
    <cellStyle name="Comma 14 2 2 2 2" xfId="3261" xr:uid="{2AF29823-3AC4-4B3E-A442-A706304E9F3D}"/>
    <cellStyle name="Comma 14 2 2 3" xfId="2495" xr:uid="{63975B3B-78C9-4E26-9F46-E76867344F69}"/>
    <cellStyle name="Comma 14 2 2 4" xfId="4060" xr:uid="{3819405B-7F5F-48CC-9598-FD2F1C66D12E}"/>
    <cellStyle name="Comma 14 2 3" xfId="1347" xr:uid="{C0E20B7A-59D2-4618-8EAC-84206D931FB4}"/>
    <cellStyle name="Comma 14 2 3 2" xfId="2880" xr:uid="{DC962F30-1BA4-46D0-96CF-CE3653AD422C}"/>
    <cellStyle name="Comma 14 2 4" xfId="2114" xr:uid="{95CF1286-3769-4872-8098-A35051E84FC1}"/>
    <cellStyle name="Comma 14 2 5" xfId="3649" xr:uid="{B921A9DE-CF99-4AC3-8DA0-AA770F4AD7AF}"/>
    <cellStyle name="Comma 14 3" xfId="731" xr:uid="{C816AB40-B2EA-4979-93D0-DA8E4AC9BA2A}"/>
    <cellStyle name="Comma 14 3 2" xfId="1542" xr:uid="{EE356028-03DC-4902-BFC7-EDDE5BACA5AF}"/>
    <cellStyle name="Comma 14 3 2 2" xfId="3075" xr:uid="{CB0F285D-3B8F-4013-B9E4-CC11B428B6DD}"/>
    <cellStyle name="Comma 14 3 3" xfId="2309" xr:uid="{9C5D661B-CB8E-4097-9AF0-3766A3E5B162}"/>
    <cellStyle name="Comma 14 3 4" xfId="3874" xr:uid="{AA308F7D-24EA-432F-82B8-A2A4A5DEA001}"/>
    <cellStyle name="Comma 14 4" xfId="1161" xr:uid="{95B2726A-F749-464F-9C51-20A7144FCF37}"/>
    <cellStyle name="Comma 14 4 2" xfId="2694" xr:uid="{ED04E30F-DD50-4830-8D4E-2D651DC20C91}"/>
    <cellStyle name="Comma 14 5" xfId="1928" xr:uid="{946DD203-8E62-438B-B8B7-ED3A9D67841C}"/>
    <cellStyle name="Comma 14 6" xfId="3463" xr:uid="{A59A73B7-F024-44A3-ACF6-EF42988C4BA3}"/>
    <cellStyle name="Comma 140" xfId="419" xr:uid="{5715E98A-86AE-417E-95BA-DA3CDB02B154}"/>
    <cellStyle name="Comma 140 2" xfId="663" xr:uid="{614A147F-F9C4-47DA-8F5C-6CE1810E2E80}"/>
    <cellStyle name="Comma 140 2 2" xfId="1049" xr:uid="{35E5D304-DD24-4165-9C7A-546125319288}"/>
    <cellStyle name="Comma 140 2 2 2" xfId="1860" xr:uid="{6820D13A-680A-4B9D-99AC-200CD7ED73AC}"/>
    <cellStyle name="Comma 140 2 2 2 2" xfId="3393" xr:uid="{0A9B53C9-2819-4160-83E3-D5364B6A5FC6}"/>
    <cellStyle name="Comma 140 2 2 3" xfId="2627" xr:uid="{BD3C964D-D6FA-4E87-AE2A-B5247EA49812}"/>
    <cellStyle name="Comma 140 2 2 4" xfId="4192" xr:uid="{5BF781EE-139A-4DFB-A6F8-8EA7B0224C4D}"/>
    <cellStyle name="Comma 140 2 3" xfId="1479" xr:uid="{F64AA4B4-D6C1-4120-B70C-B5CBF07EC77E}"/>
    <cellStyle name="Comma 140 2 3 2" xfId="3012" xr:uid="{06536CD5-C54D-45B5-ABFE-7B3F170EE545}"/>
    <cellStyle name="Comma 140 2 4" xfId="2246" xr:uid="{EF128E9D-090E-4DCF-8738-AF0A66936DAF}"/>
    <cellStyle name="Comma 140 2 5" xfId="3781" xr:uid="{D7369B80-34EE-4F9E-824C-64BFC655BB5D}"/>
    <cellStyle name="Comma 140 3" xfId="863" xr:uid="{4CEAFB3B-0550-4519-B122-337B85EB29AA}"/>
    <cellStyle name="Comma 140 3 2" xfId="1674" xr:uid="{BEBA943A-0B29-40DB-890C-CC0A4F4E86C3}"/>
    <cellStyle name="Comma 140 3 2 2" xfId="3207" xr:uid="{D149CAC5-8089-46F2-8EEA-077038D6B5B9}"/>
    <cellStyle name="Comma 140 3 3" xfId="2441" xr:uid="{0B4E5B44-63F0-4A74-90E7-018A3DB34B67}"/>
    <cellStyle name="Comma 140 3 4" xfId="4006" xr:uid="{13E47B1A-466E-4725-8CFE-3012A800D084}"/>
    <cellStyle name="Comma 140 4" xfId="1293" xr:uid="{BBFEC5A2-E0BC-434E-8E41-A96823B41A29}"/>
    <cellStyle name="Comma 140 4 2" xfId="2826" xr:uid="{C408F241-CC33-49D1-8149-2E25A9D620D1}"/>
    <cellStyle name="Comma 140 5" xfId="2060" xr:uid="{7BB57DAF-3DC6-43A1-AE43-CA23296AA508}"/>
    <cellStyle name="Comma 140 6" xfId="3595" xr:uid="{A0F30FEE-673C-432E-8695-471E1A152482}"/>
    <cellStyle name="Comma 141" xfId="410" xr:uid="{A16BDC15-4227-4A52-AA64-E072F0CBBDB3}"/>
    <cellStyle name="Comma 141 2" xfId="662" xr:uid="{7540FB2D-A1E8-46E1-BC31-23C42416F336}"/>
    <cellStyle name="Comma 141 2 2" xfId="1048" xr:uid="{DB4F494F-F7FA-4C6D-8AF7-82DEA1C181A9}"/>
    <cellStyle name="Comma 141 2 2 2" xfId="1859" xr:uid="{E80E1F58-4170-47F0-AF86-B1BFFFE257CF}"/>
    <cellStyle name="Comma 141 2 2 2 2" xfId="3392" xr:uid="{56E8A4BC-AA70-459A-81F2-F11A3EB57221}"/>
    <cellStyle name="Comma 141 2 2 3" xfId="2626" xr:uid="{765CA61F-496D-4878-85FA-1A07203F9E82}"/>
    <cellStyle name="Comma 141 2 2 4" xfId="4191" xr:uid="{58E84DD9-37DF-40F6-BBB0-B5E9A846DFCC}"/>
    <cellStyle name="Comma 141 2 3" xfId="1478" xr:uid="{49D107FC-04DD-4606-AA2A-6833342D6725}"/>
    <cellStyle name="Comma 141 2 3 2" xfId="3011" xr:uid="{6B63A90C-48F6-4515-8490-EC717AD62C7D}"/>
    <cellStyle name="Comma 141 2 4" xfId="2245" xr:uid="{4EEE9E05-3749-498A-9EEA-6984196F9813}"/>
    <cellStyle name="Comma 141 2 5" xfId="3780" xr:uid="{F058CD59-0E8A-4EB9-869A-31C0870B38B6}"/>
    <cellStyle name="Comma 141 3" xfId="862" xr:uid="{5CAC446B-DFF2-4BA5-8243-BE09369EEB33}"/>
    <cellStyle name="Comma 141 3 2" xfId="1673" xr:uid="{55F52EBA-78D5-4292-998B-05F4F13D27D4}"/>
    <cellStyle name="Comma 141 3 2 2" xfId="3206" xr:uid="{BD8E0F58-6AEE-44AC-BF64-AD6ACB95A9C3}"/>
    <cellStyle name="Comma 141 3 3" xfId="2440" xr:uid="{57F36BE7-6AFE-4890-A899-D393C8B25601}"/>
    <cellStyle name="Comma 141 3 4" xfId="4005" xr:uid="{2FD16CE5-43C8-4B92-9A1E-29FC613A2C09}"/>
    <cellStyle name="Comma 141 4" xfId="1292" xr:uid="{52EBA48C-A899-4D68-A12C-DACBF2291F8D}"/>
    <cellStyle name="Comma 141 4 2" xfId="2825" xr:uid="{2D4FD10C-4B0C-4E58-96EC-DE996D9AE8DD}"/>
    <cellStyle name="Comma 141 5" xfId="2059" xr:uid="{670DBAF3-944E-4DD4-A2AB-07FACB7DB399}"/>
    <cellStyle name="Comma 141 6" xfId="3594" xr:uid="{E680E695-A4D2-48F3-8034-FF21BE1D5E03}"/>
    <cellStyle name="Comma 142" xfId="443" xr:uid="{67E607FF-031C-4543-9720-E9792E153EBA}"/>
    <cellStyle name="Comma 142 2" xfId="666" xr:uid="{43804589-D257-49B8-89F1-BF59BA4536A8}"/>
    <cellStyle name="Comma 142 2 2" xfId="1052" xr:uid="{77507D5C-973A-4421-B14B-0EC566B7113D}"/>
    <cellStyle name="Comma 142 2 2 2" xfId="1863" xr:uid="{90E41243-ACCE-416D-98B1-B3E299E11272}"/>
    <cellStyle name="Comma 142 2 2 2 2" xfId="3396" xr:uid="{937486FC-D76E-4C22-9CA1-76D239FBD78E}"/>
    <cellStyle name="Comma 142 2 2 3" xfId="2630" xr:uid="{F6670F1D-E214-47C7-99B5-7FBDD1EC2ADD}"/>
    <cellStyle name="Comma 142 2 2 4" xfId="4195" xr:uid="{C54231E2-3116-47A1-895D-A0BE97D8564C}"/>
    <cellStyle name="Comma 142 2 3" xfId="1482" xr:uid="{4E910240-56B3-4196-88F6-0BD490977809}"/>
    <cellStyle name="Comma 142 2 3 2" xfId="3015" xr:uid="{112E97AC-43B2-4483-A233-3F219F6DE4F5}"/>
    <cellStyle name="Comma 142 2 4" xfId="2249" xr:uid="{A45E7F70-11D7-48D2-B0C4-EA71D9B5D9AA}"/>
    <cellStyle name="Comma 142 2 5" xfId="3784" xr:uid="{BAD6DDC8-111E-4FCB-9653-AEFCED3D56CB}"/>
    <cellStyle name="Comma 142 3" xfId="866" xr:uid="{F7A40633-DB7B-4A56-827C-2AE8D5A701AF}"/>
    <cellStyle name="Comma 142 3 2" xfId="1677" xr:uid="{4CCBF3FF-EB89-43F1-967E-2A42BEAB1006}"/>
    <cellStyle name="Comma 142 3 2 2" xfId="3210" xr:uid="{2FD37A53-1619-4EE2-868D-83BF17A72DE3}"/>
    <cellStyle name="Comma 142 3 3" xfId="2444" xr:uid="{A9AD5638-3055-4DA4-AD2D-343B162CEE1D}"/>
    <cellStyle name="Comma 142 3 4" xfId="4009" xr:uid="{8C76B19E-9651-4156-8A09-464FB09FB2DC}"/>
    <cellStyle name="Comma 142 4" xfId="1296" xr:uid="{F967BF1C-B6E1-4EF1-A2C8-D59AEE194AF8}"/>
    <cellStyle name="Comma 142 4 2" xfId="2829" xr:uid="{AABE97FA-EA21-41E7-BF4A-7076D4E10A66}"/>
    <cellStyle name="Comma 142 5" xfId="2063" xr:uid="{CCFA2C85-CD89-4106-8406-F82391638F1E}"/>
    <cellStyle name="Comma 142 6" xfId="3598" xr:uid="{697F0E0C-77D0-46ED-97FF-94D100213AEF}"/>
    <cellStyle name="Comma 143" xfId="448" xr:uid="{6C1DE187-2639-413C-A6D8-3F3FF5CCDDFF}"/>
    <cellStyle name="Comma 143 2" xfId="667" xr:uid="{732AA4C6-B145-44EB-9549-712E79066CEC}"/>
    <cellStyle name="Comma 143 2 2" xfId="1053" xr:uid="{6FD93B87-1B3F-4734-BC2C-D79E0B29A174}"/>
    <cellStyle name="Comma 143 2 2 2" xfId="1864" xr:uid="{883C8581-701D-4026-BB22-777B1B9644CB}"/>
    <cellStyle name="Comma 143 2 2 2 2" xfId="3397" xr:uid="{B5CEA41D-6DFE-4CA2-AC25-1288D8C03596}"/>
    <cellStyle name="Comma 143 2 2 3" xfId="2631" xr:uid="{48C8CFCD-C11D-4A5E-B517-036237FDE1F1}"/>
    <cellStyle name="Comma 143 2 2 4" xfId="4196" xr:uid="{E31EA9BD-2A89-4817-A0FF-E3C8E53C3E38}"/>
    <cellStyle name="Comma 143 2 3" xfId="1483" xr:uid="{FD4DB4F3-9151-4A67-B666-070DD742AF17}"/>
    <cellStyle name="Comma 143 2 3 2" xfId="3016" xr:uid="{A5569D43-B48F-4CCD-8E4B-98D034AD97EF}"/>
    <cellStyle name="Comma 143 2 4" xfId="2250" xr:uid="{D4218ABF-E6D6-4497-A734-81D05345CF89}"/>
    <cellStyle name="Comma 143 2 5" xfId="3785" xr:uid="{5D021025-65D3-417D-875B-97F25523E07D}"/>
    <cellStyle name="Comma 143 3" xfId="867" xr:uid="{6677DDDE-1187-4E33-8259-6053E50DF22E}"/>
    <cellStyle name="Comma 143 3 2" xfId="1678" xr:uid="{B719A4AD-3F96-41D9-9A6A-382671344637}"/>
    <cellStyle name="Comma 143 3 2 2" xfId="3211" xr:uid="{ABE29CB6-657B-46D8-9ECE-201AAD747253}"/>
    <cellStyle name="Comma 143 3 3" xfId="2445" xr:uid="{8D394A59-3FFB-474A-8DCC-8CEA0D5A6FBC}"/>
    <cellStyle name="Comma 143 3 4" xfId="4010" xr:uid="{42A44E4E-AC4C-478B-B520-D968EA7D0241}"/>
    <cellStyle name="Comma 143 4" xfId="1297" xr:uid="{A23C7D14-CB77-490F-A4EA-D6C3BA750750}"/>
    <cellStyle name="Comma 143 4 2" xfId="2830" xr:uid="{35B8363F-B945-4753-8C1B-9B74D5D42AB5}"/>
    <cellStyle name="Comma 143 5" xfId="2064" xr:uid="{A611EED0-9D1E-4AEB-93F4-7FC3BC2E3941}"/>
    <cellStyle name="Comma 143 6" xfId="3599" xr:uid="{8F9F8832-A63F-4744-8515-6472CF2583A2}"/>
    <cellStyle name="Comma 144" xfId="423" xr:uid="{4C850080-2D66-40A4-A7AD-2B14F28443D8}"/>
    <cellStyle name="Comma 144 2" xfId="665" xr:uid="{7268697E-2A64-43C6-8BF1-23FBAF626CDE}"/>
    <cellStyle name="Comma 144 2 2" xfId="1051" xr:uid="{4DE036E9-9696-4D5C-8211-8E5996FADA9C}"/>
    <cellStyle name="Comma 144 2 2 2" xfId="1862" xr:uid="{CD1874ED-63F1-459B-B390-7C4A729ABBC0}"/>
    <cellStyle name="Comma 144 2 2 2 2" xfId="3395" xr:uid="{97DDDA94-212E-465D-87F8-FAC0DF63FF2E}"/>
    <cellStyle name="Comma 144 2 2 3" xfId="2629" xr:uid="{7E24746C-5B36-4852-9E22-75B3FEB6DFA6}"/>
    <cellStyle name="Comma 144 2 2 4" xfId="4194" xr:uid="{963628C8-6EDF-4356-8C35-9CB45BA6F01E}"/>
    <cellStyle name="Comma 144 2 3" xfId="1481" xr:uid="{959F260A-3DBA-4FB1-A640-9863ACAED38F}"/>
    <cellStyle name="Comma 144 2 3 2" xfId="3014" xr:uid="{8098CF90-AFBD-4081-BD56-465539A1C271}"/>
    <cellStyle name="Comma 144 2 4" xfId="2248" xr:uid="{B05725D3-141C-4E69-B46C-2BCADADA5D23}"/>
    <cellStyle name="Comma 144 2 5" xfId="3783" xr:uid="{48D62B02-258A-4496-BE19-2605D6271153}"/>
    <cellStyle name="Comma 144 3" xfId="865" xr:uid="{F9B26A61-E4F7-4E18-9580-0AA7F1695CCF}"/>
    <cellStyle name="Comma 144 3 2" xfId="1676" xr:uid="{5C42AB30-D350-4585-8212-7224DE8BC85E}"/>
    <cellStyle name="Comma 144 3 2 2" xfId="3209" xr:uid="{10EFED75-BD9B-49BF-8BBC-6C6CDE8E971B}"/>
    <cellStyle name="Comma 144 3 3" xfId="2443" xr:uid="{A4A1DFCD-63A9-4A57-9CE7-1B35693B0ED5}"/>
    <cellStyle name="Comma 144 3 4" xfId="4008" xr:uid="{A4928060-256A-491F-B120-24107B50E426}"/>
    <cellStyle name="Comma 144 4" xfId="1295" xr:uid="{48356060-73F6-4DD0-BFED-73C4405BA0FD}"/>
    <cellStyle name="Comma 144 4 2" xfId="2828" xr:uid="{EA5436A1-B050-48FE-BBC3-B3156A15F0B6}"/>
    <cellStyle name="Comma 144 5" xfId="2062" xr:uid="{53FB7EBE-F4E0-48E4-954F-F27C76FC9AD3}"/>
    <cellStyle name="Comma 144 6" xfId="3597" xr:uid="{458BC052-57A2-4CCB-98BD-F28042B50570}"/>
    <cellStyle name="Comma 145" xfId="421" xr:uid="{85D88CD4-E5AE-4420-8C44-BADEB32AF8CB}"/>
    <cellStyle name="Comma 145 2" xfId="664" xr:uid="{A0FFF5B0-F5F6-4FC4-B697-377B2A6C1D89}"/>
    <cellStyle name="Comma 145 2 2" xfId="1050" xr:uid="{F79EBF9C-4BC5-4A37-A0DF-97BBBB0422E6}"/>
    <cellStyle name="Comma 145 2 2 2" xfId="1861" xr:uid="{152BF04E-7A2A-44F9-9C57-CB9A234505EE}"/>
    <cellStyle name="Comma 145 2 2 2 2" xfId="3394" xr:uid="{908FEF2A-C040-48E7-9A53-72A52B0416D3}"/>
    <cellStyle name="Comma 145 2 2 3" xfId="2628" xr:uid="{2F09AD2C-C188-4576-A70E-3DF6FEC654B1}"/>
    <cellStyle name="Comma 145 2 2 4" xfId="4193" xr:uid="{27D8E432-50E0-4D16-B84F-CF6422846569}"/>
    <cellStyle name="Comma 145 2 3" xfId="1480" xr:uid="{7BBAA824-F1F1-49FB-94EA-CC96D696E1E1}"/>
    <cellStyle name="Comma 145 2 3 2" xfId="3013" xr:uid="{C751FFD6-8B26-4C65-839D-1C9C3C826747}"/>
    <cellStyle name="Comma 145 2 4" xfId="2247" xr:uid="{FF79D6C0-0BC3-4AA5-A4DD-53C7EED048D5}"/>
    <cellStyle name="Comma 145 2 5" xfId="3782" xr:uid="{8F78627E-2B8A-4805-BB90-A0013517E097}"/>
    <cellStyle name="Comma 145 3" xfId="864" xr:uid="{08F310B1-1355-4DB0-8C19-DAF3D435F3C5}"/>
    <cellStyle name="Comma 145 3 2" xfId="1675" xr:uid="{EAF43291-A90B-4D12-B4EF-808F38118DC4}"/>
    <cellStyle name="Comma 145 3 2 2" xfId="3208" xr:uid="{E4EFFD92-5746-4F90-8AFA-AA14636326DF}"/>
    <cellStyle name="Comma 145 3 3" xfId="2442" xr:uid="{498E6076-D014-4DCE-AD7A-9F219A337592}"/>
    <cellStyle name="Comma 145 3 4" xfId="4007" xr:uid="{1E77AFC4-59E4-4319-A412-6CB555307EB0}"/>
    <cellStyle name="Comma 145 4" xfId="1294" xr:uid="{67FCF914-0251-4F1F-B8A8-AFA13FDA4269}"/>
    <cellStyle name="Comma 145 4 2" xfId="2827" xr:uid="{B5AA984C-9EE5-480F-89EE-191F45EFCCE9}"/>
    <cellStyle name="Comma 145 5" xfId="2061" xr:uid="{964B961B-078A-4647-B154-E817D8E02A40}"/>
    <cellStyle name="Comma 145 6" xfId="3596" xr:uid="{5D435C9B-B382-48A2-80E9-521D320F566A}"/>
    <cellStyle name="Comma 146" xfId="355" xr:uid="{47503168-86AF-440E-9E5F-2A869B1BD8E4}"/>
    <cellStyle name="Comma 146 2" xfId="657" xr:uid="{7D4B5FE8-AA74-4532-83DE-4B6E656AF0A6}"/>
    <cellStyle name="Comma 146 2 2" xfId="1043" xr:uid="{18B9ED1E-7123-49EA-8F26-75AA2CBAF93B}"/>
    <cellStyle name="Comma 146 2 2 2" xfId="1854" xr:uid="{86E568F1-9731-4441-A264-370331458440}"/>
    <cellStyle name="Comma 146 2 2 2 2" xfId="3387" xr:uid="{1D638BB9-0F7A-45A9-8F78-64707C5921E9}"/>
    <cellStyle name="Comma 146 2 2 3" xfId="2621" xr:uid="{90E9CFAC-5E6F-42CC-8909-294695D48B2A}"/>
    <cellStyle name="Comma 146 2 2 4" xfId="4186" xr:uid="{0343BD96-4FE7-463A-AB02-59A115C09CEF}"/>
    <cellStyle name="Comma 146 2 3" xfId="1473" xr:uid="{C0465881-3B92-4F26-B022-F81F53ABD92C}"/>
    <cellStyle name="Comma 146 2 3 2" xfId="3006" xr:uid="{D066F6FA-1960-40B2-A2AD-3411E06DC01B}"/>
    <cellStyle name="Comma 146 2 4" xfId="2240" xr:uid="{F1BA297A-F622-491E-B093-D161AC503B09}"/>
    <cellStyle name="Comma 146 2 5" xfId="3775" xr:uid="{ECB1F0CB-E6D0-44D8-801D-C2E8012AA419}"/>
    <cellStyle name="Comma 146 3" xfId="857" xr:uid="{59DA5C33-5630-491C-AAE0-852F64662DA9}"/>
    <cellStyle name="Comma 146 3 2" xfId="1668" xr:uid="{B8DDE5B6-8838-4FC6-A7CA-4FCD4E679068}"/>
    <cellStyle name="Comma 146 3 2 2" xfId="3201" xr:uid="{6B92154A-43F5-47FA-B91E-F5892A81029E}"/>
    <cellStyle name="Comma 146 3 3" xfId="2435" xr:uid="{F616D007-B702-414F-BBC2-6C9CD53F1261}"/>
    <cellStyle name="Comma 146 3 4" xfId="4000" xr:uid="{8FB85A5B-04EA-4E46-A3DE-9FDDD0410FDC}"/>
    <cellStyle name="Comma 146 4" xfId="1287" xr:uid="{33637754-C680-42C2-9387-F7F8386A794D}"/>
    <cellStyle name="Comma 146 4 2" xfId="2820" xr:uid="{C2955E9E-A749-476A-92D8-B6DC2E2D8327}"/>
    <cellStyle name="Comma 146 5" xfId="2054" xr:uid="{E9E012F5-AC19-4BBD-B801-1A595D1B47F2}"/>
    <cellStyle name="Comma 146 6" xfId="3589" xr:uid="{BA72F430-17EC-417D-89C9-7505B6789C3A}"/>
    <cellStyle name="Comma 147" xfId="461" xr:uid="{DD08A5A5-B0D0-4966-8B6C-7D59E82527CB}"/>
    <cellStyle name="Comma 147 2" xfId="669" xr:uid="{AAC5F347-05C1-459D-8511-5DE35A48B535}"/>
    <cellStyle name="Comma 147 2 2" xfId="1055" xr:uid="{709BF068-6FD9-4C8F-B1BD-367335F9CF41}"/>
    <cellStyle name="Comma 147 2 2 2" xfId="1866" xr:uid="{96ED3070-34E3-4DD9-9AE0-35E51AB24AF9}"/>
    <cellStyle name="Comma 147 2 2 2 2" xfId="3399" xr:uid="{E5C44C9B-3FA4-48C9-8434-D73ECCCDD397}"/>
    <cellStyle name="Comma 147 2 2 3" xfId="2633" xr:uid="{A931063F-28DB-4BB3-B520-2ABAF8A05D7B}"/>
    <cellStyle name="Comma 147 2 2 4" xfId="4198" xr:uid="{EC875273-0BBE-440D-AD46-200C0618A03C}"/>
    <cellStyle name="Comma 147 2 3" xfId="1485" xr:uid="{2BD84D72-3B34-44FA-B87B-7C1C6D3D1520}"/>
    <cellStyle name="Comma 147 2 3 2" xfId="3018" xr:uid="{32522853-6FBF-425C-934F-F86B4A2A2E4A}"/>
    <cellStyle name="Comma 147 2 4" xfId="2252" xr:uid="{2B8E0896-EA57-4C7B-B829-184FDCF575E8}"/>
    <cellStyle name="Comma 147 2 5" xfId="3787" xr:uid="{8FF66BEA-3AD0-40A8-BA84-06FD2D402323}"/>
    <cellStyle name="Comma 147 3" xfId="869" xr:uid="{55238603-3147-498C-A85C-A04893B4D29F}"/>
    <cellStyle name="Comma 147 3 2" xfId="1680" xr:uid="{C305AD30-D5AC-46B1-9967-E1A44AFC83EB}"/>
    <cellStyle name="Comma 147 3 2 2" xfId="3213" xr:uid="{FD46B593-C9A7-40C9-86B6-B24A9CC4C4D9}"/>
    <cellStyle name="Comma 147 3 3" xfId="2447" xr:uid="{CA034275-8BBA-4E16-B482-FFB465CB8973}"/>
    <cellStyle name="Comma 147 3 4" xfId="4012" xr:uid="{500AB5BD-046E-4FDE-9875-F736414BE187}"/>
    <cellStyle name="Comma 147 4" xfId="1299" xr:uid="{6D3DF441-00A1-4AD5-99D7-A2B34A68CB83}"/>
    <cellStyle name="Comma 147 4 2" xfId="2832" xr:uid="{4B441FA7-B8B0-45DD-B0CC-22A57E265C05}"/>
    <cellStyle name="Comma 147 5" xfId="2066" xr:uid="{04A4AF30-18F5-41C2-AC52-E41FF6C2C6BA}"/>
    <cellStyle name="Comma 147 6" xfId="3601" xr:uid="{464D6EA8-2296-4176-9339-6B0EBE2EB1E2}"/>
    <cellStyle name="Comma 148" xfId="455" xr:uid="{D556AD36-7B8C-4618-A766-97406D74CF52}"/>
    <cellStyle name="Comma 148 2" xfId="668" xr:uid="{865D8D3E-FDF6-43EC-8D60-7FFCE9B01BD0}"/>
    <cellStyle name="Comma 148 2 2" xfId="1054" xr:uid="{9391D305-86E1-4F55-9B1D-F320A58FA5B7}"/>
    <cellStyle name="Comma 148 2 2 2" xfId="1865" xr:uid="{85BE4627-BC03-4C78-ADBA-2664A62CE5B3}"/>
    <cellStyle name="Comma 148 2 2 2 2" xfId="3398" xr:uid="{0FBF7298-88C7-46B3-BC08-DA08856078C6}"/>
    <cellStyle name="Comma 148 2 2 3" xfId="2632" xr:uid="{D3D3E3BF-8CB0-453C-AD4C-35220A9254E6}"/>
    <cellStyle name="Comma 148 2 2 4" xfId="4197" xr:uid="{2EE3CFEE-A742-4061-8A28-1530BD897823}"/>
    <cellStyle name="Comma 148 2 3" xfId="1484" xr:uid="{C7CDE226-8BAB-4269-907B-94D564E7798D}"/>
    <cellStyle name="Comma 148 2 3 2" xfId="3017" xr:uid="{F1132E74-85EB-4C02-B811-B0FC38BF4677}"/>
    <cellStyle name="Comma 148 2 4" xfId="2251" xr:uid="{CB6B30EE-7371-455D-A49F-B66EB9C90D16}"/>
    <cellStyle name="Comma 148 2 5" xfId="3786" xr:uid="{CDC7B031-AB2E-4FE8-B344-3D38D22C02D5}"/>
    <cellStyle name="Comma 148 3" xfId="868" xr:uid="{3E44830A-9C66-4103-8718-E152B6F7A8E6}"/>
    <cellStyle name="Comma 148 3 2" xfId="1679" xr:uid="{B8A5187B-5877-45E4-A964-82C43583B76C}"/>
    <cellStyle name="Comma 148 3 2 2" xfId="3212" xr:uid="{5770A1CD-AF3D-4DBA-9055-4390EB08E45E}"/>
    <cellStyle name="Comma 148 3 3" xfId="2446" xr:uid="{F80DD247-9431-4D7E-8C87-C897BD9AC91D}"/>
    <cellStyle name="Comma 148 3 4" xfId="4011" xr:uid="{D4FCEFEA-C527-430A-A77E-C64D42EF9AFD}"/>
    <cellStyle name="Comma 148 4" xfId="1298" xr:uid="{9676CC84-65BA-434A-BC0E-FAC6C82896EB}"/>
    <cellStyle name="Comma 148 4 2" xfId="2831" xr:uid="{ED4352AA-B632-400D-9F71-C6F2CDFF645B}"/>
    <cellStyle name="Comma 148 5" xfId="2065" xr:uid="{8C9A0EB1-2F05-4318-97F1-DBBA720262EE}"/>
    <cellStyle name="Comma 148 6" xfId="3600" xr:uid="{699A1FD4-C29F-4F88-B44B-5494BC483B27}"/>
    <cellStyle name="Comma 149" xfId="473" xr:uid="{01891BD8-96A4-43FE-B62A-24D1CDDE7DA7}"/>
    <cellStyle name="Comma 149 2" xfId="670" xr:uid="{85EB2610-29CE-4532-9872-A32F56D5C77E}"/>
    <cellStyle name="Comma 149 2 2" xfId="1056" xr:uid="{A98438B2-9290-499A-B5DF-F2C2E977953F}"/>
    <cellStyle name="Comma 149 2 2 2" xfId="1867" xr:uid="{F2D733C6-2F24-47E8-A36F-4F45FA2D7B0D}"/>
    <cellStyle name="Comma 149 2 2 2 2" xfId="3400" xr:uid="{F8BDC28A-1532-4CDF-A6A4-DCB94E48C433}"/>
    <cellStyle name="Comma 149 2 2 3" xfId="2634" xr:uid="{8428144A-954C-40CF-B6AC-01DF880F6FC0}"/>
    <cellStyle name="Comma 149 2 2 4" xfId="4199" xr:uid="{0AC99F57-3C64-413D-9668-6917D9EEE6B5}"/>
    <cellStyle name="Comma 149 2 3" xfId="1486" xr:uid="{717A672E-3F88-415C-A818-2FD34D723A9F}"/>
    <cellStyle name="Comma 149 2 3 2" xfId="3019" xr:uid="{69FF81C3-0D78-4E0B-9365-1525C66BCE72}"/>
    <cellStyle name="Comma 149 2 4" xfId="2253" xr:uid="{1694CC5B-BA41-46DF-986D-B5377DFBB884}"/>
    <cellStyle name="Comma 149 2 5" xfId="3788" xr:uid="{3B19B448-DF2E-4A04-BF3C-303C35FD4BA5}"/>
    <cellStyle name="Comma 149 3" xfId="870" xr:uid="{8EBA399B-01C1-4047-9796-557BEC78CDFF}"/>
    <cellStyle name="Comma 149 3 2" xfId="1681" xr:uid="{5DB41791-7FE3-4191-B1BA-E987B29FAF04}"/>
    <cellStyle name="Comma 149 3 2 2" xfId="3214" xr:uid="{287A99B1-46C4-4B8E-961C-7CA249DBE222}"/>
    <cellStyle name="Comma 149 3 3" xfId="2448" xr:uid="{05995E2F-7011-4C4A-84F0-3075FB0ADFB7}"/>
    <cellStyle name="Comma 149 3 4" xfId="4013" xr:uid="{F1E37E8D-D4C6-497B-8050-2DF6B49404E8}"/>
    <cellStyle name="Comma 149 4" xfId="1300" xr:uid="{38788552-088D-4BBC-9900-BD95960890F6}"/>
    <cellStyle name="Comma 149 4 2" xfId="2833" xr:uid="{BBCA1C1B-F971-4C88-B572-81413CE77EE8}"/>
    <cellStyle name="Comma 149 5" xfId="2067" xr:uid="{C376A21B-03C0-4D6E-9BD8-9D30B54746E4}"/>
    <cellStyle name="Comma 149 6" xfId="3602" xr:uid="{80A3286E-8830-4B9A-AC79-95B997CAF366}"/>
    <cellStyle name="Comma 15" xfId="144" xr:uid="{BF7FC187-ADCD-42F9-9079-ACDF609F4D41}"/>
    <cellStyle name="Comma 15 2" xfId="530" xr:uid="{63442CB1-9A65-4F64-BB2E-993155CB34E2}"/>
    <cellStyle name="Comma 15 2 2" xfId="916" xr:uid="{B4012975-CD91-4D4D-8922-F4A13B56E121}"/>
    <cellStyle name="Comma 15 2 2 2" xfId="1727" xr:uid="{129B9773-DC90-4731-8B8A-8DE56FE2B900}"/>
    <cellStyle name="Comma 15 2 2 2 2" xfId="3260" xr:uid="{DAD02CB7-BE39-42E8-AF5E-A1A7BBA2DC59}"/>
    <cellStyle name="Comma 15 2 2 3" xfId="2494" xr:uid="{2EF362A8-F134-4783-9537-B74D683D0E59}"/>
    <cellStyle name="Comma 15 2 2 4" xfId="4059" xr:uid="{A7F8277A-D05F-4D02-9476-033D58C22C3D}"/>
    <cellStyle name="Comma 15 2 3" xfId="1346" xr:uid="{72CF9298-E75D-4C0D-8896-DBD94E6830BF}"/>
    <cellStyle name="Comma 15 2 3 2" xfId="2879" xr:uid="{5AE12EC0-9DB8-4433-BC78-B7CDCAC86A0A}"/>
    <cellStyle name="Comma 15 2 4" xfId="2113" xr:uid="{57CC6EE3-3FDC-4479-A392-62DA7B9282DB}"/>
    <cellStyle name="Comma 15 2 5" xfId="3648" xr:uid="{FEA3C126-D250-4834-B7CE-7EB91C69619B}"/>
    <cellStyle name="Comma 15 3" xfId="730" xr:uid="{1787258F-2243-43A1-9B4C-2166789B10A9}"/>
    <cellStyle name="Comma 15 3 2" xfId="1541" xr:uid="{C0EFD4A0-EA77-469A-AEFB-1FC77037A63D}"/>
    <cellStyle name="Comma 15 3 2 2" xfId="3074" xr:uid="{D9B521C2-BFA8-4E59-980E-3FFD7D3A2535}"/>
    <cellStyle name="Comma 15 3 3" xfId="2308" xr:uid="{75B717AD-0564-44FF-B92A-FF64A679B1FB}"/>
    <cellStyle name="Comma 15 3 4" xfId="3873" xr:uid="{5E25EE33-3ED6-42F9-86F6-A70F8F335260}"/>
    <cellStyle name="Comma 15 4" xfId="1160" xr:uid="{3E7EFC29-C135-41E1-A7FD-81BC7F104659}"/>
    <cellStyle name="Comma 15 4 2" xfId="2693" xr:uid="{F337F6E7-A82B-436D-91EA-B8E1B552B748}"/>
    <cellStyle name="Comma 15 5" xfId="1927" xr:uid="{18FE3536-8803-4982-A6BB-A8B0164E4700}"/>
    <cellStyle name="Comma 15 6" xfId="3462" xr:uid="{BB9F8E7F-F6BD-4DC6-9CAD-141D38EF1628}"/>
    <cellStyle name="Comma 150" xfId="377" xr:uid="{5272B033-8BDA-4383-8A14-4EA49EC3CBB8}"/>
    <cellStyle name="Comma 150 2" xfId="659" xr:uid="{03E56380-D4F2-4D45-AC38-BE266BD4889E}"/>
    <cellStyle name="Comma 150 2 2" xfId="1045" xr:uid="{DD0FF3D6-8FF6-43CC-BF3E-FAC7033BDEC8}"/>
    <cellStyle name="Comma 150 2 2 2" xfId="1856" xr:uid="{C814AF10-D608-4CEA-A8C3-6AF57FBA1B1D}"/>
    <cellStyle name="Comma 150 2 2 2 2" xfId="3389" xr:uid="{4CAF7432-C5EB-4749-AC4A-F7DDED971892}"/>
    <cellStyle name="Comma 150 2 2 3" xfId="2623" xr:uid="{37468EE1-C4B7-433C-9D57-D566AF537A98}"/>
    <cellStyle name="Comma 150 2 2 4" xfId="4188" xr:uid="{D1A900C6-D099-4DED-9026-C08D45C2EAF0}"/>
    <cellStyle name="Comma 150 2 3" xfId="1475" xr:uid="{DF849479-C81F-4C59-A4C6-674700A25AF7}"/>
    <cellStyle name="Comma 150 2 3 2" xfId="3008" xr:uid="{51DAEE0C-E696-47B7-B6B5-C286C1EF66CA}"/>
    <cellStyle name="Comma 150 2 4" xfId="2242" xr:uid="{1FEDF92B-611A-4D39-86EC-589EB1FB8021}"/>
    <cellStyle name="Comma 150 2 5" xfId="3777" xr:uid="{D2EFE68C-21EE-46C9-BDD6-64FE17010039}"/>
    <cellStyle name="Comma 150 3" xfId="859" xr:uid="{F7BCBEA1-9A6E-4986-9374-74FE4C71379B}"/>
    <cellStyle name="Comma 150 3 2" xfId="1670" xr:uid="{3A913FD3-1E96-4ABE-8FB6-BD745ADEB756}"/>
    <cellStyle name="Comma 150 3 2 2" xfId="3203" xr:uid="{1F63EF1F-6E1B-4832-806D-FC126FF71EF8}"/>
    <cellStyle name="Comma 150 3 3" xfId="2437" xr:uid="{ACA886B1-26F8-4666-8BA3-3073B9D5530F}"/>
    <cellStyle name="Comma 150 3 4" xfId="4002" xr:uid="{273FC761-1DE7-435D-A14A-12DC4ADD6D8D}"/>
    <cellStyle name="Comma 150 4" xfId="1289" xr:uid="{BAABDC8A-6DD2-4EB7-B4A8-EFC1EDBA92BF}"/>
    <cellStyle name="Comma 150 4 2" xfId="2822" xr:uid="{B97F4544-C5D4-4AB0-BD6A-64ED9C63AFC9}"/>
    <cellStyle name="Comma 150 5" xfId="2056" xr:uid="{0B5BD2C9-5DF1-476D-8520-3FB7F7CB666D}"/>
    <cellStyle name="Comma 150 6" xfId="3591" xr:uid="{82419F09-26B5-4CBC-9238-0324DFC8C4E1}"/>
    <cellStyle name="Comma 151" xfId="475" xr:uid="{5FB1D356-06B4-47B4-923B-8522C1826699}"/>
    <cellStyle name="Comma 151 2" xfId="671" xr:uid="{7F157583-32F1-4B26-BA5A-FD2FDFABF8DC}"/>
    <cellStyle name="Comma 151 2 2" xfId="1057" xr:uid="{584C600F-5C77-4BE8-8BEA-495544ABC3D1}"/>
    <cellStyle name="Comma 151 2 2 2" xfId="1868" xr:uid="{94BBEA53-1B9F-44D7-BDD9-1D5BB7407551}"/>
    <cellStyle name="Comma 151 2 2 2 2" xfId="3401" xr:uid="{289308FD-4E31-41E4-B07E-9B9167EF81BA}"/>
    <cellStyle name="Comma 151 2 2 3" xfId="2635" xr:uid="{CBFC266C-5BE2-4A5F-A9B7-BC54584D15E8}"/>
    <cellStyle name="Comma 151 2 2 4" xfId="4200" xr:uid="{7F1DFA43-2896-4763-AA40-C71DCB822F5A}"/>
    <cellStyle name="Comma 151 2 3" xfId="1487" xr:uid="{314AAA98-D596-4D9E-8113-07FB664679FB}"/>
    <cellStyle name="Comma 151 2 3 2" xfId="3020" xr:uid="{92D867A3-D938-463E-A287-F768B8C108BC}"/>
    <cellStyle name="Comma 151 2 4" xfId="2254" xr:uid="{02DAFE0D-C455-4FA5-B0EF-DB5EBD9CE824}"/>
    <cellStyle name="Comma 151 2 5" xfId="3789" xr:uid="{FF316149-18F0-4FD3-A585-7223EE712703}"/>
    <cellStyle name="Comma 151 3" xfId="871" xr:uid="{99F218C9-8211-4AD3-9E62-F4B78C3F3C0D}"/>
    <cellStyle name="Comma 151 3 2" xfId="1682" xr:uid="{6EED29E8-B981-4022-8C18-A33C31220D85}"/>
    <cellStyle name="Comma 151 3 2 2" xfId="3215" xr:uid="{EE6EFA02-8E14-4F06-BFD3-65B1EF00E6F9}"/>
    <cellStyle name="Comma 151 3 3" xfId="2449" xr:uid="{243A5422-7304-45F3-B10A-38A61DB7AE60}"/>
    <cellStyle name="Comma 151 3 4" xfId="4014" xr:uid="{3FF948AE-D70A-4958-A384-F02C63F24181}"/>
    <cellStyle name="Comma 151 4" xfId="1301" xr:uid="{2C4B21E8-8E1A-4B24-9E08-8DE2EC0AF681}"/>
    <cellStyle name="Comma 151 4 2" xfId="2834" xr:uid="{51AE9B2E-EB28-41E1-9A0F-3EF0B5D69684}"/>
    <cellStyle name="Comma 151 5" xfId="2068" xr:uid="{857428DD-4513-4FF7-A9D7-007B9794D5B7}"/>
    <cellStyle name="Comma 151 6" xfId="3603" xr:uid="{0E1912DD-665C-4E18-813D-F68BD058656A}"/>
    <cellStyle name="Comma 16" xfId="155" xr:uid="{19550CC7-1DF1-4A8B-B086-C0EE4207EE3D}"/>
    <cellStyle name="Comma 16 2" xfId="536" xr:uid="{CBC28DA9-B7FF-4E18-BFDB-8AF55981C20E}"/>
    <cellStyle name="Comma 16 2 2" xfId="922" xr:uid="{3DD2D60C-48F9-4B12-976F-2E71E9800490}"/>
    <cellStyle name="Comma 16 2 2 2" xfId="1733" xr:uid="{463DE0BF-B01C-4029-BD86-D94E8801048A}"/>
    <cellStyle name="Comma 16 2 2 2 2" xfId="3266" xr:uid="{3A06637D-D6AF-4099-8062-68AE39F3A55F}"/>
    <cellStyle name="Comma 16 2 2 3" xfId="2500" xr:uid="{BCAE08CE-54E5-4D4D-A8B1-73942C657D02}"/>
    <cellStyle name="Comma 16 2 2 4" xfId="4065" xr:uid="{749E077A-300A-4F6D-A93C-D7B2FB2DDDB8}"/>
    <cellStyle name="Comma 16 2 3" xfId="1352" xr:uid="{30702E81-8AD2-4FDE-926D-BF73B7C93382}"/>
    <cellStyle name="Comma 16 2 3 2" xfId="2885" xr:uid="{3E5D646B-EA52-479F-8DE1-2866B3C75840}"/>
    <cellStyle name="Comma 16 2 4" xfId="2119" xr:uid="{C0BCBEFD-879A-4121-9BF4-3CB127262042}"/>
    <cellStyle name="Comma 16 2 5" xfId="3654" xr:uid="{A86C933D-EC82-4ED9-8920-0F3E0A900464}"/>
    <cellStyle name="Comma 16 3" xfId="736" xr:uid="{EF4404E4-2B05-46D4-B658-8F87FF6B04B5}"/>
    <cellStyle name="Comma 16 3 2" xfId="1547" xr:uid="{C56F5E0E-49B7-4964-B791-7CFD883D4515}"/>
    <cellStyle name="Comma 16 3 2 2" xfId="3080" xr:uid="{3023FE48-703B-4811-80C5-3618B2F090DB}"/>
    <cellStyle name="Comma 16 3 3" xfId="2314" xr:uid="{A9517C68-9482-454C-90D5-8508E76B8C3C}"/>
    <cellStyle name="Comma 16 3 4" xfId="3879" xr:uid="{81C8B6B6-A5EA-4D83-BBF9-FA38710DFDD5}"/>
    <cellStyle name="Comma 16 4" xfId="1166" xr:uid="{3FA672FC-9C82-48E0-A39A-D0D8E355E6A0}"/>
    <cellStyle name="Comma 16 4 2" xfId="2699" xr:uid="{6C5DF6D0-CAFE-4DD0-B203-5D69654C8D20}"/>
    <cellStyle name="Comma 16 5" xfId="1933" xr:uid="{A8837B41-EB34-421F-966E-D28CF8DFADE7}"/>
    <cellStyle name="Comma 16 6" xfId="3468" xr:uid="{1C10BDD1-7CE3-44D7-B5FF-1853AC6ABFA5}"/>
    <cellStyle name="Comma 17" xfId="149" xr:uid="{8F9A82A2-5781-402D-82A1-B53BD71334B3}"/>
    <cellStyle name="Comma 17 2" xfId="534" xr:uid="{A041B4C8-4126-4626-855D-236F54B385A3}"/>
    <cellStyle name="Comma 17 2 2" xfId="920" xr:uid="{8744ED95-6E19-415E-B084-CBC06505C15B}"/>
    <cellStyle name="Comma 17 2 2 2" xfId="1731" xr:uid="{F175869C-16D6-4902-AF96-52F5846F5CF1}"/>
    <cellStyle name="Comma 17 2 2 2 2" xfId="3264" xr:uid="{97C097EF-D839-4C77-83F1-2DD3B46A166E}"/>
    <cellStyle name="Comma 17 2 2 3" xfId="2498" xr:uid="{11C1F553-9F52-4C9C-A89E-C292FBF16D0A}"/>
    <cellStyle name="Comma 17 2 2 4" xfId="4063" xr:uid="{B4C24B4D-51C5-4958-A3C2-45F4DE5A7FC0}"/>
    <cellStyle name="Comma 17 2 3" xfId="1350" xr:uid="{F922EC32-49B0-4875-9AB9-9145302B4B55}"/>
    <cellStyle name="Comma 17 2 3 2" xfId="2883" xr:uid="{3C56A606-3F40-4461-928F-E2605C4603D5}"/>
    <cellStyle name="Comma 17 2 4" xfId="2117" xr:uid="{950A3EB5-2160-4A56-8C96-49286E4BB61C}"/>
    <cellStyle name="Comma 17 2 5" xfId="3652" xr:uid="{0B92B076-701D-472D-B9C9-619178102636}"/>
    <cellStyle name="Comma 17 3" xfId="734" xr:uid="{FA90DF2E-6BB4-4291-A107-960F951B6B49}"/>
    <cellStyle name="Comma 17 3 2" xfId="1545" xr:uid="{8F816A91-F624-443C-8B0E-481F80DE27F0}"/>
    <cellStyle name="Comma 17 3 2 2" xfId="3078" xr:uid="{D9F08AB5-0789-4F31-A03B-4478EE2E98E7}"/>
    <cellStyle name="Comma 17 3 3" xfId="2312" xr:uid="{C4DE5876-CC25-4603-849F-B6E6A9A9FB79}"/>
    <cellStyle name="Comma 17 3 4" xfId="3877" xr:uid="{97402118-F2FC-4F5B-BDF5-21BA87EED485}"/>
    <cellStyle name="Comma 17 4" xfId="1164" xr:uid="{7B0EE464-AC32-44E9-9CDC-5751D2E9B8EF}"/>
    <cellStyle name="Comma 17 4 2" xfId="2697" xr:uid="{E7CCD486-9D64-4873-BB33-ED6CA8324672}"/>
    <cellStyle name="Comma 17 5" xfId="1931" xr:uid="{0DAF7648-69ED-4D83-ACAC-F68153D6F1D5}"/>
    <cellStyle name="Comma 17 6" xfId="3466" xr:uid="{3CAEE279-900C-45E4-8523-37B5E659F44B}"/>
    <cellStyle name="Comma 18" xfId="156" xr:uid="{B5387881-8C59-4071-9F55-FEEBE4DC8347}"/>
    <cellStyle name="Comma 18 2" xfId="6" xr:uid="{00000000-0005-0000-0000-000000000000}"/>
    <cellStyle name="Comma 18 2 2" xfId="497" xr:uid="{5F67EE19-A307-4112-9BBE-A9F5445C2159}"/>
    <cellStyle name="Comma 18 2 2 2" xfId="883" xr:uid="{815997DC-2C6A-431E-BBC4-E173A0AB80E5}"/>
    <cellStyle name="Comma 18 2 2 2 2" xfId="1694" xr:uid="{454F56BA-C70C-460A-923C-E4AF6DCA7357}"/>
    <cellStyle name="Comma 18 2 2 2 2 2" xfId="3227" xr:uid="{09988F2A-D7F0-456B-89A4-366168406ABC}"/>
    <cellStyle name="Comma 18 2 2 2 3" xfId="2461" xr:uid="{132BBA33-E075-4AEE-A73B-763CAB622D5C}"/>
    <cellStyle name="Comma 18 2 2 2 4" xfId="4026" xr:uid="{D68414A7-51DF-4258-B58F-46416915B940}"/>
    <cellStyle name="Comma 18 2 2 3" xfId="1313" xr:uid="{A0B70A84-7BF8-4E38-AA0E-1FDF3F3CE55F}"/>
    <cellStyle name="Comma 18 2 2 3 2" xfId="2846" xr:uid="{979B6369-484C-428F-9C24-9691486F0570}"/>
    <cellStyle name="Comma 18 2 2 4" xfId="2080" xr:uid="{986B1144-C76D-41FD-AD0C-D1A3AE8BDBD1}"/>
    <cellStyle name="Comma 18 2 2 5" xfId="3615" xr:uid="{BDA85335-F39E-4BF3-8E24-F89BB2260FA2}"/>
    <cellStyle name="Comma 18 2 3" xfId="3839" xr:uid="{91B95E22-2301-4B54-A2DB-2EF54D47DF31}"/>
    <cellStyle name="Comma 18 3" xfId="537" xr:uid="{365953D3-9B0C-4F5B-8792-55B8531A0E63}"/>
    <cellStyle name="Comma 18 3 2" xfId="923" xr:uid="{8A493250-FD30-4376-B5CE-3A8DB0BF0E03}"/>
    <cellStyle name="Comma 18 3 2 2" xfId="1734" xr:uid="{C38CD2E3-0075-47E3-B10E-5F044E8789E3}"/>
    <cellStyle name="Comma 18 3 2 2 2" xfId="3267" xr:uid="{857352AA-AA1B-4D1B-BDBF-EDA868198CCC}"/>
    <cellStyle name="Comma 18 3 2 3" xfId="2501" xr:uid="{48D959BE-3E09-4551-AF49-42EB2B36C2E1}"/>
    <cellStyle name="Comma 18 3 2 4" xfId="4066" xr:uid="{5BAFF211-3327-41E6-8222-322558A8D37D}"/>
    <cellStyle name="Comma 18 3 3" xfId="1353" xr:uid="{62D440F1-EE31-4D44-9204-E0A40172260B}"/>
    <cellStyle name="Comma 18 3 3 2" xfId="2886" xr:uid="{6D095D15-6896-48E1-AB2A-6A8B993E3105}"/>
    <cellStyle name="Comma 18 3 4" xfId="2120" xr:uid="{BA75A580-CFAC-490D-B92B-BD4A9E971EA4}"/>
    <cellStyle name="Comma 18 3 5" xfId="3655" xr:uid="{D123679E-BAC4-47B8-A0D7-636E2A36DF86}"/>
    <cellStyle name="Comma 18 4" xfId="737" xr:uid="{0598A09B-35A9-47EE-B644-DFFA616C8638}"/>
    <cellStyle name="Comma 18 4 2" xfId="1548" xr:uid="{A378E377-A676-4512-BB67-31C5C0AB8B57}"/>
    <cellStyle name="Comma 18 4 2 2" xfId="3081" xr:uid="{DCFE5E4B-2393-4E6C-8DC1-B1A5D4DD4713}"/>
    <cellStyle name="Comma 18 4 3" xfId="2315" xr:uid="{0CEEA192-DE69-42C3-A9A3-7033A442F0AC}"/>
    <cellStyle name="Comma 18 4 4" xfId="3880" xr:uid="{137B00E5-C442-434F-B533-F0A8F5FE9EB1}"/>
    <cellStyle name="Comma 18 5" xfId="1167" xr:uid="{CE4364CC-5A9E-44AC-BA7A-D95733D5D491}"/>
    <cellStyle name="Comma 18 5 2" xfId="2700" xr:uid="{B06B4DB6-D7FA-4DAF-8CF0-198DE5FAFA35}"/>
    <cellStyle name="Comma 18 6" xfId="1934" xr:uid="{886A6B62-B33B-44F1-8AC1-BEC33FBFA40E}"/>
    <cellStyle name="Comma 18 7" xfId="3469" xr:uid="{DED4FEE6-4F5E-4296-BB19-8045650C2D55}"/>
    <cellStyle name="Comma 19" xfId="157" xr:uid="{7D4C3045-2A76-4C59-B1DE-906F619A8E7A}"/>
    <cellStyle name="Comma 19 2" xfId="538" xr:uid="{24D6EF33-8980-4670-8C2D-F36CD9E9334B}"/>
    <cellStyle name="Comma 19 2 2" xfId="924" xr:uid="{099B90EF-EF3A-4FF0-A074-4AD074DEB43A}"/>
    <cellStyle name="Comma 19 2 2 2" xfId="1735" xr:uid="{475701FB-795E-4794-A2A3-BEBE6AF75765}"/>
    <cellStyle name="Comma 19 2 2 2 2" xfId="3268" xr:uid="{D643E64B-01CF-4865-8014-B589A41D662E}"/>
    <cellStyle name="Comma 19 2 2 3" xfId="2502" xr:uid="{D1CB4CB7-670E-4E95-B7D1-7AEB4C4BFD8D}"/>
    <cellStyle name="Comma 19 2 2 4" xfId="4067" xr:uid="{36C7A4DF-5600-43E0-BD5E-B2CF9307F705}"/>
    <cellStyle name="Comma 19 2 3" xfId="1354" xr:uid="{515161F8-A2EA-4478-90D3-29E50AEC51F2}"/>
    <cellStyle name="Comma 19 2 3 2" xfId="2887" xr:uid="{4FF82D52-9377-4737-889E-86005A96C303}"/>
    <cellStyle name="Comma 19 2 4" xfId="2121" xr:uid="{3F977E72-A713-43D3-9957-BEFBA7CDC32A}"/>
    <cellStyle name="Comma 19 2 5" xfId="3656" xr:uid="{47CB1C48-7DB5-4C2F-A938-60F7A633E840}"/>
    <cellStyle name="Comma 19 3" xfId="738" xr:uid="{0AB463AA-D793-43C1-AA1A-0ED2DD4AD148}"/>
    <cellStyle name="Comma 19 3 2" xfId="1549" xr:uid="{116515B8-0CFA-4E7C-8E51-1C3663B9D642}"/>
    <cellStyle name="Comma 19 3 2 2" xfId="3082" xr:uid="{8C2C90CB-AE0E-439E-9C6A-14347A0D4A8F}"/>
    <cellStyle name="Comma 19 3 3" xfId="2316" xr:uid="{6094C496-D228-4F0D-9E2F-45587C9C1AB5}"/>
    <cellStyle name="Comma 19 3 4" xfId="3881" xr:uid="{AF000C61-6B84-4FD3-8623-B1DCA811FD24}"/>
    <cellStyle name="Comma 19 4" xfId="1168" xr:uid="{73B749A3-13FA-4DA6-81B5-C46A2B50031D}"/>
    <cellStyle name="Comma 19 4 2" xfId="2701" xr:uid="{3E8CB4BE-84CF-4670-B101-973708087678}"/>
    <cellStyle name="Comma 19 5" xfId="1935" xr:uid="{90B637EA-20D6-4EAB-A5E4-E779E47B3B0F}"/>
    <cellStyle name="Comma 19 6" xfId="3470" xr:uid="{601D4174-67F5-4943-96D3-26F019A2227D}"/>
    <cellStyle name="Comma 2" xfId="34" xr:uid="{08D0CF7D-4BDB-48BD-A4AF-D0654AA2C98A}"/>
    <cellStyle name="Comma 2 2" xfId="216" xr:uid="{A9735FF0-C411-418D-8C6C-A279A0E33009}"/>
    <cellStyle name="Comma 2 2 2" xfId="583" xr:uid="{F445DD95-2D4A-4E65-BE9A-84434B1A714A}"/>
    <cellStyle name="Comma 2 2 2 2" xfId="969" xr:uid="{1F16A798-6EDC-4B67-9E24-43DEBEA56605}"/>
    <cellStyle name="Comma 2 2 2 2 2" xfId="1780" xr:uid="{97DDD6C6-8F89-4184-9F85-C9D5848B4A6D}"/>
    <cellStyle name="Comma 2 2 2 2 2 2" xfId="3313" xr:uid="{A10A975C-3B57-4D0C-B84C-06C7E6390FD9}"/>
    <cellStyle name="Comma 2 2 2 2 3" xfId="2547" xr:uid="{CE37703D-8D56-46FA-B092-9E7B92E5FBFE}"/>
    <cellStyle name="Comma 2 2 2 2 4" xfId="4112" xr:uid="{94480CAE-8B52-4C8E-BBAD-3DEDBD29C4BA}"/>
    <cellStyle name="Comma 2 2 2 3" xfId="1399" xr:uid="{2D10ED4B-D544-47FC-BF0D-ED54029E9388}"/>
    <cellStyle name="Comma 2 2 2 3 2" xfId="2932" xr:uid="{30A2E4AB-EDCF-4530-B831-8D654F20FEBA}"/>
    <cellStyle name="Comma 2 2 2 4" xfId="2166" xr:uid="{07BC2701-8577-40EF-A74D-FE63B7F63A32}"/>
    <cellStyle name="Comma 2 2 2 5" xfId="3701" xr:uid="{C72C7947-DE9B-4C9E-A995-720E62FF9C82}"/>
    <cellStyle name="Comma 2 2 3" xfId="783" xr:uid="{27EA5609-54D9-4141-A5BF-2939E6B2F099}"/>
    <cellStyle name="Comma 2 2 3 2" xfId="1594" xr:uid="{53ED4394-B852-4002-8BF3-895F8BCB0432}"/>
    <cellStyle name="Comma 2 2 3 2 2" xfId="3127" xr:uid="{BACBE283-DA39-4EDC-B941-C197422FF3A8}"/>
    <cellStyle name="Comma 2 2 3 3" xfId="2361" xr:uid="{CE40606E-DE97-4EB6-A7F7-FBFB5DED492F}"/>
    <cellStyle name="Comma 2 2 3 4" xfId="3926" xr:uid="{C8C4D39E-D4AD-4867-8F8E-BF201640F0F0}"/>
    <cellStyle name="Comma 2 2 4" xfId="1213" xr:uid="{586D2AE1-F685-43F9-AE0F-D7056F7A3FBF}"/>
    <cellStyle name="Comma 2 2 4 2" xfId="2746" xr:uid="{B423CAF2-3279-45E6-BA1D-C1164234487C}"/>
    <cellStyle name="Comma 2 2 5" xfId="1980" xr:uid="{77C09FBC-FAE0-45AB-BE7A-3E1714610C8B}"/>
    <cellStyle name="Comma 2 2 6" xfId="3515" xr:uid="{CADF47E7-91AB-4F2A-8979-83EC7F8799EB}"/>
    <cellStyle name="Comma 2 3" xfId="58" xr:uid="{224E92B1-7F56-4104-A3E5-4E14E9C0882E}"/>
    <cellStyle name="Comma 2 3 2" xfId="520" xr:uid="{5CCB715E-D090-4579-B8C7-7159C5E325A6}"/>
    <cellStyle name="Comma 2 3 2 2" xfId="906" xr:uid="{6A66C1FA-9AFF-4BB8-B074-CD2CA3BD8D46}"/>
    <cellStyle name="Comma 2 3 2 2 2" xfId="1717" xr:uid="{093D1EE1-C17F-45FF-B692-41D6915F9B11}"/>
    <cellStyle name="Comma 2 3 2 2 2 2" xfId="3250" xr:uid="{DCED30EF-3759-40DF-92BD-2B2F308FC5E8}"/>
    <cellStyle name="Comma 2 3 2 2 3" xfId="2484" xr:uid="{FFF6AC64-4CD0-41B6-807C-1FC382306DD5}"/>
    <cellStyle name="Comma 2 3 2 2 4" xfId="4049" xr:uid="{26B763CF-2052-4DC6-BF96-0EAFA493AF4B}"/>
    <cellStyle name="Comma 2 3 2 3" xfId="1336" xr:uid="{2EAFACD1-9B39-4DD7-82B0-8C3ACF69D76A}"/>
    <cellStyle name="Comma 2 3 2 3 2" xfId="2869" xr:uid="{438613D0-D41D-4B66-A35D-23BC95F63584}"/>
    <cellStyle name="Comma 2 3 2 4" xfId="2103" xr:uid="{F372A856-FC30-4ED4-8ED6-60CE8103AE9F}"/>
    <cellStyle name="Comma 2 3 2 5" xfId="3638" xr:uid="{AC44A5FA-A19E-44EA-B8EA-5F6F2C7AB6C1}"/>
    <cellStyle name="Comma 2 3 3" xfId="720" xr:uid="{9A3A4BB8-5960-421D-AAF5-EA09F01380D9}"/>
    <cellStyle name="Comma 2 3 3 2" xfId="1531" xr:uid="{B58DD1B4-1B7F-4D7C-97B0-DA280FA6FC7A}"/>
    <cellStyle name="Comma 2 3 3 2 2" xfId="3064" xr:uid="{4EFDC34D-EFB5-4502-BAC2-3B3D87223E87}"/>
    <cellStyle name="Comma 2 3 3 3" xfId="2298" xr:uid="{3645B70A-6864-45CC-A63A-CB2095CC2040}"/>
    <cellStyle name="Comma 2 3 3 4" xfId="3862" xr:uid="{90212228-A579-46AC-8E4A-253A56EE0A50}"/>
    <cellStyle name="Comma 2 3 4" xfId="1150" xr:uid="{196D1D30-54AB-43C0-A1AC-9E626942732C}"/>
    <cellStyle name="Comma 2 3 4 2" xfId="2683" xr:uid="{9321EC1A-F59B-44A7-AA8F-0D8E53857E4C}"/>
    <cellStyle name="Comma 2 3 5" xfId="1917" xr:uid="{056C80C8-F316-4593-A590-7CF0D4B1542E}"/>
    <cellStyle name="Comma 2 3 6" xfId="3452" xr:uid="{97E01C57-9CA7-41F1-B8B8-44C2FD7A14C3}"/>
    <cellStyle name="Comma 2 4" xfId="512" xr:uid="{F8C7BC84-C829-40F9-856B-9D41A6AC9165}"/>
    <cellStyle name="Comma 2 4 2" xfId="898" xr:uid="{BEEB201B-1FC3-42CC-ACE6-718F4EE51870}"/>
    <cellStyle name="Comma 2 4 2 2" xfId="1709" xr:uid="{98EDA3AD-DB74-4F39-81F1-D80650B28D03}"/>
    <cellStyle name="Comma 2 4 2 2 2" xfId="3242" xr:uid="{A59BF78B-BE44-477D-968C-FACD0A2085AD}"/>
    <cellStyle name="Comma 2 4 2 3" xfId="2476" xr:uid="{65822C8D-CB5E-464F-8EAE-F7DD40B3C261}"/>
    <cellStyle name="Comma 2 4 2 4" xfId="4041" xr:uid="{E7158EBD-9282-4F4B-8FE7-42343653B210}"/>
    <cellStyle name="Comma 2 4 3" xfId="1328" xr:uid="{C3F57B7A-79A2-48F5-B13B-76059765B5DA}"/>
    <cellStyle name="Comma 2 4 3 2" xfId="2861" xr:uid="{5FA92B55-3065-4259-9CD4-197099880654}"/>
    <cellStyle name="Comma 2 4 4" xfId="2095" xr:uid="{E5A4254B-94C6-4536-B70B-0D181B034E6F}"/>
    <cellStyle name="Comma 2 4 5" xfId="3630" xr:uid="{3C8BCD1A-8541-45E1-829A-877AB4185A9C}"/>
    <cellStyle name="Comma 2 5" xfId="712" xr:uid="{3ED8A8D5-FE15-45CF-87A8-F1BA650246BE}"/>
    <cellStyle name="Comma 2 5 2" xfId="1523" xr:uid="{C9506A45-A232-445B-8471-E4E81484E465}"/>
    <cellStyle name="Comma 2 5 2 2" xfId="3056" xr:uid="{C4B6E1C9-81B6-4BB7-861F-BD309A80D752}"/>
    <cellStyle name="Comma 2 5 3" xfId="2290" xr:uid="{68CFEC06-EDD6-4BDF-AFA3-8365C7885622}"/>
    <cellStyle name="Comma 2 5 4" xfId="3854" xr:uid="{6721C051-71E2-45DC-89BD-F5B7C75697D8}"/>
    <cellStyle name="Comma 2 6" xfId="1142" xr:uid="{5A6F6CB7-8C73-4C35-AE9B-AD1DF0AEB8E1}"/>
    <cellStyle name="Comma 2 6 2" xfId="2675" xr:uid="{BBE6BF96-2E41-4706-BDEC-D5732E53BC75}"/>
    <cellStyle name="Comma 2 7" xfId="1909" xr:uid="{672E827D-266E-4E87-BF58-896ED3134400}"/>
    <cellStyle name="Comma 2 8" xfId="3444" xr:uid="{9AC99DFB-DBD0-4CDA-88D2-BB236135E012}"/>
    <cellStyle name="Comma 20" xfId="159" xr:uid="{A203508F-2467-436D-A597-2C4C777F5993}"/>
    <cellStyle name="Comma 20 2" xfId="540" xr:uid="{EAF000B9-4706-45F8-A3A0-35045EC6E65E}"/>
    <cellStyle name="Comma 20 2 2" xfId="926" xr:uid="{0C7D70F9-1402-4CDC-B993-4299E34F237B}"/>
    <cellStyle name="Comma 20 2 2 2" xfId="1737" xr:uid="{D2990262-D916-4772-B6F9-9378784822BA}"/>
    <cellStyle name="Comma 20 2 2 2 2" xfId="3270" xr:uid="{592248B9-6555-4ABE-A5FE-A03E67091715}"/>
    <cellStyle name="Comma 20 2 2 3" xfId="2504" xr:uid="{E32A6CEB-8AC7-4622-A312-EB26D3D709F4}"/>
    <cellStyle name="Comma 20 2 2 4" xfId="4069" xr:uid="{F9D213A5-E94F-4F00-8764-E575B44F8012}"/>
    <cellStyle name="Comma 20 2 3" xfId="1356" xr:uid="{981B91DD-913E-4B6A-A3A6-F533F82EE973}"/>
    <cellStyle name="Comma 20 2 3 2" xfId="2889" xr:uid="{D96C7813-F176-4D77-BE0E-02175435289F}"/>
    <cellStyle name="Comma 20 2 4" xfId="2123" xr:uid="{D3207CB5-5B8B-4AA1-AB00-9D0244420BC5}"/>
    <cellStyle name="Comma 20 2 5" xfId="3658" xr:uid="{411341E1-51A4-423C-9D3E-BD242BB92709}"/>
    <cellStyle name="Comma 20 3" xfId="740" xr:uid="{CF1FFE71-EB26-45EF-8949-84C216213F25}"/>
    <cellStyle name="Comma 20 3 2" xfId="1551" xr:uid="{3C86C47F-5E9A-49A8-8EE9-706FA78A877C}"/>
    <cellStyle name="Comma 20 3 2 2" xfId="3084" xr:uid="{34734449-5926-47BA-B639-90B3BE9C593E}"/>
    <cellStyle name="Comma 20 3 3" xfId="2318" xr:uid="{3972D1E8-1376-4163-8276-EAF2A1916258}"/>
    <cellStyle name="Comma 20 3 4" xfId="3883" xr:uid="{725B8E1C-2A70-407C-8406-6CE4D24385A9}"/>
    <cellStyle name="Comma 20 4" xfId="1170" xr:uid="{E7D6B15D-1746-4B94-B0FE-F3D4A838548D}"/>
    <cellStyle name="Comma 20 4 2" xfId="2703" xr:uid="{C7EEB30C-9E9C-4F14-A7D5-F87F9C808E43}"/>
    <cellStyle name="Comma 20 5" xfId="1937" xr:uid="{02F5327E-88DF-4B8D-944A-B40411AF50E7}"/>
    <cellStyle name="Comma 20 6" xfId="3472" xr:uid="{98779B5F-7AEF-46AD-A581-581364A3B72C}"/>
    <cellStyle name="Comma 21" xfId="158" xr:uid="{1C453141-EE2B-4A4F-B934-3E79D3A06E89}"/>
    <cellStyle name="Comma 21 2" xfId="539" xr:uid="{E1B16E8B-E15B-4620-BBC3-6964B1C789BE}"/>
    <cellStyle name="Comma 21 2 2" xfId="925" xr:uid="{A7CCF93C-F640-4E62-940C-9A6A44BF3EE6}"/>
    <cellStyle name="Comma 21 2 2 2" xfId="1736" xr:uid="{7FB5139D-F276-4E66-9DF4-2973A63C699D}"/>
    <cellStyle name="Comma 21 2 2 2 2" xfId="3269" xr:uid="{965823BB-9155-45C0-BA86-4ACD9B9B2F6E}"/>
    <cellStyle name="Comma 21 2 2 3" xfId="2503" xr:uid="{73E5532B-2CB7-42AE-93B8-9364F1354C29}"/>
    <cellStyle name="Comma 21 2 2 4" xfId="4068" xr:uid="{DEA814B5-2F1F-4255-8374-B028780BA3D6}"/>
    <cellStyle name="Comma 21 2 3" xfId="1355" xr:uid="{209FABC8-2C53-4A6C-A2F7-2B19C300437F}"/>
    <cellStyle name="Comma 21 2 3 2" xfId="2888" xr:uid="{3B9701B5-4AE2-4B69-B3FC-ECC29D6E7D2A}"/>
    <cellStyle name="Comma 21 2 4" xfId="2122" xr:uid="{B620B350-CD75-4DAB-9993-8AB2B7DA8EB7}"/>
    <cellStyle name="Comma 21 2 5" xfId="3657" xr:uid="{DA6731CF-B607-43D4-BA5D-514373B356F2}"/>
    <cellStyle name="Comma 21 3" xfId="739" xr:uid="{BE6F446B-D3E3-4C9A-87EC-84A372298159}"/>
    <cellStyle name="Comma 21 3 2" xfId="1550" xr:uid="{48DDB644-D3FF-4B22-A516-0E40FB594BB3}"/>
    <cellStyle name="Comma 21 3 2 2" xfId="3083" xr:uid="{795008D2-C943-4BB2-AF65-00C6B6FEFBF5}"/>
    <cellStyle name="Comma 21 3 3" xfId="2317" xr:uid="{BF386ED3-1BC2-4EEC-A91C-B6D2369E5B36}"/>
    <cellStyle name="Comma 21 3 4" xfId="3882" xr:uid="{6C928C5C-725F-46D9-8F0A-A1E1FD00C381}"/>
    <cellStyle name="Comma 21 4" xfId="1169" xr:uid="{168C2BC8-9586-42DA-BA91-8D7EB8CEE90D}"/>
    <cellStyle name="Comma 21 4 2" xfId="2702" xr:uid="{46C29DFC-744A-4716-B187-638321EDDCFC}"/>
    <cellStyle name="Comma 21 5" xfId="1936" xr:uid="{C96D945E-E3D3-42CE-981C-B8C187F294C4}"/>
    <cellStyle name="Comma 21 6" xfId="3471" xr:uid="{811D7AC9-8D00-4DB7-B6F1-CDFC34DF9A39}"/>
    <cellStyle name="Comma 22" xfId="163" xr:uid="{14F26DFD-A718-43DC-8CB5-E06963000BE5}"/>
    <cellStyle name="Comma 22 2" xfId="544" xr:uid="{B942EC71-360F-4B20-88DD-5702661F5007}"/>
    <cellStyle name="Comma 22 2 2" xfId="930" xr:uid="{3A60C5B9-0AA7-4A0D-BF37-6F778EBFE88E}"/>
    <cellStyle name="Comma 22 2 2 2" xfId="1741" xr:uid="{5B492F8C-4E54-400D-851E-D96429DB77C1}"/>
    <cellStyle name="Comma 22 2 2 2 2" xfId="3274" xr:uid="{66369E3A-C7D1-4F11-8D74-BE7AE157131C}"/>
    <cellStyle name="Comma 22 2 2 3" xfId="2508" xr:uid="{983A6A9C-1B2C-4DF6-BF8D-DECE325B2A62}"/>
    <cellStyle name="Comma 22 2 2 4" xfId="4073" xr:uid="{50713936-6A8A-496C-A258-93B25C688F33}"/>
    <cellStyle name="Comma 22 2 3" xfId="1360" xr:uid="{F98CAFB8-FB58-40D7-83B2-DBA00232EEF7}"/>
    <cellStyle name="Comma 22 2 3 2" xfId="2893" xr:uid="{0A99991A-CD12-4ED7-A067-34557553C3CD}"/>
    <cellStyle name="Comma 22 2 4" xfId="2127" xr:uid="{83D82725-ADBF-4189-A847-5D74522D7614}"/>
    <cellStyle name="Comma 22 2 5" xfId="3662" xr:uid="{838247EF-EDE2-4390-9111-0CAFDBF1486A}"/>
    <cellStyle name="Comma 22 3" xfId="744" xr:uid="{8A025D5A-A5E7-4B6D-B61E-5F49C98421AE}"/>
    <cellStyle name="Comma 22 3 2" xfId="1555" xr:uid="{C4A99B22-051C-41CA-8571-30C3EE869598}"/>
    <cellStyle name="Comma 22 3 2 2" xfId="3088" xr:uid="{9005620A-311C-4CB9-BBA0-4EB901AADA28}"/>
    <cellStyle name="Comma 22 3 3" xfId="2322" xr:uid="{01A742D0-56BE-45BC-B2FF-279CF35AC90C}"/>
    <cellStyle name="Comma 22 3 4" xfId="3887" xr:uid="{BFC818B4-EB38-43E2-A2F5-566B5C771045}"/>
    <cellStyle name="Comma 22 4" xfId="1174" xr:uid="{D1A914E0-C269-4A0B-BBA6-C0B7505D2E18}"/>
    <cellStyle name="Comma 22 4 2" xfId="2707" xr:uid="{29CE97A1-D629-4E18-83F4-B2DCB4C0CA4A}"/>
    <cellStyle name="Comma 22 5" xfId="1941" xr:uid="{701F7DD7-7443-46CC-BC02-3C0B27080041}"/>
    <cellStyle name="Comma 22 6" xfId="3476" xr:uid="{A438074A-E40A-4069-81A0-A2C81222FF77}"/>
    <cellStyle name="Comma 23" xfId="160" xr:uid="{6AFEF435-6168-4999-95EC-D6DDEAEDB2A0}"/>
    <cellStyle name="Comma 23 2" xfId="541" xr:uid="{188046F6-3EB8-452D-960C-0DDBC848F7F4}"/>
    <cellStyle name="Comma 23 2 2" xfId="927" xr:uid="{4DDDC7AC-515D-48B6-8C3E-A6AA8A7E697C}"/>
    <cellStyle name="Comma 23 2 2 2" xfId="1738" xr:uid="{7E1EC1FB-579B-4680-9FB3-E8D66D662C2C}"/>
    <cellStyle name="Comma 23 2 2 2 2" xfId="3271" xr:uid="{F7C02146-C502-4050-9B1B-B26503B4B61E}"/>
    <cellStyle name="Comma 23 2 2 3" xfId="2505" xr:uid="{B64324EF-24CE-48DA-985B-FBE06EE3B054}"/>
    <cellStyle name="Comma 23 2 2 4" xfId="4070" xr:uid="{0F3D78FE-C4F7-4FFF-AABC-5964E76BCEEF}"/>
    <cellStyle name="Comma 23 2 3" xfId="1357" xr:uid="{474E3162-5B9F-428C-A69C-81DE99F43848}"/>
    <cellStyle name="Comma 23 2 3 2" xfId="2890" xr:uid="{75C592D1-31BF-4CF0-885C-215BDB0D8FFB}"/>
    <cellStyle name="Comma 23 2 4" xfId="2124" xr:uid="{ACA2F242-4AE9-4B37-A910-6752C72DE520}"/>
    <cellStyle name="Comma 23 2 5" xfId="3659" xr:uid="{879512C7-4558-4665-A859-59A42D37C1BC}"/>
    <cellStyle name="Comma 23 3" xfId="741" xr:uid="{D83F4411-EDD9-472B-A9DD-E84D58D9AC1B}"/>
    <cellStyle name="Comma 23 3 2" xfId="1552" xr:uid="{570918F9-9B66-4407-AFFF-0131EBDBA130}"/>
    <cellStyle name="Comma 23 3 2 2" xfId="3085" xr:uid="{09E29043-C09F-4EB1-8864-B76FB6A5EA97}"/>
    <cellStyle name="Comma 23 3 3" xfId="2319" xr:uid="{0492E90A-9D31-43CA-8156-71B663C23167}"/>
    <cellStyle name="Comma 23 3 4" xfId="3884" xr:uid="{4F1C92B7-03BB-4254-8FD4-88184B7DC1CA}"/>
    <cellStyle name="Comma 23 4" xfId="1171" xr:uid="{006452AA-C395-4547-A7EA-6DC33DD3B6A3}"/>
    <cellStyle name="Comma 23 4 2" xfId="2704" xr:uid="{70BFF759-8EA6-46EB-957D-AC9B734BBA84}"/>
    <cellStyle name="Comma 23 5" xfId="1938" xr:uid="{8D0E43D9-8002-4803-ABC9-8E4EFB08394C}"/>
    <cellStyle name="Comma 23 6" xfId="3473" xr:uid="{91DBB1A6-3604-4E2A-905C-32633867F90D}"/>
    <cellStyle name="Comma 24" xfId="161" xr:uid="{1822156B-79DD-4DB0-A015-B2A82F09EC3D}"/>
    <cellStyle name="Comma 24 2" xfId="542" xr:uid="{B9259B0E-E7B1-4B46-9A6A-FF2DB72331C7}"/>
    <cellStyle name="Comma 24 2 2" xfId="928" xr:uid="{34419222-42B4-4C4A-930E-E31F723316D2}"/>
    <cellStyle name="Comma 24 2 2 2" xfId="1739" xr:uid="{7B5A4447-DC29-47EB-8512-A30A6D1E1064}"/>
    <cellStyle name="Comma 24 2 2 2 2" xfId="3272" xr:uid="{394CC5FA-18F8-465A-8591-0EBCFE69282A}"/>
    <cellStyle name="Comma 24 2 2 3" xfId="2506" xr:uid="{AEBA2ACC-FC37-4C26-867F-61194B4FFA45}"/>
    <cellStyle name="Comma 24 2 2 4" xfId="4071" xr:uid="{EA61E415-FA23-4B5E-9AF8-C98A0DD6CC23}"/>
    <cellStyle name="Comma 24 2 3" xfId="1358" xr:uid="{85BE70D8-CB73-47E2-9530-F2DC6CA4C886}"/>
    <cellStyle name="Comma 24 2 3 2" xfId="2891" xr:uid="{62B3BF94-2390-4483-8D94-970CACB0A76D}"/>
    <cellStyle name="Comma 24 2 4" xfId="2125" xr:uid="{11E1ED58-99DF-4292-81B3-48AB2BABDEBE}"/>
    <cellStyle name="Comma 24 2 5" xfId="3660" xr:uid="{013B09BA-6635-4E68-AF16-85FDC40336CA}"/>
    <cellStyle name="Comma 24 3" xfId="742" xr:uid="{AD8E8236-C9EE-46EC-BB50-666E95953C5C}"/>
    <cellStyle name="Comma 24 3 2" xfId="1553" xr:uid="{0F60F0A1-CFCE-4D96-88DA-A806EC6794F4}"/>
    <cellStyle name="Comma 24 3 2 2" xfId="3086" xr:uid="{7F633AE3-39CA-4425-AB21-45671C47808A}"/>
    <cellStyle name="Comma 24 3 3" xfId="2320" xr:uid="{4323F0C6-38E8-43B2-9F84-48A45ADCF92E}"/>
    <cellStyle name="Comma 24 3 4" xfId="3885" xr:uid="{DF336ECB-55E2-4C56-A503-99B467458A1E}"/>
    <cellStyle name="Comma 24 4" xfId="1172" xr:uid="{80A873F6-74BD-49A6-BC39-3944F8381EE5}"/>
    <cellStyle name="Comma 24 4 2" xfId="2705" xr:uid="{A829D928-495A-45F9-B399-196E4CEA55C9}"/>
    <cellStyle name="Comma 24 5" xfId="1939" xr:uid="{FD057081-637C-4BE7-A405-C358CA4277AF}"/>
    <cellStyle name="Comma 24 6" xfId="3474" xr:uid="{4CE3AFC7-FFD8-4129-8B14-0D07D30F1E4C}"/>
    <cellStyle name="Comma 25" xfId="162" xr:uid="{8F456D94-D53A-43A0-87D2-2320834E067B}"/>
    <cellStyle name="Comma 25 2" xfId="543" xr:uid="{56E62F84-7B27-4BAD-9847-F8D3AA598BE5}"/>
    <cellStyle name="Comma 25 2 2" xfId="929" xr:uid="{30D3AC9F-D183-4A4A-92C6-86F32FE6BC49}"/>
    <cellStyle name="Comma 25 2 2 2" xfId="1740" xr:uid="{E827F6B6-4E9B-4B1E-90CD-DBC7DAA46A4A}"/>
    <cellStyle name="Comma 25 2 2 2 2" xfId="3273" xr:uid="{893B5448-509D-4E13-AFD3-865717579915}"/>
    <cellStyle name="Comma 25 2 2 3" xfId="2507" xr:uid="{78EF06EE-554B-4DE3-A47D-4658D1085FF5}"/>
    <cellStyle name="Comma 25 2 2 4" xfId="4072" xr:uid="{1B4DD871-F371-498B-B06D-8ABD1B47FDB4}"/>
    <cellStyle name="Comma 25 2 3" xfId="1359" xr:uid="{B138B857-AFBD-4C9D-8675-26A1D40FB4E2}"/>
    <cellStyle name="Comma 25 2 3 2" xfId="2892" xr:uid="{79087DD4-EEE0-470D-810A-4AFBEF89F315}"/>
    <cellStyle name="Comma 25 2 4" xfId="2126" xr:uid="{01815454-F57F-474C-9CCA-E0A77A9FACBC}"/>
    <cellStyle name="Comma 25 2 5" xfId="3661" xr:uid="{BBDD79D7-C712-436F-BB38-BE220089FDAC}"/>
    <cellStyle name="Comma 25 3" xfId="743" xr:uid="{3F1CAF65-B0E0-469D-9B5B-BE51986F1367}"/>
    <cellStyle name="Comma 25 3 2" xfId="1554" xr:uid="{E99121E2-7CD1-4E6B-B0A1-7BF4322B06A5}"/>
    <cellStyle name="Comma 25 3 2 2" xfId="3087" xr:uid="{DB5266FC-6F7A-4205-A27F-A16A1BCA5E6D}"/>
    <cellStyle name="Comma 25 3 3" xfId="2321" xr:uid="{BCA7DDA6-501D-4E65-94E3-57F9F8B53E60}"/>
    <cellStyle name="Comma 25 3 4" xfId="3886" xr:uid="{0C015BE3-4417-436E-B54A-D2FCE9215E8C}"/>
    <cellStyle name="Comma 25 4" xfId="1173" xr:uid="{EB33C28E-6FA2-45E2-B6CD-37005D4A48E0}"/>
    <cellStyle name="Comma 25 4 2" xfId="2706" xr:uid="{38172542-D05E-49E0-9E17-8F8620DF8D58}"/>
    <cellStyle name="Comma 25 5" xfId="1940" xr:uid="{3522DE3B-00A4-46F7-8EA0-7FE679A2C55A}"/>
    <cellStyle name="Comma 25 6" xfId="3475" xr:uid="{10FE9BAB-06AC-48DA-88CA-086FFF8B5D2A}"/>
    <cellStyle name="Comma 26" xfId="168" xr:uid="{8C7A2058-1DDD-4702-9212-F78CD2F9B207}"/>
    <cellStyle name="Comma 26 2" xfId="547" xr:uid="{AC42015C-9860-40FE-9842-06A6B0794942}"/>
    <cellStyle name="Comma 26 2 2" xfId="933" xr:uid="{1847DD2A-5436-455D-8CAA-41A0744964B4}"/>
    <cellStyle name="Comma 26 2 2 2" xfId="1744" xr:uid="{E7129585-3F4B-4C7E-95C7-1F44AC8AE0EE}"/>
    <cellStyle name="Comma 26 2 2 2 2" xfId="3277" xr:uid="{B8A87596-F281-4DBE-AD3A-DE25C8C9A0BC}"/>
    <cellStyle name="Comma 26 2 2 3" xfId="2511" xr:uid="{90E96857-433E-4378-96B5-4713C59CA22B}"/>
    <cellStyle name="Comma 26 2 2 4" xfId="4076" xr:uid="{78167D04-9F4C-4E56-B5DE-78E5FFE49705}"/>
    <cellStyle name="Comma 26 2 3" xfId="1363" xr:uid="{4A5D1B64-E664-48FC-B1AF-806DABDCCE65}"/>
    <cellStyle name="Comma 26 2 3 2" xfId="2896" xr:uid="{5B43EA16-1556-4079-AA42-5849DC3EDAED}"/>
    <cellStyle name="Comma 26 2 4" xfId="2130" xr:uid="{0DF10CDA-246A-413E-9762-570CDD09BBF3}"/>
    <cellStyle name="Comma 26 2 5" xfId="3665" xr:uid="{0CA50CCA-9C02-40F8-9C60-1D7967F3A37F}"/>
    <cellStyle name="Comma 26 3" xfId="747" xr:uid="{A6A389FE-28AC-4D96-9E0B-B2D0459CB414}"/>
    <cellStyle name="Comma 26 3 2" xfId="1558" xr:uid="{F14F7CF8-0264-413B-9AFD-187CBD548A94}"/>
    <cellStyle name="Comma 26 3 2 2" xfId="3091" xr:uid="{858A556C-ABB0-4F44-8D83-6DE81BC9795D}"/>
    <cellStyle name="Comma 26 3 3" xfId="2325" xr:uid="{C75E8009-981C-4BCA-8839-5D62D7E5F55F}"/>
    <cellStyle name="Comma 26 3 4" xfId="3890" xr:uid="{63028BDB-63E7-4B70-B646-19B746F40D30}"/>
    <cellStyle name="Comma 26 4" xfId="1177" xr:uid="{366DE20A-E494-4C1D-8170-6DDDB55EE987}"/>
    <cellStyle name="Comma 26 4 2" xfId="2710" xr:uid="{B67CC223-38B0-411C-8B21-78AC376F6E24}"/>
    <cellStyle name="Comma 26 5" xfId="1944" xr:uid="{322E6794-9E7F-432C-9FDC-DB178EEFFF5B}"/>
    <cellStyle name="Comma 26 6" xfId="3479" xr:uid="{06F4BD18-9E17-4FDE-A441-00CC6CCEFEE7}"/>
    <cellStyle name="Comma 27" xfId="166" xr:uid="{AA996850-DFF4-4C4B-B822-468B015C715F}"/>
    <cellStyle name="Comma 27 2" xfId="545" xr:uid="{3C69ADCC-D03D-4D1C-8169-B6AD676CF0BB}"/>
    <cellStyle name="Comma 27 2 2" xfId="931" xr:uid="{3A4DF35A-1E7D-4C65-BA2C-B9F982A5C9C2}"/>
    <cellStyle name="Comma 27 2 2 2" xfId="1742" xr:uid="{6B6393D0-157A-4A87-BD40-566F0385938D}"/>
    <cellStyle name="Comma 27 2 2 2 2" xfId="3275" xr:uid="{48511A28-8EB8-4989-97AC-E3BDB479FE57}"/>
    <cellStyle name="Comma 27 2 2 3" xfId="2509" xr:uid="{3FD0C179-2AF4-4A01-BB55-A3B47DA9736F}"/>
    <cellStyle name="Comma 27 2 2 4" xfId="4074" xr:uid="{9294CA45-6600-4EC0-ADC4-A3DCCE2A8578}"/>
    <cellStyle name="Comma 27 2 3" xfId="1361" xr:uid="{CBC01B72-5186-4064-9A4D-01D6CEB25678}"/>
    <cellStyle name="Comma 27 2 3 2" xfId="2894" xr:uid="{245F4AC8-0E9C-4145-A9B1-D571BF29CD1F}"/>
    <cellStyle name="Comma 27 2 4" xfId="2128" xr:uid="{505026CB-DA9E-4762-8DBA-9E764B156A59}"/>
    <cellStyle name="Comma 27 2 5" xfId="3663" xr:uid="{72B2F863-31C3-48D1-B130-770F7E532E3C}"/>
    <cellStyle name="Comma 27 3" xfId="745" xr:uid="{A183883E-9E6B-40D5-AA0B-88DB024DCDAC}"/>
    <cellStyle name="Comma 27 3 2" xfId="1556" xr:uid="{41A4A164-FB10-4E55-AFA6-DC4F2B5FC618}"/>
    <cellStyle name="Comma 27 3 2 2" xfId="3089" xr:uid="{8C3E7CA9-81C9-4518-9BAF-9CC81D2E1817}"/>
    <cellStyle name="Comma 27 3 3" xfId="2323" xr:uid="{8D14E058-6A06-4654-B4AA-A1342D41AA58}"/>
    <cellStyle name="Comma 27 3 4" xfId="3888" xr:uid="{DE054E11-88FF-4D61-AFC5-9506135C841C}"/>
    <cellStyle name="Comma 27 4" xfId="1175" xr:uid="{667D0787-C202-4C8A-AA62-A255904CEA3C}"/>
    <cellStyle name="Comma 27 4 2" xfId="2708" xr:uid="{43107E65-18F2-4FE5-A47F-340F9932979A}"/>
    <cellStyle name="Comma 27 5" xfId="1942" xr:uid="{A5319C97-9CBA-41FA-A873-2CD978CE1225}"/>
    <cellStyle name="Comma 27 6" xfId="3477" xr:uid="{2D32EE48-6888-427E-97AA-FA15D7D53945}"/>
    <cellStyle name="Comma 28" xfId="167" xr:uid="{067829D1-C433-4882-9165-CF99B503F140}"/>
    <cellStyle name="Comma 28 2" xfId="546" xr:uid="{9FAD242D-FBCD-4D3F-994A-BB7D204A9B2E}"/>
    <cellStyle name="Comma 28 2 2" xfId="932" xr:uid="{75DA11E3-373B-42AE-8AF9-2C89BD9090ED}"/>
    <cellStyle name="Comma 28 2 2 2" xfId="1743" xr:uid="{1F1AE807-EA98-401D-A36E-F684EFCF6030}"/>
    <cellStyle name="Comma 28 2 2 2 2" xfId="3276" xr:uid="{242E4DFC-08A5-4079-84D6-024D3BFFBB8E}"/>
    <cellStyle name="Comma 28 2 2 3" xfId="2510" xr:uid="{6A67650F-71A5-4F71-8CE9-73A9EB18F117}"/>
    <cellStyle name="Comma 28 2 2 4" xfId="4075" xr:uid="{E59AA43B-F095-4F53-B57D-1796BAE018AF}"/>
    <cellStyle name="Comma 28 2 3" xfId="1362" xr:uid="{F7FA012D-70A6-4B7E-B193-CB56E009BE24}"/>
    <cellStyle name="Comma 28 2 3 2" xfId="2895" xr:uid="{FBF03770-864A-485D-9A0E-0F956326E278}"/>
    <cellStyle name="Comma 28 2 4" xfId="2129" xr:uid="{92391C82-5AF9-43AA-9265-749F9F701C02}"/>
    <cellStyle name="Comma 28 2 5" xfId="3664" xr:uid="{F2B104D0-2466-4A8F-8E11-48B65B113945}"/>
    <cellStyle name="Comma 28 3" xfId="746" xr:uid="{1FC0D939-09AC-4C3E-AB4F-84D65C20504E}"/>
    <cellStyle name="Comma 28 3 2" xfId="1557" xr:uid="{DDAF73CE-4A7A-4D97-9630-44529720BF6F}"/>
    <cellStyle name="Comma 28 3 2 2" xfId="3090" xr:uid="{4DF1BD6E-070D-41FC-8193-DF1A281E5B43}"/>
    <cellStyle name="Comma 28 3 3" xfId="2324" xr:uid="{1FBE06B9-823E-4975-84CD-FE48A1D5C8F4}"/>
    <cellStyle name="Comma 28 3 4" xfId="3889" xr:uid="{4E06111F-E8DF-4C89-BFA1-08A311738A51}"/>
    <cellStyle name="Comma 28 4" xfId="1176" xr:uid="{B09FD6E3-B075-4A26-AE2A-D9171D45A5DB}"/>
    <cellStyle name="Comma 28 4 2" xfId="2709" xr:uid="{C279759C-AC2B-473E-AC40-D0AF1F1D47E3}"/>
    <cellStyle name="Comma 28 5" xfId="1943" xr:uid="{73AB525E-07A5-4A61-BA66-9D7005C581DC}"/>
    <cellStyle name="Comma 28 6" xfId="3478" xr:uid="{08A5C7D0-4222-4A2A-A683-804B29C207BD}"/>
    <cellStyle name="Comma 29" xfId="172" xr:uid="{11A7C40C-2A23-483F-A013-3B6F9AF44EC0}"/>
    <cellStyle name="Comma 29 2" xfId="549" xr:uid="{C7138B3A-D6D0-4962-90B1-07B27E60909D}"/>
    <cellStyle name="Comma 29 2 2" xfId="935" xr:uid="{09E2B77E-984B-46E2-92B9-DE3A64FE6BE2}"/>
    <cellStyle name="Comma 29 2 2 2" xfId="1746" xr:uid="{D2FB9A95-FC48-423F-B8F2-3A1B3F8AA40E}"/>
    <cellStyle name="Comma 29 2 2 2 2" xfId="3279" xr:uid="{B0AFBE0E-D8B1-4C36-BDFF-33EEFEE9B64C}"/>
    <cellStyle name="Comma 29 2 2 3" xfId="2513" xr:uid="{9569E8AB-189E-433C-A661-71EF62FB7B51}"/>
    <cellStyle name="Comma 29 2 2 4" xfId="4078" xr:uid="{276AE45E-2310-4E18-AD79-4323C01EDCDA}"/>
    <cellStyle name="Comma 29 2 3" xfId="1365" xr:uid="{E6CA489A-0A3F-4A06-A202-6BC3E2DC9FBF}"/>
    <cellStyle name="Comma 29 2 3 2" xfId="2898" xr:uid="{F65FB94B-9E73-48C3-B9FB-B69D6DB76521}"/>
    <cellStyle name="Comma 29 2 4" xfId="2132" xr:uid="{64A10C91-FCA2-44DB-90BF-8ABBEB9A2171}"/>
    <cellStyle name="Comma 29 2 5" xfId="3667" xr:uid="{1E325846-3924-4FE4-B8FA-7B2A096BB412}"/>
    <cellStyle name="Comma 29 3" xfId="749" xr:uid="{3A039A0F-6F3E-4E2E-A92C-22DDB6E331A1}"/>
    <cellStyle name="Comma 29 3 2" xfId="1560" xr:uid="{A2632852-0688-47A0-9B74-DFBBBF708D26}"/>
    <cellStyle name="Comma 29 3 2 2" xfId="3093" xr:uid="{03AAEE14-BAA3-4181-AEA1-E0A65DA47976}"/>
    <cellStyle name="Comma 29 3 3" xfId="2327" xr:uid="{D843D812-ACE3-43CC-AEC7-EC823FA86015}"/>
    <cellStyle name="Comma 29 3 4" xfId="3892" xr:uid="{BD2A54FE-9E3E-4B93-91E6-5C14CF806C73}"/>
    <cellStyle name="Comma 29 4" xfId="1179" xr:uid="{F24927C8-9878-4E86-AFBE-963A8DEE668D}"/>
    <cellStyle name="Comma 29 4 2" xfId="2712" xr:uid="{7B7B0BE6-8C4B-4796-B868-BEBAD5F1AEA6}"/>
    <cellStyle name="Comma 29 5" xfId="1946" xr:uid="{D78E4041-72A6-42F1-9BAD-429E8994011D}"/>
    <cellStyle name="Comma 29 6" xfId="3481" xr:uid="{30B6F9BE-CCB4-454C-9B95-89FE84EB2D55}"/>
    <cellStyle name="Comma 3" xfId="9" xr:uid="{00000000-0005-0000-0000-000001000000}"/>
    <cellStyle name="Comma 3 2" xfId="133" xr:uid="{D63ADC40-AF2F-42D4-8AEB-64FBF713FEBE}"/>
    <cellStyle name="Comma 3 2 2" xfId="522" xr:uid="{9CE0EB93-2B74-4AC8-AFE3-ACD9F7DA2D07}"/>
    <cellStyle name="Comma 3 2 2 2" xfId="908" xr:uid="{363FD9F3-8623-4265-A529-A92725C212DB}"/>
    <cellStyle name="Comma 3 2 2 2 2" xfId="1719" xr:uid="{33AC5A6A-01AC-462C-AD27-7A41329EA7D3}"/>
    <cellStyle name="Comma 3 2 2 2 2 2" xfId="3252" xr:uid="{02788BD5-D0E7-4EC1-828F-8D332A9A4B46}"/>
    <cellStyle name="Comma 3 2 2 2 3" xfId="2486" xr:uid="{A828D43C-A606-4E06-BC85-3A2C46C82C58}"/>
    <cellStyle name="Comma 3 2 2 2 4" xfId="4051" xr:uid="{1F84F155-99F2-47BC-B4EA-E5888A2F415D}"/>
    <cellStyle name="Comma 3 2 2 3" xfId="1338" xr:uid="{03E8FED6-CD00-4DF6-A5D0-705C9E706254}"/>
    <cellStyle name="Comma 3 2 2 3 2" xfId="2871" xr:uid="{429E6A94-B991-4638-A87F-28B8FF1680CD}"/>
    <cellStyle name="Comma 3 2 2 4" xfId="2105" xr:uid="{72FA126B-E6C9-4A7E-A6F0-E40E0DA524DE}"/>
    <cellStyle name="Comma 3 2 2 5" xfId="3640" xr:uid="{127A65C7-F203-4968-9DF4-DB3679C9749A}"/>
    <cellStyle name="Comma 3 2 3" xfId="722" xr:uid="{5A02D547-6396-4477-9EE6-73F8BC88F687}"/>
    <cellStyle name="Comma 3 2 3 2" xfId="1533" xr:uid="{0BF5DE48-B6C4-4407-9A0A-4C1CD1DA85C1}"/>
    <cellStyle name="Comma 3 2 3 2 2" xfId="3066" xr:uid="{03BBAD19-47E2-4D98-82D6-7698F9423875}"/>
    <cellStyle name="Comma 3 2 3 3" xfId="2300" xr:uid="{89EC31FD-F37B-47CB-8D24-98AC475083DB}"/>
    <cellStyle name="Comma 3 2 3 4" xfId="3865" xr:uid="{76599BB3-4AAB-4284-8DC3-C6EAB113C653}"/>
    <cellStyle name="Comma 3 2 4" xfId="1152" xr:uid="{8BA745DC-2074-4CC9-A579-35280E61E295}"/>
    <cellStyle name="Comma 3 2 4 2" xfId="2685" xr:uid="{C9FB6331-9B46-4215-A5FB-7D94049E2514}"/>
    <cellStyle name="Comma 3 2 5" xfId="1919" xr:uid="{A125BD3F-1C48-4880-B291-DDF68543027F}"/>
    <cellStyle name="Comma 3 2 6" xfId="3454" xr:uid="{1BD41FD1-AAF2-43A7-A512-A47065C22DEE}"/>
    <cellStyle name="Comma 3 3" xfId="495" xr:uid="{90321F0E-1067-468D-8E1D-A3F5E6571D7D}"/>
    <cellStyle name="Comma 3 3 2" xfId="682" xr:uid="{537E0BD7-B802-4317-A267-976646D22C68}"/>
    <cellStyle name="Comma 3 3 2 2" xfId="1068" xr:uid="{B870667C-2CB8-4DE0-9D2B-5506CB1353C9}"/>
    <cellStyle name="Comma 3 3 2 2 2" xfId="1879" xr:uid="{DE2E2395-A162-4A55-8DF9-68F263C705E8}"/>
    <cellStyle name="Comma 3 3 2 2 2 2" xfId="3412" xr:uid="{E34F332F-9E5D-4C31-BC2E-7035412155DA}"/>
    <cellStyle name="Comma 3 3 2 2 3" xfId="2646" xr:uid="{2D1C3089-618E-4CC7-B9CF-5FE688D5712A}"/>
    <cellStyle name="Comma 3 3 2 2 4" xfId="4211" xr:uid="{BEF89232-F1AF-4E04-B841-C0FB177C9854}"/>
    <cellStyle name="Comma 3 3 2 3" xfId="1498" xr:uid="{F34BE35D-9D56-42F8-9818-740FB577CD5B}"/>
    <cellStyle name="Comma 3 3 2 3 2" xfId="3031" xr:uid="{793860B9-2B0C-40FC-B694-5672CB3C73FD}"/>
    <cellStyle name="Comma 3 3 2 4" xfId="2265" xr:uid="{4B5F6A6C-C096-40E1-AE91-18FC30F380B9}"/>
    <cellStyle name="Comma 3 3 2 5" xfId="3800" xr:uid="{9978064D-5F71-4F96-A531-82448EDF1510}"/>
    <cellStyle name="Comma 3 3 3" xfId="882" xr:uid="{7FAEF9BA-A129-4C0C-B741-3A068A9EB00C}"/>
    <cellStyle name="Comma 3 3 3 2" xfId="1693" xr:uid="{3E139682-ED79-4592-8F11-BD7540891215}"/>
    <cellStyle name="Comma 3 3 3 2 2" xfId="3226" xr:uid="{DAE0E263-9BDF-4526-8FDD-9509E9162FDB}"/>
    <cellStyle name="Comma 3 3 3 3" xfId="2460" xr:uid="{C26BA148-35EB-4B81-8AFD-5974192570F3}"/>
    <cellStyle name="Comma 3 3 3 4" xfId="4025" xr:uid="{0D29DB8A-226B-4321-A0C9-5383FFCD76CF}"/>
    <cellStyle name="Comma 3 3 4" xfId="1312" xr:uid="{8C0D378B-44F1-43A3-B95C-3F9400FD9650}"/>
    <cellStyle name="Comma 3 3 4 2" xfId="2845" xr:uid="{2A14F7AC-FD78-472A-9071-17105B68B129}"/>
    <cellStyle name="Comma 3 3 5" xfId="2079" xr:uid="{7D532F61-9314-40F0-8C7B-BCD336810EF9}"/>
    <cellStyle name="Comma 3 3 6" xfId="3614" xr:uid="{729930D4-07A5-45AD-BA4B-F4F2FA655202}"/>
    <cellStyle name="Comma 3 4" xfId="3840" xr:uid="{DC8AB0DE-5B00-4451-8613-6343421FF9EA}"/>
    <cellStyle name="Comma 30" xfId="170" xr:uid="{32C7B165-2021-453E-9E32-CEC081AE36ED}"/>
    <cellStyle name="Comma 30 2" xfId="548" xr:uid="{1421EA88-C4A4-47DF-9E5D-15C1E95E5FA5}"/>
    <cellStyle name="Comma 30 2 2" xfId="934" xr:uid="{36285779-D53C-484B-89D3-C20D40F0D6D7}"/>
    <cellStyle name="Comma 30 2 2 2" xfId="1745" xr:uid="{F46B8059-4CF7-4838-9991-3D7745DA94AC}"/>
    <cellStyle name="Comma 30 2 2 2 2" xfId="3278" xr:uid="{B173037B-CA33-4D12-8B1E-FE83A5EB61D5}"/>
    <cellStyle name="Comma 30 2 2 3" xfId="2512" xr:uid="{F3F5B024-527B-4C56-91D5-E3B6C21CA5D7}"/>
    <cellStyle name="Comma 30 2 2 4" xfId="4077" xr:uid="{5C7BCFB5-EC4A-45F7-8B38-74C901C14E87}"/>
    <cellStyle name="Comma 30 2 3" xfId="1364" xr:uid="{84BB36DE-61C3-45DF-A3B8-4082A52FB1EF}"/>
    <cellStyle name="Comma 30 2 3 2" xfId="2897" xr:uid="{C5BC93FF-47E2-4F58-9ED0-0F6E07973363}"/>
    <cellStyle name="Comma 30 2 4" xfId="2131" xr:uid="{8F384A51-F988-4E96-924B-CB1828976729}"/>
    <cellStyle name="Comma 30 2 5" xfId="3666" xr:uid="{F16C16D9-2AE5-4822-AEDC-57BE7F3143CB}"/>
    <cellStyle name="Comma 30 3" xfId="748" xr:uid="{6C7D10E0-3B04-4E7D-A898-F273808B3449}"/>
    <cellStyle name="Comma 30 3 2" xfId="1559" xr:uid="{BC4644FE-5AAA-4478-9BD7-14BB927AB209}"/>
    <cellStyle name="Comma 30 3 2 2" xfId="3092" xr:uid="{BD2CE77A-FF67-49C0-A848-C8D6D436CA19}"/>
    <cellStyle name="Comma 30 3 3" xfId="2326" xr:uid="{A541F771-7539-4F55-BF02-0F531DD032D2}"/>
    <cellStyle name="Comma 30 3 4" xfId="3891" xr:uid="{52A3100C-949E-40A4-B1BD-4DABB13E1E8F}"/>
    <cellStyle name="Comma 30 4" xfId="1178" xr:uid="{9D0E8730-9665-4EC0-9AAA-AD9C4F0E92E5}"/>
    <cellStyle name="Comma 30 4 2" xfId="2711" xr:uid="{1420437F-4D94-44D2-B4F3-ABE8ABD250B1}"/>
    <cellStyle name="Comma 30 5" xfId="1945" xr:uid="{C6DBE897-D034-4AE6-902B-1B72C176CBA3}"/>
    <cellStyle name="Comma 30 6" xfId="3480" xr:uid="{D5A16831-67EE-4B77-94A4-80A948511BEF}"/>
    <cellStyle name="Comma 31" xfId="177" xr:uid="{E8A38175-FC2E-421C-8F87-D6ACFFF0C0ED}"/>
    <cellStyle name="Comma 31 2" xfId="553" xr:uid="{8831A88E-2596-4D59-82A8-04B107365782}"/>
    <cellStyle name="Comma 31 2 2" xfId="939" xr:uid="{DB01805D-6BEB-4199-89E0-2BE86ED94A2E}"/>
    <cellStyle name="Comma 31 2 2 2" xfId="1750" xr:uid="{4430D9CB-3F71-4DC0-A1A8-B7ABA874E813}"/>
    <cellStyle name="Comma 31 2 2 2 2" xfId="3283" xr:uid="{D16FF456-420D-4CBB-BC13-AB81CDAE1313}"/>
    <cellStyle name="Comma 31 2 2 3" xfId="2517" xr:uid="{2C50F7FE-C519-49A0-B6DC-BE9AB6D50165}"/>
    <cellStyle name="Comma 31 2 2 4" xfId="4082" xr:uid="{563FF08D-EE4A-44B8-8896-55CB74817656}"/>
    <cellStyle name="Comma 31 2 3" xfId="1369" xr:uid="{21F311C2-6FF7-4ECD-BE8F-038B49B9B96B}"/>
    <cellStyle name="Comma 31 2 3 2" xfId="2902" xr:uid="{B45C3225-EDA1-4146-BCC0-9F978ACF52B2}"/>
    <cellStyle name="Comma 31 2 4" xfId="2136" xr:uid="{D852CABE-2211-47C1-81E6-2458634845D5}"/>
    <cellStyle name="Comma 31 2 5" xfId="3671" xr:uid="{7C4BA6A9-9516-49B6-A89C-D03CE64BE722}"/>
    <cellStyle name="Comma 31 3" xfId="753" xr:uid="{9B5BED7A-2348-4E50-9D44-735C3D0FBEA4}"/>
    <cellStyle name="Comma 31 3 2" xfId="1564" xr:uid="{0DF07228-FC80-46DD-A435-D04B74EA5BC6}"/>
    <cellStyle name="Comma 31 3 2 2" xfId="3097" xr:uid="{149FC469-32D3-44E3-BF53-05164C6D5140}"/>
    <cellStyle name="Comma 31 3 3" xfId="2331" xr:uid="{C7A8CB38-13FD-442B-88DA-5AE98F302259}"/>
    <cellStyle name="Comma 31 3 4" xfId="3896" xr:uid="{9A0D4D75-D393-439B-8515-3DD3D09E20F2}"/>
    <cellStyle name="Comma 31 4" xfId="1183" xr:uid="{EF033C39-9E80-41D4-8911-A9BAAB2D7043}"/>
    <cellStyle name="Comma 31 4 2" xfId="2716" xr:uid="{41C1D728-90E6-4E16-AFB1-60590FD42C0D}"/>
    <cellStyle name="Comma 31 5" xfId="1950" xr:uid="{3E1C7DC7-1DD3-4238-B7D2-C9E8AF0D890E}"/>
    <cellStyle name="Comma 31 6" xfId="3485" xr:uid="{135873EF-0690-44E8-94AE-A722401A2DE0}"/>
    <cellStyle name="Comma 32" xfId="176" xr:uid="{B3F247DB-8863-4270-B8A2-7649810C3B38}"/>
    <cellStyle name="Comma 32 2" xfId="552" xr:uid="{86924146-23B2-46A4-AADE-81C169D2D9BD}"/>
    <cellStyle name="Comma 32 2 2" xfId="938" xr:uid="{250D5E3C-AD5A-42FA-B093-B9FFD802E5FC}"/>
    <cellStyle name="Comma 32 2 2 2" xfId="1749" xr:uid="{450D2D08-6EC6-42BD-911D-A7DDCF376BE6}"/>
    <cellStyle name="Comma 32 2 2 2 2" xfId="3282" xr:uid="{CFF1241A-48C5-4042-8084-1B315CC9FC1F}"/>
    <cellStyle name="Comma 32 2 2 3" xfId="2516" xr:uid="{BEBA9D86-4F95-4D07-A68F-C6FB4686CD4D}"/>
    <cellStyle name="Comma 32 2 2 4" xfId="4081" xr:uid="{949868C0-17DA-40EC-AF0D-268CC07A4178}"/>
    <cellStyle name="Comma 32 2 3" xfId="1368" xr:uid="{CF3DCC32-428E-4315-A4BC-6D4FA2E6B0B8}"/>
    <cellStyle name="Comma 32 2 3 2" xfId="2901" xr:uid="{453B62EE-C91B-43FB-BBC3-9C7BB9D4D4C1}"/>
    <cellStyle name="Comma 32 2 4" xfId="2135" xr:uid="{F0117F15-FB56-4240-B7A0-4E744AB0055C}"/>
    <cellStyle name="Comma 32 2 5" xfId="3670" xr:uid="{A895A461-E9D0-4903-BF42-B85A610B43F4}"/>
    <cellStyle name="Comma 32 3" xfId="752" xr:uid="{7F530E62-39C1-4695-8BD0-AAF1282515A2}"/>
    <cellStyle name="Comma 32 3 2" xfId="1563" xr:uid="{B7BF8C1F-76F1-42BC-87AD-CC179CA91FF2}"/>
    <cellStyle name="Comma 32 3 2 2" xfId="3096" xr:uid="{4AAFEC3D-5936-4914-B412-142AED905044}"/>
    <cellStyle name="Comma 32 3 3" xfId="2330" xr:uid="{1711F3FD-0A75-4D78-A2F8-2AC129193CA2}"/>
    <cellStyle name="Comma 32 3 4" xfId="3895" xr:uid="{B511F185-D7D9-4177-9226-0AC23E53E33F}"/>
    <cellStyle name="Comma 32 4" xfId="1182" xr:uid="{FAD41E77-E02E-491F-ACCE-9F2929F66F75}"/>
    <cellStyle name="Comma 32 4 2" xfId="2715" xr:uid="{19C88D01-0560-45D7-8BBF-EE0C1479B860}"/>
    <cellStyle name="Comma 32 5" xfId="1949" xr:uid="{0F8623F2-AA29-4BB8-9BF7-92C6D2782BF7}"/>
    <cellStyle name="Comma 32 6" xfId="3484" xr:uid="{8C384193-4BC1-4D6E-8470-950DCB143D5E}"/>
    <cellStyle name="Comma 33" xfId="180" xr:uid="{DE4E400F-04CF-4418-910C-612C63C66206}"/>
    <cellStyle name="Comma 33 2" xfId="556" xr:uid="{C15E2FD5-C481-4798-9158-79D0BAA2B183}"/>
    <cellStyle name="Comma 33 2 2" xfId="942" xr:uid="{08E83C2D-9D2D-47C2-9BA2-15A330AB544E}"/>
    <cellStyle name="Comma 33 2 2 2" xfId="1753" xr:uid="{FB19DCD2-B2AE-4295-92D7-C839D43035D2}"/>
    <cellStyle name="Comma 33 2 2 2 2" xfId="3286" xr:uid="{82279975-DE35-4C59-AEB4-8039D84D1673}"/>
    <cellStyle name="Comma 33 2 2 3" xfId="2520" xr:uid="{0079C18D-0F6D-4336-8421-FBEC97B274FC}"/>
    <cellStyle name="Comma 33 2 2 4" xfId="4085" xr:uid="{769D4220-190E-4777-BC80-2DD2FFD5EEA2}"/>
    <cellStyle name="Comma 33 2 3" xfId="1372" xr:uid="{2A760744-C06A-48CA-8811-631D722E6C0C}"/>
    <cellStyle name="Comma 33 2 3 2" xfId="2905" xr:uid="{69B3AB6A-70E7-4D52-B3A3-8594EF936EF0}"/>
    <cellStyle name="Comma 33 2 4" xfId="2139" xr:uid="{9EB8AE1A-D532-480B-AC86-98565FE36C09}"/>
    <cellStyle name="Comma 33 2 5" xfId="3674" xr:uid="{804D7167-4FCD-4CD1-AE76-CF53588274E6}"/>
    <cellStyle name="Comma 33 3" xfId="756" xr:uid="{A2CC5640-FE3E-4E3D-90FB-D1B4DE8BFD96}"/>
    <cellStyle name="Comma 33 3 2" xfId="1567" xr:uid="{395D2C4E-8E03-49A7-BF9A-2B4B0951353A}"/>
    <cellStyle name="Comma 33 3 2 2" xfId="3100" xr:uid="{EECB0921-56BB-4632-8191-7DCC0129DEC5}"/>
    <cellStyle name="Comma 33 3 3" xfId="2334" xr:uid="{33A51CAA-474C-4BF6-85CB-423AEFC227A2}"/>
    <cellStyle name="Comma 33 3 4" xfId="3899" xr:uid="{AA6BB7D7-DA4B-4756-99ED-D6BF7E93772C}"/>
    <cellStyle name="Comma 33 4" xfId="1186" xr:uid="{BB89DD00-54D7-437C-9AD5-3AB902DB36DF}"/>
    <cellStyle name="Comma 33 4 2" xfId="2719" xr:uid="{0DFB9DDF-06CE-4216-AF2A-2A822AC868BB}"/>
    <cellStyle name="Comma 33 5" xfId="1953" xr:uid="{D404B882-E8FB-4B7E-8505-28D6D8820D47}"/>
    <cellStyle name="Comma 33 6" xfId="3488" xr:uid="{AC28B650-D7E5-485E-A95A-C54805E6E19D}"/>
    <cellStyle name="Comma 34" xfId="181" xr:uid="{09862BB2-28D4-45A9-988D-A1115507276C}"/>
    <cellStyle name="Comma 34 2" xfId="557" xr:uid="{54B67ABB-E5E6-4D79-8BCA-A82D09E23EF1}"/>
    <cellStyle name="Comma 34 2 2" xfId="943" xr:uid="{A11AF483-9C2C-44A7-86AF-8C717636A048}"/>
    <cellStyle name="Comma 34 2 2 2" xfId="1754" xr:uid="{590DD1D8-13FA-42E3-8355-EF4B40F023FE}"/>
    <cellStyle name="Comma 34 2 2 2 2" xfId="3287" xr:uid="{62656FEB-AC06-4D54-9789-319F1FF62683}"/>
    <cellStyle name="Comma 34 2 2 3" xfId="2521" xr:uid="{3BA202FB-93B1-4A06-ABB8-66752D914608}"/>
    <cellStyle name="Comma 34 2 2 4" xfId="4086" xr:uid="{015ABAFE-FFAF-45FE-AC4F-DC81A038D782}"/>
    <cellStyle name="Comma 34 2 3" xfId="1373" xr:uid="{037C72C2-726A-4EB2-BA5C-1F66B71C47CE}"/>
    <cellStyle name="Comma 34 2 3 2" xfId="2906" xr:uid="{2C92C471-A39D-46C6-9409-3A84D2FF31B8}"/>
    <cellStyle name="Comma 34 2 4" xfId="2140" xr:uid="{3AB159D8-AF8A-4B9D-BDCC-701A02AB7B3C}"/>
    <cellStyle name="Comma 34 2 5" xfId="3675" xr:uid="{635F4892-1F7E-470D-8AAD-A2D6077B2669}"/>
    <cellStyle name="Comma 34 3" xfId="757" xr:uid="{75BC2A41-AF2F-433E-92EB-E2F663042BE5}"/>
    <cellStyle name="Comma 34 3 2" xfId="1568" xr:uid="{23E5DAF0-7FEE-484C-9441-CF975F921F0C}"/>
    <cellStyle name="Comma 34 3 2 2" xfId="3101" xr:uid="{7A12C453-6164-415E-A67A-53773212850A}"/>
    <cellStyle name="Comma 34 3 3" xfId="2335" xr:uid="{F1E2BA2B-8B8D-4077-8A31-61EAFB9D5862}"/>
    <cellStyle name="Comma 34 3 4" xfId="3900" xr:uid="{B9B757EC-B61B-4D69-9BC4-52147675C6D4}"/>
    <cellStyle name="Comma 34 4" xfId="1187" xr:uid="{B7272A9D-98B0-4018-B9E6-CB07099A4238}"/>
    <cellStyle name="Comma 34 4 2" xfId="2720" xr:uid="{891D2263-521F-4C1B-B1D8-9A0AF4E3656D}"/>
    <cellStyle name="Comma 34 5" xfId="1954" xr:uid="{462C252F-160F-46C6-B8F9-9691758AF90D}"/>
    <cellStyle name="Comma 34 6" xfId="3489" xr:uid="{382D0344-D1A1-482B-9489-73174C2204FD}"/>
    <cellStyle name="Comma 35" xfId="174" xr:uid="{F679009D-69B6-4334-81A3-D0706F4D4025}"/>
    <cellStyle name="Comma 35 2" xfId="550" xr:uid="{F1B00D28-6E2E-45B3-8AC5-04FCC494D689}"/>
    <cellStyle name="Comma 35 2 2" xfId="936" xr:uid="{66FFE8FE-6F00-4DCB-A14F-EE4885293469}"/>
    <cellStyle name="Comma 35 2 2 2" xfId="1747" xr:uid="{4914B8E8-C6F5-48E4-86FB-E1CE9897B03A}"/>
    <cellStyle name="Comma 35 2 2 2 2" xfId="3280" xr:uid="{5D619450-BB4B-4F12-A7AC-1FF2BAFECAE4}"/>
    <cellStyle name="Comma 35 2 2 3" xfId="2514" xr:uid="{97C0477E-C43E-4A27-BA09-8482B9720E8F}"/>
    <cellStyle name="Comma 35 2 2 4" xfId="4079" xr:uid="{74FBDDDC-E34C-4C48-B64B-991366A69FEF}"/>
    <cellStyle name="Comma 35 2 3" xfId="1366" xr:uid="{9920DB87-CF7D-4508-B4C8-E62CCA2EAD47}"/>
    <cellStyle name="Comma 35 2 3 2" xfId="2899" xr:uid="{C44B0091-0405-42FD-93BF-5D33D543DBFE}"/>
    <cellStyle name="Comma 35 2 4" xfId="2133" xr:uid="{B9FE7736-2CF8-47F1-8421-44BBC847987B}"/>
    <cellStyle name="Comma 35 2 5" xfId="3668" xr:uid="{185236D5-2DE9-4043-BC6E-432FAB12084E}"/>
    <cellStyle name="Comma 35 3" xfId="750" xr:uid="{D32F31F3-B30F-40FE-936C-93D23FEA391D}"/>
    <cellStyle name="Comma 35 3 2" xfId="1561" xr:uid="{2E32CBE4-6610-4D73-88D8-D1C8A8530058}"/>
    <cellStyle name="Comma 35 3 2 2" xfId="3094" xr:uid="{CED3C1ED-C892-4AA7-9ACA-AFB77D8E4356}"/>
    <cellStyle name="Comma 35 3 3" xfId="2328" xr:uid="{6D86625D-E9ED-4E32-BCA8-553758C337B4}"/>
    <cellStyle name="Comma 35 3 4" xfId="3893" xr:uid="{7B56EDB6-3E78-487E-9C07-ADB5D299258C}"/>
    <cellStyle name="Comma 35 4" xfId="1180" xr:uid="{052BA16C-2CD8-411B-A0C8-BE17E1FC1512}"/>
    <cellStyle name="Comma 35 4 2" xfId="2713" xr:uid="{CCD0AFBE-494C-4C2F-8DFB-82864AF690C0}"/>
    <cellStyle name="Comma 35 5" xfId="1947" xr:uid="{EC9BB975-0670-4784-9AC0-5E20BC828B27}"/>
    <cellStyle name="Comma 35 6" xfId="3482" xr:uid="{491929D9-CBD3-4CC8-AFDF-9F868A23E8D5}"/>
    <cellStyle name="Comma 36" xfId="175" xr:uid="{1698BD14-FE86-4A9B-9E3F-5CBD47D5D200}"/>
    <cellStyle name="Comma 36 2" xfId="551" xr:uid="{698E4BA6-05BF-4BE0-AAE8-14047E92B526}"/>
    <cellStyle name="Comma 36 2 2" xfId="937" xr:uid="{759721BD-F9A9-4279-91CF-87AC3589DB33}"/>
    <cellStyle name="Comma 36 2 2 2" xfId="1748" xr:uid="{6948AB87-6335-4FBF-BDA6-1C029606627A}"/>
    <cellStyle name="Comma 36 2 2 2 2" xfId="3281" xr:uid="{C68786F5-7470-4966-BD2F-3C108D4140CD}"/>
    <cellStyle name="Comma 36 2 2 3" xfId="2515" xr:uid="{FAB7E850-8DA4-40A6-A2CF-4E05D1E35AD6}"/>
    <cellStyle name="Comma 36 2 2 4" xfId="4080" xr:uid="{AF2243ED-C160-473D-90DA-B17F8C1E2F32}"/>
    <cellStyle name="Comma 36 2 3" xfId="1367" xr:uid="{8730FAF7-560C-4901-9DBC-3A834C507CBD}"/>
    <cellStyle name="Comma 36 2 3 2" xfId="2900" xr:uid="{3FC3505E-194C-499B-A1B7-959881B63615}"/>
    <cellStyle name="Comma 36 2 4" xfId="2134" xr:uid="{D408C45F-95C1-489A-8508-7587B2FE7739}"/>
    <cellStyle name="Comma 36 2 5" xfId="3669" xr:uid="{7A28B904-4BE3-412F-B782-2DFB8104AC15}"/>
    <cellStyle name="Comma 36 3" xfId="751" xr:uid="{52A47BA5-1AD6-4892-9CC7-FD1011A5FF6F}"/>
    <cellStyle name="Comma 36 3 2" xfId="1562" xr:uid="{B2C0CD60-2988-45BF-8528-0DC829F68F53}"/>
    <cellStyle name="Comma 36 3 2 2" xfId="3095" xr:uid="{751B7F95-9009-4E56-A832-32649974E634}"/>
    <cellStyle name="Comma 36 3 3" xfId="2329" xr:uid="{42AB1249-3F99-4960-B524-52F51B9AAF01}"/>
    <cellStyle name="Comma 36 3 4" xfId="3894" xr:uid="{CB5EEA29-6EFA-443D-A8E1-4118C786F3F7}"/>
    <cellStyle name="Comma 36 4" xfId="1181" xr:uid="{3530E453-DF2C-441D-AB62-05D8576F7F2C}"/>
    <cellStyle name="Comma 36 4 2" xfId="2714" xr:uid="{E95A6B74-2D8C-4E02-8193-7FFFAFF474B3}"/>
    <cellStyle name="Comma 36 5" xfId="1948" xr:uid="{9A56A8DA-8C10-445B-8B46-78DD502B0449}"/>
    <cellStyle name="Comma 36 6" xfId="3483" xr:uid="{20BBBD07-3199-4D1E-A6B4-3F75A06AE4E3}"/>
    <cellStyle name="Comma 37" xfId="178" xr:uid="{A6953662-5434-4B05-8147-AE1B18B0F6E6}"/>
    <cellStyle name="Comma 37 2" xfId="554" xr:uid="{C90CCDE7-D6C2-448C-AA25-E082B204B227}"/>
    <cellStyle name="Comma 37 2 2" xfId="940" xr:uid="{6E2029E3-2FE3-4ABA-9C89-CF969AF98CF8}"/>
    <cellStyle name="Comma 37 2 2 2" xfId="1751" xr:uid="{633BE134-6B08-4440-A238-9B9410E6EEA8}"/>
    <cellStyle name="Comma 37 2 2 2 2" xfId="3284" xr:uid="{5E96AC20-3339-43FC-A103-406EEEA62675}"/>
    <cellStyle name="Comma 37 2 2 3" xfId="2518" xr:uid="{E5B1331F-B551-4F30-BC0A-4BF7DFF18884}"/>
    <cellStyle name="Comma 37 2 2 4" xfId="4083" xr:uid="{AE6929DE-84A2-4013-9C4B-FA2D763EE5FD}"/>
    <cellStyle name="Comma 37 2 3" xfId="1370" xr:uid="{7B59F6B7-A2E6-4AE5-B6C9-FB75F1616C3E}"/>
    <cellStyle name="Comma 37 2 3 2" xfId="2903" xr:uid="{28A676CB-B2C6-495E-AF84-6CCC800D93EC}"/>
    <cellStyle name="Comma 37 2 4" xfId="2137" xr:uid="{7B8E61A5-1B0B-41FC-8A6C-3E77BD793A9D}"/>
    <cellStyle name="Comma 37 2 5" xfId="3672" xr:uid="{59AFA84D-6DFE-4A9A-B18F-06964230080C}"/>
    <cellStyle name="Comma 37 3" xfId="754" xr:uid="{E866D9ED-21C4-45CE-B577-E0A93C1DFECA}"/>
    <cellStyle name="Comma 37 3 2" xfId="1565" xr:uid="{1EDCC782-02BD-4674-9191-1A86969664D8}"/>
    <cellStyle name="Comma 37 3 2 2" xfId="3098" xr:uid="{AA1F2B72-8AA1-4A86-823D-610ED50231B5}"/>
    <cellStyle name="Comma 37 3 3" xfId="2332" xr:uid="{A45A215E-8CC0-4AA2-B3BB-3A5E2B07C924}"/>
    <cellStyle name="Comma 37 3 4" xfId="3897" xr:uid="{D60FC381-9EE8-4AC9-AE98-6719D9AB3257}"/>
    <cellStyle name="Comma 37 4" xfId="1184" xr:uid="{C16DE576-B969-4E78-8D2C-A57B3B64FC39}"/>
    <cellStyle name="Comma 37 4 2" xfId="2717" xr:uid="{B0E6C714-57B1-402D-8534-BCC522C18822}"/>
    <cellStyle name="Comma 37 5" xfId="1951" xr:uid="{64B4D65F-5354-4644-8DE5-58DE3DE2C50B}"/>
    <cellStyle name="Comma 37 6" xfId="3486" xr:uid="{3765FF54-8EB6-4953-ADD4-EAA7CC99F940}"/>
    <cellStyle name="Comma 38" xfId="179" xr:uid="{38DD8A28-7A88-430A-B860-1A82C43D1D71}"/>
    <cellStyle name="Comma 38 2" xfId="555" xr:uid="{5E11E2E0-280D-41E5-A10A-8E99EED45BCA}"/>
    <cellStyle name="Comma 38 2 2" xfId="941" xr:uid="{5A9D80E2-9C37-4B4A-BC95-76DD82115293}"/>
    <cellStyle name="Comma 38 2 2 2" xfId="1752" xr:uid="{13DE8D13-83B6-4D25-9DCF-F2D7EFA5DD45}"/>
    <cellStyle name="Comma 38 2 2 2 2" xfId="3285" xr:uid="{5D7FBBF7-C911-4F19-B242-AADAB6D83EEF}"/>
    <cellStyle name="Comma 38 2 2 3" xfId="2519" xr:uid="{96206AF0-49BE-4086-A970-FF94295130D4}"/>
    <cellStyle name="Comma 38 2 2 4" xfId="4084" xr:uid="{A3D8E841-39FA-40E0-825F-16695BF5E2AD}"/>
    <cellStyle name="Comma 38 2 3" xfId="1371" xr:uid="{25ED222B-8E38-4B63-A242-8EAAF6B11036}"/>
    <cellStyle name="Comma 38 2 3 2" xfId="2904" xr:uid="{19C5E8DC-3944-4941-89BB-DC50B94FA5A3}"/>
    <cellStyle name="Comma 38 2 4" xfId="2138" xr:uid="{AF3F7018-295A-4D6E-B9E8-DA3A09A69C33}"/>
    <cellStyle name="Comma 38 2 5" xfId="3673" xr:uid="{B26BA73A-7B62-41EC-BCCE-A78F75B476D2}"/>
    <cellStyle name="Comma 38 3" xfId="755" xr:uid="{999FBAB9-D6A5-42C1-B546-6729E35EB942}"/>
    <cellStyle name="Comma 38 3 2" xfId="1566" xr:uid="{2EE43BA7-4761-49C0-8F98-10B9651DA715}"/>
    <cellStyle name="Comma 38 3 2 2" xfId="3099" xr:uid="{92C91354-37F6-4BE1-9542-F9DAB072E1D4}"/>
    <cellStyle name="Comma 38 3 3" xfId="2333" xr:uid="{DAC86252-D07E-40A7-BA6B-B0902C173426}"/>
    <cellStyle name="Comma 38 3 4" xfId="3898" xr:uid="{CEB2565C-574F-4ECB-8842-F3B7F68103C7}"/>
    <cellStyle name="Comma 38 4" xfId="1185" xr:uid="{A9F7D72F-B85A-4DD7-A5F9-DB35555D35EB}"/>
    <cellStyle name="Comma 38 4 2" xfId="2718" xr:uid="{E972B609-4CD4-46CF-8F39-B11EC684B339}"/>
    <cellStyle name="Comma 38 5" xfId="1952" xr:uid="{16060713-AAEB-4C0E-A04E-6CFDEA3F94B4}"/>
    <cellStyle name="Comma 38 6" xfId="3487" xr:uid="{7AAC38B2-FFC6-45B8-81D5-8BF8680C4D67}"/>
    <cellStyle name="Comma 39" xfId="188" xr:uid="{22424ECF-B22A-4444-B7B6-C1C705592DB0}"/>
    <cellStyle name="Comma 39 2" xfId="561" xr:uid="{35E345E0-F9B7-42AB-B74E-5DE84671BE6B}"/>
    <cellStyle name="Comma 39 2 2" xfId="947" xr:uid="{1D0022FB-283C-47BF-ADB4-127CF1D363A3}"/>
    <cellStyle name="Comma 39 2 2 2" xfId="1758" xr:uid="{EB580CBB-B691-415B-AB27-BCA740E1C92F}"/>
    <cellStyle name="Comma 39 2 2 2 2" xfId="3291" xr:uid="{E1383952-19F9-48EF-B590-A18CEB1B2204}"/>
    <cellStyle name="Comma 39 2 2 3" xfId="2525" xr:uid="{CF827137-4925-4FBB-A537-4BA89C0A0FE9}"/>
    <cellStyle name="Comma 39 2 2 4" xfId="4090" xr:uid="{1870BEB3-4983-4BF6-AAD3-FC9B6F7390EF}"/>
    <cellStyle name="Comma 39 2 3" xfId="1377" xr:uid="{6A7593CA-D483-46EF-BE4F-1A4EC2112E4C}"/>
    <cellStyle name="Comma 39 2 3 2" xfId="2910" xr:uid="{EA7174C0-B41D-4993-8676-DAF3C9D9FE3D}"/>
    <cellStyle name="Comma 39 2 4" xfId="2144" xr:uid="{DBCF4C5B-72B5-4B66-A5CE-BF78C314A258}"/>
    <cellStyle name="Comma 39 2 5" xfId="3679" xr:uid="{1A2E08CC-EED9-4D3F-9FDC-39921FF9B2EE}"/>
    <cellStyle name="Comma 39 3" xfId="761" xr:uid="{AB94F3E7-2984-4A27-A2A8-688695A7DF9F}"/>
    <cellStyle name="Comma 39 3 2" xfId="1572" xr:uid="{83C46841-B41D-4EBA-96F5-9049F6D558B9}"/>
    <cellStyle name="Comma 39 3 2 2" xfId="3105" xr:uid="{4BA616B9-823C-4545-A7CE-79AC086FB808}"/>
    <cellStyle name="Comma 39 3 3" xfId="2339" xr:uid="{0EB2BCE6-BB35-491D-BA66-0E5E9E0A49A5}"/>
    <cellStyle name="Comma 39 3 4" xfId="3904" xr:uid="{8DC0F79B-5109-4CDD-8D32-A030115D8B77}"/>
    <cellStyle name="Comma 39 4" xfId="1191" xr:uid="{A0A8EAC7-1E4F-468B-A91F-BCCAEEE2D6EB}"/>
    <cellStyle name="Comma 39 4 2" xfId="2724" xr:uid="{D11208B4-24AC-4B74-8F97-598544E7C706}"/>
    <cellStyle name="Comma 39 5" xfId="1958" xr:uid="{F74BB1B7-51A9-4EEB-89AC-0E53C20F2C1E}"/>
    <cellStyle name="Comma 39 6" xfId="3493" xr:uid="{286C45E4-21AF-4A4D-AA94-42638D9F91D2}"/>
    <cellStyle name="Comma 4" xfId="139" xr:uid="{AD5A094D-0EA8-4B60-8C40-B7D217227996}"/>
    <cellStyle name="Comma 4 2" xfId="525" xr:uid="{24E02967-DC2C-4ECF-9BC9-141C9543F856}"/>
    <cellStyle name="Comma 4 2 2" xfId="911" xr:uid="{CF6D1BF3-90EF-4946-8D30-E944E0B6F499}"/>
    <cellStyle name="Comma 4 2 2 2" xfId="1722" xr:uid="{AE2A5FB8-66AE-411D-B188-18D47DA71795}"/>
    <cellStyle name="Comma 4 2 2 2 2" xfId="3255" xr:uid="{D4197A5C-A563-42A9-A080-A382570A5AED}"/>
    <cellStyle name="Comma 4 2 2 3" xfId="2489" xr:uid="{CADA941B-F3E6-44B0-92EE-6819F6CC9BBE}"/>
    <cellStyle name="Comma 4 2 2 4" xfId="4054" xr:uid="{72C7ADD8-B630-4C45-8B24-B4D0309CB59D}"/>
    <cellStyle name="Comma 4 2 3" xfId="1341" xr:uid="{21C966B6-460E-4C13-A203-429957B70E2A}"/>
    <cellStyle name="Comma 4 2 3 2" xfId="2874" xr:uid="{20A641F3-0738-4E92-9697-CDA663D6003E}"/>
    <cellStyle name="Comma 4 2 4" xfId="2108" xr:uid="{2E893E2E-F207-49DD-8981-5E3D4FB39459}"/>
    <cellStyle name="Comma 4 2 5" xfId="3643" xr:uid="{05AB1FA2-95CD-43FD-ADE1-4F03752AD9ED}"/>
    <cellStyle name="Comma 4 3" xfId="725" xr:uid="{8A6A1171-B5EB-4883-B13C-391EAD267BF4}"/>
    <cellStyle name="Comma 4 3 2" xfId="1536" xr:uid="{513E4A20-3B21-47FA-AD84-E59AAFDD7606}"/>
    <cellStyle name="Comma 4 3 2 2" xfId="3069" xr:uid="{F5694179-8AEF-4366-8702-9C72D8B725DF}"/>
    <cellStyle name="Comma 4 3 3" xfId="2303" xr:uid="{5C2CED91-44AA-480C-BE92-16E3820890C3}"/>
    <cellStyle name="Comma 4 3 4" xfId="3868" xr:uid="{5E040B89-4141-423D-8AB7-EC185D2EF0A7}"/>
    <cellStyle name="Comma 4 4" xfId="1155" xr:uid="{8C669634-7B6F-4D34-8639-AFB6DCE7AFE4}"/>
    <cellStyle name="Comma 4 4 2" xfId="2688" xr:uid="{06B910DE-A942-46B7-93DF-2EED0D885AD4}"/>
    <cellStyle name="Comma 4 5" xfId="1922" xr:uid="{FAF9BF16-47E1-47A3-8997-AE4E6316BF0B}"/>
    <cellStyle name="Comma 4 6" xfId="3457" xr:uid="{EB004E41-67AF-4D31-AA51-7325B283A5EB}"/>
    <cellStyle name="Comma 40" xfId="194" xr:uid="{378AE08D-B7B0-44E9-B4DC-F66E0AB078A7}"/>
    <cellStyle name="Comma 40 2" xfId="565" xr:uid="{442611C5-346C-4117-9C00-B0006780868F}"/>
    <cellStyle name="Comma 40 2 2" xfId="951" xr:uid="{51C47D0F-0834-4632-A39C-E4A384ADC347}"/>
    <cellStyle name="Comma 40 2 2 2" xfId="1762" xr:uid="{E228E218-0B03-4EBD-B919-62660DB25AE5}"/>
    <cellStyle name="Comma 40 2 2 2 2" xfId="3295" xr:uid="{57919401-1909-49F5-A3D7-A1918F6D0D5D}"/>
    <cellStyle name="Comma 40 2 2 3" xfId="2529" xr:uid="{62EFF72F-584F-4BF3-9F7A-B95DAE9FB4D5}"/>
    <cellStyle name="Comma 40 2 2 4" xfId="4094" xr:uid="{13B0FB89-C9F7-435B-BCFA-158AC81E3E8E}"/>
    <cellStyle name="Comma 40 2 3" xfId="1381" xr:uid="{AE0AF72F-9D63-48BA-98C8-01B14D439D60}"/>
    <cellStyle name="Comma 40 2 3 2" xfId="2914" xr:uid="{73D732ED-9D50-49E4-84FA-E8774CDB2ABA}"/>
    <cellStyle name="Comma 40 2 4" xfId="2148" xr:uid="{80978FF0-4533-40E8-8199-75D167F966CE}"/>
    <cellStyle name="Comma 40 2 5" xfId="3683" xr:uid="{7CD20BC0-7D2E-4A07-A0F7-ECE669151D55}"/>
    <cellStyle name="Comma 40 3" xfId="765" xr:uid="{118F8FBB-FC78-4903-B762-E3942E57B87F}"/>
    <cellStyle name="Comma 40 3 2" xfId="1576" xr:uid="{B4704631-5DE4-428E-893B-5DB8DD84AA82}"/>
    <cellStyle name="Comma 40 3 2 2" xfId="3109" xr:uid="{0A853790-764E-4CCF-833C-BE5422E003F4}"/>
    <cellStyle name="Comma 40 3 3" xfId="2343" xr:uid="{EFB45987-0282-4A88-8216-C5945D07AEF4}"/>
    <cellStyle name="Comma 40 3 4" xfId="3908" xr:uid="{808DB79A-7CE4-4F2F-A966-8B8CBAF98CC6}"/>
    <cellStyle name="Comma 40 4" xfId="1195" xr:uid="{0303373E-C8E6-4F3A-9340-E82BF6E3FF26}"/>
    <cellStyle name="Comma 40 4 2" xfId="2728" xr:uid="{438E7B35-E06C-4E68-A857-80231A9E90DF}"/>
    <cellStyle name="Comma 40 5" xfId="1962" xr:uid="{6DC1D168-7D83-43B2-AE23-B1D7C7841511}"/>
    <cellStyle name="Comma 40 6" xfId="3497" xr:uid="{0AFB4BE6-051A-489D-AA6A-5AEF2562931E}"/>
    <cellStyle name="Comma 41" xfId="189" xr:uid="{E66EC576-FE34-474F-B675-C48802C41285}"/>
    <cellStyle name="Comma 41 2" xfId="562" xr:uid="{5B50F3ED-0EEE-4F88-B49F-0DCA134830F5}"/>
    <cellStyle name="Comma 41 2 2" xfId="948" xr:uid="{01E60CA3-AFF4-4833-B8F7-A9179954CBC2}"/>
    <cellStyle name="Comma 41 2 2 2" xfId="1759" xr:uid="{4A686274-66AA-4564-806E-416CE2C57CE3}"/>
    <cellStyle name="Comma 41 2 2 2 2" xfId="3292" xr:uid="{3C4F2FF2-7BDA-496D-B58F-E0B5D6331E9A}"/>
    <cellStyle name="Comma 41 2 2 3" xfId="2526" xr:uid="{8553119C-0B10-44E5-81F4-97DF879E5332}"/>
    <cellStyle name="Comma 41 2 2 4" xfId="4091" xr:uid="{9EDA322C-3577-4083-A3B8-D83182FCFC2D}"/>
    <cellStyle name="Comma 41 2 3" xfId="1378" xr:uid="{A7B199ED-C4D7-4782-9A58-772C00A1FED8}"/>
    <cellStyle name="Comma 41 2 3 2" xfId="2911" xr:uid="{2C89FB82-64E9-43FE-8AAF-A20447AEA94E}"/>
    <cellStyle name="Comma 41 2 4" xfId="2145" xr:uid="{B08061FA-0043-4772-B60C-2B0D2AD7451D}"/>
    <cellStyle name="Comma 41 2 5" xfId="3680" xr:uid="{772B3030-3438-4CAB-B22C-F00060CEBB5B}"/>
    <cellStyle name="Comma 41 3" xfId="762" xr:uid="{0B3545F5-34C4-4C73-B6AB-564604040B2F}"/>
    <cellStyle name="Comma 41 3 2" xfId="1573" xr:uid="{A536C164-EE1A-477E-9F08-FE34FE088B4E}"/>
    <cellStyle name="Comma 41 3 2 2" xfId="3106" xr:uid="{8132FC37-7430-488A-8170-0822FF9F6198}"/>
    <cellStyle name="Comma 41 3 3" xfId="2340" xr:uid="{24336F4A-B5E9-4158-AA23-75F23024AEDC}"/>
    <cellStyle name="Comma 41 3 4" xfId="3905" xr:uid="{23704FA2-B580-4BBC-B2A5-A9834171508D}"/>
    <cellStyle name="Comma 41 4" xfId="1192" xr:uid="{5F6A9DC7-7436-470C-8F13-9F79E66A42D0}"/>
    <cellStyle name="Comma 41 4 2" xfId="2725" xr:uid="{1C9B812C-F431-4229-9D8E-50CD31058EA7}"/>
    <cellStyle name="Comma 41 5" xfId="1959" xr:uid="{B2B38258-D21C-4673-9DCD-1637158E4885}"/>
    <cellStyle name="Comma 41 6" xfId="3494" xr:uid="{F5570E5F-6222-453B-B4CD-A56E15AC2F48}"/>
    <cellStyle name="Comma 42" xfId="191" xr:uid="{8D391F01-814F-4CB0-B3CB-F11C0E26DFFF}"/>
    <cellStyle name="Comma 42 2" xfId="563" xr:uid="{EDEB23B3-508E-42FF-8AB9-919810758C3A}"/>
    <cellStyle name="Comma 42 2 2" xfId="949" xr:uid="{A393D662-FE83-43A3-BB26-5FC9FD40C3FB}"/>
    <cellStyle name="Comma 42 2 2 2" xfId="1760" xr:uid="{6607C75D-513E-4474-BECD-059ED534C3B1}"/>
    <cellStyle name="Comma 42 2 2 2 2" xfId="3293" xr:uid="{B42F688E-4567-48AB-A7DC-8893E2764CBA}"/>
    <cellStyle name="Comma 42 2 2 3" xfId="2527" xr:uid="{2017287B-DCF7-4301-8CDE-573AACA23646}"/>
    <cellStyle name="Comma 42 2 2 4" xfId="4092" xr:uid="{B2376FF6-9D47-4064-B8E2-DA7886C9A149}"/>
    <cellStyle name="Comma 42 2 3" xfId="1379" xr:uid="{A810C605-D0BF-41D9-8AA6-3A96A3BEC6C3}"/>
    <cellStyle name="Comma 42 2 3 2" xfId="2912" xr:uid="{B9520756-A7B1-423D-BC4A-EFF8941E93CE}"/>
    <cellStyle name="Comma 42 2 4" xfId="2146" xr:uid="{AFEE2A13-85CD-424B-A30C-A1172ED1D9F1}"/>
    <cellStyle name="Comma 42 2 5" xfId="3681" xr:uid="{82288021-38D2-4CE5-8107-5630B43DFC82}"/>
    <cellStyle name="Comma 42 3" xfId="763" xr:uid="{83AD9158-13C6-4294-B493-0BD51D96977A}"/>
    <cellStyle name="Comma 42 3 2" xfId="1574" xr:uid="{DF9F9F0E-C723-4B18-9BF5-AC2E64B24BD6}"/>
    <cellStyle name="Comma 42 3 2 2" xfId="3107" xr:uid="{D5BEA959-8E81-4093-B0AF-047EABFC1B7F}"/>
    <cellStyle name="Comma 42 3 3" xfId="2341" xr:uid="{382A433F-0DCF-4B22-9AA9-1CCEAD7FFFC9}"/>
    <cellStyle name="Comma 42 3 4" xfId="3906" xr:uid="{F6BD5BDA-520A-4C0A-9D62-1AA8F286E49E}"/>
    <cellStyle name="Comma 42 4" xfId="1193" xr:uid="{181A477E-8F84-4A87-BB86-0137E2F30D84}"/>
    <cellStyle name="Comma 42 4 2" xfId="2726" xr:uid="{3687F7E2-D1AB-4741-9CED-98D8C7FB8E7D}"/>
    <cellStyle name="Comma 42 5" xfId="1960" xr:uid="{54EB55F6-AB3E-4794-8E2C-45CCC20B9C3C}"/>
    <cellStyle name="Comma 42 6" xfId="3495" xr:uid="{7E799303-E438-44B3-B052-8F5C7A73AECF}"/>
    <cellStyle name="Comma 43" xfId="185" xr:uid="{2A5D7BC9-2F3A-4F9F-B135-7B90383A298A}"/>
    <cellStyle name="Comma 43 2" xfId="559" xr:uid="{F22FA88A-2263-4EB2-9668-0117396FFCFD}"/>
    <cellStyle name="Comma 43 2 2" xfId="945" xr:uid="{4F304BE0-BC80-4DF4-9950-9519D1B6F4A0}"/>
    <cellStyle name="Comma 43 2 2 2" xfId="1756" xr:uid="{AB0B82D7-2683-4895-893E-1026079C8B04}"/>
    <cellStyle name="Comma 43 2 2 2 2" xfId="3289" xr:uid="{25CA4221-CB72-4625-8598-AFB153B58FB6}"/>
    <cellStyle name="Comma 43 2 2 3" xfId="2523" xr:uid="{1FD61E93-1FD3-4849-A772-87552E7F40BE}"/>
    <cellStyle name="Comma 43 2 2 4" xfId="4088" xr:uid="{6F0C9FEB-8DF2-4EA3-96F7-196E87449401}"/>
    <cellStyle name="Comma 43 2 3" xfId="1375" xr:uid="{35A07D34-6729-43B0-B523-B8DE33C54D05}"/>
    <cellStyle name="Comma 43 2 3 2" xfId="2908" xr:uid="{9AB50F27-66C6-400B-94F8-1927E1C340FB}"/>
    <cellStyle name="Comma 43 2 4" xfId="2142" xr:uid="{D6115ED0-6B7B-4FC2-BD34-A11756435D49}"/>
    <cellStyle name="Comma 43 2 5" xfId="3677" xr:uid="{7EC2C2A0-2106-44DD-B786-DA15F0564C70}"/>
    <cellStyle name="Comma 43 3" xfId="759" xr:uid="{3EED1932-FA42-4AFC-B3D3-AD8681C91CE9}"/>
    <cellStyle name="Comma 43 3 2" xfId="1570" xr:uid="{CA90893A-F992-4891-8071-A62ACA74725E}"/>
    <cellStyle name="Comma 43 3 2 2" xfId="3103" xr:uid="{78EEE8C5-BE28-46A7-9C94-63C1FB9835A5}"/>
    <cellStyle name="Comma 43 3 3" xfId="2337" xr:uid="{195F3D3C-412D-4745-BCBF-D4DE65AC826D}"/>
    <cellStyle name="Comma 43 3 4" xfId="3902" xr:uid="{8DD94E2F-92F3-40DE-862E-504B93A97F4E}"/>
    <cellStyle name="Comma 43 4" xfId="1189" xr:uid="{AD4489F2-6E08-4AE1-ABFF-864E32146855}"/>
    <cellStyle name="Comma 43 4 2" xfId="2722" xr:uid="{FBDA5A0A-AF3E-4CFD-AAAD-ADA9E00663F1}"/>
    <cellStyle name="Comma 43 5" xfId="1956" xr:uid="{12A73103-F8EC-4C5E-891F-342608D8D82F}"/>
    <cellStyle name="Comma 43 6" xfId="3491" xr:uid="{17E069A2-A627-4BDE-93A4-E311096B25BD}"/>
    <cellStyle name="Comma 44" xfId="198" xr:uid="{D302294D-B1FE-44E9-86E9-97ED53D77393}"/>
    <cellStyle name="Comma 44 2" xfId="568" xr:uid="{D8B1FE11-33DA-49F4-A133-8CD5DF7916BD}"/>
    <cellStyle name="Comma 44 2 2" xfId="954" xr:uid="{DA17C14C-C493-42A2-9F26-D84A2EE78611}"/>
    <cellStyle name="Comma 44 2 2 2" xfId="1765" xr:uid="{7536EBDC-2EA4-4E52-8408-073DAAD68D1B}"/>
    <cellStyle name="Comma 44 2 2 2 2" xfId="3298" xr:uid="{C2AD8F7A-AC05-4DFE-9F93-22A3A1300F5A}"/>
    <cellStyle name="Comma 44 2 2 3" xfId="2532" xr:uid="{47E712D8-2D7C-4DAF-BBDE-B945B507111D}"/>
    <cellStyle name="Comma 44 2 2 4" xfId="4097" xr:uid="{9A0D3D6B-A0A8-48D1-B653-1E5FE1CD0B10}"/>
    <cellStyle name="Comma 44 2 3" xfId="1384" xr:uid="{9024773C-4931-40AD-B182-CE928595DEA2}"/>
    <cellStyle name="Comma 44 2 3 2" xfId="2917" xr:uid="{64010161-5250-4FDD-91C5-30104014308E}"/>
    <cellStyle name="Comma 44 2 4" xfId="2151" xr:uid="{825D3A1C-2B16-433A-82C1-FFE9510E87EF}"/>
    <cellStyle name="Comma 44 2 5" xfId="3686" xr:uid="{972491B4-6A50-4C74-800F-73BE97C42D0A}"/>
    <cellStyle name="Comma 44 3" xfId="768" xr:uid="{00ECF72D-7D71-4765-9FFA-17C447E1B20D}"/>
    <cellStyle name="Comma 44 3 2" xfId="1579" xr:uid="{9C81B5C5-D927-4513-A7C1-94F7BEC61F56}"/>
    <cellStyle name="Comma 44 3 2 2" xfId="3112" xr:uid="{5A33BBD1-496F-4911-A0A8-455F5B7ACA2F}"/>
    <cellStyle name="Comma 44 3 3" xfId="2346" xr:uid="{82786BF2-3F14-4423-B13A-0D7E9C0DDF6D}"/>
    <cellStyle name="Comma 44 3 4" xfId="3911" xr:uid="{BC348EA8-46F1-4C63-811C-3D15A739100C}"/>
    <cellStyle name="Comma 44 4" xfId="1198" xr:uid="{AB108E96-DDE5-4737-846B-42ADDDA09358}"/>
    <cellStyle name="Comma 44 4 2" xfId="2731" xr:uid="{F2DECF43-B04C-46E6-AC8B-A2FCB45A3396}"/>
    <cellStyle name="Comma 44 5" xfId="1965" xr:uid="{91AE9375-FA3C-4F12-B88D-6003CA692675}"/>
    <cellStyle name="Comma 44 6" xfId="3500" xr:uid="{873F6DC0-A844-4AA1-97D2-44A701EF9D4F}"/>
    <cellStyle name="Comma 45" xfId="197" xr:uid="{9B3E84B8-63FE-41CD-A9C2-6CE12222BF3F}"/>
    <cellStyle name="Comma 45 2" xfId="567" xr:uid="{3232E87C-0197-43A1-BBF2-8C1B090358B2}"/>
    <cellStyle name="Comma 45 2 2" xfId="953" xr:uid="{E607CF12-FE5F-4011-B73E-F643BB15104D}"/>
    <cellStyle name="Comma 45 2 2 2" xfId="1764" xr:uid="{50B834EE-FEC6-45D8-9B21-2EAE18A60A6E}"/>
    <cellStyle name="Comma 45 2 2 2 2" xfId="3297" xr:uid="{95FA52C9-A932-41B0-9522-1A513BDAC6E3}"/>
    <cellStyle name="Comma 45 2 2 3" xfId="2531" xr:uid="{C77442D4-E738-416C-9EC3-E9CD5D1AF0DD}"/>
    <cellStyle name="Comma 45 2 2 4" xfId="4096" xr:uid="{0D9599EB-E3C7-43F0-8E25-02753FC019EF}"/>
    <cellStyle name="Comma 45 2 3" xfId="1383" xr:uid="{FE2E36D0-18D6-4D11-AB5C-AC0F2DACB208}"/>
    <cellStyle name="Comma 45 2 3 2" xfId="2916" xr:uid="{DBEB0654-F3B9-4A87-84F1-DAD9B4671EDF}"/>
    <cellStyle name="Comma 45 2 4" xfId="2150" xr:uid="{9C663CC9-40C1-4E38-AEFA-44981D1B8F45}"/>
    <cellStyle name="Comma 45 2 5" xfId="3685" xr:uid="{DB3318AC-92AD-4C94-AE96-E898DB6C8A5D}"/>
    <cellStyle name="Comma 45 3" xfId="767" xr:uid="{F2B687BC-4792-4436-804A-DF82709ACF4C}"/>
    <cellStyle name="Comma 45 3 2" xfId="1578" xr:uid="{224D9991-DEB4-49F1-AB43-4CB8A45CD35B}"/>
    <cellStyle name="Comma 45 3 2 2" xfId="3111" xr:uid="{6E94611A-182A-4055-BF69-A934522EDA58}"/>
    <cellStyle name="Comma 45 3 3" xfId="2345" xr:uid="{F6A993C2-C81A-41D8-BA6F-9B8F0FF962C7}"/>
    <cellStyle name="Comma 45 3 4" xfId="3910" xr:uid="{B51B61D6-F995-4B90-8B8B-798808240B3D}"/>
    <cellStyle name="Comma 45 4" xfId="1197" xr:uid="{D35776CF-6558-4ADF-9F48-8E525F5F814B}"/>
    <cellStyle name="Comma 45 4 2" xfId="2730" xr:uid="{C2513E34-5177-4421-AD50-4F948603AE0D}"/>
    <cellStyle name="Comma 45 5" xfId="1964" xr:uid="{8D8FB6E9-149A-45B6-8639-5CCA49EB53AF}"/>
    <cellStyle name="Comma 45 6" xfId="3499" xr:uid="{23CA2675-74DC-4675-81AE-8108C15AC144}"/>
    <cellStyle name="Comma 46" xfId="195" xr:uid="{69DCB3DB-27BB-4FAD-8F6D-FC180B3A3627}"/>
    <cellStyle name="Comma 46 2" xfId="566" xr:uid="{C1150DD5-C98C-4C25-9270-749BCD6F2BCB}"/>
    <cellStyle name="Comma 46 2 2" xfId="952" xr:uid="{C6FA725E-EABB-4DE1-933C-4717D5AC6AE0}"/>
    <cellStyle name="Comma 46 2 2 2" xfId="1763" xr:uid="{8DD753AD-4A66-4382-9974-1AC87D193467}"/>
    <cellStyle name="Comma 46 2 2 2 2" xfId="3296" xr:uid="{0648FF60-3AFB-4CDE-A63C-C8107A84095B}"/>
    <cellStyle name="Comma 46 2 2 3" xfId="2530" xr:uid="{E5BA3A77-10F1-4854-A0F1-0978FE3328A0}"/>
    <cellStyle name="Comma 46 2 2 4" xfId="4095" xr:uid="{90891E1D-040D-4F6A-80E0-40A5F7172BCA}"/>
    <cellStyle name="Comma 46 2 3" xfId="1382" xr:uid="{0411D8A7-78A3-40A1-ADA4-274F26EF5C2F}"/>
    <cellStyle name="Comma 46 2 3 2" xfId="2915" xr:uid="{7A7C6ED1-136F-4744-8A00-79815C1C3605}"/>
    <cellStyle name="Comma 46 2 4" xfId="2149" xr:uid="{253C7A13-A460-4FE4-8006-05E5D182E886}"/>
    <cellStyle name="Comma 46 2 5" xfId="3684" xr:uid="{1DAD4187-F1FD-42CF-B751-B6D411CAD9D0}"/>
    <cellStyle name="Comma 46 3" xfId="766" xr:uid="{6DAE5A1B-45DF-461E-A3D9-C61560D674E5}"/>
    <cellStyle name="Comma 46 3 2" xfId="1577" xr:uid="{08642D9F-33DA-42B3-985E-EA24F397352E}"/>
    <cellStyle name="Comma 46 3 2 2" xfId="3110" xr:uid="{BFEBDCB8-3531-41B7-9416-DC758C0FCAAD}"/>
    <cellStyle name="Comma 46 3 3" xfId="2344" xr:uid="{600624B7-F3D0-4881-A534-2389E851C20C}"/>
    <cellStyle name="Comma 46 3 4" xfId="3909" xr:uid="{D9B5CDD4-12E9-47D8-919B-0D7F4915928D}"/>
    <cellStyle name="Comma 46 4" xfId="1196" xr:uid="{12769893-B149-43F7-BAFB-67D17903FF62}"/>
    <cellStyle name="Comma 46 4 2" xfId="2729" xr:uid="{CC9FA047-4D37-4B68-BF9F-7B96C09D6D69}"/>
    <cellStyle name="Comma 46 5" xfId="1963" xr:uid="{EDF60D3A-5A8F-4DB1-9F8B-D0503DC6817B}"/>
    <cellStyle name="Comma 46 6" xfId="3498" xr:uid="{079D619D-9D76-4440-B718-FC4AC5E0F431}"/>
    <cellStyle name="Comma 47" xfId="193" xr:uid="{FF7071DD-9ED7-444C-BEB6-A7DFF25FE9AF}"/>
    <cellStyle name="Comma 47 2" xfId="564" xr:uid="{7232B05C-5AD3-4434-8C72-EEFC69104130}"/>
    <cellStyle name="Comma 47 2 2" xfId="950" xr:uid="{A5686C2F-850D-44C6-A796-A7E607553191}"/>
    <cellStyle name="Comma 47 2 2 2" xfId="1761" xr:uid="{CBFFF403-7878-4D47-983C-8BB5480261D0}"/>
    <cellStyle name="Comma 47 2 2 2 2" xfId="3294" xr:uid="{75DBAB25-F5F5-4C1D-8353-76075C40D97B}"/>
    <cellStyle name="Comma 47 2 2 3" xfId="2528" xr:uid="{1585885B-BC33-4B40-9A60-F252D7C28E2F}"/>
    <cellStyle name="Comma 47 2 2 4" xfId="4093" xr:uid="{F80784B8-67BB-4259-BFF5-A48718DD3361}"/>
    <cellStyle name="Comma 47 2 3" xfId="1380" xr:uid="{3435D051-0171-4A18-A57C-082CC1F15580}"/>
    <cellStyle name="Comma 47 2 3 2" xfId="2913" xr:uid="{85078D1C-42C8-4017-BC54-FFE34B034ABF}"/>
    <cellStyle name="Comma 47 2 4" xfId="2147" xr:uid="{BA41499D-AD00-4369-9C03-D5A3B2CEEAAB}"/>
    <cellStyle name="Comma 47 2 5" xfId="3682" xr:uid="{ABD6A755-2899-4AF8-AE6F-4AC4A2C8BB83}"/>
    <cellStyle name="Comma 47 3" xfId="764" xr:uid="{0D32B6BD-E753-427C-8377-8961BE99DD2B}"/>
    <cellStyle name="Comma 47 3 2" xfId="1575" xr:uid="{8C50C324-8215-4E9A-91DB-FDAC38482109}"/>
    <cellStyle name="Comma 47 3 2 2" xfId="3108" xr:uid="{96B92755-4E97-4A19-836C-5852288036AF}"/>
    <cellStyle name="Comma 47 3 3" xfId="2342" xr:uid="{B036331E-83E5-4CED-AD5B-D23545DF7347}"/>
    <cellStyle name="Comma 47 3 4" xfId="3907" xr:uid="{9DF2822D-233B-433A-8A54-498D3299FCEB}"/>
    <cellStyle name="Comma 47 4" xfId="1194" xr:uid="{1743707D-2578-41E0-9936-E2639126792C}"/>
    <cellStyle name="Comma 47 4 2" xfId="2727" xr:uid="{929570D2-5DD7-40AF-A775-BC5CABC90878}"/>
    <cellStyle name="Comma 47 5" xfId="1961" xr:uid="{3590A7E7-FB95-4C5C-A23F-A3CB88962E10}"/>
    <cellStyle name="Comma 47 6" xfId="3496" xr:uid="{FA3958EF-5069-4988-AB58-78FB2F3F76CF}"/>
    <cellStyle name="Comma 48" xfId="186" xr:uid="{A8F1AEE9-ECD0-4128-8791-7EAFCECBD954}"/>
    <cellStyle name="Comma 48 2" xfId="560" xr:uid="{A769F2BE-6521-431B-BA5A-9958BA6CC660}"/>
    <cellStyle name="Comma 48 2 2" xfId="946" xr:uid="{159F4807-637B-47F7-91EE-2A74CB9B3015}"/>
    <cellStyle name="Comma 48 2 2 2" xfId="1757" xr:uid="{940D7C1B-C3A0-4C79-8994-48C175C121E2}"/>
    <cellStyle name="Comma 48 2 2 2 2" xfId="3290" xr:uid="{1DDAC95B-2A5B-4A13-B329-16F3A5119C86}"/>
    <cellStyle name="Comma 48 2 2 3" xfId="2524" xr:uid="{9E041B11-0DCF-488B-9F11-FF61C7385DB2}"/>
    <cellStyle name="Comma 48 2 2 4" xfId="4089" xr:uid="{A161CD7B-C4DE-44DE-B133-7836E5FE417E}"/>
    <cellStyle name="Comma 48 2 3" xfId="1376" xr:uid="{896097C3-E429-4423-BF19-7CB01FF80ECF}"/>
    <cellStyle name="Comma 48 2 3 2" xfId="2909" xr:uid="{C0CB4D62-C178-4F53-BB6E-6AF8A58FD438}"/>
    <cellStyle name="Comma 48 2 4" xfId="2143" xr:uid="{80DE8366-BAAB-46AE-B73E-F422E65E840B}"/>
    <cellStyle name="Comma 48 2 5" xfId="3678" xr:uid="{130AB0E7-7646-490A-8D6B-7EEE8C8FA5D3}"/>
    <cellStyle name="Comma 48 3" xfId="760" xr:uid="{048868F2-3445-4E27-8BD4-26ACE834827C}"/>
    <cellStyle name="Comma 48 3 2" xfId="1571" xr:uid="{0DBEFF26-01AC-4C35-A7E1-3FD446890CC4}"/>
    <cellStyle name="Comma 48 3 2 2" xfId="3104" xr:uid="{11B97339-5889-49B1-8731-B936FC6F1846}"/>
    <cellStyle name="Comma 48 3 3" xfId="2338" xr:uid="{9571B6DA-E647-45B0-83EE-4793841FCCA4}"/>
    <cellStyle name="Comma 48 3 4" xfId="3903" xr:uid="{F8F58AF8-443E-4227-9459-32823D670129}"/>
    <cellStyle name="Comma 48 4" xfId="1190" xr:uid="{AB7DD35D-32C9-438D-8C16-B3D961587682}"/>
    <cellStyle name="Comma 48 4 2" xfId="2723" xr:uid="{F4870FA5-CE5B-4CB8-9325-14A71F5275CE}"/>
    <cellStyle name="Comma 48 5" xfId="1957" xr:uid="{DA415977-DC49-4028-8C0E-1F450FF3A7D0}"/>
    <cellStyle name="Comma 48 6" xfId="3492" xr:uid="{D84E213F-E82F-48AB-9944-2D6E53DF1F97}"/>
    <cellStyle name="Comma 49" xfId="184" xr:uid="{1990560F-7EF7-44C7-ACE2-893CBE3DBB36}"/>
    <cellStyle name="Comma 49 2" xfId="558" xr:uid="{087B1AD4-09C3-4CB6-B07C-E03AFA5F7414}"/>
    <cellStyle name="Comma 49 2 2" xfId="944" xr:uid="{9FD4316D-DB89-41FF-A5D1-CAA364ACE7EB}"/>
    <cellStyle name="Comma 49 2 2 2" xfId="1755" xr:uid="{96C6F45D-808D-4280-B8C2-4054DF541158}"/>
    <cellStyle name="Comma 49 2 2 2 2" xfId="3288" xr:uid="{E17A02FD-7F3B-4B34-9B2A-6818E80939C0}"/>
    <cellStyle name="Comma 49 2 2 3" xfId="2522" xr:uid="{D32F195C-0920-4165-A6FA-956528E5CF93}"/>
    <cellStyle name="Comma 49 2 2 4" xfId="4087" xr:uid="{869EA732-D3C5-43B7-B93B-6B12BC3C2C67}"/>
    <cellStyle name="Comma 49 2 3" xfId="1374" xr:uid="{8A2F9BFC-753C-4F58-BCEF-D35CF195A0D1}"/>
    <cellStyle name="Comma 49 2 3 2" xfId="2907" xr:uid="{E1F3EACE-0E13-425C-A0C7-D1D126C9CC0B}"/>
    <cellStyle name="Comma 49 2 4" xfId="2141" xr:uid="{D85994BD-87BC-49BB-ADBA-224EA1BD3307}"/>
    <cellStyle name="Comma 49 2 5" xfId="3676" xr:uid="{20711346-A845-4DFC-B6B1-92D01A6E1DDD}"/>
    <cellStyle name="Comma 49 3" xfId="758" xr:uid="{C0ED55DB-09BA-4B45-BF0B-9BA6D5606177}"/>
    <cellStyle name="Comma 49 3 2" xfId="1569" xr:uid="{E5A8F4D1-5195-496D-9DAA-D483DEDBC839}"/>
    <cellStyle name="Comma 49 3 2 2" xfId="3102" xr:uid="{69E17F1A-7D83-4EA7-A844-A78EC79BD7E5}"/>
    <cellStyle name="Comma 49 3 3" xfId="2336" xr:uid="{8500FE15-756B-4170-B8E1-25711480C992}"/>
    <cellStyle name="Comma 49 3 4" xfId="3901" xr:uid="{B356F2E5-F676-46AE-B736-34CEDC33FFCF}"/>
    <cellStyle name="Comma 49 4" xfId="1188" xr:uid="{8DCD7006-3458-4E16-926A-A7C02E0BFE19}"/>
    <cellStyle name="Comma 49 4 2" xfId="2721" xr:uid="{615A5C93-EB29-4A82-86BA-725F147D9186}"/>
    <cellStyle name="Comma 49 5" xfId="1955" xr:uid="{D17A9A49-98CE-4F54-B6E2-46F21172FCDC}"/>
    <cellStyle name="Comma 49 6" xfId="3490" xr:uid="{B2D99312-9A75-47DC-BA6D-0A9E93B58689}"/>
    <cellStyle name="Comma 5" xfId="137" xr:uid="{C9E97D79-E47D-4FB1-9616-75B0744E5913}"/>
    <cellStyle name="Comma 5 2" xfId="524" xr:uid="{0849AD71-3BB7-42EB-A057-54F71ECD8520}"/>
    <cellStyle name="Comma 5 2 2" xfId="910" xr:uid="{69C0E441-94C8-4BEC-B291-3D6350DB0B0B}"/>
    <cellStyle name="Comma 5 2 2 2" xfId="1721" xr:uid="{C1D12D2E-52C0-4312-9D68-FDD2DC0D54EA}"/>
    <cellStyle name="Comma 5 2 2 2 2" xfId="3254" xr:uid="{EF4819CE-667E-4912-8084-59CEAF49265F}"/>
    <cellStyle name="Comma 5 2 2 3" xfId="2488" xr:uid="{50182C46-2D65-41D2-9A7A-E91DD38A048D}"/>
    <cellStyle name="Comma 5 2 2 4" xfId="4053" xr:uid="{721AA1AD-A905-46D5-AB59-7E52C5A53223}"/>
    <cellStyle name="Comma 5 2 3" xfId="1340" xr:uid="{65CA7347-19F8-4445-A560-675C26C5B2EB}"/>
    <cellStyle name="Comma 5 2 3 2" xfId="2873" xr:uid="{7247D6B3-B450-48CF-B264-EDBA6A11F9AE}"/>
    <cellStyle name="Comma 5 2 4" xfId="2107" xr:uid="{F3C9B1A2-147E-4DB9-96C6-D0311F21E51B}"/>
    <cellStyle name="Comma 5 2 5" xfId="3642" xr:uid="{BA91DA07-9D94-4BC2-9D6E-A70A52094F01}"/>
    <cellStyle name="Comma 5 3" xfId="724" xr:uid="{31FE2D38-D551-4E89-A9B8-F75660E6A720}"/>
    <cellStyle name="Comma 5 3 2" xfId="1535" xr:uid="{90F25686-7F30-45A9-AE80-FDF83C767E36}"/>
    <cellStyle name="Comma 5 3 2 2" xfId="3068" xr:uid="{9A4FC3F2-2D12-4BAD-870F-A25EFBB8F791}"/>
    <cellStyle name="Comma 5 3 3" xfId="2302" xr:uid="{8CFDCE66-9598-4F82-8C4C-496C526CA007}"/>
    <cellStyle name="Comma 5 3 4" xfId="3867" xr:uid="{7D614E5E-84B6-435C-ADCB-68E2B8F91160}"/>
    <cellStyle name="Comma 5 4" xfId="1154" xr:uid="{407F41B1-A9E2-4F34-9A54-64FD65057A3A}"/>
    <cellStyle name="Comma 5 4 2" xfId="2687" xr:uid="{C455626A-884E-4C5C-BF00-9BA771B188AA}"/>
    <cellStyle name="Comma 5 5" xfId="1921" xr:uid="{205D80BF-675D-4827-8FB1-45A522CCE878}"/>
    <cellStyle name="Comma 5 6" xfId="3456" xr:uid="{708A3231-B211-458D-B2EA-077C4517166F}"/>
    <cellStyle name="Comma 50" xfId="203" xr:uid="{177F04F6-A0FA-4139-99B7-C0A75EC09AD4}"/>
    <cellStyle name="Comma 50 2" xfId="571" xr:uid="{D8283FB3-C5BE-4734-8C66-69B8D8E4EAA0}"/>
    <cellStyle name="Comma 50 2 2" xfId="957" xr:uid="{92C56D62-8E41-46B1-86EA-A30C2BF80654}"/>
    <cellStyle name="Comma 50 2 2 2" xfId="1768" xr:uid="{B133A794-3E58-45BF-975F-ACC549C6124D}"/>
    <cellStyle name="Comma 50 2 2 2 2" xfId="3301" xr:uid="{CB174FFF-B16F-4941-A4D1-98B1328556D4}"/>
    <cellStyle name="Comma 50 2 2 3" xfId="2535" xr:uid="{A134FE01-391B-4DFA-AA06-CA749F965F3F}"/>
    <cellStyle name="Comma 50 2 2 4" xfId="4100" xr:uid="{2BFC47C0-DB13-4337-BF56-5D56621D9CC2}"/>
    <cellStyle name="Comma 50 2 3" xfId="1387" xr:uid="{187203BB-7BC4-4B50-A28A-ED8EDFFB6568}"/>
    <cellStyle name="Comma 50 2 3 2" xfId="2920" xr:uid="{36A83A5B-EFC5-4674-B0FF-49282DFE27FF}"/>
    <cellStyle name="Comma 50 2 4" xfId="2154" xr:uid="{E19058B7-E5FA-4137-AE43-C5CE758CE2C2}"/>
    <cellStyle name="Comma 50 2 5" xfId="3689" xr:uid="{C94B1F43-9E85-4148-9101-214FF5822064}"/>
    <cellStyle name="Comma 50 3" xfId="771" xr:uid="{35B883BB-7A1C-4DB8-856C-132FD76C3AAA}"/>
    <cellStyle name="Comma 50 3 2" xfId="1582" xr:uid="{325B1EFE-E0F3-4C60-BA96-D3C9CE1C4D16}"/>
    <cellStyle name="Comma 50 3 2 2" xfId="3115" xr:uid="{CE82F696-25D7-41F3-93EA-3628E97A9F62}"/>
    <cellStyle name="Comma 50 3 3" xfId="2349" xr:uid="{B79F8244-509E-49AA-960F-18E0CDE1D19F}"/>
    <cellStyle name="Comma 50 3 4" xfId="3914" xr:uid="{56E583F9-6127-4380-B06C-A4AD4E51213B}"/>
    <cellStyle name="Comma 50 4" xfId="1201" xr:uid="{6ED3F4A4-A9E4-4BE0-AB48-9A236F36FC7F}"/>
    <cellStyle name="Comma 50 4 2" xfId="2734" xr:uid="{1C591AB9-283D-46FC-AFE9-80CC37281B73}"/>
    <cellStyle name="Comma 50 5" xfId="1968" xr:uid="{669F9530-DD09-4C59-838A-302B338DF586}"/>
    <cellStyle name="Comma 50 6" xfId="3503" xr:uid="{F970B1C3-8D54-44A1-BBDA-653FBDAE1CDC}"/>
    <cellStyle name="Comma 51" xfId="201" xr:uid="{BCEB2F6A-D308-4898-95C0-58A8865389F6}"/>
    <cellStyle name="Comma 51 2" xfId="570" xr:uid="{57FB22C9-E411-48A6-AF72-76C07000984B}"/>
    <cellStyle name="Comma 51 2 2" xfId="956" xr:uid="{752E1090-7AB6-42CB-8CE4-0A424088E0B4}"/>
    <cellStyle name="Comma 51 2 2 2" xfId="1767" xr:uid="{5BD78AC0-520C-47AA-ABD0-0E5645F00F58}"/>
    <cellStyle name="Comma 51 2 2 2 2" xfId="3300" xr:uid="{6AC14383-2F48-4727-AED3-FE5CA3F5ACEF}"/>
    <cellStyle name="Comma 51 2 2 3" xfId="2534" xr:uid="{100CECE4-4B98-4AD7-934C-C7515CC1A63B}"/>
    <cellStyle name="Comma 51 2 2 4" xfId="4099" xr:uid="{BDD799CB-06A9-40A5-B6DF-907D8035177F}"/>
    <cellStyle name="Comma 51 2 3" xfId="1386" xr:uid="{164107C6-8A73-4413-904E-9057ED2DA280}"/>
    <cellStyle name="Comma 51 2 3 2" xfId="2919" xr:uid="{34EE1F41-F34C-444D-963D-463BCD475B0A}"/>
    <cellStyle name="Comma 51 2 4" xfId="2153" xr:uid="{A28A04DD-3D0B-4033-A6B0-2EB14BBB0CFA}"/>
    <cellStyle name="Comma 51 2 5" xfId="3688" xr:uid="{1918D1ED-4A84-4B51-BCFE-B8505DE85A7A}"/>
    <cellStyle name="Comma 51 3" xfId="770" xr:uid="{FC4D5DA7-E5FF-4543-B84E-D8AD24642A6A}"/>
    <cellStyle name="Comma 51 3 2" xfId="1581" xr:uid="{580420B7-1D57-4812-BCBB-D1BA1A21FF78}"/>
    <cellStyle name="Comma 51 3 2 2" xfId="3114" xr:uid="{E267E480-85A1-4402-A9C8-B86FAC3DD607}"/>
    <cellStyle name="Comma 51 3 3" xfId="2348" xr:uid="{B040282F-9F40-41BB-B286-89B5E2C07B3C}"/>
    <cellStyle name="Comma 51 3 4" xfId="3913" xr:uid="{C5AD50A9-D695-445A-AF32-D70BC2B636DE}"/>
    <cellStyle name="Comma 51 4" xfId="1200" xr:uid="{44663059-DEE0-4BB3-8129-180FE16575BB}"/>
    <cellStyle name="Comma 51 4 2" xfId="2733" xr:uid="{E8FF18F4-B3BA-4159-AB6A-497532C4B087}"/>
    <cellStyle name="Comma 51 5" xfId="1967" xr:uid="{12864D6E-4F01-4895-AA8B-53A759109B5F}"/>
    <cellStyle name="Comma 51 6" xfId="3502" xr:uid="{B0691E7B-87DE-434E-8C8A-D824AF4CC2FC}"/>
    <cellStyle name="Comma 52" xfId="211" xr:uid="{FA15122F-3F96-4F2A-8716-964A55D8B80F}"/>
    <cellStyle name="Comma 52 2" xfId="579" xr:uid="{8A36E631-7B34-4985-8F24-248AB8809184}"/>
    <cellStyle name="Comma 52 2 2" xfId="965" xr:uid="{E4C6BA34-AEAF-4EAE-AEB4-4ECA75A93F3E}"/>
    <cellStyle name="Comma 52 2 2 2" xfId="1776" xr:uid="{11E26158-2817-418B-82E8-017045604679}"/>
    <cellStyle name="Comma 52 2 2 2 2" xfId="3309" xr:uid="{F478D7DE-6F7E-4D61-9BDF-8A24D8425563}"/>
    <cellStyle name="Comma 52 2 2 3" xfId="2543" xr:uid="{8E6285AA-262F-4035-AE03-0FA6CE2D463B}"/>
    <cellStyle name="Comma 52 2 2 4" xfId="4108" xr:uid="{213EE58A-D4D2-4E48-BD00-08F0273058D7}"/>
    <cellStyle name="Comma 52 2 3" xfId="1395" xr:uid="{48639EFD-417A-401B-B6A0-D93C3ED0BA1B}"/>
    <cellStyle name="Comma 52 2 3 2" xfId="2928" xr:uid="{B7958409-257B-4367-9277-24E93CFF97BA}"/>
    <cellStyle name="Comma 52 2 4" xfId="2162" xr:uid="{A971A54E-63D9-46F2-ADCF-9778C40A6B31}"/>
    <cellStyle name="Comma 52 2 5" xfId="3697" xr:uid="{F68C1F86-76C6-489B-8632-D5E151108CA5}"/>
    <cellStyle name="Comma 52 3" xfId="779" xr:uid="{48CCC024-1077-48A6-B57D-559432C9AE85}"/>
    <cellStyle name="Comma 52 3 2" xfId="1590" xr:uid="{C5D4AED4-B88E-4DD5-BCC6-8179BF9272EB}"/>
    <cellStyle name="Comma 52 3 2 2" xfId="3123" xr:uid="{DC2A5991-9FB5-465B-80AF-BE5F27937AFC}"/>
    <cellStyle name="Comma 52 3 3" xfId="2357" xr:uid="{11FA5594-F085-4563-87A5-DC6E06D677FF}"/>
    <cellStyle name="Comma 52 3 4" xfId="3922" xr:uid="{2C456D01-4324-42B7-9C49-133ADDC5A9D2}"/>
    <cellStyle name="Comma 52 4" xfId="1209" xr:uid="{87397234-4BDD-451B-93CD-221EC176B810}"/>
    <cellStyle name="Comma 52 4 2" xfId="2742" xr:uid="{1EBAB9C3-010E-4635-910E-D1DE216F5DBF}"/>
    <cellStyle name="Comma 52 5" xfId="1976" xr:uid="{1D25FCED-85BF-465A-B0E5-5051C30D5907}"/>
    <cellStyle name="Comma 52 6" xfId="3511" xr:uid="{7D8D564B-3D0B-4309-9A43-87F4043BDF9B}"/>
    <cellStyle name="Comma 53" xfId="207" xr:uid="{C4C1D733-D78F-4E6F-94BA-158EE3544C36}"/>
    <cellStyle name="Comma 53 2" xfId="575" xr:uid="{BA0EDDA9-9121-41D9-92E3-8D54C301FBAA}"/>
    <cellStyle name="Comma 53 2 2" xfId="961" xr:uid="{316B58A0-EA21-4248-AE10-2BA12A7905DC}"/>
    <cellStyle name="Comma 53 2 2 2" xfId="1772" xr:uid="{34706264-9A0B-4FF8-9304-AADC50F9780A}"/>
    <cellStyle name="Comma 53 2 2 2 2" xfId="3305" xr:uid="{C4C696E9-9746-4C96-A07E-072B3D2E483B}"/>
    <cellStyle name="Comma 53 2 2 3" xfId="2539" xr:uid="{59AADCB0-3DDE-4D62-8D2D-FFFEDAF76D0A}"/>
    <cellStyle name="Comma 53 2 2 4" xfId="4104" xr:uid="{6EB05428-0C81-4D87-9013-EA67148F8048}"/>
    <cellStyle name="Comma 53 2 3" xfId="1391" xr:uid="{DB13F76E-671B-4390-8800-03CEBE930924}"/>
    <cellStyle name="Comma 53 2 3 2" xfId="2924" xr:uid="{C86FC9B7-F09E-462F-9706-007A4E051C45}"/>
    <cellStyle name="Comma 53 2 4" xfId="2158" xr:uid="{F0D2E7E3-B40D-44DD-9C89-5BE84B720209}"/>
    <cellStyle name="Comma 53 2 5" xfId="3693" xr:uid="{599FD239-4762-4C58-A6B4-D7DDC75BB722}"/>
    <cellStyle name="Comma 53 3" xfId="775" xr:uid="{C8FDF516-8C4A-4259-933D-7D55A8F00C16}"/>
    <cellStyle name="Comma 53 3 2" xfId="1586" xr:uid="{1DE9E6AB-5211-4D3A-AC00-3CEF8E1489F7}"/>
    <cellStyle name="Comma 53 3 2 2" xfId="3119" xr:uid="{74851C92-BBD6-4F74-B4C1-9E8EF97567A1}"/>
    <cellStyle name="Comma 53 3 3" xfId="2353" xr:uid="{C3DB8EF4-FBB3-453A-8765-E4C5D0E6C92A}"/>
    <cellStyle name="Comma 53 3 4" xfId="3918" xr:uid="{FB19E0D3-A975-4465-8B74-51DFEDF09C9A}"/>
    <cellStyle name="Comma 53 4" xfId="1205" xr:uid="{ACF3FC25-DF50-473E-8D6C-993DAFD0DA8F}"/>
    <cellStyle name="Comma 53 4 2" xfId="2738" xr:uid="{B8D0CAE1-8DB5-461D-BB52-4019CA5252EB}"/>
    <cellStyle name="Comma 53 5" xfId="1972" xr:uid="{69EE7855-0296-4640-89DA-4690FA07C6DF}"/>
    <cellStyle name="Comma 53 6" xfId="3507" xr:uid="{23D2E2C5-6051-49F7-BACA-AF00053BC2CD}"/>
    <cellStyle name="Comma 54" xfId="206" xr:uid="{4171FC0B-E956-4F15-B7DB-C7C1F796E1CE}"/>
    <cellStyle name="Comma 54 2" xfId="574" xr:uid="{324E1D54-6E3B-4AE7-A24D-5990A5B95EC7}"/>
    <cellStyle name="Comma 54 2 2" xfId="960" xr:uid="{6935C70A-9B8E-4237-A5FD-9FFA5EC81AAB}"/>
    <cellStyle name="Comma 54 2 2 2" xfId="1771" xr:uid="{6878758A-7059-415D-9AFD-6252CDB0FA44}"/>
    <cellStyle name="Comma 54 2 2 2 2" xfId="3304" xr:uid="{BE02D0F7-8449-454A-8DC6-85157D2F2B2A}"/>
    <cellStyle name="Comma 54 2 2 3" xfId="2538" xr:uid="{EDC56264-0D99-4957-B9C8-DD3760348F49}"/>
    <cellStyle name="Comma 54 2 2 4" xfId="4103" xr:uid="{5DEC6B0B-D871-4309-994D-A1E500F4B6DA}"/>
    <cellStyle name="Comma 54 2 3" xfId="1390" xr:uid="{A3297F7A-A1BD-4F4D-80E8-BDBBA3B0F0EB}"/>
    <cellStyle name="Comma 54 2 3 2" xfId="2923" xr:uid="{07EAD2EB-51A5-4966-B6F4-5D01FBB5A5C1}"/>
    <cellStyle name="Comma 54 2 4" xfId="2157" xr:uid="{E7A43DDA-D9A9-4194-914E-9DCDABB9EF5B}"/>
    <cellStyle name="Comma 54 2 5" xfId="3692" xr:uid="{B7AE413F-3534-4E43-BFC6-E835096380FE}"/>
    <cellStyle name="Comma 54 3" xfId="774" xr:uid="{578D3221-ADB4-4321-8C68-7E1370BAC0E6}"/>
    <cellStyle name="Comma 54 3 2" xfId="1585" xr:uid="{34D0E588-6692-44D5-9A33-9FFDFEF3A5C3}"/>
    <cellStyle name="Comma 54 3 2 2" xfId="3118" xr:uid="{42589D66-F9B1-4A3F-ACF3-BCECC60AECD0}"/>
    <cellStyle name="Comma 54 3 3" xfId="2352" xr:uid="{ADAB1211-28C5-4E44-88C4-A3B1F57E9442}"/>
    <cellStyle name="Comma 54 3 4" xfId="3917" xr:uid="{451AE629-A4FB-4E5E-883D-E77F0AC7DB6F}"/>
    <cellStyle name="Comma 54 4" xfId="1204" xr:uid="{A0120D75-9A9F-4634-AF2C-45468B8A4F64}"/>
    <cellStyle name="Comma 54 4 2" xfId="2737" xr:uid="{D83CC7D8-F60C-4080-94B8-0559518FD234}"/>
    <cellStyle name="Comma 54 5" xfId="1971" xr:uid="{423D5B4F-D74C-4B03-A391-13FECFE515A6}"/>
    <cellStyle name="Comma 54 6" xfId="3506" xr:uid="{40D63398-05D3-407E-A956-E2D5B49067CB}"/>
    <cellStyle name="Comma 55" xfId="199" xr:uid="{E0634DD1-7A46-40F4-9E54-444766670CAD}"/>
    <cellStyle name="Comma 55 2" xfId="569" xr:uid="{B4FC9C7C-F9B3-4E3A-8263-E2AF24A0EDDB}"/>
    <cellStyle name="Comma 55 2 2" xfId="955" xr:uid="{FC42CD2B-6C94-4DD3-BBE9-EA4DA9692158}"/>
    <cellStyle name="Comma 55 2 2 2" xfId="1766" xr:uid="{4A9E0A81-49C4-48C1-BF43-FFEA41313415}"/>
    <cellStyle name="Comma 55 2 2 2 2" xfId="3299" xr:uid="{B6C2D634-BA1F-4675-98E4-9B16990D65AE}"/>
    <cellStyle name="Comma 55 2 2 3" xfId="2533" xr:uid="{A0B11C83-2C6E-470B-9A46-9E7D811020FD}"/>
    <cellStyle name="Comma 55 2 2 4" xfId="4098" xr:uid="{385F2FB0-EBA9-47BA-A500-0EB84F4696A2}"/>
    <cellStyle name="Comma 55 2 3" xfId="1385" xr:uid="{2D06A980-78FF-4C7B-BEE4-E2FF86C367C6}"/>
    <cellStyle name="Comma 55 2 3 2" xfId="2918" xr:uid="{CCD4A257-96E2-4203-8A1F-816D68E40CE6}"/>
    <cellStyle name="Comma 55 2 4" xfId="2152" xr:uid="{ECA252C9-9ADD-48FD-BBE8-2F22CAD2BDE6}"/>
    <cellStyle name="Comma 55 2 5" xfId="3687" xr:uid="{AC418324-954E-4EF7-9FCA-767DB688DBFC}"/>
    <cellStyle name="Comma 55 3" xfId="769" xr:uid="{11D2FED0-C6B4-41AA-8E91-66007880F11D}"/>
    <cellStyle name="Comma 55 3 2" xfId="1580" xr:uid="{D784DA2D-E1BC-4ABA-941E-E32197E24FCD}"/>
    <cellStyle name="Comma 55 3 2 2" xfId="3113" xr:uid="{962C5E11-74B2-4EAC-972E-DCD305A05377}"/>
    <cellStyle name="Comma 55 3 3" xfId="2347" xr:uid="{5677D9C0-1B30-40D5-A1F4-74CB00DADD75}"/>
    <cellStyle name="Comma 55 3 4" xfId="3912" xr:uid="{7DE6093D-2866-4C09-A784-8E3345BEDFB9}"/>
    <cellStyle name="Comma 55 4" xfId="1199" xr:uid="{AD2299D2-E6E1-4E3D-A151-9DBDD3599568}"/>
    <cellStyle name="Comma 55 4 2" xfId="2732" xr:uid="{E1E118A9-5140-405B-9FFF-EC3F09207256}"/>
    <cellStyle name="Comma 55 5" xfId="1966" xr:uid="{57DEF192-A33C-4A86-A293-2A30730C5DC3}"/>
    <cellStyle name="Comma 55 6" xfId="3501" xr:uid="{2C833FCB-F560-49AB-B16B-87768C51B8F9}"/>
    <cellStyle name="Comma 56" xfId="209" xr:uid="{927383F1-660B-4BA3-87F9-67774D2EE619}"/>
    <cellStyle name="Comma 56 2" xfId="577" xr:uid="{D01CDD56-7382-4514-B6F1-616B5396160C}"/>
    <cellStyle name="Comma 56 2 2" xfId="963" xr:uid="{72019B7F-879D-4C7C-9BCE-2E417847D45F}"/>
    <cellStyle name="Comma 56 2 2 2" xfId="1774" xr:uid="{3E26CD34-8800-411E-B44A-9E5F968BC1F1}"/>
    <cellStyle name="Comma 56 2 2 2 2" xfId="3307" xr:uid="{35FA405C-C3BA-4291-9556-DA91948E9EF4}"/>
    <cellStyle name="Comma 56 2 2 3" xfId="2541" xr:uid="{7636A619-C004-4665-8E23-DCC213E48AD0}"/>
    <cellStyle name="Comma 56 2 2 4" xfId="4106" xr:uid="{6B83F2FA-EE49-40A4-B319-48C32FC86567}"/>
    <cellStyle name="Comma 56 2 3" xfId="1393" xr:uid="{4B7BC242-4E19-469F-BBCC-51F23EC70AE2}"/>
    <cellStyle name="Comma 56 2 3 2" xfId="2926" xr:uid="{1DD2A3AF-6AAC-4EED-A17E-305FA76670DF}"/>
    <cellStyle name="Comma 56 2 4" xfId="2160" xr:uid="{12826DF5-00EA-4DF8-97A5-4AEE41E115F4}"/>
    <cellStyle name="Comma 56 2 5" xfId="3695" xr:uid="{FB0B04F0-AD57-4943-8051-2CB29E014843}"/>
    <cellStyle name="Comma 56 3" xfId="777" xr:uid="{73BEB90E-C1D3-457C-950B-707104AF4882}"/>
    <cellStyle name="Comma 56 3 2" xfId="1588" xr:uid="{D355A569-F3CD-49C0-A76B-EEF2F07F3B18}"/>
    <cellStyle name="Comma 56 3 2 2" xfId="3121" xr:uid="{6387DAB5-9D58-4713-9E42-2C0D15CF54AE}"/>
    <cellStyle name="Comma 56 3 3" xfId="2355" xr:uid="{A904DA28-1F13-4A4E-9BEB-5EA80D06024E}"/>
    <cellStyle name="Comma 56 3 4" xfId="3920" xr:uid="{96F5A3CD-C4AE-42BB-92E9-AAC33D237DC3}"/>
    <cellStyle name="Comma 56 4" xfId="1207" xr:uid="{75A06BC9-2ED6-4362-99EB-DAD17EF6C6E5}"/>
    <cellStyle name="Comma 56 4 2" xfId="2740" xr:uid="{29DC4E4F-0AA8-4C0D-93B3-B442E10E78F3}"/>
    <cellStyle name="Comma 56 5" xfId="1974" xr:uid="{4C0C90C3-F49D-439D-B8E3-97D1386BD23B}"/>
    <cellStyle name="Comma 56 6" xfId="3509" xr:uid="{72338EA4-CCD0-4365-97B4-51B20E41FDCD}"/>
    <cellStyle name="Comma 57" xfId="205" xr:uid="{C974C95A-4F34-4CAD-82F2-920E449443BB}"/>
    <cellStyle name="Comma 57 2" xfId="573" xr:uid="{CD052CB9-13A8-4C40-9E2D-6047A28214C3}"/>
    <cellStyle name="Comma 57 2 2" xfId="959" xr:uid="{19A5890F-E878-4E8E-83F8-5C60A2841595}"/>
    <cellStyle name="Comma 57 2 2 2" xfId="1770" xr:uid="{6E5F54AD-395A-43C7-B175-6B081BF892CA}"/>
    <cellStyle name="Comma 57 2 2 2 2" xfId="3303" xr:uid="{B1FEEE25-9561-4131-BB10-7A7BE5D6329A}"/>
    <cellStyle name="Comma 57 2 2 3" xfId="2537" xr:uid="{0C55B9B0-4606-46D2-AD62-E1813D241FA0}"/>
    <cellStyle name="Comma 57 2 2 4" xfId="4102" xr:uid="{79BA7D5D-D024-497B-A13A-BCBD136DEB45}"/>
    <cellStyle name="Comma 57 2 3" xfId="1389" xr:uid="{B071770F-5EE5-4A16-A5F7-EAEDB444453D}"/>
    <cellStyle name="Comma 57 2 3 2" xfId="2922" xr:uid="{FAC55336-B814-4336-910C-26D9856571E7}"/>
    <cellStyle name="Comma 57 2 4" xfId="2156" xr:uid="{789667AA-0E0A-4E3D-B8B6-A1BC3E8508C3}"/>
    <cellStyle name="Comma 57 2 5" xfId="3691" xr:uid="{39DEDEB1-A430-4517-BC47-5B16539C4EC0}"/>
    <cellStyle name="Comma 57 3" xfId="773" xr:uid="{18C7099D-0C87-4978-A903-A1DECBF7FEF1}"/>
    <cellStyle name="Comma 57 3 2" xfId="1584" xr:uid="{60FD51DF-9D71-4465-940B-CE2E23D1928E}"/>
    <cellStyle name="Comma 57 3 2 2" xfId="3117" xr:uid="{948CE523-B3DE-4F89-90C5-B1E7703B61E1}"/>
    <cellStyle name="Comma 57 3 3" xfId="2351" xr:uid="{16325F44-6A80-4E01-9EF5-48B062924529}"/>
    <cellStyle name="Comma 57 3 4" xfId="3916" xr:uid="{E39FA4C9-B3ED-4E2E-BD56-7D12C54F12B6}"/>
    <cellStyle name="Comma 57 4" xfId="1203" xr:uid="{2BC4D325-6FD5-4296-8C89-1C404608A0B9}"/>
    <cellStyle name="Comma 57 4 2" xfId="2736" xr:uid="{C456956F-846C-45DE-B25E-C7DA3B4A9B37}"/>
    <cellStyle name="Comma 57 5" xfId="1970" xr:uid="{BF12D765-1965-476C-B265-CD1B5975ABB5}"/>
    <cellStyle name="Comma 57 6" xfId="3505" xr:uid="{75A58CE3-4835-4322-8443-3C946B5E79E0}"/>
    <cellStyle name="Comma 58" xfId="212" xr:uid="{8814CDD0-D96B-49F8-99A4-B110C6CB1509}"/>
    <cellStyle name="Comma 58 2" xfId="580" xr:uid="{E61FD94C-869C-4FAF-807B-E592E2A92A43}"/>
    <cellStyle name="Comma 58 2 2" xfId="966" xr:uid="{93C3440F-1D46-46F5-88B6-945EC11AF5C2}"/>
    <cellStyle name="Comma 58 2 2 2" xfId="1777" xr:uid="{5A0D6310-41DF-4DB8-ACBD-D94ADB3296F3}"/>
    <cellStyle name="Comma 58 2 2 2 2" xfId="3310" xr:uid="{D2234935-7B8D-4164-800C-25402753EA63}"/>
    <cellStyle name="Comma 58 2 2 3" xfId="2544" xr:uid="{7F5AAAE7-FD32-4A74-BD6B-3EA2FFA8AC77}"/>
    <cellStyle name="Comma 58 2 2 4" xfId="4109" xr:uid="{0F6C2F23-65A7-4AD2-898E-4E739A61DF86}"/>
    <cellStyle name="Comma 58 2 3" xfId="1396" xr:uid="{519610E5-CE97-4E98-BFF6-6C83DE4FC6FB}"/>
    <cellStyle name="Comma 58 2 3 2" xfId="2929" xr:uid="{F89A1548-B212-4EA5-AFC9-B9A915B81D1A}"/>
    <cellStyle name="Comma 58 2 4" xfId="2163" xr:uid="{B9E80AA4-2396-40BC-89F4-B7BA41A01861}"/>
    <cellStyle name="Comma 58 2 5" xfId="3698" xr:uid="{C8C45F41-7479-477F-B762-A1FC6F050168}"/>
    <cellStyle name="Comma 58 3" xfId="780" xr:uid="{4E0BFB94-D65E-4309-8DFC-82238E92A23B}"/>
    <cellStyle name="Comma 58 3 2" xfId="1591" xr:uid="{21E3D1AD-7C7F-45B6-93D9-BF4200171156}"/>
    <cellStyle name="Comma 58 3 2 2" xfId="3124" xr:uid="{4319E301-CCD7-464D-94D2-C14443BD85F4}"/>
    <cellStyle name="Comma 58 3 3" xfId="2358" xr:uid="{D3017858-3DE1-4B96-88B4-5B30DEC17022}"/>
    <cellStyle name="Comma 58 3 4" xfId="3923" xr:uid="{8A727701-A644-4CE5-B4A2-20B8CEAFE1CF}"/>
    <cellStyle name="Comma 58 4" xfId="1210" xr:uid="{37268995-95DA-47F8-81CD-CF7C5851AA5D}"/>
    <cellStyle name="Comma 58 4 2" xfId="2743" xr:uid="{3C5CDC4B-3091-42FE-9D95-E662155B93C8}"/>
    <cellStyle name="Comma 58 5" xfId="1977" xr:uid="{59E28D2E-026D-4FC8-85CC-EC4532CD2650}"/>
    <cellStyle name="Comma 58 6" xfId="3512" xr:uid="{31E8EF8E-247F-4586-838D-6D99C1CE3001}"/>
    <cellStyle name="Comma 59" xfId="210" xr:uid="{F07B8C93-F906-41E5-93A2-5E4C19469F6A}"/>
    <cellStyle name="Comma 59 2" xfId="578" xr:uid="{DA950F6F-AE90-489A-9AF7-2AEF718A7AF5}"/>
    <cellStyle name="Comma 59 2 2" xfId="964" xr:uid="{12855874-495A-43DF-A7EA-2AE6686BD747}"/>
    <cellStyle name="Comma 59 2 2 2" xfId="1775" xr:uid="{8D5B43D3-7F0A-4992-BDD2-23860891CEDD}"/>
    <cellStyle name="Comma 59 2 2 2 2" xfId="3308" xr:uid="{E8C2EED2-2CCF-429F-8859-EEAB7D9E7E5E}"/>
    <cellStyle name="Comma 59 2 2 3" xfId="2542" xr:uid="{6DD93C95-1C54-4FA0-96F5-CCAA8C82FB7B}"/>
    <cellStyle name="Comma 59 2 2 4" xfId="4107" xr:uid="{4A9FBE47-5C31-48DD-937E-4B51320A1849}"/>
    <cellStyle name="Comma 59 2 3" xfId="1394" xr:uid="{FAC7E57E-6CF8-4313-B348-34A414C8CD0E}"/>
    <cellStyle name="Comma 59 2 3 2" xfId="2927" xr:uid="{B01B9B32-D383-47E1-9F93-146F9C04E2D3}"/>
    <cellStyle name="Comma 59 2 4" xfId="2161" xr:uid="{084AE58D-04FB-42BA-8D6D-4196A2D890C3}"/>
    <cellStyle name="Comma 59 2 5" xfId="3696" xr:uid="{CD823EE2-BC67-4C12-8C9E-3D00635C1E51}"/>
    <cellStyle name="Comma 59 3" xfId="778" xr:uid="{01529606-E155-4CAC-A4A2-6E098EBD5EED}"/>
    <cellStyle name="Comma 59 3 2" xfId="1589" xr:uid="{12D021E3-EEBB-44F6-8D5F-F9A1233D0BAE}"/>
    <cellStyle name="Comma 59 3 2 2" xfId="3122" xr:uid="{F6F7CDA4-2AF8-4FCD-B2A9-D7DA492D4888}"/>
    <cellStyle name="Comma 59 3 3" xfId="2356" xr:uid="{0EE02AB8-D7C8-4998-B885-07E920CF26BE}"/>
    <cellStyle name="Comma 59 3 4" xfId="3921" xr:uid="{BDED2662-6C72-4227-944B-279DE6BDBA1A}"/>
    <cellStyle name="Comma 59 4" xfId="1208" xr:uid="{0C6FE352-3C5A-447A-A477-75D3CD03069D}"/>
    <cellStyle name="Comma 59 4 2" xfId="2741" xr:uid="{583E2FBB-24EA-4E84-91C4-2AC854B3BBDC}"/>
    <cellStyle name="Comma 59 5" xfId="1975" xr:uid="{651A5B1D-E97B-4487-BA36-C16B826ED18F}"/>
    <cellStyle name="Comma 59 6" xfId="3510" xr:uid="{312814E5-2F10-43A6-BF35-A7D30E5F03D3}"/>
    <cellStyle name="Comma 6" xfId="141" xr:uid="{D254923D-CDAF-4B01-81DD-46480C312D58}"/>
    <cellStyle name="Comma 6 2" xfId="527" xr:uid="{3538D978-3D99-4E2F-BC88-4B03FB393C80}"/>
    <cellStyle name="Comma 6 2 2" xfId="913" xr:uid="{C97B1296-B8ED-4449-80DD-67011AB4FE15}"/>
    <cellStyle name="Comma 6 2 2 2" xfId="1724" xr:uid="{094BE9E5-F659-4336-9546-FB90DA2CD084}"/>
    <cellStyle name="Comma 6 2 2 2 2" xfId="3257" xr:uid="{684A852E-DB1F-4734-97FD-9DC47D2E2F55}"/>
    <cellStyle name="Comma 6 2 2 3" xfId="2491" xr:uid="{1AE26EF3-B869-4E80-AA4B-2666E2003C7A}"/>
    <cellStyle name="Comma 6 2 2 4" xfId="4056" xr:uid="{01EEEC63-4AC7-4544-B0D7-EDA01BA26EB6}"/>
    <cellStyle name="Comma 6 2 3" xfId="1343" xr:uid="{88B80A20-4B28-4F11-9D95-9A412A1FB3FA}"/>
    <cellStyle name="Comma 6 2 3 2" xfId="2876" xr:uid="{6D94ABFB-3895-4C8F-B9EA-2F77DF908F90}"/>
    <cellStyle name="Comma 6 2 4" xfId="2110" xr:uid="{0372591A-DEDE-4933-AFCF-A9EAC42D34C3}"/>
    <cellStyle name="Comma 6 2 5" xfId="3645" xr:uid="{9010C9D8-1350-4BE4-B1A3-B6B7C9043FC9}"/>
    <cellStyle name="Comma 6 3" xfId="727" xr:uid="{3152257E-17F1-4B4D-96BF-994DB0BD13B6}"/>
    <cellStyle name="Comma 6 3 2" xfId="1538" xr:uid="{9E1B7DD2-8BB5-4645-BA67-74D877540EC5}"/>
    <cellStyle name="Comma 6 3 2 2" xfId="3071" xr:uid="{84B6E513-4BEB-4C17-A4B3-04FE51DDC5AE}"/>
    <cellStyle name="Comma 6 3 3" xfId="2305" xr:uid="{520EA705-C629-4FDC-BBFC-194945F37E61}"/>
    <cellStyle name="Comma 6 3 4" xfId="3870" xr:uid="{63A37276-77C6-4B3E-9807-FF4DF70E519D}"/>
    <cellStyle name="Comma 6 4" xfId="1157" xr:uid="{66AC7C9E-BC46-4817-81B9-C54521B00B7E}"/>
    <cellStyle name="Comma 6 4 2" xfId="2690" xr:uid="{89761BF6-1FAB-4CAE-8043-F2825B967A8F}"/>
    <cellStyle name="Comma 6 5" xfId="1924" xr:uid="{1FD48E9E-784B-4649-958C-B9599470F61D}"/>
    <cellStyle name="Comma 6 6" xfId="3459" xr:uid="{B5C7C5C4-B2AA-4AEB-81C1-772423CA58AA}"/>
    <cellStyle name="Comma 60" xfId="204" xr:uid="{817D55C6-5679-435B-A86C-826FAA130A40}"/>
    <cellStyle name="Comma 60 2" xfId="572" xr:uid="{3FA33923-7301-447D-994F-C4D04BA5C81B}"/>
    <cellStyle name="Comma 60 2 2" xfId="958" xr:uid="{D717D838-8F2E-42F9-8906-84423FA933F9}"/>
    <cellStyle name="Comma 60 2 2 2" xfId="1769" xr:uid="{436B2FCF-B931-4128-A0B9-A80BD724A7D6}"/>
    <cellStyle name="Comma 60 2 2 2 2" xfId="3302" xr:uid="{8EF49F3F-E0F5-47A3-9515-26C4D687ECFB}"/>
    <cellStyle name="Comma 60 2 2 3" xfId="2536" xr:uid="{7D8417A1-7080-4768-BB61-4A04F779C1B6}"/>
    <cellStyle name="Comma 60 2 2 4" xfId="4101" xr:uid="{296C28E1-F65E-41C0-8587-5B8D1C36C350}"/>
    <cellStyle name="Comma 60 2 3" xfId="1388" xr:uid="{52A80F62-9491-4763-ABFD-30437459A706}"/>
    <cellStyle name="Comma 60 2 3 2" xfId="2921" xr:uid="{F4509111-C2E3-4254-BE44-2176F6F6AC87}"/>
    <cellStyle name="Comma 60 2 4" xfId="2155" xr:uid="{D12FA47C-AD91-4BC3-9625-7A0179C0FC26}"/>
    <cellStyle name="Comma 60 2 5" xfId="3690" xr:uid="{FE10D7F3-293D-4E78-80E5-882CBA44E5CA}"/>
    <cellStyle name="Comma 60 3" xfId="772" xr:uid="{29AC6602-58BE-4128-A9F7-B8512ED0E1AF}"/>
    <cellStyle name="Comma 60 3 2" xfId="1583" xr:uid="{E7507E93-6DEE-47DD-A27C-C96A832E4C15}"/>
    <cellStyle name="Comma 60 3 2 2" xfId="3116" xr:uid="{94903901-D3C6-4B1E-9FA5-088DECCC7CE9}"/>
    <cellStyle name="Comma 60 3 3" xfId="2350" xr:uid="{99599296-A713-48A3-9384-D100C0B6659A}"/>
    <cellStyle name="Comma 60 3 4" xfId="3915" xr:uid="{B962C810-9561-4A4F-B6F0-1DEDC4614506}"/>
    <cellStyle name="Comma 60 4" xfId="1202" xr:uid="{2D840603-BDD9-4148-AA6B-877858D187B7}"/>
    <cellStyle name="Comma 60 4 2" xfId="2735" xr:uid="{5B2099D3-F779-4B46-8990-262D235C3F17}"/>
    <cellStyle name="Comma 60 5" xfId="1969" xr:uid="{26D4C81B-5D70-4D56-A96A-4DE6A7CCC323}"/>
    <cellStyle name="Comma 60 6" xfId="3504" xr:uid="{15619C9E-FE1C-4C1C-BD32-61B58CD42A5C}"/>
    <cellStyle name="Comma 61" xfId="208" xr:uid="{81DA9639-A32B-4599-B81C-F5B9A9E8A48F}"/>
    <cellStyle name="Comma 61 2" xfId="576" xr:uid="{2A512FCE-6EEC-4A09-BB74-1EA82E364437}"/>
    <cellStyle name="Comma 61 2 2" xfId="962" xr:uid="{396C8CD7-388F-4039-A76E-B94946891DD1}"/>
    <cellStyle name="Comma 61 2 2 2" xfId="1773" xr:uid="{59DFDA06-DD34-4E08-8F0D-8D4CCE45AC67}"/>
    <cellStyle name="Comma 61 2 2 2 2" xfId="3306" xr:uid="{474AFEF6-C802-4398-A682-9B81CE8CA169}"/>
    <cellStyle name="Comma 61 2 2 3" xfId="2540" xr:uid="{90BE5B5B-3D35-4E0D-AA3C-F62CB3CE6808}"/>
    <cellStyle name="Comma 61 2 2 4" xfId="4105" xr:uid="{89842D09-0464-43E8-8CA3-E7D6E8FD2D8C}"/>
    <cellStyle name="Comma 61 2 3" xfId="1392" xr:uid="{7FACEE3B-D297-4294-A0A2-952F4D89F02B}"/>
    <cellStyle name="Comma 61 2 3 2" xfId="2925" xr:uid="{157DE628-F0D7-4D83-909A-09287826C686}"/>
    <cellStyle name="Comma 61 2 4" xfId="2159" xr:uid="{31543350-E8C5-4034-A9EA-E48B425F4944}"/>
    <cellStyle name="Comma 61 2 5" xfId="3694" xr:uid="{D49079D1-6A8E-4D76-A2E3-D1B17C67349D}"/>
    <cellStyle name="Comma 61 3" xfId="776" xr:uid="{FBDD6C6B-A85D-422B-9DDA-DECE50038583}"/>
    <cellStyle name="Comma 61 3 2" xfId="1587" xr:uid="{E45F3AF1-8295-4840-B85E-5692FB1F375F}"/>
    <cellStyle name="Comma 61 3 2 2" xfId="3120" xr:uid="{7808FC8E-6805-46AE-96AC-41B6AC994599}"/>
    <cellStyle name="Comma 61 3 3" xfId="2354" xr:uid="{DF9BA133-9BFD-4DB2-BE32-1E59D3FE2FE8}"/>
    <cellStyle name="Comma 61 3 4" xfId="3919" xr:uid="{8668B3F5-D195-40EB-BDA7-B02ED347C8FB}"/>
    <cellStyle name="Comma 61 4" xfId="1206" xr:uid="{E3141AB0-8E07-4AC0-8127-4F6167AD6B35}"/>
    <cellStyle name="Comma 61 4 2" xfId="2739" xr:uid="{9F011C1C-112D-4B95-B1BD-91846D03B24C}"/>
    <cellStyle name="Comma 61 5" xfId="1973" xr:uid="{6A648FE2-886D-4E64-BB11-98F9B99BDCEF}"/>
    <cellStyle name="Comma 61 6" xfId="3508" xr:uid="{7C02FF6C-9DEA-4C38-B7D4-5B4EBE145028}"/>
    <cellStyle name="Comma 62" xfId="215" xr:uid="{C454BDE5-0CED-4015-B4F8-B65495D83DBC}"/>
    <cellStyle name="Comma 62 2" xfId="582" xr:uid="{A9B679C8-7765-46A2-9A7B-B9630CF23B45}"/>
    <cellStyle name="Comma 62 2 2" xfId="968" xr:uid="{57397AD8-3C2E-484C-BBD3-43A8F3201841}"/>
    <cellStyle name="Comma 62 2 2 2" xfId="1779" xr:uid="{F4936BF4-BFC6-4B0B-81BF-027A6C1ADA56}"/>
    <cellStyle name="Comma 62 2 2 2 2" xfId="3312" xr:uid="{5F65A39E-6429-4B62-B0F2-CC56DA89E105}"/>
    <cellStyle name="Comma 62 2 2 3" xfId="2546" xr:uid="{A6A9D69C-BB96-437C-94D4-6F22C2ABFB05}"/>
    <cellStyle name="Comma 62 2 2 4" xfId="4111" xr:uid="{1A621DF3-58B7-47B5-8DC3-A9B02C3C5E9C}"/>
    <cellStyle name="Comma 62 2 3" xfId="1398" xr:uid="{08DA4EB2-2C38-4A23-AC99-4A9C53CA19EA}"/>
    <cellStyle name="Comma 62 2 3 2" xfId="2931" xr:uid="{FB0FE809-20C7-4B7B-B4EB-A760153DE723}"/>
    <cellStyle name="Comma 62 2 4" xfId="2165" xr:uid="{62E2347B-B727-47E6-A52F-08B271B53411}"/>
    <cellStyle name="Comma 62 2 5" xfId="3700" xr:uid="{056B4ED7-5D65-4007-9E89-74CA8ADB2ED4}"/>
    <cellStyle name="Comma 62 3" xfId="782" xr:uid="{B774A25A-3507-453B-968D-81002F883D15}"/>
    <cellStyle name="Comma 62 3 2" xfId="1593" xr:uid="{0C5B6AC4-B91A-424F-A497-6F671C480245}"/>
    <cellStyle name="Comma 62 3 2 2" xfId="3126" xr:uid="{0E447D74-1511-4074-BE74-943B3D11D808}"/>
    <cellStyle name="Comma 62 3 3" xfId="2360" xr:uid="{89BB0FEB-57EA-4095-823C-2B11D68A8F48}"/>
    <cellStyle name="Comma 62 3 4" xfId="3925" xr:uid="{91A51C40-7E5A-4408-A1F3-1CE5E208569A}"/>
    <cellStyle name="Comma 62 4" xfId="1212" xr:uid="{89F4ACDA-8DD9-4479-A6D2-9095BDEE284B}"/>
    <cellStyle name="Comma 62 4 2" xfId="2745" xr:uid="{CE0C10AE-4838-40EC-89DC-A65BDFD74B6B}"/>
    <cellStyle name="Comma 62 5" xfId="1979" xr:uid="{7774A998-0BAF-4C65-9BC8-C1D29568AD26}"/>
    <cellStyle name="Comma 62 6" xfId="3514" xr:uid="{832AD33F-BBE8-4E08-A8A2-6D4507BE2B46}"/>
    <cellStyle name="Comma 63" xfId="214" xr:uid="{4CB4370E-705D-4EC0-BCF0-F0535FBF09DB}"/>
    <cellStyle name="Comma 63 2" xfId="581" xr:uid="{D726E522-CF12-4F2A-B1EA-77F59DD76BAA}"/>
    <cellStyle name="Comma 63 2 2" xfId="967" xr:uid="{D579C1DA-7579-40A3-859C-42DA949620FA}"/>
    <cellStyle name="Comma 63 2 2 2" xfId="1778" xr:uid="{11556361-8C96-4B69-B962-4F7DD4BF705A}"/>
    <cellStyle name="Comma 63 2 2 2 2" xfId="3311" xr:uid="{99FE1DFF-8E4C-4FB2-A5FC-5076A2F7492A}"/>
    <cellStyle name="Comma 63 2 2 3" xfId="2545" xr:uid="{5BBF8DB7-3D7F-40C0-8D60-2EAA86CBC8CB}"/>
    <cellStyle name="Comma 63 2 2 4" xfId="4110" xr:uid="{6C32D060-1A60-45CA-A176-F64FC0869EB1}"/>
    <cellStyle name="Comma 63 2 3" xfId="1397" xr:uid="{5DFB188D-4EEC-4365-BB6C-8A7F608AF291}"/>
    <cellStyle name="Comma 63 2 3 2" xfId="2930" xr:uid="{F336F309-AF6C-4015-BFDE-DAEBCBE864B4}"/>
    <cellStyle name="Comma 63 2 4" xfId="2164" xr:uid="{D350D008-65C5-481C-BA9C-F96E2A039919}"/>
    <cellStyle name="Comma 63 2 5" xfId="3699" xr:uid="{27054E1E-2ABA-4642-A57D-501C6AF18AF4}"/>
    <cellStyle name="Comma 63 3" xfId="781" xr:uid="{901B0352-E0B0-40D1-BBBF-0BB075EF702F}"/>
    <cellStyle name="Comma 63 3 2" xfId="1592" xr:uid="{DD3BD0B6-4485-442F-BC32-02C0B10A97CA}"/>
    <cellStyle name="Comma 63 3 2 2" xfId="3125" xr:uid="{CD716FD3-AB8E-40DD-A0CA-2690906C3322}"/>
    <cellStyle name="Comma 63 3 3" xfId="2359" xr:uid="{9854615B-25E9-4358-939B-F8EFB8F6A775}"/>
    <cellStyle name="Comma 63 3 4" xfId="3924" xr:uid="{D5D3E52A-2E0E-44DB-A6D8-03CE2091C3F2}"/>
    <cellStyle name="Comma 63 4" xfId="1211" xr:uid="{0D1FCC6D-2A29-464D-853D-3E5638D24CF7}"/>
    <cellStyle name="Comma 63 4 2" xfId="2744" xr:uid="{F0DC31D0-3A6A-4B1E-BEC0-4E35E2788863}"/>
    <cellStyle name="Comma 63 5" xfId="1978" xr:uid="{A41AED21-0BCD-4544-AFD9-B3F01D810996}"/>
    <cellStyle name="Comma 63 6" xfId="3513" xr:uid="{8A092661-72C2-4311-B627-4876A6CBAF35}"/>
    <cellStyle name="Comma 64" xfId="221" xr:uid="{7BEED716-C827-4342-9DF6-AE556FE35A3F}"/>
    <cellStyle name="Comma 64 2" xfId="585" xr:uid="{B88D7CD5-FF09-40B4-895A-03E28D7B7A15}"/>
    <cellStyle name="Comma 64 2 2" xfId="971" xr:uid="{EA50DD8C-B9FE-465C-85D5-8CAB1706DF55}"/>
    <cellStyle name="Comma 64 2 2 2" xfId="1782" xr:uid="{E358F3C5-C873-451C-AA5F-1035F6DBE89B}"/>
    <cellStyle name="Comma 64 2 2 2 2" xfId="3315" xr:uid="{67760B40-604A-4B4C-A646-BF0798440FFF}"/>
    <cellStyle name="Comma 64 2 2 3" xfId="2549" xr:uid="{F39A3FEB-49E5-4667-B1F2-013DF8986030}"/>
    <cellStyle name="Comma 64 2 2 4" xfId="4114" xr:uid="{7F531CDF-484E-4908-AAA4-F0BA02C8B3B6}"/>
    <cellStyle name="Comma 64 2 3" xfId="1401" xr:uid="{EB1B8093-4CC6-4DC2-9AF7-5B2F6201C3BD}"/>
    <cellStyle name="Comma 64 2 3 2" xfId="2934" xr:uid="{CEC910D9-7C07-40DF-B207-D85B605EB584}"/>
    <cellStyle name="Comma 64 2 4" xfId="2168" xr:uid="{1B734E35-4114-4177-842C-7842ECD7D092}"/>
    <cellStyle name="Comma 64 2 5" xfId="3703" xr:uid="{152A3847-A924-4870-99AB-133C292F2CD0}"/>
    <cellStyle name="Comma 64 3" xfId="785" xr:uid="{DE6FA02A-EC24-487E-B584-154B4EE43D4D}"/>
    <cellStyle name="Comma 64 3 2" xfId="1596" xr:uid="{FFFCFD31-EEC2-4BAA-A110-3BC589E9C321}"/>
    <cellStyle name="Comma 64 3 2 2" xfId="3129" xr:uid="{843FFCAD-B7B6-4E20-9B0F-65E151BF0D28}"/>
    <cellStyle name="Comma 64 3 3" xfId="2363" xr:uid="{2CA62450-1487-4C65-B66F-E97261BCB37E}"/>
    <cellStyle name="Comma 64 3 4" xfId="3928" xr:uid="{96FCB657-729B-4926-BBF3-7B4C7DD90188}"/>
    <cellStyle name="Comma 64 4" xfId="1215" xr:uid="{3A34DF5B-689D-43E2-ABB3-A0D84244A930}"/>
    <cellStyle name="Comma 64 4 2" xfId="2748" xr:uid="{47FC6F6A-345D-4B87-8BF8-72769231AF37}"/>
    <cellStyle name="Comma 64 5" xfId="1982" xr:uid="{C5623595-5ABE-4D6A-ABDA-8D63536264F4}"/>
    <cellStyle name="Comma 64 6" xfId="3517" xr:uid="{18B0074A-730B-4A91-A120-59DBE58D5B5C}"/>
    <cellStyle name="Comma 65" xfId="224" xr:uid="{14581C7A-7559-489A-A64C-9E57DC61C517}"/>
    <cellStyle name="Comma 65 2" xfId="587" xr:uid="{F733D679-FB36-4FC7-8448-F9121F530481}"/>
    <cellStyle name="Comma 65 2 2" xfId="973" xr:uid="{FC90B950-F053-46BC-8C35-B13205943181}"/>
    <cellStyle name="Comma 65 2 2 2" xfId="1784" xr:uid="{CEE1E4A1-15AB-42D3-8188-81BF751C12B1}"/>
    <cellStyle name="Comma 65 2 2 2 2" xfId="3317" xr:uid="{CEF9AB8E-59CD-49BA-B8F0-BE5A890904A4}"/>
    <cellStyle name="Comma 65 2 2 3" xfId="2551" xr:uid="{333E5DCC-1840-430D-890B-D3158C196AAA}"/>
    <cellStyle name="Comma 65 2 2 4" xfId="4116" xr:uid="{4A19BB79-DCFF-4B4B-9922-7D7B7AFD12D2}"/>
    <cellStyle name="Comma 65 2 3" xfId="1403" xr:uid="{F53F7B66-BE15-4686-96B8-79E13678D8C2}"/>
    <cellStyle name="Comma 65 2 3 2" xfId="2936" xr:uid="{F49E47B0-9B85-4B4D-ACDE-5B07D580FC5B}"/>
    <cellStyle name="Comma 65 2 4" xfId="2170" xr:uid="{31882E6B-8A21-41BE-A77B-028E2D9E2892}"/>
    <cellStyle name="Comma 65 2 5" xfId="3705" xr:uid="{AAADEA2C-F4DC-4635-AFFC-581DCC5DD2EA}"/>
    <cellStyle name="Comma 65 3" xfId="787" xr:uid="{C87C05A5-0B18-421E-A881-9A72A1F13011}"/>
    <cellStyle name="Comma 65 3 2" xfId="1598" xr:uid="{06140B6F-25B5-436D-A60A-B83E3597B529}"/>
    <cellStyle name="Comma 65 3 2 2" xfId="3131" xr:uid="{063D2FB8-41BD-49F0-9336-0F1D51FCE71C}"/>
    <cellStyle name="Comma 65 3 3" xfId="2365" xr:uid="{6B2B5EE2-E08F-46F5-8EE7-47D68437BE2D}"/>
    <cellStyle name="Comma 65 3 4" xfId="3930" xr:uid="{5CF1E96E-A76D-4C17-AF59-92E974242773}"/>
    <cellStyle name="Comma 65 4" xfId="1217" xr:uid="{5289200A-3DCA-44BD-8B33-D349FE9E4083}"/>
    <cellStyle name="Comma 65 4 2" xfId="2750" xr:uid="{45A352D7-39F7-45E1-A689-E9F939680D8C}"/>
    <cellStyle name="Comma 65 5" xfId="1984" xr:uid="{843FE526-FBFA-4A09-AF7E-1A8F45059586}"/>
    <cellStyle name="Comma 65 6" xfId="3519" xr:uid="{1E623E6A-432F-4B77-9E5A-B6386B0F4186}"/>
    <cellStyle name="Comma 66" xfId="223" xr:uid="{3357AC79-EE77-4DA8-A08D-621DFEC8803C}"/>
    <cellStyle name="Comma 66 2" xfId="586" xr:uid="{B04118FE-45E9-49BD-AC1E-7E2E33FDD8FA}"/>
    <cellStyle name="Comma 66 2 2" xfId="972" xr:uid="{C4E8E116-6C57-43BC-9DAC-EC311BFEF9C0}"/>
    <cellStyle name="Comma 66 2 2 2" xfId="1783" xr:uid="{524FC972-DE43-4D2A-8320-9653F5AA16B8}"/>
    <cellStyle name="Comma 66 2 2 2 2" xfId="3316" xr:uid="{5962C32B-9B55-4A67-A5F6-89815EFE285F}"/>
    <cellStyle name="Comma 66 2 2 3" xfId="2550" xr:uid="{729BB3AE-51E5-4B6C-87C7-CCDEB526856A}"/>
    <cellStyle name="Comma 66 2 2 4" xfId="4115" xr:uid="{359E49A8-60A4-458C-83B5-3C9C59793D0C}"/>
    <cellStyle name="Comma 66 2 3" xfId="1402" xr:uid="{074E6B52-E123-4DAF-88B0-9010FA7CCFAE}"/>
    <cellStyle name="Comma 66 2 3 2" xfId="2935" xr:uid="{38D35CAF-0BA4-4205-B170-7F5D7AB3C87E}"/>
    <cellStyle name="Comma 66 2 4" xfId="2169" xr:uid="{599F40EC-CFBF-4324-8393-D8C31C06DE57}"/>
    <cellStyle name="Comma 66 2 5" xfId="3704" xr:uid="{8CFC6548-66F5-4E17-8A8C-7A624A2EFE3A}"/>
    <cellStyle name="Comma 66 3" xfId="786" xr:uid="{D8E66906-7E97-442B-A286-4981D4280F1B}"/>
    <cellStyle name="Comma 66 3 2" xfId="1597" xr:uid="{5D19F9AA-E4A6-4C95-A236-76D8098C6B1F}"/>
    <cellStyle name="Comma 66 3 2 2" xfId="3130" xr:uid="{D49E308B-2429-4787-8D12-4AD65E98A1C8}"/>
    <cellStyle name="Comma 66 3 3" xfId="2364" xr:uid="{22D52EA4-ACB8-4693-823C-272C9747727F}"/>
    <cellStyle name="Comma 66 3 4" xfId="3929" xr:uid="{B0523D46-4DA6-4A72-8B49-448A50C4306E}"/>
    <cellStyle name="Comma 66 4" xfId="1216" xr:uid="{88B8ABE9-4F40-42CA-AA7B-6AE1FEB82D6C}"/>
    <cellStyle name="Comma 66 4 2" xfId="2749" xr:uid="{45879D80-7CB9-4ED9-AC7A-81893AB3CC2D}"/>
    <cellStyle name="Comma 66 5" xfId="1983" xr:uid="{EDB4E898-D8DA-4160-95A6-5572692A485E}"/>
    <cellStyle name="Comma 66 6" xfId="3518" xr:uid="{921A6CAD-948B-4A1F-A96D-66F6A08506B0}"/>
    <cellStyle name="Comma 67" xfId="220" xr:uid="{053E5794-35AA-4C21-A4AF-66EFFCF7DE7E}"/>
    <cellStyle name="Comma 67 2" xfId="584" xr:uid="{B23163F5-CD6C-4583-BEA3-9E7FBBE419CF}"/>
    <cellStyle name="Comma 67 2 2" xfId="970" xr:uid="{0785F4AC-1000-426E-A09B-DE082D37B8E5}"/>
    <cellStyle name="Comma 67 2 2 2" xfId="1781" xr:uid="{1C0F354E-201F-4279-A501-B9CB07DEC909}"/>
    <cellStyle name="Comma 67 2 2 2 2" xfId="3314" xr:uid="{29FB26C9-3F9D-435D-8B43-DF338A204453}"/>
    <cellStyle name="Comma 67 2 2 3" xfId="2548" xr:uid="{98A93AF7-DEF2-4754-9D16-D2A79F2F2DE9}"/>
    <cellStyle name="Comma 67 2 2 4" xfId="4113" xr:uid="{8E6B334F-8DDA-46E1-B02C-FC0304824357}"/>
    <cellStyle name="Comma 67 2 3" xfId="1400" xr:uid="{6E18E8C4-B4E1-416B-9B33-79D8FB1F59FE}"/>
    <cellStyle name="Comma 67 2 3 2" xfId="2933" xr:uid="{41C6520B-FF15-449A-A980-F7B633875A72}"/>
    <cellStyle name="Comma 67 2 4" xfId="2167" xr:uid="{DA78893F-A90E-47D7-B624-066DBF431333}"/>
    <cellStyle name="Comma 67 2 5" xfId="3702" xr:uid="{E5351F3C-408E-4F3A-895A-B46A18FE54D4}"/>
    <cellStyle name="Comma 67 3" xfId="784" xr:uid="{29A8DEE7-3751-4433-A06B-684E8BEC51C1}"/>
    <cellStyle name="Comma 67 3 2" xfId="1595" xr:uid="{ED3583C6-B2E8-448F-A3D0-54CE9874846E}"/>
    <cellStyle name="Comma 67 3 2 2" xfId="3128" xr:uid="{4A5618EC-D2CE-4862-AFBE-92D1C3C2A2A0}"/>
    <cellStyle name="Comma 67 3 3" xfId="2362" xr:uid="{20E2A2A5-3A80-43E0-9510-A18B24749A11}"/>
    <cellStyle name="Comma 67 3 4" xfId="3927" xr:uid="{A09A4823-EA19-4208-834A-CC99C1A7B82E}"/>
    <cellStyle name="Comma 67 4" xfId="1214" xr:uid="{6C1F878D-E6C0-48D9-8240-C175ACEC4C83}"/>
    <cellStyle name="Comma 67 4 2" xfId="2747" xr:uid="{482D0717-EED4-4B2D-AE09-282A5BF2EB6F}"/>
    <cellStyle name="Comma 67 5" xfId="1981" xr:uid="{4703C04F-4EFD-4189-80C9-CE94D0BF156B}"/>
    <cellStyle name="Comma 67 6" xfId="3516" xr:uid="{B7706D9D-5329-40E3-AC65-392A1E27BE24}"/>
    <cellStyle name="Comma 68" xfId="231" xr:uid="{553E322F-FCFE-478B-BBA4-39CA3392C2DE}"/>
    <cellStyle name="Comma 68 2" xfId="593" xr:uid="{740E3357-8462-434E-AE32-601EB61ED720}"/>
    <cellStyle name="Comma 68 2 2" xfId="979" xr:uid="{2501BEC1-BE5F-412F-8115-3CACB2434F14}"/>
    <cellStyle name="Comma 68 2 2 2" xfId="1790" xr:uid="{CB43FAC1-9962-46C4-A96C-2667C318741E}"/>
    <cellStyle name="Comma 68 2 2 2 2" xfId="3323" xr:uid="{D4002C28-BAD9-40A1-A38A-329746ED6453}"/>
    <cellStyle name="Comma 68 2 2 3" xfId="2557" xr:uid="{ED60A6A3-C162-4ABE-AF56-31EA3062B77A}"/>
    <cellStyle name="Comma 68 2 2 4" xfId="4122" xr:uid="{5F73F418-8F5D-434B-9A09-F46F1D3B2310}"/>
    <cellStyle name="Comma 68 2 3" xfId="1409" xr:uid="{5346BB31-C733-4A0D-880F-4165DDBA1445}"/>
    <cellStyle name="Comma 68 2 3 2" xfId="2942" xr:uid="{9FB45A95-E7D2-404F-B208-56AB40B8DCD0}"/>
    <cellStyle name="Comma 68 2 4" xfId="2176" xr:uid="{BEC7E8DF-EABC-488B-A108-AC6D3D1394B2}"/>
    <cellStyle name="Comma 68 2 5" xfId="3711" xr:uid="{65E9FBD3-4ECB-44AF-8CD0-0779842AC4AE}"/>
    <cellStyle name="Comma 68 3" xfId="793" xr:uid="{0616B77E-5469-4181-A175-12610AA1D017}"/>
    <cellStyle name="Comma 68 3 2" xfId="1604" xr:uid="{749489FC-9F23-4FB9-AE6C-F23BE2402239}"/>
    <cellStyle name="Comma 68 3 2 2" xfId="3137" xr:uid="{FCE8123E-9AB8-4027-BC94-AFA079F056F8}"/>
    <cellStyle name="Comma 68 3 3" xfId="2371" xr:uid="{D8200E5D-03FB-4968-BFDA-4E3A1ACA3FA9}"/>
    <cellStyle name="Comma 68 3 4" xfId="3936" xr:uid="{108C9E4C-80C0-4AAF-BA67-1D84AB193F48}"/>
    <cellStyle name="Comma 68 4" xfId="1223" xr:uid="{A7EEFFF3-62D1-48A3-849D-EA14540FC2D9}"/>
    <cellStyle name="Comma 68 4 2" xfId="2756" xr:uid="{78100D6D-6CDC-4BF2-9CB3-B828260A0332}"/>
    <cellStyle name="Comma 68 5" xfId="1990" xr:uid="{A6B060CE-7B6D-4C02-ABEF-D9F8A65B73EC}"/>
    <cellStyle name="Comma 68 6" xfId="3525" xr:uid="{AAAE553C-69E8-4D29-AF72-85862EE99099}"/>
    <cellStyle name="Comma 69" xfId="241" xr:uid="{46466BFC-9F29-4B92-932C-F62AD0E8986D}"/>
    <cellStyle name="Comma 69 2" xfId="601" xr:uid="{1707DBB3-0034-4623-B94E-1CF67294F430}"/>
    <cellStyle name="Comma 69 2 2" xfId="987" xr:uid="{D5FC823B-FEA5-4319-BBA6-F1D706D0D190}"/>
    <cellStyle name="Comma 69 2 2 2" xfId="1798" xr:uid="{855D7D7F-AFB0-471A-872D-3739C9D01CA3}"/>
    <cellStyle name="Comma 69 2 2 2 2" xfId="3331" xr:uid="{458616B4-B4D2-4E4A-96D5-A3821A57FCDE}"/>
    <cellStyle name="Comma 69 2 2 3" xfId="2565" xr:uid="{3DB402BA-B7FB-4C17-AE16-38D3DBB9AB69}"/>
    <cellStyle name="Comma 69 2 2 4" xfId="4130" xr:uid="{393B74CD-3460-408C-B22C-B3BC5BBD78EB}"/>
    <cellStyle name="Comma 69 2 3" xfId="1417" xr:uid="{6E422148-BE50-40F1-AEF4-49D2A4C0A8C9}"/>
    <cellStyle name="Comma 69 2 3 2" xfId="2950" xr:uid="{5525BB71-DB1A-4EE4-BAEA-93517A4220A6}"/>
    <cellStyle name="Comma 69 2 4" xfId="2184" xr:uid="{44FFC6AE-C5D6-4A90-B5A8-C4961CF15EB3}"/>
    <cellStyle name="Comma 69 2 5" xfId="3719" xr:uid="{A63C1F23-8254-4DBD-8D23-8EA3D9418D2A}"/>
    <cellStyle name="Comma 69 3" xfId="801" xr:uid="{2CACF52C-14F8-4EC9-BE2C-574D7A0C4239}"/>
    <cellStyle name="Comma 69 3 2" xfId="1612" xr:uid="{0021818E-535D-4507-BB58-41AD799615C8}"/>
    <cellStyle name="Comma 69 3 2 2" xfId="3145" xr:uid="{463AA0EB-7B24-4FA2-B05F-F9298FC9A0E1}"/>
    <cellStyle name="Comma 69 3 3" xfId="2379" xr:uid="{9C930295-0C85-4128-A8C8-4C3CD3519652}"/>
    <cellStyle name="Comma 69 3 4" xfId="3944" xr:uid="{8D8467F2-69F3-4EA6-AE28-31480E1F4B5D}"/>
    <cellStyle name="Comma 69 4" xfId="1231" xr:uid="{241C31A9-36AF-470D-908B-990F81AE844D}"/>
    <cellStyle name="Comma 69 4 2" xfId="2764" xr:uid="{6AB78667-EB30-465F-92FC-02028236A9C7}"/>
    <cellStyle name="Comma 69 5" xfId="1998" xr:uid="{01BB9F61-218A-45E9-9161-CB1D0EE2DB71}"/>
    <cellStyle name="Comma 69 6" xfId="3533" xr:uid="{986107E8-A6CE-469A-B5FB-4A3A72708B5A}"/>
    <cellStyle name="Comma 7" xfId="136" xr:uid="{7E97EAB0-CDE7-4C02-85FD-0E0EDA4D245B}"/>
    <cellStyle name="Comma 7 2" xfId="523" xr:uid="{8450BC36-0B8C-4835-8DB2-3160AF07D53D}"/>
    <cellStyle name="Comma 7 2 2" xfId="909" xr:uid="{EE2918EB-1880-4511-BFA8-B67E1988B55F}"/>
    <cellStyle name="Comma 7 2 2 2" xfId="1720" xr:uid="{499E465C-5E77-4F84-9E1E-E7A72F64FAEA}"/>
    <cellStyle name="Comma 7 2 2 2 2" xfId="3253" xr:uid="{A656E390-35C5-4C8C-9DF6-83DE087FFD4B}"/>
    <cellStyle name="Comma 7 2 2 3" xfId="2487" xr:uid="{DBE0CA97-0DB2-44A0-9A66-50BD68DAC73E}"/>
    <cellStyle name="Comma 7 2 2 4" xfId="4052" xr:uid="{87DE4554-7143-4557-8B1D-5FB36C2B143D}"/>
    <cellStyle name="Comma 7 2 3" xfId="1339" xr:uid="{F50F20B2-F6B2-4045-BB71-1A9D74A2E368}"/>
    <cellStyle name="Comma 7 2 3 2" xfId="2872" xr:uid="{FC130F90-8CDC-4773-B34D-99067B141337}"/>
    <cellStyle name="Comma 7 2 4" xfId="2106" xr:uid="{C29CC70F-CF7B-40AF-8AE3-1D58FDA16683}"/>
    <cellStyle name="Comma 7 2 5" xfId="3641" xr:uid="{F738DE92-4471-4FA4-B68F-F055286548E9}"/>
    <cellStyle name="Comma 7 3" xfId="723" xr:uid="{2C7D2C02-EDF4-4981-BC63-2137DD059958}"/>
    <cellStyle name="Comma 7 3 2" xfId="1534" xr:uid="{8B33F69E-00DF-4085-8E16-E67B37A7F64C}"/>
    <cellStyle name="Comma 7 3 2 2" xfId="3067" xr:uid="{8AA3D987-FD5F-4F78-8C0A-A7D75AB950A1}"/>
    <cellStyle name="Comma 7 3 3" xfId="2301" xr:uid="{A2736C2B-6CA4-4755-AB97-ACA2DABEFF2C}"/>
    <cellStyle name="Comma 7 3 4" xfId="3866" xr:uid="{996FF9F6-EC50-4894-A7C8-A78A5C8D6E16}"/>
    <cellStyle name="Comma 7 4" xfId="1153" xr:uid="{C1ABA1E2-958E-4BBD-A22C-ECC4239C55CB}"/>
    <cellStyle name="Comma 7 4 2" xfId="2686" xr:uid="{09A33F4C-113B-4F86-A3F2-6F27DC8EBF9D}"/>
    <cellStyle name="Comma 7 5" xfId="1920" xr:uid="{F6F847B5-D6BF-423F-A2BE-0E827AE36499}"/>
    <cellStyle name="Comma 7 6" xfId="3455" xr:uid="{79989C68-A249-4239-8BC9-401A045662C8}"/>
    <cellStyle name="Comma 70" xfId="228" xr:uid="{799CEFDD-96F6-4FFD-8095-EF63A238FA64}"/>
    <cellStyle name="Comma 70 2" xfId="591" xr:uid="{0C40B268-0074-4580-AEC1-1460291D8123}"/>
    <cellStyle name="Comma 70 2 2" xfId="977" xr:uid="{78777D34-1649-4560-845B-08710D1EE6ED}"/>
    <cellStyle name="Comma 70 2 2 2" xfId="1788" xr:uid="{BC93818F-6606-4ECC-946E-355BB67EF839}"/>
    <cellStyle name="Comma 70 2 2 2 2" xfId="3321" xr:uid="{E971A702-8B95-4168-8BA5-22F21C7F6FC4}"/>
    <cellStyle name="Comma 70 2 2 3" xfId="2555" xr:uid="{373B5B3E-645E-471A-881A-1FE77C988C04}"/>
    <cellStyle name="Comma 70 2 2 4" xfId="4120" xr:uid="{CD7D5D6D-7093-4D85-86B3-412B1C05155B}"/>
    <cellStyle name="Comma 70 2 3" xfId="1407" xr:uid="{3C11143B-69F2-4F85-9285-8C91BE69166D}"/>
    <cellStyle name="Comma 70 2 3 2" xfId="2940" xr:uid="{40B10408-269E-4805-B80A-5309A97B37DB}"/>
    <cellStyle name="Comma 70 2 4" xfId="2174" xr:uid="{C64C01F5-8508-4AD8-A8BD-DD493FBD248B}"/>
    <cellStyle name="Comma 70 2 5" xfId="3709" xr:uid="{2F9C2E22-0027-4830-A10C-C4F560E96798}"/>
    <cellStyle name="Comma 70 3" xfId="791" xr:uid="{27772C1F-BC6B-4F34-BB4D-CA6665036FBE}"/>
    <cellStyle name="Comma 70 3 2" xfId="1602" xr:uid="{7027336E-5C17-4E67-80DD-2EBAB8F12239}"/>
    <cellStyle name="Comma 70 3 2 2" xfId="3135" xr:uid="{EACBF334-4F37-4100-856E-8C5DBC5A83B3}"/>
    <cellStyle name="Comma 70 3 3" xfId="2369" xr:uid="{A98F445E-20A4-4814-B154-1D42141CECD4}"/>
    <cellStyle name="Comma 70 3 4" xfId="3934" xr:uid="{70E94046-6038-4971-A232-55E0EBDB3703}"/>
    <cellStyle name="Comma 70 4" xfId="1221" xr:uid="{9CAC7AB2-33C2-4D62-BC71-AAB20231AD9D}"/>
    <cellStyle name="Comma 70 4 2" xfId="2754" xr:uid="{04E4F9A4-961F-4FAC-9DA3-5FB533056268}"/>
    <cellStyle name="Comma 70 5" xfId="1988" xr:uid="{7196D9F7-BA3B-4916-AA07-CABF80729EAC}"/>
    <cellStyle name="Comma 70 6" xfId="3523" xr:uid="{A1DA422F-1102-42EC-8413-5927D7866A18}"/>
    <cellStyle name="Comma 71" xfId="239" xr:uid="{112986E5-A387-4FE1-88A7-D97E0CBD5228}"/>
    <cellStyle name="Comma 71 2" xfId="599" xr:uid="{1A183A8C-FB59-4800-BC51-821A1DAE3BE1}"/>
    <cellStyle name="Comma 71 2 2" xfId="985" xr:uid="{A237BCD2-AE47-4F32-9EAE-AC0EA0979291}"/>
    <cellStyle name="Comma 71 2 2 2" xfId="1796" xr:uid="{48C63772-C914-4F5E-9B1A-1C14F010BC85}"/>
    <cellStyle name="Comma 71 2 2 2 2" xfId="3329" xr:uid="{4648E823-6367-484C-BC9D-5ED4E09B81C5}"/>
    <cellStyle name="Comma 71 2 2 3" xfId="2563" xr:uid="{145A18FA-EB12-47E6-988F-4EF74557A0D9}"/>
    <cellStyle name="Comma 71 2 2 4" xfId="4128" xr:uid="{145E2895-F2E3-417F-A7CA-30C5F9CF6516}"/>
    <cellStyle name="Comma 71 2 3" xfId="1415" xr:uid="{39CB9978-221A-4275-958C-9305BC2BAB9D}"/>
    <cellStyle name="Comma 71 2 3 2" xfId="2948" xr:uid="{B45CC782-3A9E-44A8-816E-DFBA5B85137E}"/>
    <cellStyle name="Comma 71 2 4" xfId="2182" xr:uid="{E02FF571-0732-4F40-8687-93489BBC9458}"/>
    <cellStyle name="Comma 71 2 5" xfId="3717" xr:uid="{6D831920-86D7-4F25-9747-CBD4E20CBDDE}"/>
    <cellStyle name="Comma 71 3" xfId="799" xr:uid="{76385246-90B7-4425-A4C2-4336A019E296}"/>
    <cellStyle name="Comma 71 3 2" xfId="1610" xr:uid="{D5CFEBAC-85B3-454A-B838-AC679D1CE9F4}"/>
    <cellStyle name="Comma 71 3 2 2" xfId="3143" xr:uid="{33D08789-4D22-41C2-97D0-EF1740C94E51}"/>
    <cellStyle name="Comma 71 3 3" xfId="2377" xr:uid="{F8310E8F-1BA2-469C-A790-11C1950BC19B}"/>
    <cellStyle name="Comma 71 3 4" xfId="3942" xr:uid="{CD296F4A-A645-40CD-BF7F-4F5E903DE5BB}"/>
    <cellStyle name="Comma 71 4" xfId="1229" xr:uid="{60843615-744D-4FDB-BD4C-3D35A93AE94D}"/>
    <cellStyle name="Comma 71 4 2" xfId="2762" xr:uid="{9EC27DA4-94C5-47A9-B1B1-9A125491F2F4}"/>
    <cellStyle name="Comma 71 5" xfId="1996" xr:uid="{789257E8-A375-429B-BB47-39CEA6875270}"/>
    <cellStyle name="Comma 71 6" xfId="3531" xr:uid="{00F8A553-1EBE-4A4D-8BF9-94D7DCEEEE4F}"/>
    <cellStyle name="Comma 72" xfId="235" xr:uid="{26AD39E9-B720-4D9C-A83A-66E80CEF3F3D}"/>
    <cellStyle name="Comma 72 2" xfId="596" xr:uid="{8EC8D831-256C-4ABD-A88F-BD6B5FFEFE84}"/>
    <cellStyle name="Comma 72 2 2" xfId="982" xr:uid="{EC82C1B2-9206-4F32-A3C8-EA9B98B1C32B}"/>
    <cellStyle name="Comma 72 2 2 2" xfId="1793" xr:uid="{0DA709D6-566D-4AC2-BC5F-EF5CC896527D}"/>
    <cellStyle name="Comma 72 2 2 2 2" xfId="3326" xr:uid="{0DEE9F67-F60C-4948-9FB2-3EB747A81B0B}"/>
    <cellStyle name="Comma 72 2 2 3" xfId="2560" xr:uid="{AA599E8D-EDA7-4EF0-AD17-7F0AA7509F5D}"/>
    <cellStyle name="Comma 72 2 2 4" xfId="4125" xr:uid="{03DA8FC9-613C-4073-B134-EEBFC6DBA777}"/>
    <cellStyle name="Comma 72 2 3" xfId="1412" xr:uid="{4BDD5805-3035-4665-80B4-E28CBAD03761}"/>
    <cellStyle name="Comma 72 2 3 2" xfId="2945" xr:uid="{34C7FAC0-7595-4D15-AE5D-7D4B6FBE09FB}"/>
    <cellStyle name="Comma 72 2 4" xfId="2179" xr:uid="{EB0D70BC-8D59-413A-A3A9-89C18A4FC766}"/>
    <cellStyle name="Comma 72 2 5" xfId="3714" xr:uid="{9B3C70E7-174A-453F-9969-12722AFBBDFD}"/>
    <cellStyle name="Comma 72 3" xfId="796" xr:uid="{AD8154F0-7122-465D-AF47-12F4461CCA69}"/>
    <cellStyle name="Comma 72 3 2" xfId="1607" xr:uid="{8D5522BC-FFD5-4EDB-90A1-D6B4D24440E1}"/>
    <cellStyle name="Comma 72 3 2 2" xfId="3140" xr:uid="{9720DB48-EB4A-4CF8-87FE-40BD3783A7EB}"/>
    <cellStyle name="Comma 72 3 3" xfId="2374" xr:uid="{133CBCA7-0FBD-4D9B-895D-0F50CDEC8C5A}"/>
    <cellStyle name="Comma 72 3 4" xfId="3939" xr:uid="{4E534B8A-7D4D-481E-90E8-F087B92F3BF7}"/>
    <cellStyle name="Comma 72 4" xfId="1226" xr:uid="{C94006AF-1A2D-40E8-9DF5-4E617918442F}"/>
    <cellStyle name="Comma 72 4 2" xfId="2759" xr:uid="{CE0BC26E-2552-453C-88D2-FE3542914EE3}"/>
    <cellStyle name="Comma 72 5" xfId="1993" xr:uid="{B80AF5EF-7D04-4A8C-A60F-19C73E4C954A}"/>
    <cellStyle name="Comma 72 6" xfId="3528" xr:uid="{9CE5E2DA-D317-4049-AC1F-307BD826F37B}"/>
    <cellStyle name="Comma 73" xfId="237" xr:uid="{BBCF7D1D-3E31-4502-B22D-8189BBF017DC}"/>
    <cellStyle name="Comma 73 2" xfId="597" xr:uid="{553B5CC1-90F8-4B53-BDB2-E72682AB256F}"/>
    <cellStyle name="Comma 73 2 2" xfId="983" xr:uid="{8BCF1899-2923-4914-A26C-F69AF1CE7F77}"/>
    <cellStyle name="Comma 73 2 2 2" xfId="1794" xr:uid="{14613740-E989-447F-9149-E22573766938}"/>
    <cellStyle name="Comma 73 2 2 2 2" xfId="3327" xr:uid="{BD65B8FB-762C-4F2F-B4A8-EAA0EA69995E}"/>
    <cellStyle name="Comma 73 2 2 3" xfId="2561" xr:uid="{E3F8D6E7-21DE-4A73-B809-C857FD1A3873}"/>
    <cellStyle name="Comma 73 2 2 4" xfId="4126" xr:uid="{4D588509-5478-4D7C-BCBB-48F17A938CE6}"/>
    <cellStyle name="Comma 73 2 3" xfId="1413" xr:uid="{C58A398B-DAFA-4859-8BDA-C1AD7426C191}"/>
    <cellStyle name="Comma 73 2 3 2" xfId="2946" xr:uid="{877E16BE-1367-48C6-9AF8-5BC18BBA63EA}"/>
    <cellStyle name="Comma 73 2 4" xfId="2180" xr:uid="{21CDDBAA-4248-4D9F-9660-5B4D5E2AAD0E}"/>
    <cellStyle name="Comma 73 2 5" xfId="3715" xr:uid="{E68F513D-8864-4F32-B50C-E54E7F70809C}"/>
    <cellStyle name="Comma 73 3" xfId="797" xr:uid="{2580FA63-BE12-4FD9-B9A8-F9C32B427BC9}"/>
    <cellStyle name="Comma 73 3 2" xfId="1608" xr:uid="{91CF70CB-AE24-4EF2-A15C-C964577E38DA}"/>
    <cellStyle name="Comma 73 3 2 2" xfId="3141" xr:uid="{C05B549D-2750-4BEF-A6E2-680A49A97A11}"/>
    <cellStyle name="Comma 73 3 3" xfId="2375" xr:uid="{A163C6E4-E2A1-4BAD-AA35-A17806F8B17A}"/>
    <cellStyle name="Comma 73 3 4" xfId="3940" xr:uid="{75A2F4EB-B8E3-4799-B330-079F14CBB99B}"/>
    <cellStyle name="Comma 73 4" xfId="1227" xr:uid="{E0CD33D2-B823-48E4-831C-A52EFD0D8E0D}"/>
    <cellStyle name="Comma 73 4 2" xfId="2760" xr:uid="{B33838BA-1887-4001-832F-C676464AF4CF}"/>
    <cellStyle name="Comma 73 5" xfId="1994" xr:uid="{DE565470-2140-4D12-B26C-42CE081A7FC5}"/>
    <cellStyle name="Comma 73 6" xfId="3529" xr:uid="{0A16D802-3FFC-4AD1-870F-053845C61570}"/>
    <cellStyle name="Comma 74" xfId="226" xr:uid="{7DDBB643-421F-47CC-BD1F-DDD733D57CF4}"/>
    <cellStyle name="Comma 74 2" xfId="589" xr:uid="{C9EEEF5F-424D-470E-8801-A8D9A7B63CDB}"/>
    <cellStyle name="Comma 74 2 2" xfId="975" xr:uid="{A3861A12-04CD-4F4D-88E7-63DC536214E4}"/>
    <cellStyle name="Comma 74 2 2 2" xfId="1786" xr:uid="{D0CE5154-4C98-45FE-8DF2-A6BAA92E9E26}"/>
    <cellStyle name="Comma 74 2 2 2 2" xfId="3319" xr:uid="{3E29C888-AA65-45A7-9AA3-1A87678CE9FC}"/>
    <cellStyle name="Comma 74 2 2 3" xfId="2553" xr:uid="{54BF0EF2-5E15-4DB8-9EC2-3D50EA18A49E}"/>
    <cellStyle name="Comma 74 2 2 4" xfId="4118" xr:uid="{FE6FDE87-0830-4801-ACC3-9BCF46F5634E}"/>
    <cellStyle name="Comma 74 2 3" xfId="1405" xr:uid="{593E7C8D-09E8-40F6-899F-341ABA775FCF}"/>
    <cellStyle name="Comma 74 2 3 2" xfId="2938" xr:uid="{C8B0E091-7959-4F72-ABA1-A8C2DAE0C991}"/>
    <cellStyle name="Comma 74 2 4" xfId="2172" xr:uid="{E435A89E-1E20-4E08-84E2-0AF438D597F6}"/>
    <cellStyle name="Comma 74 2 5" xfId="3707" xr:uid="{5108D565-DE05-450F-8A24-2523BF4BE47F}"/>
    <cellStyle name="Comma 74 3" xfId="789" xr:uid="{F65245CF-B243-49EF-9967-D5FD79A70DA7}"/>
    <cellStyle name="Comma 74 3 2" xfId="1600" xr:uid="{0403786C-97DF-4988-916C-EA0DA9614675}"/>
    <cellStyle name="Comma 74 3 2 2" xfId="3133" xr:uid="{684CB4A9-BEDF-4F29-9D2C-A3F5017B140E}"/>
    <cellStyle name="Comma 74 3 3" xfId="2367" xr:uid="{7ABFA5C1-4C00-4D56-9A00-7FDC63B00B5F}"/>
    <cellStyle name="Comma 74 3 4" xfId="3932" xr:uid="{5F3D2E73-9382-42E7-AEA8-B2C0EB2093CA}"/>
    <cellStyle name="Comma 74 4" xfId="1219" xr:uid="{F8802599-8E7E-482A-A5E2-E1DC95E08ABF}"/>
    <cellStyle name="Comma 74 4 2" xfId="2752" xr:uid="{4DC3A066-FCF5-4871-AF7C-6FBFDE2247BC}"/>
    <cellStyle name="Comma 74 5" xfId="1986" xr:uid="{90A9B898-883F-4666-B5B8-357212463C9A}"/>
    <cellStyle name="Comma 74 6" xfId="3521" xr:uid="{71AFC4D1-2563-49A0-89CF-A2E9268DF569}"/>
    <cellStyle name="Comma 75" xfId="232" xr:uid="{347866D4-A513-490E-9310-09599F1B3C75}"/>
    <cellStyle name="Comma 75 2" xfId="594" xr:uid="{310F6D53-3A16-4D13-A8A4-B194124866E7}"/>
    <cellStyle name="Comma 75 2 2" xfId="980" xr:uid="{38DCD5C0-3E2A-4229-8383-21D7EE47A7BA}"/>
    <cellStyle name="Comma 75 2 2 2" xfId="1791" xr:uid="{2B00073E-1271-40A9-83F2-C2310060F1EC}"/>
    <cellStyle name="Comma 75 2 2 2 2" xfId="3324" xr:uid="{2DACEFBF-36CC-4F44-B27D-9CF3DACC9F3B}"/>
    <cellStyle name="Comma 75 2 2 3" xfId="2558" xr:uid="{1918CF4D-06DD-420D-9CA1-AE57DB9090D7}"/>
    <cellStyle name="Comma 75 2 2 4" xfId="4123" xr:uid="{F5751511-7667-4E83-B0D8-8A495542A278}"/>
    <cellStyle name="Comma 75 2 3" xfId="1410" xr:uid="{296C50E1-6925-482A-B7D6-6C153F312188}"/>
    <cellStyle name="Comma 75 2 3 2" xfId="2943" xr:uid="{B6887AC8-DAC7-46D0-ABAE-ECFF5821B54B}"/>
    <cellStyle name="Comma 75 2 4" xfId="2177" xr:uid="{AA0AA06D-C3CF-47BF-89D5-63C12ADE125B}"/>
    <cellStyle name="Comma 75 2 5" xfId="3712" xr:uid="{808AA24F-765B-4DEF-A1D3-1224CBE51F15}"/>
    <cellStyle name="Comma 75 3" xfId="794" xr:uid="{48B8A313-5694-416F-A7A9-59CFDB0EED27}"/>
    <cellStyle name="Comma 75 3 2" xfId="1605" xr:uid="{1674BFCB-30DE-4499-B434-0548174B1320}"/>
    <cellStyle name="Comma 75 3 2 2" xfId="3138" xr:uid="{FE398171-A3DE-4C6C-8F1C-F79BAC3AEFDA}"/>
    <cellStyle name="Comma 75 3 3" xfId="2372" xr:uid="{1E994AE9-6581-4318-AA25-E383A315EBE5}"/>
    <cellStyle name="Comma 75 3 4" xfId="3937" xr:uid="{48D7ECA4-B06E-441F-8693-D07011ADAA22}"/>
    <cellStyle name="Comma 75 4" xfId="1224" xr:uid="{E7D8F595-A1CB-491D-A478-9DCEF20E8EF7}"/>
    <cellStyle name="Comma 75 4 2" xfId="2757" xr:uid="{C898B2C1-5575-438A-93DA-12BC5634E359}"/>
    <cellStyle name="Comma 75 5" xfId="1991" xr:uid="{5204325D-7521-467D-8D85-2775606214D4}"/>
    <cellStyle name="Comma 75 6" xfId="3526" xr:uid="{F40D3F29-25CA-4916-87D8-98777CA47FC2}"/>
    <cellStyle name="Comma 76" xfId="240" xr:uid="{67EAD96D-6D0E-4D1E-89C3-211FCF923535}"/>
    <cellStyle name="Comma 76 2" xfId="600" xr:uid="{C3E98288-D4C4-4BB6-92E6-C4ECE8020A5B}"/>
    <cellStyle name="Comma 76 2 2" xfId="986" xr:uid="{9E61D779-0608-47A8-A573-D65604BFE852}"/>
    <cellStyle name="Comma 76 2 2 2" xfId="1797" xr:uid="{E6D42EA7-BDA2-4F54-9089-012B75B33BD8}"/>
    <cellStyle name="Comma 76 2 2 2 2" xfId="3330" xr:uid="{349C09BE-CCC7-4763-8D63-E01D757EA1F7}"/>
    <cellStyle name="Comma 76 2 2 3" xfId="2564" xr:uid="{DF482BF0-095F-478A-A93D-D727EF2597C0}"/>
    <cellStyle name="Comma 76 2 2 4" xfId="4129" xr:uid="{CCBBCF2E-A1F7-4460-BEED-5AA9A0D64BCE}"/>
    <cellStyle name="Comma 76 2 3" xfId="1416" xr:uid="{60D128DA-595B-4E51-A00D-77A99BF47DAE}"/>
    <cellStyle name="Comma 76 2 3 2" xfId="2949" xr:uid="{A9408B4A-C687-4822-9EB3-B924DE33EC77}"/>
    <cellStyle name="Comma 76 2 4" xfId="2183" xr:uid="{135821CA-A01D-420B-A53C-7DDB170A8975}"/>
    <cellStyle name="Comma 76 2 5" xfId="3718" xr:uid="{4EA30A51-6B41-40B6-A332-E2085A490C7A}"/>
    <cellStyle name="Comma 76 3" xfId="800" xr:uid="{8A06AE08-2709-4053-B09F-272633AFA012}"/>
    <cellStyle name="Comma 76 3 2" xfId="1611" xr:uid="{02C8A968-54D8-4161-9273-8D5BE6FA6ED7}"/>
    <cellStyle name="Comma 76 3 2 2" xfId="3144" xr:uid="{3056DE38-AF1F-4FC2-A8FB-73F8683AE23F}"/>
    <cellStyle name="Comma 76 3 3" xfId="2378" xr:uid="{E40EDCF8-03B3-4506-8D3F-BA399BEE2080}"/>
    <cellStyle name="Comma 76 3 4" xfId="3943" xr:uid="{D3F1FC78-9965-465E-9D31-5C0D32E96B94}"/>
    <cellStyle name="Comma 76 4" xfId="1230" xr:uid="{6C93D58D-D7A4-4F2C-8D66-161F7A0A177F}"/>
    <cellStyle name="Comma 76 4 2" xfId="2763" xr:uid="{082CDFDD-42A4-4FB2-B890-12A9FE4734C9}"/>
    <cellStyle name="Comma 76 5" xfId="1997" xr:uid="{200F62D1-979D-433B-83B7-637CE0B09ED7}"/>
    <cellStyle name="Comma 76 6" xfId="3532" xr:uid="{4BEDAC24-FEE6-4B59-8B49-E9E6A224396A}"/>
    <cellStyle name="Comma 77" xfId="225" xr:uid="{5F7041A3-FA12-4BBB-8625-D4B40442B217}"/>
    <cellStyle name="Comma 77 2" xfId="588" xr:uid="{D00FF3C5-BF09-4F02-9CF9-E89CCBCE75F3}"/>
    <cellStyle name="Comma 77 2 2" xfId="974" xr:uid="{C0FC934B-BE1E-451F-BCFE-2210447A2EE6}"/>
    <cellStyle name="Comma 77 2 2 2" xfId="1785" xr:uid="{08BFCD6E-09CC-47DA-A122-8515129D6776}"/>
    <cellStyle name="Comma 77 2 2 2 2" xfId="3318" xr:uid="{1507C75E-8E7B-4209-AF0F-EA24A9BB1AAC}"/>
    <cellStyle name="Comma 77 2 2 3" xfId="2552" xr:uid="{34A3B0B9-EB75-48C1-8746-7CA337B38467}"/>
    <cellStyle name="Comma 77 2 2 4" xfId="4117" xr:uid="{74469662-2DFD-45D0-B98E-6BBD5CA6DCCC}"/>
    <cellStyle name="Comma 77 2 3" xfId="1404" xr:uid="{EBCFB5BD-D3CC-441D-A119-5D1A03D074ED}"/>
    <cellStyle name="Comma 77 2 3 2" xfId="2937" xr:uid="{7975983E-CDAA-490B-929A-917C1319A22F}"/>
    <cellStyle name="Comma 77 2 4" xfId="2171" xr:uid="{77D2C37A-452B-4C6F-87C6-56487EF12EE3}"/>
    <cellStyle name="Comma 77 2 5" xfId="3706" xr:uid="{075DC8BB-D44C-4EF7-B424-677578B1CAEB}"/>
    <cellStyle name="Comma 77 3" xfId="788" xr:uid="{7E18495B-B340-4F50-BB00-F38DE3C74584}"/>
    <cellStyle name="Comma 77 3 2" xfId="1599" xr:uid="{6232D821-7B72-43F3-A361-F1E34DCB7002}"/>
    <cellStyle name="Comma 77 3 2 2" xfId="3132" xr:uid="{16D47CB1-89C2-4054-91C9-6B7E3EAD68D8}"/>
    <cellStyle name="Comma 77 3 3" xfId="2366" xr:uid="{9106A516-1BA6-41BD-8795-0692ECCB7DD2}"/>
    <cellStyle name="Comma 77 3 4" xfId="3931" xr:uid="{3ABD024A-F8FC-47FA-9D0C-54C2A7EF07E4}"/>
    <cellStyle name="Comma 77 4" xfId="1218" xr:uid="{C68FEFAE-623F-4571-8ED1-5EC0F7D9FF44}"/>
    <cellStyle name="Comma 77 4 2" xfId="2751" xr:uid="{F0C36DB3-8F53-4ECA-B41C-6EFC9CEF09D6}"/>
    <cellStyle name="Comma 77 5" xfId="1985" xr:uid="{A3E39208-C9B1-42E0-A2CE-312D4BC15FFB}"/>
    <cellStyle name="Comma 77 6" xfId="3520" xr:uid="{2A73315F-E851-4807-9123-7BDE13E1895B}"/>
    <cellStyle name="Comma 78" xfId="238" xr:uid="{D1985D56-217A-4D72-8E85-C6FC208BDF78}"/>
    <cellStyle name="Comma 78 2" xfId="598" xr:uid="{5757A302-CC09-4C90-B0B8-6AA457875751}"/>
    <cellStyle name="Comma 78 2 2" xfId="984" xr:uid="{3BEC09A1-F958-47E1-8DFE-0F3E0A88B90F}"/>
    <cellStyle name="Comma 78 2 2 2" xfId="1795" xr:uid="{1224B6C5-233C-476D-900D-F258D2D0926D}"/>
    <cellStyle name="Comma 78 2 2 2 2" xfId="3328" xr:uid="{86923475-8C3A-4142-9507-A2F7C8E3AD15}"/>
    <cellStyle name="Comma 78 2 2 3" xfId="2562" xr:uid="{EC18ADB2-7BAA-4A36-93EF-2EC2EDEA9F7F}"/>
    <cellStyle name="Comma 78 2 2 4" xfId="4127" xr:uid="{2731C1A8-C130-4107-886F-49101A1744D6}"/>
    <cellStyle name="Comma 78 2 3" xfId="1414" xr:uid="{9FF00A07-D265-429D-AC4E-9EEFBBF2A6B5}"/>
    <cellStyle name="Comma 78 2 3 2" xfId="2947" xr:uid="{7EE3E603-E71D-4684-A4F3-77F61A5D7BD4}"/>
    <cellStyle name="Comma 78 2 4" xfId="2181" xr:uid="{6C938EAC-B22A-4C51-878D-6ED49B813357}"/>
    <cellStyle name="Comma 78 2 5" xfId="3716" xr:uid="{0B9AE5AC-7ABF-4C59-8D1F-6FC2756CC43F}"/>
    <cellStyle name="Comma 78 3" xfId="798" xr:uid="{E25207F0-BAA5-41DB-9B9B-888E269AB1B0}"/>
    <cellStyle name="Comma 78 3 2" xfId="1609" xr:uid="{5703CD73-18C6-41E0-BB2D-4F5FE2CC5550}"/>
    <cellStyle name="Comma 78 3 2 2" xfId="3142" xr:uid="{C46F934E-8156-4B1B-9845-622048F923A4}"/>
    <cellStyle name="Comma 78 3 3" xfId="2376" xr:uid="{43BB732D-6824-4744-B50D-4B7DE0C98F05}"/>
    <cellStyle name="Comma 78 3 4" xfId="3941" xr:uid="{D6964A67-9D31-4BE2-8063-0761852AF015}"/>
    <cellStyle name="Comma 78 4" xfId="1228" xr:uid="{AD2BF9D2-32D9-47D4-8F1C-4EA6583B6673}"/>
    <cellStyle name="Comma 78 4 2" xfId="2761" xr:uid="{D56BCA6C-B446-44E2-A812-641E77C85701}"/>
    <cellStyle name="Comma 78 5" xfId="1995" xr:uid="{E844C000-49DC-4753-90E7-B0E99A6E068C}"/>
    <cellStyle name="Comma 78 6" xfId="3530" xr:uid="{55262634-8D85-4C06-9477-4868644400D9}"/>
    <cellStyle name="Comma 79" xfId="227" xr:uid="{10F76000-2B58-4EB7-9A7A-1550FB5D8C48}"/>
    <cellStyle name="Comma 79 2" xfId="590" xr:uid="{E7875655-B247-47C2-82E1-67F9340D218B}"/>
    <cellStyle name="Comma 79 2 2" xfId="976" xr:uid="{BEE9D2BF-9C94-433E-B206-CDC6A8A65AAB}"/>
    <cellStyle name="Comma 79 2 2 2" xfId="1787" xr:uid="{EC42720D-CED9-4471-B6A7-2296FF2B31B0}"/>
    <cellStyle name="Comma 79 2 2 2 2" xfId="3320" xr:uid="{CD22716E-FA32-4673-A665-9AD640DDE4F2}"/>
    <cellStyle name="Comma 79 2 2 3" xfId="2554" xr:uid="{8941A477-47D0-4065-9FA8-5E0B25846E03}"/>
    <cellStyle name="Comma 79 2 2 4" xfId="4119" xr:uid="{D3552B8E-D98E-4820-8002-BBBDE9CC13B9}"/>
    <cellStyle name="Comma 79 2 3" xfId="1406" xr:uid="{70D32579-9F08-4729-A86B-C300986742A2}"/>
    <cellStyle name="Comma 79 2 3 2" xfId="2939" xr:uid="{ADF33CA9-0F50-4022-BB8B-B4CFB5AEF8DD}"/>
    <cellStyle name="Comma 79 2 4" xfId="2173" xr:uid="{F15850D4-4D0A-40BC-A0A6-56062E4DCE3F}"/>
    <cellStyle name="Comma 79 2 5" xfId="3708" xr:uid="{298C7126-5F10-457B-BFE3-353A4655AFD6}"/>
    <cellStyle name="Comma 79 3" xfId="790" xr:uid="{A57864BC-6C3C-42AA-A11E-4AA3F5CD692F}"/>
    <cellStyle name="Comma 79 3 2" xfId="1601" xr:uid="{28F4E3E7-4E46-48A0-BF02-6357BA758B55}"/>
    <cellStyle name="Comma 79 3 2 2" xfId="3134" xr:uid="{DCC63B71-DAFD-4F92-A29B-AF3CE6050A20}"/>
    <cellStyle name="Comma 79 3 3" xfId="2368" xr:uid="{F577A529-AF5E-4128-A1DF-09FCDF99FF8D}"/>
    <cellStyle name="Comma 79 3 4" xfId="3933" xr:uid="{40FCA886-3DC9-4569-BF5E-B589310B9129}"/>
    <cellStyle name="Comma 79 4" xfId="1220" xr:uid="{D2A44362-7A1F-43AC-9D29-ECF0AFC42A37}"/>
    <cellStyle name="Comma 79 4 2" xfId="2753" xr:uid="{04D9704C-A782-475E-B179-2A00912527FD}"/>
    <cellStyle name="Comma 79 5" xfId="1987" xr:uid="{F78B4E19-BEF8-4CB9-B879-B80D30F80D63}"/>
    <cellStyle name="Comma 79 6" xfId="3522" xr:uid="{6E17F21F-D7D2-4C48-9E70-A10DDE389371}"/>
    <cellStyle name="Comma 8" xfId="142" xr:uid="{DA88B5F0-4CAC-4335-8DEA-CDB36C3CD042}"/>
    <cellStyle name="Comma 8 2" xfId="528" xr:uid="{1029607A-E77C-43B8-9F4D-3E367A1F189B}"/>
    <cellStyle name="Comma 8 2 2" xfId="914" xr:uid="{F4C03CD9-E43C-4751-803D-10748ADEA3DE}"/>
    <cellStyle name="Comma 8 2 2 2" xfId="1725" xr:uid="{2FC360FB-28ED-4CBE-963B-AF7331CAE927}"/>
    <cellStyle name="Comma 8 2 2 2 2" xfId="3258" xr:uid="{2DF6E510-DB2F-434A-9A1C-A971EC52C4C7}"/>
    <cellStyle name="Comma 8 2 2 3" xfId="2492" xr:uid="{E498DF4B-58A8-4CAB-9E04-2FA6532C7A87}"/>
    <cellStyle name="Comma 8 2 2 4" xfId="4057" xr:uid="{8F5A2A9E-C50D-4DDD-B37D-FF7EA3A0AE6B}"/>
    <cellStyle name="Comma 8 2 3" xfId="1344" xr:uid="{1327CC43-578F-4DBB-BBF1-6FF10033C9AD}"/>
    <cellStyle name="Comma 8 2 3 2" xfId="2877" xr:uid="{D0989F32-07B8-455A-A438-62E7B19FA7A9}"/>
    <cellStyle name="Comma 8 2 4" xfId="2111" xr:uid="{455A3A53-7DCF-4792-B37E-20D5A056931D}"/>
    <cellStyle name="Comma 8 2 5" xfId="3646" xr:uid="{B14EE62E-8C65-4C08-809E-C337A0E3478A}"/>
    <cellStyle name="Comma 8 3" xfId="728" xr:uid="{AA8AF7F7-8614-4317-8AC7-DEC92C52D00C}"/>
    <cellStyle name="Comma 8 3 2" xfId="1539" xr:uid="{388F622C-3FAD-45C8-BE9F-0DF21EA7683B}"/>
    <cellStyle name="Comma 8 3 2 2" xfId="3072" xr:uid="{247DEF3F-AAB2-417D-8E47-89F0FBCEB966}"/>
    <cellStyle name="Comma 8 3 3" xfId="2306" xr:uid="{663D631B-9463-4C4D-ADA1-45F921D59451}"/>
    <cellStyle name="Comma 8 3 4" xfId="3871" xr:uid="{8D80FCC2-902B-4440-B283-73D1E92AE312}"/>
    <cellStyle name="Comma 8 4" xfId="1158" xr:uid="{9E8EF7C3-1FAA-4253-87E7-9DEA0A369463}"/>
    <cellStyle name="Comma 8 4 2" xfId="2691" xr:uid="{565B5CDF-7264-4911-8137-6DC2A8A0DD32}"/>
    <cellStyle name="Comma 8 5" xfId="1925" xr:uid="{15AD8B8A-E015-4E57-BFEF-328C38D64A18}"/>
    <cellStyle name="Comma 8 6" xfId="3460" xr:uid="{909A7D26-145C-467E-BF68-6194F0F9362F}"/>
    <cellStyle name="Comma 80" xfId="230" xr:uid="{FA732873-DAB2-4495-9303-0029BED8E9BC}"/>
    <cellStyle name="Comma 80 2" xfId="592" xr:uid="{B0DF072C-E778-439B-A2D9-149A3C0C0C5E}"/>
    <cellStyle name="Comma 80 2 2" xfId="978" xr:uid="{F783F281-0C77-4FF7-85EB-3A5DB35BF333}"/>
    <cellStyle name="Comma 80 2 2 2" xfId="1789" xr:uid="{F2A3490A-DCB4-4A27-BFF9-E43679513EEC}"/>
    <cellStyle name="Comma 80 2 2 2 2" xfId="3322" xr:uid="{CA559772-1840-4408-8EB0-3AE83AB88457}"/>
    <cellStyle name="Comma 80 2 2 3" xfId="2556" xr:uid="{EB3EF612-3171-49C1-8947-2AB2084E71A2}"/>
    <cellStyle name="Comma 80 2 2 4" xfId="4121" xr:uid="{D275B2BC-40E7-40D7-A6D6-99DB9307F741}"/>
    <cellStyle name="Comma 80 2 3" xfId="1408" xr:uid="{00DE5B05-9CCC-4C82-BA71-323BF7E63A15}"/>
    <cellStyle name="Comma 80 2 3 2" xfId="2941" xr:uid="{F7B39816-6DCC-4209-BD8A-D9E71F33C52A}"/>
    <cellStyle name="Comma 80 2 4" xfId="2175" xr:uid="{B7E6F1D0-4F56-44B6-BF26-D3C40BD565EE}"/>
    <cellStyle name="Comma 80 2 5" xfId="3710" xr:uid="{929F4D31-F21F-4E2A-8474-855AE99D4D14}"/>
    <cellStyle name="Comma 80 3" xfId="792" xr:uid="{36CBBBE1-713E-4DE6-A944-755A481FD698}"/>
    <cellStyle name="Comma 80 3 2" xfId="1603" xr:uid="{9D366788-0E5F-4010-8E04-078504EA9F6E}"/>
    <cellStyle name="Comma 80 3 2 2" xfId="3136" xr:uid="{44419565-DEB2-4B0F-AB75-8E70FA01D80B}"/>
    <cellStyle name="Comma 80 3 3" xfId="2370" xr:uid="{D165FB5D-B0FF-4EA0-9B21-C75EFF8FCBA0}"/>
    <cellStyle name="Comma 80 3 4" xfId="3935" xr:uid="{84D11E6B-C7A9-4D54-B077-19BC364256F9}"/>
    <cellStyle name="Comma 80 4" xfId="1222" xr:uid="{773A193E-F1D6-4977-95BB-F15A9DD2CDD3}"/>
    <cellStyle name="Comma 80 4 2" xfId="2755" xr:uid="{5A156D74-A916-4F07-BF17-53D9FE9EF4C5}"/>
    <cellStyle name="Comma 80 5" xfId="1989" xr:uid="{37E30EFC-4E2B-44B9-9305-FA996798B1C1}"/>
    <cellStyle name="Comma 80 6" xfId="3524" xr:uid="{DE7B8786-0C5D-4F3B-A2AF-7743E6AB2DE6}"/>
    <cellStyle name="Comma 81" xfId="234" xr:uid="{66016A3C-BC2B-488E-A39D-49347A1481B7}"/>
    <cellStyle name="Comma 81 2" xfId="595" xr:uid="{A10CA4A1-A802-4235-90F2-834C197CDB38}"/>
    <cellStyle name="Comma 81 2 2" xfId="981" xr:uid="{9998692F-3E5E-429F-B9AE-0A1073DD4DCD}"/>
    <cellStyle name="Comma 81 2 2 2" xfId="1792" xr:uid="{6497FBE4-7E09-4FFE-AF84-3A2E08C5B667}"/>
    <cellStyle name="Comma 81 2 2 2 2" xfId="3325" xr:uid="{895F4419-0A36-44D5-AD3F-B0C1D788BE56}"/>
    <cellStyle name="Comma 81 2 2 3" xfId="2559" xr:uid="{C004FE6F-3440-48A3-B433-76FDD6748255}"/>
    <cellStyle name="Comma 81 2 2 4" xfId="4124" xr:uid="{E534E26B-F9B9-4C68-BE7A-7A9CEE0250D6}"/>
    <cellStyle name="Comma 81 2 3" xfId="1411" xr:uid="{0EB6B53C-FCB3-49FB-974B-B51B8AA67240}"/>
    <cellStyle name="Comma 81 2 3 2" xfId="2944" xr:uid="{83E25777-11F4-47AA-9278-1042AE62C423}"/>
    <cellStyle name="Comma 81 2 4" xfId="2178" xr:uid="{B26F720D-7ADC-462A-AFAF-6374A4580F02}"/>
    <cellStyle name="Comma 81 2 5" xfId="3713" xr:uid="{EB0308FB-B520-41DA-9A40-81AB640799A2}"/>
    <cellStyle name="Comma 81 3" xfId="795" xr:uid="{9446BE17-CEB3-41C1-B41D-7E3A036CDA54}"/>
    <cellStyle name="Comma 81 3 2" xfId="1606" xr:uid="{F02B5F2F-1FD2-4D34-9EAD-AAE647EEAD08}"/>
    <cellStyle name="Comma 81 3 2 2" xfId="3139" xr:uid="{A8BC87A8-E5F8-4EB4-8E7B-987823B127FC}"/>
    <cellStyle name="Comma 81 3 3" xfId="2373" xr:uid="{DFE0BB60-215E-4CCC-AE03-F8DF64EF940D}"/>
    <cellStyle name="Comma 81 3 4" xfId="3938" xr:uid="{30166CCA-3C96-412D-A783-33F20D0AE83F}"/>
    <cellStyle name="Comma 81 4" xfId="1225" xr:uid="{3E48A01C-A6E1-471C-AB84-373DBC1DBAE0}"/>
    <cellStyle name="Comma 81 4 2" xfId="2758" xr:uid="{B3573933-6DE7-487A-9F0A-16CF7C8EBE94}"/>
    <cellStyle name="Comma 81 5" xfId="1992" xr:uid="{C4A9266D-FA42-4E28-8E31-10CC2CCD9145}"/>
    <cellStyle name="Comma 81 6" xfId="3527" xr:uid="{56CA1587-3E9E-4CA0-9246-EEC6B1CB720C}"/>
    <cellStyle name="Comma 82" xfId="242" xr:uid="{F3945F46-C240-4AC1-945F-C039C8347BFB}"/>
    <cellStyle name="Comma 82 2" xfId="602" xr:uid="{26573E40-0661-4E4E-9315-9535680EC6F5}"/>
    <cellStyle name="Comma 82 2 2" xfId="988" xr:uid="{1274DAE7-4230-4C7B-BCD6-E2B53FCC4133}"/>
    <cellStyle name="Comma 82 2 2 2" xfId="1799" xr:uid="{1FF8A397-E9E8-4DD9-827E-BD3219E50F13}"/>
    <cellStyle name="Comma 82 2 2 2 2" xfId="3332" xr:uid="{95A40B28-7A8A-4BB2-8A8A-3B5E5238B4CB}"/>
    <cellStyle name="Comma 82 2 2 3" xfId="2566" xr:uid="{38257259-A65C-44F1-82F6-662261890C09}"/>
    <cellStyle name="Comma 82 2 2 4" xfId="4131" xr:uid="{183603F0-42F1-4168-9DE1-254B0523BD7C}"/>
    <cellStyle name="Comma 82 2 3" xfId="1418" xr:uid="{51B8CA8C-847D-4960-BAD8-482176665A0D}"/>
    <cellStyle name="Comma 82 2 3 2" xfId="2951" xr:uid="{60730557-0271-4C38-8270-3D6BE4E70128}"/>
    <cellStyle name="Comma 82 2 4" xfId="2185" xr:uid="{149E47C9-4EA0-4BA0-8BB2-41B2539C9010}"/>
    <cellStyle name="Comma 82 2 5" xfId="3720" xr:uid="{125A7F69-0C1E-4ADC-9CE2-63E6EE8749F5}"/>
    <cellStyle name="Comma 82 3" xfId="802" xr:uid="{EAA30AD9-E625-49B2-83ED-8DE0250DC783}"/>
    <cellStyle name="Comma 82 3 2" xfId="1613" xr:uid="{5A28FFD6-28C1-46B5-BA1B-2144CDA0A6C5}"/>
    <cellStyle name="Comma 82 3 2 2" xfId="3146" xr:uid="{259CE8BB-AC50-4816-80A3-97DDA292C664}"/>
    <cellStyle name="Comma 82 3 3" xfId="2380" xr:uid="{5689AE9E-EAB5-4F11-A6A3-4E9B32BA14D8}"/>
    <cellStyle name="Comma 82 3 4" xfId="3945" xr:uid="{2F122618-5E54-4CC9-9D18-AD58987552F1}"/>
    <cellStyle name="Comma 82 4" xfId="1232" xr:uid="{2AFD6D5D-586C-46B2-8BE1-129F7D071239}"/>
    <cellStyle name="Comma 82 4 2" xfId="2765" xr:uid="{7B3A83FD-4C66-4E38-9DC5-5691B5694BC3}"/>
    <cellStyle name="Comma 82 5" xfId="1999" xr:uid="{4B5A32FA-B16D-4393-B98E-DEAE61605ACD}"/>
    <cellStyle name="Comma 82 6" xfId="3534" xr:uid="{0E51F86C-D098-47EB-B38D-9D37B36DAC90}"/>
    <cellStyle name="Comma 83" xfId="243" xr:uid="{9B849159-0D26-4A22-8F16-07BE8D9B9FDD}"/>
    <cellStyle name="Comma 83 2" xfId="603" xr:uid="{C97937E4-1E79-4684-A5D7-2676F4EBD951}"/>
    <cellStyle name="Comma 83 2 2" xfId="989" xr:uid="{E5CC2076-7EDC-4EE0-AA61-D296B06E7E1F}"/>
    <cellStyle name="Comma 83 2 2 2" xfId="1800" xr:uid="{174C208C-34C0-4D75-8D65-F2C5A3FC5298}"/>
    <cellStyle name="Comma 83 2 2 2 2" xfId="3333" xr:uid="{5A4A0B3F-34D6-4675-BA75-79BDF89F2BA8}"/>
    <cellStyle name="Comma 83 2 2 3" xfId="2567" xr:uid="{5C0917A1-F68B-4525-B88C-69486F9BB211}"/>
    <cellStyle name="Comma 83 2 2 4" xfId="4132" xr:uid="{0A1622E0-3E6E-4274-B524-C1B8A0FAB17C}"/>
    <cellStyle name="Comma 83 2 3" xfId="1419" xr:uid="{C5B5E179-3ECB-4087-AFFA-53860203A0B1}"/>
    <cellStyle name="Comma 83 2 3 2" xfId="2952" xr:uid="{8B478D7B-71D3-4752-83E8-3AF97CE1EA28}"/>
    <cellStyle name="Comma 83 2 4" xfId="2186" xr:uid="{5A97A31B-AE23-4888-8F65-DE97B154AAE7}"/>
    <cellStyle name="Comma 83 2 5" xfId="3721" xr:uid="{E5167967-A4D1-4D1A-97BE-250B571449DB}"/>
    <cellStyle name="Comma 83 3" xfId="803" xr:uid="{01FBF545-2DF2-4E76-942F-0CF20BDA8D64}"/>
    <cellStyle name="Comma 83 3 2" xfId="1614" xr:uid="{D417D024-FC4B-44F8-9B7C-D913144213A4}"/>
    <cellStyle name="Comma 83 3 2 2" xfId="3147" xr:uid="{473704C1-91D1-453B-93C9-2C6782AADFA7}"/>
    <cellStyle name="Comma 83 3 3" xfId="2381" xr:uid="{07B8B58B-4E30-4634-9D0E-2CD71B32A556}"/>
    <cellStyle name="Comma 83 3 4" xfId="3946" xr:uid="{59ECFB90-E173-4857-B822-380A919C4BF0}"/>
    <cellStyle name="Comma 83 4" xfId="1233" xr:uid="{4B2D87F2-3E02-42EF-ABCC-2FAE7815C12F}"/>
    <cellStyle name="Comma 83 4 2" xfId="2766" xr:uid="{B89617C0-E1D1-4742-9735-6F95F490AB2C}"/>
    <cellStyle name="Comma 83 5" xfId="2000" xr:uid="{A2F3E353-A1E5-4629-9A47-78A7CCB57D26}"/>
    <cellStyle name="Comma 83 6" xfId="3535" xr:uid="{2989F5CA-FBE7-4AD3-91E7-1AD0BA4FAF6C}"/>
    <cellStyle name="Comma 84" xfId="269" xr:uid="{D916BFFF-7819-4B9D-847B-C6D8A947DF1E}"/>
    <cellStyle name="Comma 84 2" xfId="604" xr:uid="{909976F7-3D73-45CA-8D70-814C1E5190B1}"/>
    <cellStyle name="Comma 84 2 2" xfId="990" xr:uid="{3E474101-82F2-497B-A4EE-4D3A7807591D}"/>
    <cellStyle name="Comma 84 2 2 2" xfId="1801" xr:uid="{851399CC-3836-44F4-818D-F386986D3B02}"/>
    <cellStyle name="Comma 84 2 2 2 2" xfId="3334" xr:uid="{CFFFD658-2D25-45E2-B31C-F4B55753A731}"/>
    <cellStyle name="Comma 84 2 2 3" xfId="2568" xr:uid="{F0A0EE80-D3A8-43CC-AA56-E2834728E040}"/>
    <cellStyle name="Comma 84 2 2 4" xfId="4133" xr:uid="{89BFEDBD-9634-44EE-AF7D-4859640124C6}"/>
    <cellStyle name="Comma 84 2 3" xfId="1420" xr:uid="{677EA94C-E7C2-49EA-8019-DDDDDFC8AFF2}"/>
    <cellStyle name="Comma 84 2 3 2" xfId="2953" xr:uid="{8D6CA2C5-3AE0-465E-B4D8-875514ECDDE1}"/>
    <cellStyle name="Comma 84 2 4" xfId="2187" xr:uid="{C1E01DF4-11F4-4A60-9CF4-3A79B5BA655D}"/>
    <cellStyle name="Comma 84 2 5" xfId="3722" xr:uid="{6A35D4A1-B559-427D-8B4C-2A703E8893E5}"/>
    <cellStyle name="Comma 84 3" xfId="804" xr:uid="{85D98FAA-CBE9-433A-84B0-B738118FDB68}"/>
    <cellStyle name="Comma 84 3 2" xfId="1615" xr:uid="{6E984D4F-18E7-4DC8-AB61-893A00D550A1}"/>
    <cellStyle name="Comma 84 3 2 2" xfId="3148" xr:uid="{1E4219AF-57EC-4E5F-9A32-EA91F7C10D5A}"/>
    <cellStyle name="Comma 84 3 3" xfId="2382" xr:uid="{A70E0960-94C5-4B36-B7AF-F915DB1D13B5}"/>
    <cellStyle name="Comma 84 3 4" xfId="3947" xr:uid="{EF95E93D-F4B4-40C5-9FFE-0485EEC89AB1}"/>
    <cellStyle name="Comma 84 4" xfId="1234" xr:uid="{0CE3E99E-13D4-4298-BCB9-20A735210FC2}"/>
    <cellStyle name="Comma 84 4 2" xfId="2767" xr:uid="{A96570D3-5295-470A-82E4-9C1C43797B02}"/>
    <cellStyle name="Comma 84 5" xfId="2001" xr:uid="{AEF5CA46-061A-4103-9D86-0FDA5C6BEFDA}"/>
    <cellStyle name="Comma 84 6" xfId="3536" xr:uid="{3F1FC253-C738-409C-9ABF-5413B7361F63}"/>
    <cellStyle name="Comma 85" xfId="270" xr:uid="{DA95EC61-152C-4503-AA25-5C6F764CDBB3}"/>
    <cellStyle name="Comma 85 2" xfId="605" xr:uid="{9010022D-C328-4CC6-8C5A-1E532F054E3B}"/>
    <cellStyle name="Comma 85 2 2" xfId="991" xr:uid="{A3C2666D-24C3-4B63-805F-DA025952405F}"/>
    <cellStyle name="Comma 85 2 2 2" xfId="1802" xr:uid="{3AE30FE5-E552-41A1-A655-B2024882EB8C}"/>
    <cellStyle name="Comma 85 2 2 2 2" xfId="3335" xr:uid="{219DDDB8-8AA7-41D5-8102-72DA37CFFE26}"/>
    <cellStyle name="Comma 85 2 2 3" xfId="2569" xr:uid="{DB182659-C276-49C7-9566-E81F26B5214A}"/>
    <cellStyle name="Comma 85 2 2 4" xfId="4134" xr:uid="{FF4EE0F3-8E3E-4B58-8424-81C2F19DFB9E}"/>
    <cellStyle name="Comma 85 2 3" xfId="1421" xr:uid="{379A3E32-0379-4BB8-A997-8C2A0F7623F0}"/>
    <cellStyle name="Comma 85 2 3 2" xfId="2954" xr:uid="{9F25FA3F-9BCB-4255-AF23-B5F6B0141FA9}"/>
    <cellStyle name="Comma 85 2 4" xfId="2188" xr:uid="{24FAF333-80FC-4A14-9A60-0096E8160DFC}"/>
    <cellStyle name="Comma 85 2 5" xfId="3723" xr:uid="{0BCF9253-6520-4327-90FC-CAC7E844BE14}"/>
    <cellStyle name="Comma 85 3" xfId="805" xr:uid="{64F26A06-76A8-4094-9144-4F9F00556A4B}"/>
    <cellStyle name="Comma 85 3 2" xfId="1616" xr:uid="{351FD5C4-9F34-4D23-AC03-45351965F08C}"/>
    <cellStyle name="Comma 85 3 2 2" xfId="3149" xr:uid="{4B583CE4-0779-4079-9269-6E1901553DAB}"/>
    <cellStyle name="Comma 85 3 3" xfId="2383" xr:uid="{C8A4C85A-DF89-41EE-96FF-9FAAA2A5ED26}"/>
    <cellStyle name="Comma 85 3 4" xfId="3948" xr:uid="{914952C5-E6D2-4E23-9AE9-245F695CFAE1}"/>
    <cellStyle name="Comma 85 4" xfId="1235" xr:uid="{B66DC4EE-E5D6-46F3-8DB0-86B708A24C21}"/>
    <cellStyle name="Comma 85 4 2" xfId="2768" xr:uid="{7CB8AE12-8EA8-43B6-B584-4F77E24625E3}"/>
    <cellStyle name="Comma 85 5" xfId="2002" xr:uid="{C900BC61-DC84-42C9-98F7-057AD9ADE34A}"/>
    <cellStyle name="Comma 85 6" xfId="3537" xr:uid="{BF39C5E2-6EC4-4165-A923-3AB1B45CED64}"/>
    <cellStyle name="Comma 86" xfId="274" xr:uid="{E8C6FD59-18C6-4B03-BD21-8E2B52DCB8BB}"/>
    <cellStyle name="Comma 86 2" xfId="609" xr:uid="{18298903-0491-43D8-AD82-B030288AC793}"/>
    <cellStyle name="Comma 86 2 2" xfId="995" xr:uid="{8B5A8D75-11AB-4947-B38E-0F5D4B576FDC}"/>
    <cellStyle name="Comma 86 2 2 2" xfId="1806" xr:uid="{54C4EC88-4CA6-4D38-946C-57202B22116E}"/>
    <cellStyle name="Comma 86 2 2 2 2" xfId="3339" xr:uid="{1A7F5264-D642-4B0D-A342-F4DAD59BCD93}"/>
    <cellStyle name="Comma 86 2 2 3" xfId="2573" xr:uid="{40BF97B9-149B-4BA5-BB48-49B2C9DB6DEC}"/>
    <cellStyle name="Comma 86 2 2 4" xfId="4138" xr:uid="{35C6C10A-A469-4463-8F0A-26B15781682D}"/>
    <cellStyle name="Comma 86 2 3" xfId="1425" xr:uid="{F0741573-B2D1-4F5E-84EF-0B85828BCB92}"/>
    <cellStyle name="Comma 86 2 3 2" xfId="2958" xr:uid="{5367B4B2-7034-41A6-BF35-36C1F0D33BEE}"/>
    <cellStyle name="Comma 86 2 4" xfId="2192" xr:uid="{5217AF67-8B61-4E2F-AE1B-7705A01AAA7F}"/>
    <cellStyle name="Comma 86 2 5" xfId="3727" xr:uid="{83AFD544-41C0-4741-A934-9C9F9A5D63C3}"/>
    <cellStyle name="Comma 86 3" xfId="809" xr:uid="{4B0BE386-6D9E-479C-930F-5608DC62DB6D}"/>
    <cellStyle name="Comma 86 3 2" xfId="1620" xr:uid="{0A2C4D26-5069-46FE-9E97-7320D90A5352}"/>
    <cellStyle name="Comma 86 3 2 2" xfId="3153" xr:uid="{B409DFCE-1626-4F28-A66E-2F235B7CC6E7}"/>
    <cellStyle name="Comma 86 3 3" xfId="2387" xr:uid="{1B471FDB-F5C3-4735-8BF4-81BEEA8E7C1C}"/>
    <cellStyle name="Comma 86 3 4" xfId="3952" xr:uid="{CED8A82E-8866-4680-8EAF-A60492D3327E}"/>
    <cellStyle name="Comma 86 4" xfId="1239" xr:uid="{1B291113-2E48-44CB-8940-707E5DD240EF}"/>
    <cellStyle name="Comma 86 4 2" xfId="2772" xr:uid="{8F1D5CF1-53A4-408A-8EDC-CB733FE93D3C}"/>
    <cellStyle name="Comma 86 5" xfId="2006" xr:uid="{1CB10026-AF29-4940-98F1-FBA5E42723DE}"/>
    <cellStyle name="Comma 86 6" xfId="3541" xr:uid="{74CA7CB2-F685-4141-8D01-24BA29BACE17}"/>
    <cellStyle name="Comma 87" xfId="275" xr:uid="{20E6E697-0DC6-415E-9D64-09F961476462}"/>
    <cellStyle name="Comma 87 2" xfId="610" xr:uid="{C8BB7057-B955-4AB6-9991-3DD40623FC09}"/>
    <cellStyle name="Comma 87 2 2" xfId="996" xr:uid="{C31AD48A-6004-4914-A459-B61FB35D3D7A}"/>
    <cellStyle name="Comma 87 2 2 2" xfId="1807" xr:uid="{CEFD4AF9-1490-4B4A-A86B-13A7CF358CAB}"/>
    <cellStyle name="Comma 87 2 2 2 2" xfId="3340" xr:uid="{32BDD4B5-F9B2-462B-AAC9-9EB2725D8A6C}"/>
    <cellStyle name="Comma 87 2 2 3" xfId="2574" xr:uid="{CEB98080-7BCA-44F0-89F3-DBA98E12289B}"/>
    <cellStyle name="Comma 87 2 2 4" xfId="4139" xr:uid="{D06858FB-0752-4EBD-BFCB-17AD03B69F59}"/>
    <cellStyle name="Comma 87 2 3" xfId="1426" xr:uid="{A5608AE1-FF73-4EDA-805E-F1A9182D6048}"/>
    <cellStyle name="Comma 87 2 3 2" xfId="2959" xr:uid="{49321870-E27A-4032-965A-A53F2AB09ED9}"/>
    <cellStyle name="Comma 87 2 4" xfId="2193" xr:uid="{6B27C35E-1B10-4726-B26B-FABE5713D43F}"/>
    <cellStyle name="Comma 87 2 5" xfId="3728" xr:uid="{C9B4416E-4ED1-4A51-B7B5-734B95D6931A}"/>
    <cellStyle name="Comma 87 3" xfId="810" xr:uid="{997F71D7-39B8-4113-B22E-3B8F4D9A5986}"/>
    <cellStyle name="Comma 87 3 2" xfId="1621" xr:uid="{4468E4CF-D853-4FC4-97D2-FA7B2E86A8C9}"/>
    <cellStyle name="Comma 87 3 2 2" xfId="3154" xr:uid="{0EA1E7CD-5DDC-4BE1-9124-4DB1EB73F245}"/>
    <cellStyle name="Comma 87 3 3" xfId="2388" xr:uid="{ABFF3465-63E6-41A0-BE70-BB82CF97A10C}"/>
    <cellStyle name="Comma 87 3 4" xfId="3953" xr:uid="{B3D4A3C3-CDEA-4AC3-B5D2-4D0A2DB1C5B0}"/>
    <cellStyle name="Comma 87 4" xfId="1240" xr:uid="{292CA669-7678-4F85-A16F-43AA5D4C0D41}"/>
    <cellStyle name="Comma 87 4 2" xfId="2773" xr:uid="{817114E8-5C05-4A63-BB18-698D5488E2B0}"/>
    <cellStyle name="Comma 87 5" xfId="2007" xr:uid="{15F50948-D815-46DA-86FC-4EB7833BF883}"/>
    <cellStyle name="Comma 87 6" xfId="3542" xr:uid="{700D61E9-959D-4A92-A4A5-BB84CBBC8B5F}"/>
    <cellStyle name="Comma 88" xfId="272" xr:uid="{6494228F-659A-4A2E-8B06-4744841A45D0}"/>
    <cellStyle name="Comma 88 2" xfId="607" xr:uid="{F40D9BB6-CA15-4BF5-9447-DE8B285E68BF}"/>
    <cellStyle name="Comma 88 2 2" xfId="993" xr:uid="{34FB5B4B-C552-4A9D-B5B5-EE84534ABDC1}"/>
    <cellStyle name="Comma 88 2 2 2" xfId="1804" xr:uid="{A2E0379B-8E1E-4570-8D7E-86364FCA174A}"/>
    <cellStyle name="Comma 88 2 2 2 2" xfId="3337" xr:uid="{49CD6A48-2B4B-4570-BE13-8236DB9F8ADC}"/>
    <cellStyle name="Comma 88 2 2 3" xfId="2571" xr:uid="{FA381899-A972-4CE5-BA03-7A54F2BE9E4F}"/>
    <cellStyle name="Comma 88 2 2 4" xfId="4136" xr:uid="{8F8960C0-714E-43F7-8A1C-DC65ABD330C0}"/>
    <cellStyle name="Comma 88 2 3" xfId="1423" xr:uid="{C5880B07-3796-435A-B584-6818C50C3F89}"/>
    <cellStyle name="Comma 88 2 3 2" xfId="2956" xr:uid="{4EAF1A46-056C-412E-9FC1-22E9806B7181}"/>
    <cellStyle name="Comma 88 2 4" xfId="2190" xr:uid="{B728A253-1812-4502-8A80-31DDD44DEA19}"/>
    <cellStyle name="Comma 88 2 5" xfId="3725" xr:uid="{C25A8034-0E9B-431A-85A7-94378A58527C}"/>
    <cellStyle name="Comma 88 3" xfId="807" xr:uid="{E6F31598-58E2-409D-B0FA-1B894BE5DC8D}"/>
    <cellStyle name="Comma 88 3 2" xfId="1618" xr:uid="{0E89DFA8-53F1-41CD-BBB9-AEEDEEC2C6FD}"/>
    <cellStyle name="Comma 88 3 2 2" xfId="3151" xr:uid="{D1D7751D-8C79-4CE9-A58A-5790FB6020F7}"/>
    <cellStyle name="Comma 88 3 3" xfId="2385" xr:uid="{5CD140D9-C69A-4845-B5D2-5AA683A28A07}"/>
    <cellStyle name="Comma 88 3 4" xfId="3950" xr:uid="{8982C5D9-A2AD-470E-8DA7-5B9799C1C1DE}"/>
    <cellStyle name="Comma 88 4" xfId="1237" xr:uid="{C359BEB7-13D7-4C0F-BB6E-BCDE5EBC7D17}"/>
    <cellStyle name="Comma 88 4 2" xfId="2770" xr:uid="{6D3120C4-B5F0-4E06-B0D0-1574879A84AF}"/>
    <cellStyle name="Comma 88 5" xfId="2004" xr:uid="{8239A315-7CB8-41B6-BB77-DF2A6CAFB456}"/>
    <cellStyle name="Comma 88 6" xfId="3539" xr:uid="{5ED59C2F-6F72-494C-96E4-98CA6D53F69E}"/>
    <cellStyle name="Comma 89" xfId="273" xr:uid="{BAF9B8A6-B8E4-44CE-A7CA-81A6156B3EFC}"/>
    <cellStyle name="Comma 89 2" xfId="608" xr:uid="{472089F2-7B70-4720-9339-E4EDA9C0357B}"/>
    <cellStyle name="Comma 89 2 2" xfId="994" xr:uid="{61B3949A-2F74-4009-B40B-BA4288F6F59F}"/>
    <cellStyle name="Comma 89 2 2 2" xfId="1805" xr:uid="{85D64891-CAA5-4083-85A0-3F289E3C2526}"/>
    <cellStyle name="Comma 89 2 2 2 2" xfId="3338" xr:uid="{40FCF1BC-B30A-4077-A396-DC608F23AAC1}"/>
    <cellStyle name="Comma 89 2 2 3" xfId="2572" xr:uid="{765A5037-608B-4E97-84D6-8D2F1EDC0ECE}"/>
    <cellStyle name="Comma 89 2 2 4" xfId="4137" xr:uid="{113AF1D7-8EB0-4FEE-9C0A-77B79CF39BDD}"/>
    <cellStyle name="Comma 89 2 3" xfId="1424" xr:uid="{E8A268EB-D13E-44F7-BFBF-050CDC5883C0}"/>
    <cellStyle name="Comma 89 2 3 2" xfId="2957" xr:uid="{C2E8B6E3-EBB0-4685-962D-99060DCAF71F}"/>
    <cellStyle name="Comma 89 2 4" xfId="2191" xr:uid="{266A335A-C45C-4693-B8EF-3136A8CCD512}"/>
    <cellStyle name="Comma 89 2 5" xfId="3726" xr:uid="{506E0410-9F7B-4DF7-A7A2-98AC3EC01565}"/>
    <cellStyle name="Comma 89 3" xfId="808" xr:uid="{3AEBABF8-5878-4BFE-84B6-374B4F64E9BE}"/>
    <cellStyle name="Comma 89 3 2" xfId="1619" xr:uid="{DA29453F-D50D-4CB2-9A9F-8248F2D26B93}"/>
    <cellStyle name="Comma 89 3 2 2" xfId="3152" xr:uid="{26E6DE4F-4BA9-4074-8B38-5C99688E8328}"/>
    <cellStyle name="Comma 89 3 3" xfId="2386" xr:uid="{C3A8FD93-045A-45F7-8911-6C7B56CD8AE6}"/>
    <cellStyle name="Comma 89 3 4" xfId="3951" xr:uid="{1AD1597C-951A-42A7-BFBB-40AEC5DF9E1E}"/>
    <cellStyle name="Comma 89 4" xfId="1238" xr:uid="{4664D214-2798-4327-B2F9-7F50D234451F}"/>
    <cellStyle name="Comma 89 4 2" xfId="2771" xr:uid="{3BE93ECA-1FBC-4CB4-8C5B-438BE2BC70DC}"/>
    <cellStyle name="Comma 89 5" xfId="2005" xr:uid="{0D9C298F-EA29-4194-A82B-003B2FC918F3}"/>
    <cellStyle name="Comma 89 6" xfId="3540" xr:uid="{E75A8A7C-EDD3-48BE-BB73-A22FDC861989}"/>
    <cellStyle name="Comma 9" xfId="140" xr:uid="{77C73B8C-52C7-453E-B5B8-44D1D4668D8A}"/>
    <cellStyle name="Comma 9 2" xfId="526" xr:uid="{19BC72BE-A442-49E2-9BF4-7E9E93A0ED0D}"/>
    <cellStyle name="Comma 9 2 2" xfId="912" xr:uid="{28F87E50-61BB-48BD-B629-2B9BA5846E79}"/>
    <cellStyle name="Comma 9 2 2 2" xfId="1723" xr:uid="{A6958FC4-BE2B-41AD-935D-7FC2E65D47B8}"/>
    <cellStyle name="Comma 9 2 2 2 2" xfId="3256" xr:uid="{AC2A7128-E1A6-4593-BC10-635848CC8FC6}"/>
    <cellStyle name="Comma 9 2 2 3" xfId="2490" xr:uid="{D1CFAF8C-3ED3-4D62-870D-63A1D99C1AF0}"/>
    <cellStyle name="Comma 9 2 2 4" xfId="4055" xr:uid="{62CD314B-85D2-436A-B8B7-777D38BA1357}"/>
    <cellStyle name="Comma 9 2 3" xfId="1342" xr:uid="{4D47CE02-A80B-45C2-AC1C-FE96768E8164}"/>
    <cellStyle name="Comma 9 2 3 2" xfId="2875" xr:uid="{EB3866A2-276C-401D-910E-1A42943E6246}"/>
    <cellStyle name="Comma 9 2 4" xfId="2109" xr:uid="{03749F60-DB4A-457E-8467-56AED84B1C10}"/>
    <cellStyle name="Comma 9 2 5" xfId="3644" xr:uid="{243BAE0F-1FD7-4ACC-ACDB-103933E2082A}"/>
    <cellStyle name="Comma 9 3" xfId="726" xr:uid="{036FB0B8-8F86-4E5B-804C-527680BA2B0B}"/>
    <cellStyle name="Comma 9 3 2" xfId="1537" xr:uid="{2D476BCB-8AA8-44A0-994C-066F0E83214F}"/>
    <cellStyle name="Comma 9 3 2 2" xfId="3070" xr:uid="{371C502C-7717-4248-9135-0F7EA630A723}"/>
    <cellStyle name="Comma 9 3 3" xfId="2304" xr:uid="{2A484C8B-2289-4731-8EB5-D856A5025B0D}"/>
    <cellStyle name="Comma 9 3 4" xfId="3869" xr:uid="{E49925E6-C9CC-4941-8D11-7AE1171C44B9}"/>
    <cellStyle name="Comma 9 4" xfId="1156" xr:uid="{627F4825-048E-4FA8-B99F-C6510675E565}"/>
    <cellStyle name="Comma 9 4 2" xfId="2689" xr:uid="{B9F95FAE-6CFC-40C3-9D10-A2EA2EBE0D3B}"/>
    <cellStyle name="Comma 9 5" xfId="1923" xr:uid="{497A1E49-0A73-4F63-A474-5F02872DD663}"/>
    <cellStyle name="Comma 9 6" xfId="3458" xr:uid="{943E39CD-653A-43E9-AC27-5069068C5EB8}"/>
    <cellStyle name="Comma 90" xfId="271" xr:uid="{4735980C-88E2-470F-8871-CA84460F9113}"/>
    <cellStyle name="Comma 90 2" xfId="606" xr:uid="{3F30320B-4519-4EFF-A0EF-CF5AEE854405}"/>
    <cellStyle name="Comma 90 2 2" xfId="992" xr:uid="{CB522BA3-D43F-456C-93B3-609861A29A9D}"/>
    <cellStyle name="Comma 90 2 2 2" xfId="1803" xr:uid="{A0ADFA8A-BB5D-4FA1-9BEF-C1CE53114F72}"/>
    <cellStyle name="Comma 90 2 2 2 2" xfId="3336" xr:uid="{00399F22-9892-429E-B8A8-D585A7A22264}"/>
    <cellStyle name="Comma 90 2 2 3" xfId="2570" xr:uid="{C5B188C2-078A-4104-9DDD-325365BC695D}"/>
    <cellStyle name="Comma 90 2 2 4" xfId="4135" xr:uid="{7AB8E852-5C8A-4ED2-96F9-83F696D05905}"/>
    <cellStyle name="Comma 90 2 3" xfId="1422" xr:uid="{8499E7DF-36B1-4472-884B-A853A25BB61D}"/>
    <cellStyle name="Comma 90 2 3 2" xfId="2955" xr:uid="{903834C6-4269-4367-8C9B-3CC315A2DD8C}"/>
    <cellStyle name="Comma 90 2 4" xfId="2189" xr:uid="{160D238A-D40A-45C0-B4C1-83A69BD09D50}"/>
    <cellStyle name="Comma 90 2 5" xfId="3724" xr:uid="{F4784480-954D-4CF3-B358-A41233672C87}"/>
    <cellStyle name="Comma 90 3" xfId="806" xr:uid="{7453053E-6B0E-46E1-9C78-6E977AB7E323}"/>
    <cellStyle name="Comma 90 3 2" xfId="1617" xr:uid="{760C5467-242A-4D93-8BE8-384D5F83E7FD}"/>
    <cellStyle name="Comma 90 3 2 2" xfId="3150" xr:uid="{7B6DD9DF-C696-4C0B-8739-75832C0446D0}"/>
    <cellStyle name="Comma 90 3 3" xfId="2384" xr:uid="{83809D29-51C0-4884-8940-A78BCE2CD587}"/>
    <cellStyle name="Comma 90 3 4" xfId="3949" xr:uid="{693CCD3D-A696-4244-B7DB-0DE47167ED84}"/>
    <cellStyle name="Comma 90 4" xfId="1236" xr:uid="{50E557E0-3C4D-4E69-87D6-41687B27BE95}"/>
    <cellStyle name="Comma 90 4 2" xfId="2769" xr:uid="{CCFC1245-F734-4CDA-8CF0-6F358B2D1296}"/>
    <cellStyle name="Comma 90 5" xfId="2003" xr:uid="{D83EFE0F-0E7D-4414-915B-6AD180DDBF26}"/>
    <cellStyle name="Comma 90 6" xfId="3538" xr:uid="{8A1F2EE4-FD6E-4359-8298-05C950A69839}"/>
    <cellStyle name="Comma 91" xfId="276" xr:uid="{4B2C1504-FF6B-4A30-82B5-2F5B950E3BDA}"/>
    <cellStyle name="Comma 91 2" xfId="611" xr:uid="{D7B87D50-4206-425B-83D5-03EB7CCCC39A}"/>
    <cellStyle name="Comma 91 2 2" xfId="997" xr:uid="{69BAE7E4-2E6F-4FAF-A2DF-19927F0C99CE}"/>
    <cellStyle name="Comma 91 2 2 2" xfId="1808" xr:uid="{41E2DD28-1519-4ED8-B486-6E638C583071}"/>
    <cellStyle name="Comma 91 2 2 2 2" xfId="3341" xr:uid="{45D9919C-ECB8-4BC9-9614-AB8AD0DF89D2}"/>
    <cellStyle name="Comma 91 2 2 3" xfId="2575" xr:uid="{CEA327C0-24FF-4EE1-A19F-CAC5107D6D5E}"/>
    <cellStyle name="Comma 91 2 2 4" xfId="4140" xr:uid="{EF5B342F-607D-482F-AC76-B0BFCBDE2D5F}"/>
    <cellStyle name="Comma 91 2 3" xfId="1427" xr:uid="{D291ED38-FF68-4FBF-9DED-38B74A2AAC3A}"/>
    <cellStyle name="Comma 91 2 3 2" xfId="2960" xr:uid="{BEE75887-6327-45A7-9167-D52F37573737}"/>
    <cellStyle name="Comma 91 2 4" xfId="2194" xr:uid="{A695C16F-5A6C-4FD1-A3BB-750ABE71CF57}"/>
    <cellStyle name="Comma 91 2 5" xfId="3729" xr:uid="{70309954-C167-457F-8202-1961A489D89F}"/>
    <cellStyle name="Comma 91 3" xfId="811" xr:uid="{0A16940B-8230-4E64-99E2-5A2D7E9E728B}"/>
    <cellStyle name="Comma 91 3 2" xfId="1622" xr:uid="{1F96A2F8-8CEA-4C12-8525-82BD22F8113B}"/>
    <cellStyle name="Comma 91 3 2 2" xfId="3155" xr:uid="{A9849F19-E6A6-4B85-AC3E-A29F33B96989}"/>
    <cellStyle name="Comma 91 3 3" xfId="2389" xr:uid="{DA33EED2-16FC-405B-BFD8-B3BFA56BD7CA}"/>
    <cellStyle name="Comma 91 3 4" xfId="3954" xr:uid="{AE7C4F1A-3278-4D79-A7C5-E32515A580C4}"/>
    <cellStyle name="Comma 91 4" xfId="1241" xr:uid="{15CBA3A6-DDE6-4570-B05C-7A9C91F0268C}"/>
    <cellStyle name="Comma 91 4 2" xfId="2774" xr:uid="{E506DBA9-BA13-427B-8CE4-0DAC8BE9CD87}"/>
    <cellStyle name="Comma 91 5" xfId="2008" xr:uid="{906BCB36-EF9F-4DDE-8E89-57B494156968}"/>
    <cellStyle name="Comma 91 6" xfId="3543" xr:uid="{F31EABD8-EA70-4FBE-BE77-28135E9DFAD8}"/>
    <cellStyle name="Comma 92" xfId="280" xr:uid="{46CF5F72-52F6-430E-BBE7-500F1CF60FAB}"/>
    <cellStyle name="Comma 92 2" xfId="615" xr:uid="{D880E738-8DCF-48B4-B2C3-C2CBE4B9EA00}"/>
    <cellStyle name="Comma 92 2 2" xfId="1001" xr:uid="{D60ECB6E-1FDD-4F31-9F56-F81E39E8CB7C}"/>
    <cellStyle name="Comma 92 2 2 2" xfId="1812" xr:uid="{673C2596-28E9-4813-A0B5-E583938853E4}"/>
    <cellStyle name="Comma 92 2 2 2 2" xfId="3345" xr:uid="{56EF2028-4F94-492C-91AF-C45D8D54AF6E}"/>
    <cellStyle name="Comma 92 2 2 3" xfId="2579" xr:uid="{DCA468EB-4ED9-420C-A76B-8209ED386C95}"/>
    <cellStyle name="Comma 92 2 2 4" xfId="4144" xr:uid="{F25097BC-05EB-4944-98CB-11C3B6D673C5}"/>
    <cellStyle name="Comma 92 2 3" xfId="1431" xr:uid="{0E078B75-766F-4619-A78C-52DFCA7D4F20}"/>
    <cellStyle name="Comma 92 2 3 2" xfId="2964" xr:uid="{D61442EC-6327-4185-9C16-B222743C7007}"/>
    <cellStyle name="Comma 92 2 4" xfId="2198" xr:uid="{BD356548-588C-49BA-BC8E-9D47C458900A}"/>
    <cellStyle name="Comma 92 2 5" xfId="3733" xr:uid="{2676EF13-7431-4FC4-A94A-8E2439F69E3A}"/>
    <cellStyle name="Comma 92 3" xfId="815" xr:uid="{813143F4-E8EF-4C8C-A3E4-DB881417E307}"/>
    <cellStyle name="Comma 92 3 2" xfId="1626" xr:uid="{03AF5732-6358-402D-9B1B-E6298F3A7098}"/>
    <cellStyle name="Comma 92 3 2 2" xfId="3159" xr:uid="{76CB583D-BCC4-4C2E-8F0B-588FE8851B3A}"/>
    <cellStyle name="Comma 92 3 3" xfId="2393" xr:uid="{A09DE7D6-EB41-4DB9-A632-AD51E029B4F4}"/>
    <cellStyle name="Comma 92 3 4" xfId="3958" xr:uid="{CB091E83-534D-4A20-A7E7-79D20C72ED43}"/>
    <cellStyle name="Comma 92 4" xfId="1245" xr:uid="{6DD67DBF-F23E-4F7A-BC11-E39495EFE7C4}"/>
    <cellStyle name="Comma 92 4 2" xfId="2778" xr:uid="{ED2334B3-B1A2-47FF-BE4C-F2A0574879BA}"/>
    <cellStyle name="Comma 92 5" xfId="2012" xr:uid="{3ADD772E-5846-4A70-8C28-14AEB105B564}"/>
    <cellStyle name="Comma 92 6" xfId="3547" xr:uid="{C18A2EA1-5930-4E6B-839A-FBAFB1B88BB2}"/>
    <cellStyle name="Comma 93" xfId="278" xr:uid="{6F2C9340-0EEF-42F4-9506-72C8DB3DB71C}"/>
    <cellStyle name="Comma 93 2" xfId="613" xr:uid="{4B96A7CD-E6F2-4EA9-80E1-58F4B78CE66F}"/>
    <cellStyle name="Comma 93 2 2" xfId="999" xr:uid="{E9F58F28-2F4D-4D8F-BFF7-4C2F12F16BFF}"/>
    <cellStyle name="Comma 93 2 2 2" xfId="1810" xr:uid="{8CF34A62-49FD-401E-8B43-20BCEA83C215}"/>
    <cellStyle name="Comma 93 2 2 2 2" xfId="3343" xr:uid="{7EA322C3-FACA-4852-BF96-0829122AEF85}"/>
    <cellStyle name="Comma 93 2 2 3" xfId="2577" xr:uid="{F181DECB-00C5-447D-80C3-687572999532}"/>
    <cellStyle name="Comma 93 2 2 4" xfId="4142" xr:uid="{FC0096B3-44C0-4F1D-A333-E07B7041CC00}"/>
    <cellStyle name="Comma 93 2 3" xfId="1429" xr:uid="{D1DBB066-2A5F-4460-BCF9-C9379DE74B39}"/>
    <cellStyle name="Comma 93 2 3 2" xfId="2962" xr:uid="{E42B22A0-6F40-4B8C-BC13-DE661D83CAD3}"/>
    <cellStyle name="Comma 93 2 4" xfId="2196" xr:uid="{3801A3FC-3837-4922-8EA8-1FBE5A000E00}"/>
    <cellStyle name="Comma 93 2 5" xfId="3731" xr:uid="{5834D3A3-CFE0-45E5-BFB4-9471C30AFB41}"/>
    <cellStyle name="Comma 93 3" xfId="813" xr:uid="{7891D4D9-F45E-409D-93D7-CBFD494773BD}"/>
    <cellStyle name="Comma 93 3 2" xfId="1624" xr:uid="{0A5D45E5-5ED8-4324-9CE8-E024C88F5B89}"/>
    <cellStyle name="Comma 93 3 2 2" xfId="3157" xr:uid="{6AE4D969-7CCF-43DC-9371-2AC180543B54}"/>
    <cellStyle name="Comma 93 3 3" xfId="2391" xr:uid="{D6BB4F7C-84E9-49BD-881D-2E9E2A4F1925}"/>
    <cellStyle name="Comma 93 3 4" xfId="3956" xr:uid="{DC0C6FED-A0EB-4E98-BA3B-1798BDF5002F}"/>
    <cellStyle name="Comma 93 4" xfId="1243" xr:uid="{E12312F6-26AB-44B9-AB4C-C47EF7ABBA47}"/>
    <cellStyle name="Comma 93 4 2" xfId="2776" xr:uid="{6E4C678E-9FB3-473B-8214-E6CB25BFC133}"/>
    <cellStyle name="Comma 93 5" xfId="2010" xr:uid="{2E422472-F66C-46AD-8A40-034A87DB20EA}"/>
    <cellStyle name="Comma 93 6" xfId="3545" xr:uid="{5E89DA8F-C25C-44D6-A7CB-35D6A5C4B4E2}"/>
    <cellStyle name="Comma 94" xfId="277" xr:uid="{13546DD6-550D-4054-B15A-9C9512C7B345}"/>
    <cellStyle name="Comma 94 2" xfId="612" xr:uid="{1FDEE050-C392-4DB3-9582-732494145969}"/>
    <cellStyle name="Comma 94 2 2" xfId="998" xr:uid="{1804F507-EF21-4C3B-919C-A5AAE2D4562A}"/>
    <cellStyle name="Comma 94 2 2 2" xfId="1809" xr:uid="{E9F5B079-D75B-4F2F-810B-5F66C6443081}"/>
    <cellStyle name="Comma 94 2 2 2 2" xfId="3342" xr:uid="{81CF7B3B-3063-46C6-AAD8-2544BCCF29D1}"/>
    <cellStyle name="Comma 94 2 2 3" xfId="2576" xr:uid="{0DD7DD71-79D1-4CF6-B8C1-1AEBB14B6E84}"/>
    <cellStyle name="Comma 94 2 2 4" xfId="4141" xr:uid="{4ABD2035-2C24-459B-828A-D46E75A81CD8}"/>
    <cellStyle name="Comma 94 2 3" xfId="1428" xr:uid="{6A00ADEF-2FB6-430F-BE2A-6A04EF021DD0}"/>
    <cellStyle name="Comma 94 2 3 2" xfId="2961" xr:uid="{E313883A-74F2-49B7-AD32-18B6AACA1C7D}"/>
    <cellStyle name="Comma 94 2 4" xfId="2195" xr:uid="{CDD4C979-2F05-4EA1-8E21-FF3D1D80BB0B}"/>
    <cellStyle name="Comma 94 2 5" xfId="3730" xr:uid="{9507111D-8E26-49F1-B6E7-F81CA6C9464B}"/>
    <cellStyle name="Comma 94 3" xfId="812" xr:uid="{C532FA03-2390-44B9-9F50-349EAE1C0F66}"/>
    <cellStyle name="Comma 94 3 2" xfId="1623" xr:uid="{DF525E62-3166-4DA9-9C54-053F15AFE15C}"/>
    <cellStyle name="Comma 94 3 2 2" xfId="3156" xr:uid="{0F12C4B8-5097-4461-AF21-2F1C9FEDF30A}"/>
    <cellStyle name="Comma 94 3 3" xfId="2390" xr:uid="{DB69867F-262B-4D56-8A52-72610BD68063}"/>
    <cellStyle name="Comma 94 3 4" xfId="3955" xr:uid="{5DA07841-C71A-41B8-8E9D-CFD83511C4CA}"/>
    <cellStyle name="Comma 94 4" xfId="1242" xr:uid="{F9C9E9B9-662C-4524-ACB8-EFED08A613C8}"/>
    <cellStyle name="Comma 94 4 2" xfId="2775" xr:uid="{8C96F5DE-33F8-41C0-ACC8-89D1DD8F250A}"/>
    <cellStyle name="Comma 94 5" xfId="2009" xr:uid="{D97F95DA-3367-4531-BB15-326FD103A7ED}"/>
    <cellStyle name="Comma 94 6" xfId="3544" xr:uid="{2DE07251-C663-445B-9A1A-A94F63F3312B}"/>
    <cellStyle name="Comma 95" xfId="279" xr:uid="{5A12ED5F-B257-4C70-B771-A4D8F3188E3C}"/>
    <cellStyle name="Comma 95 2" xfId="614" xr:uid="{869EA193-432A-46F4-8E01-EB520EB21AFE}"/>
    <cellStyle name="Comma 95 2 2" xfId="1000" xr:uid="{F2AFE258-E46D-498B-8211-E26CB5672F0E}"/>
    <cellStyle name="Comma 95 2 2 2" xfId="1811" xr:uid="{EE52B3CE-B2E5-4AF8-8026-825CB3868A98}"/>
    <cellStyle name="Comma 95 2 2 2 2" xfId="3344" xr:uid="{E27679E7-CE05-4E88-A9ED-3F30DB4D9582}"/>
    <cellStyle name="Comma 95 2 2 3" xfId="2578" xr:uid="{562B84B3-195B-41BF-8760-1C1ECB3B5FEB}"/>
    <cellStyle name="Comma 95 2 2 4" xfId="4143" xr:uid="{5DF04563-E9C7-47B3-831B-07F02965E105}"/>
    <cellStyle name="Comma 95 2 3" xfId="1430" xr:uid="{45DB01BB-05E4-4784-BA17-C68F3442B71F}"/>
    <cellStyle name="Comma 95 2 3 2" xfId="2963" xr:uid="{57803D5E-7B69-436E-8907-F2656BE93CC9}"/>
    <cellStyle name="Comma 95 2 4" xfId="2197" xr:uid="{260258EF-97C6-457E-9556-B1D1F8650665}"/>
    <cellStyle name="Comma 95 2 5" xfId="3732" xr:uid="{257E1E97-2199-4000-880E-E1C49DEEF58D}"/>
    <cellStyle name="Comma 95 3" xfId="814" xr:uid="{58738D8F-6569-40AD-BA94-F72BCF362981}"/>
    <cellStyle name="Comma 95 3 2" xfId="1625" xr:uid="{DEC5A461-B7DA-4870-AD19-466CA6A06838}"/>
    <cellStyle name="Comma 95 3 2 2" xfId="3158" xr:uid="{A372BB95-6C1D-4CBE-9AF4-5848ECD15FA7}"/>
    <cellStyle name="Comma 95 3 3" xfId="2392" xr:uid="{7CC59678-753E-4642-90F2-8E0BE89801EB}"/>
    <cellStyle name="Comma 95 3 4" xfId="3957" xr:uid="{9CCA773D-6E26-415E-83C9-2ECFA1AF3203}"/>
    <cellStyle name="Comma 95 4" xfId="1244" xr:uid="{960A45E7-C8F4-4CB6-8AA2-6A4094CE9CD8}"/>
    <cellStyle name="Comma 95 4 2" xfId="2777" xr:uid="{625C1C00-A95B-42B9-A62C-AE6CF04B9A69}"/>
    <cellStyle name="Comma 95 5" xfId="2011" xr:uid="{5D8D5EE9-12BC-4CA5-BF6D-23CE4817FA84}"/>
    <cellStyle name="Comma 95 6" xfId="3546" xr:uid="{A4F046FE-0116-4FC3-8106-4463CED79CFD}"/>
    <cellStyle name="Comma 96" xfId="281" xr:uid="{8B3DE357-2A6B-47EA-9B14-07E5FF04FC57}"/>
    <cellStyle name="Comma 96 2" xfId="616" xr:uid="{BA4B49D1-78F2-4871-A281-F08390FA17CB}"/>
    <cellStyle name="Comma 96 2 2" xfId="1002" xr:uid="{2BDE6A53-78CF-4B1A-AC4D-957C0AE29A89}"/>
    <cellStyle name="Comma 96 2 2 2" xfId="1813" xr:uid="{649EF225-747F-49CD-BC9E-91BDD67A2A5D}"/>
    <cellStyle name="Comma 96 2 2 2 2" xfId="3346" xr:uid="{D2D5FD91-93C3-4716-8775-64CA90D2F184}"/>
    <cellStyle name="Comma 96 2 2 3" xfId="2580" xr:uid="{8AEEF8A5-89BB-4F1A-A392-C417D995FC29}"/>
    <cellStyle name="Comma 96 2 2 4" xfId="4145" xr:uid="{7FC29A21-F0AE-4E14-9F08-FD5C26E310DC}"/>
    <cellStyle name="Comma 96 2 3" xfId="1432" xr:uid="{8842FFC6-0DD8-44A9-8C7A-7A316F096F69}"/>
    <cellStyle name="Comma 96 2 3 2" xfId="2965" xr:uid="{D5FD53A3-15F4-4E47-8AA2-B14F46CCFBB2}"/>
    <cellStyle name="Comma 96 2 4" xfId="2199" xr:uid="{0A4D63CF-420B-4755-90FB-92679CF1AA24}"/>
    <cellStyle name="Comma 96 2 5" xfId="3734" xr:uid="{661E0134-A6CF-4F61-94F7-2EAB355895B6}"/>
    <cellStyle name="Comma 96 3" xfId="816" xr:uid="{DB6B6747-7B94-4AAA-9E1E-A598C743CF0C}"/>
    <cellStyle name="Comma 96 3 2" xfId="1627" xr:uid="{A0AA4A0A-1664-4899-BD82-95A220B86128}"/>
    <cellStyle name="Comma 96 3 2 2" xfId="3160" xr:uid="{4FE61D21-26EF-4703-AABC-9F3E6EC51080}"/>
    <cellStyle name="Comma 96 3 3" xfId="2394" xr:uid="{C066EAE7-A4A3-413C-9E79-7DEB58B2A388}"/>
    <cellStyle name="Comma 96 3 4" xfId="3959" xr:uid="{F2940322-7DFA-45F9-B584-1D5637AB9A44}"/>
    <cellStyle name="Comma 96 4" xfId="1246" xr:uid="{D8A6D036-1093-45B6-90EE-E759D9F47F10}"/>
    <cellStyle name="Comma 96 4 2" xfId="2779" xr:uid="{E263654B-4C20-4BCD-A90F-ABEFF773A517}"/>
    <cellStyle name="Comma 96 5" xfId="2013" xr:uid="{E24B82E6-93B1-46AE-9C1F-8E7960934C5A}"/>
    <cellStyle name="Comma 96 6" xfId="3548" xr:uid="{517EB865-808C-4373-9C9D-C75F941B9FF0}"/>
    <cellStyle name="Comma 97" xfId="282" xr:uid="{A5AB032C-6F74-45CF-956B-AA2264247B2E}"/>
    <cellStyle name="Comma 97 2" xfId="617" xr:uid="{D49002FA-4DAB-49F6-BD86-B52BC2B2945F}"/>
    <cellStyle name="Comma 97 2 2" xfId="1003" xr:uid="{3842AFED-E5FA-4CE9-BBFB-55299B65127A}"/>
    <cellStyle name="Comma 97 2 2 2" xfId="1814" xr:uid="{8E6CF035-61AE-4A5C-8FB0-589ED6B97BD3}"/>
    <cellStyle name="Comma 97 2 2 2 2" xfId="3347" xr:uid="{7C6FBAAE-92A2-40BA-99FE-0DB8C07B002F}"/>
    <cellStyle name="Comma 97 2 2 3" xfId="2581" xr:uid="{95CFD28D-73FD-44E7-AA45-1AE8B2A1449A}"/>
    <cellStyle name="Comma 97 2 2 4" xfId="4146" xr:uid="{17A61E61-8005-4890-A21B-CD3473E61491}"/>
    <cellStyle name="Comma 97 2 3" xfId="1433" xr:uid="{806669A6-2791-4060-BD14-4CDE5A51FB45}"/>
    <cellStyle name="Comma 97 2 3 2" xfId="2966" xr:uid="{F1A69B69-4C79-4D6E-B4C4-18E42D3F7BDE}"/>
    <cellStyle name="Comma 97 2 4" xfId="2200" xr:uid="{F20629B1-E49F-4FD8-8854-2DA5629DC13B}"/>
    <cellStyle name="Comma 97 2 5" xfId="3735" xr:uid="{C832B503-30B0-49AA-B25E-7E1D20AF5353}"/>
    <cellStyle name="Comma 97 3" xfId="817" xr:uid="{B1CB2A04-9AE2-4372-9623-8C01B81030A1}"/>
    <cellStyle name="Comma 97 3 2" xfId="1628" xr:uid="{2479EADA-A323-4FBD-8ABE-74695E3E4006}"/>
    <cellStyle name="Comma 97 3 2 2" xfId="3161" xr:uid="{40DEAFED-1A5F-4C9C-B2CB-D9252456A9D1}"/>
    <cellStyle name="Comma 97 3 3" xfId="2395" xr:uid="{0FFC1240-58EC-48F6-8E7A-3752422F67BF}"/>
    <cellStyle name="Comma 97 3 4" xfId="3960" xr:uid="{A3F1ED6F-0845-4D7E-8287-30028BF1AF6C}"/>
    <cellStyle name="Comma 97 4" xfId="1247" xr:uid="{04E62486-A362-451C-9F65-A9A93C704186}"/>
    <cellStyle name="Comma 97 4 2" xfId="2780" xr:uid="{FC24D218-9AB8-4B22-9710-240FC9CA66B5}"/>
    <cellStyle name="Comma 97 5" xfId="2014" xr:uid="{129AB77F-3105-4B77-9349-65FB4A7031D0}"/>
    <cellStyle name="Comma 97 6" xfId="3549" xr:uid="{87E94A19-94D5-4E91-B80C-0D0742FC97D3}"/>
    <cellStyle name="Comma 98" xfId="284" xr:uid="{F90913B8-F609-458A-A4DA-03933EEF887E}"/>
    <cellStyle name="Comma 98 2" xfId="618" xr:uid="{761D70DC-0B16-4456-B12D-B6E8EBF84314}"/>
    <cellStyle name="Comma 98 2 2" xfId="1004" xr:uid="{51C9EE2B-7DC7-419B-BA63-4B7300F3198C}"/>
    <cellStyle name="Comma 98 2 2 2" xfId="1815" xr:uid="{40872417-D3E2-48CD-B3D3-F3ED944B520A}"/>
    <cellStyle name="Comma 98 2 2 2 2" xfId="3348" xr:uid="{0E67FBB1-3A71-46EB-9318-BE4C7C76B7CA}"/>
    <cellStyle name="Comma 98 2 2 3" xfId="2582" xr:uid="{0DCBE9D6-6F81-4975-8B75-CB51CE406580}"/>
    <cellStyle name="Comma 98 2 2 4" xfId="4147" xr:uid="{5BFD4177-3AFC-4DFE-B471-8B41E928053D}"/>
    <cellStyle name="Comma 98 2 3" xfId="1434" xr:uid="{E0E0CC9E-C514-4DC7-BB9E-8F1FA11BA2B1}"/>
    <cellStyle name="Comma 98 2 3 2" xfId="2967" xr:uid="{C75835ED-E568-4526-A59C-C2679D1B5FB6}"/>
    <cellStyle name="Comma 98 2 4" xfId="2201" xr:uid="{AE518DCF-125D-418B-99E6-F50D4D4D5520}"/>
    <cellStyle name="Comma 98 2 5" xfId="3736" xr:uid="{6E961A31-A283-48CA-97DA-2200CD7C7A82}"/>
    <cellStyle name="Comma 98 3" xfId="818" xr:uid="{E9D7CD61-93AD-4AFA-AFD6-0C088D1FF527}"/>
    <cellStyle name="Comma 98 3 2" xfId="1629" xr:uid="{68881BC5-E832-4517-BF62-4CC41E956054}"/>
    <cellStyle name="Comma 98 3 2 2" xfId="3162" xr:uid="{528BDBAD-D27C-454A-B78D-D7158A779AAE}"/>
    <cellStyle name="Comma 98 3 3" xfId="2396" xr:uid="{A3283D95-C164-4698-AA0D-1B285120ACCE}"/>
    <cellStyle name="Comma 98 3 4" xfId="3961" xr:uid="{CA0B4BDD-20EF-41ED-9200-4CC5111CF771}"/>
    <cellStyle name="Comma 98 4" xfId="1248" xr:uid="{51471903-0B13-4C7C-8C9A-5573455B8E0F}"/>
    <cellStyle name="Comma 98 4 2" xfId="2781" xr:uid="{31A690C7-EE36-48B4-AF5B-52D2E026F127}"/>
    <cellStyle name="Comma 98 5" xfId="2015" xr:uid="{1C20325D-CDB0-4C87-8421-73F117FA3010}"/>
    <cellStyle name="Comma 98 6" xfId="3550" xr:uid="{0199B974-B6AA-4E26-A0BE-2EA171ED033B}"/>
    <cellStyle name="Comma 99" xfId="286" xr:uid="{F4C47104-F3A0-400D-8891-F1BAC3E80897}"/>
    <cellStyle name="Comma 99 2" xfId="619" xr:uid="{34406741-72E6-4F0E-A1E4-AD2EA969A5A8}"/>
    <cellStyle name="Comma 99 2 2" xfId="1005" xr:uid="{4C68FB83-6240-4AE2-95F7-959BBEFE7AAB}"/>
    <cellStyle name="Comma 99 2 2 2" xfId="1816" xr:uid="{2C56ACE5-9D5B-43C2-973D-E02C620E755E}"/>
    <cellStyle name="Comma 99 2 2 2 2" xfId="3349" xr:uid="{CFB3DFA1-F1F6-4A51-A88D-DBC357D9D786}"/>
    <cellStyle name="Comma 99 2 2 3" xfId="2583" xr:uid="{6396BA01-8FE4-45C9-A4B8-35428F3111F2}"/>
    <cellStyle name="Comma 99 2 2 4" xfId="4148" xr:uid="{30519D75-4806-4E7E-B96A-F326A25C8504}"/>
    <cellStyle name="Comma 99 2 3" xfId="1435" xr:uid="{B7CA66CA-7A88-41D8-B5FF-11962E14ACA4}"/>
    <cellStyle name="Comma 99 2 3 2" xfId="2968" xr:uid="{97316284-DDD1-4A50-B03C-7A704F3C528C}"/>
    <cellStyle name="Comma 99 2 4" xfId="2202" xr:uid="{7BF1A9CD-66D8-4021-AAA2-D473462DFA9A}"/>
    <cellStyle name="Comma 99 2 5" xfId="3737" xr:uid="{873F5962-8D65-4178-AFEA-7677B57348E6}"/>
    <cellStyle name="Comma 99 3" xfId="819" xr:uid="{5E7BF071-4931-4A6A-A290-E7950321EB4D}"/>
    <cellStyle name="Comma 99 3 2" xfId="1630" xr:uid="{C2ACF081-B807-48F8-AF45-3BABED7C9F7C}"/>
    <cellStyle name="Comma 99 3 2 2" xfId="3163" xr:uid="{3D2F83BF-F0FC-44AE-A93D-14D421D34F19}"/>
    <cellStyle name="Comma 99 3 3" xfId="2397" xr:uid="{D8818B80-5F3C-405F-937E-305A8A1226A4}"/>
    <cellStyle name="Comma 99 3 4" xfId="3962" xr:uid="{647B12A5-4356-429B-8796-8283B7E5A204}"/>
    <cellStyle name="Comma 99 4" xfId="1249" xr:uid="{BD78986B-DE20-4D77-B908-8CD655E8A759}"/>
    <cellStyle name="Comma 99 4 2" xfId="2782" xr:uid="{B6F93D7A-619B-4F9C-A143-DCE0FF786752}"/>
    <cellStyle name="Comma 99 5" xfId="2016" xr:uid="{DCB081AF-EBAD-4745-A72B-5E4287959EC4}"/>
    <cellStyle name="Comma 99 6" xfId="3551" xr:uid="{C7DDA97D-86C5-434C-AB99-C4BE05BAECD6}"/>
    <cellStyle name="Euro" xfId="4435" xr:uid="{A9D80C42-CC16-48C3-8FD1-B881D610D795}"/>
    <cellStyle name="Euro 10" xfId="4456" xr:uid="{39D9ADC4-6AA2-4E1E-BA03-56E544DC28A7}"/>
    <cellStyle name="Euro 11" xfId="4473" xr:uid="{D3DE17D3-E9DF-441F-B840-86D8D625E328}"/>
    <cellStyle name="Euro 2" xfId="4438" xr:uid="{A647AAF0-38F4-4ADF-9BD0-061BDBAF9D42}"/>
    <cellStyle name="Euro 2 2" xfId="4457" xr:uid="{3B21437C-9DAB-43E4-9C7E-01D1BD5D9B78}"/>
    <cellStyle name="Euro 3" xfId="4440" xr:uid="{7F727877-BDFE-4EE6-B93D-BD87F712EEDF}"/>
    <cellStyle name="Euro 3 2" xfId="4459" xr:uid="{F6D75795-6CC2-403B-A9DD-D1D7BBE98B0E}"/>
    <cellStyle name="Euro 4" xfId="4442" xr:uid="{D76A0D06-50E4-41BB-AF90-D569AA154B92}"/>
    <cellStyle name="Euro 4 2" xfId="4461" xr:uid="{402B25E4-8D00-4943-B8BF-FF24E59509AA}"/>
    <cellStyle name="Euro 5" xfId="4444" xr:uid="{4938B37C-DC3D-4C74-AF24-0D22A6C7586E}"/>
    <cellStyle name="Euro 5 2" xfId="4463" xr:uid="{0FDC315C-2847-4EDA-9D84-4CE048D03FD5}"/>
    <cellStyle name="Euro 6" xfId="4446" xr:uid="{8EB66CCE-BD32-465B-9C7B-20384F02286B}"/>
    <cellStyle name="Euro 6 2" xfId="4466" xr:uid="{09EE954A-DF75-4D30-B4A5-436BDBA6B740}"/>
    <cellStyle name="Euro 7" xfId="4449" xr:uid="{48C3720B-A47D-44EE-B522-DAD3CFA85981}"/>
    <cellStyle name="Euro 7 2" xfId="4468" xr:uid="{4CC7C5B2-D062-4588-8383-A5E8E11705BF}"/>
    <cellStyle name="Euro 8" xfId="4451" xr:uid="{38657431-110A-4862-9938-7BFAFB594AB8}"/>
    <cellStyle name="Euro 8 2" xfId="4470" xr:uid="{BFFE612A-F4A7-4BEB-96FE-53D935B52C7A}"/>
    <cellStyle name="Euro 9" xfId="4453" xr:uid="{5F241B2D-B361-40CF-8DEE-11CB05B5D5F6}"/>
    <cellStyle name="Euro 9 2" xfId="4481" xr:uid="{3FBAA381-8CB3-4A2E-9587-00760781873E}"/>
    <cellStyle name="Hyperlink 2" xfId="35" xr:uid="{A507AC96-983D-4386-80AF-A3A3BE1013D7}"/>
    <cellStyle name="Hyperlink 3" xfId="138" xr:uid="{DBD29AD9-6758-41F4-80C4-0D9509809F29}"/>
    <cellStyle name="Hyperlink 4" xfId="229" xr:uid="{82E92223-FD03-450F-80C3-E3997130A03B}"/>
    <cellStyle name="Neutral 10" xfId="381" xr:uid="{1172DE48-1960-41E8-8E72-5C7675695A76}"/>
    <cellStyle name="Neutral 11" xfId="406" xr:uid="{B272B038-C9EE-46F5-807A-80FA178CC5FF}"/>
    <cellStyle name="Neutral 12" xfId="407" xr:uid="{EF0F9370-6756-4595-AFD8-2F2DC9D43A1D}"/>
    <cellStyle name="Neutral 13" xfId="467" xr:uid="{56A8387E-93C5-4B61-BD00-2BEE1E5C559D}"/>
    <cellStyle name="Neutral 14" xfId="433" xr:uid="{282E3E0F-9683-4B14-92C0-33A3F76D6A4E}"/>
    <cellStyle name="Neutral 15" xfId="430" xr:uid="{EE0BD275-4CA2-459D-81CE-AD91FAC09C52}"/>
    <cellStyle name="Neutral 16" xfId="469" xr:uid="{B76A7182-2222-420C-8F49-7232633D0E85}"/>
    <cellStyle name="Neutral 17" xfId="468" xr:uid="{F19CB578-5D93-4734-B4FB-CAA535787D27}"/>
    <cellStyle name="Neutral 18" xfId="477" xr:uid="{6551592A-46AD-4989-BC8E-C4099B6903A4}"/>
    <cellStyle name="Neutral 2" xfId="333" xr:uid="{210F38A7-BB59-484C-821B-721CF363900C}"/>
    <cellStyle name="Neutral 3" xfId="342" xr:uid="{4BF7CB30-A980-4A4B-8557-C2B867A9088D}"/>
    <cellStyle name="Neutral 4" xfId="366" xr:uid="{D6C04854-7357-4585-A6B9-D57562D460F9}"/>
    <cellStyle name="Neutral 5" xfId="435" xr:uid="{49E6A13C-A622-4220-9242-11D8AC5D5A25}"/>
    <cellStyle name="Neutral 6" xfId="383" xr:uid="{389AA433-3B6D-45FD-802C-68AF97EEF794}"/>
    <cellStyle name="Neutral 7" xfId="446" xr:uid="{B9B84A60-AFD5-4F66-B5FC-74B71C38B3CA}"/>
    <cellStyle name="Neutral 8" xfId="425" xr:uid="{BAAB4BB6-7234-49B9-B869-A028F828B33B}"/>
    <cellStyle name="Neutral 9" xfId="350" xr:uid="{B3636BE8-00F9-43C4-90AB-51839F2AB0BE}"/>
    <cellStyle name="Normal 10" xfId="64" xr:uid="{888F44F1-FA30-4F74-BD9A-B8310F772513}"/>
    <cellStyle name="Normal 11" xfId="65" xr:uid="{8F4C137A-822E-4C40-95DE-F7070FD69757}"/>
    <cellStyle name="Normal 12" xfId="66" xr:uid="{013D9E9E-5A5F-4EAD-932A-115E8906DFFE}"/>
    <cellStyle name="Normal 13" xfId="116" xr:uid="{FE34475F-6FA3-471B-BC10-D2656F064B73}"/>
    <cellStyle name="Normal 13 10" xfId="151" xr:uid="{3678168C-61D0-426E-861B-88CE87047270}"/>
    <cellStyle name="Normal 13 11" xfId="164" xr:uid="{9D813D4E-8792-4B5D-BD29-D8D0D20C4447}"/>
    <cellStyle name="Normal 13 12" xfId="165" xr:uid="{15E9FEF9-ADD6-4ACF-BE60-5F6E41F98093}"/>
    <cellStyle name="Normal 13 13" xfId="169" xr:uid="{3D24BE23-1B42-4629-AB61-705CB8CDC120}"/>
    <cellStyle name="Normal 13 14" xfId="171" xr:uid="{97824D23-945F-464C-8495-5CBDC5E0FA74}"/>
    <cellStyle name="Normal 13 15" xfId="182" xr:uid="{F2F16E13-4CE7-497D-A285-3657F34A1E6A}"/>
    <cellStyle name="Normal 13 16" xfId="183" xr:uid="{6A616351-0F64-41EB-BE96-B94B1525D0E7}"/>
    <cellStyle name="Normal 13 17" xfId="173" xr:uid="{64C7AFF6-7A71-4AA4-9AC7-4A33928086D8}"/>
    <cellStyle name="Normal 13 18" xfId="187" xr:uid="{A1534F0B-31F2-43C5-A078-CC0C0650748F}"/>
    <cellStyle name="Normal 13 19" xfId="192" xr:uid="{4EE30C30-1CFA-4B86-B1FF-9A79F2B361E1}"/>
    <cellStyle name="Normal 13 2" xfId="124" xr:uid="{331B31BE-9BB3-430E-B018-B132BF35342E}"/>
    <cellStyle name="Normal 13 20" xfId="190" xr:uid="{15885DE5-1250-4FD0-B17C-7F8F3B75601D}"/>
    <cellStyle name="Normal 13 21" xfId="196" xr:uid="{AF309667-0B74-4708-9F33-5440A5E0E89F}"/>
    <cellStyle name="Normal 13 22" xfId="200" xr:uid="{B1F1D8DA-7EAA-4F61-BF18-AE8710AEAD80}"/>
    <cellStyle name="Normal 13 23" xfId="202" xr:uid="{09E0C520-2A13-4E13-BC72-010793169915}"/>
    <cellStyle name="Normal 13 24" xfId="213" xr:uid="{B5C2E35B-6D34-4614-911B-A035FD47AA6F}"/>
    <cellStyle name="Normal 13 25" xfId="222" xr:uid="{C4E7C71E-7AD4-45B6-8173-E1C228BC9F7E}"/>
    <cellStyle name="Normal 13 26" xfId="233" xr:uid="{CD767100-A5EB-467C-9DA3-E65B82C6EDD8}"/>
    <cellStyle name="Normal 13 27" xfId="236" xr:uid="{61963D4A-0B7C-4D4B-9A54-721DE816944E}"/>
    <cellStyle name="Normal 13 28" xfId="285" xr:uid="{946BCC66-F17D-450F-AE21-7E0630AB7326}"/>
    <cellStyle name="Normal 13 29" xfId="283" xr:uid="{D21A2BF5-52CE-4660-AFEF-4A81A9311452}"/>
    <cellStyle name="Normal 13 3" xfId="126" xr:uid="{30F586CA-1845-4B4D-A03F-63A667A7245F}"/>
    <cellStyle name="Normal 13 30" xfId="301" xr:uid="{13DBAE00-8CFB-4B64-A9AA-64F757CC457A}"/>
    <cellStyle name="Normal 13 31" xfId="306" xr:uid="{B330470E-629A-478D-9566-3E85DB9D135F}"/>
    <cellStyle name="Normal 13 32" xfId="305" xr:uid="{0A4FE150-EAB4-4A74-9A20-2F60A38C5193}"/>
    <cellStyle name="Normal 13 33" xfId="313" xr:uid="{3F662571-1B61-4AFB-8B3B-F8EAFEF156ED}"/>
    <cellStyle name="Normal 13 34" xfId="319" xr:uid="{D31FCA5A-2538-4F85-AEE0-7956010F7766}"/>
    <cellStyle name="Normal 13 35" xfId="316" xr:uid="{20E183C9-8EDF-4214-94D4-E719009326AE}"/>
    <cellStyle name="Normal 13 36" xfId="314" xr:uid="{EDE72F78-A453-469B-80D5-D455C58D7D76}"/>
    <cellStyle name="Normal 13 37" xfId="321" xr:uid="{E65D852D-2D14-4426-AD41-B8687EDBC2E8}"/>
    <cellStyle name="Normal 13 38" xfId="307" xr:uid="{F2D1FB22-3EBA-4E8B-96C7-925B1E94F212}"/>
    <cellStyle name="Normal 13 4" xfId="134" xr:uid="{A46C75A8-D9B7-42DA-BFB9-FA08021C0BB5}"/>
    <cellStyle name="Normal 13 5" xfId="135" xr:uid="{3D8ECFCC-A755-47C4-8F19-B9B04130A739}"/>
    <cellStyle name="Normal 13 6" xfId="152" xr:uid="{E399BF3E-CA9F-4F14-BF20-4F016C42DF5A}"/>
    <cellStyle name="Normal 13 7" xfId="154" xr:uid="{8A0181FD-BB81-403E-9F1F-713DD52A6BA5}"/>
    <cellStyle name="Normal 13 8" xfId="147" xr:uid="{E726BA49-2D7F-452F-9F2B-230BF0243A69}"/>
    <cellStyle name="Normal 13 9" xfId="150" xr:uid="{15465BBB-0E2B-45EF-98B5-5B19B11D645A}"/>
    <cellStyle name="Normal 14" xfId="118" xr:uid="{D14D6288-00B0-4B72-AD4A-9CD2825EC663}"/>
    <cellStyle name="Normal 14 2" xfId="128" xr:uid="{BDBCE889-1EC0-47D0-9883-8A6B46E167D4}"/>
    <cellStyle name="Normal 15" xfId="121" xr:uid="{A3088C39-7453-42BF-9A55-0AFFEAD86E8B}"/>
    <cellStyle name="Normal 15 2" xfId="130" xr:uid="{2056C18F-6C10-42AF-93A0-A5CC3D2E22E1}"/>
    <cellStyle name="Normal 16" xfId="122" xr:uid="{A3932344-E35C-4573-B574-5C19BF4F9A94}"/>
    <cellStyle name="Normal 16 2" xfId="131" xr:uid="{A9512C7A-31DF-4845-AE04-40C02650F028}"/>
    <cellStyle name="Normal 17" xfId="244" xr:uid="{74979652-F1FE-4A24-85A4-C30AB9459A4C}"/>
    <cellStyle name="Normal 18" xfId="245" xr:uid="{1F1377C4-E240-4231-9349-5317F3CB2296}"/>
    <cellStyle name="Normal 19" xfId="246" xr:uid="{F8469958-0BC6-4570-8ED2-2E24032FA0CC}"/>
    <cellStyle name="Normal 19 2" xfId="247" xr:uid="{68BB970C-D05F-46C2-AA17-882B4B77A0C2}"/>
    <cellStyle name="Normal 196" xfId="53" xr:uid="{9203F367-81E6-4BB7-8F6F-4C12C4BD2412}"/>
    <cellStyle name="Normal 2" xfId="32" xr:uid="{537EE485-2E99-42A1-8C19-5CB34A9CA88F}"/>
    <cellStyle name="Normal 2 2" xfId="123" xr:uid="{1B64B942-BED6-4EB5-BF7C-8FEB6D0D7F34}"/>
    <cellStyle name="Normal 2 2 2" xfId="132" xr:uid="{3181E3C0-460B-4870-9F8B-4AAB71FC3885}"/>
    <cellStyle name="Normal 2 3" xfId="217" xr:uid="{D7F18DE9-CA82-497D-A219-28D93C34A16E}"/>
    <cellStyle name="Normal 2 3 2" xfId="249" xr:uid="{F5A9C2CB-9598-461A-97FD-13CAF8EC0687}"/>
    <cellStyle name="Normal 2 3 3" xfId="264" xr:uid="{3366A484-DFB5-4D18-B63A-56AF90EBD877}"/>
    <cellStyle name="Normal 2 3 4" xfId="248" xr:uid="{12797D39-6F47-4407-9140-57EAAC146BD4}"/>
    <cellStyle name="Normal 2 4" xfId="265" xr:uid="{2B1B764F-1815-4428-9A7B-6EC931FA007A}"/>
    <cellStyle name="Normal 20" xfId="250" xr:uid="{1C128B38-92FB-49CE-BFC0-CBD2E37CEBF8}"/>
    <cellStyle name="Normal 20 2" xfId="251" xr:uid="{D9E18F97-B571-44CB-B2F0-9B6B44E246B1}"/>
    <cellStyle name="Normal 21" xfId="252" xr:uid="{7C7FA197-B17D-4FF5-830F-564B30F72F15}"/>
    <cellStyle name="Normal 21 2" xfId="253" xr:uid="{142739CD-14B0-4A91-BAB0-039E60591E0B}"/>
    <cellStyle name="Normal 22" xfId="254" xr:uid="{6D1F5406-8706-4B12-AA40-2643A79C9654}"/>
    <cellStyle name="Normal 23" xfId="255" xr:uid="{72F6ECA2-E6AF-4E9E-8A3F-B9D20FA51C84}"/>
    <cellStyle name="Normal 23 2" xfId="256" xr:uid="{28B644A5-1A2D-476A-8305-70504F77F3B2}"/>
    <cellStyle name="Normal 24" xfId="266" xr:uid="{AC90020F-D336-4828-B653-1B7B7DD9F6E9}"/>
    <cellStyle name="Normal 3" xfId="54" xr:uid="{FDD3392E-48B1-4CFF-872B-C265622183FC}"/>
    <cellStyle name="Normal 3 2" xfId="114" xr:uid="{4421659E-74CA-49F9-A19E-B941C45C5168}"/>
    <cellStyle name="Normal 3 3" xfId="257" xr:uid="{692083BB-FD8C-48E4-A666-CDAAA010487D}"/>
    <cellStyle name="Normal 3 4" xfId="258" xr:uid="{A6495AF7-CBA1-4C11-A660-B33736AB7715}"/>
    <cellStyle name="Normal 3 5" xfId="259" xr:uid="{4183DC72-F149-401F-B2B3-73D9C86A95E0}"/>
    <cellStyle name="Normal 3 5 2" xfId="260" xr:uid="{3EAF168B-867F-47CE-A9D3-216C161070B5}"/>
    <cellStyle name="Normal 3 5 3" xfId="261" xr:uid="{A1C8CBC5-40FA-40CA-A05B-D7E364343CAF}"/>
    <cellStyle name="Normal 3 6" xfId="60" xr:uid="{19B98252-5C62-4744-B5C5-30B40FF2CD46}"/>
    <cellStyle name="Normal 4" xfId="61" xr:uid="{C6CE72CB-1474-4078-9340-3F0BC550FA9B}"/>
    <cellStyle name="Normal 4 2" xfId="67" xr:uid="{BA81839B-9A4A-4857-BE60-60A5F9FA7B89}"/>
    <cellStyle name="Normal 4 3" xfId="73" xr:uid="{6812267F-04C0-4555-9EEB-0B195D00E9A3}"/>
    <cellStyle name="Normal 4 4" xfId="262" xr:uid="{3CE0C9AA-CF76-4EBC-94C5-59BC9DE80C27}"/>
    <cellStyle name="Normal 4 5" xfId="267" xr:uid="{72DE9428-4881-4DF0-A4C0-B65AA9DCD2F4}"/>
    <cellStyle name="Normal 5" xfId="49" xr:uid="{3A628630-011E-4817-864F-DAFDE83F166A}"/>
    <cellStyle name="Normal 5 2" xfId="120" xr:uid="{B7CDB57B-AB11-4E63-89C4-7C913B42DF5C}"/>
    <cellStyle name="Normal 6" xfId="115" xr:uid="{6E8E5292-5B6D-4539-B8D3-67B6423787C6}"/>
    <cellStyle name="Normal 6 2" xfId="125" xr:uid="{F8784B29-75CB-474C-8245-769379086B9C}"/>
    <cellStyle name="Normal 7" xfId="68" xr:uid="{C60FA99A-2D62-4CED-93E2-FBDE1EEFA48A}"/>
    <cellStyle name="Normal 8" xfId="69" xr:uid="{7762DC1C-863E-49C6-9D5A-C02981F99F84}"/>
    <cellStyle name="Normal 9" xfId="70" xr:uid="{41E15A86-8070-4844-80D2-04922799CB48}"/>
    <cellStyle name="Normal_22" xfId="33" xr:uid="{D70B90F0-17F2-4F4C-9446-385E08D13A7B}"/>
    <cellStyle name="Note 2" xfId="62" xr:uid="{C2F8F3C1-CC94-4EE9-BB53-84BA2669C738}"/>
    <cellStyle name="Percent 2" xfId="48" xr:uid="{8115BA2A-A27E-462E-BAA9-6D673A8730F9}"/>
    <cellStyle name="Percent 2 12 3 2 2" xfId="5" xr:uid="{00000000-0005-0000-0000-000002000000}"/>
    <cellStyle name="Percent 2 14 2" xfId="10" xr:uid="{00000000-0005-0000-0000-000003000000}"/>
    <cellStyle name="Percent 2 2" xfId="8" xr:uid="{00000000-0005-0000-0000-000004000000}"/>
    <cellStyle name="Percent 3" xfId="71" xr:uid="{582DA8F1-1D22-4229-B160-1711341DEC0C}"/>
    <cellStyle name="Percent 3 2" xfId="218" xr:uid="{74B76E79-9026-4241-9452-3395ABF31C23}"/>
    <cellStyle name="Percent 4" xfId="72" xr:uid="{7E578F47-A843-4BDF-A7AD-150668826261}"/>
    <cellStyle name="Percent 4 2" xfId="219" xr:uid="{99121E76-80A4-47E1-9A0E-64A4A9773A13}"/>
    <cellStyle name="Percent 5" xfId="117" xr:uid="{9B06F1C0-1B51-405B-B633-8E4F08355414}"/>
    <cellStyle name="Percent 5 2" xfId="127" xr:uid="{7D00DE65-A8D8-4CD2-8031-103CFEB266C9}"/>
    <cellStyle name="Percent 6" xfId="119" xr:uid="{9FF544D0-2BD5-45B7-AADA-72DD1D032239}"/>
    <cellStyle name="Percent 6 2" xfId="129" xr:uid="{A66313EB-C030-4F2A-8B82-05CF68BAD42E}"/>
    <cellStyle name="Percent 7" xfId="263" xr:uid="{2EB9AF33-0A27-44BC-B8CB-A61530BFF664}"/>
    <cellStyle name="Percent 8" xfId="268" xr:uid="{D431BE4C-B246-4CA0-B3D7-A289C3A6D8C1}"/>
    <cellStyle name="right_style" xfId="4365" xr:uid="{DEB095DD-3105-4619-BADB-1AE3BAA6D192}"/>
    <cellStyle name="S0" xfId="3812" xr:uid="{587F7958-27FB-43C0-8732-E883329AB0B2}"/>
    <cellStyle name="S1" xfId="3813" xr:uid="{B0FE43B6-5E9C-4543-9004-00BDD903FB8B}"/>
    <cellStyle name="S10" xfId="3814" xr:uid="{B32EDFA6-03DB-4D1B-AC3B-08678D5FEC92}"/>
    <cellStyle name="S11" xfId="3815" xr:uid="{56C4A5B7-5B99-46EF-8F89-F41BDA4A2EAD}"/>
    <cellStyle name="S2" xfId="3816" xr:uid="{55097239-D3ED-4EEC-8F92-2FB815B8BC09}"/>
    <cellStyle name="S27" xfId="4436" xr:uid="{F85D28B5-B708-47D5-8217-936CE5D5723A}"/>
    <cellStyle name="S3" xfId="3817" xr:uid="{729431B5-E6E3-44A2-B44C-02406AD591A3}"/>
    <cellStyle name="S4" xfId="3818" xr:uid="{0A7E4E33-10D2-4EF1-92FA-244EEEE487BB}"/>
    <cellStyle name="S5" xfId="3819" xr:uid="{DF07FD7C-05E2-49E8-A0E0-3DE12B63ACE1}"/>
    <cellStyle name="S6" xfId="684" xr:uid="{2D15329D-4880-4112-BA70-8EB147368578}"/>
    <cellStyle name="S7" xfId="696" xr:uid="{AA6D935E-69D5-4989-A00D-803ADFF1898C}"/>
    <cellStyle name="S8" xfId="3820" xr:uid="{60FA09E0-9E47-4438-9420-B49E3150505F}"/>
    <cellStyle name="S9" xfId="1894" xr:uid="{9B144063-7F4B-4AF0-96E8-8EA61C3B7D9D}"/>
    <cellStyle name="Title 10" xfId="379" xr:uid="{F5251734-226A-430A-8606-0BAA17EEA299}"/>
    <cellStyle name="Title 11" xfId="449" xr:uid="{1EA90AA9-5A50-4958-AFC5-3A4B7A102081}"/>
    <cellStyle name="Title 12" xfId="451" xr:uid="{594444E4-8410-4418-8C83-A610AC83DDFF}"/>
    <cellStyle name="Title 13" xfId="426" xr:uid="{D451787A-D98F-4067-AE2A-615AF444A6FC}"/>
    <cellStyle name="Title 14" xfId="351" xr:uid="{118A5C10-2075-4C09-B117-E98A5AD73C0E}"/>
    <cellStyle name="Title 15" xfId="458" xr:uid="{2013A6BF-28E0-4D0B-8CB2-FEBE4CF152FA}"/>
    <cellStyle name="Title 16" xfId="352" xr:uid="{E257348C-8941-4295-A230-EC367D10CBC9}"/>
    <cellStyle name="Title 17" xfId="459" xr:uid="{46EA2973-DE03-4122-9EF1-F2076A4947AC}"/>
    <cellStyle name="Title 18" xfId="476" xr:uid="{C347B78B-A53C-4802-989A-08363B28533F}"/>
    <cellStyle name="Title 2" xfId="332" xr:uid="{95D8AD0D-C7B9-442E-85FC-CC456D497CB5}"/>
    <cellStyle name="Title 3" xfId="341" xr:uid="{B7E4411E-E06E-4317-8772-8037B90CA58A}"/>
    <cellStyle name="Title 4" xfId="365" xr:uid="{10BDB12E-8C33-46F1-9966-B333589E32D5}"/>
    <cellStyle name="Title 5" xfId="358" xr:uid="{DF9BAC5E-2226-4251-950C-7A93756B56D5}"/>
    <cellStyle name="Title 6" xfId="411" xr:uid="{9C2BDBEC-AC0D-4B7E-8795-087301AA6AB1}"/>
    <cellStyle name="Title 7" xfId="432" xr:uid="{871FCB67-D293-44BB-82D1-ACDFD5EBE18A}"/>
    <cellStyle name="Title 8" xfId="447" xr:uid="{0720CEA3-BC43-45C5-B814-93EAFD3AB75A}"/>
    <cellStyle name="Title 9" xfId="434" xr:uid="{08081229-449D-44C0-83F8-3A0358FBDC54}"/>
    <cellStyle name="Акцент1" xfId="4306" builtinId="29" customBuiltin="1"/>
    <cellStyle name="Акцент1 2" xfId="90" xr:uid="{030251C0-677B-4404-A66D-1D4BCCEB54CB}"/>
    <cellStyle name="Акцент2" xfId="4310" builtinId="33" customBuiltin="1"/>
    <cellStyle name="Акцент2 2" xfId="94" xr:uid="{8E6CD2F4-52F4-4F66-A53F-A1B98CA040CD}"/>
    <cellStyle name="Акцент3" xfId="4314" builtinId="37" customBuiltin="1"/>
    <cellStyle name="Акцент3 2" xfId="98" xr:uid="{39B3FCF5-2076-4F2B-A037-1314F61014DB}"/>
    <cellStyle name="Акцент4" xfId="4318" builtinId="41" customBuiltin="1"/>
    <cellStyle name="Акцент4 2" xfId="102" xr:uid="{70462B1E-D6C8-4070-AD86-0BDDDDA00216}"/>
    <cellStyle name="Акцент5" xfId="4322" builtinId="45" customBuiltin="1"/>
    <cellStyle name="Акцент5 2" xfId="106" xr:uid="{002440B4-4459-43CF-B998-1C0028DEFE3F}"/>
    <cellStyle name="Акцент6" xfId="4326" builtinId="49" customBuiltin="1"/>
    <cellStyle name="Акцент6 2" xfId="110" xr:uid="{04E69898-748A-47E8-9D2B-EA4E5BB2D52D}"/>
    <cellStyle name="Ввод " xfId="4298" builtinId="20" customBuiltin="1"/>
    <cellStyle name="Ввод  2" xfId="82" xr:uid="{00519F1F-95C0-4524-B3D1-653FBF656A2D}"/>
    <cellStyle name="Вывод" xfId="4299" builtinId="21" customBuiltin="1"/>
    <cellStyle name="Вывод 2" xfId="83" xr:uid="{C4C25728-4083-4805-B913-6083391924C4}"/>
    <cellStyle name="Вычисление" xfId="4300" builtinId="22" customBuiltin="1"/>
    <cellStyle name="Вычисление 2" xfId="84" xr:uid="{20738BA0-3D13-4366-AD7E-1261A92C4F8F}"/>
    <cellStyle name="Гиперссылка 2" xfId="41" xr:uid="{5FE35E17-D922-4B2B-9700-1C3ABEF4BA7D}"/>
    <cellStyle name="Гиперссылка 3" xfId="56" xr:uid="{ECBB9324-B9F5-4B3C-B80F-425DB5DA5DF1}"/>
    <cellStyle name="Гиперссылка 4" xfId="59" xr:uid="{11150E76-E4F7-412B-B463-26CF5276E9CF}"/>
    <cellStyle name="Гиперссылка 5" xfId="31" xr:uid="{1A9C083E-D3FD-47D1-9DA4-4659D1569D57}"/>
    <cellStyle name="Заголовок 1" xfId="4291" builtinId="16" customBuiltin="1"/>
    <cellStyle name="Заголовок 1 2" xfId="75" xr:uid="{15A76B74-61C7-42CF-93AA-1B030BC879F9}"/>
    <cellStyle name="Заголовок 2" xfId="4292" builtinId="17" customBuiltin="1"/>
    <cellStyle name="Заголовок 2 2" xfId="76" xr:uid="{5F80B8B7-4BB8-4ADA-AA9C-93AB42AE6BEA}"/>
    <cellStyle name="Заголовок 3" xfId="4293" builtinId="18" customBuiltin="1"/>
    <cellStyle name="Заголовок 3 2" xfId="77" xr:uid="{E5714DF3-8B8E-4DF7-A737-2F8EEEFA401B}"/>
    <cellStyle name="Заголовок 4" xfId="4294" builtinId="19" customBuiltin="1"/>
    <cellStyle name="Заголовок 4 2" xfId="78" xr:uid="{EEED3B4B-A582-4664-93A4-D20DF2997946}"/>
    <cellStyle name="Итог" xfId="4305" builtinId="25" customBuiltin="1"/>
    <cellStyle name="Итог 2" xfId="89" xr:uid="{2009E7DE-E3CB-4EE7-833E-F5832A3B99A1}"/>
    <cellStyle name="Контрольная ячейка" xfId="4302" builtinId="23" customBuiltin="1"/>
    <cellStyle name="Контрольная ячейка 2" xfId="86" xr:uid="{50F2DC9A-7020-4BAE-9E23-C05D9D74F202}"/>
    <cellStyle name="Название" xfId="4290" builtinId="15" customBuiltin="1"/>
    <cellStyle name="Название 2" xfId="74" xr:uid="{925D6DCF-602F-4158-86CB-05424FF01148}"/>
    <cellStyle name="Нейтральный" xfId="4297" builtinId="28" customBuiltin="1"/>
    <cellStyle name="Нейтральный 2" xfId="81" xr:uid="{00249726-AAE1-4D34-80BD-6F6A49D0A641}"/>
    <cellStyle name="Обычный" xfId="0" builtinId="0"/>
    <cellStyle name="Обычный 10" xfId="1" xr:uid="{00000000-0005-0000-0000-000007000000}"/>
    <cellStyle name="Обычный 10 2" xfId="498" xr:uid="{264DE875-E423-47A2-937F-8A088A494C17}"/>
    <cellStyle name="Обычный 10 2 2" xfId="884" xr:uid="{B288E8DA-CBC1-4EB3-BBD6-245D1F4E5AAD}"/>
    <cellStyle name="Обычный 10 2 2 2" xfId="1695" xr:uid="{89A70916-A1A2-4E17-8F29-5219D2F5A971}"/>
    <cellStyle name="Обычный 10 2 2 2 2" xfId="3228" xr:uid="{0801F6DF-1E3F-4798-BF9F-042C452E9FCE}"/>
    <cellStyle name="Обычный 10 2 2 3" xfId="2462" xr:uid="{74177B04-79FE-471B-8CA3-C95519D06096}"/>
    <cellStyle name="Обычный 10 2 2 4" xfId="4027" xr:uid="{D983F74B-E583-4B1B-845D-045A1C263198}"/>
    <cellStyle name="Обычный 10 2 3" xfId="1082" xr:uid="{65D9DC4D-EF9C-49E3-88F3-208BC11C67AB}"/>
    <cellStyle name="Обычный 10 2 4" xfId="1314" xr:uid="{416ED798-A8CA-4236-892F-E4C3B78A4E2B}"/>
    <cellStyle name="Обычный 10 2 4 2" xfId="2847" xr:uid="{ECE3191D-A034-425A-8191-5B1A0D587DC9}"/>
    <cellStyle name="Обычный 10 2 5" xfId="2081" xr:uid="{549B7693-860E-43FB-858F-7AFE33CE2DF2}"/>
    <cellStyle name="Обычный 10 2 6" xfId="3616" xr:uid="{950C999A-DEF2-4291-87DB-371E8F766E30}"/>
    <cellStyle name="Обычный 10 3" xfId="698" xr:uid="{48164E49-460F-4061-851A-D0763C069D87}"/>
    <cellStyle name="Обычный 10 3 2" xfId="1509" xr:uid="{11CB8C2D-0C5B-457A-956E-98926AD87078}"/>
    <cellStyle name="Обычный 10 3 2 2" xfId="3042" xr:uid="{499B6569-FFC5-47F3-A47F-0C6990F2E598}"/>
    <cellStyle name="Обычный 10 3 3" xfId="2276" xr:uid="{F43737C8-E52C-4DBE-B4F1-DC986C787E88}"/>
    <cellStyle name="Обычный 10 3 4" xfId="3836" xr:uid="{68393FCC-605B-4F26-A9B3-65AA3A040849}"/>
    <cellStyle name="Обычный 10 4" xfId="1081" xr:uid="{941B0FEA-4AD9-4E4C-A36D-E81E8104B1E1}"/>
    <cellStyle name="Обычный 10 5" xfId="1128" xr:uid="{C3AF60D4-A371-4ED6-B47F-245613302E64}"/>
    <cellStyle name="Обычный 10 5 2" xfId="2661" xr:uid="{E590A1D2-0B13-411F-A947-91B4A25C4C38}"/>
    <cellStyle name="Обычный 10 6" xfId="1895" xr:uid="{B00B029E-7E72-446A-866F-A5633D3DB110}"/>
    <cellStyle name="Обычный 10 7" xfId="3440" xr:uid="{7801E279-3687-4A2E-8D3F-61091C03DD5D}"/>
    <cellStyle name="Обычный 11" xfId="20" xr:uid="{00000000-0005-0000-0000-000008000000}"/>
    <cellStyle name="Обычный 11 2" xfId="507" xr:uid="{0007A190-FF10-4413-9DC8-97BA897CBDA7}"/>
    <cellStyle name="Обычный 11 2 2" xfId="893" xr:uid="{C713E12C-B6F2-4471-87E4-5EE1F5435CEA}"/>
    <cellStyle name="Обычный 11 2 2 2" xfId="1704" xr:uid="{5FB90B6C-C436-4628-95F2-336E36906F66}"/>
    <cellStyle name="Обычный 11 2 2 2 2" xfId="3237" xr:uid="{D8A24840-772F-4048-A2CD-BE7220507DB1}"/>
    <cellStyle name="Обычный 11 2 2 3" xfId="2471" xr:uid="{E91C18EF-CBE4-455B-8294-A4D635BAE0EB}"/>
    <cellStyle name="Обычный 11 2 2 4" xfId="4036" xr:uid="{A7D8ACCB-D19D-4278-90ED-0355BEAEFFB4}"/>
    <cellStyle name="Обычный 11 2 3" xfId="1084" xr:uid="{4D1FF1C5-D416-4C12-982B-8D16838BD270}"/>
    <cellStyle name="Обычный 11 2 4" xfId="1323" xr:uid="{5DDAD860-2144-4B9D-8270-E3C2254798F6}"/>
    <cellStyle name="Обычный 11 2 4 2" xfId="2856" xr:uid="{8932963B-AE24-451D-BA42-82C81830E8C0}"/>
    <cellStyle name="Обычный 11 2 5" xfId="2090" xr:uid="{C72CCD31-B972-4F46-9503-15F0B86E56BF}"/>
    <cellStyle name="Обычный 11 2 6" xfId="3625" xr:uid="{E93AE35D-0664-496E-BB3D-675FA882367B}"/>
    <cellStyle name="Обычный 11 3" xfId="707" xr:uid="{0A8D0804-1E8A-4814-92AF-9A3B7414BB29}"/>
    <cellStyle name="Обычный 11 3 2" xfId="1518" xr:uid="{85276C19-0C35-406A-9E85-7B40827981D7}"/>
    <cellStyle name="Обычный 11 3 2 2" xfId="3051" xr:uid="{09EAE499-B717-4B06-9C0B-DE2B65E9212A}"/>
    <cellStyle name="Обычный 11 3 3" xfId="2285" xr:uid="{6EC0CC12-3055-4218-9491-967F93793B84}"/>
    <cellStyle name="Обычный 11 3 4" xfId="3849" xr:uid="{CCBD90AD-764D-4824-8EE9-C94D181B0149}"/>
    <cellStyle name="Обычный 11 3 5" xfId="4475" xr:uid="{9835A563-9A2A-4F17-8C96-4880CD05224E}"/>
    <cellStyle name="Обычный 11 4" xfId="1083" xr:uid="{27CC1E34-2D1D-4639-8DD3-57F0387C5178}"/>
    <cellStyle name="Обычный 11 5" xfId="1137" xr:uid="{E815BA6E-F772-43C7-AD10-5A724F999CB6}"/>
    <cellStyle name="Обычный 11 5 2" xfId="2670" xr:uid="{E3AAF93A-6E35-46E7-A88A-401793B69932}"/>
    <cellStyle name="Обычный 11 6" xfId="1904" xr:uid="{A0596041-E92C-430E-9779-ACB2ACE9B890}"/>
    <cellStyle name="Обычный 11 7" xfId="3431" xr:uid="{FF58CAB0-48F0-4394-8C86-05D6EFC22369}"/>
    <cellStyle name="Обычный 12" xfId="21" xr:uid="{00000000-0005-0000-0000-000009000000}"/>
    <cellStyle name="Обычный 12 2" xfId="508" xr:uid="{8BD0C5C2-8D14-4F94-97A1-53CB611D7621}"/>
    <cellStyle name="Обычный 12 2 2" xfId="894" xr:uid="{A468A4B4-EA02-4F7A-8767-881F9C5E83A4}"/>
    <cellStyle name="Обычный 12 2 2 2" xfId="1705" xr:uid="{A9934A89-D85C-44CA-853E-F0BF54DCAAFC}"/>
    <cellStyle name="Обычный 12 2 2 2 2" xfId="3238" xr:uid="{7C14DBF1-2227-4C0A-8B3C-07F2BB624D00}"/>
    <cellStyle name="Обычный 12 2 2 3" xfId="2472" xr:uid="{22BB3F0E-EBAE-4DAF-801A-EDB30067A4A5}"/>
    <cellStyle name="Обычный 12 2 2 4" xfId="4037" xr:uid="{2346FA8E-D174-4B40-B5D3-4F9EDC2A6647}"/>
    <cellStyle name="Обычный 12 2 3" xfId="1324" xr:uid="{45842F53-6E79-45DE-A21C-FFF547841024}"/>
    <cellStyle name="Обычный 12 2 3 2" xfId="2857" xr:uid="{7BB439DB-FA99-4049-9619-49E6AD7717F4}"/>
    <cellStyle name="Обычный 12 2 3 3" xfId="4272" xr:uid="{10E6EDC3-DF54-4566-9B29-2E3229571916}"/>
    <cellStyle name="Обычный 12 2 3 3 2" xfId="4528" xr:uid="{7EAFEB0A-08CD-44B0-8B50-79A977E264EB}"/>
    <cellStyle name="Обычный 12 2 4" xfId="2091" xr:uid="{8C03AE55-ED88-4CAC-8EB4-EBCC1CA12685}"/>
    <cellStyle name="Обычный 12 2 5" xfId="3626" xr:uid="{942F2A6D-293F-4D60-85E0-BFCD79D0A460}"/>
    <cellStyle name="Обычный 12 3" xfId="708" xr:uid="{06F3001A-858A-44EB-9873-B5B937B2B8E2}"/>
    <cellStyle name="Обычный 12 3 2" xfId="1519" xr:uid="{5CDB3523-6FE8-456D-BD67-E9D54A3758C0}"/>
    <cellStyle name="Обычный 12 3 2 2" xfId="3052" xr:uid="{9D2CF0E0-8CE0-44A1-8E5D-3B4C1E130422}"/>
    <cellStyle name="Обычный 12 3 3" xfId="2286" xr:uid="{74BC1511-CE6B-4760-87D2-5F1C88BF416A}"/>
    <cellStyle name="Обычный 12 3 4" xfId="3850" xr:uid="{607A9283-4D72-4C80-9644-9DCBB3F1665B}"/>
    <cellStyle name="Обычный 12 4" xfId="1085" xr:uid="{A477F865-41FD-45C4-B2BC-0627691FEAF2}"/>
    <cellStyle name="Обычный 12 5" xfId="1138" xr:uid="{DD893144-A065-4FFC-9AB4-3FC97AFA51FC}"/>
    <cellStyle name="Обычный 12 5 2" xfId="2671" xr:uid="{E1D1A56C-51BA-44B8-9275-54D349130D3D}"/>
    <cellStyle name="Обычный 12 6" xfId="1905" xr:uid="{1704005C-2747-446B-B4DA-29237BA88E52}"/>
    <cellStyle name="Обычный 12 7" xfId="3430" xr:uid="{757512FC-2376-400C-92F9-C8458FEFEE91}"/>
    <cellStyle name="Обычный 12 8" xfId="4455" xr:uid="{98030374-B36F-4B65-B463-BAA52BB97861}"/>
    <cellStyle name="Обычный 13" xfId="22" xr:uid="{00000000-0005-0000-0000-00000A000000}"/>
    <cellStyle name="Обычный 13 2" xfId="509" xr:uid="{DDC71B8F-5ADD-457F-A1F6-F92AA78E5822}"/>
    <cellStyle name="Обычный 13 2 2" xfId="895" xr:uid="{EE196865-C0A0-439F-BFA0-3FE5B19E081F}"/>
    <cellStyle name="Обычный 13 2 2 2" xfId="1706" xr:uid="{7124AABF-2DF5-4766-A1B6-EB8E8EDF8D5C}"/>
    <cellStyle name="Обычный 13 2 2 2 2" xfId="3239" xr:uid="{53785219-3836-4871-9C8C-E5BF1799F00E}"/>
    <cellStyle name="Обычный 13 2 2 3" xfId="2473" xr:uid="{BF25A738-157B-4D60-A3A0-1406BCD0E203}"/>
    <cellStyle name="Обычный 13 2 2 4" xfId="4038" xr:uid="{A98181DB-2C4A-413C-8A6D-FDBC5D01EAE0}"/>
    <cellStyle name="Обычный 13 2 3" xfId="1325" xr:uid="{7106D159-BA4F-47C3-8242-FB828670712E}"/>
    <cellStyle name="Обычный 13 2 3 2" xfId="2858" xr:uid="{7A3AA375-E23E-4AF8-9AA0-A983D52E9A07}"/>
    <cellStyle name="Обычный 13 2 4" xfId="2092" xr:uid="{3B518E94-4DDB-4331-AFE4-B819ECAAC3E8}"/>
    <cellStyle name="Обычный 13 2 5" xfId="3627" xr:uid="{5DBB9C30-A43C-4C94-90F5-47561B297F31}"/>
    <cellStyle name="Обычный 13 2 6" xfId="4476" xr:uid="{864E9F98-2DC3-47B1-BF9C-73FAA2B1B456}"/>
    <cellStyle name="Обычный 13 3" xfId="709" xr:uid="{94C6B96D-9C96-4A05-9CBC-72BCA11C2FB8}"/>
    <cellStyle name="Обычный 13 3 2" xfId="1520" xr:uid="{9CADDBD2-B742-467E-8417-6561C18DBE47}"/>
    <cellStyle name="Обычный 13 3 2 2" xfId="3053" xr:uid="{A4DD1516-57A4-42A9-842A-F30AA829D287}"/>
    <cellStyle name="Обычный 13 3 3" xfId="2287" xr:uid="{E24E2F51-3C9D-456F-91F5-AAF9A2F97F62}"/>
    <cellStyle name="Обычный 13 3 4" xfId="3851" xr:uid="{858FE54F-0D41-4A5F-B08D-876D8654126A}"/>
    <cellStyle name="Обычный 13 4" xfId="1086" xr:uid="{D8B740DB-094D-4CAC-930F-99201C03340E}"/>
    <cellStyle name="Обычный 13 5" xfId="1139" xr:uid="{87C5A303-3FC6-44A4-9443-3050EA20366F}"/>
    <cellStyle name="Обычный 13 5 2" xfId="2672" xr:uid="{DDD17461-33FF-4CDA-8640-52B2A07458FB}"/>
    <cellStyle name="Обычный 13 6" xfId="1906" xr:uid="{0E5E8152-9AAB-422B-BEF3-50601A37B949}"/>
    <cellStyle name="Обычный 13 7" xfId="3429" xr:uid="{9FB08250-E37D-45BE-AD4E-54284B11D118}"/>
    <cellStyle name="Обычный 13 8" xfId="4472" xr:uid="{5A8B146A-D50E-4FDA-BC43-FFCBD52B804A}"/>
    <cellStyle name="Обычный 14" xfId="23" xr:uid="{00000000-0005-0000-0000-00000B000000}"/>
    <cellStyle name="Обычный 14 2" xfId="510" xr:uid="{799AAB69-5E84-4E47-B428-D3917D3AD035}"/>
    <cellStyle name="Обычный 14 2 2" xfId="896" xr:uid="{35855717-AC8B-45B5-B4F9-80B9E338D5A1}"/>
    <cellStyle name="Обычный 14 2 2 2" xfId="1707" xr:uid="{6943EF4D-7A42-4B12-A337-7C16354B5AF3}"/>
    <cellStyle name="Обычный 14 2 2 2 2" xfId="3240" xr:uid="{7B3012EF-5B72-42FF-981A-FDD1E99BF95F}"/>
    <cellStyle name="Обычный 14 2 2 3" xfId="2474" xr:uid="{BFCEA828-7D5C-431A-9A03-3E4965CD26CC}"/>
    <cellStyle name="Обычный 14 2 2 4" xfId="4039" xr:uid="{79DA926C-42E9-4E67-9436-D7ABC89CE226}"/>
    <cellStyle name="Обычный 14 2 3" xfId="1326" xr:uid="{D08644C4-FFD6-4B11-945A-16B2B61BF308}"/>
    <cellStyle name="Обычный 14 2 3 2" xfId="2859" xr:uid="{174D8383-B545-4F56-939B-9964C6F98D55}"/>
    <cellStyle name="Обычный 14 2 4" xfId="2093" xr:uid="{ACFEE08E-4AF7-4041-9B90-43E851CE73F2}"/>
    <cellStyle name="Обычный 14 2 5" xfId="3628" xr:uid="{FD116078-2DFD-4748-9C9E-B1B26BA31373}"/>
    <cellStyle name="Обычный 14 3" xfId="710" xr:uid="{6EBF0E78-FEEB-4548-BD53-2D386EE117FF}"/>
    <cellStyle name="Обычный 14 3 2" xfId="1521" xr:uid="{C655CFB5-FB5F-4669-B7D8-A96CAFB090C9}"/>
    <cellStyle name="Обычный 14 3 2 2" xfId="3054" xr:uid="{51C3FCA3-61F0-458B-A6BC-EA171D0A9B98}"/>
    <cellStyle name="Обычный 14 3 3" xfId="2288" xr:uid="{D25BB5A8-2B9A-4BA5-8D6B-AC4B5735584D}"/>
    <cellStyle name="Обычный 14 3 4" xfId="3852" xr:uid="{902DDB91-35FC-4CDC-8EE1-F25170C85A9A}"/>
    <cellStyle name="Обычный 14 4" xfId="1087" xr:uid="{71297B7A-B8FE-4EDA-B813-2296E3737EC9}"/>
    <cellStyle name="Обычный 14 5" xfId="1140" xr:uid="{89D8B3AD-DA88-4D0E-9544-EB9F68BED8AC}"/>
    <cellStyle name="Обычный 14 5 2" xfId="2673" xr:uid="{6EA09926-E624-4CBA-AFA6-9862641F155A}"/>
    <cellStyle name="Обычный 14 6" xfId="1907" xr:uid="{1C60BAA3-764E-4D0A-871E-8D4259829C88}"/>
    <cellStyle name="Обычный 14 7" xfId="3428" xr:uid="{32F1E90D-8DA9-4C2C-849D-07C9D8022F24}"/>
    <cellStyle name="Обычный 15" xfId="27" xr:uid="{7AD750D6-DB28-4C68-8C14-6C7A72B33671}"/>
    <cellStyle name="Обычный 15 2" xfId="1088" xr:uid="{1A3EA398-A126-4CDD-8E3B-5C0B53CBD072}"/>
    <cellStyle name="Обычный 16" xfId="494" xr:uid="{AE2DDEDF-07DD-4B00-971C-47B2FF717087}"/>
    <cellStyle name="Обычный 16 2" xfId="681" xr:uid="{1B8F88A0-096F-45E0-986A-9A024708CF8A}"/>
    <cellStyle name="Обычный 16 2 2" xfId="1067" xr:uid="{810C40F5-6599-404A-9E76-4BC54A8321C3}"/>
    <cellStyle name="Обычный 16 2 2 2" xfId="1878" xr:uid="{A5F1FC06-58AD-4D4C-B78F-58C7D7264013}"/>
    <cellStyle name="Обычный 16 2 2 2 2" xfId="3411" xr:uid="{6ED4CC66-1905-4B6D-89FA-20B9A08EB591}"/>
    <cellStyle name="Обычный 16 2 2 3" xfId="2645" xr:uid="{CCF7EB74-9ECC-4EB8-934C-C8371BA0B410}"/>
    <cellStyle name="Обычный 16 2 2 4" xfId="4210" xr:uid="{80272857-FE70-4697-82FD-8A45B4647C60}"/>
    <cellStyle name="Обычный 16 2 3" xfId="1497" xr:uid="{460457F5-7BA5-4FD4-A3B7-3809E52C87D0}"/>
    <cellStyle name="Обычный 16 2 3 2" xfId="3030" xr:uid="{62A047B2-8B9E-4DCD-B671-18CBEF361A8F}"/>
    <cellStyle name="Обычный 16 2 4" xfId="2264" xr:uid="{AC6A0B94-8EF8-419D-98B4-D8F7209424C0}"/>
    <cellStyle name="Обычный 16 2 5" xfId="3799" xr:uid="{2AD10C87-E077-4F41-A0E9-F143E7B8394B}"/>
    <cellStyle name="Обычный 16 3" xfId="881" xr:uid="{514C9F46-44C8-489A-A9F1-F10EAD947EE4}"/>
    <cellStyle name="Обычный 16 3 2" xfId="1692" xr:uid="{1699E114-158E-48FD-A373-F74E7C0556C3}"/>
    <cellStyle name="Обычный 16 3 2 2" xfId="3225" xr:uid="{CC1B2765-448D-4E40-97E8-05846F906C76}"/>
    <cellStyle name="Обычный 16 3 3" xfId="2459" xr:uid="{DF59EAFE-E8BC-4AB1-89F3-EF34A7AEAE8C}"/>
    <cellStyle name="Обычный 16 3 4" xfId="4024" xr:uid="{C531E3E0-3234-451C-A2DE-6B73F7402017}"/>
    <cellStyle name="Обычный 16 4" xfId="1089" xr:uid="{9081F0E7-28F3-4375-95CC-874E03CB1406}"/>
    <cellStyle name="Обычный 16 5" xfId="1311" xr:uid="{C9EFB20D-5920-445A-A929-9972CF649BC6}"/>
    <cellStyle name="Обычный 16 5 2" xfId="2844" xr:uid="{0387CE9D-38EF-4935-940B-6E05906BAEB7}"/>
    <cellStyle name="Обычный 16 6" xfId="2078" xr:uid="{F0372AD7-C6E3-4F88-9652-EF09A377FEEC}"/>
    <cellStyle name="Обычный 16 7" xfId="3613" xr:uid="{9EC6E455-4AF1-4042-AFC3-C0952DDD913F}"/>
    <cellStyle name="Обычный 17" xfId="496" xr:uid="{ED70EDC9-7BAA-4EEA-8FD0-0375372B7DD5}"/>
    <cellStyle name="Обычный 17 2" xfId="1090" xr:uid="{FA1C7A48-34AC-4C0B-9F9A-58E3DF151AC4}"/>
    <cellStyle name="Обычный 18" xfId="683" xr:uid="{33DC0AE6-4F53-4728-9CBF-27CE26993FBE}"/>
    <cellStyle name="Обычный 18 2" xfId="1091" xr:uid="{36E11B54-6DDD-4A49-B878-0B01E955A252}"/>
    <cellStyle name="Обычный 19" xfId="687" xr:uid="{2D7DDA64-4D12-49DD-AA1B-0DE638614E9B}"/>
    <cellStyle name="Обычный 19 2" xfId="1069" xr:uid="{4235E286-30B2-4025-B965-6B71BBF04F39}"/>
    <cellStyle name="Обычный 19 2 2" xfId="1093" xr:uid="{55152CAD-B6C7-4547-895C-B27BFBA096B3}"/>
    <cellStyle name="Обычный 19 2 3" xfId="1880" xr:uid="{1A01D29E-38AB-4119-8DC0-9CF463B7A215}"/>
    <cellStyle name="Обычный 19 2 3 2" xfId="3413" xr:uid="{83D5AE77-8247-4326-A5DB-2073E41CAFD9}"/>
    <cellStyle name="Обычный 19 2 4" xfId="2647" xr:uid="{AA5E2C3E-8ABE-47C6-A0B8-F306F0BBC7BB}"/>
    <cellStyle name="Обычный 19 2 5" xfId="4212" xr:uid="{5EA1E914-50B7-4DDD-A98C-2A860AAD4C49}"/>
    <cellStyle name="Обычный 19 3" xfId="1092" xr:uid="{70B03467-2B07-4AB4-990C-36D9FF86E3C1}"/>
    <cellStyle name="Обычный 19 4" xfId="1499" xr:uid="{B697512F-6E0F-4EE3-9CF3-EF6C82195EB2}"/>
    <cellStyle name="Обычный 19 4 2" xfId="3032" xr:uid="{A812957C-1D37-4AC9-9EF6-F343EC91ADD0}"/>
    <cellStyle name="Обычный 19 5" xfId="2266" xr:uid="{90796953-90F8-4B9D-A8C6-9A0C9491A95E}"/>
    <cellStyle name="Обычный 19 6" xfId="3801" xr:uid="{8B50E838-CF1D-43DF-928E-3EE48FFF0869}"/>
    <cellStyle name="Обычный 2" xfId="11" xr:uid="{00000000-0005-0000-0000-00000C000000}"/>
    <cellStyle name="Обычный 2 2" xfId="44" xr:uid="{23F3B1CE-018A-4823-B8F3-F55EE535BA23}"/>
    <cellStyle name="Обычный 2 2 2" xfId="4222" xr:uid="{ECC00355-BD33-4F94-97E6-AD71D70BA5CA}"/>
    <cellStyle name="Обычный 2 2 3" xfId="4477" xr:uid="{C02D33D1-74F2-470C-B65A-A1AF07E79C4A}"/>
    <cellStyle name="Обычный 2 3" xfId="42" xr:uid="{F76494C7-EC09-473B-8E1A-D1BDEB435AC5}"/>
    <cellStyle name="Обычный 2 3 2" xfId="52" xr:uid="{9F20D387-A4AD-4B07-BEE4-D0FD4226CCB8}"/>
    <cellStyle name="Обычный 2 3 2 2" xfId="519" xr:uid="{17B560B1-6984-4C35-B3E7-A6412C67B538}"/>
    <cellStyle name="Обычный 2 3 2 2 2" xfId="905" xr:uid="{B16A2F12-C54C-4553-80ED-D2CF83416EFC}"/>
    <cellStyle name="Обычный 2 3 2 2 2 2" xfId="1716" xr:uid="{E5CCB031-E365-4B15-8A7E-7008E9473FDB}"/>
    <cellStyle name="Обычный 2 3 2 2 2 2 2" xfId="3249" xr:uid="{2ED9C66D-FCB6-437C-87EF-918DA7F79100}"/>
    <cellStyle name="Обычный 2 3 2 2 2 3" xfId="2483" xr:uid="{B9E3272F-3A10-46AB-8DA7-820A93DBE0EE}"/>
    <cellStyle name="Обычный 2 3 2 2 2 4" xfId="4048" xr:uid="{74241710-6BE1-4C5B-8B4A-E5811B0144E9}"/>
    <cellStyle name="Обычный 2 3 2 2 3" xfId="1335" xr:uid="{E993EBF8-BAB9-4E23-9056-D3A458E4454C}"/>
    <cellStyle name="Обычный 2 3 2 2 3 2" xfId="2868" xr:uid="{0EFA26CE-2C8D-4AF9-90E8-55B8A4146259}"/>
    <cellStyle name="Обычный 2 3 2 2 4" xfId="2102" xr:uid="{9593756D-6CD6-4550-8A4D-AD15E5B46576}"/>
    <cellStyle name="Обычный 2 3 2 2 5" xfId="3637" xr:uid="{E80D6446-30D4-4941-B451-68C8458C8D0B}"/>
    <cellStyle name="Обычный 2 3 2 3" xfId="719" xr:uid="{F77300EB-8CDB-471F-B5EF-F91DF407B718}"/>
    <cellStyle name="Обычный 2 3 2 3 2" xfId="1530" xr:uid="{DE258B39-8D34-4E23-8DBB-1EE036D4CD48}"/>
    <cellStyle name="Обычный 2 3 2 3 2 2" xfId="3063" xr:uid="{DE868BE6-66A7-4AEA-9C75-827699F15114}"/>
    <cellStyle name="Обычный 2 3 2 3 3" xfId="2297" xr:uid="{701BEC06-2878-4F2D-BB11-FFCC847D5CCE}"/>
    <cellStyle name="Обычный 2 3 2 3 4" xfId="3861" xr:uid="{7C8E00EA-806A-4599-A5B8-FE800547AA52}"/>
    <cellStyle name="Обычный 2 3 2 4" xfId="1149" xr:uid="{F5F55AC9-B522-44B2-B101-0DF8CC06B008}"/>
    <cellStyle name="Обычный 2 3 2 4 2" xfId="2682" xr:uid="{7477BC77-D800-4071-8946-CF9974153C99}"/>
    <cellStyle name="Обычный 2 3 2 5" xfId="1916" xr:uid="{36F17C03-8003-4E1B-93F1-5BFF916E41D0}"/>
    <cellStyle name="Обычный 2 3 2 6" xfId="3451" xr:uid="{21FF2904-4D50-42DC-A04A-904D9224D99F}"/>
    <cellStyle name="Обычный 2 3 2 7" xfId="4497" xr:uid="{AB8BD9D8-EBAE-4011-9AE7-D5F86BA40B28}"/>
    <cellStyle name="Обычный 2 3 3" xfId="516" xr:uid="{72D0089C-2F8A-4C80-9D4F-2B6173409832}"/>
    <cellStyle name="Обычный 2 3 3 2" xfId="902" xr:uid="{FF4921F3-387A-4F03-946E-654189E03CEE}"/>
    <cellStyle name="Обычный 2 3 3 2 2" xfId="1713" xr:uid="{A23CBF55-38B3-45C9-9A75-6B06434D8F0B}"/>
    <cellStyle name="Обычный 2 3 3 2 2 2" xfId="3246" xr:uid="{19F4792B-0812-4B9E-9B84-88680F1C25A7}"/>
    <cellStyle name="Обычный 2 3 3 2 3" xfId="2480" xr:uid="{A9D5CCD5-A11E-4681-9210-B25B94DCE743}"/>
    <cellStyle name="Обычный 2 3 3 2 4" xfId="4045" xr:uid="{42C39688-10DA-4050-82CB-97A9A5EB8242}"/>
    <cellStyle name="Обычный 2 3 3 3" xfId="1332" xr:uid="{388B4EAA-DF7F-470A-9009-6127DC4D0FFA}"/>
    <cellStyle name="Обычный 2 3 3 3 2" xfId="2865" xr:uid="{821C0971-87AA-42A8-9F90-EF1483630901}"/>
    <cellStyle name="Обычный 2 3 3 4" xfId="2099" xr:uid="{E6079CD7-5892-473D-B818-AF182D622C70}"/>
    <cellStyle name="Обычный 2 3 3 5" xfId="3634" xr:uid="{B03B2298-324C-412B-A35B-490120E0FB04}"/>
    <cellStyle name="Обычный 2 3 4" xfId="716" xr:uid="{0354A80C-DE02-4515-8CBA-E4E9CA393C3F}"/>
    <cellStyle name="Обычный 2 3 4 2" xfId="1527" xr:uid="{0D16E7EB-CAFD-47AC-B2CC-D5565C5B916A}"/>
    <cellStyle name="Обычный 2 3 4 2 2" xfId="3060" xr:uid="{E3DEE508-C771-4B14-88D7-2BB08987C75C}"/>
    <cellStyle name="Обычный 2 3 4 3" xfId="2294" xr:uid="{6C19AAA3-310A-44F6-B3A0-09DC9AD2A579}"/>
    <cellStyle name="Обычный 2 3 4 4" xfId="3858" xr:uid="{3E320EAD-F779-4860-87FD-D31E9B185D75}"/>
    <cellStyle name="Обычный 2 3 5" xfId="1095" xr:uid="{85D81B90-84D5-4F51-AEB2-AE3CCEACF008}"/>
    <cellStyle name="Обычный 2 3 6" xfId="1146" xr:uid="{32D0FB26-7F65-46C1-9527-96E7D6CC38AE}"/>
    <cellStyle name="Обычный 2 3 6 2" xfId="2679" xr:uid="{A5DBBB98-FAE5-40CE-ACD6-6623AF4655BF}"/>
    <cellStyle name="Обычный 2 3 7" xfId="1913" xr:uid="{08BBE273-5C0B-44BD-BFDF-B5FD123F4841}"/>
    <cellStyle name="Обычный 2 3 8" xfId="3448" xr:uid="{97FA6C6F-1F8C-4974-94EB-D7BF25394F00}"/>
    <cellStyle name="Обычный 2 4" xfId="50" xr:uid="{4F0A75CA-2D35-4B5A-B299-865E36A19EE2}"/>
    <cellStyle name="Обычный 2 4 2" xfId="517" xr:uid="{CFF48298-E036-4210-A265-080B86FA2EA9}"/>
    <cellStyle name="Обычный 2 4 2 2" xfId="903" xr:uid="{E9D89A3A-35D4-4ADE-A325-31EB5BC9290D}"/>
    <cellStyle name="Обычный 2 4 2 2 2" xfId="1714" xr:uid="{BB511BE2-0143-411F-BAF5-AE5C5E3F189D}"/>
    <cellStyle name="Обычный 2 4 2 2 2 2" xfId="3247" xr:uid="{0FD79109-638A-4CCB-820E-708D1C8CEBF0}"/>
    <cellStyle name="Обычный 2 4 2 2 3" xfId="2481" xr:uid="{7398947A-B6CF-4766-9E6A-5F76C0C039F8}"/>
    <cellStyle name="Обычный 2 4 2 2 4" xfId="4046" xr:uid="{6D8DE9D9-13BC-4CEC-BD5B-A0FD3AA076D7}"/>
    <cellStyle name="Обычный 2 4 2 3" xfId="1333" xr:uid="{C456553B-9EF9-43AB-B1CD-12C79AB77471}"/>
    <cellStyle name="Обычный 2 4 2 3 2" xfId="2866" xr:uid="{7CA1AD40-B6C2-40BE-9A90-0CC93E8DED4F}"/>
    <cellStyle name="Обычный 2 4 2 4" xfId="2100" xr:uid="{88D9CA6B-D0E2-4732-8B9C-BAFBC343DA27}"/>
    <cellStyle name="Обычный 2 4 2 5" xfId="3635" xr:uid="{AFC9340D-C22C-476B-A6A7-F3C7AFB9E78B}"/>
    <cellStyle name="Обычный 2 4 3" xfId="717" xr:uid="{F3AC441C-09F3-46F1-BC11-0B60A1F497CB}"/>
    <cellStyle name="Обычный 2 4 3 2" xfId="1528" xr:uid="{EEDD600C-251B-4C83-8AB5-D0DBE292E1C1}"/>
    <cellStyle name="Обычный 2 4 3 2 2" xfId="3061" xr:uid="{A909D08F-2116-4F67-936C-F5FBD4E88A0E}"/>
    <cellStyle name="Обычный 2 4 3 3" xfId="2295" xr:uid="{2F6DA62E-B653-458F-99C3-6F1A08CB874C}"/>
    <cellStyle name="Обычный 2 4 3 4" xfId="3859" xr:uid="{6B31A1C5-44F9-403E-93CD-4964742876EB}"/>
    <cellStyle name="Обычный 2 4 4" xfId="1147" xr:uid="{A8967A1E-311A-494B-94EF-1D295E0CEBD1}"/>
    <cellStyle name="Обычный 2 4 4 2" xfId="2680" xr:uid="{A0B8EEB5-A617-40BC-9A35-4E68CF0EDEF3}"/>
    <cellStyle name="Обычный 2 4 5" xfId="1914" xr:uid="{15106FF9-DCE4-4D63-A195-50C062E8228B}"/>
    <cellStyle name="Обычный 2 4 6" xfId="3449" xr:uid="{3DC92102-ADB3-448C-8D17-3DC90DEAEB9B}"/>
    <cellStyle name="Обычный 2 4 7" xfId="4482" xr:uid="{7FBB2B59-5389-4480-B477-977F4BDE686D}"/>
    <cellStyle name="Обычный 2 5" xfId="36" xr:uid="{91BAF984-E49C-45DB-8567-49303FF5350F}"/>
    <cellStyle name="Обычный 2 5 2" xfId="513" xr:uid="{4206A624-5DBE-4B52-A796-5DE86C5B7CD2}"/>
    <cellStyle name="Обычный 2 5 2 2" xfId="899" xr:uid="{6E995F91-9AF7-49C0-A786-934534A8C511}"/>
    <cellStyle name="Обычный 2 5 2 2 2" xfId="1710" xr:uid="{9318113D-D18E-4EE9-8E84-A27094B17793}"/>
    <cellStyle name="Обычный 2 5 2 2 2 2" xfId="3243" xr:uid="{C50B90AF-3CD6-4E1B-9AA6-3B28AD4CA75E}"/>
    <cellStyle name="Обычный 2 5 2 2 3" xfId="2477" xr:uid="{31E1458B-B671-448F-B92C-C9F9F6C6472E}"/>
    <cellStyle name="Обычный 2 5 2 2 4" xfId="4042" xr:uid="{E42A5277-F305-46EC-B316-9F9023EB1B67}"/>
    <cellStyle name="Обычный 2 5 2 3" xfId="1329" xr:uid="{FB1CC756-7376-4EB9-8EE4-6E9384F7E6B1}"/>
    <cellStyle name="Обычный 2 5 2 3 2" xfId="2862" xr:uid="{6E998403-6AE6-412C-8D4E-CF0B8F4A9542}"/>
    <cellStyle name="Обычный 2 5 2 4" xfId="2096" xr:uid="{A062D1F0-6D61-4A99-AD94-06A2FDCA69B8}"/>
    <cellStyle name="Обычный 2 5 2 5" xfId="3631" xr:uid="{908BAA72-6825-4743-991B-5374D09F81D1}"/>
    <cellStyle name="Обычный 2 5 3" xfId="713" xr:uid="{64DB83A9-CEF3-486D-A7E0-17B051DDAC84}"/>
    <cellStyle name="Обычный 2 5 3 2" xfId="1524" xr:uid="{163A23B5-10CA-4685-A569-F359CC73F61F}"/>
    <cellStyle name="Обычный 2 5 3 2 2" xfId="3057" xr:uid="{D7646D7D-7197-4095-A506-9A113D5A5A98}"/>
    <cellStyle name="Обычный 2 5 3 3" xfId="2291" xr:uid="{4C2B9DE0-4B50-4DA4-AEFD-70546AD6CF84}"/>
    <cellStyle name="Обычный 2 5 3 4" xfId="3855" xr:uid="{DF979DD1-20FF-4BA5-A675-413A3CEC034C}"/>
    <cellStyle name="Обычный 2 5 4" xfId="1143" xr:uid="{5807CE1A-FA7F-4138-AB5F-21F37DFD48E2}"/>
    <cellStyle name="Обычный 2 5 4 2" xfId="2676" xr:uid="{E34F0729-0722-4C63-9114-1422FA334AAC}"/>
    <cellStyle name="Обычный 2 5 5" xfId="1910" xr:uid="{C37653C6-9CE4-486B-8587-A8FA15F29956}"/>
    <cellStyle name="Обычный 2 5 6" xfId="3445" xr:uid="{815A4B67-7D1B-4FDB-BF05-572522DCFE13}"/>
    <cellStyle name="Обычный 2 6" xfId="1094" xr:uid="{9FD5740A-624E-4514-B6A8-3625662E56DF}"/>
    <cellStyle name="Обычный 2 7" xfId="4356" xr:uid="{5F486E2B-966F-40B5-8E86-F000C9D429A7}"/>
    <cellStyle name="Обычный 2 8" xfId="4381" xr:uid="{19DF8714-C225-4486-BC22-CF2972AD8422}"/>
    <cellStyle name="Обычный 20" xfId="694" xr:uid="{248AAC05-661D-4346-A8C3-397DBA91B702}"/>
    <cellStyle name="Обычный 20 2" xfId="1076" xr:uid="{CE6C48B1-0957-44B4-8459-724F84B09D00}"/>
    <cellStyle name="Обычный 20 2 2" xfId="1887" xr:uid="{93E3EDAF-CD0A-4105-A943-E9A8C25F5FD7}"/>
    <cellStyle name="Обычный 20 2 2 2" xfId="3420" xr:uid="{9C168FEF-C285-4BF5-87F2-5A5280231053}"/>
    <cellStyle name="Обычный 20 2 3" xfId="2654" xr:uid="{5D6F1381-B33B-4066-B6A1-F7B867227413}"/>
    <cellStyle name="Обычный 20 2 4" xfId="4219" xr:uid="{7950FDE9-E015-4293-9DE1-50F1266BFB53}"/>
    <cellStyle name="Обычный 20 3" xfId="1096" xr:uid="{203F14F7-596A-4C49-9801-CF6E572337B4}"/>
    <cellStyle name="Обычный 20 4" xfId="1506" xr:uid="{91B67F8E-C839-443E-8538-ACC0147B366E}"/>
    <cellStyle name="Обычный 20 4 2" xfId="3039" xr:uid="{20206A3F-358B-4E34-9DF3-2730C6C226DC}"/>
    <cellStyle name="Обычный 20 5" xfId="2273" xr:uid="{94128FBA-1403-4E09-9D6C-12647A458199}"/>
    <cellStyle name="Обычный 20 6" xfId="3808" xr:uid="{B1817D22-3AEC-4EA8-B4EE-F1715B9D2408}"/>
    <cellStyle name="Обычный 21" xfId="697" xr:uid="{4CD3363A-B101-4A85-8BFB-28525A47891D}"/>
    <cellStyle name="Обычный 21 2" xfId="1078" xr:uid="{6649E5B5-C908-4EAA-A070-49FD87FF3F65}"/>
    <cellStyle name="Обычный 21 2 2" xfId="1889" xr:uid="{8F89C2B5-7102-48B3-A9D9-43FBC8F467A7}"/>
    <cellStyle name="Обычный 21 2 2 2" xfId="3422" xr:uid="{6EDDCFC6-DE37-4997-9591-4F9BFE027E03}"/>
    <cellStyle name="Обычный 21 2 3" xfId="2656" xr:uid="{80D505C3-626F-43D9-A4E9-1323BC11686D}"/>
    <cellStyle name="Обычный 21 2 4" xfId="3835" xr:uid="{55F5349E-C217-4496-9A8D-F70FBB8EBCD6}"/>
    <cellStyle name="Обычный 21 3" xfId="1097" xr:uid="{1C163F50-B607-4667-8B87-6A7DD636A3C6}"/>
    <cellStyle name="Обычный 21 4" xfId="1508" xr:uid="{D5E3855D-DE56-408D-BFD3-016F4474975F}"/>
    <cellStyle name="Обычный 21 4 2" xfId="3041" xr:uid="{83CAAB5E-9254-4AC5-83B5-C1F9B53D9783}"/>
    <cellStyle name="Обычный 21 5" xfId="2275" xr:uid="{325CC985-0CCB-43ED-BE23-66D94E4D1701}"/>
    <cellStyle name="Обычный 21 6" xfId="3810" xr:uid="{5EEA68AA-C3FD-419A-8B3E-154F3859592E}"/>
    <cellStyle name="Обычный 22" xfId="1079" xr:uid="{A41B5E2D-17DF-4324-8E8E-12DB19445210}"/>
    <cellStyle name="Обычный 22 2" xfId="1098" xr:uid="{B4B71855-1A64-4ADE-BB93-AD4CB179CBBE}"/>
    <cellStyle name="Обычный 22 3" xfId="1890" xr:uid="{DCA00A17-93D3-4DCC-A36E-99B125BCD415}"/>
    <cellStyle name="Обычный 22 3 2" xfId="3423" xr:uid="{9B8A76C6-29CB-4F48-BF3A-8BA1833E7BD1}"/>
    <cellStyle name="Обычный 22 4" xfId="2657" xr:uid="{08C6020F-EE7F-425B-9801-5846A8A5B69B}"/>
    <cellStyle name="Обычный 22 5" xfId="3811" xr:uid="{31E5DA93-EB6C-4765-84E8-52B1E4ABBF02}"/>
    <cellStyle name="Обычный 23" xfId="1099" xr:uid="{9C939FFA-912B-4AB5-AC8B-9C7E073C6E37}"/>
    <cellStyle name="Обычный 23 2" xfId="4233" xr:uid="{5F5AF175-B807-49EC-BF06-BB73A9939840}"/>
    <cellStyle name="Обычный 23 3" xfId="3828" xr:uid="{E8358B08-5715-41F0-88BE-98601744AC8E}"/>
    <cellStyle name="Обычный 24" xfId="1100" xr:uid="{79A0818A-CD95-4A13-BC2F-DA127DCAE3D2}"/>
    <cellStyle name="Обычный 24 2" xfId="1101" xr:uid="{AFC1F939-FF7A-4C6C-8929-A6BAE6B4AB47}"/>
    <cellStyle name="Обычный 24 3" xfId="4234" xr:uid="{D269647C-BAF7-4E21-8676-FC603D47A6C6}"/>
    <cellStyle name="Обычный 24 4" xfId="3832" xr:uid="{CDDA6FDC-3714-4EEA-B794-D81525C54D23}"/>
    <cellStyle name="Обычный 25" xfId="1102" xr:uid="{79A6F0CF-4ECF-4944-80A6-3BC1C2DDE99C}"/>
    <cellStyle name="Обычный 25 2" xfId="4235" xr:uid="{FB79DFD9-004F-499A-8CAD-4E67D342C47C}"/>
    <cellStyle name="Обычный 25 3" xfId="4225" xr:uid="{96690193-A2C2-4D8F-8A0A-8ACE0A7492DE}"/>
    <cellStyle name="Обычный 26" xfId="1103" xr:uid="{CB836EE9-AF39-4644-8CA1-64B077B808FF}"/>
    <cellStyle name="Обычный 26 2" xfId="4236" xr:uid="{4CC1A669-64D5-4CDE-8DCE-D1555A219723}"/>
    <cellStyle name="Обычный 26 3" xfId="4226" xr:uid="{27F83DC4-596F-431B-A1DE-0F21E0E6AFD1}"/>
    <cellStyle name="Обычный 27" xfId="1104" xr:uid="{A1B3196E-6148-4AA5-898C-D313035340BC}"/>
    <cellStyle name="Обычный 27 2" xfId="4237" xr:uid="{03B4AA25-5DD1-4ED2-9460-ECE9FA28D2E5}"/>
    <cellStyle name="Обычный 27 3" xfId="4227" xr:uid="{1558100F-1392-4A75-83A5-32988F997899}"/>
    <cellStyle name="Обычный 28" xfId="1105" xr:uid="{36D91A03-C45E-4041-AA89-16FC4065D0A6}"/>
    <cellStyle name="Обычный 28 2" xfId="4238" xr:uid="{DCAA2B96-7B32-4313-9FC2-510F9506F0FF}"/>
    <cellStyle name="Обычный 28 3" xfId="4231" xr:uid="{946DA0FE-424F-43B4-AF87-B3CF3EA21A66}"/>
    <cellStyle name="Обычный 29" xfId="1106" xr:uid="{11E7D862-4FF9-4D5A-8931-94187D29F28E}"/>
    <cellStyle name="Обычный 3" xfId="12" xr:uid="{00000000-0005-0000-0000-00000D000000}"/>
    <cellStyle name="Обычный 3 2" xfId="30" xr:uid="{7F09A27C-E479-4BBF-B7A9-24A447B1A59D}"/>
    <cellStyle name="Обычный 3 2 2" xfId="1108" xr:uid="{0FA49B94-45A8-4BB3-9023-649973A52F5D}"/>
    <cellStyle name="Обычный 3 3" xfId="499" xr:uid="{3CBF74C9-25D8-4E5C-ACE7-C7D05483D087}"/>
    <cellStyle name="Обычный 3 3 2" xfId="885" xr:uid="{03F565D0-D085-4603-B5A2-CD58F78F5BBC}"/>
    <cellStyle name="Обычный 3 3 2 2" xfId="1696" xr:uid="{962FF45A-A6C1-4C70-A3D3-85EA9DC9C7D9}"/>
    <cellStyle name="Обычный 3 3 2 2 2" xfId="3229" xr:uid="{2D03293A-7602-41FB-A49E-BA52DCD4C845}"/>
    <cellStyle name="Обычный 3 3 2 3" xfId="2463" xr:uid="{2BC09205-D141-4A95-A573-4BB4DE75995B}"/>
    <cellStyle name="Обычный 3 3 2 4" xfId="4028" xr:uid="{4B57E711-9A29-4E03-8313-E221706C85B4}"/>
    <cellStyle name="Обычный 3 3 3" xfId="1315" xr:uid="{1B90FE7F-143F-48D9-AE0F-BEF4E3445D72}"/>
    <cellStyle name="Обычный 3 3 3 2" xfId="2848" xr:uid="{30767A93-8201-455D-AC61-7E9B70D4E700}"/>
    <cellStyle name="Обычный 3 3 4" xfId="2082" xr:uid="{24759252-BB8F-42EE-86BA-A8DFC9F880A4}"/>
    <cellStyle name="Обычный 3 3 5" xfId="3617" xr:uid="{95F8771F-0EB7-4E6F-92E4-64448556DEC9}"/>
    <cellStyle name="Обычный 3 4" xfId="699" xr:uid="{4C752AD4-74CB-4FEE-9B5A-0AC3F755DA85}"/>
    <cellStyle name="Обычный 3 4 2" xfId="1510" xr:uid="{DCEF89D4-F413-4620-A8BA-450CECCD7845}"/>
    <cellStyle name="Обычный 3 4 2 2" xfId="3043" xr:uid="{ED36C37B-F761-428C-9610-28A25F0C7C60}"/>
    <cellStyle name="Обычный 3 4 3" xfId="2277" xr:uid="{13FB1B5D-FD8F-4667-AE71-299543DD56C5}"/>
    <cellStyle name="Обычный 3 4 4" xfId="3841" xr:uid="{14C9BDA2-0A87-4486-A24D-8C5799D7502E}"/>
    <cellStyle name="Обычный 3 5" xfId="1107" xr:uid="{D2D4A29F-9991-4868-B28A-2AD4A5C64017}"/>
    <cellStyle name="Обычный 3 6" xfId="1129" xr:uid="{884E9FE7-E3EE-4C0D-8872-DC08F9AE6722}"/>
    <cellStyle name="Обычный 3 6 2" xfId="2662" xr:uid="{375305ED-8918-4D35-8215-10B279D1E4D6}"/>
    <cellStyle name="Обычный 3 7" xfId="1896" xr:uid="{C62E4775-C71F-4BD9-AD49-E42959F4F73E}"/>
    <cellStyle name="Обычный 3 8" xfId="3439" xr:uid="{3CAED376-B683-442F-9CBE-E995B7F54D54}"/>
    <cellStyle name="Обычный 3 9" xfId="4357" xr:uid="{F339A35F-D600-4444-BC5B-E393899939B4}"/>
    <cellStyle name="Обычный 30" xfId="1109" xr:uid="{F4ED6C13-1E98-42A6-8DCC-EB44A0D5A087}"/>
    <cellStyle name="Обычный 31" xfId="1110" xr:uid="{505F5AF0-DBA7-4F17-B134-FDF64A946073}"/>
    <cellStyle name="Обычный 31 10" xfId="4398" xr:uid="{976BF6F8-9425-45B2-93A0-FA719C682A9D}"/>
    <cellStyle name="Обычный 31 11" xfId="4402" xr:uid="{62407100-8A37-4661-8A8A-8955F93D3A4A}"/>
    <cellStyle name="Обычный 31 12" xfId="4411" xr:uid="{A1D7ECC8-B145-4428-9AF7-84D45BAF33F1}"/>
    <cellStyle name="Обычный 31 13" xfId="4415" xr:uid="{0636FE1C-9EEA-425F-98ED-75589E872155}"/>
    <cellStyle name="Обычный 31 14" xfId="4419" xr:uid="{6F8132F7-484B-4A38-9A65-ED9F885892FD}"/>
    <cellStyle name="Обычный 31 15" xfId="4423" xr:uid="{B405CFC3-8593-4F8F-8909-EC906F56A0C5}"/>
    <cellStyle name="Обычный 31 16" xfId="4428" xr:uid="{19081C37-D001-49D2-B16E-CF79EABF3DD2}"/>
    <cellStyle name="Обычный 31 17" xfId="4478" xr:uid="{CA220BC6-305A-4C8D-9BEF-054F5BFC555B}"/>
    <cellStyle name="Обычный 31 2" xfId="1891" xr:uid="{1CCF52E3-54E8-4DF6-9653-5ACFA8F5C2DF}"/>
    <cellStyle name="Обычный 31 2 2" xfId="3424" xr:uid="{B5B3EB7D-7866-49CE-AAD2-0A8F11E0685E}"/>
    <cellStyle name="Обычный 31 2 3" xfId="4245" xr:uid="{1092E6C7-4D87-4D6E-BD24-BADC76D273EB}"/>
    <cellStyle name="Обычный 31 3" xfId="2658" xr:uid="{F8600F64-4E3F-4C71-93B8-6AF822085D69}"/>
    <cellStyle name="Обычный 31 3 2" xfId="4253" xr:uid="{9723C6B3-AC2C-450C-B3AF-60B3D95726BE}"/>
    <cellStyle name="Обычный 31 4" xfId="3441" xr:uid="{287AE9CF-E703-4BFF-AEA3-B81468BE44BC}"/>
    <cellStyle name="Обычный 31 5" xfId="4332" xr:uid="{E0C1EFEE-FA3E-4E03-81CF-D1D912C900CD}"/>
    <cellStyle name="Обычный 31 6" xfId="4335" xr:uid="{1DC43BEB-D886-424B-878E-6C805C95D9A5}"/>
    <cellStyle name="Обычный 31 7" xfId="4338" xr:uid="{C79F7DC6-6B6D-4D0A-8339-F036E07BC1A3}"/>
    <cellStyle name="Обычный 31 8" xfId="4343" xr:uid="{D646DD7E-7B1D-4528-A3E5-93ACA473C24B}"/>
    <cellStyle name="Обычный 31 9" xfId="4349" xr:uid="{A5A49748-2F45-4290-BAC0-C767E7D00D09}"/>
    <cellStyle name="Обычный 32" xfId="1111" xr:uid="{4CCC49FC-8BEA-42A8-BEC1-DF3BDF5F3629}"/>
    <cellStyle name="Обычный 33" xfId="1112" xr:uid="{DC0B84E5-09C2-4FFB-94E4-DB540D48EB61}"/>
    <cellStyle name="Обычный 33 2" xfId="4246" xr:uid="{0A239D19-108B-4EB1-BC01-CF94CDA57BB0}"/>
    <cellStyle name="Обычный 33 3" xfId="4232" xr:uid="{40020438-C37C-43F8-B291-9D91C18AE4FF}"/>
    <cellStyle name="Обычный 34" xfId="1080" xr:uid="{2DD0D71F-EA71-479F-AFC0-FB5C94FC4946}"/>
    <cellStyle name="Обычный 34 2" xfId="4244" xr:uid="{8E437E72-3AFD-4A05-8F77-C79A66D06CA9}"/>
    <cellStyle name="Обычный 34 2 2" xfId="4485" xr:uid="{7821AA8E-3529-47DC-82B9-EAB0AAE11A9B}"/>
    <cellStyle name="Обычный 34 3" xfId="4403" xr:uid="{D181AD80-2D19-4AB5-992C-15F9B834EECD}"/>
    <cellStyle name="Обычный 35" xfId="4249" xr:uid="{97F59A41-985E-469B-8E0B-FBD07FD97A5A}"/>
    <cellStyle name="Обычный 35 2" xfId="4404" xr:uid="{50B0644E-9FE7-4B25-B087-E04058E47E5C}"/>
    <cellStyle name="Обычный 36" xfId="4255" xr:uid="{AD8F8CCF-3CB6-4E66-B17E-C4268CE66D11}"/>
    <cellStyle name="Обычный 36 11" xfId="4410" xr:uid="{3D0B47B2-CF9C-4C1E-81EB-D8916510F40C}"/>
    <cellStyle name="Обычный 36 2" xfId="4405" xr:uid="{8CD8AE2E-2D3E-4BB0-AE64-38ECF8C293E1}"/>
    <cellStyle name="Обычный 37" xfId="4259" xr:uid="{7BA61DD3-37EA-45AF-9525-E4DC1970DC38}"/>
    <cellStyle name="Обычный 37 2" xfId="4498" xr:uid="{976F3A68-BEEF-4A30-97DF-CAB677CB7F6C}"/>
    <cellStyle name="Обычный 37 3" xfId="4491" xr:uid="{A669A4A8-E901-463B-B9F3-795F59CCC3A0}"/>
    <cellStyle name="Обычный 38" xfId="4265" xr:uid="{2181130A-1C9F-42C3-8A21-3A707DBD1406}"/>
    <cellStyle name="Обычный 38 2" xfId="4499" xr:uid="{CF83F50F-31A7-4407-A8A9-BA7BAC854B83}"/>
    <cellStyle name="Обычный 38 3" xfId="4492" xr:uid="{7D3179C4-F09B-4E6F-BA35-DA77C00A2C66}"/>
    <cellStyle name="Обычный 39" xfId="4269" xr:uid="{7B1929D0-0BF8-4C62-8C8C-42E3B70A4FF8}"/>
    <cellStyle name="Обычный 39 2" xfId="4493" xr:uid="{8FAFA522-E0B3-468F-B724-1263B365A950}"/>
    <cellStyle name="Обычный 4" xfId="13" xr:uid="{00000000-0005-0000-0000-00000E000000}"/>
    <cellStyle name="Обычный 4 2" xfId="38" xr:uid="{AED9BF82-11A9-45EE-BF4A-FDA99894C170}"/>
    <cellStyle name="Обычный 4 2 2" xfId="1114" xr:uid="{71FBE60F-91B6-4FDD-8A06-81EFF219F8F4}"/>
    <cellStyle name="Обычный 4 3" xfId="500" xr:uid="{DEF12458-CF5C-4E7A-AD60-B68CBDC7A0DA}"/>
    <cellStyle name="Обычный 4 3 2" xfId="886" xr:uid="{B2573E63-89DC-4011-B94D-D10271279DD5}"/>
    <cellStyle name="Обычный 4 3 2 2" xfId="1697" xr:uid="{F810BF1A-05AE-42B5-8CF4-473D1EBC3341}"/>
    <cellStyle name="Обычный 4 3 2 2 2" xfId="3230" xr:uid="{AD64591A-FF60-4C1D-930D-C195BF33DDE9}"/>
    <cellStyle name="Обычный 4 3 2 3" xfId="2464" xr:uid="{F40D042D-7B29-4857-ADB8-76C6C613A2A4}"/>
    <cellStyle name="Обычный 4 3 2 4" xfId="4029" xr:uid="{C3C9FD3A-C392-4AFD-B377-AB7707818C06}"/>
    <cellStyle name="Обычный 4 3 3" xfId="1316" xr:uid="{3830ED0F-2802-4FE2-8735-1A6764424071}"/>
    <cellStyle name="Обычный 4 3 3 2" xfId="2849" xr:uid="{932805D8-1431-4CBE-A6C5-B162E1DECF41}"/>
    <cellStyle name="Обычный 4 3 4" xfId="2083" xr:uid="{3D2F885B-918F-4221-B3FF-A2AC7D81C7F6}"/>
    <cellStyle name="Обычный 4 3 5" xfId="3618" xr:uid="{70C90ADF-DE5C-4087-8540-5B9CE286B695}"/>
    <cellStyle name="Обычный 4 4" xfId="700" xr:uid="{E0E157D2-BEFF-4673-9A61-72C1BACDAE88}"/>
    <cellStyle name="Обычный 4 4 2" xfId="1511" xr:uid="{5D94BF3E-97C8-4FBC-8D30-BCBE2A838A86}"/>
    <cellStyle name="Обычный 4 4 2 2" xfId="3044" xr:uid="{0CA608AB-5D1B-4572-8CD9-CAE186E060BF}"/>
    <cellStyle name="Обычный 4 4 3" xfId="2278" xr:uid="{74BF3D4C-F415-46D2-91DC-5C8C83501621}"/>
    <cellStyle name="Обычный 4 4 4" xfId="3842" xr:uid="{1A50873F-2C32-4929-A061-DA80F64C1616}"/>
    <cellStyle name="Обычный 4 5" xfId="1113" xr:uid="{DC198DBD-ACFF-49F9-A0F5-95BB41A46CE1}"/>
    <cellStyle name="Обычный 4 6" xfId="1130" xr:uid="{6DD782DE-AFD6-42C4-A239-D94877CB5D8B}"/>
    <cellStyle name="Обычный 4 6 2" xfId="2663" xr:uid="{E87BE8C0-D8BE-4E0F-8688-E2385BAA7B3C}"/>
    <cellStyle name="Обычный 4 7" xfId="1897" xr:uid="{EEC57533-E0D9-4A8A-9BDB-C5F26BCAEE49}"/>
    <cellStyle name="Обычный 4 8" xfId="3438" xr:uid="{D8F041ED-0902-419B-924F-3757C63CB85E}"/>
    <cellStyle name="Обычный 4 9" xfId="4358" xr:uid="{4279778B-B53A-49C0-88EC-CA717B58C855}"/>
    <cellStyle name="Обычный 40" xfId="4275" xr:uid="{6ED6E096-81F5-44B3-A24C-CACB68FD0242}"/>
    <cellStyle name="Обычный 40 2" xfId="4500" xr:uid="{A2B7CFA5-AC75-4785-AD5A-B64D062E6AFD}"/>
    <cellStyle name="Обычный 40 3" xfId="4494" xr:uid="{36A90E39-779E-4239-A378-6AA4D43C503C}"/>
    <cellStyle name="Обычный 41" xfId="4276" xr:uid="{2E5E48EA-6383-4D52-A950-DC41708FCA46}"/>
    <cellStyle name="Обычный 41 2" xfId="4495" xr:uid="{16CBBC77-FAF8-453A-AE8C-DDE59E3477B7}"/>
    <cellStyle name="Обычный 42" xfId="4277" xr:uid="{704A5257-A312-41EE-8596-D57584237CA6}"/>
    <cellStyle name="Обычный 42 2" xfId="4501" xr:uid="{AA0C7FBD-77DB-4816-B034-8E25DFB8BDFE}"/>
    <cellStyle name="Обычный 43" xfId="4280" xr:uid="{21666F84-FEFE-4BD7-B554-C99E6D1FEDC5}"/>
    <cellStyle name="Обычный 43 2" xfId="4496" xr:uid="{436DE7AA-6C95-4094-8BCC-3981D9E5CEE7}"/>
    <cellStyle name="Обычный 44" xfId="4330" xr:uid="{82A4B04F-67E1-49FA-8486-F4D8AD68E384}"/>
    <cellStyle name="Обычный 44 2" xfId="4503" xr:uid="{B294175A-4505-4973-A67B-121985686CC9}"/>
    <cellStyle name="Обычный 45" xfId="4341" xr:uid="{5EB51067-D9C3-41C7-92B6-73F27BACC6BA}"/>
    <cellStyle name="Обычный 45 2" xfId="4504" xr:uid="{EF15858B-ED66-4FE1-BD45-557818BE92BD}"/>
    <cellStyle name="Обычный 46" xfId="4346" xr:uid="{3D22D3F8-1ED1-444B-AACC-8E989A3AA777}"/>
    <cellStyle name="Обычный 47" xfId="4352" xr:uid="{AC7A464E-DCBC-4BD6-B94B-858699E999D6}"/>
    <cellStyle name="Обычный 48" xfId="4353" xr:uid="{A51D3531-95B2-4744-A77C-7B2980FB67FB}"/>
    <cellStyle name="Обычный 49" xfId="4364" xr:uid="{99D07FD1-8A07-4ECC-A265-2F704EFAA285}"/>
    <cellStyle name="Обычный 5" xfId="14" xr:uid="{00000000-0005-0000-0000-00000F000000}"/>
    <cellStyle name="Обычный 5 2" xfId="43" xr:uid="{04620089-FDF8-44C6-9325-272E7511FA54}"/>
    <cellStyle name="Обычный 5 2 2" xfId="1116" xr:uid="{C9D48BC7-8051-4100-986C-50C1CCC6BF2B}"/>
    <cellStyle name="Обычный 5 3" xfId="501" xr:uid="{664A17AC-552A-43F9-8F81-363073150E69}"/>
    <cellStyle name="Обычный 5 3 2" xfId="887" xr:uid="{F6AD64F5-6B26-46CD-B4F7-1F3CD8362CAD}"/>
    <cellStyle name="Обычный 5 3 2 2" xfId="1698" xr:uid="{3ADEA5D1-CA72-44F4-BD7A-D34945EF5765}"/>
    <cellStyle name="Обычный 5 3 2 2 2" xfId="3231" xr:uid="{BC570171-08C6-4112-BA61-691575DA1F27}"/>
    <cellStyle name="Обычный 5 3 2 3" xfId="2465" xr:uid="{8D1E2C44-8CA1-4011-BC31-E69EB9467200}"/>
    <cellStyle name="Обычный 5 3 2 4" xfId="4030" xr:uid="{7BC44735-FC25-4A5A-A569-CC549BD57D1D}"/>
    <cellStyle name="Обычный 5 3 3" xfId="1317" xr:uid="{BA1C76F5-FF87-4254-BE9E-D2B6B203E62F}"/>
    <cellStyle name="Обычный 5 3 3 2" xfId="2850" xr:uid="{01A2A5AF-96E8-426E-8FA0-25230AC45575}"/>
    <cellStyle name="Обычный 5 3 4" xfId="2084" xr:uid="{2C46ABE7-606E-4A70-8D5B-DFED29E1B8E4}"/>
    <cellStyle name="Обычный 5 3 5" xfId="3619" xr:uid="{B2218984-FBAD-4FBF-AB21-9B37EABAB772}"/>
    <cellStyle name="Обычный 5 4" xfId="701" xr:uid="{201092F0-B8DC-4154-ABE1-856ACB2C4FFE}"/>
    <cellStyle name="Обычный 5 4 2" xfId="1512" xr:uid="{99E520E7-DD44-428A-8422-096392FD37E9}"/>
    <cellStyle name="Обычный 5 4 2 2" xfId="3045" xr:uid="{48870751-EC19-4078-84B3-6823F36186C2}"/>
    <cellStyle name="Обычный 5 4 3" xfId="2279" xr:uid="{15E6BC24-0860-460F-8F01-4728B8A84E26}"/>
    <cellStyle name="Обычный 5 4 4" xfId="3843" xr:uid="{81659444-D44B-4805-8440-24C70D26DC83}"/>
    <cellStyle name="Обычный 5 5" xfId="1115" xr:uid="{1A1EC98E-5309-4A89-A383-2F1E1C9AB271}"/>
    <cellStyle name="Обычный 5 6" xfId="1131" xr:uid="{ADFB1D9F-4761-4014-AB0B-F1DF73C371EE}"/>
    <cellStyle name="Обычный 5 6 2" xfId="2664" xr:uid="{30D2946E-040E-406F-BC1B-BF8322ED52D6}"/>
    <cellStyle name="Обычный 5 7" xfId="1898" xr:uid="{057A7040-0047-4E53-9A4F-112CB1CA1E00}"/>
    <cellStyle name="Обычный 5 8" xfId="3437" xr:uid="{B431B395-5B1E-4F38-A29F-9CA46DF68854}"/>
    <cellStyle name="Обычный 50" xfId="4366" xr:uid="{45C8B476-926C-4BD9-88FC-FD2BB8098357}"/>
    <cellStyle name="Обычный 51" xfId="4434" xr:uid="{E8BF92DB-F998-4270-ACD5-238AF0325DD8}"/>
    <cellStyle name="Обычный 52" xfId="4507" xr:uid="{B170334B-52DD-4C40-B62F-4D8129740D0C}"/>
    <cellStyle name="Обычный 53" xfId="4527" xr:uid="{2E601EA4-4271-4328-AE3A-7EF21C62EE50}"/>
    <cellStyle name="Обычный 54" xfId="4529" xr:uid="{C7758B01-B0B0-4CAA-AD5E-F64F264651C0}"/>
    <cellStyle name="Обычный 55" xfId="4530" xr:uid="{E9ECF2AE-64E9-44C5-A34F-F5947259E944}"/>
    <cellStyle name="Обычный 56" xfId="4550" xr:uid="{709592E7-1D72-4B86-8AE3-6A94ADC456A4}"/>
    <cellStyle name="Обычный 57" xfId="4552" xr:uid="{C3B37503-C73C-4BAD-892B-2F1F9E8D9E06}"/>
    <cellStyle name="Обычный 6" xfId="15" xr:uid="{00000000-0005-0000-0000-000010000000}"/>
    <cellStyle name="Обычный 6 2" xfId="51" xr:uid="{A1C55B31-533C-4657-9E5D-A60E42D6F3AE}"/>
    <cellStyle name="Обычный 6 2 2" xfId="518" xr:uid="{7C2D8447-E4E6-44D4-BFB9-15DC50D67D91}"/>
    <cellStyle name="Обычный 6 2 2 2" xfId="904" xr:uid="{057A104C-0A3D-4E03-B95E-BBE47A6249B9}"/>
    <cellStyle name="Обычный 6 2 2 2 2" xfId="1715" xr:uid="{AB103670-45A7-4896-B86A-B5408C8C2E2E}"/>
    <cellStyle name="Обычный 6 2 2 2 2 2" xfId="3248" xr:uid="{D17D4473-E9A0-40C0-B202-8D400496CB39}"/>
    <cellStyle name="Обычный 6 2 2 2 3" xfId="2482" xr:uid="{DFF81DC8-BEFD-4802-98AB-CB9C3DB5CFE9}"/>
    <cellStyle name="Обычный 6 2 2 2 4" xfId="4047" xr:uid="{061F978F-635A-48BB-BC71-7A28092A8764}"/>
    <cellStyle name="Обычный 6 2 2 3" xfId="1334" xr:uid="{20A64E42-C55C-4431-9826-2C8B97F56584}"/>
    <cellStyle name="Обычный 6 2 2 3 2" xfId="2867" xr:uid="{8A3704EF-F589-43C3-A018-B27FA10B128E}"/>
    <cellStyle name="Обычный 6 2 2 4" xfId="2101" xr:uid="{13C98747-B13A-43BA-9DCD-D9AF98A0E03A}"/>
    <cellStyle name="Обычный 6 2 2 5" xfId="3636" xr:uid="{58D6AB00-BB8D-4064-B0F8-A886366F727C}"/>
    <cellStyle name="Обычный 6 2 3" xfId="718" xr:uid="{505DA407-1843-40A8-9D38-934DD43979CF}"/>
    <cellStyle name="Обычный 6 2 3 2" xfId="1529" xr:uid="{384691DC-46CC-40A1-A748-84DB41D2B3B4}"/>
    <cellStyle name="Обычный 6 2 3 2 2" xfId="3062" xr:uid="{38691BE1-4908-4CA5-8F21-765A6B41DD30}"/>
    <cellStyle name="Обычный 6 2 3 3" xfId="2296" xr:uid="{458D9C68-BEF5-42CF-87A9-0BEC7016DDB1}"/>
    <cellStyle name="Обычный 6 2 3 4" xfId="3860" xr:uid="{573C54CD-FA6B-4372-9A84-8EDE89ACBBF5}"/>
    <cellStyle name="Обычный 6 2 4" xfId="1118" xr:uid="{C81FF4E1-D338-4189-9716-9A3956596900}"/>
    <cellStyle name="Обычный 6 2 5" xfId="1148" xr:uid="{F009043A-F1DC-48E4-806C-6DC5A2D90EB2}"/>
    <cellStyle name="Обычный 6 2 5 2" xfId="2681" xr:uid="{022F7447-629F-4727-921D-CC7B2A94503B}"/>
    <cellStyle name="Обычный 6 2 6" xfId="1915" xr:uid="{74750C5F-DD3B-4FC4-BE0C-F673961EA9E5}"/>
    <cellStyle name="Обычный 6 2 7" xfId="3450" xr:uid="{FEC9CD15-3E10-4F08-A0F5-8B07737617A5}"/>
    <cellStyle name="Обычный 6 3" xfId="37" xr:uid="{8A3D4F27-5FC6-4FC4-AEEA-9094D92AC11B}"/>
    <cellStyle name="Обычный 6 3 2" xfId="514" xr:uid="{8C415FAE-11F6-4742-AE76-68C0401DD96A}"/>
    <cellStyle name="Обычный 6 3 2 2" xfId="900" xr:uid="{6DDBEAE3-4661-411C-AAFB-C7165C75518A}"/>
    <cellStyle name="Обычный 6 3 2 2 2" xfId="1711" xr:uid="{8F85EC8B-6944-4BA4-A74A-B690F84E4265}"/>
    <cellStyle name="Обычный 6 3 2 2 2 2" xfId="3244" xr:uid="{FC580597-CB38-4083-B224-CA681A99F55C}"/>
    <cellStyle name="Обычный 6 3 2 2 3" xfId="2478" xr:uid="{8F205742-C628-4BB3-8368-0B3CE533199A}"/>
    <cellStyle name="Обычный 6 3 2 2 4" xfId="4043" xr:uid="{0D5F88A4-78BD-4493-B463-7A22335738BB}"/>
    <cellStyle name="Обычный 6 3 2 3" xfId="1330" xr:uid="{367C4075-38B3-453A-994B-6545E2799A2B}"/>
    <cellStyle name="Обычный 6 3 2 3 2" xfId="2863" xr:uid="{F47BBF26-34BE-4C7E-A43B-5289E62FF789}"/>
    <cellStyle name="Обычный 6 3 2 4" xfId="2097" xr:uid="{17371C41-4E7D-45BA-8E67-4DDF03F354D3}"/>
    <cellStyle name="Обычный 6 3 2 5" xfId="3632" xr:uid="{0221A769-51D3-4F5C-BEE2-B61D7E98527E}"/>
    <cellStyle name="Обычный 6 3 3" xfId="714" xr:uid="{68C00857-F143-4A7F-B907-940DF59DD6C0}"/>
    <cellStyle name="Обычный 6 3 3 2" xfId="1525" xr:uid="{67C4AB81-C23E-48BF-9C71-73427A222EA8}"/>
    <cellStyle name="Обычный 6 3 3 2 2" xfId="3058" xr:uid="{4B1D4533-4A90-4CA1-83AE-5BBC46FA4A30}"/>
    <cellStyle name="Обычный 6 3 3 3" xfId="2292" xr:uid="{BD9C4E0A-C364-4D0A-96A8-D7CA56AAAB57}"/>
    <cellStyle name="Обычный 6 3 3 4" xfId="3856" xr:uid="{4D35CF29-15E1-4CB6-B2A6-AA754058B133}"/>
    <cellStyle name="Обычный 6 3 4" xfId="1144" xr:uid="{3AFC1FDD-BA62-46FE-BE41-E6C50079B449}"/>
    <cellStyle name="Обычный 6 3 4 2" xfId="2677" xr:uid="{08E4D046-A8BF-42B3-8F10-7DAAC1B44D6A}"/>
    <cellStyle name="Обычный 6 3 5" xfId="1911" xr:uid="{91919F36-1E9B-42A3-A233-20BDCDC163AC}"/>
    <cellStyle name="Обычный 6 3 6" xfId="3446" xr:uid="{E0F7A146-CBD2-44F6-ABF1-389624363784}"/>
    <cellStyle name="Обычный 6 4" xfId="502" xr:uid="{62595477-57D1-4DF5-9F88-0F8831E73502}"/>
    <cellStyle name="Обычный 6 4 2" xfId="888" xr:uid="{C9A26A5D-5EB7-4036-90A2-7DEB2FA04BD7}"/>
    <cellStyle name="Обычный 6 4 2 2" xfId="1699" xr:uid="{0D26CB70-4C49-41D2-8441-BB980F44356D}"/>
    <cellStyle name="Обычный 6 4 2 2 2" xfId="3232" xr:uid="{684D2D77-4455-4AC7-8924-2652E8FA0F6B}"/>
    <cellStyle name="Обычный 6 4 2 3" xfId="2466" xr:uid="{267EAD9F-1416-4CC0-B23A-04ABC2EE750E}"/>
    <cellStyle name="Обычный 6 4 2 4" xfId="4031" xr:uid="{F152CE8C-AEC4-4AD0-A137-0F873EB1D5FB}"/>
    <cellStyle name="Обычный 6 4 3" xfId="1318" xr:uid="{D5475F7C-7625-40BC-831C-85A8D2A5C3BF}"/>
    <cellStyle name="Обычный 6 4 3 2" xfId="2851" xr:uid="{0F0759EC-A89F-4AF7-AF6C-B399DB383853}"/>
    <cellStyle name="Обычный 6 4 4" xfId="2085" xr:uid="{A8E1D384-C2D4-42C4-B99D-633FC860CBC5}"/>
    <cellStyle name="Обычный 6 4 5" xfId="3620" xr:uid="{62E02CA5-0A43-4257-AC5E-A6D3F8A3725F}"/>
    <cellStyle name="Обычный 6 5" xfId="702" xr:uid="{18F5C54B-B72D-470B-B1CF-4EB478787D8D}"/>
    <cellStyle name="Обычный 6 5 2" xfId="1513" xr:uid="{BD8D107D-1DF1-4D76-BB9C-1A49343AEC53}"/>
    <cellStyle name="Обычный 6 5 2 2" xfId="3046" xr:uid="{C1F4B33C-0B57-4AA8-95D4-B02AA0A2A3D5}"/>
    <cellStyle name="Обычный 6 5 3" xfId="2280" xr:uid="{DCB773B3-A3ED-42E6-B4F3-376C632EBADB}"/>
    <cellStyle name="Обычный 6 5 4" xfId="3844" xr:uid="{E5B325A8-3F3D-445E-AF83-49286D42D751}"/>
    <cellStyle name="Обычный 6 6" xfId="1117" xr:uid="{C988CCDF-DFE1-483F-85EE-FCE0E4402262}"/>
    <cellStyle name="Обычный 6 7" xfId="1132" xr:uid="{068EBBB6-849B-4225-8EE4-49EBF97BD5DA}"/>
    <cellStyle name="Обычный 6 7 2" xfId="2665" xr:uid="{DE57F3EA-CAA5-44CC-824E-87ED0F7FA9B8}"/>
    <cellStyle name="Обычный 6 8" xfId="1899" xr:uid="{9538548B-CB94-451C-B899-C02FB20FBF20}"/>
    <cellStyle name="Обычный 6 9" xfId="3436" xr:uid="{2B151BE0-0819-43A3-B136-6AFFEF29378B}"/>
    <cellStyle name="Обычный 7" xfId="17" xr:uid="{00000000-0005-0000-0000-000011000000}"/>
    <cellStyle name="Обычный 7 2" xfId="484" xr:uid="{FB8298AA-CEC3-4AF8-9E4A-CF05872AD79C}"/>
    <cellStyle name="Обычный 7 2 2" xfId="1120" xr:uid="{E7A1DC73-39F1-46C8-95FE-E06F41E97948}"/>
    <cellStyle name="Обычный 7 3" xfId="504" xr:uid="{C2B505AC-E6C6-4E62-BFF5-22CD98EF5EE5}"/>
    <cellStyle name="Обычный 7 3 2" xfId="890" xr:uid="{5AED5001-7704-4179-A6AD-6FEA0DE1FD8A}"/>
    <cellStyle name="Обычный 7 3 2 2" xfId="1701" xr:uid="{2E22E5E5-EE6C-4F3B-979F-8724FC1F58A5}"/>
    <cellStyle name="Обычный 7 3 2 2 2" xfId="3234" xr:uid="{12A3AE4A-E239-487B-9AB7-6F1C7B4A18A2}"/>
    <cellStyle name="Обычный 7 3 2 3" xfId="2468" xr:uid="{492017D1-936A-46FC-AB98-38E0D4FF0F9C}"/>
    <cellStyle name="Обычный 7 3 2 4" xfId="4033" xr:uid="{DAC665F8-C220-497A-8F74-E91AFD4F8662}"/>
    <cellStyle name="Обычный 7 3 3" xfId="1320" xr:uid="{B3EE88CD-2857-4950-8E72-747FC1DF1D9D}"/>
    <cellStyle name="Обычный 7 3 3 2" xfId="2853" xr:uid="{251F0E8A-7B4A-4E39-9D62-FB750A30E472}"/>
    <cellStyle name="Обычный 7 3 4" xfId="2087" xr:uid="{1259384D-B1B7-4D7A-A967-3E6A9235BA01}"/>
    <cellStyle name="Обычный 7 3 5" xfId="3622" xr:uid="{F34C1ADA-7D50-4FE1-B28B-7D9CA871BBFE}"/>
    <cellStyle name="Обычный 7 4" xfId="704" xr:uid="{D405A7BE-A0C6-4396-8325-EEB6EF9A80A0}"/>
    <cellStyle name="Обычный 7 4 2" xfId="1515" xr:uid="{C650D712-EC78-4568-B7EA-706F0DD72B9B}"/>
    <cellStyle name="Обычный 7 4 2 2" xfId="3048" xr:uid="{B470A7CD-A2A9-4D95-B0B1-0CF49AA26F7A}"/>
    <cellStyle name="Обычный 7 4 3" xfId="2282" xr:uid="{555F3C81-78D3-45B1-B0A0-018E6C9804F3}"/>
    <cellStyle name="Обычный 7 4 4" xfId="3846" xr:uid="{93B4B1D5-C09D-465F-9F38-4CC3A2E52ED1}"/>
    <cellStyle name="Обычный 7 5" xfId="1119" xr:uid="{F9FEAEDA-F5A2-4DD4-BF8E-32CB7D90F3CF}"/>
    <cellStyle name="Обычный 7 6" xfId="1134" xr:uid="{DCDC2EF0-B88D-4B61-8AAB-99F2E81F2E34}"/>
    <cellStyle name="Обычный 7 6 2" xfId="2667" xr:uid="{55521004-29A6-4CBE-8B9D-560CFE81AE72}"/>
    <cellStyle name="Обычный 7 7" xfId="1901" xr:uid="{AC851931-5790-449E-A30C-C86A799504FF}"/>
    <cellStyle name="Обычный 7 8" xfId="3434" xr:uid="{E744837A-E200-4D11-879B-A1F01836DB91}"/>
    <cellStyle name="Обычный 8" xfId="18" xr:uid="{00000000-0005-0000-0000-000012000000}"/>
    <cellStyle name="Обычный 8 2" xfId="505" xr:uid="{4D804476-7D2F-4523-A77D-7FDCF4E5FD71}"/>
    <cellStyle name="Обычный 8 2 2" xfId="891" xr:uid="{C7A5925D-F71A-46EB-9E90-6523A6BF3EB5}"/>
    <cellStyle name="Обычный 8 2 2 2" xfId="1702" xr:uid="{76FAD9D6-A86D-4E29-A64B-5B0A49D7DA57}"/>
    <cellStyle name="Обычный 8 2 2 2 2" xfId="3235" xr:uid="{99981AF9-DC25-4648-9CB5-CFBF25E5DB87}"/>
    <cellStyle name="Обычный 8 2 2 3" xfId="2469" xr:uid="{17722A03-BC7A-41E7-AD8C-10CE8E44DA3F}"/>
    <cellStyle name="Обычный 8 2 2 4" xfId="4034" xr:uid="{6F44F80C-9BC0-428C-957B-D8D816332B00}"/>
    <cellStyle name="Обычный 8 2 3" xfId="1122" xr:uid="{090E516E-A943-4981-AE0C-3EBCBF8181FD}"/>
    <cellStyle name="Обычный 8 2 4" xfId="1321" xr:uid="{5E1B1D2C-82D2-4E1C-A2F7-090E1B6AC546}"/>
    <cellStyle name="Обычный 8 2 4 2" xfId="2854" xr:uid="{7DE130E9-CAEE-4620-A343-E2C3F4708653}"/>
    <cellStyle name="Обычный 8 2 5" xfId="2088" xr:uid="{FC196DAE-E3BD-4B18-A419-986A13154D69}"/>
    <cellStyle name="Обычный 8 2 6" xfId="3623" xr:uid="{840DCBC5-0756-4372-8091-9B2CDAF911DC}"/>
    <cellStyle name="Обычный 8 3" xfId="705" xr:uid="{37795422-390C-4F3D-BBB1-4601C9649FE9}"/>
    <cellStyle name="Обычный 8 3 2" xfId="1516" xr:uid="{CAADFD54-10A8-4EA7-84EA-9B6093B1DC7C}"/>
    <cellStyle name="Обычный 8 3 2 2" xfId="3049" xr:uid="{34F17449-8DD2-42C7-B314-E4642B762B0D}"/>
    <cellStyle name="Обычный 8 3 3" xfId="2283" xr:uid="{040FA06C-E1A5-4229-8CF2-9F60D610CC0A}"/>
    <cellStyle name="Обычный 8 3 4" xfId="3847" xr:uid="{974C1295-5008-4F92-8F52-74371C009D8E}"/>
    <cellStyle name="Обычный 8 4" xfId="1121" xr:uid="{B6348021-D82A-45BB-B792-4DCF2DA08458}"/>
    <cellStyle name="Обычный 8 5" xfId="1135" xr:uid="{EC0E1156-B053-43E0-AE8A-749FD8794805}"/>
    <cellStyle name="Обычный 8 5 2" xfId="2668" xr:uid="{36CEA27B-1DAC-40E1-9AD9-277804581268}"/>
    <cellStyle name="Обычный 8 6" xfId="1902" xr:uid="{39D70D3B-C54E-4CBB-93DD-9B242029C9E3}"/>
    <cellStyle name="Обычный 8 7" xfId="3433" xr:uid="{AC847057-034B-4D19-A5B4-3DEA4086564E}"/>
    <cellStyle name="Обычный 9" xfId="19" xr:uid="{00000000-0005-0000-0000-000013000000}"/>
    <cellStyle name="Обычный 9 2" xfId="506" xr:uid="{B633716B-DAC5-4BB9-9A85-F9267B2003DE}"/>
    <cellStyle name="Обычный 9 2 2" xfId="892" xr:uid="{57A7A076-F2DF-4A04-8504-D0CCDE1D5776}"/>
    <cellStyle name="Обычный 9 2 2 2" xfId="1703" xr:uid="{0EFD5770-B36A-440E-B116-0DD3454918CD}"/>
    <cellStyle name="Обычный 9 2 2 2 2" xfId="3236" xr:uid="{83A71DFF-89E4-449A-837F-CAE3E4AE07EA}"/>
    <cellStyle name="Обычный 9 2 2 3" xfId="2470" xr:uid="{C62D11F7-45BD-4382-9226-85761B4A8949}"/>
    <cellStyle name="Обычный 9 2 2 4" xfId="4035" xr:uid="{03D4105F-3655-4251-82E5-DD9B4A3B5473}"/>
    <cellStyle name="Обычный 9 2 3" xfId="1124" xr:uid="{133AE31C-C469-461D-B51D-F1B77761605C}"/>
    <cellStyle name="Обычный 9 2 4" xfId="1322" xr:uid="{9195AB99-8B96-452B-975D-C35ED2988255}"/>
    <cellStyle name="Обычный 9 2 4 2" xfId="2855" xr:uid="{DA845ADE-D6CD-4C23-B1C8-1291A5C01B44}"/>
    <cellStyle name="Обычный 9 2 5" xfId="2089" xr:uid="{CC87912F-4CB4-4E21-B79B-4CCF9DA97315}"/>
    <cellStyle name="Обычный 9 2 6" xfId="3624" xr:uid="{81A10C95-D693-4DDF-99A9-C6A71084F4E9}"/>
    <cellStyle name="Обычный 9 3" xfId="706" xr:uid="{D1C9F107-6615-47BF-BB86-755758BF5C8A}"/>
    <cellStyle name="Обычный 9 3 2" xfId="1517" xr:uid="{4D3D0FB2-2E21-462B-9B2B-1EBD6889CF4E}"/>
    <cellStyle name="Обычный 9 3 2 2" xfId="3050" xr:uid="{9F5130A9-1167-4237-B213-54483DE4B7B0}"/>
    <cellStyle name="Обычный 9 3 3" xfId="2284" xr:uid="{C7FDB148-9C75-447C-A5C6-0942D03C6BC7}"/>
    <cellStyle name="Обычный 9 3 4" xfId="3848" xr:uid="{8F5B23ED-E0BB-46AF-8EA0-AAFA5F40386E}"/>
    <cellStyle name="Обычный 9 4" xfId="1123" xr:uid="{01897432-8515-45E6-8990-406512A90BD3}"/>
    <cellStyle name="Обычный 9 5" xfId="1136" xr:uid="{24266DAE-9079-4D37-87C1-59236B2232C7}"/>
    <cellStyle name="Обычный 9 5 2" xfId="2669" xr:uid="{1BC324D3-B231-4DD0-8A08-E382909EC4A2}"/>
    <cellStyle name="Обычный 9 6" xfId="1903" xr:uid="{E646A146-0CF9-464E-986F-1635159F767E}"/>
    <cellStyle name="Обычный 9 7" xfId="3432" xr:uid="{50CE97AB-DCC4-4FB5-8FAE-B202B8778FD6}"/>
    <cellStyle name="Обычный_DVGBPJPYI02" xfId="7" xr:uid="{00000000-0005-0000-0000-000014000000}"/>
    <cellStyle name="Обычный_DVII02" xfId="24" xr:uid="{00000000-0005-0000-0000-000015000000}"/>
    <cellStyle name="Обычный_DVII02 2" xfId="4" xr:uid="{00000000-0005-0000-0000-000016000000}"/>
    <cellStyle name="Плохой" xfId="4296" builtinId="27" customBuiltin="1"/>
    <cellStyle name="Плохой 2" xfId="80" xr:uid="{D57426DC-7B5D-4131-AD5A-DB33ECC5360E}"/>
    <cellStyle name="Пояснение" xfId="4304" builtinId="53" customBuiltin="1"/>
    <cellStyle name="Пояснение 2" xfId="88" xr:uid="{8A29AB55-5462-4ECA-8E4F-850E11532231}"/>
    <cellStyle name="Примечание 2" xfId="57" xr:uid="{E671ED47-D536-4D57-8FD7-E91826479FD3}"/>
    <cellStyle name="Примечание 3" xfId="4331" xr:uid="{09B3D5A5-2F0A-4C82-9A91-00839E8C0101}"/>
    <cellStyle name="Примечание 4" xfId="4508" xr:uid="{6C16B256-1B75-49D8-90C3-4F1220435B9D}"/>
    <cellStyle name="Примечание 5" xfId="4531" xr:uid="{7B82FCFA-1499-473D-89C8-8F7383039515}"/>
    <cellStyle name="Процентный" xfId="2" builtinId="5"/>
    <cellStyle name="Процентный 10" xfId="4454" xr:uid="{D4DF9ED8-0EE0-447D-BECE-96453E967A8E}"/>
    <cellStyle name="Процентный 10 2" xfId="4483" xr:uid="{8A6DD718-5A40-4EAD-B9CC-65698D2FE870}"/>
    <cellStyle name="Процентный 11" xfId="4474" xr:uid="{23A16599-18A0-4472-B89A-8C6D553FCDEB}"/>
    <cellStyle name="Процентный 2" xfId="40" xr:uid="{51EE433A-CD28-4649-B801-CEEC288CE98E}"/>
    <cellStyle name="Процентный 2 10" xfId="4350" xr:uid="{3CC5C469-57BE-4667-9664-8B653BA90B26}"/>
    <cellStyle name="Процентный 2 11" xfId="4399" xr:uid="{F4B147B4-C36E-4835-AD46-FDB1B57ED7CA}"/>
    <cellStyle name="Процентный 2 12" xfId="4406" xr:uid="{9A9C952D-4D34-4901-B1DF-1175C99A42C9}"/>
    <cellStyle name="Процентный 2 13" xfId="4412" xr:uid="{8A7E45BD-AD01-4644-B10E-D68B40C919D4}"/>
    <cellStyle name="Процентный 2 14" xfId="4416" xr:uid="{125016A7-8CE5-4D6E-A1DA-47B52DB463A9}"/>
    <cellStyle name="Процентный 2 15" xfId="4420" xr:uid="{FE22C909-9AAA-473B-8099-98A680596335}"/>
    <cellStyle name="Процентный 2 16" xfId="4424" xr:uid="{F38F0BB4-279A-4488-850E-55307DF6881B}"/>
    <cellStyle name="Процентный 2 17" xfId="4429" xr:uid="{B606AE93-B794-43AE-B3F8-0AC96F39414B}"/>
    <cellStyle name="Процентный 2 18" xfId="4437" xr:uid="{80DC0F67-92D3-4096-9AD2-5AC9CD654A41}"/>
    <cellStyle name="Процентный 2 2" xfId="1126" xr:uid="{406C6E05-7BA9-415B-A60E-B432F3A23089}"/>
    <cellStyle name="Процентный 2 2 2" xfId="1892" xr:uid="{5604C5E5-3E34-42D2-9790-C71FB51186F0}"/>
    <cellStyle name="Процентный 2 2 2 2" xfId="3425" xr:uid="{DAE05E0D-795D-4D4C-9E8F-86A62776506E}"/>
    <cellStyle name="Процентный 2 2 3" xfId="2659" xr:uid="{E57AE476-2DDE-488A-9BB3-2DCAF745324B}"/>
    <cellStyle name="Процентный 2 2 4" xfId="4240" xr:uid="{B3B4E27B-1778-441F-83C1-D7999E65C942}"/>
    <cellStyle name="Процентный 2 2 5" xfId="4479" xr:uid="{896AB0ED-0220-4A91-A9F6-EF7BF0ADEDD2}"/>
    <cellStyle name="Процентный 2 3" xfId="3442" xr:uid="{243C8A3A-29D6-49E1-ACDB-838BEA3E07C0}"/>
    <cellStyle name="Процентный 2 4" xfId="4254" xr:uid="{6B31AB81-E436-4CEB-91E7-48DBBD0971D8}"/>
    <cellStyle name="Процентный 2 5" xfId="4267" xr:uid="{BE29B7BC-4434-411F-94A3-34CA2DD05F5C}"/>
    <cellStyle name="Процентный 2 6" xfId="4333" xr:uid="{B9511705-4C2C-4B74-B165-708D0973B29D}"/>
    <cellStyle name="Процентный 2 7" xfId="4336" xr:uid="{0CCE0078-3556-4825-AE15-7F62643D12E9}"/>
    <cellStyle name="Процентный 2 8" xfId="4339" xr:uid="{8C3280BC-9556-4DBA-9EA6-6027ADF9AFDA}"/>
    <cellStyle name="Процентный 2 9" xfId="4344" xr:uid="{31B0379F-2666-4103-A58E-51B5B8EA86F4}"/>
    <cellStyle name="Процентный 3" xfId="45" xr:uid="{5E015273-D109-4C1C-BA37-8791041B0C6C}"/>
    <cellStyle name="Процентный 3 2" xfId="4458" xr:uid="{C4B1F41A-F5FC-498C-9AF4-8D8BA324DAD4}"/>
    <cellStyle name="Процентный 3 3" xfId="4439" xr:uid="{8418DB31-3055-426F-8C10-8F1848E0C3A0}"/>
    <cellStyle name="Процентный 4" xfId="29" xr:uid="{8928C5D2-E660-418C-B618-F198B6116879}"/>
    <cellStyle name="Процентный 4 2" xfId="4407" xr:uid="{E95E75AB-1CE7-43D2-A9DE-885A7910D56F}"/>
    <cellStyle name="Процентный 4 2 2" xfId="4460" xr:uid="{37605B6A-9F48-4386-9A78-B4F9A57DBE3A}"/>
    <cellStyle name="Процентный 4 3" xfId="4486" xr:uid="{63DD3F3A-2D0A-493E-A8B6-09D13DE62DEA}"/>
    <cellStyle name="Процентный 4 4" xfId="4441" xr:uid="{DCE09AA7-A508-4F7B-A8DB-1904246AF9EF}"/>
    <cellStyle name="Процентный 5" xfId="1125" xr:uid="{5C73B931-182B-4A9F-A044-D3F3F4494F87}"/>
    <cellStyle name="Процентный 5 2" xfId="3837" xr:uid="{D023DFCD-F92B-48DA-B220-9D864C30FF50}"/>
    <cellStyle name="Процентный 5 2 2" xfId="4462" xr:uid="{4A5630F7-C2E4-430F-A7CC-70E1F1D0759C}"/>
    <cellStyle name="Процентный 5 3" xfId="3830" xr:uid="{1BD7BD92-8D46-46E5-AB1E-8F4626C3A3F8}"/>
    <cellStyle name="Процентный 5 4" xfId="4443" xr:uid="{56FF9BB1-CE1F-4DBA-94E7-43C5CAFB6021}"/>
    <cellStyle name="Процентный 6" xfId="3834" xr:uid="{593E4E1F-8565-48E4-98BA-60487438B006}"/>
    <cellStyle name="Процентный 6 2" xfId="4464" xr:uid="{BABBEA37-07EC-4D67-ADB0-2D41BB2EED17}"/>
    <cellStyle name="Процентный 6 3" xfId="4445" xr:uid="{E20829F0-4B17-43A0-860A-EB1CF7EBA326}"/>
    <cellStyle name="Процентный 7" xfId="4239" xr:uid="{3C584699-7B2C-49F2-A9BB-CB0E6A75363D}"/>
    <cellStyle name="Процентный 7 2" xfId="4467" xr:uid="{4A03F01D-BFC4-457B-9D2E-41270724A85B}"/>
    <cellStyle name="Процентный 7 3" xfId="4447" xr:uid="{9057735C-BF02-478E-8F8E-2E76D5690B8D}"/>
    <cellStyle name="Процентный 8" xfId="4271" xr:uid="{526A2FF9-8B62-460A-8901-3ED9D9CBFDE4}"/>
    <cellStyle name="Процентный 8 2" xfId="4469" xr:uid="{BD9AFC75-ABF9-4095-9E0E-F5286445F14F}"/>
    <cellStyle name="Процентный 8 3" xfId="4450" xr:uid="{F952A057-1BF2-4263-8FC3-4388D46E8489}"/>
    <cellStyle name="Процентный 9" xfId="4283" xr:uid="{32CE2601-A525-4A59-B9B7-2488B645A478}"/>
    <cellStyle name="Процентный 9 2" xfId="4471" xr:uid="{42048E69-C30E-4D55-9CC2-EC2CA8229696}"/>
    <cellStyle name="Процентный 9 3" xfId="4452" xr:uid="{A823DD7B-CC15-465F-8179-7AEB23A63320}"/>
    <cellStyle name="Связанная ячейка" xfId="4301" builtinId="24" customBuiltin="1"/>
    <cellStyle name="Связанная ячейка 2" xfId="85" xr:uid="{192BF7FD-BB3E-4B47-B1E0-3F319FAB4A0D}"/>
    <cellStyle name="Текст предупреждения" xfId="4303" builtinId="11" customBuiltin="1"/>
    <cellStyle name="Текст предупреждения 2" xfId="87" xr:uid="{05DC1EF7-C6D4-44FA-B12B-F2BF2FC15C1D}"/>
    <cellStyle name="Финансовый" xfId="3" builtinId="3"/>
    <cellStyle name="Финансовый [0] 2" xfId="47" xr:uid="{43F78CCB-CECD-464C-9DFB-86330165619A}"/>
    <cellStyle name="Финансовый 10" xfId="26" xr:uid="{00000000-0005-0000-0000-000019000000}"/>
    <cellStyle name="Финансовый 100" xfId="4400" xr:uid="{D3764BA9-8FB2-451B-843A-E83B2718E1D5}"/>
    <cellStyle name="Финансовый 101" xfId="4408" xr:uid="{7D171C87-BAEE-452C-BF23-3BD66B1FEB8B}"/>
    <cellStyle name="Финансовый 102" xfId="4413" xr:uid="{9695E416-43B2-4E35-A927-227BA850E7E4}"/>
    <cellStyle name="Финансовый 103" xfId="4417" xr:uid="{670B6C9E-393D-4BA1-8FD6-6F0630FDF006}"/>
    <cellStyle name="Финансовый 104" xfId="4421" xr:uid="{36A83F5A-004E-46EE-A779-D20F2A696D8F}"/>
    <cellStyle name="Финансовый 105" xfId="4425" xr:uid="{0BB3A679-8EB1-4E85-B0F5-49C37991F3B9}"/>
    <cellStyle name="Финансовый 106" xfId="4427" xr:uid="{2714A4F6-75FE-4C10-AF1A-45EBC0A84174}"/>
    <cellStyle name="Финансовый 107" xfId="4430" xr:uid="{C258843F-5CC5-4178-AE57-DD55295B132A}"/>
    <cellStyle name="Финансовый 108" xfId="4432" xr:uid="{D2AF7DFE-1B19-4202-8514-876482B2C60C}"/>
    <cellStyle name="Финансовый 109" xfId="4433" xr:uid="{42820434-957D-4CCB-91DC-428C3A9195B9}"/>
    <cellStyle name="Финансовый 11" xfId="488" xr:uid="{1B1AB3DB-DA9A-4BFB-A063-853F043B656D}"/>
    <cellStyle name="Финансовый 11 2" xfId="675" xr:uid="{A2F30DDF-B52F-42DE-9787-C054AD279794}"/>
    <cellStyle name="Финансовый 11 2 2" xfId="1061" xr:uid="{80668558-62A2-47AA-82BC-7742730969FA}"/>
    <cellStyle name="Финансовый 11 2 2 2" xfId="1872" xr:uid="{C0475E30-8AEB-404C-9821-7CC8DDC0185F}"/>
    <cellStyle name="Финансовый 11 2 2 2 2" xfId="3405" xr:uid="{203ECF05-0D83-4989-A89D-623295A65657}"/>
    <cellStyle name="Финансовый 11 2 2 3" xfId="2639" xr:uid="{7732BDC5-C766-4D0F-B79A-55834F4A12C1}"/>
    <cellStyle name="Финансовый 11 2 2 4" xfId="4204" xr:uid="{0710B5DC-F649-4029-9E36-DBD3B0E7E693}"/>
    <cellStyle name="Финансовый 11 2 3" xfId="1491" xr:uid="{5D7CEAB1-A544-4C36-AFDB-189E4857EAAB}"/>
    <cellStyle name="Финансовый 11 2 3 2" xfId="3024" xr:uid="{031701C5-0C9C-49BF-AA2A-1DD58DAB9DBA}"/>
    <cellStyle name="Финансовый 11 2 4" xfId="2258" xr:uid="{EE3E75E9-0189-4353-82A9-B43D2ED2A63C}"/>
    <cellStyle name="Финансовый 11 2 5" xfId="3793" xr:uid="{07854AAB-09AF-4C4B-8FDB-DA4A370DBD48}"/>
    <cellStyle name="Финансовый 11 3" xfId="875" xr:uid="{8EDA1D1A-B221-4F11-B2C0-4752342D7D51}"/>
    <cellStyle name="Финансовый 11 3 2" xfId="1686" xr:uid="{1320AFF1-6248-47E9-ACDA-2DB55C28BD0D}"/>
    <cellStyle name="Финансовый 11 3 2 2" xfId="3219" xr:uid="{AF68FF49-43BF-458B-BC55-64B68D20B288}"/>
    <cellStyle name="Финансовый 11 3 3" xfId="2453" xr:uid="{B88AEEBA-B061-438C-B7A5-3D1B414DA8E6}"/>
    <cellStyle name="Финансовый 11 3 4" xfId="4018" xr:uid="{370C6D45-EAD5-486B-8016-6F12485D4709}"/>
    <cellStyle name="Финансовый 11 4" xfId="1305" xr:uid="{FEF01D43-2778-4AE3-BD6A-B57CBBEEF054}"/>
    <cellStyle name="Финансовый 11 4 2" xfId="2838" xr:uid="{9C2F7235-64B2-4FD9-9D26-DA7B6562011F}"/>
    <cellStyle name="Финансовый 11 5" xfId="2072" xr:uid="{D1B0FCCF-DBC9-42DF-BB61-AE0724DD068D}"/>
    <cellStyle name="Финансовый 11 6" xfId="3607" xr:uid="{3C1FF607-AD72-405A-9447-C300ACB0F016}"/>
    <cellStyle name="Финансовый 110" xfId="4465" xr:uid="{F769A546-18AD-428E-A7F3-E035B00F76E2}"/>
    <cellStyle name="Финансовый 111" xfId="4505" xr:uid="{47798A20-80FA-4991-AB24-10DAB044311F}"/>
    <cellStyle name="Финансовый 112" xfId="4506" xr:uid="{0CACC8D3-54CA-48B6-AA8C-1F4D1D0AF484}"/>
    <cellStyle name="Финансовый 12" xfId="492" xr:uid="{9C9BEB97-B053-45D2-A5FA-230673A00573}"/>
    <cellStyle name="Финансовый 12 2" xfId="679" xr:uid="{FD7358DE-E77B-4AA1-B4D9-B004226BDA6C}"/>
    <cellStyle name="Финансовый 12 2 2" xfId="1065" xr:uid="{AC7836E9-D895-4C7A-8F14-F18E183525DB}"/>
    <cellStyle name="Финансовый 12 2 2 2" xfId="1876" xr:uid="{7B738EF7-9DFB-4425-BD48-DF1AB491743E}"/>
    <cellStyle name="Финансовый 12 2 2 2 2" xfId="3409" xr:uid="{14DCF882-8599-43D6-91EB-D852C7A526CE}"/>
    <cellStyle name="Финансовый 12 2 2 3" xfId="2643" xr:uid="{909565D1-457D-469B-A0D4-33223770452D}"/>
    <cellStyle name="Финансовый 12 2 2 4" xfId="4208" xr:uid="{5ED9CA5C-9B27-4A3A-A053-7FD2BC23891D}"/>
    <cellStyle name="Финансовый 12 2 3" xfId="1495" xr:uid="{43751171-928C-4905-B4B1-60494DD9B350}"/>
    <cellStyle name="Финансовый 12 2 3 2" xfId="3028" xr:uid="{6C001207-7C8D-4B82-86E4-6954B5CB3D6C}"/>
    <cellStyle name="Финансовый 12 2 4" xfId="2262" xr:uid="{5DF5BBE0-8985-4D94-8FC7-95CB49085091}"/>
    <cellStyle name="Финансовый 12 2 5" xfId="3797" xr:uid="{4B5B3DFB-1646-4532-976C-5084E0AA8DE1}"/>
    <cellStyle name="Финансовый 12 3" xfId="879" xr:uid="{FCA70229-B0BA-4205-92C2-40CE940BB4FF}"/>
    <cellStyle name="Финансовый 12 3 2" xfId="1690" xr:uid="{23EC22B5-ECE9-4E98-AEC7-EAC3E7791B78}"/>
    <cellStyle name="Финансовый 12 3 2 2" xfId="3223" xr:uid="{48F17607-B9AC-49D2-823F-F60F06DA54D9}"/>
    <cellStyle name="Финансовый 12 3 3" xfId="2457" xr:uid="{86C6066E-87BD-4094-B858-286BF6104F13}"/>
    <cellStyle name="Финансовый 12 3 4" xfId="4022" xr:uid="{17630CD7-6602-4B7A-ABD0-31748A7C3874}"/>
    <cellStyle name="Финансовый 12 4" xfId="1309" xr:uid="{D71F22DA-3214-4E63-A0A5-DC2D73156936}"/>
    <cellStyle name="Финансовый 12 4 2" xfId="2842" xr:uid="{E75AA447-7F58-4A00-B674-C962946AAF98}"/>
    <cellStyle name="Финансовый 12 5" xfId="2076" xr:uid="{39FDA1DF-B1C6-481C-8461-C02EC54DADAE}"/>
    <cellStyle name="Финансовый 12 6" xfId="3611" xr:uid="{9358039F-493F-4CA4-8F2E-2E0C3BF02096}"/>
    <cellStyle name="Финансовый 13" xfId="493" xr:uid="{32FC8680-824A-45E5-8441-540E7CD7F30F}"/>
    <cellStyle name="Финансовый 13 2" xfId="680" xr:uid="{58CC6A33-0A57-44EB-A815-DF637D52B537}"/>
    <cellStyle name="Финансовый 13 2 2" xfId="1066" xr:uid="{72891641-EBB9-4A63-A368-63E03FFA2393}"/>
    <cellStyle name="Финансовый 13 2 2 2" xfId="1877" xr:uid="{6B88923D-F044-4BEB-A4F9-2B0065D9E23E}"/>
    <cellStyle name="Финансовый 13 2 2 2 2" xfId="3410" xr:uid="{E96B2C22-9E15-41C7-AE05-4727426725E8}"/>
    <cellStyle name="Финансовый 13 2 2 3" xfId="2644" xr:uid="{555B9E75-9232-4948-BD86-B8B8E8F3EDAC}"/>
    <cellStyle name="Финансовый 13 2 2 4" xfId="4209" xr:uid="{F976ED6B-E595-412E-8165-237979DE75FE}"/>
    <cellStyle name="Финансовый 13 2 3" xfId="1496" xr:uid="{A1580B8B-A8B0-4A50-9C82-B96FD048248D}"/>
    <cellStyle name="Финансовый 13 2 3 2" xfId="3029" xr:uid="{934375A4-6A2D-41EF-B021-E1F5588FB877}"/>
    <cellStyle name="Финансовый 13 2 4" xfId="2263" xr:uid="{DF980D08-BB54-4137-9949-126E53F89CBF}"/>
    <cellStyle name="Финансовый 13 2 5" xfId="3798" xr:uid="{509C60CD-3BA3-41D6-89A9-FCBD28DB652A}"/>
    <cellStyle name="Финансовый 13 3" xfId="880" xr:uid="{ACC3AED3-CD57-4132-AA61-28F5BBFD350C}"/>
    <cellStyle name="Финансовый 13 3 2" xfId="1691" xr:uid="{888B9C57-1AAC-4AF4-B712-7115036A4A17}"/>
    <cellStyle name="Финансовый 13 3 2 2" xfId="3224" xr:uid="{9E00F4E4-9A85-469A-BBAC-017490E2B1BE}"/>
    <cellStyle name="Финансовый 13 3 3" xfId="2458" xr:uid="{3287128A-5C49-4E0B-973C-3A467CDF8C88}"/>
    <cellStyle name="Финансовый 13 3 4" xfId="4023" xr:uid="{E67144B4-0BB2-483D-A2C2-8CE170308007}"/>
    <cellStyle name="Финансовый 13 4" xfId="1310" xr:uid="{9ADA95E1-27E3-4C3B-B5D8-6D5737B40339}"/>
    <cellStyle name="Финансовый 13 4 2" xfId="2843" xr:uid="{6D3500C7-48A1-4EE6-BC47-4C3499DBAFCC}"/>
    <cellStyle name="Финансовый 13 5" xfId="2077" xr:uid="{7E188A70-7424-47F1-A7C3-EB34680EEA35}"/>
    <cellStyle name="Финансовый 13 6" xfId="3612" xr:uid="{0B1642AD-80E0-4408-85BD-D4E75F0856B7}"/>
    <cellStyle name="Финансовый 14" xfId="489" xr:uid="{7565E76C-2660-4A15-A362-F0E8DC40FBE3}"/>
    <cellStyle name="Финансовый 14 2" xfId="676" xr:uid="{BD6EB0D4-C356-4AA9-84AD-51716294017E}"/>
    <cellStyle name="Финансовый 14 2 2" xfId="1062" xr:uid="{E16455E5-3317-48AD-A646-7A7660515A42}"/>
    <cellStyle name="Финансовый 14 2 2 2" xfId="1873" xr:uid="{5208320B-D8B5-4A89-9D4F-E219DDDE8CFE}"/>
    <cellStyle name="Финансовый 14 2 2 2 2" xfId="3406" xr:uid="{0E3CADBA-3204-4B4B-9FDD-93514115A077}"/>
    <cellStyle name="Финансовый 14 2 2 3" xfId="2640" xr:uid="{F74FC4EB-835D-43B2-85FE-5A464954241D}"/>
    <cellStyle name="Финансовый 14 2 2 4" xfId="4205" xr:uid="{7FCC942C-226F-468E-91D8-F8D820243B88}"/>
    <cellStyle name="Финансовый 14 2 3" xfId="1492" xr:uid="{35D0912C-0460-4FC5-AB1F-97F5BA3E38E1}"/>
    <cellStyle name="Финансовый 14 2 3 2" xfId="3025" xr:uid="{8966B28C-C373-431B-A700-108EEA271F3D}"/>
    <cellStyle name="Финансовый 14 2 4" xfId="2259" xr:uid="{ACD23B28-E8DD-4A26-9A4F-34F56C5D99EF}"/>
    <cellStyle name="Финансовый 14 2 5" xfId="3794" xr:uid="{4B5FE029-F1F1-44FD-BECE-674B1C525902}"/>
    <cellStyle name="Финансовый 14 3" xfId="876" xr:uid="{E8C4728A-E8D4-42D2-BE09-6F076BA709B2}"/>
    <cellStyle name="Финансовый 14 3 2" xfId="1687" xr:uid="{6740F239-D276-4311-8DFE-0F00F133A05B}"/>
    <cellStyle name="Финансовый 14 3 2 2" xfId="3220" xr:uid="{0869E699-5F14-42E4-9865-035D0B647B3F}"/>
    <cellStyle name="Финансовый 14 3 3" xfId="2454" xr:uid="{5EC0355A-200E-4442-ABFA-599488C02781}"/>
    <cellStyle name="Финансовый 14 3 4" xfId="4019" xr:uid="{3DD868FF-511D-4930-960E-207CDF902E91}"/>
    <cellStyle name="Финансовый 14 4" xfId="1306" xr:uid="{3ABDF8F6-C636-453D-873D-D12C473A9F62}"/>
    <cellStyle name="Финансовый 14 4 2" xfId="2839" xr:uid="{BAD56D4E-7F6F-4611-949A-89BCFC0BDB53}"/>
    <cellStyle name="Финансовый 14 5" xfId="2073" xr:uid="{BB4F8CD0-DA0A-4C21-95CA-D0F773BD3757}"/>
    <cellStyle name="Финансовый 14 6" xfId="3608" xr:uid="{9BFEBEC2-C97A-4298-B3A6-1654965368EB}"/>
    <cellStyle name="Финансовый 15" xfId="491" xr:uid="{F61BC607-E708-4975-9E85-1A8DA1BD9F55}"/>
    <cellStyle name="Финансовый 15 2" xfId="678" xr:uid="{DE75E6E6-88E6-48C7-A0D9-871127DA0418}"/>
    <cellStyle name="Финансовый 15 2 2" xfId="1064" xr:uid="{CD7B228E-3988-45D1-B8FC-4C74FC382599}"/>
    <cellStyle name="Финансовый 15 2 2 2" xfId="1875" xr:uid="{FEA82DCC-1DA9-4F66-8AC1-E63B52BBB61A}"/>
    <cellStyle name="Финансовый 15 2 2 2 2" xfId="3408" xr:uid="{FDBEB49C-03A2-4760-A325-9DFFA184CB0E}"/>
    <cellStyle name="Финансовый 15 2 2 3" xfId="2642" xr:uid="{B7A09658-30A7-4952-9528-5503FE73CFAC}"/>
    <cellStyle name="Финансовый 15 2 2 4" xfId="4207" xr:uid="{E06A83C2-6558-4AB8-92AC-9352CF18044F}"/>
    <cellStyle name="Финансовый 15 2 3" xfId="1494" xr:uid="{02CD380C-65E8-4B77-B040-FD69CDB20716}"/>
    <cellStyle name="Финансовый 15 2 3 2" xfId="3027" xr:uid="{126D1C52-F153-4412-96AE-35A25C0EBD08}"/>
    <cellStyle name="Финансовый 15 2 4" xfId="2261" xr:uid="{DD026F80-D668-4D22-AA10-826B9FF1C8ED}"/>
    <cellStyle name="Финансовый 15 2 5" xfId="3796" xr:uid="{B376B73D-CBC0-4D5C-A012-EEA148231F5C}"/>
    <cellStyle name="Финансовый 15 3" xfId="878" xr:uid="{538633F7-593F-4623-AB52-0B334D25897D}"/>
    <cellStyle name="Финансовый 15 3 2" xfId="1689" xr:uid="{6C205401-9873-453A-8A27-0E3017EFD63F}"/>
    <cellStyle name="Финансовый 15 3 2 2" xfId="3222" xr:uid="{620394E8-AA61-40EB-A2D6-D43D1936FB86}"/>
    <cellStyle name="Финансовый 15 3 3" xfId="2456" xr:uid="{31C831B3-EA81-48CC-9BF4-5CC68E153738}"/>
    <cellStyle name="Финансовый 15 3 4" xfId="4021" xr:uid="{B8625B82-02CB-4D09-9EDB-C472D581BD08}"/>
    <cellStyle name="Финансовый 15 4" xfId="1308" xr:uid="{5B873BAD-354F-400F-8D95-935A83FD0247}"/>
    <cellStyle name="Финансовый 15 4 2" xfId="2841" xr:uid="{B61D32E5-DDAA-43F7-863F-0C90AE359137}"/>
    <cellStyle name="Финансовый 15 5" xfId="2075" xr:uid="{5537B25C-37C3-4BFD-99EC-A250D00DBB20}"/>
    <cellStyle name="Финансовый 15 6" xfId="3610" xr:uid="{AC31127E-AEAA-42DB-B61E-6DB0D6FC05C3}"/>
    <cellStyle name="Финансовый 16" xfId="490" xr:uid="{55C57C31-4042-40B0-9147-5F3901C44D05}"/>
    <cellStyle name="Финансовый 16 2" xfId="677" xr:uid="{A513DF59-0E05-4A5F-96E5-921644843671}"/>
    <cellStyle name="Финансовый 16 2 2" xfId="1063" xr:uid="{C3A76DA9-5903-4194-AD07-3407749D9FAF}"/>
    <cellStyle name="Финансовый 16 2 2 2" xfId="1874" xr:uid="{E24BC47D-E27D-474A-8A4B-C6B4A661B8DC}"/>
    <cellStyle name="Финансовый 16 2 2 2 2" xfId="3407" xr:uid="{6003246A-B285-4CB9-AFCE-C5C7C3F06BED}"/>
    <cellStyle name="Финансовый 16 2 2 3" xfId="2641" xr:uid="{9C469CD6-70CB-43AB-B255-941277E9CE0F}"/>
    <cellStyle name="Финансовый 16 2 2 4" xfId="4206" xr:uid="{0138DC58-41D6-4184-B008-691F2D9E2650}"/>
    <cellStyle name="Финансовый 16 2 3" xfId="1493" xr:uid="{8E7FDF80-B973-4EB3-97BA-F1580685A1B3}"/>
    <cellStyle name="Финансовый 16 2 3 2" xfId="3026" xr:uid="{9CCC559E-005D-4CE4-A254-6FF03C0EB03D}"/>
    <cellStyle name="Финансовый 16 2 4" xfId="2260" xr:uid="{52C83525-58FD-4C01-98E8-AEC0421100A3}"/>
    <cellStyle name="Финансовый 16 2 5" xfId="3795" xr:uid="{86E5B465-D147-4226-A1B3-8B7138B709AF}"/>
    <cellStyle name="Финансовый 16 3" xfId="877" xr:uid="{3CCE42F1-B725-4525-85CA-E1E486A4ED2D}"/>
    <cellStyle name="Финансовый 16 3 2" xfId="1688" xr:uid="{10D828EE-0F4B-4E0B-BE50-6D4DF583726E}"/>
    <cellStyle name="Финансовый 16 3 2 2" xfId="3221" xr:uid="{73EEE363-94A5-4874-B0A8-3E1D8E7FFA53}"/>
    <cellStyle name="Финансовый 16 3 3" xfId="2455" xr:uid="{3AE116CF-79FA-4E8D-995F-F83B020D80FA}"/>
    <cellStyle name="Финансовый 16 3 4" xfId="4020" xr:uid="{AF01930E-D510-49F5-BB4B-B73A20776B02}"/>
    <cellStyle name="Финансовый 16 4" xfId="1307" xr:uid="{D3240766-D626-4A73-BC78-038713220ECC}"/>
    <cellStyle name="Финансовый 16 4 2" xfId="2840" xr:uid="{5890DC3D-86F1-44AE-9A9E-3D6790F6A0DD}"/>
    <cellStyle name="Финансовый 16 5" xfId="2074" xr:uid="{8C8DE940-200B-48E3-9F8C-5EDD3DAED5D6}"/>
    <cellStyle name="Финансовый 16 6" xfId="3609" xr:uid="{8264CC7D-76A1-4E0F-839E-AA87EE94B225}"/>
    <cellStyle name="Финансовый 17" xfId="685" xr:uid="{66C733CC-4BDB-47A0-82A2-6A22A71BC874}"/>
    <cellStyle name="Финансовый 18" xfId="686" xr:uid="{A43B4B38-A976-46C0-BC24-52943F4F60EC}"/>
    <cellStyle name="Финансовый 19" xfId="688" xr:uid="{3875005C-F8C5-4B73-9569-35F2FF12E4FA}"/>
    <cellStyle name="Финансовый 19 2" xfId="1070" xr:uid="{990C2FE7-37EC-440E-BDD5-BB0E716D2F07}"/>
    <cellStyle name="Финансовый 19 2 2" xfId="1881" xr:uid="{CCF0BB4B-790D-4C94-A3E2-7C7A6A093C4F}"/>
    <cellStyle name="Финансовый 19 2 2 2" xfId="3414" xr:uid="{5EDAAE7A-9DA4-4334-B13E-8949EBA6B7F4}"/>
    <cellStyle name="Финансовый 19 2 3" xfId="2648" xr:uid="{A2F1A98B-A304-43BD-B657-80B87F886C4E}"/>
    <cellStyle name="Финансовый 19 2 4" xfId="4213" xr:uid="{2FCCFF65-1C84-47F2-BAFA-9CB97C30C681}"/>
    <cellStyle name="Финансовый 19 3" xfId="1500" xr:uid="{F3307ABF-9D16-4B12-9EF9-4B72E6A57AE4}"/>
    <cellStyle name="Финансовый 19 3 2" xfId="3033" xr:uid="{EEE35A44-B34A-473E-969E-07AEE9051AF6}"/>
    <cellStyle name="Финансовый 19 4" xfId="2267" xr:uid="{DA927E34-1A73-4E1C-AA06-FCCA07E6B7CF}"/>
    <cellStyle name="Финансовый 19 5" xfId="3802" xr:uid="{5BC42ECE-5660-4E5F-A3B5-52ED5E2459E4}"/>
    <cellStyle name="Финансовый 2" xfId="16" xr:uid="{00000000-0005-0000-0000-00001A000000}"/>
    <cellStyle name="Финансовый 2 10" xfId="4261" xr:uid="{F15B9614-B116-41A4-8598-B3FDE5015A8D}"/>
    <cellStyle name="Финансовый 2 11" xfId="4268" xr:uid="{980F991B-1A80-4EE7-9B91-0D0CBE6F62DD}"/>
    <cellStyle name="Финансовый 2 12" xfId="4279" xr:uid="{F68574B9-5565-4E39-AFF6-E80718AAABDE}"/>
    <cellStyle name="Финансовый 2 13" xfId="3435" xr:uid="{2D2B50D0-55D8-4669-86F4-7CA1EB2934BF}"/>
    <cellStyle name="Финансовый 2 14" xfId="4334" xr:uid="{E2D1F768-EDDC-4535-B859-6CD1C1D37A32}"/>
    <cellStyle name="Финансовый 2 15" xfId="4337" xr:uid="{0E3B44C6-3EF1-42BD-8BAD-49F57D92A155}"/>
    <cellStyle name="Финансовый 2 16" xfId="4340" xr:uid="{74792EEE-EBF6-4F1C-B1EB-5BAB4FAC631C}"/>
    <cellStyle name="Финансовый 2 17" xfId="4345" xr:uid="{EC3A00AF-33FF-4647-A252-F097FC428ECD}"/>
    <cellStyle name="Финансовый 2 18" xfId="4351" xr:uid="{FE4FEACC-C56E-4592-85A6-C414DC94F9B0}"/>
    <cellStyle name="Финансовый 2 19" xfId="4367" xr:uid="{DA801DCA-17AA-4C53-BA76-A7B29C916874}"/>
    <cellStyle name="Финансовый 2 2" xfId="39" xr:uid="{4E75AFEF-4A27-496B-B5BA-C80215225CD8}"/>
    <cellStyle name="Финансовый 2 2 2" xfId="515" xr:uid="{B3A2B399-D7B1-4238-8C99-7F3FE725D62E}"/>
    <cellStyle name="Финансовый 2 2 2 2" xfId="901" xr:uid="{A61B46CB-8D21-41A3-9BC2-A02937AB3F8F}"/>
    <cellStyle name="Финансовый 2 2 2 2 2" xfId="1712" xr:uid="{17EBDBE8-B799-44E5-9298-6DF2DA8DA125}"/>
    <cellStyle name="Финансовый 2 2 2 2 2 2" xfId="3245" xr:uid="{F57894AC-B588-4F11-801E-F8E46250BCE6}"/>
    <cellStyle name="Финансовый 2 2 2 2 3" xfId="2479" xr:uid="{247DF068-64F0-4527-81DE-55F6C59A2173}"/>
    <cellStyle name="Финансовый 2 2 2 2 4" xfId="4044" xr:uid="{FA9D92AA-0BB2-44EA-8CCA-94FB3BC40BA4}"/>
    <cellStyle name="Финансовый 2 2 2 3" xfId="1331" xr:uid="{76BB7783-4890-4980-94EB-DBE7CE0E8915}"/>
    <cellStyle name="Финансовый 2 2 2 3 2" xfId="2864" xr:uid="{812D0096-DAC5-4FB0-A72B-F786AAC1DC0C}"/>
    <cellStyle name="Финансовый 2 2 2 4" xfId="2098" xr:uid="{66CDC759-D9AE-4CD0-9129-80329D53B877}"/>
    <cellStyle name="Финансовый 2 2 2 5" xfId="3633" xr:uid="{6F0F11BE-7552-4892-843A-3800BE0F6002}"/>
    <cellStyle name="Финансовый 2 2 3" xfId="715" xr:uid="{1EEE282E-F732-4173-88B8-E586CF0EEB8A}"/>
    <cellStyle name="Финансовый 2 2 3 2" xfId="1526" xr:uid="{4526CD9E-AA1B-4460-90C4-2F162A1CD362}"/>
    <cellStyle name="Финансовый 2 2 3 2 2" xfId="3059" xr:uid="{8F2A1BB1-A80E-4CE3-8B5D-F303A8A534B2}"/>
    <cellStyle name="Финансовый 2 2 3 3" xfId="2293" xr:uid="{13B6BE61-BE24-40BE-92A8-E9F877BCAB87}"/>
    <cellStyle name="Финансовый 2 2 3 4" xfId="3857" xr:uid="{1507049F-C75F-47A9-81D9-D102836DB8B2}"/>
    <cellStyle name="Финансовый 2 2 4" xfId="1145" xr:uid="{4756251D-4B7F-4B79-9911-9EEBC6C7F7A1}"/>
    <cellStyle name="Финансовый 2 2 4 2" xfId="2678" xr:uid="{8978DC81-1CCA-4C07-AAAE-0C5E9E4064D8}"/>
    <cellStyle name="Финансовый 2 2 4 3" xfId="4273" xr:uid="{BF05ED17-3AA2-40DA-BDC5-E4E3C8A8725E}"/>
    <cellStyle name="Финансовый 2 2 5" xfId="1912" xr:uid="{389E4A0E-75D3-41A5-ABD2-FFC1F864923B}"/>
    <cellStyle name="Финансовый 2 2 5 2" xfId="4286" xr:uid="{9407C38E-0318-406C-8F17-6E43DBA4F29C}"/>
    <cellStyle name="Финансовый 2 2 6" xfId="3447" xr:uid="{359B79EE-F646-4A99-8FA0-5F85B3E785E0}"/>
    <cellStyle name="Финансовый 2 2 7" xfId="4484" xr:uid="{7083CD08-914F-4BAF-9C46-90E51399D626}"/>
    <cellStyle name="Финансовый 2 20" xfId="4401" xr:uid="{48CC3ABA-E7B4-42F0-8A35-D1C5724658EF}"/>
    <cellStyle name="Финансовый 2 21" xfId="4409" xr:uid="{49CF1303-0E01-4CC3-B0A2-E934E027BB70}"/>
    <cellStyle name="Финансовый 2 22" xfId="4414" xr:uid="{A8765661-6CDD-4F84-BF94-951039323E87}"/>
    <cellStyle name="Финансовый 2 23" xfId="4418" xr:uid="{7A2D5F81-6202-4354-BC30-7D68E298E25B}"/>
    <cellStyle name="Финансовый 2 24" xfId="4422" xr:uid="{7C39B873-6AF2-42A7-A12E-DAE57CF3680F}"/>
    <cellStyle name="Финансовый 2 25" xfId="4426" xr:uid="{C191BDAA-B6B7-439C-9310-A6AB5FA684C6}"/>
    <cellStyle name="Финансовый 2 26" xfId="4431" xr:uid="{CD5E384A-ABA2-412E-BB84-3C056EFB6F12}"/>
    <cellStyle name="Финансовый 2 27" xfId="4480" xr:uid="{0C85DC24-7001-4A1B-B05F-6A8C7EF71032}"/>
    <cellStyle name="Финансовый 2 28" xfId="4448" xr:uid="{3EF0F45D-2AC8-44B0-B1E7-424C822D9D6D}"/>
    <cellStyle name="Финансовый 2 3" xfId="503" xr:uid="{A1C4A6BD-07F2-4639-972F-B6C20A43DFD5}"/>
    <cellStyle name="Финансовый 2 3 2" xfId="889" xr:uid="{FF592F22-3315-4128-896D-99C7BAE12405}"/>
    <cellStyle name="Финансовый 2 3 2 2" xfId="1700" xr:uid="{DC19DED0-951A-4C14-8D65-23DC0A2AE32E}"/>
    <cellStyle name="Финансовый 2 3 2 2 2" xfId="3233" xr:uid="{F2957BB5-8160-4143-AE06-F189194D6E56}"/>
    <cellStyle name="Финансовый 2 3 2 3" xfId="2467" xr:uid="{C5D28539-5AE1-4756-844E-A2770497BD61}"/>
    <cellStyle name="Финансовый 2 3 2 4" xfId="4032" xr:uid="{9FB48FC7-B2B0-4C46-BF33-0EEEE6F9EC68}"/>
    <cellStyle name="Финансовый 2 3 3" xfId="1319" xr:uid="{F5A157B9-F49F-4B63-9967-3F839E25C345}"/>
    <cellStyle name="Финансовый 2 3 3 2" xfId="2852" xr:uid="{1C590D69-395B-46E1-AA4C-1F52CD200563}"/>
    <cellStyle name="Финансовый 2 3 4" xfId="2086" xr:uid="{39523AF5-AF4F-481C-8CB8-5E28EDCC220C}"/>
    <cellStyle name="Финансовый 2 3 5" xfId="3621" xr:uid="{724068D0-76FE-4743-ACF3-F7E8D92C30EC}"/>
    <cellStyle name="Финансовый 2 3 6" xfId="4487" xr:uid="{A2CAE94F-A378-44F7-867B-8E8D92915550}"/>
    <cellStyle name="Финансовый 2 4" xfId="703" xr:uid="{45DADA0D-F7B6-4220-976C-9B78C316FE27}"/>
    <cellStyle name="Финансовый 2 4 2" xfId="1514" xr:uid="{6395A42C-26D5-4FD6-8DF8-645798458494}"/>
    <cellStyle name="Финансовый 2 4 2 2" xfId="3047" xr:uid="{E9FE5776-F806-435D-A77E-A2BC914C886D}"/>
    <cellStyle name="Финансовый 2 4 3" xfId="2281" xr:uid="{0BB8F930-1E9E-4774-9717-EAF058BCA998}"/>
    <cellStyle name="Финансовый 2 4 4" xfId="3845" xr:uid="{D288F86E-A57B-423D-AC18-215B87444C15}"/>
    <cellStyle name="Финансовый 2 4 5" xfId="4488" xr:uid="{E8592227-824E-4CF8-AF63-2EB88AD634CC}"/>
    <cellStyle name="Финансовый 2 5" xfId="1127" xr:uid="{F884203A-B1FB-4693-94BC-17CF00089F1E}"/>
    <cellStyle name="Финансовый 2 5 2" xfId="1893" xr:uid="{27986903-1BA3-4461-B77C-1EE8AA7CDB7C}"/>
    <cellStyle name="Финансовый 2 5 2 2" xfId="3426" xr:uid="{5D0DD151-D622-4F09-A752-76E9E579B38C}"/>
    <cellStyle name="Финансовый 2 5 3" xfId="2660" xr:uid="{8E37F762-B651-42E4-9EF0-0E51EDE997B3}"/>
    <cellStyle name="Финансовый 2 5 4" xfId="4229" xr:uid="{55D93D64-E7AC-4E0C-8D5E-E3C3805B07D1}"/>
    <cellStyle name="Финансовый 2 5 5" xfId="4489" xr:uid="{A8C090DF-C541-4F96-88F0-DDBBF28A93FA}"/>
    <cellStyle name="Финансовый 2 6" xfId="1133" xr:uid="{6C68635B-98B4-4B4A-BA5E-336F56C7CB88}"/>
    <cellStyle name="Финансовый 2 6 2" xfId="2666" xr:uid="{F47B75CB-904D-42C4-8FE7-95CF08CC0E4E}"/>
    <cellStyle name="Финансовый 2 6 3" xfId="4241" xr:uid="{5196BC44-6724-4303-9870-32CA650D16E6}"/>
    <cellStyle name="Финансовый 2 6 4" xfId="4490" xr:uid="{89C3FE79-446F-42AC-924C-8808FA337AE2}"/>
    <cellStyle name="Финансовый 2 7" xfId="1900" xr:uid="{31413EB8-B05D-46B3-B2AC-2E899DD2F1A4}"/>
    <cellStyle name="Финансовый 2 7 2" xfId="4247" xr:uid="{FF2647FE-B843-4470-A156-B674AC0F0EA1}"/>
    <cellStyle name="Финансовый 2 7 3" xfId="4502" xr:uid="{2A7B747B-13EE-4938-80D8-0E22CBD0D077}"/>
    <cellStyle name="Финансовый 2 8" xfId="3443" xr:uid="{1C9F2264-9CBC-416A-A8EF-4402F173D779}"/>
    <cellStyle name="Финансовый 2 9" xfId="4257" xr:uid="{5E98035A-0321-4B27-92D3-6981DE5AC029}"/>
    <cellStyle name="Финансовый 20" xfId="689" xr:uid="{2A726328-6AF3-4752-918C-8DF8AAD28829}"/>
    <cellStyle name="Финансовый 20 2" xfId="1071" xr:uid="{80139D1F-4A08-420E-A6C4-733849B87EF8}"/>
    <cellStyle name="Финансовый 20 2 2" xfId="1882" xr:uid="{99413344-1DFE-49AB-AE01-A3D5EDFB421F}"/>
    <cellStyle name="Финансовый 20 2 2 2" xfId="3415" xr:uid="{D41E0C91-A5D3-49E5-B5D2-7420FF3DAA5F}"/>
    <cellStyle name="Финансовый 20 2 3" xfId="2649" xr:uid="{4CA836DB-1FD7-436B-8677-CC640168A7BD}"/>
    <cellStyle name="Финансовый 20 2 4" xfId="4214" xr:uid="{FF6CB9BB-5B08-45B0-8B79-926696C0B56B}"/>
    <cellStyle name="Финансовый 20 3" xfId="1501" xr:uid="{717060A8-7544-4496-812B-FE22228DFC65}"/>
    <cellStyle name="Финансовый 20 3 2" xfId="3034" xr:uid="{96FEA4BC-5EB0-4AE6-B7F4-2537250F5CCE}"/>
    <cellStyle name="Финансовый 20 4" xfId="2268" xr:uid="{4880FAFD-F26D-4032-9F37-5F8D27DF8B59}"/>
    <cellStyle name="Финансовый 20 5" xfId="3803" xr:uid="{BEF84CA5-A277-49BD-9326-9A22C7AF560B}"/>
    <cellStyle name="Финансовый 21" xfId="690" xr:uid="{AA1605E0-5B1A-4457-943B-B5C1B537BE38}"/>
    <cellStyle name="Финансовый 21 2" xfId="1072" xr:uid="{A84C8E9E-B1AE-4B56-B925-56D585AC29C2}"/>
    <cellStyle name="Финансовый 21 2 2" xfId="1883" xr:uid="{FAED7929-437F-48C0-8375-0FDEB4E5BC9B}"/>
    <cellStyle name="Финансовый 21 2 2 2" xfId="3416" xr:uid="{70354F29-58BA-4FAD-ADB9-049DA8C33D61}"/>
    <cellStyle name="Финансовый 21 2 3" xfId="2650" xr:uid="{BAD2F41E-765A-42A5-8B7C-BED27C73502D}"/>
    <cellStyle name="Финансовый 21 2 4" xfId="4215" xr:uid="{BFFADB3F-8084-4E67-966C-D2297A926DEA}"/>
    <cellStyle name="Финансовый 21 3" xfId="1502" xr:uid="{A89C8EA3-E16B-4A57-87D9-6FA73921FEA9}"/>
    <cellStyle name="Финансовый 21 3 2" xfId="3035" xr:uid="{4DC99431-7DFF-4BED-BB1B-37A2CD8FF81C}"/>
    <cellStyle name="Финансовый 21 4" xfId="2269" xr:uid="{FB791DA2-D832-4214-8C3D-5A2B4CA07F2B}"/>
    <cellStyle name="Финансовый 21 5" xfId="3804" xr:uid="{E6204149-8192-4C28-B437-5C1285F2A440}"/>
    <cellStyle name="Финансовый 22" xfId="691" xr:uid="{14C39FDB-FDE0-4332-9418-611F9486373C}"/>
    <cellStyle name="Финансовый 22 2" xfId="1073" xr:uid="{2916F2FD-2A8E-4604-A0A8-518C195F46EE}"/>
    <cellStyle name="Финансовый 22 2 2" xfId="1884" xr:uid="{EE614D92-72D2-4641-B14F-E5C04934471C}"/>
    <cellStyle name="Финансовый 22 2 2 2" xfId="3417" xr:uid="{5AC9FD00-5906-4F01-871F-E42B93D6234E}"/>
    <cellStyle name="Финансовый 22 2 3" xfId="2651" xr:uid="{DDB7389A-0D8A-41F1-B73F-AB213F0C8D32}"/>
    <cellStyle name="Финансовый 22 2 4" xfId="4216" xr:uid="{0CF21B7F-A8FF-49AE-AA10-3FBA8A7B898A}"/>
    <cellStyle name="Финансовый 22 3" xfId="1503" xr:uid="{7D3378FC-AC3D-46D4-A789-FFF04B20117F}"/>
    <cellStyle name="Финансовый 22 3 2" xfId="3036" xr:uid="{453C0790-096E-4981-9DEA-92427CCFAFEE}"/>
    <cellStyle name="Финансовый 22 4" xfId="2270" xr:uid="{BA9FB854-7F71-4818-AD38-2995E7A8FBE6}"/>
    <cellStyle name="Финансовый 22 5" xfId="3805" xr:uid="{F894CE35-7D73-43D7-810E-98FDFAAF27CB}"/>
    <cellStyle name="Финансовый 23" xfId="692" xr:uid="{0EA14BF8-7EFC-48AB-A765-2E3CFDFCDACD}"/>
    <cellStyle name="Финансовый 23 2" xfId="1074" xr:uid="{7E509DF7-0EB6-4E58-A895-EABFA89835E4}"/>
    <cellStyle name="Финансовый 23 2 2" xfId="1885" xr:uid="{2170EEA1-C285-4E14-A941-5CC8ABD4D19F}"/>
    <cellStyle name="Финансовый 23 2 2 2" xfId="3418" xr:uid="{8E1460A8-1E0F-4DA6-90E6-7F804B54F817}"/>
    <cellStyle name="Финансовый 23 2 3" xfId="2652" xr:uid="{43198E27-0703-4BD6-BA81-D1811051A6BB}"/>
    <cellStyle name="Финансовый 23 2 4" xfId="4217" xr:uid="{47DD5CAC-09B4-416D-9426-DF92906818D5}"/>
    <cellStyle name="Финансовый 23 3" xfId="1504" xr:uid="{E929C8B5-950E-4A3C-83AD-6CB864C768BC}"/>
    <cellStyle name="Финансовый 23 3 2" xfId="3037" xr:uid="{69F751A6-9464-4D5D-A7D1-7A1CB9326BDF}"/>
    <cellStyle name="Финансовый 23 4" xfId="2271" xr:uid="{A0B2CC7D-4CF9-4E7C-BDDE-19526C9C2248}"/>
    <cellStyle name="Финансовый 23 5" xfId="3806" xr:uid="{BE74D1DF-9B26-42EC-91C3-BEB1B0EF1778}"/>
    <cellStyle name="Финансовый 24" xfId="693" xr:uid="{6115CAC3-ED26-481D-9622-5C9DEF25C69A}"/>
    <cellStyle name="Финансовый 24 2" xfId="1075" xr:uid="{E0601EB7-A1F9-4864-B0E2-A3B11321D34B}"/>
    <cellStyle name="Финансовый 24 2 2" xfId="1886" xr:uid="{7F1B1555-882B-46A3-8F12-EB0BAD890AF2}"/>
    <cellStyle name="Финансовый 24 2 2 2" xfId="3419" xr:uid="{5C28BEDC-685E-4EF3-8122-5542AE32F74C}"/>
    <cellStyle name="Финансовый 24 2 3" xfId="2653" xr:uid="{B746EF8C-3543-492F-B854-7A135C2C9FBB}"/>
    <cellStyle name="Финансовый 24 2 4" xfId="4218" xr:uid="{292901EE-2EA3-43AD-B75A-F9FE8B1B2283}"/>
    <cellStyle name="Финансовый 24 3" xfId="1505" xr:uid="{F017C758-A5A1-40AA-8B79-F5C708031432}"/>
    <cellStyle name="Финансовый 24 3 2" xfId="3038" xr:uid="{02AA3435-1A40-4AE1-8C16-9AD5FBF78AA0}"/>
    <cellStyle name="Финансовый 24 4" xfId="2272" xr:uid="{4BEE1A9E-F09F-410F-B9E2-E47CF9C5145E}"/>
    <cellStyle name="Финансовый 24 5" xfId="3807" xr:uid="{1800E923-0F19-4DB9-A458-0ABDBD27C63F}"/>
    <cellStyle name="Финансовый 25" xfId="695" xr:uid="{33A2011C-FF5F-42EE-955D-D146C76F26B2}"/>
    <cellStyle name="Финансовый 25 2" xfId="1077" xr:uid="{ADAAEE00-0075-4E2F-8C45-E39999F7FC19}"/>
    <cellStyle name="Финансовый 25 2 2" xfId="1888" xr:uid="{05DD264E-DFAF-41DD-B36D-B1875C3E803F}"/>
    <cellStyle name="Финансовый 25 2 2 2" xfId="3421" xr:uid="{9F7DC9FA-B0A2-4B1B-8748-D143A107F143}"/>
    <cellStyle name="Финансовый 25 2 3" xfId="2655" xr:uid="{664E3107-FD04-4162-95D2-CED051C9C65A}"/>
    <cellStyle name="Финансовый 25 2 4" xfId="4220" xr:uid="{A2DCD05D-A54C-4900-A181-02AD37927D25}"/>
    <cellStyle name="Финансовый 25 3" xfId="1507" xr:uid="{D9BCA6AC-2EC1-4A3F-B25A-2D794C823E65}"/>
    <cellStyle name="Финансовый 25 3 2" xfId="3040" xr:uid="{61736D8D-3135-4F7E-935E-A6C3E9E18964}"/>
    <cellStyle name="Финансовый 25 4" xfId="2274" xr:uid="{7E676D3D-A8D7-490E-A832-80E5FEA78FB9}"/>
    <cellStyle name="Финансовый 25 5" xfId="3809" xr:uid="{9FDEEE16-E91B-4D26-8090-515DB66D21B9}"/>
    <cellStyle name="Финансовый 26" xfId="3821" xr:uid="{EDC8C87F-F360-40C5-A473-D89709888B1A}"/>
    <cellStyle name="Финансовый 26 2" xfId="3838" xr:uid="{10212AB9-A622-4E46-9A2D-0252E8F2B08E}"/>
    <cellStyle name="Финансовый 27" xfId="3822" xr:uid="{FFD0C486-D4C2-450C-81FC-E8C96D4592E0}"/>
    <cellStyle name="Финансовый 27 2" xfId="4221" xr:uid="{5B9AD8C0-442F-4453-B067-A68E3DC1DD1A}"/>
    <cellStyle name="Финансовый 28" xfId="3823" xr:uid="{C74B3E15-3CF0-4CFC-80A7-3914648C661D}"/>
    <cellStyle name="Финансовый 28 2" xfId="4223" xr:uid="{4E4584BF-E455-4A2C-91E0-8BF5C3EDE2F1}"/>
    <cellStyle name="Финансовый 29" xfId="3824" xr:uid="{7FE313B6-E233-4F10-82CC-9FAFC5A5D36D}"/>
    <cellStyle name="Финансовый 3" xfId="25" xr:uid="{00000000-0005-0000-0000-00001B000000}"/>
    <cellStyle name="Финансовый 3 2" xfId="46" xr:uid="{51F3BEE0-6F13-45D6-9CB9-1F24D2C199AB}"/>
    <cellStyle name="Финансовый 3 3" xfId="4380" xr:uid="{9CC9C1C4-A860-4524-A8CF-79A5894EFAE0}"/>
    <cellStyle name="Финансовый 30" xfId="3825" xr:uid="{45384407-1930-46BC-846E-DA4351DF8B5B}"/>
    <cellStyle name="Финансовый 31" xfId="3826" xr:uid="{B0C23990-D9CB-4D8B-9108-44D9FD2E4C7D}"/>
    <cellStyle name="Финансовый 32" xfId="3827" xr:uid="{13C47707-6FE1-4C59-B88D-134179D0EDB9}"/>
    <cellStyle name="Финансовый 33" xfId="3829" xr:uid="{A80B1E90-7A7C-4C81-987D-1096945352CD}"/>
    <cellStyle name="Финансовый 34" xfId="3831" xr:uid="{2DEC75B2-3761-492D-9C3A-0B2DFA01FD52}"/>
    <cellStyle name="Финансовый 35" xfId="3833" xr:uid="{532A88A0-E6BC-41E3-B1E8-6806476EE334}"/>
    <cellStyle name="Финансовый 36" xfId="3864" xr:uid="{738E6DEA-2EF0-4BC0-A364-49F6459CBB87}"/>
    <cellStyle name="Финансовый 37" xfId="4224" xr:uid="{A0A38E66-110F-4495-B779-5ED0B8A893FF}"/>
    <cellStyle name="Финансовый 38" xfId="4228" xr:uid="{2FD55AF6-10E1-4CD8-91F8-2310D9129B26}"/>
    <cellStyle name="Финансовый 39" xfId="4230" xr:uid="{BE72FACE-5B7D-4816-BB64-5BF5D6DDF798}"/>
    <cellStyle name="Финансовый 4" xfId="55" xr:uid="{2A5BA3A3-75AF-4BED-B449-F94440B054ED}"/>
    <cellStyle name="Финансовый 40" xfId="4242" xr:uid="{5C8C2F08-63D2-4B6D-9BF9-A79D900D8CD0}"/>
    <cellStyle name="Финансовый 41" xfId="4243" xr:uid="{391BB9CC-77CF-4B88-89B8-E39A4DB8C934}"/>
    <cellStyle name="Финансовый 42" xfId="4248" xr:uid="{8BEFC65B-E349-4AA9-895D-ABF2688C9C21}"/>
    <cellStyle name="Финансовый 43" xfId="4250" xr:uid="{A4137C25-ED93-4FC5-9EC4-6E7B7C4035F0}"/>
    <cellStyle name="Финансовый 44" xfId="4251" xr:uid="{FF23F231-5530-4BD8-BD67-AA1910AF9CF3}"/>
    <cellStyle name="Финансовый 45" xfId="4252" xr:uid="{6388266F-21ED-4941-8BDD-D549909B62E0}"/>
    <cellStyle name="Финансовый 46" xfId="4256" xr:uid="{D6C05169-AEFE-41ED-BFF0-E8800729FD2D}"/>
    <cellStyle name="Финансовый 47" xfId="4258" xr:uid="{D8F0B4DD-C28C-4D1B-AFE0-A4EC1AC532EE}"/>
    <cellStyle name="Финансовый 48" xfId="4260" xr:uid="{6914431A-16D0-4F33-95C8-75F4FC09230F}"/>
    <cellStyle name="Финансовый 49" xfId="4262" xr:uid="{FC2FDC9E-4BC5-470A-B7E0-E553EDD5F293}"/>
    <cellStyle name="Финансовый 5" xfId="63" xr:uid="{108DC200-744F-412E-A131-3335ECA2E0A0}"/>
    <cellStyle name="Финансовый 5 2" xfId="521" xr:uid="{537E0D89-FC2D-4569-8535-00AD19C36CF7}"/>
    <cellStyle name="Финансовый 5 2 2" xfId="907" xr:uid="{D552512D-2BDC-4E2F-AEBE-9D72A1CE8B32}"/>
    <cellStyle name="Финансовый 5 2 2 2" xfId="1718" xr:uid="{4625AE91-CF22-4692-B756-162A901A0174}"/>
    <cellStyle name="Финансовый 5 2 2 2 2" xfId="3251" xr:uid="{CBFAB0D6-3AE2-476D-A80C-BD0109D24F3D}"/>
    <cellStyle name="Финансовый 5 2 2 3" xfId="2485" xr:uid="{6348C99A-2830-4016-AB0D-FD72CB1AEA27}"/>
    <cellStyle name="Финансовый 5 2 2 4" xfId="4050" xr:uid="{AE766DE1-AFE6-4B02-86EA-20C62DF356E6}"/>
    <cellStyle name="Финансовый 5 2 3" xfId="1337" xr:uid="{0D6566D6-AD1F-4345-BEE3-CF22B40C30DA}"/>
    <cellStyle name="Финансовый 5 2 3 2" xfId="2870" xr:uid="{0D7D6EB6-745D-47DE-8858-483439D420EF}"/>
    <cellStyle name="Финансовый 5 2 4" xfId="2104" xr:uid="{62B23D26-ACB5-4E89-9BBD-AF3932E90E12}"/>
    <cellStyle name="Финансовый 5 2 5" xfId="3639" xr:uid="{C5BD3F43-055E-46FD-A3B7-32BFEC85B0AC}"/>
    <cellStyle name="Финансовый 5 3" xfId="721" xr:uid="{F7E9ED23-D684-4B8E-94FB-5DCA30C7928B}"/>
    <cellStyle name="Финансовый 5 3 2" xfId="1532" xr:uid="{EF8B69F4-0A1F-4A4A-A3C8-7CBAF09C5495}"/>
    <cellStyle name="Финансовый 5 3 2 2" xfId="3065" xr:uid="{B0723C86-0DFF-4A2E-9F56-78CCAF846EBD}"/>
    <cellStyle name="Финансовый 5 3 3" xfId="2299" xr:uid="{F11C7FF8-62CF-4D49-89A9-45C582382C28}"/>
    <cellStyle name="Финансовый 5 3 4" xfId="3863" xr:uid="{1DE3C75B-203A-4578-A3E8-34C303B9A1C0}"/>
    <cellStyle name="Финансовый 5 4" xfId="1151" xr:uid="{2AD8EC00-5A80-4827-8F0A-6CE132C6DCE5}"/>
    <cellStyle name="Финансовый 5 4 2" xfId="2684" xr:uid="{AC481BD3-6A3A-4F54-B60F-CA7FFD667617}"/>
    <cellStyle name="Финансовый 5 5" xfId="1918" xr:uid="{BBE1A50A-8CDD-4470-A923-D7EA09E8BC48}"/>
    <cellStyle name="Финансовый 5 6" xfId="3453" xr:uid="{57349E7B-8DA3-4432-9D61-B02543C8BD29}"/>
    <cellStyle name="Финансовый 50" xfId="4264" xr:uid="{71924C2B-F0E9-4471-88DD-0D1B26FA92B9}"/>
    <cellStyle name="Финансовый 51" xfId="4263" xr:uid="{3DF28A1C-EA11-48FD-B4E2-E039360DE8D5}"/>
    <cellStyle name="Финансовый 52" xfId="4266" xr:uid="{E54965B1-9B44-4D2B-BADA-3BD9964EE946}"/>
    <cellStyle name="Финансовый 53" xfId="4270" xr:uid="{0A4D5E89-A4D4-4A43-A5FD-BAE386FEC685}"/>
    <cellStyle name="Финансовый 54" xfId="4278" xr:uid="{8A687AEF-5B8E-4BBB-9245-88A3F4CBBF39}"/>
    <cellStyle name="Финансовый 55" xfId="4282" xr:uid="{54C04619-BD4A-4D5C-9139-4F9586C66E64}"/>
    <cellStyle name="Финансовый 56" xfId="4285" xr:uid="{8AC1D294-79B3-4495-AE25-4748753ED74F}"/>
    <cellStyle name="Финансовый 57" xfId="4281" xr:uid="{08740EBE-B64F-422B-B55B-52A319778029}"/>
    <cellStyle name="Финансовый 58" xfId="4288" xr:uid="{06117215-C50F-4348-B2C3-CB34E573F43F}"/>
    <cellStyle name="Финансовый 59" xfId="4284" xr:uid="{F569AFF8-E831-466A-B13B-79540D9C88AD}"/>
    <cellStyle name="Финансовый 6" xfId="28" xr:uid="{8BCA4EE6-0AE1-4AC8-B070-EF2748A341A8}"/>
    <cellStyle name="Финансовый 6 2" xfId="511" xr:uid="{760B749A-2137-44B1-BECA-2851933416F4}"/>
    <cellStyle name="Финансовый 6 2 2" xfId="897" xr:uid="{54685F00-0ED0-46AE-B6F7-BFB9DBDCFE5C}"/>
    <cellStyle name="Финансовый 6 2 2 2" xfId="1708" xr:uid="{6855BEE5-F548-4CC1-B1A4-DA98D07D6356}"/>
    <cellStyle name="Финансовый 6 2 2 2 2" xfId="3241" xr:uid="{F1DB9E56-6679-4AA3-8CFB-272DC7867F19}"/>
    <cellStyle name="Финансовый 6 2 2 3" xfId="2475" xr:uid="{9838F789-0F86-4A3F-8BAD-8DDD5FCE262B}"/>
    <cellStyle name="Финансовый 6 2 2 4" xfId="4040" xr:uid="{884D0B5F-DB4D-42FC-9F6A-E965D05396B9}"/>
    <cellStyle name="Финансовый 6 2 3" xfId="1327" xr:uid="{AA306179-3FA0-4FB9-A33E-3384D382FE36}"/>
    <cellStyle name="Финансовый 6 2 3 2" xfId="2860" xr:uid="{3C8BD7D5-551C-47FB-A2A7-886220598854}"/>
    <cellStyle name="Финансовый 6 2 4" xfId="2094" xr:uid="{5BAAD83C-A7BF-48DB-8F8A-64503DCB63D0}"/>
    <cellStyle name="Финансовый 6 2 5" xfId="3629" xr:uid="{74D7E179-132B-4F75-9E60-9D552D9B73C8}"/>
    <cellStyle name="Финансовый 6 3" xfId="711" xr:uid="{D9EC4FCB-F56B-4DCF-843C-78ACC3A34953}"/>
    <cellStyle name="Финансовый 6 3 2" xfId="1522" xr:uid="{5EA5EFC4-18F1-4E82-BC67-5A09331D7713}"/>
    <cellStyle name="Финансовый 6 3 2 2" xfId="3055" xr:uid="{CB2D62C4-40A5-49E1-8A2B-84989D9E3E32}"/>
    <cellStyle name="Финансовый 6 3 3" xfId="2289" xr:uid="{40080FF7-9873-4770-BDF5-4EC069AF419D}"/>
    <cellStyle name="Финансовый 6 3 4" xfId="3853" xr:uid="{7BCDAEDB-3E6E-482E-B539-C078C1AE2ABF}"/>
    <cellStyle name="Финансовый 6 4" xfId="1141" xr:uid="{679D2F05-9BA4-4F5B-A08C-7F88392DF294}"/>
    <cellStyle name="Финансовый 6 4 2" xfId="2674" xr:uid="{27D77CE4-F708-47F3-8E3E-78F8A86B7105}"/>
    <cellStyle name="Финансовый 6 4 3" xfId="4274" xr:uid="{02A8038B-18AB-4694-88AE-7D112BDC044E}"/>
    <cellStyle name="Финансовый 6 5" xfId="1908" xr:uid="{611B15A4-C705-4CBA-B354-49C8CB6133A8}"/>
    <cellStyle name="Финансовый 6 6" xfId="3427" xr:uid="{C4D9DF1A-CD7A-4F74-AB6B-D64F9C6A6751}"/>
    <cellStyle name="Финансовый 60" xfId="4287" xr:uid="{95C96ABF-BF8E-4EBF-BFCC-DD9C8B61DCFA}"/>
    <cellStyle name="Финансовый 61" xfId="4289" xr:uid="{877C7BAA-D283-47DC-ADFA-DB75571A9467}"/>
    <cellStyle name="Финансовый 62" xfId="4342" xr:uid="{1F76D4B4-698B-42A2-84B4-0D48BA131DE5}"/>
    <cellStyle name="Финансовый 63" xfId="4347" xr:uid="{2FE6BC92-8F52-498D-AB83-358273BCD48A}"/>
    <cellStyle name="Финансовый 64" xfId="4348" xr:uid="{32E5F91C-1BE2-4BDB-899F-74AF361FD9C5}"/>
    <cellStyle name="Финансовый 65" xfId="4355" xr:uid="{D7841AA1-BA7B-4A0C-952F-E9BFE2FAFC86}"/>
    <cellStyle name="Финансовый 66" xfId="4359" xr:uid="{60812D77-2286-41FA-BC9F-B043E870D6F8}"/>
    <cellStyle name="Финансовый 67" xfId="4360" xr:uid="{683E784A-96DE-4021-9379-0C55C7A1F92E}"/>
    <cellStyle name="Финансовый 68" xfId="4354" xr:uid="{96ED7261-A39C-4D35-91D0-7667AB669CF8}"/>
    <cellStyle name="Финансовый 69" xfId="4361" xr:uid="{FB5D2E93-7B44-4F59-887A-F6AEF0E4E864}"/>
    <cellStyle name="Финансовый 7" xfId="485" xr:uid="{68397A96-C9AB-48A9-8F53-42250947A783}"/>
    <cellStyle name="Финансовый 7 2" xfId="672" xr:uid="{85D5CE97-A4AD-49F9-BDC2-37201E32D3A9}"/>
    <cellStyle name="Финансовый 7 2 2" xfId="1058" xr:uid="{29940BE5-A1E6-4E6A-AF1C-FA9234AFC0DE}"/>
    <cellStyle name="Финансовый 7 2 2 2" xfId="1869" xr:uid="{5306BA93-7F93-4004-A555-A6A7896D9512}"/>
    <cellStyle name="Финансовый 7 2 2 2 2" xfId="3402" xr:uid="{18D1E3AE-D5CE-42C5-9748-F324548C10AD}"/>
    <cellStyle name="Финансовый 7 2 2 3" xfId="2636" xr:uid="{D6CCA59B-B7F8-4960-BAB5-F92E996F4CF9}"/>
    <cellStyle name="Финансовый 7 2 2 4" xfId="4201" xr:uid="{280AF9C0-A4C1-4B8E-8770-6D8B05FC63C4}"/>
    <cellStyle name="Финансовый 7 2 3" xfId="1488" xr:uid="{1BA9460D-D560-46F2-B655-097C9665A779}"/>
    <cellStyle name="Финансовый 7 2 3 2" xfId="3021" xr:uid="{252522C4-D626-47AA-987A-DAA872B2FB7E}"/>
    <cellStyle name="Финансовый 7 2 4" xfId="2255" xr:uid="{41C08E08-F200-48A8-888D-F1BC40AD5436}"/>
    <cellStyle name="Финансовый 7 2 5" xfId="3790" xr:uid="{47BE8D05-37C3-4261-858D-E2A7711B63AE}"/>
    <cellStyle name="Финансовый 7 3" xfId="872" xr:uid="{829BF5CA-1F4F-4F01-8793-D69E4A746A03}"/>
    <cellStyle name="Финансовый 7 3 2" xfId="1683" xr:uid="{841522CB-34AD-4691-BBC3-8B30F235FD05}"/>
    <cellStyle name="Финансовый 7 3 2 2" xfId="3216" xr:uid="{33FD53A4-A0DB-478F-B4C6-428042C4AD27}"/>
    <cellStyle name="Финансовый 7 3 3" xfId="2450" xr:uid="{86216866-8331-40BE-BCEF-602945593EB9}"/>
    <cellStyle name="Финансовый 7 3 4" xfId="4015" xr:uid="{0429B27C-428D-479A-925C-0F1068120AA0}"/>
    <cellStyle name="Финансовый 7 4" xfId="1302" xr:uid="{DF20E6AE-B26C-41CC-9836-0B2058937C47}"/>
    <cellStyle name="Финансовый 7 4 2" xfId="2835" xr:uid="{47464219-87D2-4340-AB20-EDD98D9AC7BE}"/>
    <cellStyle name="Финансовый 7 5" xfId="2069" xr:uid="{E824F6E6-DC14-41BF-A3AA-CB728183D582}"/>
    <cellStyle name="Финансовый 7 6" xfId="3604" xr:uid="{7352DDFE-9AF0-4A25-AD89-17E7B20C2358}"/>
    <cellStyle name="Финансовый 70" xfId="4362" xr:uid="{D983F6CB-DF7A-48D2-AFA5-27243922A840}"/>
    <cellStyle name="Финансовый 71" xfId="4363" xr:uid="{3A15CB6B-F141-4011-B8B2-2545FA5B696F}"/>
    <cellStyle name="Финансовый 72" xfId="4368" xr:uid="{2FEF2943-290A-46ED-BE3D-CF13AAF35AC7}"/>
    <cellStyle name="Финансовый 73" xfId="4369" xr:uid="{83BF6BC8-B3DB-4627-92BB-7DD119790BDD}"/>
    <cellStyle name="Финансовый 74" xfId="4370" xr:uid="{E983BACF-D0F6-4DEE-8E3D-1F60F2DBC2C1}"/>
    <cellStyle name="Финансовый 75" xfId="4371" xr:uid="{216AFF01-D454-4E9F-AC7F-D4416F1B70A6}"/>
    <cellStyle name="Финансовый 76" xfId="4372" xr:uid="{4487EF55-3C90-435B-81CE-D79BFDF4FCCE}"/>
    <cellStyle name="Финансовый 77" xfId="4373" xr:uid="{2704181E-DB54-4FF9-BDEA-5384C8B711C0}"/>
    <cellStyle name="Финансовый 78" xfId="4374" xr:uid="{604A5E27-CF6F-4D21-8CA2-B3F0B4D05458}"/>
    <cellStyle name="Финансовый 79" xfId="4375" xr:uid="{3BD9D2B4-D0DB-4F1B-BB98-13EF81CC61AE}"/>
    <cellStyle name="Финансовый 8" xfId="487" xr:uid="{40818A92-63D4-44BC-A01C-C5835813BA62}"/>
    <cellStyle name="Финансовый 8 2" xfId="674" xr:uid="{1153AFDE-B8C2-4F08-B23A-CB34B6ECC432}"/>
    <cellStyle name="Финансовый 8 2 2" xfId="1060" xr:uid="{72CB8540-2108-4FBB-84DF-36F7F7D567CF}"/>
    <cellStyle name="Финансовый 8 2 2 2" xfId="1871" xr:uid="{B4F47998-1658-424D-8995-0510F39B8366}"/>
    <cellStyle name="Финансовый 8 2 2 2 2" xfId="3404" xr:uid="{25476929-73AF-41E2-824E-B2919F5EF4F0}"/>
    <cellStyle name="Финансовый 8 2 2 3" xfId="2638" xr:uid="{E0B818EF-AAF2-4572-8661-42E26AA7A260}"/>
    <cellStyle name="Финансовый 8 2 2 4" xfId="4203" xr:uid="{CB486048-3B06-42F1-B411-71BA8566E602}"/>
    <cellStyle name="Финансовый 8 2 3" xfId="1490" xr:uid="{9BA847A3-5F40-4F29-938F-BC349A17EAFE}"/>
    <cellStyle name="Финансовый 8 2 3 2" xfId="3023" xr:uid="{5411C09C-D4FF-4216-8870-FCD22ACCE261}"/>
    <cellStyle name="Финансовый 8 2 4" xfId="2257" xr:uid="{0C3AD0A0-5792-4C8F-AD74-954E7BC69CD4}"/>
    <cellStyle name="Финансовый 8 2 5" xfId="3792" xr:uid="{D271C1D2-7694-4885-8BBE-B21CCA4CD1E8}"/>
    <cellStyle name="Финансовый 8 3" xfId="874" xr:uid="{BEA0CC20-6DF8-4017-A10F-24FFC59ABC74}"/>
    <cellStyle name="Финансовый 8 3 2" xfId="1685" xr:uid="{0139CE0B-E395-4F45-A255-338A6E40828C}"/>
    <cellStyle name="Финансовый 8 3 2 2" xfId="3218" xr:uid="{F9BFDE70-E48E-42AC-A664-F9DE6FE6A645}"/>
    <cellStyle name="Финансовый 8 3 3" xfId="2452" xr:uid="{FF710E13-0AC6-4996-ABD0-98F2CC31BD46}"/>
    <cellStyle name="Финансовый 8 3 4" xfId="4017" xr:uid="{5DE6E05F-BBDD-421B-840D-2DFA7EEF17BD}"/>
    <cellStyle name="Финансовый 8 4" xfId="1304" xr:uid="{0C41CD78-817A-4B13-80FA-AF4E98E78D05}"/>
    <cellStyle name="Финансовый 8 4 2" xfId="2837" xr:uid="{A2281B12-20E2-4939-A705-1D62F07F878D}"/>
    <cellStyle name="Финансовый 8 5" xfId="2071" xr:uid="{6F4D5A0A-4173-4EAA-A7AB-231BC7756228}"/>
    <cellStyle name="Финансовый 8 6" xfId="3606" xr:uid="{74349BC6-4881-45D5-A16F-3423BBD8DF15}"/>
    <cellStyle name="Финансовый 80" xfId="4376" xr:uid="{10D5CF73-A249-4B91-90EA-9060952161A2}"/>
    <cellStyle name="Финансовый 81" xfId="4377" xr:uid="{EEB698F0-F9D1-4FFE-B9C3-A3A757563245}"/>
    <cellStyle name="Финансовый 82" xfId="4378" xr:uid="{BF9DA56D-F35C-449D-8A22-939C06E38244}"/>
    <cellStyle name="Финансовый 83" xfId="4379" xr:uid="{4A0BFBBB-3661-4981-AECC-28DB7BCC3111}"/>
    <cellStyle name="Финансовый 84" xfId="4383" xr:uid="{8A394529-59A4-4B96-8772-820853EC09A3}"/>
    <cellStyle name="Финансовый 85" xfId="4382" xr:uid="{1FEF2D97-4353-4AF8-9B55-C239DEFC6B4B}"/>
    <cellStyle name="Финансовый 86" xfId="4384" xr:uid="{E6F5E9F1-60ED-4756-9687-DAB888B21FFD}"/>
    <cellStyle name="Финансовый 87" xfId="4385" xr:uid="{90B5F906-DCA5-4A64-BF2A-923C85C7C0D6}"/>
    <cellStyle name="Финансовый 88" xfId="4386" xr:uid="{5BE424D6-06A3-4FA2-84B6-C08BB489FE75}"/>
    <cellStyle name="Финансовый 89" xfId="4387" xr:uid="{6867E021-51F0-423E-9553-811304EAF128}"/>
    <cellStyle name="Финансовый 9" xfId="486" xr:uid="{8CF41B54-4EDE-4C0A-B624-6E06C5C53000}"/>
    <cellStyle name="Финансовый 9 2" xfId="673" xr:uid="{9A5765FD-F8C0-40A6-BB62-D46CF72F1EC3}"/>
    <cellStyle name="Финансовый 9 2 2" xfId="1059" xr:uid="{B3820642-C152-494E-BF35-EAEA17233ADD}"/>
    <cellStyle name="Финансовый 9 2 2 2" xfId="1870" xr:uid="{8C7EF839-9FA5-4A1D-A7CF-49D3E34FAFE1}"/>
    <cellStyle name="Финансовый 9 2 2 2 2" xfId="3403" xr:uid="{9380049D-48EE-458C-B617-CEDC844F578A}"/>
    <cellStyle name="Финансовый 9 2 2 3" xfId="2637" xr:uid="{1FEFEE04-2F59-496A-8584-82E9D8E989C6}"/>
    <cellStyle name="Финансовый 9 2 2 4" xfId="4202" xr:uid="{3FA75623-BBC6-4A33-8349-DB10AD41B1E3}"/>
    <cellStyle name="Финансовый 9 2 3" xfId="1489" xr:uid="{0D03DE5D-267A-4E65-B007-0E094CD747BE}"/>
    <cellStyle name="Финансовый 9 2 3 2" xfId="3022" xr:uid="{B22D96C6-5D3C-4608-8057-66E1812A6F48}"/>
    <cellStyle name="Финансовый 9 2 4" xfId="2256" xr:uid="{26D4D88E-5CFC-43F5-8E42-356DD84B8B42}"/>
    <cellStyle name="Финансовый 9 2 5" xfId="3791" xr:uid="{119CB260-2677-4A7C-A0F2-1475F4BF414F}"/>
    <cellStyle name="Финансовый 9 3" xfId="873" xr:uid="{F28F4992-DAC6-4175-834D-EAB4A692332E}"/>
    <cellStyle name="Финансовый 9 3 2" xfId="1684" xr:uid="{8385B5EC-586B-4E84-A4E8-9B74A2D7016D}"/>
    <cellStyle name="Финансовый 9 3 2 2" xfId="3217" xr:uid="{DF6B570E-70E5-4404-A70C-F34D7DE5096C}"/>
    <cellStyle name="Финансовый 9 3 3" xfId="2451" xr:uid="{E56E3725-EFC1-4735-9193-EE337558A4F1}"/>
    <cellStyle name="Финансовый 9 3 4" xfId="4016" xr:uid="{8028B1C4-2959-48A1-915A-E7C37FB6E331}"/>
    <cellStyle name="Финансовый 9 4" xfId="1303" xr:uid="{084AAB72-056C-4EAB-AD63-82017F88FF0B}"/>
    <cellStyle name="Финансовый 9 4 2" xfId="2836" xr:uid="{8FD790FA-4170-4C37-A91E-79C78D3BC672}"/>
    <cellStyle name="Финансовый 9 5" xfId="2070" xr:uid="{3D0FEC06-24D3-47DB-90D0-AE767175D33F}"/>
    <cellStyle name="Финансовый 9 6" xfId="3605" xr:uid="{BEFC68B8-E665-43FA-8914-F16B86F144B0}"/>
    <cellStyle name="Финансовый 90" xfId="4388" xr:uid="{96B3B05F-A16B-4A41-BBC8-75F55CAC7AF7}"/>
    <cellStyle name="Финансовый 91" xfId="4389" xr:uid="{EC4B7DD5-5D6D-4A66-8857-A5D383AE01EE}"/>
    <cellStyle name="Финансовый 92" xfId="4390" xr:uid="{A72061D4-046B-4399-875A-DF51FD42B038}"/>
    <cellStyle name="Финансовый 93" xfId="4392" xr:uid="{D6A2EFCF-436F-47DD-9287-681B54334DBA}"/>
    <cellStyle name="Финансовый 94" xfId="4391" xr:uid="{B203C19D-D856-4176-8D5D-B7D02D70DCEC}"/>
    <cellStyle name="Финансовый 95" xfId="4393" xr:uid="{F07C7A08-A48A-48BB-AFCF-FB55D9F44AF6}"/>
    <cellStyle name="Финансовый 96" xfId="4394" xr:uid="{1767BA73-D8DA-40A1-87E0-BD5C72283B55}"/>
    <cellStyle name="Финансовый 97" xfId="4395" xr:uid="{EBC68DAA-2A7C-439B-9697-C18E2592793D}"/>
    <cellStyle name="Финансовый 98" xfId="4396" xr:uid="{A99013A9-FBEA-4CEE-98D0-97B1C1ADD4F7}"/>
    <cellStyle name="Финансовый 99" xfId="4397" xr:uid="{FE3074F1-F3B6-4C4D-BD4F-E4368E0601E6}"/>
    <cellStyle name="Хороший" xfId="4295" builtinId="26" customBuiltin="1"/>
    <cellStyle name="Хороший 2" xfId="79" xr:uid="{4212C9BC-6684-415F-A94C-507804D7588A}"/>
  </cellStyles>
  <dxfs count="1420"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22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94582239720034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'Нацбанк Казахстана, Доллар США_'!$A$2:$A$214</c:f>
              <c:numCache>
                <c:formatCode>m/d/yyyy</c:formatCode>
                <c:ptCount val="213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45427</c:v>
                </c:pt>
                <c:pt idx="136">
                  <c:v>45428</c:v>
                </c:pt>
                <c:pt idx="137">
                  <c:v>45429</c:v>
                </c:pt>
                <c:pt idx="138">
                  <c:v>45430</c:v>
                </c:pt>
                <c:pt idx="139">
                  <c:v>45431</c:v>
                </c:pt>
                <c:pt idx="140">
                  <c:v>45432</c:v>
                </c:pt>
                <c:pt idx="141">
                  <c:v>45433</c:v>
                </c:pt>
                <c:pt idx="142">
                  <c:v>45434</c:v>
                </c:pt>
                <c:pt idx="143">
                  <c:v>45435</c:v>
                </c:pt>
                <c:pt idx="144">
                  <c:v>45436</c:v>
                </c:pt>
                <c:pt idx="145">
                  <c:v>45437</c:v>
                </c:pt>
                <c:pt idx="146">
                  <c:v>45438</c:v>
                </c:pt>
                <c:pt idx="147">
                  <c:v>45439</c:v>
                </c:pt>
                <c:pt idx="148">
                  <c:v>45440</c:v>
                </c:pt>
                <c:pt idx="149">
                  <c:v>45441</c:v>
                </c:pt>
                <c:pt idx="150">
                  <c:v>45442</c:v>
                </c:pt>
                <c:pt idx="151">
                  <c:v>45443</c:v>
                </c:pt>
                <c:pt idx="152">
                  <c:v>45444</c:v>
                </c:pt>
                <c:pt idx="153">
                  <c:v>45445</c:v>
                </c:pt>
                <c:pt idx="154">
                  <c:v>45446</c:v>
                </c:pt>
                <c:pt idx="155">
                  <c:v>45447</c:v>
                </c:pt>
                <c:pt idx="156">
                  <c:v>45448</c:v>
                </c:pt>
                <c:pt idx="157">
                  <c:v>45449</c:v>
                </c:pt>
                <c:pt idx="158">
                  <c:v>45450</c:v>
                </c:pt>
                <c:pt idx="159">
                  <c:v>45451</c:v>
                </c:pt>
                <c:pt idx="160">
                  <c:v>45452</c:v>
                </c:pt>
                <c:pt idx="161">
                  <c:v>45453</c:v>
                </c:pt>
                <c:pt idx="162">
                  <c:v>45454</c:v>
                </c:pt>
                <c:pt idx="163">
                  <c:v>45455</c:v>
                </c:pt>
                <c:pt idx="164">
                  <c:v>45456</c:v>
                </c:pt>
                <c:pt idx="165">
                  <c:v>45457</c:v>
                </c:pt>
                <c:pt idx="166">
                  <c:v>45458</c:v>
                </c:pt>
                <c:pt idx="167">
                  <c:v>45459</c:v>
                </c:pt>
                <c:pt idx="168">
                  <c:v>45460</c:v>
                </c:pt>
                <c:pt idx="169">
                  <c:v>45461</c:v>
                </c:pt>
                <c:pt idx="170">
                  <c:v>45462</c:v>
                </c:pt>
                <c:pt idx="171">
                  <c:v>45463</c:v>
                </c:pt>
                <c:pt idx="172">
                  <c:v>45464</c:v>
                </c:pt>
                <c:pt idx="173">
                  <c:v>45465</c:v>
                </c:pt>
                <c:pt idx="174">
                  <c:v>45466</c:v>
                </c:pt>
                <c:pt idx="175">
                  <c:v>45467</c:v>
                </c:pt>
                <c:pt idx="176">
                  <c:v>45468</c:v>
                </c:pt>
                <c:pt idx="177">
                  <c:v>45469</c:v>
                </c:pt>
                <c:pt idx="178">
                  <c:v>45470</c:v>
                </c:pt>
                <c:pt idx="179">
                  <c:v>45471</c:v>
                </c:pt>
                <c:pt idx="180">
                  <c:v>45472</c:v>
                </c:pt>
                <c:pt idx="181">
                  <c:v>45473</c:v>
                </c:pt>
                <c:pt idx="182">
                  <c:v>45474</c:v>
                </c:pt>
                <c:pt idx="183">
                  <c:v>45475</c:v>
                </c:pt>
                <c:pt idx="184">
                  <c:v>45476</c:v>
                </c:pt>
                <c:pt idx="185">
                  <c:v>45477</c:v>
                </c:pt>
                <c:pt idx="186">
                  <c:v>45478</c:v>
                </c:pt>
                <c:pt idx="187">
                  <c:v>45479</c:v>
                </c:pt>
                <c:pt idx="188">
                  <c:v>45480</c:v>
                </c:pt>
                <c:pt idx="189">
                  <c:v>45481</c:v>
                </c:pt>
                <c:pt idx="190">
                  <c:v>45482</c:v>
                </c:pt>
                <c:pt idx="191">
                  <c:v>45483</c:v>
                </c:pt>
                <c:pt idx="192">
                  <c:v>45484</c:v>
                </c:pt>
                <c:pt idx="193">
                  <c:v>45485</c:v>
                </c:pt>
                <c:pt idx="194">
                  <c:v>45486</c:v>
                </c:pt>
                <c:pt idx="195">
                  <c:v>45487</c:v>
                </c:pt>
                <c:pt idx="196">
                  <c:v>45488</c:v>
                </c:pt>
                <c:pt idx="197">
                  <c:v>45489</c:v>
                </c:pt>
                <c:pt idx="198">
                  <c:v>45490</c:v>
                </c:pt>
                <c:pt idx="199">
                  <c:v>45491</c:v>
                </c:pt>
                <c:pt idx="200">
                  <c:v>45492</c:v>
                </c:pt>
                <c:pt idx="201">
                  <c:v>45493</c:v>
                </c:pt>
                <c:pt idx="202">
                  <c:v>45494</c:v>
                </c:pt>
                <c:pt idx="203">
                  <c:v>45495</c:v>
                </c:pt>
                <c:pt idx="204">
                  <c:v>45496</c:v>
                </c:pt>
                <c:pt idx="205">
                  <c:v>45497</c:v>
                </c:pt>
                <c:pt idx="206">
                  <c:v>45498</c:v>
                </c:pt>
                <c:pt idx="207">
                  <c:v>45499</c:v>
                </c:pt>
                <c:pt idx="208">
                  <c:v>45500</c:v>
                </c:pt>
                <c:pt idx="209">
                  <c:v>45501</c:v>
                </c:pt>
                <c:pt idx="210">
                  <c:v>45502</c:v>
                </c:pt>
                <c:pt idx="211">
                  <c:v>45503</c:v>
                </c:pt>
                <c:pt idx="212">
                  <c:v>45504</c:v>
                </c:pt>
              </c:numCache>
            </c:numRef>
          </c:cat>
          <c:val>
            <c:numRef>
              <c:f>'Нацбанк Казахстана, Доллар США_'!$D$2:$D$214</c:f>
              <c:numCache>
                <c:formatCode>0.00</c:formatCode>
                <c:ptCount val="213"/>
                <c:pt idx="0" formatCode="m/d/yyyy">
                  <c:v>45909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m/d/yyyy">
                  <c:v>0</c:v>
                </c:pt>
                <c:pt idx="7" formatCode="m/d/yyyy">
                  <c:v>0</c:v>
                </c:pt>
                <c:pt idx="8" formatCode="m/d/yyyy">
                  <c:v>0</c:v>
                </c:pt>
                <c:pt idx="9" formatCode="m/d/yyyy">
                  <c:v>0</c:v>
                </c:pt>
                <c:pt idx="10" formatCode="m/d/yyyy">
                  <c:v>0</c:v>
                </c:pt>
                <c:pt idx="11" formatCode="m/d/yyyy">
                  <c:v>0</c:v>
                </c:pt>
                <c:pt idx="12" formatCode="m/d/yyyy">
                  <c:v>0</c:v>
                </c:pt>
                <c:pt idx="14" formatCode="0.00%">
                  <c:v>0.24930738489124626</c:v>
                </c:pt>
                <c:pt idx="15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m/d/yyyy">
                  <c:v>0</c:v>
                </c:pt>
                <c:pt idx="21" formatCode="m/d/yyyy">
                  <c:v>0</c:v>
                </c:pt>
                <c:pt idx="22" formatCode="m/d/yyyy">
                  <c:v>0</c:v>
                </c:pt>
                <c:pt idx="23" formatCode="m/d/yyyy">
                  <c:v>0</c:v>
                </c:pt>
                <c:pt idx="24" formatCode="m/d/yyyy">
                  <c:v>0</c:v>
                </c:pt>
                <c:pt idx="25" formatCode="m/d/yyyy">
                  <c:v>0</c:v>
                </c:pt>
                <c:pt idx="26" formatCode="m/d/yyyy">
                  <c:v>0</c:v>
                </c:pt>
                <c:pt idx="29" formatCode="0.00%">
                  <c:v>0.24175636849848081</c:v>
                </c:pt>
                <c:pt idx="30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m/d/yyyy">
                  <c:v>0</c:v>
                </c:pt>
                <c:pt idx="36" formatCode="m/d/yyyy">
                  <c:v>0</c:v>
                </c:pt>
                <c:pt idx="37" formatCode="m/d/yyyy">
                  <c:v>0</c:v>
                </c:pt>
                <c:pt idx="38" formatCode="m/d/yyyy">
                  <c:v>0</c:v>
                </c:pt>
                <c:pt idx="39" formatCode="m/d/yyyy">
                  <c:v>0</c:v>
                </c:pt>
                <c:pt idx="40" formatCode="m/d/yyyy">
                  <c:v>0</c:v>
                </c:pt>
                <c:pt idx="41" formatCode="m/d/yyyy">
                  <c:v>0</c:v>
                </c:pt>
                <c:pt idx="43" formatCode="0.00%">
                  <c:v>0.14987680172747367</c:v>
                </c:pt>
                <c:pt idx="44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m/d/yyyy">
                  <c:v>0</c:v>
                </c:pt>
                <c:pt idx="50" formatCode="m/d/yyyy">
                  <c:v>0</c:v>
                </c:pt>
                <c:pt idx="51" formatCode="m/d/yyyy">
                  <c:v>0</c:v>
                </c:pt>
                <c:pt idx="52" formatCode="m/d/yyyy">
                  <c:v>0</c:v>
                </c:pt>
                <c:pt idx="53" formatCode="m/d/yyyy">
                  <c:v>0</c:v>
                </c:pt>
                <c:pt idx="54" formatCode="m/d/yyyy">
                  <c:v>0</c:v>
                </c:pt>
                <c:pt idx="55" formatCode="m/d/yyyy">
                  <c:v>0</c:v>
                </c:pt>
                <c:pt idx="57" formatCode="0.00%">
                  <c:v>0.12872495011512167</c:v>
                </c:pt>
                <c:pt idx="58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m/d/yyyy">
                  <c:v>0</c:v>
                </c:pt>
                <c:pt idx="64" formatCode="m/d/yyyy">
                  <c:v>0</c:v>
                </c:pt>
                <c:pt idx="65" formatCode="m/d/yyyy">
                  <c:v>0</c:v>
                </c:pt>
                <c:pt idx="66" formatCode="m/d/yyyy">
                  <c:v>0</c:v>
                </c:pt>
                <c:pt idx="67" formatCode="m/d/yyyy">
                  <c:v>0</c:v>
                </c:pt>
                <c:pt idx="68" formatCode="m/d/yyyy">
                  <c:v>0</c:v>
                </c:pt>
                <c:pt idx="69" formatCode="m/d/yyyy">
                  <c:v>0</c:v>
                </c:pt>
                <c:pt idx="71" formatCode="0.00%">
                  <c:v>0.12808607918526413</c:v>
                </c:pt>
                <c:pt idx="72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m/d/yyyy">
                  <c:v>0</c:v>
                </c:pt>
                <c:pt idx="78" formatCode="m/d/yyyy">
                  <c:v>0</c:v>
                </c:pt>
                <c:pt idx="79" formatCode="m/d/yyyy">
                  <c:v>0</c:v>
                </c:pt>
                <c:pt idx="80" formatCode="m/d/yyyy">
                  <c:v>0</c:v>
                </c:pt>
                <c:pt idx="81" formatCode="m/d/yyyy">
                  <c:v>0</c:v>
                </c:pt>
                <c:pt idx="82" formatCode="m/d/yyyy">
                  <c:v>0</c:v>
                </c:pt>
                <c:pt idx="85" formatCode="0.00%">
                  <c:v>0.10224841558241335</c:v>
                </c:pt>
                <c:pt idx="8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E-491D-8A4A-DFA85EE2E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544432"/>
        <c:axId val="1095284656"/>
      </c:lineChart>
      <c:dateAx>
        <c:axId val="1241544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5284656"/>
        <c:crosses val="autoZero"/>
        <c:auto val="1"/>
        <c:lblOffset val="100"/>
        <c:baseTimeUnit val="days"/>
      </c:dateAx>
      <c:valAx>
        <c:axId val="10952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154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361950</xdr:colOff>
          <xdr:row>1</xdr:row>
          <xdr:rowOff>133350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01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361950</xdr:colOff>
          <xdr:row>1</xdr:row>
          <xdr:rowOff>133350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01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01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01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01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89" name="Button 141" hidden="1">
              <a:extLst>
                <a:ext uri="{63B3BB69-23CF-44E3-9099-C40C66FF867C}">
                  <a14:compatExt spid="_x0000_s53389"/>
                </a:ext>
                <a:ext uri="{FF2B5EF4-FFF2-40B4-BE49-F238E27FC236}">
                  <a16:creationId xmlns:a16="http://schemas.microsoft.com/office/drawing/2014/main" id="{00000000-0008-0000-0100-00008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90" name="Button 142" hidden="1">
              <a:extLst>
                <a:ext uri="{63B3BB69-23CF-44E3-9099-C40C66FF867C}">
                  <a14:compatExt spid="_x0000_s53390"/>
                </a:ext>
                <a:ext uri="{FF2B5EF4-FFF2-40B4-BE49-F238E27FC236}">
                  <a16:creationId xmlns:a16="http://schemas.microsoft.com/office/drawing/2014/main" id="{00000000-0008-0000-0100-00008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93" name="Button 145" hidden="1">
              <a:extLst>
                <a:ext uri="{63B3BB69-23CF-44E3-9099-C40C66FF867C}">
                  <a14:compatExt spid="_x0000_s53393"/>
                </a:ext>
                <a:ext uri="{FF2B5EF4-FFF2-40B4-BE49-F238E27FC236}">
                  <a16:creationId xmlns:a16="http://schemas.microsoft.com/office/drawing/2014/main" id="{00000000-0008-0000-0100-00009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95" name="Button 147" hidden="1">
              <a:extLst>
                <a:ext uri="{63B3BB69-23CF-44E3-9099-C40C66FF867C}">
                  <a14:compatExt spid="_x0000_s53395"/>
                </a:ext>
                <a:ext uri="{FF2B5EF4-FFF2-40B4-BE49-F238E27FC236}">
                  <a16:creationId xmlns:a16="http://schemas.microsoft.com/office/drawing/2014/main" id="{00000000-0008-0000-0100-00009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1</xdr:col>
          <xdr:colOff>342900</xdr:colOff>
          <xdr:row>1</xdr:row>
          <xdr:rowOff>133350</xdr:rowOff>
        </xdr:to>
        <xdr:sp macro="" textlink="">
          <xdr:nvSpPr>
            <xdr:cNvPr id="53397" name="Button 149" hidden="1">
              <a:extLst>
                <a:ext uri="{63B3BB69-23CF-44E3-9099-C40C66FF867C}">
                  <a14:compatExt spid="_x0000_s53397"/>
                </a:ext>
                <a:ext uri="{FF2B5EF4-FFF2-40B4-BE49-F238E27FC236}">
                  <a16:creationId xmlns:a16="http://schemas.microsoft.com/office/drawing/2014/main" id="{00000000-0008-0000-0100-00009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399" name="Button 151" hidden="1">
              <a:extLst>
                <a:ext uri="{63B3BB69-23CF-44E3-9099-C40C66FF867C}">
                  <a14:compatExt spid="_x0000_s53399"/>
                </a:ext>
                <a:ext uri="{FF2B5EF4-FFF2-40B4-BE49-F238E27FC236}">
                  <a16:creationId xmlns:a16="http://schemas.microsoft.com/office/drawing/2014/main" id="{00000000-0008-0000-0100-00009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403" name="Button 155" hidden="1">
              <a:extLst>
                <a:ext uri="{63B3BB69-23CF-44E3-9099-C40C66FF867C}">
                  <a14:compatExt spid="_x0000_s53403"/>
                </a:ext>
                <a:ext uri="{FF2B5EF4-FFF2-40B4-BE49-F238E27FC236}">
                  <a16:creationId xmlns:a16="http://schemas.microsoft.com/office/drawing/2014/main" id="{00000000-0008-0000-0100-00009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404" name="Button 156" hidden="1">
              <a:extLst>
                <a:ext uri="{63B3BB69-23CF-44E3-9099-C40C66FF867C}">
                  <a14:compatExt spid="_x0000_s53404"/>
                </a:ext>
                <a:ext uri="{FF2B5EF4-FFF2-40B4-BE49-F238E27FC236}">
                  <a16:creationId xmlns:a16="http://schemas.microsoft.com/office/drawing/2014/main" id="{00000000-0008-0000-0100-00009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405" name="Button 157" hidden="1">
              <a:extLst>
                <a:ext uri="{63B3BB69-23CF-44E3-9099-C40C66FF867C}">
                  <a14:compatExt spid="_x0000_s53405"/>
                </a:ext>
                <a:ext uri="{FF2B5EF4-FFF2-40B4-BE49-F238E27FC236}">
                  <a16:creationId xmlns:a16="http://schemas.microsoft.com/office/drawing/2014/main" id="{00000000-0008-0000-0100-00009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406" name="Button 158" hidden="1">
              <a:extLst>
                <a:ext uri="{63B3BB69-23CF-44E3-9099-C40C66FF867C}">
                  <a14:compatExt spid="_x0000_s53406"/>
                </a:ext>
                <a:ext uri="{FF2B5EF4-FFF2-40B4-BE49-F238E27FC236}">
                  <a16:creationId xmlns:a16="http://schemas.microsoft.com/office/drawing/2014/main" id="{00000000-0008-0000-0100-00009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1</xdr:col>
          <xdr:colOff>342900</xdr:colOff>
          <xdr:row>4</xdr:row>
          <xdr:rowOff>0</xdr:rowOff>
        </xdr:to>
        <xdr:sp macro="" textlink="">
          <xdr:nvSpPr>
            <xdr:cNvPr id="53407" name="Button 159" hidden="1">
              <a:extLst>
                <a:ext uri="{63B3BB69-23CF-44E3-9099-C40C66FF867C}">
                  <a14:compatExt spid="_x0000_s53407"/>
                </a:ext>
                <a:ext uri="{FF2B5EF4-FFF2-40B4-BE49-F238E27FC236}">
                  <a16:creationId xmlns:a16="http://schemas.microsoft.com/office/drawing/2014/main" id="{00000000-0008-0000-0100-00009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SpaceX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17</xdr:col>
      <xdr:colOff>304800</xdr:colOff>
      <xdr:row>18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OOM%20ALL/&#1054;&#1058;&#1063;&#1045;&#1058;&#1067;/MIS/MIS-03/MIS-03_201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_BLO~1/AppData/Local/Temp/notesF8741A/~127628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BLOOM%20ALL\&#1042;&#1085;&#1091;&#1090;&#1088;.&#1088;&#1099;&#1085;&#1086;&#1082;\&#1060;&#1054;&#1053;&#1044;&#1067;\&#1050;&#1060;&#1043;&#1044;\&#1044;&#1086;&#1093;&#1086;&#1076;&#1085;&#1086;&#1089;&#1090;&#1100;\2017\MAR\KFGD03.06.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80.5\sharefiles\SECTOR-INVEST\reports%202024\reports\&#1044;&#1059;\risk\10.2024\risk%20report_24102024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mir.saken/Desktop/&#1051;&#1080;&#1089;&#1090;%20Microsoft%20Excel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IS-03"/>
      <sheetName val="MIS-03 (2)"/>
      <sheetName val="mis"/>
      <sheetName val="mis_kaz"/>
      <sheetName val="mis for AP"/>
      <sheetName val="Data"/>
      <sheetName val="EM CUR"/>
      <sheetName val="Index"/>
      <sheetName val="CMDTY"/>
      <sheetName val="CRNCY"/>
      <sheetName val="LIBOR"/>
      <sheetName val="SEC"/>
      <sheetName val="KAZPRIME"/>
      <sheetName val="NDF"/>
      <sheetName val="CDS"/>
      <sheetName val="list"/>
      <sheetName val="Index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va"/>
      <sheetName val="nf"/>
      <sheetName val="funds"/>
      <sheetName val="enpf"/>
      <sheetName val="plan 2 invest"/>
      <sheetName val="curve breakeven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Гос.обл_(Собств)"/>
      <sheetName val="ноты sobst "/>
      <sheetName val="ноты sobst  +1"/>
      <sheetName val="BSBTrans_(Собств)"/>
      <sheetName val="BSBTrans_(Собств) +1"/>
      <sheetName val="Дисконт_МФРК_(Собств)"/>
      <sheetName val="Гос. обл_(Спец рез)"/>
      <sheetName val="Гос. обл_(Спец рез)+1"/>
      <sheetName val="ноты spec"/>
      <sheetName val="Агентские_(Спец рез)"/>
      <sheetName val="ЦБ_МФО_(Спец_рез)+1"/>
      <sheetName val="BSBTrans_(Спец рез)"/>
      <sheetName val="BSBTrans_(Спец рез)+1"/>
      <sheetName val="T-Bills_(Спец рез)"/>
      <sheetName val="T-Notes_(Спец рез)"/>
      <sheetName val="Credit Profile"/>
      <sheetName val="Sheet1"/>
    </sheetNames>
    <sheetDataSet>
      <sheetData sheetId="0">
        <row r="1">
          <cell r="A1">
            <v>42800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eport (t-1)"/>
      <sheetName val="Report all funds"/>
      <sheetName val="Cash"/>
      <sheetName val="MV"/>
      <sheetName val="ГЦБ"/>
      <sheetName val="Агентсткие"/>
      <sheetName val="МФО"/>
      <sheetName val="Repo"/>
      <sheetName val="Trades"/>
      <sheetName val="Kase ГЦБ (d)"/>
      <sheetName val="Рыночная оценка"/>
      <sheetName val="Справочник"/>
      <sheetName val="CPI"/>
      <sheetName val="MBM Index"/>
      <sheetName val="Нацбанк Казахстана, Доллар США_"/>
      <sheetName val="Дебиторская задолженность"/>
      <sheetName val="Лист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">
          <cell r="A1" t="str">
            <v>МФО</v>
          </cell>
          <cell r="B1"/>
          <cell r="C1"/>
          <cell r="D1"/>
          <cell r="E1"/>
          <cell r="F1"/>
          <cell r="G1"/>
          <cell r="H1"/>
        </row>
        <row r="2">
          <cell r="A2" t="str">
            <v>ISIN</v>
          </cell>
          <cell r="B2" t="str">
            <v>Maturity</v>
          </cell>
          <cell r="C2" t="str">
            <v>Coupon</v>
          </cell>
          <cell r="D2" t="str">
            <v>Frequency</v>
          </cell>
          <cell r="E2" t="str">
            <v>Type</v>
          </cell>
          <cell r="F2" t="str">
            <v>Base</v>
          </cell>
          <cell r="G2" t="str">
            <v>Issuer</v>
          </cell>
          <cell r="H2" t="str">
            <v>Bond type</v>
          </cell>
          <cell r="I2"/>
        </row>
        <row r="3">
          <cell r="A3" t="str">
            <v>XS1940060046</v>
          </cell>
          <cell r="B3">
            <v>44234</v>
          </cell>
          <cell r="C3">
            <v>8.9499999999999996E-2</v>
          </cell>
          <cell r="D3">
            <v>1</v>
          </cell>
          <cell r="E3" t="str">
            <v>fix</v>
          </cell>
          <cell r="F3" t="str">
            <v>actual/actual</v>
          </cell>
          <cell r="G3" t="str">
            <v>Международная финансовая корпорация</v>
          </cell>
          <cell r="I3"/>
        </row>
        <row r="4">
          <cell r="A4" t="str">
            <v>KZ2D00004298</v>
          </cell>
          <cell r="B4">
            <v>44359</v>
          </cell>
          <cell r="C4">
            <v>9.0999999999999998E-2</v>
          </cell>
          <cell r="D4">
            <v>2</v>
          </cell>
          <cell r="E4" t="str">
            <v>fix</v>
          </cell>
          <cell r="F4" t="str">
            <v>30/360</v>
          </cell>
          <cell r="G4" t="str">
            <v>Евразийский банк развития</v>
          </cell>
          <cell r="I4"/>
          <cell r="K4" t="str">
            <v>XS2093223076</v>
          </cell>
        </row>
        <row r="5">
          <cell r="A5" t="str">
            <v>KZ2D00004306</v>
          </cell>
          <cell r="B5">
            <v>44359</v>
          </cell>
          <cell r="C5">
            <v>9.0999999999999998E-2</v>
          </cell>
          <cell r="D5">
            <v>2</v>
          </cell>
          <cell r="E5" t="str">
            <v>fix</v>
          </cell>
          <cell r="F5" t="str">
            <v>30/360</v>
          </cell>
          <cell r="G5" t="str">
            <v>Евразийский банк развития</v>
          </cell>
          <cell r="I5"/>
          <cell r="K5" t="str">
            <v>XS2093242530</v>
          </cell>
          <cell r="L5"/>
        </row>
        <row r="6">
          <cell r="A6" t="str">
            <v>KZ2D00004314</v>
          </cell>
          <cell r="B6">
            <v>44359</v>
          </cell>
          <cell r="C6">
            <v>9.0999999999999998E-2</v>
          </cell>
          <cell r="D6">
            <v>2</v>
          </cell>
          <cell r="E6" t="str">
            <v>fix</v>
          </cell>
          <cell r="F6" t="str">
            <v>30/360</v>
          </cell>
          <cell r="G6" t="str">
            <v>Евразийский банк развития</v>
          </cell>
          <cell r="I6"/>
          <cell r="K6"/>
          <cell r="L6"/>
        </row>
        <row r="7">
          <cell r="A7" t="str">
            <v>KZ2D00005790</v>
          </cell>
          <cell r="B7">
            <v>44502</v>
          </cell>
          <cell r="C7"/>
          <cell r="D7"/>
          <cell r="F7"/>
          <cell r="G7" t="str">
            <v>Евразийский банк развития</v>
          </cell>
          <cell r="H7"/>
          <cell r="I7"/>
          <cell r="K7"/>
          <cell r="L7"/>
        </row>
        <row r="8">
          <cell r="A8" t="str">
            <v>XS1522918256</v>
          </cell>
          <cell r="B8">
            <v>44521</v>
          </cell>
          <cell r="C8">
            <v>0.19607212799999996</v>
          </cell>
          <cell r="D8">
            <v>4</v>
          </cell>
          <cell r="E8" t="str">
            <v>float</v>
          </cell>
          <cell r="F8" t="str">
            <v>30/360</v>
          </cell>
          <cell r="G8" t="str">
            <v>Европейский банк реконструкции и развития</v>
          </cell>
          <cell r="H8" t="str">
            <v>инфляция + 0,025% (1-11 / 4-2 / 7-5 / 10-8)</v>
          </cell>
          <cell r="I8"/>
          <cell r="K8"/>
          <cell r="L8"/>
        </row>
        <row r="9">
          <cell r="A9" t="str">
            <v>XS1535796368</v>
          </cell>
          <cell r="B9">
            <v>44545</v>
          </cell>
          <cell r="C9">
            <v>0.19607212800000084</v>
          </cell>
          <cell r="D9">
            <v>4</v>
          </cell>
          <cell r="E9" t="str">
            <v>float</v>
          </cell>
          <cell r="F9" t="str">
            <v>30/360</v>
          </cell>
          <cell r="G9" t="str">
            <v>Европейский банк реконструкции и развития</v>
          </cell>
          <cell r="H9" t="str">
            <v>инфляция + 0,025% (2-12 / 5-3 / 8-6 / 11-9)</v>
          </cell>
          <cell r="I9"/>
          <cell r="L9"/>
        </row>
        <row r="10">
          <cell r="A10" t="str">
            <v>KZ2C00004737</v>
          </cell>
          <cell r="B10">
            <v>44614</v>
          </cell>
          <cell r="C10">
            <v>9.7000000000000003E-2</v>
          </cell>
          <cell r="D10">
            <v>2</v>
          </cell>
          <cell r="E10" t="str">
            <v>fix</v>
          </cell>
          <cell r="F10" t="str">
            <v>30/360</v>
          </cell>
          <cell r="G10" t="str">
            <v>Евразийский банк развития</v>
          </cell>
          <cell r="I10"/>
          <cell r="L10"/>
        </row>
        <row r="11">
          <cell r="A11" t="str">
            <v>KZ2D00005816</v>
          </cell>
          <cell r="B11">
            <v>44670</v>
          </cell>
          <cell r="C11"/>
          <cell r="D11"/>
          <cell r="E11"/>
          <cell r="F11"/>
          <cell r="G11" t="str">
            <v>Евразийский банк развития</v>
          </cell>
          <cell r="H11"/>
          <cell r="I11"/>
          <cell r="L11"/>
        </row>
        <row r="12">
          <cell r="A12" t="str">
            <v>KZ2D00008133</v>
          </cell>
          <cell r="B12">
            <v>44698</v>
          </cell>
          <cell r="C12"/>
          <cell r="D12"/>
          <cell r="E12"/>
          <cell r="F12"/>
          <cell r="G12" t="str">
            <v>Евразийский банк развития</v>
          </cell>
          <cell r="H12"/>
          <cell r="I12"/>
          <cell r="L12"/>
        </row>
        <row r="13">
          <cell r="A13" t="str">
            <v>XS1876166973</v>
          </cell>
          <cell r="B13">
            <v>44822</v>
          </cell>
          <cell r="C13">
            <v>8.3000000000000004E-2</v>
          </cell>
          <cell r="D13">
            <v>2</v>
          </cell>
          <cell r="E13" t="str">
            <v>fix</v>
          </cell>
          <cell r="F13" t="str">
            <v>30/360</v>
          </cell>
          <cell r="G13" t="str">
            <v>Международная финансовая корпорация</v>
          </cell>
          <cell r="H13" t="str">
            <v>купонные амортизационные международные облигации</v>
          </cell>
          <cell r="I13"/>
          <cell r="L13"/>
        </row>
        <row r="14">
          <cell r="A14" t="str">
            <v>KZ2D00004413</v>
          </cell>
          <cell r="B14">
            <v>44871</v>
          </cell>
          <cell r="C14">
            <v>9.7000000000000003E-2</v>
          </cell>
          <cell r="D14">
            <v>2</v>
          </cell>
          <cell r="E14" t="str">
            <v>fix</v>
          </cell>
          <cell r="F14" t="str">
            <v>30/360</v>
          </cell>
          <cell r="G14" t="str">
            <v>Евразийский банк развития</v>
          </cell>
          <cell r="I14"/>
          <cell r="K14"/>
          <cell r="L14"/>
        </row>
        <row r="15">
          <cell r="A15" t="str">
            <v>KZ2D00004421</v>
          </cell>
          <cell r="B15">
            <v>45210</v>
          </cell>
          <cell r="C15">
            <v>9.5000000000000001E-2</v>
          </cell>
          <cell r="D15">
            <v>2</v>
          </cell>
          <cell r="E15" t="str">
            <v>fix</v>
          </cell>
          <cell r="F15" t="str">
            <v>30/360</v>
          </cell>
          <cell r="G15" t="str">
            <v>Евразийский банк развития</v>
          </cell>
          <cell r="I15"/>
          <cell r="K15"/>
          <cell r="L15"/>
        </row>
        <row r="16">
          <cell r="A16" t="str">
            <v>XS1937714597</v>
          </cell>
          <cell r="B16">
            <v>45321</v>
          </cell>
          <cell r="C16">
            <v>0.18442708799999963</v>
          </cell>
          <cell r="D16">
            <v>4</v>
          </cell>
          <cell r="E16" t="str">
            <v>float</v>
          </cell>
          <cell r="F16" t="str">
            <v>actual/360</v>
          </cell>
          <cell r="G16" t="str">
            <v>Азиатский банк развития</v>
          </cell>
          <cell r="H16" t="str">
            <v>инфляция + 0,25% (12-10 / 3-1 / 6-4 / 9-7)</v>
          </cell>
          <cell r="I16"/>
          <cell r="K16"/>
          <cell r="L16"/>
        </row>
        <row r="17">
          <cell r="A17" t="str">
            <v>XS1982112069</v>
          </cell>
          <cell r="B17">
            <v>45407</v>
          </cell>
          <cell r="C17">
            <v>8.9270000000000002E-2</v>
          </cell>
          <cell r="D17">
            <v>2</v>
          </cell>
          <cell r="E17" t="str">
            <v>float</v>
          </cell>
          <cell r="F17" t="str">
            <v>30/360</v>
          </cell>
          <cell r="G17" t="str">
            <v>Европейский банк реконструкции и развития</v>
          </cell>
          <cell r="H17" t="str">
            <v>инфляция + 0,5% (3-10 / 9-4)</v>
          </cell>
          <cell r="I17"/>
          <cell r="K17"/>
          <cell r="L17"/>
        </row>
        <row r="18">
          <cell r="A18" t="str">
            <v>KZ2C00004711</v>
          </cell>
          <cell r="B18">
            <v>45439</v>
          </cell>
          <cell r="C18">
            <v>9.5000000000000001E-2</v>
          </cell>
          <cell r="D18">
            <v>2</v>
          </cell>
          <cell r="E18" t="str">
            <v>fix</v>
          </cell>
          <cell r="F18" t="str">
            <v>30/360</v>
          </cell>
          <cell r="G18" t="str">
            <v>Евразийский банк развития</v>
          </cell>
          <cell r="I18"/>
          <cell r="K18"/>
          <cell r="L18"/>
        </row>
        <row r="19">
          <cell r="A19" t="str">
            <v>KZ2C00004745</v>
          </cell>
          <cell r="B19">
            <v>45439</v>
          </cell>
          <cell r="C19">
            <v>9.5000000000000001E-2</v>
          </cell>
          <cell r="D19">
            <v>2</v>
          </cell>
          <cell r="E19" t="str">
            <v>fix</v>
          </cell>
          <cell r="F19" t="str">
            <v>30/360</v>
          </cell>
          <cell r="G19" t="str">
            <v>Евразийский банк развития</v>
          </cell>
          <cell r="I19"/>
          <cell r="K19"/>
          <cell r="L19"/>
        </row>
        <row r="20">
          <cell r="A20" t="str">
            <v>KZ2D00003241</v>
          </cell>
          <cell r="B20">
            <v>45439</v>
          </cell>
          <cell r="C20">
            <v>9.5000000000000001E-2</v>
          </cell>
          <cell r="D20">
            <v>2</v>
          </cell>
          <cell r="E20" t="str">
            <v>fix</v>
          </cell>
          <cell r="F20" t="str">
            <v>30/360</v>
          </cell>
          <cell r="G20" t="str">
            <v>Евразийский банк развития</v>
          </cell>
          <cell r="I20"/>
          <cell r="K20"/>
          <cell r="L20"/>
        </row>
        <row r="21">
          <cell r="A21" t="str">
            <v>XS2024657061</v>
          </cell>
          <cell r="B21">
            <v>45503</v>
          </cell>
          <cell r="C21">
            <v>0.18942708799999952</v>
          </cell>
          <cell r="D21">
            <v>4</v>
          </cell>
          <cell r="E21" t="str">
            <v>float</v>
          </cell>
          <cell r="F21" t="str">
            <v>actual/360</v>
          </cell>
          <cell r="G21" t="str">
            <v>Азиатский банк развития</v>
          </cell>
          <cell r="H21" t="str">
            <v>инфляция + 0,375% (12-10 / 3-1 / 6-4 / 9-7)</v>
          </cell>
          <cell r="I21"/>
          <cell r="K21"/>
          <cell r="L21"/>
        </row>
        <row r="22">
          <cell r="A22" t="str">
            <v>XS2541297557</v>
          </cell>
          <cell r="B22">
            <v>45587</v>
          </cell>
          <cell r="C22">
            <v>0.14499999999999999</v>
          </cell>
          <cell r="D22">
            <v>4</v>
          </cell>
          <cell r="E22" t="str">
            <v>fix</v>
          </cell>
          <cell r="F22" t="str">
            <v>actual/360</v>
          </cell>
          <cell r="G22" t="str">
            <v>Азиатский банк развития</v>
          </cell>
          <cell r="H22"/>
          <cell r="I22"/>
          <cell r="L22"/>
        </row>
        <row r="23">
          <cell r="A23" t="str">
            <v>XS2252216937</v>
          </cell>
          <cell r="B23">
            <v>45608</v>
          </cell>
          <cell r="C23">
            <v>0.20470224593231734</v>
          </cell>
          <cell r="D23">
            <v>2</v>
          </cell>
          <cell r="E23" t="str">
            <v>float</v>
          </cell>
          <cell r="F23" t="str">
            <v>actual/360</v>
          </cell>
          <cell r="G23" t="str">
            <v>Европейский банк реконструкции и развития</v>
          </cell>
          <cell r="H23" t="str">
            <v>инфляция + 1% (10-5 / 4-11)</v>
          </cell>
          <cell r="I23"/>
          <cell r="K23"/>
          <cell r="L23"/>
        </row>
        <row r="24">
          <cell r="A24" t="str">
            <v>XS2555207096</v>
          </cell>
          <cell r="B24">
            <v>45613</v>
          </cell>
          <cell r="C24">
            <v>0.1535</v>
          </cell>
          <cell r="D24">
            <v>1</v>
          </cell>
          <cell r="E24" t="str">
            <v>fix</v>
          </cell>
          <cell r="F24" t="str">
            <v>actual/actual</v>
          </cell>
          <cell r="G24" t="str">
            <v>Европейский банк реконструкции и развития</v>
          </cell>
          <cell r="H24"/>
          <cell r="I24"/>
          <cell r="K24"/>
          <cell r="L24"/>
        </row>
        <row r="25">
          <cell r="A25" t="str">
            <v>XS1982112572</v>
          </cell>
          <cell r="B25">
            <v>45792</v>
          </cell>
          <cell r="C25">
            <v>0.19470224593231711</v>
          </cell>
          <cell r="D25">
            <v>2</v>
          </cell>
          <cell r="E25" t="str">
            <v>float</v>
          </cell>
          <cell r="F25" t="str">
            <v>30/360</v>
          </cell>
          <cell r="G25" t="str">
            <v>Европейский банк реконструкции и развития</v>
          </cell>
          <cell r="H25" t="str">
            <v>инфляция + 0,5% (4-11 / 10-5)</v>
          </cell>
          <cell r="I25"/>
          <cell r="K25"/>
          <cell r="L25"/>
        </row>
        <row r="26">
          <cell r="A26" t="str">
            <v>XS2507222904</v>
          </cell>
          <cell r="B26">
            <v>45881</v>
          </cell>
          <cell r="C26">
            <v>0.14149999999999999</v>
          </cell>
          <cell r="D26">
            <v>2</v>
          </cell>
          <cell r="E26" t="str">
            <v>fix</v>
          </cell>
          <cell r="F26" t="str">
            <v>actual/360</v>
          </cell>
          <cell r="G26" t="str">
            <v>Азиатский банк развития</v>
          </cell>
          <cell r="H26"/>
          <cell r="I26"/>
          <cell r="K26"/>
          <cell r="L26"/>
        </row>
        <row r="27">
          <cell r="A27" t="str">
            <v>XS1831081408</v>
          </cell>
          <cell r="B27">
            <v>46040</v>
          </cell>
          <cell r="C27">
            <v>8.3000000000000004E-2</v>
          </cell>
          <cell r="D27">
            <v>2</v>
          </cell>
          <cell r="E27" t="str">
            <v>fix</v>
          </cell>
          <cell r="F27" t="str">
            <v>30/360</v>
          </cell>
          <cell r="G27" t="str">
            <v>Международная финансовая корпорация</v>
          </cell>
          <cell r="H27" t="str">
            <v>купонные амортизационные международные облигации</v>
          </cell>
          <cell r="I27"/>
          <cell r="K27"/>
          <cell r="L27"/>
        </row>
        <row r="28">
          <cell r="A28" t="str">
            <v>XS1937714753</v>
          </cell>
          <cell r="B28">
            <v>46052</v>
          </cell>
          <cell r="C28">
            <v>0.1179</v>
          </cell>
          <cell r="D28">
            <v>4</v>
          </cell>
          <cell r="E28" t="str">
            <v>float</v>
          </cell>
          <cell r="F28" t="str">
            <v>actual/360</v>
          </cell>
          <cell r="G28" t="str">
            <v>Азиатский банк развития</v>
          </cell>
          <cell r="H28" t="str">
            <v>инфляция + 0,325% (12-10 / 3-1 / 6-4 / 9-7)</v>
          </cell>
          <cell r="I28"/>
          <cell r="K28"/>
          <cell r="L28"/>
        </row>
        <row r="29">
          <cell r="A29" t="str">
            <v>XS1957561555</v>
          </cell>
          <cell r="B29">
            <v>46081</v>
          </cell>
          <cell r="C29">
            <v>0.11209</v>
          </cell>
          <cell r="D29">
            <v>2</v>
          </cell>
          <cell r="E29" t="str">
            <v>float</v>
          </cell>
          <cell r="F29" t="str">
            <v>30/360</v>
          </cell>
          <cell r="G29" t="str">
            <v>Европейский банк реконструкции и развития</v>
          </cell>
          <cell r="H29" t="str">
            <v>инфляция + 0,5% (1-8 / 7-2)</v>
          </cell>
          <cell r="I29"/>
          <cell r="J29"/>
          <cell r="K29"/>
          <cell r="L29"/>
        </row>
        <row r="30">
          <cell r="A30" t="str">
            <v>XS2294363689</v>
          </cell>
          <cell r="B30">
            <v>46098</v>
          </cell>
          <cell r="C30">
            <v>9.9500000000000005E-2</v>
          </cell>
          <cell r="D30">
            <v>2</v>
          </cell>
          <cell r="E30" t="str">
            <v>fix</v>
          </cell>
          <cell r="F30" t="str">
            <v>30/360</v>
          </cell>
          <cell r="G30" t="str">
            <v>Азиатский банк развития</v>
          </cell>
          <cell r="H30"/>
          <cell r="I30"/>
          <cell r="K30"/>
          <cell r="L30"/>
        </row>
        <row r="31">
          <cell r="A31" t="str">
            <v>XS2012983693</v>
          </cell>
          <cell r="B31">
            <v>46194</v>
          </cell>
          <cell r="C31">
            <v>9.3399999999999997E-2</v>
          </cell>
          <cell r="D31">
            <v>2</v>
          </cell>
          <cell r="E31" t="str">
            <v>float</v>
          </cell>
          <cell r="F31" t="str">
            <v>30/360</v>
          </cell>
          <cell r="G31" t="str">
            <v>Европейский банк реконструкции и развития</v>
          </cell>
          <cell r="H31" t="str">
            <v>инфляция + 0,5% (5-12 / 11-6)</v>
          </cell>
          <cell r="I31"/>
          <cell r="K31"/>
          <cell r="L31"/>
        </row>
        <row r="32">
          <cell r="A32" t="str">
            <v>XS2093223076</v>
          </cell>
          <cell r="B32">
            <v>46375</v>
          </cell>
          <cell r="C32">
            <v>9.8400000000000001E-2</v>
          </cell>
          <cell r="D32">
            <v>2</v>
          </cell>
          <cell r="E32" t="str">
            <v>float</v>
          </cell>
          <cell r="F32" t="str">
            <v>30/360</v>
          </cell>
          <cell r="G32" t="str">
            <v>Европейский банк реконструкции и развития</v>
          </cell>
          <cell r="H32" t="str">
            <v>инфляция + 0,75% (11-6 / 5-12)</v>
          </cell>
          <cell r="I32"/>
          <cell r="K32"/>
          <cell r="L32"/>
        </row>
        <row r="33">
          <cell r="A33" t="str">
            <v>XS2027948582</v>
          </cell>
          <cell r="B33">
            <v>46586</v>
          </cell>
          <cell r="C33">
            <v>9.9600000000000008E-2</v>
          </cell>
          <cell r="D33">
            <v>2</v>
          </cell>
          <cell r="E33" t="str">
            <v>float</v>
          </cell>
          <cell r="F33" t="str">
            <v>30/360</v>
          </cell>
          <cell r="G33" t="str">
            <v>Европейский банк реконструкции и развития</v>
          </cell>
          <cell r="H33" t="str">
            <v>инфляция + 0,5% (6-1 / 12-7)</v>
          </cell>
          <cell r="I33"/>
          <cell r="K33"/>
          <cell r="L33"/>
        </row>
        <row r="34">
          <cell r="A34" t="str">
            <v>XS2093242530</v>
          </cell>
          <cell r="B34">
            <v>46740</v>
          </cell>
          <cell r="C34">
            <v>9.8400000000000001E-2</v>
          </cell>
          <cell r="D34">
            <v>2</v>
          </cell>
          <cell r="E34" t="str">
            <v>float</v>
          </cell>
          <cell r="F34" t="str">
            <v>30/360</v>
          </cell>
          <cell r="G34" t="str">
            <v>Европейский банк реконструкции и развития</v>
          </cell>
          <cell r="H34" t="str">
            <v>инфляция + 0,75% (11-6 / 5-12)</v>
          </cell>
          <cell r="I34"/>
          <cell r="K34"/>
          <cell r="L34"/>
        </row>
        <row r="35">
          <cell r="A35" t="str">
            <v>XS2214305737</v>
          </cell>
          <cell r="B35">
            <v>46984</v>
          </cell>
          <cell r="C35">
            <v>0.11377000000000001</v>
          </cell>
          <cell r="D35">
            <v>2</v>
          </cell>
          <cell r="E35" t="str">
            <v>float</v>
          </cell>
          <cell r="F35" t="str">
            <v>30/360</v>
          </cell>
          <cell r="G35" t="str">
            <v>Европейский банк реконструкции и развития</v>
          </cell>
          <cell r="H35" t="str">
            <v>инфляция + 1% (7-2 / 1-8)</v>
          </cell>
          <cell r="I35">
            <v>0.24101900341042137</v>
          </cell>
          <cell r="K35"/>
          <cell r="L35"/>
        </row>
        <row r="36">
          <cell r="A36" t="str">
            <v>XS2264979431</v>
          </cell>
          <cell r="B36">
            <v>47460</v>
          </cell>
          <cell r="C36">
            <v>0.10339999999999999</v>
          </cell>
          <cell r="D36">
            <v>2</v>
          </cell>
          <cell r="E36" t="str">
            <v>float</v>
          </cell>
          <cell r="F36" t="str">
            <v>30/360</v>
          </cell>
          <cell r="G36" t="str">
            <v>Европейский банк реконструкции и развития</v>
          </cell>
          <cell r="H36" t="str">
            <v>инфляция + 1% (11-6 / 5-12)</v>
          </cell>
          <cell r="I36"/>
          <cell r="K36"/>
          <cell r="L36"/>
        </row>
        <row r="37">
          <cell r="A37" t="str">
            <v>KZ2D00010766</v>
          </cell>
          <cell r="B37">
            <v>46566</v>
          </cell>
          <cell r="C37">
            <v>0.14199999999999999</v>
          </cell>
          <cell r="D37">
            <v>1</v>
          </cell>
          <cell r="E37" t="str">
            <v>fix</v>
          </cell>
          <cell r="F37" t="str">
            <v>30/360</v>
          </cell>
          <cell r="G37" t="str">
            <v>Евразийский банк развития</v>
          </cell>
          <cell r="H37"/>
          <cell r="I37"/>
          <cell r="K37"/>
          <cell r="L37"/>
        </row>
        <row r="38">
          <cell r="I38"/>
          <cell r="K38"/>
          <cell r="L38"/>
        </row>
        <row r="39">
          <cell r="I39"/>
          <cell r="L39"/>
        </row>
        <row r="40">
          <cell r="A40" t="str">
            <v>Квазигосударственные</v>
          </cell>
          <cell r="B40"/>
          <cell r="C40"/>
          <cell r="D40"/>
          <cell r="E40"/>
          <cell r="F40"/>
          <cell r="G40"/>
          <cell r="H40"/>
          <cell r="I40"/>
          <cell r="L40"/>
        </row>
        <row r="41">
          <cell r="A41" t="str">
            <v>KZ2C00003903</v>
          </cell>
          <cell r="B41">
            <v>44712</v>
          </cell>
          <cell r="C41">
            <v>0.105</v>
          </cell>
          <cell r="D41">
            <v>2</v>
          </cell>
          <cell r="E41" t="str">
            <v>fix</v>
          </cell>
          <cell r="F41" t="str">
            <v>30/360</v>
          </cell>
          <cell r="G41" t="str">
            <v>АО "Банк Развития Казахстана"</v>
          </cell>
          <cell r="I41"/>
        </row>
        <row r="42">
          <cell r="A42" t="str">
            <v>KZ2C00003911</v>
          </cell>
          <cell r="B42">
            <v>45449</v>
          </cell>
          <cell r="C42">
            <v>0.105</v>
          </cell>
          <cell r="D42">
            <v>2</v>
          </cell>
          <cell r="E42" t="str">
            <v>fix</v>
          </cell>
          <cell r="F42" t="str">
            <v>30/360</v>
          </cell>
          <cell r="G42" t="str">
            <v>АО "Банк Развития Казахстана"</v>
          </cell>
          <cell r="I42"/>
        </row>
        <row r="43">
          <cell r="A43" t="str">
            <v>KZ2C00005718</v>
          </cell>
          <cell r="B43">
            <v>48940</v>
          </cell>
          <cell r="C43">
            <v>9.5000000000000001E-2</v>
          </cell>
          <cell r="D43">
            <v>2</v>
          </cell>
          <cell r="E43" t="str">
            <v>fix</v>
          </cell>
          <cell r="F43" t="str">
            <v>30/360</v>
          </cell>
          <cell r="G43" t="str">
            <v>АО "Национальный управляющий холдинг "Байтерек"</v>
          </cell>
          <cell r="I43"/>
        </row>
        <row r="44">
          <cell r="A44" t="str">
            <v>KZ2C00002319</v>
          </cell>
          <cell r="B44">
            <v>46602</v>
          </cell>
          <cell r="C44">
            <v>0.105</v>
          </cell>
          <cell r="D44">
            <v>2</v>
          </cell>
          <cell r="E44" t="str">
            <v>fix</v>
          </cell>
          <cell r="F44" t="str">
            <v>30/360</v>
          </cell>
          <cell r="G44" t="str">
            <v>АО "Фонд национального благосостояния "Самрук-Қазына"</v>
          </cell>
          <cell r="I44"/>
        </row>
        <row r="45">
          <cell r="A45" t="str">
            <v>KZ2C00003978</v>
          </cell>
          <cell r="B45">
            <v>48455</v>
          </cell>
          <cell r="C45">
            <v>0.115</v>
          </cell>
          <cell r="D45">
            <v>1</v>
          </cell>
          <cell r="E45" t="str">
            <v>fix</v>
          </cell>
          <cell r="F45" t="str">
            <v>30/360</v>
          </cell>
          <cell r="G45" t="str">
            <v>АО "KEGOC"</v>
          </cell>
          <cell r="I45"/>
        </row>
        <row r="46">
          <cell r="A46" t="str">
            <v>KZ2C00004323</v>
          </cell>
          <cell r="B46">
            <v>46933</v>
          </cell>
          <cell r="C46">
            <v>0.17249999999999999</v>
          </cell>
          <cell r="D46">
            <v>1</v>
          </cell>
          <cell r="E46" t="str">
            <v>float</v>
          </cell>
          <cell r="F46" t="str">
            <v>30/360</v>
          </cell>
          <cell r="G46" t="str">
            <v>АО "Национальный управляющий холдинг "Байтерек"</v>
          </cell>
          <cell r="H46" t="str">
            <v>0,5% + базовая ставка НБРК</v>
          </cell>
          <cell r="I46"/>
        </row>
        <row r="47">
          <cell r="A47" t="str">
            <v>KZ2C00005718</v>
          </cell>
          <cell r="B47">
            <v>48940</v>
          </cell>
          <cell r="C47">
            <v>9.5000000000000001E-2</v>
          </cell>
          <cell r="D47">
            <v>2</v>
          </cell>
          <cell r="E47" t="str">
            <v>fix</v>
          </cell>
          <cell r="F47" t="str">
            <v>30/360</v>
          </cell>
          <cell r="G47" t="str">
            <v>АО "Национальный управляющий холдинг "Байтерек"</v>
          </cell>
          <cell r="I47"/>
        </row>
        <row r="48">
          <cell r="A48" t="str">
            <v>KZ2C00005718</v>
          </cell>
          <cell r="B48">
            <v>48940</v>
          </cell>
          <cell r="C48">
            <v>9.5000000000000001E-2</v>
          </cell>
          <cell r="D48">
            <v>2</v>
          </cell>
          <cell r="E48" t="str">
            <v>fix</v>
          </cell>
          <cell r="F48" t="str">
            <v>30/360</v>
          </cell>
          <cell r="G48" t="str">
            <v>АО "Национальный управляющий холдинг "Байтерек"</v>
          </cell>
          <cell r="I48"/>
        </row>
        <row r="49">
          <cell r="A49" t="str">
            <v>KZ2C00003978</v>
          </cell>
          <cell r="B49">
            <v>48455</v>
          </cell>
          <cell r="C49">
            <v>0.115</v>
          </cell>
          <cell r="D49">
            <v>1</v>
          </cell>
          <cell r="E49" t="str">
            <v>fix</v>
          </cell>
          <cell r="F49" t="str">
            <v>30/360</v>
          </cell>
          <cell r="G49" t="str">
            <v>АО "KEGOC"</v>
          </cell>
          <cell r="I49"/>
        </row>
        <row r="50">
          <cell r="A50" t="str">
            <v>KZ2C00005718</v>
          </cell>
          <cell r="B50">
            <v>48940</v>
          </cell>
          <cell r="C50">
            <v>9.5000000000000001E-2</v>
          </cell>
          <cell r="D50">
            <v>2</v>
          </cell>
          <cell r="E50" t="str">
            <v>fix</v>
          </cell>
          <cell r="F50" t="str">
            <v>30/360</v>
          </cell>
          <cell r="G50" t="str">
            <v>АО "Национальный управляющий холдинг "Байтерек"</v>
          </cell>
          <cell r="I50"/>
        </row>
        <row r="51">
          <cell r="A51" t="str">
            <v>KZ2C00005908</v>
          </cell>
          <cell r="B51">
            <v>46191</v>
          </cell>
          <cell r="C51">
            <v>0.1</v>
          </cell>
          <cell r="D51">
            <v>2</v>
          </cell>
          <cell r="E51" t="str">
            <v>fix</v>
          </cell>
          <cell r="F51" t="str">
            <v>30/360</v>
          </cell>
          <cell r="G51" t="str">
            <v>АО "Банк Развития Казахстана"</v>
          </cell>
          <cell r="I51"/>
        </row>
        <row r="52">
          <cell r="A52" t="str">
            <v>KZ2C00006088</v>
          </cell>
          <cell r="B52">
            <v>47297</v>
          </cell>
          <cell r="C52">
            <v>9.5000000000000001E-2</v>
          </cell>
          <cell r="D52">
            <v>2</v>
          </cell>
          <cell r="E52" t="str">
            <v>fix</v>
          </cell>
          <cell r="F52" t="str">
            <v>30/360</v>
          </cell>
          <cell r="G52" t="str">
            <v>АО "Национальный управляющий холдинг "Байтерек"</v>
          </cell>
          <cell r="I52"/>
        </row>
        <row r="53">
          <cell r="A53" t="str">
            <v>KZ2C00005916</v>
          </cell>
          <cell r="B53">
            <v>45489</v>
          </cell>
          <cell r="C53">
            <v>0.1027</v>
          </cell>
          <cell r="D53">
            <v>2</v>
          </cell>
          <cell r="E53" t="str">
            <v>fix</v>
          </cell>
          <cell r="F53" t="str">
            <v>30/360</v>
          </cell>
          <cell r="G53" t="str">
            <v>АО "Банк Развития Казахстана"</v>
          </cell>
          <cell r="I53"/>
        </row>
        <row r="54">
          <cell r="A54" t="str">
            <v>KZ2C00004133</v>
          </cell>
          <cell r="B54">
            <v>46220</v>
          </cell>
          <cell r="C54">
            <v>0.1027</v>
          </cell>
          <cell r="D54">
            <v>2</v>
          </cell>
          <cell r="E54" t="str">
            <v>fix</v>
          </cell>
          <cell r="F54" t="str">
            <v>30/360</v>
          </cell>
          <cell r="G54" t="str">
            <v>АО "Жилищный строительный сберегательный банк Казахстана"</v>
          </cell>
          <cell r="I54"/>
        </row>
        <row r="55">
          <cell r="A55" t="str">
            <v>KZ2C00006203</v>
          </cell>
          <cell r="B55">
            <v>47359</v>
          </cell>
          <cell r="C55">
            <v>9.7500000000000003E-2</v>
          </cell>
          <cell r="D55">
            <v>2</v>
          </cell>
          <cell r="E55" t="str">
            <v>fix</v>
          </cell>
          <cell r="F55" t="str">
            <v>30/360</v>
          </cell>
          <cell r="G55" t="str">
            <v>АО "Национальный управляющий холдинг "Байтерек"</v>
          </cell>
          <cell r="I55"/>
        </row>
        <row r="56">
          <cell r="A56" t="str">
            <v>KZ2C00005890</v>
          </cell>
          <cell r="B56">
            <v>49199</v>
          </cell>
          <cell r="C56">
            <v>0.115</v>
          </cell>
          <cell r="D56">
            <v>2</v>
          </cell>
          <cell r="E56" t="str">
            <v>fix</v>
          </cell>
          <cell r="F56" t="str">
            <v>30/360</v>
          </cell>
          <cell r="G56" t="str">
            <v>АО "Национальная компания "Қазақстан темір жолы"</v>
          </cell>
          <cell r="I56"/>
        </row>
        <row r="57">
          <cell r="A57" t="str">
            <v>KZ2C00005882</v>
          </cell>
          <cell r="B57">
            <v>49220</v>
          </cell>
          <cell r="C57">
            <v>0.115</v>
          </cell>
          <cell r="D57">
            <v>2</v>
          </cell>
          <cell r="E57" t="str">
            <v>fix</v>
          </cell>
          <cell r="F57" t="str">
            <v>30/360</v>
          </cell>
          <cell r="G57" t="str">
            <v>АО "Национальная компания "Қазақстан темір жолы"</v>
          </cell>
          <cell r="I57"/>
        </row>
        <row r="58">
          <cell r="A58" t="str">
            <v>KZ2C00005882</v>
          </cell>
          <cell r="B58">
            <v>49220</v>
          </cell>
          <cell r="C58">
            <v>0.115</v>
          </cell>
          <cell r="D58">
            <v>2</v>
          </cell>
          <cell r="E58" t="str">
            <v>fix</v>
          </cell>
          <cell r="F58" t="str">
            <v>30/360</v>
          </cell>
          <cell r="G58" t="str">
            <v>АО "Национальная компания "Қазақстан темір жолы"</v>
          </cell>
          <cell r="I58"/>
        </row>
        <row r="59">
          <cell r="A59" t="str">
            <v>KZ2C00005882</v>
          </cell>
          <cell r="B59">
            <v>49220</v>
          </cell>
          <cell r="C59">
            <v>0.115</v>
          </cell>
          <cell r="D59">
            <v>2</v>
          </cell>
          <cell r="E59" t="str">
            <v>fix</v>
          </cell>
          <cell r="F59" t="str">
            <v>30/360</v>
          </cell>
          <cell r="G59" t="str">
            <v>АО "Национальная компания "Қазақстан темір жолы"</v>
          </cell>
          <cell r="I59"/>
        </row>
        <row r="60">
          <cell r="A60" t="str">
            <v>KZ2C00004190</v>
          </cell>
          <cell r="B60">
            <v>47455</v>
          </cell>
          <cell r="C60">
            <v>0.11</v>
          </cell>
          <cell r="D60">
            <v>2</v>
          </cell>
          <cell r="E60" t="str">
            <v>fix</v>
          </cell>
          <cell r="F60" t="str">
            <v>30/360</v>
          </cell>
          <cell r="G60" t="str">
            <v>АО "Банк Развития Казахстана"</v>
          </cell>
          <cell r="I60"/>
        </row>
        <row r="61">
          <cell r="A61" t="str">
            <v>KZ2C00002335</v>
          </cell>
          <cell r="B61">
            <v>44305</v>
          </cell>
          <cell r="C61">
            <v>0.125</v>
          </cell>
          <cell r="D61">
            <v>1</v>
          </cell>
          <cell r="E61" t="str">
            <v>fix</v>
          </cell>
          <cell r="F61" t="str">
            <v>30/360</v>
          </cell>
          <cell r="G61" t="str">
            <v>АО "Фонд национального благосостояния "Самрук-Қазына"</v>
          </cell>
          <cell r="I61"/>
        </row>
        <row r="62">
          <cell r="A62" t="str">
            <v>KZ2C00002293</v>
          </cell>
          <cell r="B62">
            <v>44305</v>
          </cell>
          <cell r="C62">
            <v>0.125</v>
          </cell>
          <cell r="D62">
            <v>1</v>
          </cell>
          <cell r="E62" t="str">
            <v>fix</v>
          </cell>
          <cell r="F62" t="str">
            <v>30/360</v>
          </cell>
          <cell r="G62" t="str">
            <v>АО "Фонд национального благосостояния "Самрук-Қазына"</v>
          </cell>
          <cell r="I62"/>
        </row>
        <row r="63">
          <cell r="A63" t="str">
            <v>KZ2C00002343</v>
          </cell>
          <cell r="B63">
            <v>44305</v>
          </cell>
          <cell r="C63">
            <v>0.125</v>
          </cell>
          <cell r="D63">
            <v>1</v>
          </cell>
          <cell r="E63" t="str">
            <v>fix</v>
          </cell>
          <cell r="F63" t="str">
            <v>30/360</v>
          </cell>
          <cell r="G63" t="str">
            <v>АО "Фонд национального благосостояния "Самрук-Қазына"</v>
          </cell>
          <cell r="I63"/>
        </row>
        <row r="64">
          <cell r="A64" t="str">
            <v>KZ2C00002285</v>
          </cell>
          <cell r="B64">
            <v>44305</v>
          </cell>
          <cell r="C64">
            <v>0.125</v>
          </cell>
          <cell r="D64">
            <v>1</v>
          </cell>
          <cell r="E64" t="str">
            <v>fix</v>
          </cell>
          <cell r="F64" t="str">
            <v>30/360</v>
          </cell>
          <cell r="G64" t="str">
            <v>АО "Фонд национального благосостояния "Самрук-Қазына"</v>
          </cell>
          <cell r="I64"/>
        </row>
        <row r="65">
          <cell r="A65" t="str">
            <v>KZ2C00004273</v>
          </cell>
          <cell r="B65">
            <v>47652</v>
          </cell>
          <cell r="C65">
            <v>0.11</v>
          </cell>
          <cell r="D65">
            <v>2</v>
          </cell>
          <cell r="E65" t="str">
            <v>fix</v>
          </cell>
          <cell r="F65" t="str">
            <v>30/360</v>
          </cell>
          <cell r="G65" t="str">
            <v>АО "Банк Развития Казахстана"</v>
          </cell>
          <cell r="I65"/>
        </row>
        <row r="66">
          <cell r="A66" t="str">
            <v>KZ2C00007060</v>
          </cell>
          <cell r="B66">
            <v>46730</v>
          </cell>
          <cell r="C66">
            <v>0.113</v>
          </cell>
          <cell r="D66">
            <v>2</v>
          </cell>
          <cell r="E66" t="str">
            <v>fix</v>
          </cell>
          <cell r="F66" t="str">
            <v>30/360</v>
          </cell>
          <cell r="G66" t="str">
            <v>АО "Национальный управляющий холдинг "Байтерек"</v>
          </cell>
          <cell r="I66"/>
        </row>
        <row r="67">
          <cell r="A67" t="str">
            <v>KZ2C00007078</v>
          </cell>
          <cell r="B67">
            <v>47826</v>
          </cell>
          <cell r="C67">
            <v>0.113</v>
          </cell>
          <cell r="D67">
            <v>2</v>
          </cell>
          <cell r="E67" t="str">
            <v>fix</v>
          </cell>
          <cell r="F67" t="str">
            <v>30/360</v>
          </cell>
          <cell r="G67" t="str">
            <v>АО "Национальный управляющий холдинг "Байтерек"</v>
          </cell>
          <cell r="I67"/>
        </row>
        <row r="68">
          <cell r="A68" t="str">
            <v>KZ2C00007383</v>
          </cell>
          <cell r="B68">
            <v>47926</v>
          </cell>
          <cell r="C68">
            <v>0.11</v>
          </cell>
          <cell r="D68">
            <v>2</v>
          </cell>
          <cell r="E68" t="str">
            <v>fix</v>
          </cell>
          <cell r="F68" t="str">
            <v>30/360</v>
          </cell>
          <cell r="G68" t="str">
            <v>АО "Национальный управляющий холдинг "Байтерек"</v>
          </cell>
          <cell r="I68"/>
        </row>
        <row r="69">
          <cell r="A69" t="str">
            <v>KZ2C00007797</v>
          </cell>
          <cell r="B69">
            <v>50395</v>
          </cell>
          <cell r="C69">
            <v>0.03</v>
          </cell>
          <cell r="D69">
            <v>2</v>
          </cell>
          <cell r="E69" t="str">
            <v>float</v>
          </cell>
          <cell r="F69" t="str">
            <v>30/365</v>
          </cell>
          <cell r="G69" t="str">
            <v>АО "KEGOC"</v>
          </cell>
          <cell r="H69" t="str">
            <v>TONIA+3%</v>
          </cell>
          <cell r="I69"/>
        </row>
        <row r="70">
          <cell r="A70" t="str">
            <v>KZ2C00007326</v>
          </cell>
          <cell r="B70">
            <v>46795</v>
          </cell>
          <cell r="C70">
            <v>9.5000000000000001E-2</v>
          </cell>
          <cell r="D70">
            <v>1</v>
          </cell>
          <cell r="E70" t="str">
            <v>fix</v>
          </cell>
          <cell r="F70" t="str">
            <v>30/360</v>
          </cell>
          <cell r="G70" t="str">
            <v>АО "Казахстанский фонд устойчивости"</v>
          </cell>
          <cell r="I70"/>
        </row>
        <row r="71">
          <cell r="A71" t="str">
            <v>KZ2C00008944</v>
          </cell>
          <cell r="B71">
            <v>47503</v>
          </cell>
          <cell r="C71">
            <v>0.17169999999999999</v>
          </cell>
          <cell r="D71">
            <v>2</v>
          </cell>
          <cell r="E71" t="str">
            <v>float</v>
          </cell>
          <cell r="F71" t="str">
            <v>actual/365</v>
          </cell>
          <cell r="G71" t="str">
            <v>АО "Казахстанский фонд устойчивости"</v>
          </cell>
          <cell r="H71" t="str">
            <v>TONIA Compounded ((Tonia index End/Tonia Index Start - 1) * 365/DC)  +2,75%</v>
          </cell>
          <cell r="I71"/>
        </row>
        <row r="72">
          <cell r="A72" t="str">
            <v>KZ2C00008902</v>
          </cell>
          <cell r="B72">
            <v>45993</v>
          </cell>
          <cell r="C72">
            <v>0.15959999999999999</v>
          </cell>
          <cell r="D72">
            <v>2</v>
          </cell>
          <cell r="E72" t="str">
            <v>float</v>
          </cell>
          <cell r="F72" t="str">
            <v>actual/365</v>
          </cell>
          <cell r="G72" t="str">
            <v>АО "Казахстанский фонд устойчивости"</v>
          </cell>
          <cell r="H72" t="str">
            <v>2,3% + сложная процентная ставка TONIA</v>
          </cell>
          <cell r="I72"/>
        </row>
        <row r="73">
          <cell r="A73" t="str">
            <v>KZ2C00011237</v>
          </cell>
          <cell r="B73">
            <v>46933</v>
          </cell>
          <cell r="C73">
            <v>0.14050000000000001</v>
          </cell>
          <cell r="D73">
            <v>1</v>
          </cell>
          <cell r="E73" t="str">
            <v>float</v>
          </cell>
          <cell r="F73" t="str">
            <v>30/360</v>
          </cell>
          <cell r="G73" t="str">
            <v>АО "Национальный управляющий холдинг "Байтерек"</v>
          </cell>
          <cell r="H73" t="str">
            <v>0,5% + ставка рефинансирования НБ РК на момент фикса реестра</v>
          </cell>
          <cell r="I73"/>
        </row>
        <row r="74">
          <cell r="A74" t="str">
            <v>KZ2C00010577</v>
          </cell>
          <cell r="B74">
            <v>45863</v>
          </cell>
          <cell r="C74">
            <v>0.125</v>
          </cell>
          <cell r="D74">
            <v>1</v>
          </cell>
          <cell r="E74" t="str">
            <v>fix</v>
          </cell>
          <cell r="F74" t="str">
            <v>30/360</v>
          </cell>
          <cell r="G74" t="str">
            <v>АО "Казахстанский фонд устойчивости"</v>
          </cell>
          <cell r="H74" t="str">
            <v>Фикс</v>
          </cell>
          <cell r="I74"/>
        </row>
        <row r="75">
          <cell r="A75" t="str">
            <v>KZ2D00011863</v>
          </cell>
          <cell r="B75">
            <v>46633</v>
          </cell>
          <cell r="C75">
            <v>0.14299999999999999</v>
          </cell>
          <cell r="D75">
            <v>1</v>
          </cell>
          <cell r="E75" t="str">
            <v>fix</v>
          </cell>
          <cell r="F75" t="str">
            <v>30/360</v>
          </cell>
          <cell r="G75" t="str">
            <v>Евразийский Банк Развития</v>
          </cell>
          <cell r="H75" t="str">
            <v>Фикс</v>
          </cell>
          <cell r="I75"/>
        </row>
        <row r="76">
          <cell r="A76" t="str">
            <v>KZ2C00011245</v>
          </cell>
          <cell r="B76">
            <v>45910</v>
          </cell>
          <cell r="C76">
            <v>0.13869999999999999</v>
          </cell>
          <cell r="D76">
            <v>2</v>
          </cell>
          <cell r="E76" t="str">
            <v>fix</v>
          </cell>
          <cell r="F76" t="str">
            <v>30/360</v>
          </cell>
          <cell r="G76" t="str">
            <v>АО "Национальный управляющий холдинг "Байтерек"</v>
          </cell>
          <cell r="H76" t="str">
            <v>Фикс</v>
          </cell>
          <cell r="I76"/>
        </row>
        <row r="77">
          <cell r="A77" t="str">
            <v>МЕУЖКАМ</v>
          </cell>
          <cell r="B77">
            <v>20.350987420400713</v>
          </cell>
          <cell r="C77"/>
          <cell r="D77"/>
          <cell r="E77"/>
          <cell r="F77"/>
          <cell r="G77"/>
          <cell r="H77"/>
          <cell r="I77"/>
        </row>
        <row r="78">
          <cell r="A78" t="str">
            <v>KZKA00000686</v>
          </cell>
          <cell r="B78">
            <v>44955</v>
          </cell>
          <cell r="C78">
            <v>0.20450987420400715</v>
          </cell>
          <cell r="D78">
            <v>1</v>
          </cell>
          <cell r="E78" t="str">
            <v>float</v>
          </cell>
          <cell r="F78" t="str">
            <v>30/360</v>
          </cell>
          <cell r="G78"/>
          <cell r="H78">
            <v>0.1</v>
          </cell>
          <cell r="I78"/>
        </row>
        <row r="79">
          <cell r="A79" t="str">
            <v>KZKA00000561</v>
          </cell>
          <cell r="B79">
            <v>44135</v>
          </cell>
          <cell r="C79">
            <v>0.20360987420400714</v>
          </cell>
          <cell r="D79">
            <v>1</v>
          </cell>
          <cell r="E79" t="str">
            <v>float</v>
          </cell>
          <cell r="F79" t="str">
            <v>30/360</v>
          </cell>
          <cell r="G79"/>
          <cell r="H79">
            <v>0.01</v>
          </cell>
          <cell r="I79"/>
        </row>
        <row r="80">
          <cell r="A80" t="str">
            <v>KZKA00000595</v>
          </cell>
          <cell r="B80">
            <v>44375</v>
          </cell>
          <cell r="C80">
            <v>0.20360987420400714</v>
          </cell>
          <cell r="D80">
            <v>1</v>
          </cell>
          <cell r="E80" t="str">
            <v>float</v>
          </cell>
          <cell r="F80" t="str">
            <v>30/360</v>
          </cell>
          <cell r="G80"/>
          <cell r="H80">
            <v>0.01</v>
          </cell>
          <cell r="I80"/>
        </row>
        <row r="81">
          <cell r="A81" t="str">
            <v>KZKA00000629</v>
          </cell>
          <cell r="B81">
            <v>44864</v>
          </cell>
          <cell r="C81">
            <v>0.20360987420400714</v>
          </cell>
          <cell r="D81">
            <v>1</v>
          </cell>
          <cell r="E81" t="str">
            <v>float</v>
          </cell>
          <cell r="F81" t="str">
            <v>30/360</v>
          </cell>
          <cell r="G81"/>
          <cell r="H81">
            <v>0.01</v>
          </cell>
          <cell r="I81"/>
        </row>
        <row r="82">
          <cell r="A82" t="str">
            <v>KZKA00000389</v>
          </cell>
          <cell r="B82">
            <v>44252</v>
          </cell>
          <cell r="C82">
            <v>0.20360987420400714</v>
          </cell>
          <cell r="D82">
            <v>1</v>
          </cell>
          <cell r="E82" t="str">
            <v>float</v>
          </cell>
          <cell r="F82" t="str">
            <v>30/360</v>
          </cell>
          <cell r="G82"/>
          <cell r="H82">
            <v>0.01</v>
          </cell>
          <cell r="I82"/>
        </row>
        <row r="83">
          <cell r="A83" t="str">
            <v>KZKA00000603</v>
          </cell>
          <cell r="B83">
            <v>45137</v>
          </cell>
          <cell r="C83">
            <v>0.20360987420400714</v>
          </cell>
          <cell r="D83">
            <v>1</v>
          </cell>
          <cell r="E83" t="str">
            <v>float</v>
          </cell>
          <cell r="F83" t="str">
            <v>30/360</v>
          </cell>
          <cell r="G83"/>
          <cell r="H83">
            <v>0.01</v>
          </cell>
          <cell r="I83"/>
        </row>
        <row r="84">
          <cell r="A84" t="str">
            <v>KZKA00000413</v>
          </cell>
          <cell r="B84">
            <v>44711</v>
          </cell>
          <cell r="C84">
            <v>0.20360987420400714</v>
          </cell>
          <cell r="D84">
            <v>1</v>
          </cell>
          <cell r="E84" t="str">
            <v>float</v>
          </cell>
          <cell r="F84" t="str">
            <v>30/360</v>
          </cell>
          <cell r="G84"/>
          <cell r="H84">
            <v>0.01</v>
          </cell>
          <cell r="I84"/>
        </row>
        <row r="85">
          <cell r="A85" t="str">
            <v>KZKA00000579</v>
          </cell>
          <cell r="B85">
            <v>45411</v>
          </cell>
          <cell r="C85">
            <v>0.20360987420400714</v>
          </cell>
          <cell r="D85">
            <v>1</v>
          </cell>
          <cell r="E85" t="str">
            <v>float</v>
          </cell>
          <cell r="F85" t="str">
            <v>30/360</v>
          </cell>
          <cell r="G85"/>
          <cell r="H85">
            <v>0.01</v>
          </cell>
          <cell r="I85"/>
        </row>
        <row r="86">
          <cell r="A86" t="str">
            <v>KZKA00000462</v>
          </cell>
          <cell r="B86">
            <v>44894</v>
          </cell>
          <cell r="C86">
            <v>0.20360987420400714</v>
          </cell>
          <cell r="D86">
            <v>1</v>
          </cell>
          <cell r="E86" t="str">
            <v>float</v>
          </cell>
          <cell r="F86" t="str">
            <v>30/360</v>
          </cell>
          <cell r="G86"/>
          <cell r="H86">
            <v>0.01</v>
          </cell>
          <cell r="I86"/>
        </row>
        <row r="87">
          <cell r="A87" t="str">
            <v>KZKA00000652</v>
          </cell>
          <cell r="B87">
            <v>45687</v>
          </cell>
          <cell r="C87">
            <v>0.20450987420400715</v>
          </cell>
          <cell r="D87">
            <v>1</v>
          </cell>
          <cell r="E87" t="str">
            <v>float</v>
          </cell>
          <cell r="F87" t="str">
            <v>30/360</v>
          </cell>
          <cell r="G87"/>
          <cell r="H87">
            <v>0.1</v>
          </cell>
          <cell r="I87"/>
        </row>
        <row r="88">
          <cell r="A88" t="str">
            <v>KZKA00000405</v>
          </cell>
          <cell r="B88">
            <v>45044</v>
          </cell>
          <cell r="C88">
            <v>0.20360987420400714</v>
          </cell>
          <cell r="D88">
            <v>1</v>
          </cell>
          <cell r="E88" t="str">
            <v>float</v>
          </cell>
          <cell r="F88" t="str">
            <v>30/360</v>
          </cell>
          <cell r="G88"/>
          <cell r="H88">
            <v>0.01</v>
          </cell>
          <cell r="I88"/>
        </row>
        <row r="89">
          <cell r="A89" t="str">
            <v>KZKA00000553</v>
          </cell>
          <cell r="B89">
            <v>45577</v>
          </cell>
          <cell r="C89">
            <v>0.20360987420400714</v>
          </cell>
          <cell r="D89">
            <v>1</v>
          </cell>
          <cell r="E89" t="str">
            <v>float</v>
          </cell>
          <cell r="F89" t="str">
            <v>30/360</v>
          </cell>
          <cell r="G89"/>
          <cell r="H89">
            <v>0.01</v>
          </cell>
          <cell r="I89"/>
        </row>
        <row r="90">
          <cell r="A90" t="str">
            <v>KZKA00000637</v>
          </cell>
          <cell r="B90">
            <v>45988</v>
          </cell>
          <cell r="C90">
            <v>0.20360987420400714</v>
          </cell>
          <cell r="D90">
            <v>1</v>
          </cell>
          <cell r="E90" t="str">
            <v>float</v>
          </cell>
          <cell r="F90" t="str">
            <v>30/360</v>
          </cell>
          <cell r="G90"/>
          <cell r="H90">
            <v>0.01</v>
          </cell>
          <cell r="I90"/>
        </row>
        <row r="91">
          <cell r="A91" t="str">
            <v>KZKA00000504</v>
          </cell>
          <cell r="B91">
            <v>45774</v>
          </cell>
          <cell r="C91">
            <v>0.20360987420400714</v>
          </cell>
          <cell r="D91">
            <v>1</v>
          </cell>
          <cell r="E91" t="str">
            <v>float</v>
          </cell>
          <cell r="F91" t="str">
            <v>30/360</v>
          </cell>
          <cell r="G91"/>
          <cell r="H91">
            <v>0.01</v>
          </cell>
          <cell r="I91"/>
        </row>
        <row r="92">
          <cell r="A92" t="str">
            <v>KZKA00000611</v>
          </cell>
          <cell r="B92">
            <v>46295</v>
          </cell>
          <cell r="C92">
            <v>0.20360987420400714</v>
          </cell>
          <cell r="D92">
            <v>1</v>
          </cell>
          <cell r="E92" t="str">
            <v>float</v>
          </cell>
          <cell r="F92" t="str">
            <v>30/360</v>
          </cell>
          <cell r="G92"/>
          <cell r="H92">
            <v>0.01</v>
          </cell>
          <cell r="I92"/>
        </row>
        <row r="93">
          <cell r="A93" t="str">
            <v>KZKA00000496</v>
          </cell>
          <cell r="B93">
            <v>46110</v>
          </cell>
          <cell r="C93">
            <v>0.20360987420400714</v>
          </cell>
          <cell r="D93">
            <v>1</v>
          </cell>
          <cell r="E93" t="str">
            <v>float</v>
          </cell>
          <cell r="F93" t="str">
            <v>30/360</v>
          </cell>
          <cell r="G93"/>
          <cell r="H93">
            <v>0.01</v>
          </cell>
          <cell r="I93"/>
        </row>
        <row r="94">
          <cell r="A94" t="str">
            <v>KZKA00000363</v>
          </cell>
          <cell r="B94">
            <v>45958</v>
          </cell>
          <cell r="C94">
            <v>0.20360987420400714</v>
          </cell>
          <cell r="D94">
            <v>1</v>
          </cell>
          <cell r="E94" t="str">
            <v>float</v>
          </cell>
          <cell r="F94" t="str">
            <v>30/360</v>
          </cell>
          <cell r="G94"/>
          <cell r="H94">
            <v>0.01</v>
          </cell>
          <cell r="I94"/>
        </row>
        <row r="95">
          <cell r="A95" t="str">
            <v>KZKA00000645</v>
          </cell>
          <cell r="B95">
            <v>47100</v>
          </cell>
          <cell r="C95">
            <v>0.20450987420400715</v>
          </cell>
          <cell r="D95">
            <v>1</v>
          </cell>
          <cell r="E95" t="str">
            <v>float</v>
          </cell>
          <cell r="F95" t="str">
            <v>30/360</v>
          </cell>
          <cell r="G95"/>
          <cell r="H95">
            <v>0.1</v>
          </cell>
          <cell r="I95"/>
        </row>
        <row r="96">
          <cell r="A96" t="str">
            <v>KZKA00000314</v>
          </cell>
          <cell r="B96">
            <v>46170</v>
          </cell>
          <cell r="C96">
            <v>0.20360987420400714</v>
          </cell>
          <cell r="D96">
            <v>1</v>
          </cell>
          <cell r="E96" t="str">
            <v>float</v>
          </cell>
          <cell r="F96" t="str">
            <v>30/360</v>
          </cell>
          <cell r="G96"/>
          <cell r="H96">
            <v>0.01</v>
          </cell>
          <cell r="I96"/>
        </row>
        <row r="97">
          <cell r="A97" t="str">
            <v>KZKA00000660</v>
          </cell>
          <cell r="B97">
            <v>47538</v>
          </cell>
          <cell r="C97">
            <v>0.20450987420400715</v>
          </cell>
          <cell r="D97">
            <v>1</v>
          </cell>
          <cell r="E97" t="str">
            <v>float</v>
          </cell>
          <cell r="F97" t="str">
            <v>30/360</v>
          </cell>
          <cell r="G97"/>
          <cell r="H97">
            <v>0.1</v>
          </cell>
          <cell r="I97"/>
        </row>
        <row r="98">
          <cell r="A98" t="str">
            <v>KZKA00000199</v>
          </cell>
          <cell r="B98">
            <v>46170</v>
          </cell>
          <cell r="C98">
            <v>0.20360987420400714</v>
          </cell>
          <cell r="D98">
            <v>1</v>
          </cell>
          <cell r="E98" t="str">
            <v>float</v>
          </cell>
          <cell r="F98" t="str">
            <v>30/360</v>
          </cell>
          <cell r="G98"/>
          <cell r="H98">
            <v>0.01</v>
          </cell>
          <cell r="I98"/>
        </row>
        <row r="99">
          <cell r="A99" t="str">
            <v>KZKA00000215</v>
          </cell>
          <cell r="B99">
            <v>46233</v>
          </cell>
          <cell r="C99">
            <v>0.20360987420400714</v>
          </cell>
          <cell r="D99">
            <v>1</v>
          </cell>
          <cell r="E99" t="str">
            <v>float</v>
          </cell>
          <cell r="F99" t="str">
            <v>30/360</v>
          </cell>
          <cell r="G99"/>
          <cell r="H99">
            <v>0.01</v>
          </cell>
          <cell r="I99"/>
        </row>
        <row r="100">
          <cell r="A100" t="str">
            <v>KZKA00000330</v>
          </cell>
          <cell r="B100">
            <v>46597</v>
          </cell>
          <cell r="C100">
            <v>0.20360987420400714</v>
          </cell>
          <cell r="D100">
            <v>1</v>
          </cell>
          <cell r="E100" t="str">
            <v>float</v>
          </cell>
          <cell r="F100" t="str">
            <v>30/360</v>
          </cell>
          <cell r="G100"/>
          <cell r="H100">
            <v>0.01</v>
          </cell>
          <cell r="I100"/>
        </row>
        <row r="101">
          <cell r="A101" t="str">
            <v>KZKA00000207</v>
          </cell>
          <cell r="B101">
            <v>46567</v>
          </cell>
          <cell r="C101">
            <v>0.20360987420400714</v>
          </cell>
          <cell r="D101">
            <v>1</v>
          </cell>
          <cell r="E101" t="str">
            <v>float</v>
          </cell>
          <cell r="F101" t="str">
            <v>30/360</v>
          </cell>
          <cell r="G101"/>
          <cell r="H101">
            <v>0.01</v>
          </cell>
          <cell r="I101"/>
        </row>
        <row r="102">
          <cell r="A102" t="str">
            <v>KZKA00000264</v>
          </cell>
          <cell r="B102">
            <v>47117</v>
          </cell>
          <cell r="C102">
            <v>0.20360987420400714</v>
          </cell>
          <cell r="D102">
            <v>1</v>
          </cell>
          <cell r="E102" t="str">
            <v>float</v>
          </cell>
          <cell r="F102" t="str">
            <v>30/360</v>
          </cell>
          <cell r="G102"/>
          <cell r="H102">
            <v>0.01</v>
          </cell>
          <cell r="I102"/>
        </row>
        <row r="103">
          <cell r="A103" t="str">
            <v>KZKA00000322</v>
          </cell>
          <cell r="B103">
            <v>47298</v>
          </cell>
          <cell r="C103">
            <v>0.20360987420400714</v>
          </cell>
          <cell r="D103">
            <v>1</v>
          </cell>
          <cell r="E103" t="str">
            <v>float</v>
          </cell>
          <cell r="F103" t="str">
            <v>30/360</v>
          </cell>
          <cell r="G103"/>
          <cell r="H103">
            <v>0.01</v>
          </cell>
          <cell r="I103"/>
        </row>
        <row r="104">
          <cell r="A104" t="str">
            <v>KZKA00000454</v>
          </cell>
          <cell r="B104">
            <v>47755</v>
          </cell>
          <cell r="C104">
            <v>0.20360987420400714</v>
          </cell>
          <cell r="D104">
            <v>1</v>
          </cell>
          <cell r="E104" t="str">
            <v>float</v>
          </cell>
          <cell r="F104" t="str">
            <v>30/360</v>
          </cell>
          <cell r="G104"/>
          <cell r="H104">
            <v>0.01</v>
          </cell>
          <cell r="I104"/>
        </row>
        <row r="105">
          <cell r="B105"/>
          <cell r="F105"/>
          <cell r="I105"/>
        </row>
        <row r="106">
          <cell r="A106" t="str">
            <v>Министерство финансов Республики Казахстан</v>
          </cell>
          <cell r="B106"/>
          <cell r="C106"/>
          <cell r="D106"/>
          <cell r="E106"/>
          <cell r="F106"/>
          <cell r="G106"/>
          <cell r="H106"/>
          <cell r="I106"/>
        </row>
        <row r="107">
          <cell r="A107" t="str">
            <v>KZKD00000519</v>
          </cell>
          <cell r="B107">
            <v>44551</v>
          </cell>
          <cell r="C107">
            <v>5.2999999999999999E-2</v>
          </cell>
          <cell r="D107">
            <v>1</v>
          </cell>
          <cell r="E107" t="str">
            <v>fix</v>
          </cell>
          <cell r="F107" t="str">
            <v>30/360</v>
          </cell>
          <cell r="H107"/>
          <cell r="I107"/>
        </row>
        <row r="108">
          <cell r="A108" t="str">
            <v>KZKD00000527</v>
          </cell>
          <cell r="B108" t="str">
            <v>19.03.2022</v>
          </cell>
          <cell r="C108">
            <v>5.2999999999999999E-2</v>
          </cell>
          <cell r="D108">
            <v>1</v>
          </cell>
          <cell r="E108" t="str">
            <v>fix</v>
          </cell>
          <cell r="F108" t="str">
            <v>30/360</v>
          </cell>
          <cell r="H108"/>
          <cell r="I108"/>
        </row>
        <row r="109">
          <cell r="A109" t="str">
            <v>KZKD00000360</v>
          </cell>
          <cell r="B109" t="str">
            <v>25.03.2022</v>
          </cell>
          <cell r="C109">
            <v>5.5999999999999994E-2</v>
          </cell>
          <cell r="D109">
            <v>1</v>
          </cell>
          <cell r="E109" t="str">
            <v>fix</v>
          </cell>
          <cell r="F109" t="str">
            <v>30/360</v>
          </cell>
          <cell r="H109"/>
          <cell r="I109"/>
        </row>
        <row r="110">
          <cell r="A110" t="str">
            <v>KZKD00000568</v>
          </cell>
          <cell r="B110" t="str">
            <v>15.05.2023</v>
          </cell>
          <cell r="C110">
            <v>0.05</v>
          </cell>
          <cell r="D110">
            <v>1</v>
          </cell>
          <cell r="E110" t="str">
            <v>fix</v>
          </cell>
          <cell r="F110" t="str">
            <v>30/360</v>
          </cell>
          <cell r="H110"/>
          <cell r="I110"/>
        </row>
        <row r="111">
          <cell r="A111" t="str">
            <v>KZKD00000378</v>
          </cell>
          <cell r="B111" t="str">
            <v>26.04.2023</v>
          </cell>
          <cell r="C111">
            <v>5.2999999999999999E-2</v>
          </cell>
          <cell r="D111">
            <v>1</v>
          </cell>
          <cell r="E111" t="str">
            <v>fix</v>
          </cell>
          <cell r="F111" t="str">
            <v>30/360</v>
          </cell>
          <cell r="H111"/>
          <cell r="I111"/>
        </row>
        <row r="112">
          <cell r="A112" t="str">
            <v>KZKD00000428</v>
          </cell>
          <cell r="B112" t="str">
            <v>20.07.2023</v>
          </cell>
          <cell r="C112">
            <v>4.9699999999999994E-2</v>
          </cell>
          <cell r="D112">
            <v>1</v>
          </cell>
          <cell r="E112" t="str">
            <v>fix</v>
          </cell>
          <cell r="F112" t="str">
            <v>30/360</v>
          </cell>
          <cell r="H112"/>
          <cell r="I112"/>
        </row>
        <row r="113">
          <cell r="A113" t="str">
            <v>KZKD00000238</v>
          </cell>
          <cell r="B113" t="str">
            <v>11.12.2022</v>
          </cell>
          <cell r="C113">
            <v>6.8000000000000005E-2</v>
          </cell>
          <cell r="D113">
            <v>1</v>
          </cell>
          <cell r="E113" t="str">
            <v>fix</v>
          </cell>
          <cell r="F113" t="str">
            <v>30/360</v>
          </cell>
          <cell r="H113"/>
          <cell r="I113"/>
        </row>
        <row r="114">
          <cell r="A114" t="str">
            <v>KZKD00000345</v>
          </cell>
          <cell r="B114" t="str">
            <v>25.01.2024</v>
          </cell>
          <cell r="C114">
            <v>5.1500000000000004E-2</v>
          </cell>
          <cell r="D114">
            <v>1</v>
          </cell>
          <cell r="E114" t="str">
            <v>fix</v>
          </cell>
          <cell r="F114" t="str">
            <v>30/360</v>
          </cell>
          <cell r="H114"/>
          <cell r="I114"/>
        </row>
        <row r="115">
          <cell r="A115" t="str">
            <v>KZKD00000451</v>
          </cell>
          <cell r="B115" t="str">
            <v>21.09.2024</v>
          </cell>
          <cell r="C115">
            <v>0.05</v>
          </cell>
          <cell r="D115">
            <v>1</v>
          </cell>
          <cell r="E115" t="str">
            <v>fix</v>
          </cell>
          <cell r="F115" t="str">
            <v>30/360</v>
          </cell>
          <cell r="H115"/>
          <cell r="I115"/>
        </row>
        <row r="116">
          <cell r="A116" t="str">
            <v>KZKD00000469</v>
          </cell>
          <cell r="B116" t="str">
            <v>03.10.2025</v>
          </cell>
          <cell r="C116">
            <v>5.1500000000000004E-2</v>
          </cell>
          <cell r="D116">
            <v>1</v>
          </cell>
          <cell r="E116" t="str">
            <v>fix</v>
          </cell>
          <cell r="F116" t="str">
            <v>30/360</v>
          </cell>
          <cell r="H116"/>
          <cell r="I116"/>
        </row>
        <row r="117">
          <cell r="A117" t="str">
            <v>KZKD00000485</v>
          </cell>
          <cell r="B117" t="str">
            <v>16.11.2025</v>
          </cell>
          <cell r="C117">
            <v>0.05</v>
          </cell>
          <cell r="D117">
            <v>1</v>
          </cell>
          <cell r="E117" t="str">
            <v>fix</v>
          </cell>
          <cell r="F117" t="str">
            <v>30/360</v>
          </cell>
          <cell r="H117"/>
          <cell r="I117"/>
        </row>
        <row r="118">
          <cell r="A118" t="str">
            <v>KZKD00000139</v>
          </cell>
          <cell r="B118" t="str">
            <v>24.06.2024</v>
          </cell>
          <cell r="C118">
            <v>7.6499999999999999E-2</v>
          </cell>
          <cell r="D118">
            <v>1</v>
          </cell>
          <cell r="E118" t="str">
            <v>fix</v>
          </cell>
          <cell r="F118" t="str">
            <v>30/360</v>
          </cell>
          <cell r="H118"/>
          <cell r="I118"/>
        </row>
        <row r="119">
          <cell r="A119" t="str">
            <v>KZKD00000337</v>
          </cell>
          <cell r="B119" t="str">
            <v>24.11.2025</v>
          </cell>
          <cell r="C119">
            <v>5.5999999999999994E-2</v>
          </cell>
          <cell r="D119">
            <v>1</v>
          </cell>
          <cell r="E119" t="str">
            <v>fix</v>
          </cell>
          <cell r="F119" t="str">
            <v>30/360</v>
          </cell>
          <cell r="H119"/>
          <cell r="I119"/>
        </row>
        <row r="120">
          <cell r="A120" t="str">
            <v>KZKD00000535</v>
          </cell>
          <cell r="B120" t="str">
            <v>27.03.2027</v>
          </cell>
          <cell r="C120">
            <v>5.4900000000000004E-2</v>
          </cell>
          <cell r="D120">
            <v>1</v>
          </cell>
          <cell r="E120" t="str">
            <v>fix</v>
          </cell>
          <cell r="F120" t="str">
            <v>30/360</v>
          </cell>
          <cell r="H120"/>
          <cell r="I120"/>
        </row>
        <row r="121">
          <cell r="A121" t="str">
            <v>KZKD00000659</v>
          </cell>
          <cell r="B121" t="str">
            <v>24.10.2027</v>
          </cell>
          <cell r="C121">
            <v>6.5000000000000002E-2</v>
          </cell>
          <cell r="D121">
            <v>1</v>
          </cell>
          <cell r="E121" t="str">
            <v>fix</v>
          </cell>
          <cell r="F121" t="str">
            <v>30/360</v>
          </cell>
          <cell r="H121"/>
          <cell r="I121"/>
        </row>
        <row r="122">
          <cell r="A122" t="str">
            <v>KZKD00000493</v>
          </cell>
          <cell r="B122" t="str">
            <v>23.11.2026</v>
          </cell>
          <cell r="C122">
            <v>0.05</v>
          </cell>
          <cell r="D122">
            <v>1</v>
          </cell>
          <cell r="E122" t="str">
            <v>fix</v>
          </cell>
          <cell r="F122" t="str">
            <v>30/360</v>
          </cell>
          <cell r="H122"/>
          <cell r="I122"/>
        </row>
        <row r="123">
          <cell r="A123" t="str">
            <v>KZKD00000477</v>
          </cell>
          <cell r="B123" t="str">
            <v>19.10.2027</v>
          </cell>
          <cell r="C123">
            <v>5.2999999999999999E-2</v>
          </cell>
          <cell r="D123">
            <v>1</v>
          </cell>
          <cell r="E123" t="str">
            <v>fix</v>
          </cell>
          <cell r="F123" t="str">
            <v>30/360</v>
          </cell>
          <cell r="H123"/>
          <cell r="I123"/>
        </row>
        <row r="124">
          <cell r="A124" t="str">
            <v>KZKD00000543</v>
          </cell>
          <cell r="B124" t="str">
            <v>18.04.2028</v>
          </cell>
          <cell r="C124">
            <v>0.05</v>
          </cell>
          <cell r="D124">
            <v>1</v>
          </cell>
          <cell r="E124" t="str">
            <v>fix</v>
          </cell>
          <cell r="F124" t="str">
            <v>30/360</v>
          </cell>
          <cell r="H124"/>
          <cell r="I124"/>
        </row>
        <row r="125">
          <cell r="A125" t="str">
            <v>KZKD00000550</v>
          </cell>
          <cell r="B125" t="str">
            <v>24.04.2032</v>
          </cell>
          <cell r="C125">
            <v>5.5E-2</v>
          </cell>
          <cell r="D125">
            <v>1</v>
          </cell>
          <cell r="E125" t="str">
            <v>fix</v>
          </cell>
          <cell r="F125" t="str">
            <v>30/360</v>
          </cell>
          <cell r="H125"/>
          <cell r="I125"/>
        </row>
        <row r="126">
          <cell r="A126" t="str">
            <v>KZKD00000717</v>
          </cell>
          <cell r="B126" t="str">
            <v>10.12.2028</v>
          </cell>
          <cell r="C126">
            <v>7.22E-2</v>
          </cell>
          <cell r="D126">
            <v>1</v>
          </cell>
          <cell r="E126" t="str">
            <v>fix</v>
          </cell>
          <cell r="F126" t="str">
            <v>30/360</v>
          </cell>
          <cell r="H126"/>
          <cell r="I126"/>
        </row>
        <row r="127">
          <cell r="A127" t="str">
            <v>KZKD00000725</v>
          </cell>
          <cell r="B127" t="str">
            <v>20.12.2038</v>
          </cell>
          <cell r="C127">
            <v>7.9000000000000001E-2</v>
          </cell>
          <cell r="D127">
            <v>1</v>
          </cell>
          <cell r="E127" t="str">
            <v>fix</v>
          </cell>
          <cell r="F127" t="str">
            <v>30/360</v>
          </cell>
          <cell r="H127"/>
          <cell r="I127"/>
        </row>
        <row r="128">
          <cell r="A128" t="str">
            <v>KZKD00000444</v>
          </cell>
          <cell r="B128" t="str">
            <v>18.08.2026</v>
          </cell>
          <cell r="C128">
            <v>5.5E-2</v>
          </cell>
          <cell r="D128">
            <v>1</v>
          </cell>
          <cell r="E128" t="str">
            <v>fix</v>
          </cell>
          <cell r="F128" t="str">
            <v>30/360</v>
          </cell>
          <cell r="H128"/>
          <cell r="I128"/>
        </row>
        <row r="129">
          <cell r="A129" t="str">
            <v>KZKD00000758</v>
          </cell>
          <cell r="B129" t="str">
            <v>20.06.2027</v>
          </cell>
          <cell r="C129">
            <v>7.4700000000000003E-2</v>
          </cell>
          <cell r="D129">
            <v>1</v>
          </cell>
          <cell r="E129" t="str">
            <v>fix</v>
          </cell>
          <cell r="F129" t="str">
            <v>30/360</v>
          </cell>
          <cell r="H129"/>
          <cell r="I129"/>
        </row>
        <row r="130">
          <cell r="A130" t="str">
            <v>KZKD00000873</v>
          </cell>
          <cell r="B130" t="str">
            <v>16.07.2025</v>
          </cell>
          <cell r="C130">
            <v>7.2499999999999995E-2</v>
          </cell>
          <cell r="D130">
            <v>1</v>
          </cell>
          <cell r="E130" t="str">
            <v>fix</v>
          </cell>
          <cell r="F130" t="str">
            <v>30/360</v>
          </cell>
          <cell r="H130"/>
          <cell r="I130"/>
        </row>
        <row r="131">
          <cell r="A131" t="str">
            <v>KZKD00000741</v>
          </cell>
          <cell r="B131" t="str">
            <v>12.05.2034</v>
          </cell>
          <cell r="C131">
            <v>8.0700000000000008E-2</v>
          </cell>
          <cell r="D131">
            <v>1</v>
          </cell>
          <cell r="E131" t="str">
            <v>fix</v>
          </cell>
          <cell r="F131" t="str">
            <v>30/360</v>
          </cell>
          <cell r="H131"/>
          <cell r="I131"/>
        </row>
        <row r="132">
          <cell r="A132" t="str">
            <v>KZKD00000782</v>
          </cell>
          <cell r="B132" t="str">
            <v>06.08.2024</v>
          </cell>
          <cell r="C132">
            <v>7.1300000000000002E-2</v>
          </cell>
          <cell r="D132">
            <v>1</v>
          </cell>
          <cell r="E132" t="str">
            <v>fix</v>
          </cell>
          <cell r="F132" t="str">
            <v>30/360</v>
          </cell>
          <cell r="H132"/>
          <cell r="I132"/>
        </row>
        <row r="133">
          <cell r="A133" t="str">
            <v>KZKD00000790</v>
          </cell>
          <cell r="B133" t="str">
            <v>13.08.2029</v>
          </cell>
          <cell r="C133">
            <v>7.6799999999999993E-2</v>
          </cell>
          <cell r="D133">
            <v>1</v>
          </cell>
          <cell r="E133" t="str">
            <v>fix</v>
          </cell>
          <cell r="F133" t="str">
            <v>30/360</v>
          </cell>
          <cell r="H133"/>
          <cell r="I133"/>
        </row>
        <row r="134">
          <cell r="A134" t="str">
            <v>KZKD00000832</v>
          </cell>
          <cell r="B134" t="str">
            <v>29.01.2035</v>
          </cell>
          <cell r="C134">
            <v>8.0700000000000008E-2</v>
          </cell>
          <cell r="D134">
            <v>1</v>
          </cell>
          <cell r="E134" t="str">
            <v>fix</v>
          </cell>
          <cell r="F134" t="str">
            <v>30/360</v>
          </cell>
          <cell r="H134"/>
          <cell r="I134"/>
        </row>
        <row r="135">
          <cell r="A135" t="str">
            <v>KZKD00000808</v>
          </cell>
          <cell r="B135" t="str">
            <v>27.08.2020</v>
          </cell>
          <cell r="C135">
            <v>6.5000000000000002E-2</v>
          </cell>
          <cell r="D135">
            <v>1</v>
          </cell>
          <cell r="E135" t="str">
            <v>fix</v>
          </cell>
          <cell r="F135" t="str">
            <v>30/360</v>
          </cell>
          <cell r="H135"/>
          <cell r="I135"/>
        </row>
        <row r="136">
          <cell r="A136" t="str">
            <v>KZKD00000733</v>
          </cell>
          <cell r="B136" t="str">
            <v>09.04.2021</v>
          </cell>
          <cell r="C136">
            <v>6.6500000000000004E-2</v>
          </cell>
          <cell r="D136">
            <v>1</v>
          </cell>
          <cell r="E136" t="str">
            <v>fix</v>
          </cell>
          <cell r="F136" t="str">
            <v>30/360</v>
          </cell>
          <cell r="H136"/>
          <cell r="I136"/>
        </row>
        <row r="137">
          <cell r="A137" t="str">
            <v>KZKD00000683</v>
          </cell>
          <cell r="B137" t="str">
            <v>21.05.2021</v>
          </cell>
          <cell r="C137">
            <v>6.0999999999999999E-2</v>
          </cell>
          <cell r="D137">
            <v>1</v>
          </cell>
          <cell r="E137" t="str">
            <v>fix</v>
          </cell>
          <cell r="F137" t="str">
            <v>30/360</v>
          </cell>
          <cell r="H137"/>
          <cell r="I137"/>
        </row>
        <row r="138">
          <cell r="A138" t="str">
            <v>KZKD00000501</v>
          </cell>
          <cell r="B138" t="str">
            <v>14.12.2020</v>
          </cell>
          <cell r="C138">
            <v>0.05</v>
          </cell>
          <cell r="D138">
            <v>1</v>
          </cell>
          <cell r="E138" t="str">
            <v>fix</v>
          </cell>
          <cell r="F138" t="str">
            <v>30/360</v>
          </cell>
          <cell r="H138"/>
          <cell r="I138"/>
        </row>
        <row r="139">
          <cell r="A139" t="str">
            <v>KZKD00000600</v>
          </cell>
          <cell r="B139" t="str">
            <v>23.08.2021</v>
          </cell>
          <cell r="C139">
            <v>0.05</v>
          </cell>
          <cell r="D139">
            <v>1</v>
          </cell>
          <cell r="E139" t="str">
            <v>fix</v>
          </cell>
          <cell r="F139" t="str">
            <v>30/360</v>
          </cell>
          <cell r="H139"/>
          <cell r="I139"/>
        </row>
        <row r="140">
          <cell r="A140" t="str">
            <v>KZ000A1A1UU3</v>
          </cell>
          <cell r="B140" t="str">
            <v>15.09.2020</v>
          </cell>
          <cell r="C140">
            <v>5.7999999999999996E-2</v>
          </cell>
          <cell r="D140">
            <v>1</v>
          </cell>
          <cell r="E140" t="str">
            <v>fix</v>
          </cell>
          <cell r="F140" t="str">
            <v>30/360</v>
          </cell>
          <cell r="H140"/>
          <cell r="I140"/>
        </row>
        <row r="141">
          <cell r="A141" t="str">
            <v>KZKD00000352</v>
          </cell>
          <cell r="B141" t="str">
            <v>16.03.2021</v>
          </cell>
          <cell r="C141">
            <v>0.03</v>
          </cell>
          <cell r="D141">
            <v>1</v>
          </cell>
          <cell r="E141" t="str">
            <v>fix</v>
          </cell>
          <cell r="F141" t="str">
            <v>30/360</v>
          </cell>
          <cell r="H141"/>
          <cell r="I141"/>
        </row>
        <row r="142">
          <cell r="A142" t="str">
            <v>KZKD00000642</v>
          </cell>
          <cell r="B142" t="str">
            <v>18.10.2022</v>
          </cell>
          <cell r="C142">
            <v>6.3500000000000001E-2</v>
          </cell>
          <cell r="D142">
            <v>1</v>
          </cell>
          <cell r="E142" t="str">
            <v>fix</v>
          </cell>
          <cell r="F142" t="str">
            <v>30/360</v>
          </cell>
          <cell r="H142"/>
          <cell r="I142"/>
        </row>
        <row r="143">
          <cell r="A143" t="str">
            <v>KZKD00000709</v>
          </cell>
          <cell r="B143" t="str">
            <v>15.08.2025</v>
          </cell>
          <cell r="C143">
            <v>6.4000000000000001E-2</v>
          </cell>
          <cell r="D143">
            <v>1</v>
          </cell>
          <cell r="E143" t="str">
            <v>fix</v>
          </cell>
          <cell r="F143" t="str">
            <v>30/360</v>
          </cell>
          <cell r="H143"/>
          <cell r="I143"/>
        </row>
        <row r="144">
          <cell r="A144" t="str">
            <v>KZ000A1A1S55</v>
          </cell>
          <cell r="B144" t="str">
            <v>20.07.2023</v>
          </cell>
          <cell r="C144">
            <v>6.5000000000000002E-2</v>
          </cell>
          <cell r="D144">
            <v>1</v>
          </cell>
          <cell r="E144" t="str">
            <v>fix</v>
          </cell>
          <cell r="F144" t="str">
            <v>30/360</v>
          </cell>
          <cell r="H144"/>
          <cell r="I144"/>
        </row>
        <row r="145">
          <cell r="A145" t="str">
            <v>KZKD00000576</v>
          </cell>
          <cell r="B145" t="str">
            <v>23.05.2021</v>
          </cell>
          <cell r="C145">
            <v>4.9000000000000002E-2</v>
          </cell>
          <cell r="D145">
            <v>1</v>
          </cell>
          <cell r="E145" t="str">
            <v>fix</v>
          </cell>
          <cell r="F145" t="str">
            <v>30/360</v>
          </cell>
          <cell r="H145"/>
          <cell r="I145"/>
        </row>
        <row r="146">
          <cell r="A146" t="str">
            <v>KZKD00000899</v>
          </cell>
          <cell r="B146" t="str">
            <v>06.03.2027</v>
          </cell>
          <cell r="C146">
            <v>0.09</v>
          </cell>
          <cell r="D146">
            <v>1</v>
          </cell>
          <cell r="E146" t="str">
            <v>fix</v>
          </cell>
          <cell r="F146" t="str">
            <v>30/360</v>
          </cell>
          <cell r="H146"/>
          <cell r="I146"/>
        </row>
        <row r="147">
          <cell r="A147" t="str">
            <v>KZKD00000204</v>
          </cell>
          <cell r="B147" t="str">
            <v>21.10.2020</v>
          </cell>
          <cell r="C147">
            <v>7.0000000000000007E-2</v>
          </cell>
          <cell r="D147">
            <v>1</v>
          </cell>
          <cell r="E147" t="str">
            <v>fix</v>
          </cell>
          <cell r="F147" t="str">
            <v>30/360</v>
          </cell>
          <cell r="H147"/>
          <cell r="I147"/>
        </row>
        <row r="148">
          <cell r="A148" t="str">
            <v>KZ000A1A1S48</v>
          </cell>
          <cell r="B148" t="str">
            <v>25.08.2021</v>
          </cell>
          <cell r="C148">
            <v>5.96E-2</v>
          </cell>
          <cell r="D148">
            <v>1</v>
          </cell>
          <cell r="E148" t="str">
            <v>fix</v>
          </cell>
          <cell r="F148" t="str">
            <v>30/360</v>
          </cell>
          <cell r="H148"/>
          <cell r="I148"/>
        </row>
        <row r="149">
          <cell r="A149" t="str">
            <v>KZK200000604</v>
          </cell>
          <cell r="B149" t="str">
            <v>03.04.2021</v>
          </cell>
          <cell r="C149">
            <v>9.6000000000000002E-2</v>
          </cell>
          <cell r="D149">
            <v>2</v>
          </cell>
          <cell r="E149" t="str">
            <v>fix</v>
          </cell>
          <cell r="F149" t="str">
            <v>30/360</v>
          </cell>
          <cell r="H149"/>
          <cell r="I149"/>
        </row>
        <row r="150">
          <cell r="A150" t="str">
            <v>KZKD00000816</v>
          </cell>
          <cell r="B150" t="str">
            <v>29.08.2023</v>
          </cell>
          <cell r="C150">
            <v>7.0000000000000007E-2</v>
          </cell>
          <cell r="D150">
            <v>1</v>
          </cell>
          <cell r="E150" t="str">
            <v>fix</v>
          </cell>
          <cell r="F150" t="str">
            <v>30/360</v>
          </cell>
          <cell r="H150"/>
          <cell r="I150"/>
        </row>
        <row r="151">
          <cell r="A151" t="str">
            <v>KZK200000596</v>
          </cell>
          <cell r="B151" t="str">
            <v>23.01.2022</v>
          </cell>
          <cell r="C151">
            <v>9.6999999999999989E-2</v>
          </cell>
          <cell r="D151">
            <v>2</v>
          </cell>
          <cell r="E151" t="str">
            <v>fix</v>
          </cell>
          <cell r="F151" t="str">
            <v>30/360</v>
          </cell>
          <cell r="H151"/>
          <cell r="I151"/>
        </row>
        <row r="152">
          <cell r="A152" t="str">
            <v>KZKD00000931</v>
          </cell>
          <cell r="B152" t="str">
            <v>04.04.2033</v>
          </cell>
          <cell r="C152">
            <v>8.6599999999999996E-2</v>
          </cell>
          <cell r="D152">
            <v>1</v>
          </cell>
          <cell r="E152" t="str">
            <v>fix</v>
          </cell>
          <cell r="F152" t="str">
            <v>30/360</v>
          </cell>
          <cell r="H152"/>
          <cell r="I152"/>
        </row>
        <row r="153">
          <cell r="A153" t="str">
            <v>KZKD00000949</v>
          </cell>
          <cell r="B153" t="str">
            <v>16.04.2032</v>
          </cell>
          <cell r="C153">
            <v>8.4499999999999992E-2</v>
          </cell>
          <cell r="D153">
            <v>1</v>
          </cell>
          <cell r="E153" t="str">
            <v>fix</v>
          </cell>
          <cell r="F153" t="str">
            <v>30/360</v>
          </cell>
          <cell r="H153"/>
          <cell r="I153"/>
        </row>
        <row r="154">
          <cell r="A154" t="str">
            <v>KZKD00000956</v>
          </cell>
          <cell r="B154" t="str">
            <v>23.04.2033</v>
          </cell>
          <cell r="C154">
            <v>8.4600000000000009E-2</v>
          </cell>
          <cell r="D154">
            <v>1</v>
          </cell>
          <cell r="E154" t="str">
            <v>fix</v>
          </cell>
          <cell r="F154" t="str">
            <v>30/360</v>
          </cell>
          <cell r="H154"/>
          <cell r="I154"/>
        </row>
        <row r="155">
          <cell r="A155" t="str">
            <v>KZKD00000840</v>
          </cell>
          <cell r="B155" t="str">
            <v>04.02.2030</v>
          </cell>
          <cell r="C155">
            <v>7.6799999999999993E-2</v>
          </cell>
          <cell r="D155">
            <v>1</v>
          </cell>
          <cell r="E155" t="str">
            <v>fix</v>
          </cell>
          <cell r="F155" t="str">
            <v>30/360</v>
          </cell>
          <cell r="H155"/>
          <cell r="I155"/>
        </row>
        <row r="156">
          <cell r="A156" t="str">
            <v>KZKD00000964</v>
          </cell>
          <cell r="B156" t="str">
            <v>10.05.2031</v>
          </cell>
          <cell r="C156">
            <v>8.4399999999999989E-2</v>
          </cell>
          <cell r="D156">
            <v>1</v>
          </cell>
          <cell r="E156" t="str">
            <v>fix</v>
          </cell>
          <cell r="F156" t="str">
            <v>30/360</v>
          </cell>
          <cell r="H156"/>
          <cell r="I156"/>
        </row>
        <row r="157">
          <cell r="A157" t="str">
            <v>KZKD00000766</v>
          </cell>
          <cell r="B157" t="str">
            <v>09.07.2021</v>
          </cell>
          <cell r="C157">
            <v>6.6500000000000004E-2</v>
          </cell>
          <cell r="D157">
            <v>1</v>
          </cell>
          <cell r="E157" t="str">
            <v>fix</v>
          </cell>
          <cell r="F157" t="str">
            <v>30/360</v>
          </cell>
          <cell r="H157"/>
          <cell r="I157"/>
        </row>
        <row r="158">
          <cell r="A158" t="str">
            <v>KZK200000646</v>
          </cell>
          <cell r="B158" t="str">
            <v>07.09.2020</v>
          </cell>
          <cell r="C158">
            <v>8.4000000000000005E-2</v>
          </cell>
          <cell r="D158">
            <v>2</v>
          </cell>
          <cell r="E158" t="str">
            <v>fix</v>
          </cell>
          <cell r="F158" t="str">
            <v>30/360</v>
          </cell>
          <cell r="H158"/>
          <cell r="I158"/>
        </row>
        <row r="159">
          <cell r="A159" t="str">
            <v>KZK200000661</v>
          </cell>
          <cell r="B159" t="str">
            <v>14.08.2021</v>
          </cell>
          <cell r="C159">
            <v>8.9900000000000008E-2</v>
          </cell>
          <cell r="D159">
            <v>2</v>
          </cell>
          <cell r="E159" t="str">
            <v>fix</v>
          </cell>
          <cell r="F159" t="str">
            <v>30/360</v>
          </cell>
          <cell r="H159"/>
          <cell r="I159"/>
        </row>
        <row r="160">
          <cell r="A160" t="str">
            <v>KZKD00000402</v>
          </cell>
          <cell r="B160" t="str">
            <v>09.06.2022</v>
          </cell>
          <cell r="C160">
            <v>4.9299999999999997E-2</v>
          </cell>
          <cell r="D160">
            <v>1</v>
          </cell>
          <cell r="E160" t="str">
            <v>fix</v>
          </cell>
          <cell r="F160" t="str">
            <v>30/360</v>
          </cell>
          <cell r="H160"/>
          <cell r="I160"/>
        </row>
        <row r="161">
          <cell r="A161" t="str">
            <v>KZKD00000972</v>
          </cell>
          <cell r="B161" t="str">
            <v>30.07.2036</v>
          </cell>
          <cell r="C161">
            <v>8.48E-2</v>
          </cell>
          <cell r="D161">
            <v>1</v>
          </cell>
          <cell r="E161" t="str">
            <v>fix</v>
          </cell>
          <cell r="F161" t="str">
            <v>30/360</v>
          </cell>
          <cell r="H161"/>
          <cell r="I161"/>
        </row>
        <row r="162">
          <cell r="A162" t="str">
            <v>KZKD00001079</v>
          </cell>
          <cell r="B162" t="str">
            <v>11.02.2037</v>
          </cell>
          <cell r="C162">
            <v>8.6999999999999994E-2</v>
          </cell>
          <cell r="D162">
            <v>1</v>
          </cell>
          <cell r="E162" t="str">
            <v>fix</v>
          </cell>
          <cell r="F162" t="str">
            <v>30/360</v>
          </cell>
          <cell r="H162"/>
          <cell r="I162"/>
        </row>
        <row r="163">
          <cell r="A163" t="str">
            <v>KZKD00000105</v>
          </cell>
          <cell r="B163" t="str">
            <v>20.05.2024</v>
          </cell>
          <cell r="C163">
            <v>8.0500000000000002E-2</v>
          </cell>
          <cell r="D163">
            <v>1</v>
          </cell>
          <cell r="E163" t="str">
            <v>fix</v>
          </cell>
          <cell r="F163" t="str">
            <v>30/360</v>
          </cell>
          <cell r="H163"/>
          <cell r="I163"/>
        </row>
        <row r="164">
          <cell r="A164" t="str">
            <v>KZKD00000618</v>
          </cell>
          <cell r="B164" t="str">
            <v>18.09.2027</v>
          </cell>
          <cell r="C164">
            <v>5.4900000000000004E-2</v>
          </cell>
          <cell r="D164">
            <v>1</v>
          </cell>
          <cell r="E164" t="str">
            <v>fix</v>
          </cell>
          <cell r="F164" t="str">
            <v>30/360</v>
          </cell>
          <cell r="H164"/>
          <cell r="I164"/>
        </row>
        <row r="165">
          <cell r="A165" t="str">
            <v>KZKD00000626</v>
          </cell>
          <cell r="B165" t="str">
            <v>20.09.2028</v>
          </cell>
          <cell r="C165">
            <v>5.5E-2</v>
          </cell>
          <cell r="D165">
            <v>1</v>
          </cell>
          <cell r="E165" t="str">
            <v>fix</v>
          </cell>
          <cell r="F165" t="str">
            <v>30/360</v>
          </cell>
          <cell r="H165"/>
          <cell r="I165"/>
        </row>
        <row r="166">
          <cell r="A166" t="str">
            <v>KZK200000638</v>
          </cell>
          <cell r="B166" t="str">
            <v>03.07.2022</v>
          </cell>
          <cell r="C166">
            <v>9.5000000000000001E-2</v>
          </cell>
          <cell r="D166">
            <v>2</v>
          </cell>
          <cell r="E166" t="str">
            <v>fix</v>
          </cell>
          <cell r="F166" t="str">
            <v>30/360</v>
          </cell>
          <cell r="H166"/>
          <cell r="I166"/>
        </row>
        <row r="167">
          <cell r="A167" t="str">
            <v>KZKD00000915</v>
          </cell>
          <cell r="B167" t="str">
            <v>03.07.2026</v>
          </cell>
          <cell r="C167">
            <v>9.0999999999999998E-2</v>
          </cell>
          <cell r="D167">
            <v>1</v>
          </cell>
          <cell r="E167" t="str">
            <v>fix</v>
          </cell>
          <cell r="F167" t="str">
            <v>30/360</v>
          </cell>
          <cell r="H167"/>
          <cell r="I167"/>
        </row>
        <row r="168">
          <cell r="A168" t="str">
            <v>KZKD00000907</v>
          </cell>
          <cell r="B168" t="str">
            <v>03.07.2027</v>
          </cell>
          <cell r="C168">
            <v>0.09</v>
          </cell>
          <cell r="D168">
            <v>1</v>
          </cell>
          <cell r="E168" t="str">
            <v>fix</v>
          </cell>
          <cell r="F168" t="str">
            <v>30/360</v>
          </cell>
          <cell r="H168"/>
          <cell r="I168"/>
        </row>
        <row r="169">
          <cell r="A169" t="str">
            <v>KZKD00001087</v>
          </cell>
          <cell r="B169" t="str">
            <v>31.03.2029</v>
          </cell>
          <cell r="C169">
            <v>0.11</v>
          </cell>
          <cell r="D169">
            <v>1</v>
          </cell>
          <cell r="E169" t="str">
            <v>fix</v>
          </cell>
          <cell r="F169" t="str">
            <v>30/360</v>
          </cell>
          <cell r="H169"/>
          <cell r="I169"/>
        </row>
        <row r="170">
          <cell r="A170" t="str">
            <v>XS1120709669</v>
          </cell>
          <cell r="B170">
            <v>45579</v>
          </cell>
          <cell r="C170">
            <v>3.875E-2</v>
          </cell>
          <cell r="D170">
            <v>2</v>
          </cell>
          <cell r="E170" t="str">
            <v>fix</v>
          </cell>
          <cell r="F170" t="str">
            <v>30/360</v>
          </cell>
          <cell r="I170"/>
        </row>
        <row r="171">
          <cell r="A171" t="str">
            <v>KZKD00001095</v>
          </cell>
          <cell r="B171">
            <v>47053</v>
          </cell>
          <cell r="C171">
            <v>0.1047</v>
          </cell>
          <cell r="D171">
            <v>1</v>
          </cell>
          <cell r="E171" t="str">
            <v>fix</v>
          </cell>
          <cell r="F171" t="str">
            <v>30/360</v>
          </cell>
          <cell r="I171"/>
        </row>
        <row r="172">
          <cell r="A172" t="str">
            <v>KZKD00000840</v>
          </cell>
          <cell r="B172">
            <v>47518</v>
          </cell>
          <cell r="C172">
            <v>7.6799999999999993E-2</v>
          </cell>
          <cell r="D172">
            <v>1</v>
          </cell>
          <cell r="E172" t="str">
            <v>fix</v>
          </cell>
          <cell r="F172" t="str">
            <v>30/360</v>
          </cell>
          <cell r="I172"/>
        </row>
        <row r="173">
          <cell r="A173" t="str">
            <v>KZKD00001103</v>
          </cell>
          <cell r="B173">
            <v>48992</v>
          </cell>
          <cell r="C173">
            <v>0.1012</v>
          </cell>
          <cell r="D173">
            <v>1</v>
          </cell>
          <cell r="E173" t="str">
            <v>fix</v>
          </cell>
          <cell r="F173" t="str">
            <v>30/360</v>
          </cell>
          <cell r="I173"/>
        </row>
        <row r="174">
          <cell r="A174" t="str">
            <v>KZKD00001145</v>
          </cell>
          <cell r="B174">
            <v>46526</v>
          </cell>
          <cell r="C174">
            <v>0.104</v>
          </cell>
          <cell r="D174">
            <v>1</v>
          </cell>
          <cell r="E174" t="str">
            <v>fix</v>
          </cell>
          <cell r="F174" t="str">
            <v>30/360</v>
          </cell>
        </row>
        <row r="175">
          <cell r="A175" t="str">
            <v>KZKD00000865</v>
          </cell>
          <cell r="B175">
            <v>45804</v>
          </cell>
          <cell r="C175">
            <v>7.1999999999999995E-2</v>
          </cell>
          <cell r="D175">
            <v>1</v>
          </cell>
          <cell r="E175" t="str">
            <v>fix</v>
          </cell>
          <cell r="F175" t="str">
            <v>30/360</v>
          </cell>
        </row>
        <row r="176">
          <cell r="A176" t="str">
            <v>KZKD00001152</v>
          </cell>
          <cell r="B176">
            <v>48421</v>
          </cell>
          <cell r="C176">
            <v>0.1065</v>
          </cell>
          <cell r="D176">
            <v>1</v>
          </cell>
          <cell r="E176" t="str">
            <v>fix</v>
          </cell>
          <cell r="F176" t="str">
            <v>30/360</v>
          </cell>
        </row>
        <row r="177">
          <cell r="A177" t="str">
            <v>KZKD00001160</v>
          </cell>
          <cell r="B177">
            <v>47327</v>
          </cell>
          <cell r="C177">
            <v>0.1055</v>
          </cell>
          <cell r="D177">
            <v>1</v>
          </cell>
          <cell r="E177" t="str">
            <v>fix</v>
          </cell>
          <cell r="F177" t="str">
            <v>30/360</v>
          </cell>
        </row>
        <row r="178">
          <cell r="A178" t="str">
            <v>KZKD00001137</v>
          </cell>
          <cell r="B178">
            <v>46855</v>
          </cell>
          <cell r="C178">
            <v>0.104</v>
          </cell>
          <cell r="D178">
            <v>1</v>
          </cell>
          <cell r="E178" t="str">
            <v>fix</v>
          </cell>
          <cell r="F178" t="str">
            <v>30/360</v>
          </cell>
        </row>
        <row r="179">
          <cell r="A179" t="str">
            <v>KZK200000679</v>
          </cell>
          <cell r="B179">
            <v>46238</v>
          </cell>
          <cell r="C179">
            <v>0.105</v>
          </cell>
          <cell r="D179">
            <v>2</v>
          </cell>
          <cell r="E179" t="str">
            <v>fix</v>
          </cell>
          <cell r="F179" t="str">
            <v>30/360</v>
          </cell>
        </row>
        <row r="180">
          <cell r="A180" t="str">
            <v>KZKD00001178</v>
          </cell>
          <cell r="B180">
            <v>48814</v>
          </cell>
          <cell r="C180">
            <v>0.1069</v>
          </cell>
          <cell r="D180">
            <v>1</v>
          </cell>
          <cell r="E180" t="str">
            <v>fix</v>
          </cell>
          <cell r="F180" t="str">
            <v>30/360</v>
          </cell>
        </row>
        <row r="181">
          <cell r="A181" t="str">
            <v>KZKD00001129</v>
          </cell>
          <cell r="B181">
            <v>47924</v>
          </cell>
          <cell r="C181">
            <v>0.10299999999999999</v>
          </cell>
          <cell r="D181">
            <v>1</v>
          </cell>
          <cell r="E181" t="str">
            <v>fix</v>
          </cell>
          <cell r="F181" t="str">
            <v>30/360</v>
          </cell>
        </row>
        <row r="182">
          <cell r="A182" t="str">
            <v>KZK200000687</v>
          </cell>
          <cell r="B182">
            <v>46043</v>
          </cell>
          <cell r="C182">
            <v>0.1067</v>
          </cell>
          <cell r="D182">
            <v>2</v>
          </cell>
          <cell r="E182" t="str">
            <v>fix</v>
          </cell>
          <cell r="F182" t="str">
            <v>30/360</v>
          </cell>
        </row>
        <row r="183">
          <cell r="A183" t="str">
            <v>KZKD00001194</v>
          </cell>
          <cell r="B183">
            <v>50068</v>
          </cell>
          <cell r="C183">
            <v>0.1105</v>
          </cell>
          <cell r="D183">
            <v>1</v>
          </cell>
          <cell r="E183" t="str">
            <v>fix</v>
          </cell>
          <cell r="F183" t="str">
            <v>30/360</v>
          </cell>
        </row>
        <row r="184">
          <cell r="A184" t="str">
            <v>KZKD00001202</v>
          </cell>
          <cell r="B184">
            <v>47518</v>
          </cell>
          <cell r="C184">
            <v>0.11</v>
          </cell>
          <cell r="D184">
            <v>1</v>
          </cell>
          <cell r="E184" t="str">
            <v>fix</v>
          </cell>
          <cell r="F184" t="str">
            <v>30/360</v>
          </cell>
        </row>
        <row r="185">
          <cell r="A185" t="str">
            <v>KZK200000695</v>
          </cell>
          <cell r="B185">
            <v>45699</v>
          </cell>
          <cell r="C185">
            <v>0.1075</v>
          </cell>
          <cell r="D185">
            <v>2</v>
          </cell>
          <cell r="E185" t="str">
            <v>fix</v>
          </cell>
          <cell r="F185" t="str">
            <v>30/360</v>
          </cell>
        </row>
        <row r="186">
          <cell r="A186" t="str">
            <v>KZK100000266</v>
          </cell>
          <cell r="B186">
            <v>44950</v>
          </cell>
          <cell r="C186">
            <v>0.13669999999999999</v>
          </cell>
          <cell r="D186">
            <v>1</v>
          </cell>
          <cell r="E186" t="str">
            <v>fix</v>
          </cell>
          <cell r="F186" t="str">
            <v>actual/actual</v>
          </cell>
        </row>
        <row r="187">
          <cell r="A187" t="str">
            <v>KZK200000703</v>
          </cell>
          <cell r="B187">
            <v>45832</v>
          </cell>
          <cell r="C187">
            <v>0.13850000000000001</v>
          </cell>
          <cell r="D187">
            <v>2</v>
          </cell>
          <cell r="E187" t="str">
            <v>fix</v>
          </cell>
          <cell r="F187" t="str">
            <v>30/360</v>
          </cell>
        </row>
        <row r="188">
          <cell r="A188" t="str">
            <v>KZK200000729</v>
          </cell>
          <cell r="B188">
            <v>46281</v>
          </cell>
          <cell r="C188">
            <v>0.13900000000000001</v>
          </cell>
          <cell r="D188">
            <v>2</v>
          </cell>
          <cell r="E188" t="str">
            <v>fix</v>
          </cell>
          <cell r="F188" t="str">
            <v>30/360</v>
          </cell>
        </row>
        <row r="189">
          <cell r="A189" t="str">
            <v>KZKD00000881</v>
          </cell>
          <cell r="B189">
            <v>45321</v>
          </cell>
          <cell r="C189">
            <v>9.5000000000000001E-2</v>
          </cell>
          <cell r="D189">
            <v>1</v>
          </cell>
          <cell r="E189" t="str">
            <v>fix</v>
          </cell>
          <cell r="F189" t="str">
            <v>30/360</v>
          </cell>
        </row>
        <row r="190">
          <cell r="A190" t="str">
            <v>KZK200000737</v>
          </cell>
          <cell r="B190">
            <v>46709</v>
          </cell>
          <cell r="C190">
            <v>0.1535</v>
          </cell>
          <cell r="D190">
            <v>2</v>
          </cell>
          <cell r="E190" t="str">
            <v>fix</v>
          </cell>
          <cell r="F190" t="str">
            <v>30/360</v>
          </cell>
        </row>
        <row r="191">
          <cell r="A191" t="str">
            <v>KZKD00001210</v>
          </cell>
          <cell r="B191">
            <v>47180</v>
          </cell>
          <cell r="C191">
            <v>0.153</v>
          </cell>
          <cell r="D191">
            <v>1</v>
          </cell>
          <cell r="E191" t="str">
            <v>fix</v>
          </cell>
          <cell r="F191" t="str">
            <v>30/360</v>
          </cell>
        </row>
        <row r="192">
          <cell r="A192" t="str">
            <v>KZKD00001244</v>
          </cell>
          <cell r="B192">
            <v>47901</v>
          </cell>
          <cell r="C192">
            <v>0.12</v>
          </cell>
          <cell r="D192">
            <v>1</v>
          </cell>
          <cell r="E192" t="str">
            <v>fix</v>
          </cell>
          <cell r="F192" t="str">
            <v>30/360</v>
          </cell>
          <cell r="I192"/>
        </row>
        <row r="193">
          <cell r="A193" t="str">
            <v>KZKD00001251</v>
          </cell>
          <cell r="B193">
            <v>47549</v>
          </cell>
          <cell r="C193">
            <v>0.12</v>
          </cell>
          <cell r="D193">
            <v>1</v>
          </cell>
          <cell r="E193" t="str">
            <v>fix</v>
          </cell>
          <cell r="F193" t="str">
            <v>30/360</v>
          </cell>
        </row>
        <row r="194">
          <cell r="A194" t="str">
            <v>XS1263054519</v>
          </cell>
          <cell r="B194">
            <v>47685</v>
          </cell>
          <cell r="C194">
            <v>5.1249999999999997E-2</v>
          </cell>
          <cell r="D194">
            <v>1</v>
          </cell>
          <cell r="E194" t="str">
            <v>Float</v>
          </cell>
          <cell r="F194" t="str">
            <v>30/360</v>
          </cell>
          <cell r="I194"/>
        </row>
        <row r="195">
          <cell r="A195" t="str">
            <v>KZKD00001186</v>
          </cell>
          <cell r="B195">
            <v>49912</v>
          </cell>
          <cell r="C195">
            <v>0.10780000000000001</v>
          </cell>
          <cell r="D195">
            <v>1</v>
          </cell>
          <cell r="E195" t="str">
            <v>fix</v>
          </cell>
          <cell r="F195" t="str">
            <v>30/360</v>
          </cell>
          <cell r="I195"/>
        </row>
        <row r="196">
          <cell r="A196" t="str">
            <v xml:space="preserve">KZKD00000550 </v>
          </cell>
          <cell r="B196">
            <v>48328</v>
          </cell>
          <cell r="C196">
            <v>5.5E-2</v>
          </cell>
          <cell r="D196">
            <v>1</v>
          </cell>
          <cell r="E196" t="str">
            <v>fix</v>
          </cell>
          <cell r="F196" t="str">
            <v>30/360</v>
          </cell>
          <cell r="I196"/>
        </row>
        <row r="197">
          <cell r="A197" t="str">
            <v>KZKD00001228</v>
          </cell>
          <cell r="B197">
            <v>47980</v>
          </cell>
          <cell r="C197">
            <v>0.14000000000000001</v>
          </cell>
          <cell r="D197">
            <v>1</v>
          </cell>
          <cell r="E197" t="str">
            <v>fix</v>
          </cell>
          <cell r="F197" t="str">
            <v>30/360</v>
          </cell>
          <cell r="I197"/>
        </row>
        <row r="198">
          <cell r="A198" t="str">
            <v>KZK100000365</v>
          </cell>
          <cell r="B198">
            <v>45954</v>
          </cell>
          <cell r="C198"/>
          <cell r="D198">
            <v>1</v>
          </cell>
          <cell r="E198" t="str">
            <v>fix</v>
          </cell>
          <cell r="F198" t="str">
            <v>actual/actual</v>
          </cell>
          <cell r="I198"/>
        </row>
        <row r="199">
          <cell r="A199" t="str">
            <v>Облигации местных исполнительных органов</v>
          </cell>
          <cell r="B199"/>
          <cell r="C199"/>
          <cell r="D199"/>
          <cell r="E199"/>
          <cell r="F199"/>
        </row>
        <row r="200">
          <cell r="A200" t="str">
            <v>KZAE00000015</v>
          </cell>
          <cell r="B200">
            <v>45156</v>
          </cell>
          <cell r="C200">
            <v>9.9000000000000005E-2</v>
          </cell>
          <cell r="D200">
            <v>2</v>
          </cell>
          <cell r="E200" t="str">
            <v>fix</v>
          </cell>
          <cell r="F200" t="str">
            <v>30/360</v>
          </cell>
        </row>
        <row r="201">
          <cell r="A201"/>
          <cell r="F201"/>
          <cell r="G201"/>
          <cell r="H201"/>
          <cell r="I201"/>
        </row>
        <row r="202">
          <cell r="A202"/>
          <cell r="F202"/>
          <cell r="G202" t="str">
            <v>Акимат г. Алматы</v>
          </cell>
          <cell r="H202"/>
          <cell r="I202"/>
        </row>
        <row r="203">
          <cell r="A203"/>
          <cell r="F203"/>
          <cell r="H203"/>
          <cell r="I203"/>
        </row>
        <row r="204">
          <cell r="A204"/>
          <cell r="F204"/>
          <cell r="H204"/>
          <cell r="I204"/>
        </row>
        <row r="205">
          <cell r="A205" t="str">
            <v>Ноты Национального Банка Республики Казахстан</v>
          </cell>
          <cell r="B205"/>
          <cell r="C205"/>
          <cell r="D205"/>
          <cell r="E205"/>
          <cell r="F205"/>
          <cell r="H205"/>
          <cell r="I205"/>
        </row>
        <row r="206">
          <cell r="A206" t="str">
            <v>KZW100011508</v>
          </cell>
          <cell r="B206" t="str">
            <v>09.10.2020</v>
          </cell>
          <cell r="H206"/>
          <cell r="I206"/>
        </row>
        <row r="207">
          <cell r="A207" t="str">
            <v>KZW100011979</v>
          </cell>
          <cell r="B207" t="str">
            <v>02.04.2021</v>
          </cell>
          <cell r="G207"/>
          <cell r="H207"/>
          <cell r="I207"/>
        </row>
        <row r="208">
          <cell r="A208" t="str">
            <v>KZW100011938</v>
          </cell>
          <cell r="B208" t="str">
            <v>19.03.2021</v>
          </cell>
        </row>
        <row r="209">
          <cell r="A209" t="str">
            <v>KZW100012050</v>
          </cell>
          <cell r="B209" t="str">
            <v>07.08.2020</v>
          </cell>
        </row>
        <row r="210">
          <cell r="A210" t="str">
            <v>KZW100012134</v>
          </cell>
          <cell r="B210" t="str">
            <v>11.09.2020</v>
          </cell>
        </row>
        <row r="211">
          <cell r="A211" t="str">
            <v>KZW100012159</v>
          </cell>
          <cell r="B211" t="str">
            <v>18.06.2021</v>
          </cell>
        </row>
        <row r="212">
          <cell r="A212" t="str">
            <v>KZW100012175</v>
          </cell>
          <cell r="B212" t="str">
            <v>25.12.2020</v>
          </cell>
        </row>
        <row r="213">
          <cell r="A213" t="str">
            <v>KZW100012191</v>
          </cell>
          <cell r="B213" t="str">
            <v>05.08.2020</v>
          </cell>
        </row>
        <row r="214">
          <cell r="A214" t="str">
            <v>KZW100012209</v>
          </cell>
          <cell r="B214" t="str">
            <v>12.08.2020</v>
          </cell>
        </row>
        <row r="215">
          <cell r="A215" t="str">
            <v>KZW100012217</v>
          </cell>
          <cell r="B215">
            <v>44062</v>
          </cell>
        </row>
        <row r="216">
          <cell r="A216" t="str">
            <v>KZW100012225</v>
          </cell>
          <cell r="B216" t="str">
            <v>22.01.2021</v>
          </cell>
        </row>
        <row r="217">
          <cell r="A217" t="str">
            <v>KZW100012241</v>
          </cell>
          <cell r="B217" t="str">
            <v>30.10.2020</v>
          </cell>
        </row>
        <row r="218">
          <cell r="A218" t="str">
            <v>KZW100012258</v>
          </cell>
          <cell r="B218" t="str">
            <v>02.09.2020</v>
          </cell>
        </row>
        <row r="219">
          <cell r="A219" t="str">
            <v>KZW100012266</v>
          </cell>
          <cell r="B219">
            <v>44141</v>
          </cell>
        </row>
        <row r="220">
          <cell r="A220" t="str">
            <v>KZW100012274</v>
          </cell>
          <cell r="B220">
            <v>44083</v>
          </cell>
        </row>
        <row r="221">
          <cell r="A221" t="str">
            <v>KZW100012282</v>
          </cell>
          <cell r="B221">
            <v>44090</v>
          </cell>
        </row>
        <row r="222">
          <cell r="A222" t="str">
            <v>KZW100012324</v>
          </cell>
          <cell r="B222">
            <v>44111</v>
          </cell>
        </row>
        <row r="223">
          <cell r="A223" t="str">
            <v>KZW100012332</v>
          </cell>
          <cell r="B223">
            <v>44176</v>
          </cell>
        </row>
        <row r="224">
          <cell r="A224" t="str">
            <v>KZW100012340</v>
          </cell>
          <cell r="B224">
            <v>44118</v>
          </cell>
        </row>
        <row r="225">
          <cell r="A225" t="str">
            <v>KZW100012357</v>
          </cell>
          <cell r="B225">
            <v>44125</v>
          </cell>
        </row>
        <row r="226">
          <cell r="A226" t="str">
            <v>KZW100012381</v>
          </cell>
          <cell r="B226">
            <v>44139</v>
          </cell>
        </row>
        <row r="227">
          <cell r="A227" t="str">
            <v>KZW100012399</v>
          </cell>
          <cell r="B227">
            <v>44146</v>
          </cell>
        </row>
        <row r="228">
          <cell r="A228" t="str">
            <v>KZW100012449</v>
          </cell>
          <cell r="B228">
            <v>44167</v>
          </cell>
        </row>
        <row r="229">
          <cell r="A229" t="str">
            <v>KZW100012456</v>
          </cell>
          <cell r="B229">
            <v>44232</v>
          </cell>
        </row>
        <row r="230">
          <cell r="A230" t="str">
            <v>KZW100012464</v>
          </cell>
          <cell r="B230">
            <v>44174</v>
          </cell>
        </row>
        <row r="231">
          <cell r="A231" t="str">
            <v>KZW100012514</v>
          </cell>
          <cell r="B231">
            <v>44202</v>
          </cell>
        </row>
        <row r="232">
          <cell r="A232" t="str">
            <v>KZW100012530</v>
          </cell>
          <cell r="B232">
            <v>44209</v>
          </cell>
        </row>
        <row r="233">
          <cell r="A233" t="str">
            <v>KZW100012548</v>
          </cell>
          <cell r="B233">
            <v>44216</v>
          </cell>
        </row>
        <row r="234">
          <cell r="A234" t="str">
            <v>KZW100012571</v>
          </cell>
          <cell r="B234">
            <v>44237</v>
          </cell>
        </row>
        <row r="235">
          <cell r="A235" t="str">
            <v>KZW100012613</v>
          </cell>
          <cell r="B235">
            <v>44251</v>
          </cell>
        </row>
        <row r="236">
          <cell r="A236" t="str">
            <v>KZW100012639</v>
          </cell>
          <cell r="B236">
            <v>44322</v>
          </cell>
        </row>
        <row r="237">
          <cell r="A237" t="str">
            <v>KZW100012654</v>
          </cell>
          <cell r="B237">
            <v>44272</v>
          </cell>
        </row>
        <row r="238">
          <cell r="A238" t="str">
            <v>KZW100012670</v>
          </cell>
          <cell r="B238">
            <v>44280</v>
          </cell>
        </row>
        <row r="239">
          <cell r="A239" t="str">
            <v>KZW100012712</v>
          </cell>
          <cell r="B239">
            <v>44300</v>
          </cell>
        </row>
        <row r="240">
          <cell r="A240" t="str">
            <v>KZW100012720</v>
          </cell>
          <cell r="B240">
            <v>44307</v>
          </cell>
        </row>
        <row r="241">
          <cell r="A241" t="str">
            <v>KZW100012753</v>
          </cell>
          <cell r="B241">
            <v>44321</v>
          </cell>
        </row>
        <row r="242">
          <cell r="A242" t="str">
            <v>KZW100012761</v>
          </cell>
          <cell r="B242">
            <v>44328</v>
          </cell>
        </row>
        <row r="243">
          <cell r="A243" t="str">
            <v>KZW100012787</v>
          </cell>
          <cell r="B243">
            <v>44335</v>
          </cell>
        </row>
        <row r="244">
          <cell r="A244" t="str">
            <v>KZW100012811</v>
          </cell>
          <cell r="B244">
            <v>44414</v>
          </cell>
        </row>
        <row r="245">
          <cell r="A245" t="str">
            <v>KZW100012837</v>
          </cell>
          <cell r="B245">
            <v>44363</v>
          </cell>
        </row>
        <row r="246">
          <cell r="A246" t="str">
            <v>KZW100012860</v>
          </cell>
          <cell r="B246">
            <v>44377</v>
          </cell>
        </row>
        <row r="247">
          <cell r="A247" t="str">
            <v>KZW100012886</v>
          </cell>
          <cell r="B247">
            <v>44449</v>
          </cell>
        </row>
        <row r="248">
          <cell r="A248" t="str">
            <v>KZW100012894</v>
          </cell>
          <cell r="B248">
            <v>44391</v>
          </cell>
        </row>
        <row r="249">
          <cell r="A249" t="str">
            <v>KZW100012928</v>
          </cell>
          <cell r="B249">
            <v>44405</v>
          </cell>
        </row>
        <row r="250">
          <cell r="A250" t="str">
            <v>KZW100012944</v>
          </cell>
          <cell r="B250">
            <v>44419</v>
          </cell>
        </row>
        <row r="251">
          <cell r="A251" t="str">
            <v>KZW100012985</v>
          </cell>
          <cell r="B251">
            <v>44433</v>
          </cell>
        </row>
        <row r="252">
          <cell r="A252" t="str">
            <v>KZW100013017</v>
          </cell>
          <cell r="B252">
            <v>44447</v>
          </cell>
        </row>
        <row r="253">
          <cell r="A253" t="str">
            <v>KZW100013041</v>
          </cell>
          <cell r="B253">
            <v>44461</v>
          </cell>
        </row>
        <row r="254">
          <cell r="A254" t="str">
            <v>KZW100013058</v>
          </cell>
          <cell r="B254">
            <v>44469</v>
          </cell>
        </row>
        <row r="255">
          <cell r="A255" t="str">
            <v>KZW100013066</v>
          </cell>
          <cell r="B255">
            <v>44475</v>
          </cell>
        </row>
        <row r="256">
          <cell r="A256" t="str">
            <v>KZW100013074</v>
          </cell>
          <cell r="B256">
            <v>44540</v>
          </cell>
        </row>
        <row r="257">
          <cell r="A257" t="str">
            <v>KZW100013090</v>
          </cell>
          <cell r="B257">
            <v>44489</v>
          </cell>
        </row>
        <row r="258">
          <cell r="A258" t="str">
            <v>KZW100013116</v>
          </cell>
          <cell r="B258">
            <v>44503</v>
          </cell>
        </row>
        <row r="259">
          <cell r="A259" t="str">
            <v>KZW100013140</v>
          </cell>
          <cell r="B259">
            <v>44517</v>
          </cell>
        </row>
        <row r="260">
          <cell r="A260" t="str">
            <v>KZW100013199</v>
          </cell>
          <cell r="B260">
            <v>44538</v>
          </cell>
        </row>
        <row r="261">
          <cell r="A261" t="str">
            <v>KZW100013207</v>
          </cell>
          <cell r="B261">
            <v>44545</v>
          </cell>
        </row>
        <row r="262">
          <cell r="A262" t="str">
            <v>KZW100013249</v>
          </cell>
          <cell r="B262">
            <v>44566</v>
          </cell>
        </row>
        <row r="263">
          <cell r="A263" t="str">
            <v>KZW100013306</v>
          </cell>
          <cell r="B263">
            <v>44601</v>
          </cell>
        </row>
        <row r="264">
          <cell r="A264" t="str">
            <v>KZW100013371</v>
          </cell>
          <cell r="B264">
            <v>44629</v>
          </cell>
        </row>
        <row r="265">
          <cell r="A265" t="str">
            <v>KZW100013157</v>
          </cell>
          <cell r="B265">
            <v>44673</v>
          </cell>
        </row>
        <row r="266">
          <cell r="A266" t="str">
            <v>KZW100013389</v>
          </cell>
          <cell r="B266">
            <v>44636</v>
          </cell>
        </row>
        <row r="267">
          <cell r="A267" t="str">
            <v>KZW100013421</v>
          </cell>
          <cell r="B267">
            <v>44657</v>
          </cell>
        </row>
        <row r="268">
          <cell r="A268" t="str">
            <v>KZW100013447</v>
          </cell>
          <cell r="B268">
            <v>44664</v>
          </cell>
        </row>
        <row r="269">
          <cell r="A269" t="str">
            <v>KZW100013488</v>
          </cell>
          <cell r="B269">
            <v>44692</v>
          </cell>
        </row>
        <row r="270">
          <cell r="A270" t="str">
            <v>KZW100013546</v>
          </cell>
          <cell r="B270">
            <v>44720</v>
          </cell>
        </row>
        <row r="271">
          <cell r="A271" t="str">
            <v>KZW100013587</v>
          </cell>
          <cell r="B271">
            <v>44749</v>
          </cell>
        </row>
        <row r="272">
          <cell r="A272" t="str">
            <v>KZW100013637</v>
          </cell>
          <cell r="B272">
            <v>44776</v>
          </cell>
        </row>
        <row r="273">
          <cell r="A273" t="str">
            <v>KZW100013645</v>
          </cell>
          <cell r="B273">
            <v>44783</v>
          </cell>
        </row>
        <row r="274">
          <cell r="A274" t="str">
            <v>KZW100013686</v>
          </cell>
          <cell r="B274">
            <v>44811</v>
          </cell>
        </row>
        <row r="275">
          <cell r="A275" t="str">
            <v>KZW100013736</v>
          </cell>
          <cell r="B275">
            <v>44846</v>
          </cell>
        </row>
        <row r="276">
          <cell r="A276" t="str">
            <v>KZW100013793</v>
          </cell>
          <cell r="B276">
            <v>44909</v>
          </cell>
        </row>
        <row r="277">
          <cell r="A277" t="str">
            <v>KZW100013835</v>
          </cell>
          <cell r="B277">
            <v>44965</v>
          </cell>
        </row>
        <row r="278">
          <cell r="A278" t="str">
            <v>KZW100014189</v>
          </cell>
          <cell r="B278">
            <v>45525</v>
          </cell>
        </row>
        <row r="279">
          <cell r="A279" t="str">
            <v>Ин. ЦБ</v>
          </cell>
          <cell r="B279"/>
          <cell r="C279"/>
          <cell r="D279"/>
          <cell r="E279"/>
          <cell r="F279"/>
          <cell r="G279"/>
          <cell r="H279"/>
        </row>
        <row r="280">
          <cell r="A280" t="str">
            <v>US912797GP65</v>
          </cell>
          <cell r="B280" t="str">
            <v>29.02.2024</v>
          </cell>
          <cell r="C280">
            <v>5.4447333100000002E-2</v>
          </cell>
          <cell r="D280">
            <v>1</v>
          </cell>
          <cell r="E280" t="str">
            <v>fix</v>
          </cell>
          <cell r="F280" t="str">
            <v>actual/365</v>
          </cell>
          <cell r="G280" t="str">
            <v>USA</v>
          </cell>
        </row>
        <row r="281">
          <cell r="A281" t="str">
            <v>US912797HG57</v>
          </cell>
          <cell r="B281" t="str">
            <v>25.04.2024</v>
          </cell>
          <cell r="C281">
            <v>5.3346996399999999E-2</v>
          </cell>
          <cell r="D281">
            <v>1</v>
          </cell>
          <cell r="E281" t="str">
            <v>fix</v>
          </cell>
          <cell r="F281" t="str">
            <v>actual/365</v>
          </cell>
          <cell r="G281" t="str">
            <v>USA</v>
          </cell>
        </row>
        <row r="282">
          <cell r="A282" t="str">
            <v>US912797HG57</v>
          </cell>
          <cell r="B282" t="str">
            <v>25.04.2024</v>
          </cell>
          <cell r="C282">
            <v>5.3179643499999998E-2</v>
          </cell>
          <cell r="D282">
            <v>1</v>
          </cell>
          <cell r="E282" t="str">
            <v>fix</v>
          </cell>
          <cell r="F282" t="str">
            <v>actual/365</v>
          </cell>
          <cell r="G282" t="str">
            <v>USA</v>
          </cell>
        </row>
        <row r="283">
          <cell r="A283" t="str">
            <v>US912797HG57</v>
          </cell>
          <cell r="B283" t="str">
            <v>25.04.2024</v>
          </cell>
          <cell r="C283">
            <v>5.4684288399999996E-2</v>
          </cell>
          <cell r="D283">
            <v>1</v>
          </cell>
          <cell r="E283" t="str">
            <v>fix</v>
          </cell>
          <cell r="F283" t="str">
            <v>actual/365</v>
          </cell>
          <cell r="G283" t="str">
            <v>USA</v>
          </cell>
        </row>
        <row r="284">
          <cell r="A284" t="str">
            <v>US912797KF38</v>
          </cell>
          <cell r="B284">
            <v>45461</v>
          </cell>
          <cell r="C284">
            <v>1.5100000000000051E-2</v>
          </cell>
          <cell r="D284">
            <v>1</v>
          </cell>
          <cell r="E284" t="str">
            <v>fix</v>
          </cell>
          <cell r="F284" t="str">
            <v>actual/365</v>
          </cell>
          <cell r="G284" t="str">
            <v>USA</v>
          </cell>
        </row>
        <row r="285">
          <cell r="A285" t="str">
            <v>US912797HR13</v>
          </cell>
          <cell r="B285">
            <v>45435</v>
          </cell>
          <cell r="C285">
            <v>3.5045999999999823E-3</v>
          </cell>
          <cell r="D285">
            <v>1</v>
          </cell>
          <cell r="E285" t="str">
            <v>fix</v>
          </cell>
          <cell r="F285" t="str">
            <v>actual/365</v>
          </cell>
          <cell r="G285" t="str">
            <v>USA</v>
          </cell>
        </row>
        <row r="286">
          <cell r="A286" t="str">
            <v>US912797LE53</v>
          </cell>
          <cell r="B286">
            <v>45620</v>
          </cell>
          <cell r="C286">
            <v>0</v>
          </cell>
          <cell r="D286">
            <v>1</v>
          </cell>
          <cell r="E286" t="str">
            <v>fix</v>
          </cell>
          <cell r="F286" t="str">
            <v>actual/360</v>
          </cell>
          <cell r="G286" t="str">
            <v>USA</v>
          </cell>
        </row>
        <row r="287">
          <cell r="A287" t="str">
            <v>US912797LP01</v>
          </cell>
          <cell r="B287">
            <v>45638</v>
          </cell>
          <cell r="C287">
            <v>0</v>
          </cell>
          <cell r="D287">
            <v>1</v>
          </cell>
          <cell r="E287" t="str">
            <v>fix</v>
          </cell>
          <cell r="F287" t="str">
            <v>actual/360</v>
          </cell>
          <cell r="G287" t="str">
            <v>USA</v>
          </cell>
        </row>
        <row r="289">
          <cell r="C289"/>
        </row>
      </sheetData>
      <sheetData sheetId="13" refreshError="1">
        <row r="40">
          <cell r="D40">
            <v>1.008</v>
          </cell>
        </row>
        <row r="43">
          <cell r="D43">
            <v>1.014</v>
          </cell>
        </row>
        <row r="44">
          <cell r="D44">
            <v>1.016</v>
          </cell>
        </row>
        <row r="45">
          <cell r="D45">
            <v>1.0109999999999999</v>
          </cell>
        </row>
        <row r="46">
          <cell r="D46">
            <v>1.014</v>
          </cell>
        </row>
        <row r="47">
          <cell r="D47">
            <v>1.018</v>
          </cell>
        </row>
        <row r="48">
          <cell r="D48">
            <v>1.016</v>
          </cell>
        </row>
        <row r="49">
          <cell r="D49">
            <v>1.014</v>
          </cell>
        </row>
      </sheetData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">
          <cell r="B1" t="str">
            <v>Наименование инструмента</v>
          </cell>
          <cell r="C1" t="str">
            <v>Дата покупки</v>
          </cell>
          <cell r="D1" t="str">
            <v>Дата закрытия</v>
          </cell>
          <cell r="E1" t="str">
            <v>Кол-во</v>
          </cell>
          <cell r="F1" t="str">
            <v>Сумма размещения</v>
          </cell>
          <cell r="G1" t="str">
            <v>% ставка</v>
          </cell>
          <cell r="H1" t="str">
            <v xml:space="preserve">Сумма </v>
          </cell>
          <cell r="I1" t="str">
            <v xml:space="preserve">Portfolio type </v>
          </cell>
          <cell r="J1" t="str">
            <v>GP</v>
          </cell>
          <cell r="K1" t="str">
            <v>Nominal</v>
          </cell>
        </row>
        <row r="2">
          <cell r="B2" t="str">
            <v xml:space="preserve">KZKD00000550 </v>
          </cell>
          <cell r="C2">
            <v>45498</v>
          </cell>
          <cell r="D2">
            <v>48328</v>
          </cell>
          <cell r="E2">
            <v>1555000</v>
          </cell>
          <cell r="F2">
            <v>1555000000</v>
          </cell>
          <cell r="G2">
            <v>5.5E-2</v>
          </cell>
          <cell r="H2">
            <v>1000133669.4400001</v>
          </cell>
          <cell r="I2" t="str">
            <v>СР</v>
          </cell>
          <cell r="J2" t="str">
            <v>Tansar Capital</v>
          </cell>
          <cell r="K2">
            <v>1000</v>
          </cell>
        </row>
        <row r="3">
          <cell r="B3" t="str">
            <v>KZKD00001251</v>
          </cell>
          <cell r="C3">
            <v>45498</v>
          </cell>
          <cell r="D3">
            <v>47549</v>
          </cell>
          <cell r="E3">
            <v>1013000</v>
          </cell>
          <cell r="F3">
            <v>1013000000</v>
          </cell>
          <cell r="G3">
            <v>0.12</v>
          </cell>
          <cell r="H3">
            <v>1000868312</v>
          </cell>
          <cell r="I3" t="str">
            <v>СР</v>
          </cell>
          <cell r="J3" t="str">
            <v>Tansar Capital</v>
          </cell>
          <cell r="K3">
            <v>1000</v>
          </cell>
        </row>
        <row r="4">
          <cell r="B4" t="str">
            <v>KZKD00001251</v>
          </cell>
          <cell r="C4">
            <v>45498</v>
          </cell>
          <cell r="D4">
            <v>47549</v>
          </cell>
          <cell r="E4">
            <v>2000000</v>
          </cell>
          <cell r="F4">
            <v>2000000000</v>
          </cell>
          <cell r="G4">
            <v>0.12</v>
          </cell>
          <cell r="H4">
            <v>1976776000</v>
          </cell>
          <cell r="I4" t="str">
            <v>СР</v>
          </cell>
          <cell r="J4" t="str">
            <v>Halyk finance</v>
          </cell>
          <cell r="K4">
            <v>1000</v>
          </cell>
        </row>
        <row r="5">
          <cell r="B5" t="str">
            <v>KZKD00001251</v>
          </cell>
          <cell r="C5">
            <v>45498</v>
          </cell>
          <cell r="D5">
            <v>47549</v>
          </cell>
          <cell r="E5">
            <v>3000000</v>
          </cell>
          <cell r="F5">
            <v>3000000000</v>
          </cell>
          <cell r="G5">
            <v>0.12</v>
          </cell>
          <cell r="H5">
            <v>2970450000</v>
          </cell>
          <cell r="I5" t="str">
            <v>СР</v>
          </cell>
          <cell r="J5" t="str">
            <v>Halyk finance</v>
          </cell>
          <cell r="K5">
            <v>1000</v>
          </cell>
        </row>
        <row r="6">
          <cell r="B6" t="str">
            <v>KZKD00000550</v>
          </cell>
          <cell r="C6">
            <v>45498</v>
          </cell>
          <cell r="D6" t="str">
            <v>24.04.2032</v>
          </cell>
          <cell r="E6">
            <v>500000</v>
          </cell>
          <cell r="F6">
            <v>500000000</v>
          </cell>
          <cell r="G6">
            <v>5.5E-2</v>
          </cell>
          <cell r="H6">
            <v>322448888.88999999</v>
          </cell>
          <cell r="I6" t="str">
            <v>СР</v>
          </cell>
          <cell r="J6" t="str">
            <v>Сентрас</v>
          </cell>
          <cell r="K6">
            <v>1000</v>
          </cell>
        </row>
        <row r="7">
          <cell r="B7" t="str">
            <v>KZKD00000550</v>
          </cell>
          <cell r="C7">
            <v>45498</v>
          </cell>
          <cell r="D7" t="str">
            <v>24.04.2032</v>
          </cell>
          <cell r="E7">
            <v>2803860</v>
          </cell>
          <cell r="F7">
            <v>2803860000</v>
          </cell>
          <cell r="G7">
            <v>5.5E-2</v>
          </cell>
          <cell r="H7">
            <v>1811999509.6400001</v>
          </cell>
          <cell r="I7" t="str">
            <v>СР</v>
          </cell>
          <cell r="J7" t="str">
            <v>Jusan Invest</v>
          </cell>
          <cell r="K7">
            <v>1000</v>
          </cell>
        </row>
        <row r="8">
          <cell r="B8" t="str">
            <v>KZKD00001251</v>
          </cell>
          <cell r="C8">
            <v>45498</v>
          </cell>
          <cell r="D8">
            <v>47549</v>
          </cell>
          <cell r="E8">
            <v>1038480</v>
          </cell>
          <cell r="F8">
            <v>1038480000</v>
          </cell>
          <cell r="G8">
            <v>0.12</v>
          </cell>
          <cell r="H8">
            <v>1026799176.96</v>
          </cell>
          <cell r="I8" t="str">
            <v>СР</v>
          </cell>
          <cell r="J8" t="str">
            <v>Jusan Invest</v>
          </cell>
          <cell r="K8">
            <v>1000</v>
          </cell>
        </row>
        <row r="9">
          <cell r="B9" t="str">
            <v>KZKD00000899</v>
          </cell>
          <cell r="C9">
            <v>45503</v>
          </cell>
          <cell r="D9" t="str">
            <v>06.03.2027</v>
          </cell>
          <cell r="E9">
            <v>2000000</v>
          </cell>
          <cell r="F9">
            <v>2000000000</v>
          </cell>
          <cell r="G9">
            <v>0.09</v>
          </cell>
          <cell r="H9">
            <v>1886150000</v>
          </cell>
          <cell r="I9" t="str">
            <v>СР</v>
          </cell>
          <cell r="J9" t="str">
            <v>BCC Invest</v>
          </cell>
          <cell r="K9">
            <v>1000</v>
          </cell>
        </row>
        <row r="10">
          <cell r="B10" t="str">
            <v>KZKD00000550</v>
          </cell>
          <cell r="C10">
            <v>45509</v>
          </cell>
          <cell r="D10" t="str">
            <v>24.04.2032</v>
          </cell>
          <cell r="E10">
            <v>312000</v>
          </cell>
          <cell r="F10">
            <v>312000000</v>
          </cell>
          <cell r="G10">
            <v>5.5E-2</v>
          </cell>
          <cell r="H10">
            <v>204490277.33000001</v>
          </cell>
          <cell r="I10" t="str">
            <v>СР</v>
          </cell>
          <cell r="J10" t="str">
            <v>Сентрас</v>
          </cell>
          <cell r="K10">
            <v>1000</v>
          </cell>
        </row>
        <row r="11">
          <cell r="B11" t="str">
            <v>KZKD00001160</v>
          </cell>
          <cell r="C11">
            <v>45512</v>
          </cell>
          <cell r="D11">
            <v>47327</v>
          </cell>
          <cell r="E11">
            <v>500000</v>
          </cell>
          <cell r="F11">
            <v>500000000</v>
          </cell>
          <cell r="G11">
            <v>0.1055</v>
          </cell>
          <cell r="H11">
            <v>451940777.77999997</v>
          </cell>
          <cell r="I11" t="str">
            <v>СР</v>
          </cell>
          <cell r="J11" t="str">
            <v>Сентрас</v>
          </cell>
          <cell r="K11">
            <v>1000</v>
          </cell>
        </row>
        <row r="12">
          <cell r="B12" t="str">
            <v>KZKD00001160</v>
          </cell>
          <cell r="C12">
            <v>45512</v>
          </cell>
          <cell r="D12">
            <v>47327</v>
          </cell>
          <cell r="E12">
            <v>553430</v>
          </cell>
          <cell r="F12">
            <v>553430000</v>
          </cell>
          <cell r="G12">
            <v>0.1055</v>
          </cell>
          <cell r="H12">
            <v>499999408.11000001</v>
          </cell>
          <cell r="I12" t="str">
            <v>СР</v>
          </cell>
          <cell r="J12" t="str">
            <v>Сентрас</v>
          </cell>
          <cell r="K12">
            <v>1000</v>
          </cell>
        </row>
        <row r="13">
          <cell r="B13" t="str">
            <v>KZKD00001160</v>
          </cell>
          <cell r="C13">
            <v>45512</v>
          </cell>
          <cell r="D13">
            <v>47327</v>
          </cell>
          <cell r="E13">
            <v>1000000</v>
          </cell>
          <cell r="F13">
            <v>1000000000</v>
          </cell>
          <cell r="G13">
            <v>0.1055</v>
          </cell>
          <cell r="H13">
            <v>902589555.55999994</v>
          </cell>
          <cell r="I13" t="str">
            <v>СР</v>
          </cell>
          <cell r="J13" t="str">
            <v>Halyk finance</v>
          </cell>
          <cell r="K13">
            <v>1000</v>
          </cell>
        </row>
        <row r="14">
          <cell r="B14" t="str">
            <v>KZKD00001160</v>
          </cell>
          <cell r="C14">
            <v>45512</v>
          </cell>
          <cell r="D14">
            <v>47327</v>
          </cell>
          <cell r="E14">
            <v>1551646</v>
          </cell>
          <cell r="F14">
            <v>1551646000</v>
          </cell>
          <cell r="G14">
            <v>0.1055</v>
          </cell>
          <cell r="H14">
            <v>1399999843.51</v>
          </cell>
          <cell r="I14" t="str">
            <v>СР</v>
          </cell>
          <cell r="J14" t="str">
            <v>Jusan Invest</v>
          </cell>
          <cell r="K14">
            <v>1000</v>
          </cell>
        </row>
        <row r="15">
          <cell r="B15" t="str">
            <v>KZKD00000543</v>
          </cell>
          <cell r="C15">
            <v>45519</v>
          </cell>
          <cell r="D15" t="str">
            <v>18.04.2028</v>
          </cell>
          <cell r="E15">
            <v>636055</v>
          </cell>
          <cell r="F15">
            <v>636055000</v>
          </cell>
          <cell r="G15">
            <v>0.05</v>
          </cell>
          <cell r="H15">
            <v>499999655.23000002</v>
          </cell>
          <cell r="I15" t="str">
            <v>СР</v>
          </cell>
          <cell r="J15" t="str">
            <v>Сентрас</v>
          </cell>
          <cell r="K15">
            <v>1000</v>
          </cell>
        </row>
        <row r="16">
          <cell r="B16" t="str">
            <v>KZKD00000774</v>
          </cell>
          <cell r="C16">
            <v>45526</v>
          </cell>
          <cell r="D16">
            <v>50976</v>
          </cell>
          <cell r="E16">
            <v>715927</v>
          </cell>
          <cell r="F16">
            <v>715927000</v>
          </cell>
          <cell r="G16">
            <v>8.3500000000000005E-2</v>
          </cell>
          <cell r="H16">
            <v>499999479.19999999</v>
          </cell>
          <cell r="I16" t="str">
            <v>СР</v>
          </cell>
          <cell r="J16" t="str">
            <v>Сентрас</v>
          </cell>
          <cell r="K16">
            <v>1000</v>
          </cell>
        </row>
        <row r="17">
          <cell r="B17" t="str">
            <v>KZKD00000840</v>
          </cell>
          <cell r="C17">
            <v>45527</v>
          </cell>
          <cell r="D17" t="str">
            <v>04.02.2030</v>
          </cell>
          <cell r="E17">
            <v>500000</v>
          </cell>
          <cell r="F17">
            <v>500000000</v>
          </cell>
          <cell r="G17">
            <v>7.6799999999999993E-2</v>
          </cell>
          <cell r="H17">
            <v>414944166.67000002</v>
          </cell>
          <cell r="I17" t="str">
            <v>СР</v>
          </cell>
          <cell r="J17" t="str">
            <v>Сентрас</v>
          </cell>
          <cell r="K17">
            <v>1000</v>
          </cell>
        </row>
        <row r="18">
          <cell r="B18" t="str">
            <v>KZKD00000840</v>
          </cell>
          <cell r="C18">
            <v>45526</v>
          </cell>
          <cell r="D18" t="str">
            <v>04.02.2030</v>
          </cell>
          <cell r="E18">
            <v>500000</v>
          </cell>
          <cell r="F18">
            <v>500000000</v>
          </cell>
          <cell r="G18">
            <v>7.6799999999999993E-2</v>
          </cell>
          <cell r="H18">
            <v>417099000</v>
          </cell>
          <cell r="I18" t="str">
            <v>СР</v>
          </cell>
          <cell r="J18" t="str">
            <v>Сентрас</v>
          </cell>
          <cell r="K18">
            <v>1000</v>
          </cell>
        </row>
        <row r="19">
          <cell r="B19" t="str">
            <v>KZKD00000550</v>
          </cell>
          <cell r="C19">
            <v>45532</v>
          </cell>
          <cell r="D19" t="str">
            <v>24.04.2032</v>
          </cell>
          <cell r="E19">
            <v>500000</v>
          </cell>
          <cell r="F19">
            <v>500000000</v>
          </cell>
          <cell r="G19">
            <v>5.5E-2</v>
          </cell>
          <cell r="H19">
            <v>326530722.22000003</v>
          </cell>
          <cell r="I19" t="str">
            <v>СР</v>
          </cell>
          <cell r="J19" t="str">
            <v>Сентрас</v>
          </cell>
          <cell r="K19">
            <v>1000</v>
          </cell>
        </row>
        <row r="20">
          <cell r="B20" t="str">
            <v>KZKD00000758</v>
          </cell>
          <cell r="C20">
            <v>45533</v>
          </cell>
          <cell r="D20" t="str">
            <v>20.06.2027</v>
          </cell>
          <cell r="E20">
            <v>1000000</v>
          </cell>
          <cell r="F20">
            <v>1000000000</v>
          </cell>
          <cell r="G20">
            <v>7.4700000000000003E-2</v>
          </cell>
          <cell r="H20">
            <v>884755500</v>
          </cell>
          <cell r="I20" t="str">
            <v>СР</v>
          </cell>
          <cell r="J20" t="str">
            <v>BCC Invest</v>
          </cell>
          <cell r="K20">
            <v>1000</v>
          </cell>
        </row>
        <row r="21">
          <cell r="B21" t="str">
            <v>KZKD00001244</v>
          </cell>
          <cell r="C21">
            <v>45540</v>
          </cell>
          <cell r="D21">
            <v>47901</v>
          </cell>
          <cell r="E21">
            <v>500000</v>
          </cell>
          <cell r="F21">
            <v>500000000</v>
          </cell>
          <cell r="G21">
            <v>0.12</v>
          </cell>
          <cell r="H21">
            <v>502161666.67000002</v>
          </cell>
          <cell r="I21" t="str">
            <v>СР</v>
          </cell>
          <cell r="J21" t="str">
            <v>Сентрас</v>
          </cell>
          <cell r="K21">
            <v>1000</v>
          </cell>
        </row>
        <row r="22">
          <cell r="B22" t="str">
            <v>KZKD00001251</v>
          </cell>
          <cell r="C22">
            <v>45547</v>
          </cell>
          <cell r="D22">
            <v>47549</v>
          </cell>
          <cell r="E22">
            <v>300000</v>
          </cell>
          <cell r="F22">
            <v>300000000</v>
          </cell>
          <cell r="G22">
            <v>0.12</v>
          </cell>
          <cell r="H22">
            <v>302854400</v>
          </cell>
          <cell r="I22" t="str">
            <v>СР</v>
          </cell>
          <cell r="J22" t="str">
            <v>Сентрас</v>
          </cell>
          <cell r="K22">
            <v>1000</v>
          </cell>
        </row>
        <row r="23">
          <cell r="B23" t="str">
            <v>KZKD00000840</v>
          </cell>
          <cell r="C23">
            <v>45561</v>
          </cell>
          <cell r="D23" t="str">
            <v>04.02.2030</v>
          </cell>
          <cell r="E23">
            <v>500000</v>
          </cell>
          <cell r="F23">
            <v>500000000</v>
          </cell>
          <cell r="G23">
            <v>7.6799999999999993E-2</v>
          </cell>
          <cell r="H23">
            <v>421795166.67000002</v>
          </cell>
          <cell r="I23" t="str">
            <v>СР</v>
          </cell>
          <cell r="J23" t="str">
            <v>Сентрас</v>
          </cell>
          <cell r="K23">
            <v>1000</v>
          </cell>
        </row>
        <row r="24">
          <cell r="B24" t="str">
            <v>KZKD00001251</v>
          </cell>
          <cell r="C24">
            <v>45561</v>
          </cell>
          <cell r="D24">
            <v>47549</v>
          </cell>
          <cell r="E24">
            <v>491068</v>
          </cell>
          <cell r="F24">
            <v>491068000</v>
          </cell>
          <cell r="G24">
            <v>0.12</v>
          </cell>
          <cell r="H24">
            <v>499999708.47000003</v>
          </cell>
          <cell r="I24" t="str">
            <v>СР</v>
          </cell>
          <cell r="J24" t="str">
            <v>Tansar Capital</v>
          </cell>
          <cell r="K24">
            <v>1000</v>
          </cell>
        </row>
        <row r="25">
          <cell r="B25" t="str">
            <v>KZKD00000550</v>
          </cell>
          <cell r="C25">
            <v>45566</v>
          </cell>
          <cell r="D25" t="str">
            <v>24.04.2032</v>
          </cell>
          <cell r="E25">
            <v>500000</v>
          </cell>
          <cell r="F25">
            <v>500000000</v>
          </cell>
          <cell r="G25">
            <v>5.5E-2</v>
          </cell>
          <cell r="H25">
            <v>334090555.56</v>
          </cell>
          <cell r="I25" t="str">
            <v>СР</v>
          </cell>
          <cell r="J25" t="str">
            <v>Сентрас</v>
          </cell>
          <cell r="K25">
            <v>1000</v>
          </cell>
        </row>
        <row r="26">
          <cell r="B26" t="str">
            <v>KZKD00001251</v>
          </cell>
          <cell r="C26">
            <v>45582</v>
          </cell>
          <cell r="D26">
            <v>47549</v>
          </cell>
          <cell r="E26">
            <v>288579</v>
          </cell>
          <cell r="F26">
            <v>288579000</v>
          </cell>
          <cell r="G26">
            <v>0.12</v>
          </cell>
          <cell r="H26">
            <v>299999321.54000002</v>
          </cell>
          <cell r="I26" t="str">
            <v>СР</v>
          </cell>
          <cell r="J26" t="str">
            <v>Сентрас</v>
          </cell>
          <cell r="K26">
            <v>1000</v>
          </cell>
        </row>
        <row r="27">
          <cell r="B27" t="str">
            <v>KZK100000365</v>
          </cell>
          <cell r="C27">
            <v>45589</v>
          </cell>
          <cell r="D27">
            <v>45954</v>
          </cell>
          <cell r="E27">
            <v>5650000</v>
          </cell>
          <cell r="F27">
            <v>565000000</v>
          </cell>
          <cell r="G27">
            <v>0</v>
          </cell>
          <cell r="H27">
            <v>500029520</v>
          </cell>
          <cell r="I27" t="str">
            <v>СР</v>
          </cell>
          <cell r="J27" t="str">
            <v>Tansar Capital</v>
          </cell>
          <cell r="K27">
            <v>100</v>
          </cell>
        </row>
        <row r="28">
          <cell r="B28" t="str">
            <v>KZKD00000774</v>
          </cell>
          <cell r="C28">
            <v>45617</v>
          </cell>
          <cell r="D28">
            <v>50976</v>
          </cell>
          <cell r="E28">
            <v>284073</v>
          </cell>
          <cell r="F28">
            <v>284073000</v>
          </cell>
          <cell r="G28">
            <v>8.3500000000000005E-2</v>
          </cell>
          <cell r="H28">
            <v>203936448.59</v>
          </cell>
          <cell r="I28" t="str">
            <v>СР</v>
          </cell>
          <cell r="J28" t="str">
            <v>Сентрас</v>
          </cell>
          <cell r="K28">
            <v>1000</v>
          </cell>
        </row>
        <row r="29">
          <cell r="B29" t="str">
            <v>KZKD00000964</v>
          </cell>
          <cell r="C29">
            <v>45639</v>
          </cell>
          <cell r="D29" t="str">
            <v>10.05.2031</v>
          </cell>
          <cell r="E29">
            <v>220000</v>
          </cell>
          <cell r="F29">
            <v>220000000</v>
          </cell>
          <cell r="G29">
            <v>8.4399999999999989E-2</v>
          </cell>
          <cell r="H29">
            <v>182967986.66999999</v>
          </cell>
          <cell r="I29" t="str">
            <v>СР</v>
          </cell>
          <cell r="J29" t="str">
            <v>Сентрас</v>
          </cell>
          <cell r="K29">
            <v>1000</v>
          </cell>
        </row>
        <row r="30">
          <cell r="B30" t="str">
            <v>KZKD00001236</v>
          </cell>
          <cell r="C30">
            <v>45639</v>
          </cell>
          <cell r="D30">
            <v>48353</v>
          </cell>
          <cell r="E30">
            <v>173000</v>
          </cell>
          <cell r="F30">
            <v>173000000</v>
          </cell>
          <cell r="G30">
            <v>0.14000000000000001</v>
          </cell>
          <cell r="H30">
            <v>188266096.66999999</v>
          </cell>
          <cell r="I30" t="str">
            <v>СР</v>
          </cell>
          <cell r="J30" t="str">
            <v>Сентрас</v>
          </cell>
          <cell r="K30">
            <v>1000</v>
          </cell>
        </row>
        <row r="31">
          <cell r="B31" t="str">
            <v>KZKD00000550</v>
          </cell>
          <cell r="C31">
            <v>45649</v>
          </cell>
          <cell r="D31" t="str">
            <v>24.04.2032</v>
          </cell>
          <cell r="E31">
            <v>300000</v>
          </cell>
          <cell r="F31">
            <v>300000000</v>
          </cell>
          <cell r="G31">
            <v>5.5E-2</v>
          </cell>
          <cell r="H31">
            <v>205665566.66999999</v>
          </cell>
          <cell r="I31" t="str">
            <v>СР</v>
          </cell>
          <cell r="J31" t="str">
            <v>Сентрас</v>
          </cell>
          <cell r="K31">
            <v>1000</v>
          </cell>
        </row>
        <row r="32">
          <cell r="B32" t="str">
            <v>KZKD00001244</v>
          </cell>
          <cell r="C32">
            <v>45344</v>
          </cell>
          <cell r="D32">
            <v>47901</v>
          </cell>
          <cell r="E32">
            <v>5000000</v>
          </cell>
          <cell r="F32">
            <v>5000000000</v>
          </cell>
          <cell r="G32">
            <v>0.12</v>
          </cell>
          <cell r="H32">
            <v>5000000000</v>
          </cell>
          <cell r="I32" t="str">
            <v>СР</v>
          </cell>
          <cell r="J32" t="str">
            <v>НБРК</v>
          </cell>
          <cell r="K32">
            <v>1000</v>
          </cell>
        </row>
        <row r="33">
          <cell r="B33" t="str">
            <v>KZKD00001152</v>
          </cell>
          <cell r="C33">
            <v>45351</v>
          </cell>
          <cell r="D33">
            <v>48421</v>
          </cell>
          <cell r="E33">
            <v>5000000</v>
          </cell>
          <cell r="F33">
            <v>5000000000</v>
          </cell>
          <cell r="G33">
            <v>0.1065</v>
          </cell>
          <cell r="H33">
            <v>4962157500</v>
          </cell>
          <cell r="I33" t="str">
            <v>СР</v>
          </cell>
          <cell r="J33" t="str">
            <v>НБРК</v>
          </cell>
          <cell r="K33">
            <v>1000</v>
          </cell>
        </row>
        <row r="34">
          <cell r="B34" t="str">
            <v>KZKD00001251</v>
          </cell>
          <cell r="C34">
            <v>45358</v>
          </cell>
          <cell r="D34">
            <v>47549</v>
          </cell>
          <cell r="E34">
            <v>4000000</v>
          </cell>
          <cell r="F34">
            <v>4000000000</v>
          </cell>
          <cell r="G34">
            <v>0.12</v>
          </cell>
          <cell r="H34">
            <v>4000000000</v>
          </cell>
          <cell r="I34" t="str">
            <v>СР</v>
          </cell>
          <cell r="J34" t="str">
            <v>НБРК</v>
          </cell>
          <cell r="K34">
            <v>1000</v>
          </cell>
        </row>
        <row r="35">
          <cell r="B35" t="str">
            <v>KZKD00001129</v>
          </cell>
          <cell r="C35">
            <v>45393</v>
          </cell>
          <cell r="D35">
            <v>47924</v>
          </cell>
          <cell r="E35">
            <v>7000000</v>
          </cell>
          <cell r="F35">
            <v>7000000000</v>
          </cell>
          <cell r="G35">
            <v>0.10299999999999999</v>
          </cell>
          <cell r="H35">
            <v>6505881666.6700001</v>
          </cell>
          <cell r="I35" t="str">
            <v>СР</v>
          </cell>
          <cell r="J35" t="str">
            <v>НБРК</v>
          </cell>
          <cell r="K35">
            <v>1000</v>
          </cell>
        </row>
        <row r="36">
          <cell r="B36" t="str">
            <v>KZKD00001251</v>
          </cell>
          <cell r="C36">
            <v>45400</v>
          </cell>
          <cell r="D36">
            <v>47549</v>
          </cell>
          <cell r="E36">
            <v>7000000</v>
          </cell>
          <cell r="F36">
            <v>7000000000</v>
          </cell>
          <cell r="G36">
            <v>0.12</v>
          </cell>
          <cell r="H36">
            <v>7102316666.6700001</v>
          </cell>
          <cell r="I36" t="str">
            <v>СР</v>
          </cell>
          <cell r="J36" t="str">
            <v>НБРК</v>
          </cell>
          <cell r="K36">
            <v>1000</v>
          </cell>
        </row>
        <row r="37">
          <cell r="B37" t="str">
            <v>KZKD00000949</v>
          </cell>
          <cell r="C37">
            <v>45407</v>
          </cell>
          <cell r="D37" t="str">
            <v>16.04.2032</v>
          </cell>
          <cell r="E37">
            <v>10000000</v>
          </cell>
          <cell r="F37">
            <v>10000000000</v>
          </cell>
          <cell r="G37">
            <v>8.4499999999999992E-2</v>
          </cell>
          <cell r="H37">
            <v>8238165000</v>
          </cell>
          <cell r="I37" t="str">
            <v>СР</v>
          </cell>
          <cell r="J37" t="str">
            <v>НБРК</v>
          </cell>
          <cell r="K37">
            <v>1000</v>
          </cell>
        </row>
        <row r="38">
          <cell r="B38" t="str">
            <v>KZKD00000949</v>
          </cell>
          <cell r="C38">
            <v>45407</v>
          </cell>
          <cell r="D38" t="str">
            <v>16.04.2032</v>
          </cell>
          <cell r="E38">
            <v>10000000</v>
          </cell>
          <cell r="F38">
            <v>10000000000</v>
          </cell>
          <cell r="G38">
            <v>8.4499999999999992E-2</v>
          </cell>
          <cell r="H38">
            <v>8195805000</v>
          </cell>
          <cell r="I38" t="str">
            <v>СР</v>
          </cell>
          <cell r="J38" t="str">
            <v>НБРК</v>
          </cell>
          <cell r="K38">
            <v>1000</v>
          </cell>
        </row>
        <row r="39">
          <cell r="B39" t="str">
            <v>KZKD00001087</v>
          </cell>
          <cell r="C39">
            <v>45412</v>
          </cell>
          <cell r="D39" t="str">
            <v>31.03.2029</v>
          </cell>
          <cell r="E39">
            <v>15000000</v>
          </cell>
          <cell r="F39">
            <v>15000000000</v>
          </cell>
          <cell r="G39">
            <v>0.11</v>
          </cell>
          <cell r="H39">
            <v>14539285000</v>
          </cell>
          <cell r="I39" t="str">
            <v>СР</v>
          </cell>
          <cell r="J39" t="str">
            <v>НБРК</v>
          </cell>
          <cell r="K39">
            <v>1000</v>
          </cell>
        </row>
        <row r="40">
          <cell r="B40" t="str">
            <v>KZKD00001087</v>
          </cell>
          <cell r="C40">
            <v>45425</v>
          </cell>
          <cell r="D40" t="str">
            <v>31.03.2029</v>
          </cell>
          <cell r="E40">
            <v>10000000</v>
          </cell>
          <cell r="F40">
            <v>10000000000</v>
          </cell>
          <cell r="G40">
            <v>0.11</v>
          </cell>
          <cell r="H40">
            <v>9667138888.8899994</v>
          </cell>
          <cell r="I40" t="str">
            <v>СР</v>
          </cell>
          <cell r="J40" t="str">
            <v>НБРК</v>
          </cell>
          <cell r="K40">
            <v>1000</v>
          </cell>
        </row>
        <row r="41">
          <cell r="B41" t="str">
            <v>KZKD00001251</v>
          </cell>
          <cell r="C41">
            <v>45428</v>
          </cell>
          <cell r="D41">
            <v>47549</v>
          </cell>
          <cell r="E41">
            <v>10000000</v>
          </cell>
          <cell r="F41">
            <v>10000000000</v>
          </cell>
          <cell r="G41">
            <v>0.12</v>
          </cell>
          <cell r="H41">
            <v>10001670000</v>
          </cell>
          <cell r="I41" t="str">
            <v>СР</v>
          </cell>
          <cell r="J41" t="str">
            <v>НБРК</v>
          </cell>
          <cell r="K41">
            <v>1000</v>
          </cell>
        </row>
        <row r="42">
          <cell r="B42" t="str">
            <v>KZKD00001244</v>
          </cell>
          <cell r="C42">
            <v>45435</v>
          </cell>
          <cell r="D42">
            <v>47901</v>
          </cell>
          <cell r="E42">
            <v>500000</v>
          </cell>
          <cell r="F42">
            <v>500000000</v>
          </cell>
          <cell r="G42">
            <v>0.12</v>
          </cell>
          <cell r="H42">
            <v>505711166.67000002</v>
          </cell>
          <cell r="I42" t="str">
            <v>СР</v>
          </cell>
          <cell r="J42" t="str">
            <v>НБРК</v>
          </cell>
          <cell r="K42">
            <v>1000</v>
          </cell>
        </row>
        <row r="43">
          <cell r="B43" t="str">
            <v>KZKD00001244</v>
          </cell>
          <cell r="C43">
            <v>45435</v>
          </cell>
          <cell r="D43">
            <v>47901</v>
          </cell>
          <cell r="E43">
            <v>500000</v>
          </cell>
          <cell r="F43">
            <v>500000000</v>
          </cell>
          <cell r="G43">
            <v>0.12</v>
          </cell>
          <cell r="H43">
            <v>504624166.67000002</v>
          </cell>
          <cell r="I43" t="str">
            <v>СР</v>
          </cell>
          <cell r="J43" t="str">
            <v>НБРК</v>
          </cell>
          <cell r="K43">
            <v>1000</v>
          </cell>
        </row>
        <row r="44">
          <cell r="B44" t="str">
            <v>KZKD00001244</v>
          </cell>
          <cell r="C44">
            <v>45435</v>
          </cell>
          <cell r="D44">
            <v>47901</v>
          </cell>
          <cell r="E44">
            <v>500000</v>
          </cell>
          <cell r="F44">
            <v>500000000</v>
          </cell>
          <cell r="G44">
            <v>0.12</v>
          </cell>
          <cell r="H44">
            <v>503540166.67000002</v>
          </cell>
          <cell r="I44" t="str">
            <v>СР</v>
          </cell>
          <cell r="J44" t="str">
            <v>НБРК</v>
          </cell>
          <cell r="K44">
            <v>1000</v>
          </cell>
        </row>
        <row r="45">
          <cell r="B45" t="str">
            <v>KZKD00001244</v>
          </cell>
          <cell r="C45">
            <v>45435</v>
          </cell>
          <cell r="D45">
            <v>47901</v>
          </cell>
          <cell r="E45">
            <v>500000</v>
          </cell>
          <cell r="F45">
            <v>500000000</v>
          </cell>
          <cell r="G45">
            <v>0.12</v>
          </cell>
          <cell r="H45">
            <v>502459666.67000002</v>
          </cell>
          <cell r="I45" t="str">
            <v>СР</v>
          </cell>
          <cell r="J45" t="str">
            <v>НБРК</v>
          </cell>
          <cell r="K45">
            <v>1000</v>
          </cell>
        </row>
        <row r="46">
          <cell r="B46" t="str">
            <v>KZKD00001244</v>
          </cell>
          <cell r="C46">
            <v>45435</v>
          </cell>
          <cell r="D46">
            <v>47901</v>
          </cell>
          <cell r="E46">
            <v>500000</v>
          </cell>
          <cell r="F46">
            <v>500000000</v>
          </cell>
          <cell r="G46">
            <v>0.12</v>
          </cell>
          <cell r="H46">
            <v>501382166.67000002</v>
          </cell>
          <cell r="I46" t="str">
            <v>СР</v>
          </cell>
          <cell r="J46" t="str">
            <v>НБРК</v>
          </cell>
          <cell r="K46">
            <v>1000</v>
          </cell>
        </row>
        <row r="47">
          <cell r="B47" t="str">
            <v>KZKD00001160</v>
          </cell>
          <cell r="C47">
            <v>45471</v>
          </cell>
          <cell r="D47">
            <v>47327</v>
          </cell>
          <cell r="E47">
            <v>12000000</v>
          </cell>
          <cell r="F47">
            <v>12000000000</v>
          </cell>
          <cell r="G47">
            <v>0.1055</v>
          </cell>
          <cell r="H47">
            <v>11968600000</v>
          </cell>
          <cell r="I47" t="str">
            <v>СР</v>
          </cell>
          <cell r="J47" t="str">
            <v>НБРК</v>
          </cell>
          <cell r="K47">
            <v>1000</v>
          </cell>
        </row>
        <row r="48">
          <cell r="B48" t="str">
            <v>KZKD00000543</v>
          </cell>
          <cell r="C48">
            <v>45498</v>
          </cell>
          <cell r="D48" t="str">
            <v>18.04.2028</v>
          </cell>
          <cell r="E48">
            <v>9000000</v>
          </cell>
          <cell r="F48">
            <v>9000000000</v>
          </cell>
          <cell r="G48">
            <v>0.05</v>
          </cell>
          <cell r="H48">
            <v>7030937000</v>
          </cell>
          <cell r="I48" t="str">
            <v>СР</v>
          </cell>
          <cell r="J48" t="str">
            <v>НБРК</v>
          </cell>
          <cell r="K48">
            <v>1000</v>
          </cell>
        </row>
        <row r="49">
          <cell r="B49" t="str">
            <v>KZKD00001160</v>
          </cell>
          <cell r="C49">
            <v>45533</v>
          </cell>
          <cell r="D49">
            <v>47327</v>
          </cell>
          <cell r="E49">
            <v>16500000</v>
          </cell>
          <cell r="F49">
            <v>16500000000</v>
          </cell>
          <cell r="G49">
            <v>0.1055</v>
          </cell>
          <cell r="H49">
            <v>15023839416.67</v>
          </cell>
          <cell r="I49" t="str">
            <v>СР</v>
          </cell>
          <cell r="J49" t="str">
            <v>НБРК</v>
          </cell>
          <cell r="K49">
            <v>1000</v>
          </cell>
        </row>
        <row r="50">
          <cell r="B50" t="str">
            <v>KZK200000729</v>
          </cell>
          <cell r="C50">
            <v>45608</v>
          </cell>
          <cell r="D50">
            <v>46281</v>
          </cell>
          <cell r="E50">
            <v>21000000</v>
          </cell>
          <cell r="F50">
            <v>21000000000</v>
          </cell>
          <cell r="G50">
            <v>0.13900000000000001</v>
          </cell>
          <cell r="H50">
            <v>21915940666.669998</v>
          </cell>
          <cell r="I50" t="str">
            <v>СР</v>
          </cell>
          <cell r="J50" t="str">
            <v>НБРК</v>
          </cell>
          <cell r="K50">
            <v>1000</v>
          </cell>
        </row>
        <row r="51">
          <cell r="B51" t="str">
            <v>KZKD00001244</v>
          </cell>
          <cell r="C51">
            <v>45344</v>
          </cell>
          <cell r="D51">
            <v>47901</v>
          </cell>
          <cell r="E51">
            <v>4750000</v>
          </cell>
          <cell r="F51">
            <v>4750000000</v>
          </cell>
          <cell r="G51">
            <v>0.12</v>
          </cell>
          <cell r="H51">
            <v>4750000000</v>
          </cell>
          <cell r="I51" t="str">
            <v>СА</v>
          </cell>
          <cell r="J51" t="str">
            <v>НБРК</v>
          </cell>
          <cell r="K51">
            <v>1000</v>
          </cell>
        </row>
        <row r="52">
          <cell r="B52" t="str">
            <v>KZKD00001244</v>
          </cell>
          <cell r="C52">
            <v>45351</v>
          </cell>
          <cell r="D52">
            <v>47901</v>
          </cell>
          <cell r="E52">
            <v>5000000</v>
          </cell>
          <cell r="F52">
            <v>5000000000</v>
          </cell>
          <cell r="G52">
            <v>0.12</v>
          </cell>
          <cell r="H52">
            <v>5033886666.6700001</v>
          </cell>
          <cell r="I52" t="str">
            <v>СА</v>
          </cell>
          <cell r="J52" t="str">
            <v>НБРК</v>
          </cell>
          <cell r="K52">
            <v>1000</v>
          </cell>
        </row>
        <row r="53">
          <cell r="B53" t="str">
            <v>KZKD00001129</v>
          </cell>
          <cell r="C53">
            <v>45393</v>
          </cell>
          <cell r="D53">
            <v>47924</v>
          </cell>
          <cell r="E53">
            <v>7000000</v>
          </cell>
          <cell r="F53">
            <v>7000000000</v>
          </cell>
          <cell r="G53">
            <v>0.10299999999999999</v>
          </cell>
          <cell r="H53">
            <v>6505881666.6700001</v>
          </cell>
          <cell r="I53" t="str">
            <v>СА</v>
          </cell>
          <cell r="J53" t="str">
            <v>НБРК</v>
          </cell>
          <cell r="K53">
            <v>1000</v>
          </cell>
        </row>
        <row r="54">
          <cell r="B54" t="str">
            <v>KZKD00001087</v>
          </cell>
          <cell r="C54">
            <v>45412</v>
          </cell>
          <cell r="D54" t="str">
            <v>31.03.2029</v>
          </cell>
          <cell r="E54">
            <v>5000000</v>
          </cell>
          <cell r="F54">
            <v>5000000000</v>
          </cell>
          <cell r="G54">
            <v>0.11</v>
          </cell>
          <cell r="H54">
            <v>4846428333.3299999</v>
          </cell>
          <cell r="I54" t="str">
            <v>СА</v>
          </cell>
          <cell r="J54" t="str">
            <v>НБРК</v>
          </cell>
          <cell r="K54">
            <v>1000</v>
          </cell>
        </row>
        <row r="55">
          <cell r="B55" t="str">
            <v>KZKD00001087</v>
          </cell>
          <cell r="C55">
            <v>45435</v>
          </cell>
          <cell r="D55" t="str">
            <v>31.03.2029</v>
          </cell>
          <cell r="E55">
            <v>500000</v>
          </cell>
          <cell r="F55">
            <v>500000000</v>
          </cell>
          <cell r="G55">
            <v>0.11</v>
          </cell>
          <cell r="H55">
            <v>483260222.22000003</v>
          </cell>
          <cell r="I55" t="str">
            <v>СА</v>
          </cell>
          <cell r="J55" t="str">
            <v>НБРК</v>
          </cell>
          <cell r="K55">
            <v>1000</v>
          </cell>
        </row>
        <row r="56">
          <cell r="B56" t="str">
            <v>KZKD00001087</v>
          </cell>
          <cell r="C56">
            <v>45435</v>
          </cell>
          <cell r="D56" t="str">
            <v>31.03.2029</v>
          </cell>
          <cell r="E56">
            <v>500000</v>
          </cell>
          <cell r="F56">
            <v>500000000</v>
          </cell>
          <cell r="G56">
            <v>0.11</v>
          </cell>
          <cell r="H56">
            <v>482416222.22000003</v>
          </cell>
          <cell r="I56" t="str">
            <v>СА</v>
          </cell>
          <cell r="J56" t="str">
            <v>НБРК</v>
          </cell>
          <cell r="K56">
            <v>1000</v>
          </cell>
        </row>
        <row r="57">
          <cell r="B57" t="str">
            <v>KZKD00001087</v>
          </cell>
          <cell r="C57">
            <v>45435</v>
          </cell>
          <cell r="D57" t="str">
            <v>31.03.2029</v>
          </cell>
          <cell r="E57">
            <v>500000</v>
          </cell>
          <cell r="F57">
            <v>500000000</v>
          </cell>
          <cell r="G57">
            <v>0.11</v>
          </cell>
          <cell r="H57">
            <v>481574222.22000003</v>
          </cell>
          <cell r="I57" t="str">
            <v>СА</v>
          </cell>
          <cell r="J57" t="str">
            <v>НБРК</v>
          </cell>
          <cell r="K57">
            <v>1000</v>
          </cell>
        </row>
        <row r="58">
          <cell r="B58" t="str">
            <v>KZKD00001087</v>
          </cell>
          <cell r="C58">
            <v>45435</v>
          </cell>
          <cell r="D58" t="str">
            <v>31.03.2029</v>
          </cell>
          <cell r="E58">
            <v>500000</v>
          </cell>
          <cell r="F58">
            <v>500000000</v>
          </cell>
          <cell r="G58">
            <v>0.11</v>
          </cell>
          <cell r="H58">
            <v>480734722.22000003</v>
          </cell>
          <cell r="I58" t="str">
            <v>СА</v>
          </cell>
          <cell r="J58" t="str">
            <v>НБРК</v>
          </cell>
          <cell r="K58">
            <v>1000</v>
          </cell>
        </row>
        <row r="59">
          <cell r="B59" t="str">
            <v>KZKD00001087</v>
          </cell>
          <cell r="C59">
            <v>45435</v>
          </cell>
          <cell r="D59" t="str">
            <v>31.03.2029</v>
          </cell>
          <cell r="E59">
            <v>500000</v>
          </cell>
          <cell r="F59">
            <v>500000000</v>
          </cell>
          <cell r="G59">
            <v>0.11</v>
          </cell>
          <cell r="H59">
            <v>479896722.22000003</v>
          </cell>
          <cell r="I59" t="str">
            <v>СА</v>
          </cell>
          <cell r="J59" t="str">
            <v>НБРК</v>
          </cell>
          <cell r="K59">
            <v>1000</v>
          </cell>
        </row>
        <row r="60">
          <cell r="B60" t="str">
            <v>KZKD00000741</v>
          </cell>
          <cell r="C60">
            <v>45435</v>
          </cell>
          <cell r="D60" t="str">
            <v>12.05.2034</v>
          </cell>
          <cell r="E60">
            <v>500000</v>
          </cell>
          <cell r="F60">
            <v>500000000</v>
          </cell>
          <cell r="G60">
            <v>8.0700000000000008E-2</v>
          </cell>
          <cell r="H60">
            <v>378728416.67000002</v>
          </cell>
          <cell r="I60" t="str">
            <v>СА</v>
          </cell>
          <cell r="J60" t="str">
            <v>НБРК</v>
          </cell>
          <cell r="K60">
            <v>1000</v>
          </cell>
        </row>
        <row r="61">
          <cell r="B61" t="str">
            <v>KZKD00000741</v>
          </cell>
          <cell r="C61">
            <v>45435</v>
          </cell>
          <cell r="D61" t="str">
            <v>12.05.2034</v>
          </cell>
          <cell r="E61">
            <v>500000</v>
          </cell>
          <cell r="F61">
            <v>500000000</v>
          </cell>
          <cell r="G61">
            <v>8.0700000000000008E-2</v>
          </cell>
          <cell r="H61">
            <v>377595916.67000002</v>
          </cell>
          <cell r="I61" t="str">
            <v>СА</v>
          </cell>
          <cell r="J61" t="str">
            <v>НБРК</v>
          </cell>
          <cell r="K61">
            <v>1000</v>
          </cell>
        </row>
        <row r="62">
          <cell r="B62" t="str">
            <v>KZKD00000741</v>
          </cell>
          <cell r="C62">
            <v>45435</v>
          </cell>
          <cell r="D62" t="str">
            <v>12.05.2034</v>
          </cell>
          <cell r="E62">
            <v>500000</v>
          </cell>
          <cell r="F62">
            <v>500000000</v>
          </cell>
          <cell r="G62">
            <v>8.0700000000000008E-2</v>
          </cell>
          <cell r="H62">
            <v>376467916.67000002</v>
          </cell>
          <cell r="I62" t="str">
            <v>СА</v>
          </cell>
          <cell r="J62" t="str">
            <v>НБРК</v>
          </cell>
          <cell r="K62">
            <v>1000</v>
          </cell>
        </row>
        <row r="63">
          <cell r="B63" t="str">
            <v>KZKD00000899</v>
          </cell>
          <cell r="C63">
            <v>45435</v>
          </cell>
          <cell r="D63" t="str">
            <v>06.03.2027</v>
          </cell>
          <cell r="E63">
            <v>3000000</v>
          </cell>
          <cell r="F63">
            <v>3000000000</v>
          </cell>
          <cell r="G63">
            <v>0.09</v>
          </cell>
          <cell r="H63">
            <v>2811504000</v>
          </cell>
          <cell r="I63" t="str">
            <v>СА</v>
          </cell>
          <cell r="J63" t="str">
            <v>НБРК</v>
          </cell>
          <cell r="K63">
            <v>1000</v>
          </cell>
        </row>
        <row r="64">
          <cell r="B64" t="str">
            <v>KZKD00001251</v>
          </cell>
          <cell r="C64">
            <v>45470</v>
          </cell>
          <cell r="D64">
            <v>47549</v>
          </cell>
          <cell r="E64">
            <v>5000000</v>
          </cell>
          <cell r="F64">
            <v>5000000000</v>
          </cell>
          <cell r="G64">
            <v>0.12</v>
          </cell>
          <cell r="H64">
            <v>4902933333.3299999</v>
          </cell>
          <cell r="I64" t="str">
            <v>СА</v>
          </cell>
          <cell r="J64" t="str">
            <v>НБРК</v>
          </cell>
          <cell r="K64">
            <v>1000</v>
          </cell>
        </row>
        <row r="65">
          <cell r="B65" t="str">
            <v>KZK200000687</v>
          </cell>
          <cell r="C65"/>
          <cell r="D65">
            <v>46043</v>
          </cell>
          <cell r="E65">
            <v>6000</v>
          </cell>
          <cell r="F65">
            <v>6000000</v>
          </cell>
          <cell r="G65">
            <v>0.1067</v>
          </cell>
          <cell r="H65">
            <v>5875569</v>
          </cell>
          <cell r="I65" t="str">
            <v>СР</v>
          </cell>
          <cell r="J65" t="str">
            <v>Tansar Capital</v>
          </cell>
          <cell r="K65">
            <v>1000</v>
          </cell>
        </row>
        <row r="66">
          <cell r="B66" t="str">
            <v>KZK200000687</v>
          </cell>
          <cell r="C66"/>
          <cell r="D66">
            <v>46043</v>
          </cell>
          <cell r="E66">
            <v>8500</v>
          </cell>
          <cell r="F66">
            <v>8500000</v>
          </cell>
          <cell r="G66">
            <v>0.1067</v>
          </cell>
          <cell r="H66">
            <v>8326514.0599999996</v>
          </cell>
          <cell r="I66" t="str">
            <v>СР</v>
          </cell>
          <cell r="J66" t="str">
            <v>Tansar Capital</v>
          </cell>
          <cell r="K66">
            <v>1000</v>
          </cell>
        </row>
        <row r="67">
          <cell r="B67" t="str">
            <v>KZKD00001160</v>
          </cell>
          <cell r="C67"/>
          <cell r="D67">
            <v>47327</v>
          </cell>
          <cell r="E67">
            <v>225000</v>
          </cell>
          <cell r="F67">
            <v>225000000</v>
          </cell>
          <cell r="G67">
            <v>0.1055</v>
          </cell>
          <cell r="H67">
            <v>204556587.5</v>
          </cell>
          <cell r="I67" t="str">
            <v>СР</v>
          </cell>
          <cell r="J67" t="str">
            <v>Сентрас</v>
          </cell>
          <cell r="K67">
            <v>1000</v>
          </cell>
        </row>
        <row r="68">
          <cell r="B68" t="str">
            <v>KZK200000687</v>
          </cell>
          <cell r="C68"/>
          <cell r="D68">
            <v>46043</v>
          </cell>
          <cell r="E68">
            <v>6122</v>
          </cell>
          <cell r="F68">
            <v>6122000</v>
          </cell>
          <cell r="G68">
            <v>0.1067</v>
          </cell>
          <cell r="H68">
            <v>5999059.7000000002</v>
          </cell>
          <cell r="I68" t="str">
            <v>СР</v>
          </cell>
          <cell r="J68" t="str">
            <v>Tansar Capital</v>
          </cell>
          <cell r="K68">
            <v>1000</v>
          </cell>
        </row>
        <row r="69">
          <cell r="B69" t="str">
            <v>KZK200000687</v>
          </cell>
          <cell r="C69"/>
          <cell r="D69">
            <v>46043</v>
          </cell>
          <cell r="E69">
            <v>8368</v>
          </cell>
          <cell r="F69">
            <v>8368000</v>
          </cell>
          <cell r="G69">
            <v>0.1067</v>
          </cell>
          <cell r="H69">
            <v>8199956.1399999997</v>
          </cell>
          <cell r="I69" t="str">
            <v>СР</v>
          </cell>
          <cell r="J69" t="str">
            <v>Tansar Capital</v>
          </cell>
          <cell r="K69">
            <v>1000</v>
          </cell>
        </row>
        <row r="70">
          <cell r="B70" t="str">
            <v>KZKD00001160</v>
          </cell>
          <cell r="C70"/>
          <cell r="D70">
            <v>47327</v>
          </cell>
          <cell r="E70">
            <v>225000</v>
          </cell>
          <cell r="F70">
            <v>225000000</v>
          </cell>
          <cell r="G70">
            <v>0.1055</v>
          </cell>
          <cell r="H70">
            <v>204118100</v>
          </cell>
          <cell r="I70" t="str">
            <v>СР</v>
          </cell>
          <cell r="J70" t="str">
            <v>Сентрас</v>
          </cell>
          <cell r="K70">
            <v>1000</v>
          </cell>
        </row>
        <row r="71">
          <cell r="B71" t="str">
            <v>KZK200000687</v>
          </cell>
          <cell r="C71"/>
          <cell r="D71">
            <v>46043</v>
          </cell>
          <cell r="E71">
            <v>2</v>
          </cell>
          <cell r="F71">
            <v>2000</v>
          </cell>
          <cell r="G71">
            <v>0.1067</v>
          </cell>
          <cell r="H71">
            <v>1967.74</v>
          </cell>
          <cell r="I71" t="str">
            <v>СР</v>
          </cell>
          <cell r="J71" t="str">
            <v>Tansar Capital</v>
          </cell>
          <cell r="K71">
            <v>1000</v>
          </cell>
        </row>
        <row r="72">
          <cell r="B72" t="str">
            <v>KZK200000687</v>
          </cell>
          <cell r="C72"/>
          <cell r="D72">
            <v>46043</v>
          </cell>
          <cell r="E72">
            <v>1</v>
          </cell>
          <cell r="F72">
            <v>1000</v>
          </cell>
          <cell r="G72">
            <v>0.1067</v>
          </cell>
          <cell r="H72">
            <v>986.18</v>
          </cell>
          <cell r="I72" t="str">
            <v>СР</v>
          </cell>
          <cell r="J72" t="str">
            <v>Tansar Capital</v>
          </cell>
          <cell r="K72">
            <v>1000</v>
          </cell>
        </row>
        <row r="73">
          <cell r="B73" t="str">
            <v>KZK200000687</v>
          </cell>
          <cell r="C73"/>
          <cell r="D73">
            <v>46043</v>
          </cell>
          <cell r="E73">
            <v>1500000</v>
          </cell>
          <cell r="F73">
            <v>1500000000</v>
          </cell>
          <cell r="G73">
            <v>0.1067</v>
          </cell>
          <cell r="H73">
            <v>1467191083.3299999</v>
          </cell>
          <cell r="I73" t="str">
            <v>СР</v>
          </cell>
          <cell r="J73" t="str">
            <v>Сентрас</v>
          </cell>
          <cell r="K73">
            <v>1000</v>
          </cell>
        </row>
        <row r="74">
          <cell r="B74" t="str">
            <v>KZKD00000535</v>
          </cell>
          <cell r="C74"/>
          <cell r="D74" t="str">
            <v>27.03.2027</v>
          </cell>
          <cell r="E74">
            <v>500000</v>
          </cell>
          <cell r="F74">
            <v>500000000</v>
          </cell>
          <cell r="G74">
            <v>5.4900000000000004E-2</v>
          </cell>
          <cell r="H74">
            <v>437404500</v>
          </cell>
          <cell r="I74" t="str">
            <v>СР</v>
          </cell>
          <cell r="J74" t="str">
            <v>Сентрас</v>
          </cell>
          <cell r="K74">
            <v>1000</v>
          </cell>
        </row>
        <row r="75">
          <cell r="B75" t="str">
            <v>KZKD00001160</v>
          </cell>
          <cell r="C75"/>
          <cell r="D75">
            <v>47327</v>
          </cell>
          <cell r="E75">
            <v>208000</v>
          </cell>
          <cell r="F75">
            <v>208000000</v>
          </cell>
          <cell r="G75">
            <v>0.1055</v>
          </cell>
          <cell r="H75">
            <v>194206260.44</v>
          </cell>
          <cell r="I75" t="str">
            <v>СР</v>
          </cell>
          <cell r="J75" t="str">
            <v>Сентрас</v>
          </cell>
          <cell r="K75">
            <v>1000</v>
          </cell>
        </row>
        <row r="76">
          <cell r="B76" t="str">
            <v>KZKD00001087</v>
          </cell>
          <cell r="C76"/>
          <cell r="D76" t="str">
            <v>31.03.2029</v>
          </cell>
          <cell r="E76">
            <v>202300</v>
          </cell>
          <cell r="F76">
            <v>202300000</v>
          </cell>
          <cell r="G76">
            <v>0.11</v>
          </cell>
          <cell r="H76">
            <v>203630729.40000001</v>
          </cell>
          <cell r="I76" t="str">
            <v>СР</v>
          </cell>
          <cell r="J76" t="str">
            <v>Сентрас</v>
          </cell>
          <cell r="K76">
            <v>1000</v>
          </cell>
        </row>
        <row r="77">
          <cell r="B77" t="str">
            <v>KZKD00001160</v>
          </cell>
          <cell r="C77"/>
          <cell r="D77">
            <v>47327</v>
          </cell>
          <cell r="E77">
            <v>225000</v>
          </cell>
          <cell r="F77">
            <v>225000000</v>
          </cell>
          <cell r="G77">
            <v>0.1055</v>
          </cell>
          <cell r="H77">
            <v>214524437.5</v>
          </cell>
          <cell r="I77" t="str">
            <v>СР</v>
          </cell>
          <cell r="J77" t="str">
            <v>Сентрас</v>
          </cell>
          <cell r="K77">
            <v>1000</v>
          </cell>
        </row>
        <row r="78">
          <cell r="B78" t="str">
            <v>KZKD00000964</v>
          </cell>
          <cell r="C78"/>
          <cell r="D78" t="str">
            <v>10.05.2031</v>
          </cell>
          <cell r="E78">
            <v>213000</v>
          </cell>
          <cell r="F78">
            <v>213000000</v>
          </cell>
          <cell r="G78">
            <v>8.4399999999999989E-2</v>
          </cell>
          <cell r="H78">
            <v>185358209</v>
          </cell>
          <cell r="I78" t="str">
            <v>СР</v>
          </cell>
          <cell r="J78" t="str">
            <v>Сентрас</v>
          </cell>
          <cell r="K78">
            <v>1000</v>
          </cell>
        </row>
        <row r="79">
          <cell r="B79" t="str">
            <v>KZKD00001236</v>
          </cell>
          <cell r="C79"/>
          <cell r="D79">
            <v>48353</v>
          </cell>
          <cell r="E79">
            <v>163000</v>
          </cell>
          <cell r="F79">
            <v>163000000</v>
          </cell>
          <cell r="G79">
            <v>0.14000000000000001</v>
          </cell>
          <cell r="H79">
            <v>185683677.66999999</v>
          </cell>
          <cell r="I79" t="str">
            <v>СР</v>
          </cell>
          <cell r="J79" t="str">
            <v>Сентрас</v>
          </cell>
          <cell r="K79">
            <v>1000</v>
          </cell>
        </row>
        <row r="80">
          <cell r="B80" t="str">
            <v>KZKD00001087</v>
          </cell>
          <cell r="C80"/>
          <cell r="D80" t="str">
            <v>31.03.2029</v>
          </cell>
          <cell r="E80">
            <v>182000</v>
          </cell>
          <cell r="F80">
            <v>182000000</v>
          </cell>
          <cell r="G80">
            <v>0.11</v>
          </cell>
          <cell r="H80">
            <v>184677563.78</v>
          </cell>
          <cell r="I80" t="str">
            <v>СР</v>
          </cell>
          <cell r="J80" t="str">
            <v>Сентрас</v>
          </cell>
          <cell r="K80">
            <v>1000</v>
          </cell>
        </row>
        <row r="81">
          <cell r="B81" t="str">
            <v>KZKD00001152</v>
          </cell>
          <cell r="C81"/>
          <cell r="D81">
            <v>48421</v>
          </cell>
          <cell r="E81">
            <v>250000</v>
          </cell>
          <cell r="F81">
            <v>250000000</v>
          </cell>
          <cell r="G81">
            <v>0.1065</v>
          </cell>
          <cell r="H81">
            <v>237230041.66999999</v>
          </cell>
          <cell r="I81" t="str">
            <v>СР</v>
          </cell>
          <cell r="J81" t="str">
            <v>Сентрас</v>
          </cell>
          <cell r="K81">
            <v>1000</v>
          </cell>
        </row>
        <row r="82">
          <cell r="B82" t="str">
            <v>KZKD00000550</v>
          </cell>
          <cell r="C82"/>
          <cell r="D82" t="str">
            <v>24.04.2032</v>
          </cell>
          <cell r="E82">
            <v>500000</v>
          </cell>
          <cell r="F82">
            <v>500000000</v>
          </cell>
          <cell r="G82">
            <v>5.5E-2</v>
          </cell>
          <cell r="H82">
            <v>348542500</v>
          </cell>
          <cell r="I82" t="str">
            <v>СР</v>
          </cell>
          <cell r="J82" t="str">
            <v>Сентрас</v>
          </cell>
          <cell r="K82">
            <v>1000</v>
          </cell>
        </row>
        <row r="83">
          <cell r="B83" t="str">
            <v>KZKD00001152</v>
          </cell>
          <cell r="C83"/>
          <cell r="D83">
            <v>48421</v>
          </cell>
          <cell r="E83">
            <v>250000</v>
          </cell>
          <cell r="F83">
            <v>250000000</v>
          </cell>
          <cell r="G83">
            <v>0.1065</v>
          </cell>
          <cell r="H83">
            <v>232785583.33000001</v>
          </cell>
          <cell r="I83" t="str">
            <v>СР</v>
          </cell>
          <cell r="J83" t="str">
            <v>Сентрас</v>
          </cell>
          <cell r="K83">
            <v>1000</v>
          </cell>
        </row>
        <row r="84">
          <cell r="B84" t="str">
            <v>KZKD00001152</v>
          </cell>
          <cell r="C84"/>
          <cell r="D84">
            <v>48421</v>
          </cell>
          <cell r="E84">
            <v>250000</v>
          </cell>
          <cell r="F84">
            <v>250000000</v>
          </cell>
          <cell r="G84">
            <v>0.1065</v>
          </cell>
          <cell r="H84">
            <v>233999750</v>
          </cell>
          <cell r="I84" t="str">
            <v>СР</v>
          </cell>
          <cell r="J84" t="str">
            <v>Сентрас</v>
          </cell>
          <cell r="K84">
            <v>1000</v>
          </cell>
        </row>
        <row r="85">
          <cell r="B85" t="str">
            <v>KZKD00001152</v>
          </cell>
          <cell r="C85"/>
          <cell r="D85">
            <v>48421</v>
          </cell>
          <cell r="E85">
            <v>218000</v>
          </cell>
          <cell r="F85">
            <v>218000000</v>
          </cell>
          <cell r="G85">
            <v>0.1065</v>
          </cell>
          <cell r="H85">
            <v>204037754</v>
          </cell>
          <cell r="I85" t="str">
            <v>СР</v>
          </cell>
          <cell r="J85" t="str">
            <v>Сентрас</v>
          </cell>
          <cell r="K85">
            <v>1000</v>
          </cell>
        </row>
        <row r="86">
          <cell r="B86" t="str">
            <v>KZKD00000535</v>
          </cell>
          <cell r="C86"/>
          <cell r="D86" t="str">
            <v>27.03.2027</v>
          </cell>
          <cell r="E86">
            <v>6030000</v>
          </cell>
          <cell r="F86">
            <v>6030000000</v>
          </cell>
          <cell r="G86">
            <v>5.4900000000000004E-2</v>
          </cell>
          <cell r="H86">
            <v>5113840995</v>
          </cell>
          <cell r="I86" t="str">
            <v>СР</v>
          </cell>
          <cell r="J86" t="str">
            <v>НБРК</v>
          </cell>
          <cell r="K86">
            <v>1000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3BB6429-CF47-4C02-85A3-F567C4EBC92E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Column1" tableColumnId="1"/>
      <queryTableField id="2" name="Дата расчёта" tableColumnId="2"/>
      <queryTableField id="3" name="Последнее значение" tableColumnId="3"/>
      <queryTableField id="4" name="Изменение к предыдущему значению, %" tableColumnId="4"/>
      <queryTableField id="5" name="Изменение с начала месяца, %" tableColumnId="5"/>
      <queryTableField id="6" name="Изменение за месяц, %" tableColumnId="6"/>
      <queryTableField id="7" name="Изменение с начала года, %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44E262A7-594B-4C2F-BFEA-A77550401D6B}" autoFormatId="16" applyNumberFormats="0" applyBorderFormats="0" applyFontFormats="0" applyPatternFormats="0" applyAlignmentFormats="0" applyWidthHeightFormats="0">
  <queryTableRefresh nextId="5">
    <queryTableFields count="4">
      <queryTableField id="1" name="Дата расчетов" tableColumnId="1"/>
      <queryTableField id="2" name="MBM index" tableColumnId="2"/>
      <queryTableField id="3" name="Duration" tableColumnId="3"/>
      <queryTableField id="4" name="ModDuratio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7" xr16:uid="{5BB30164-8925-4112-B778-F30397E85F51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Дата" tableColumnId="1"/>
      <queryTableField id="4" name="Курс" tableColumnId="4"/>
      <queryTableField id="5" name="Изменение" tableColumnId="5"/>
      <queryTableField id="2" dataBound="0" tableColumnId="2"/>
      <queryTableField id="3" dataBound="0" tableColumnId="3"/>
    </queryTableFields>
    <queryTableDeletedFields count="2">
      <deletedField name="Курс"/>
      <deletedField name="Изменение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D114FC-9106-4B7C-AB66-33F0E1A6469B}" name="Table_0252" displayName="Table_0252" ref="A1:H4" tableType="queryTable" totalsRowShown="0">
  <autoFilter ref="A1:H4" xr:uid="{ECD114FC-9106-4B7C-AB66-33F0E1A6469B}"/>
  <tableColumns count="8">
    <tableColumn id="1" xr3:uid="{683CB9C3-48A7-447F-938B-0D2254A7F087}" uniqueName="1" name="Column1" queryTableFieldId="1" dataDxfId="8"/>
    <tableColumn id="2" xr3:uid="{D7AF170D-6BF1-474A-A614-3EB0F1C550E6}" uniqueName="2" name="Дата расчёта" queryTableFieldId="2" dataDxfId="7"/>
    <tableColumn id="3" xr3:uid="{366777E4-0851-489C-B3E3-1711D7B81785}" uniqueName="3" name="Последнее значение" queryTableFieldId="3"/>
    <tableColumn id="4" xr3:uid="{B62E5653-DC0D-4AC0-84FF-1FEBDEE63900}" uniqueName="4" name="Изменение к предыдущему значению, %" queryTableFieldId="4"/>
    <tableColumn id="5" xr3:uid="{C1E02100-1F03-4E02-9757-39BEDE513784}" uniqueName="5" name="Изменение с начала месяца, %" queryTableFieldId="5"/>
    <tableColumn id="6" xr3:uid="{FBBF439D-EB38-4892-9AC1-9E3D6BDD53C0}" uniqueName="6" name="Изменение за месяц, %" queryTableFieldId="6"/>
    <tableColumn id="7" xr3:uid="{9F213500-A862-4CF3-8884-30AA8776CEFA}" uniqueName="7" name="Изменение с начала года, %" queryTableFieldId="7" dataDxfId="6"/>
    <tableColumn id="8" xr3:uid="{CAA30F45-B55C-4894-9559-D78DECC93CBA}" uniqueName="8" name="Столбец1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4B1E59-D13A-4C00-8B50-C164676E0471}" name="MBM_index___с_1_апреля_2024_г__по_29_ноября_2200_г5" displayName="MBM_index___с_1_апреля_2024_г__по_29_ноября_2200_г5" ref="A1:D387" tableType="queryTable" totalsRowShown="0">
  <autoFilter ref="A1:D387" xr:uid="{724B1E59-D13A-4C00-8B50-C164676E0471}"/>
  <tableColumns count="4">
    <tableColumn id="1" xr3:uid="{D17896C7-EF38-4260-A875-CA048F28E4D9}" uniqueName="1" name="Дата расчетов" queryTableFieldId="1" dataDxfId="5"/>
    <tableColumn id="2" xr3:uid="{9A2A41E6-F992-4E01-BD8D-4C362568BEF2}" uniqueName="2" name="MBM index" queryTableFieldId="2"/>
    <tableColumn id="3" xr3:uid="{EBAB4663-7336-4A7A-84C8-FE9C34F7184B}" uniqueName="3" name="Duration" queryTableFieldId="3"/>
    <tableColumn id="4" xr3:uid="{25CE9F72-889C-40B6-8D7E-B90A8CB675C0}" uniqueName="4" name="ModDuratio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216205-2362-437B-9071-62DEB855B6D3}" name="Нацбанк_Казахстана__Доллар_США__курсы_с_01_01_2024_по_31_03_2024" displayName="Нацбанк_Казахстана__Доллар_США__курсы_с_01_01_2024_по_31_03_2024" ref="A1:E367" tableType="queryTable" totalsRowShown="0">
  <autoFilter ref="A1:E367" xr:uid="{4D216205-2362-437B-9071-62DEB855B6D3}"/>
  <tableColumns count="5">
    <tableColumn id="1" xr3:uid="{2B2FF53B-89D8-494C-AB72-8350A792B709}" uniqueName="1" name="Дата" queryTableFieldId="1" dataDxfId="4"/>
    <tableColumn id="4" xr3:uid="{0DF995D4-69C8-4F51-A69C-55B380E0CAA8}" uniqueName="4" name="Курс" queryTableFieldId="4"/>
    <tableColumn id="5" xr3:uid="{15CFA893-103F-49BF-BE84-458265B76EBD}" uniqueName="5" name="Изменение" queryTableFieldId="5"/>
    <tableColumn id="2" xr3:uid="{FE5D61DA-F097-451D-84D9-02F25CDE6500}" uniqueName="2" name="Столбец1" queryTableFieldId="2"/>
    <tableColumn id="3" xr3:uid="{040970E0-1DD2-400B-B7D8-DC9FEF4C29FC}" uniqueName="3" name="Столбец2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kase.kz/ru/investors/bonds/MFOKb16" TargetMode="External"/><Relationship Id="rId299" Type="http://schemas.openxmlformats.org/officeDocument/2006/relationships/hyperlink" Target="https://kase.kz/ru/investors/gsecs/MUM180_0007" TargetMode="External"/><Relationship Id="rId21" Type="http://schemas.openxmlformats.org/officeDocument/2006/relationships/hyperlink" Target="https://kase.kz/ru/investors/bonds/BIGDb6" TargetMode="External"/><Relationship Id="rId63" Type="http://schemas.openxmlformats.org/officeDocument/2006/relationships/hyperlink" Target="https://kase.kz/ru/investors/shares/HSBK" TargetMode="External"/><Relationship Id="rId159" Type="http://schemas.openxmlformats.org/officeDocument/2006/relationships/hyperlink" Target="https://kase.kz/ru/investors/gsecs/MOM048_0054" TargetMode="External"/><Relationship Id="rId324" Type="http://schemas.openxmlformats.org/officeDocument/2006/relationships/hyperlink" Target="https://kase.kz/ru/listing/issuers/MFRK" TargetMode="External"/><Relationship Id="rId170" Type="http://schemas.openxmlformats.org/officeDocument/2006/relationships/hyperlink" Target="https://kase.kz/ru/listing/issuers/MFRK" TargetMode="External"/><Relationship Id="rId226" Type="http://schemas.openxmlformats.org/officeDocument/2006/relationships/hyperlink" Target="https://kase.kz/ru/listing/issuers/MFRK" TargetMode="External"/><Relationship Id="rId268" Type="http://schemas.openxmlformats.org/officeDocument/2006/relationships/hyperlink" Target="https://kase.kz/ru/listing/issuers/MFRK" TargetMode="External"/><Relationship Id="rId32" Type="http://schemas.openxmlformats.org/officeDocument/2006/relationships/hyperlink" Target="https://kase.kz/ru/listing/issuers/BTRK" TargetMode="External"/><Relationship Id="rId74" Type="http://schemas.openxmlformats.org/officeDocument/2006/relationships/hyperlink" Target="https://kase.kz/ru/listing/issuers/KAFI" TargetMode="External"/><Relationship Id="rId128" Type="http://schemas.openxmlformats.org/officeDocument/2006/relationships/hyperlink" Target="https://kase.kz/ru/listing/issuers/MFOK" TargetMode="External"/><Relationship Id="rId335" Type="http://schemas.openxmlformats.org/officeDocument/2006/relationships/hyperlink" Target="https://kase.kz/ru/investors/gsecs/MUM300_0002" TargetMode="External"/><Relationship Id="rId5" Type="http://schemas.openxmlformats.org/officeDocument/2006/relationships/hyperlink" Target="https://kase.kz/ru/investors/bonds/ALMSb1" TargetMode="External"/><Relationship Id="rId181" Type="http://schemas.openxmlformats.org/officeDocument/2006/relationships/hyperlink" Target="https://kase.kz/ru/investors/gsecs/MUJ144_0005" TargetMode="External"/><Relationship Id="rId237" Type="http://schemas.openxmlformats.org/officeDocument/2006/relationships/hyperlink" Target="https://kase.kz/ru/investors/gsecs/MUM072_0014" TargetMode="External"/><Relationship Id="rId279" Type="http://schemas.openxmlformats.org/officeDocument/2006/relationships/hyperlink" Target="https://kase.kz/ru/investors/gsecs/MUM156_0006" TargetMode="External"/><Relationship Id="rId43" Type="http://schemas.openxmlformats.org/officeDocument/2006/relationships/hyperlink" Target="https://kase.kz/ru/investors/bonds/EABRb42" TargetMode="External"/><Relationship Id="rId139" Type="http://schemas.openxmlformats.org/officeDocument/2006/relationships/hyperlink" Target="https://kase.kz/ru/investors/bonds/MFRFb19" TargetMode="External"/><Relationship Id="rId290" Type="http://schemas.openxmlformats.org/officeDocument/2006/relationships/hyperlink" Target="https://kase.kz/ru/listing/issuers/MFRK" TargetMode="External"/><Relationship Id="rId304" Type="http://schemas.openxmlformats.org/officeDocument/2006/relationships/hyperlink" Target="https://kase.kz/ru/listing/issuers/MFRK" TargetMode="External"/><Relationship Id="rId346" Type="http://schemas.openxmlformats.org/officeDocument/2006/relationships/hyperlink" Target="https://kase.kz/ru/listing/issuers/NBRK" TargetMode="External"/><Relationship Id="rId85" Type="http://schemas.openxmlformats.org/officeDocument/2006/relationships/hyperlink" Target="https://kase.kz/ru/investors/bonds/KMGZe15" TargetMode="External"/><Relationship Id="rId150" Type="http://schemas.openxmlformats.org/officeDocument/2006/relationships/hyperlink" Target="https://kase.kz/ru/listing/issuers/MFRK" TargetMode="External"/><Relationship Id="rId192" Type="http://schemas.openxmlformats.org/officeDocument/2006/relationships/hyperlink" Target="https://kase.kz/ru/listing/issuers/MFRK" TargetMode="External"/><Relationship Id="rId206" Type="http://schemas.openxmlformats.org/officeDocument/2006/relationships/hyperlink" Target="https://kase.kz/ru/listing/issuers/MFRK" TargetMode="External"/><Relationship Id="rId248" Type="http://schemas.openxmlformats.org/officeDocument/2006/relationships/hyperlink" Target="https://kase.kz/ru/listing/issuers/MFRK" TargetMode="External"/><Relationship Id="rId12" Type="http://schemas.openxmlformats.org/officeDocument/2006/relationships/hyperlink" Target="https://kase.kz/ru/listing/issuers/BCCI" TargetMode="External"/><Relationship Id="rId108" Type="http://schemas.openxmlformats.org/officeDocument/2006/relationships/hyperlink" Target="https://kase.kz/ru/listing/issuers/MFMC" TargetMode="External"/><Relationship Id="rId315" Type="http://schemas.openxmlformats.org/officeDocument/2006/relationships/hyperlink" Target="https://kase.kz/ru/investors/gsecs/MUM180_0016" TargetMode="External"/><Relationship Id="rId54" Type="http://schemas.openxmlformats.org/officeDocument/2006/relationships/hyperlink" Target="https://kase.kz/ru/listing/issuers/HCBN" TargetMode="External"/><Relationship Id="rId96" Type="http://schemas.openxmlformats.org/officeDocument/2006/relationships/hyperlink" Target="https://kase.kz/ru/listing/issuers/KZTK" TargetMode="External"/><Relationship Id="rId161" Type="http://schemas.openxmlformats.org/officeDocument/2006/relationships/hyperlink" Target="https://kase.kz/ru/investors/gsecs/MOM048_0056" TargetMode="External"/><Relationship Id="rId217" Type="http://schemas.openxmlformats.org/officeDocument/2006/relationships/hyperlink" Target="https://kase.kz/ru/investors/gsecs/MUJ216_0004" TargetMode="External"/><Relationship Id="rId259" Type="http://schemas.openxmlformats.org/officeDocument/2006/relationships/hyperlink" Target="https://kase.kz/ru/investors/gsecs/MUM108_0013" TargetMode="External"/><Relationship Id="rId23" Type="http://schemas.openxmlformats.org/officeDocument/2006/relationships/hyperlink" Target="https://kase.kz/ru/investors/bonds/BRKZe12" TargetMode="External"/><Relationship Id="rId119" Type="http://schemas.openxmlformats.org/officeDocument/2006/relationships/hyperlink" Target="https://kase.kz/ru/investors/bonds/MFOKb18" TargetMode="External"/><Relationship Id="rId270" Type="http://schemas.openxmlformats.org/officeDocument/2006/relationships/hyperlink" Target="https://kase.kz/ru/listing/issuers/MFRK" TargetMode="External"/><Relationship Id="rId326" Type="http://schemas.openxmlformats.org/officeDocument/2006/relationships/hyperlink" Target="https://kase.kz/ru/listing/issuers/MFRK" TargetMode="External"/><Relationship Id="rId65" Type="http://schemas.openxmlformats.org/officeDocument/2006/relationships/hyperlink" Target="https://kase.kz/ru/investors/bonds/HSBKb22" TargetMode="External"/><Relationship Id="rId130" Type="http://schemas.openxmlformats.org/officeDocument/2006/relationships/hyperlink" Target="https://kase.kz/ru/listing/issuers/MFOK" TargetMode="External"/><Relationship Id="rId172" Type="http://schemas.openxmlformats.org/officeDocument/2006/relationships/hyperlink" Target="https://kase.kz/ru/listing/issuers/MFRK" TargetMode="External"/><Relationship Id="rId228" Type="http://schemas.openxmlformats.org/officeDocument/2006/relationships/hyperlink" Target="https://kase.kz/ru/listing/issuers/MFRK" TargetMode="External"/><Relationship Id="rId281" Type="http://schemas.openxmlformats.org/officeDocument/2006/relationships/hyperlink" Target="https://kase.kz/ru/investors/gsecs/MUM156_0007" TargetMode="External"/><Relationship Id="rId337" Type="http://schemas.openxmlformats.org/officeDocument/2006/relationships/hyperlink" Target="https://kase.kz/ru/investors/gsecs/MUM300_0003" TargetMode="External"/><Relationship Id="rId34" Type="http://schemas.openxmlformats.org/officeDocument/2006/relationships/hyperlink" Target="https://kase.kz/ru/listing/issuers/CCBN" TargetMode="External"/><Relationship Id="rId76" Type="http://schemas.openxmlformats.org/officeDocument/2006/relationships/hyperlink" Target="https://kase.kz/ru/listing/issuers/KASA" TargetMode="External"/><Relationship Id="rId141" Type="http://schemas.openxmlformats.org/officeDocument/2006/relationships/hyperlink" Target="https://kase.kz/ru/investors/bonds/MFRFb9" TargetMode="External"/><Relationship Id="rId7" Type="http://schemas.openxmlformats.org/officeDocument/2006/relationships/hyperlink" Target="https://kase.kz/ru/investors/mifs/BCCI_cc" TargetMode="External"/><Relationship Id="rId183" Type="http://schemas.openxmlformats.org/officeDocument/2006/relationships/hyperlink" Target="https://kase.kz/ru/investors/gsecs/MUJ156_0004" TargetMode="External"/><Relationship Id="rId239" Type="http://schemas.openxmlformats.org/officeDocument/2006/relationships/hyperlink" Target="https://kase.kz/ru/investors/gsecs/MUM072_0015" TargetMode="External"/><Relationship Id="rId250" Type="http://schemas.openxmlformats.org/officeDocument/2006/relationships/hyperlink" Target="https://kase.kz/ru/listing/issuers/MFRK" TargetMode="External"/><Relationship Id="rId292" Type="http://schemas.openxmlformats.org/officeDocument/2006/relationships/hyperlink" Target="https://kase.kz/ru/listing/issuers/MFRK" TargetMode="External"/><Relationship Id="rId306" Type="http://schemas.openxmlformats.org/officeDocument/2006/relationships/hyperlink" Target="https://kase.kz/ru/listing/issuers/MFRK" TargetMode="External"/><Relationship Id="rId45" Type="http://schemas.openxmlformats.org/officeDocument/2006/relationships/hyperlink" Target="https://kase.kz/ru/investors/bonds/EABRb53" TargetMode="External"/><Relationship Id="rId87" Type="http://schemas.openxmlformats.org/officeDocument/2006/relationships/hyperlink" Target="https://kase.kz/ru/investors/bonds/KMGZe16" TargetMode="External"/><Relationship Id="rId110" Type="http://schemas.openxmlformats.org/officeDocument/2006/relationships/hyperlink" Target="https://kase.kz/ru/listing/issuers/MFMO" TargetMode="External"/><Relationship Id="rId348" Type="http://schemas.openxmlformats.org/officeDocument/2006/relationships/hyperlink" Target="https://kase.kz/ru/listing/issuers/PRKR" TargetMode="External"/><Relationship Id="rId152" Type="http://schemas.openxmlformats.org/officeDocument/2006/relationships/hyperlink" Target="https://kase.kz/ru/listing/issuers/MFRK" TargetMode="External"/><Relationship Id="rId194" Type="http://schemas.openxmlformats.org/officeDocument/2006/relationships/hyperlink" Target="https://kase.kz/ru/listing/issuers/MFRK" TargetMode="External"/><Relationship Id="rId208" Type="http://schemas.openxmlformats.org/officeDocument/2006/relationships/hyperlink" Target="https://kase.kz/ru/listing/issuers/MFRK" TargetMode="External"/><Relationship Id="rId261" Type="http://schemas.openxmlformats.org/officeDocument/2006/relationships/hyperlink" Target="https://kase.kz/ru/investors/gsecs/MUM108_0014" TargetMode="External"/><Relationship Id="rId14" Type="http://schemas.openxmlformats.org/officeDocument/2006/relationships/hyperlink" Target="https://kase.kz/ru/listing/issuers/BCCI" TargetMode="External"/><Relationship Id="rId56" Type="http://schemas.openxmlformats.org/officeDocument/2006/relationships/hyperlink" Target="https://kase.kz/ru/listing/issuers/HFIN" TargetMode="External"/><Relationship Id="rId317" Type="http://schemas.openxmlformats.org/officeDocument/2006/relationships/hyperlink" Target="https://kase.kz/ru/investors/gsecs/MUM192_0001" TargetMode="External"/><Relationship Id="rId98" Type="http://schemas.openxmlformats.org/officeDocument/2006/relationships/hyperlink" Target="https://kase.kz/ru/listing/issuers/KZTK" TargetMode="External"/><Relationship Id="rId121" Type="http://schemas.openxmlformats.org/officeDocument/2006/relationships/hyperlink" Target="https://kase.kz/ru/investors/bonds/MFOKb20" TargetMode="External"/><Relationship Id="rId163" Type="http://schemas.openxmlformats.org/officeDocument/2006/relationships/hyperlink" Target="https://kase.kz/ru/investors/gsecs/MOM060_0052" TargetMode="External"/><Relationship Id="rId219" Type="http://schemas.openxmlformats.org/officeDocument/2006/relationships/hyperlink" Target="https://kase.kz/ru/investors/gsecs/MUJ216_0005" TargetMode="External"/><Relationship Id="rId230" Type="http://schemas.openxmlformats.org/officeDocument/2006/relationships/hyperlink" Target="https://kase.kz/ru/listing/issuers/MFRK" TargetMode="External"/><Relationship Id="rId251" Type="http://schemas.openxmlformats.org/officeDocument/2006/relationships/hyperlink" Target="https://kase.kz/ru/investors/gsecs/MUM096_0013" TargetMode="External"/><Relationship Id="rId25" Type="http://schemas.openxmlformats.org/officeDocument/2006/relationships/hyperlink" Target="https://kase.kz/ru/investors/bonds/BRKZe16" TargetMode="External"/><Relationship Id="rId46" Type="http://schemas.openxmlformats.org/officeDocument/2006/relationships/hyperlink" Target="https://kase.kz/ru/listing/issuers/EABR" TargetMode="External"/><Relationship Id="rId67" Type="http://schemas.openxmlformats.org/officeDocument/2006/relationships/hyperlink" Target="https://kase.kz/ru/investors/depts/HSBKd" TargetMode="External"/><Relationship Id="rId272" Type="http://schemas.openxmlformats.org/officeDocument/2006/relationships/hyperlink" Target="https://kase.kz/ru/listing/issuers/MFRK" TargetMode="External"/><Relationship Id="rId293" Type="http://schemas.openxmlformats.org/officeDocument/2006/relationships/hyperlink" Target="https://kase.kz/ru/investors/gsecs/MUM180_0004" TargetMode="External"/><Relationship Id="rId307" Type="http://schemas.openxmlformats.org/officeDocument/2006/relationships/hyperlink" Target="https://kase.kz/ru/investors/gsecs/MUM180_0012" TargetMode="External"/><Relationship Id="rId328" Type="http://schemas.openxmlformats.org/officeDocument/2006/relationships/hyperlink" Target="https://kase.kz/ru/listing/issuers/MFRK" TargetMode="External"/><Relationship Id="rId349" Type="http://schemas.openxmlformats.org/officeDocument/2006/relationships/hyperlink" Target="https://kase.kz/ru/investors/bonds/SKKZe1" TargetMode="External"/><Relationship Id="rId88" Type="http://schemas.openxmlformats.org/officeDocument/2006/relationships/hyperlink" Target="https://kase.kz/ru/listing/issuers/KMGZ" TargetMode="External"/><Relationship Id="rId111" Type="http://schemas.openxmlformats.org/officeDocument/2006/relationships/hyperlink" Target="https://kase.kz/ru/investors/bonds/MFMOb24" TargetMode="External"/><Relationship Id="rId132" Type="http://schemas.openxmlformats.org/officeDocument/2006/relationships/hyperlink" Target="https://kase.kz/ru/listing/issuers/MFOK" TargetMode="External"/><Relationship Id="rId153" Type="http://schemas.openxmlformats.org/officeDocument/2006/relationships/hyperlink" Target="https://kase.kz/ru/investors/gsecs/MKM012_0161" TargetMode="External"/><Relationship Id="rId174" Type="http://schemas.openxmlformats.org/officeDocument/2006/relationships/hyperlink" Target="https://kase.kz/ru/listing/issuers/MFRK" TargetMode="External"/><Relationship Id="rId195" Type="http://schemas.openxmlformats.org/officeDocument/2006/relationships/hyperlink" Target="https://kase.kz/ru/investors/gsecs/MUJ192_0003" TargetMode="External"/><Relationship Id="rId209" Type="http://schemas.openxmlformats.org/officeDocument/2006/relationships/hyperlink" Target="https://kase.kz/ru/investors/gsecs/MUJ204_0006" TargetMode="External"/><Relationship Id="rId220" Type="http://schemas.openxmlformats.org/officeDocument/2006/relationships/hyperlink" Target="https://kase.kz/ru/listing/issuers/MFRK" TargetMode="External"/><Relationship Id="rId241" Type="http://schemas.openxmlformats.org/officeDocument/2006/relationships/hyperlink" Target="https://kase.kz/ru/investors/gsecs/MUM084_0018" TargetMode="External"/><Relationship Id="rId15" Type="http://schemas.openxmlformats.org/officeDocument/2006/relationships/hyperlink" Target="https://kase.kz/ru/investors/bonds/BIGDb1" TargetMode="External"/><Relationship Id="rId36" Type="http://schemas.openxmlformats.org/officeDocument/2006/relationships/hyperlink" Target="https://kase.kz/ru/listing/issuers/CCBN" TargetMode="External"/><Relationship Id="rId57" Type="http://schemas.openxmlformats.org/officeDocument/2006/relationships/hyperlink" Target="https://kase.kz/ru/investors/mifs/HFINhp" TargetMode="External"/><Relationship Id="rId262" Type="http://schemas.openxmlformats.org/officeDocument/2006/relationships/hyperlink" Target="https://kase.kz/ru/listing/issuers/MFRK" TargetMode="External"/><Relationship Id="rId283" Type="http://schemas.openxmlformats.org/officeDocument/2006/relationships/hyperlink" Target="https://kase.kz/ru/investors/gsecs/MUM156_0008" TargetMode="External"/><Relationship Id="rId318" Type="http://schemas.openxmlformats.org/officeDocument/2006/relationships/hyperlink" Target="https://kase.kz/ru/listing/issuers/MFRK" TargetMode="External"/><Relationship Id="rId339" Type="http://schemas.openxmlformats.org/officeDocument/2006/relationships/hyperlink" Target="https://kase.kz/ru/investors/gsecs/MUM360_0001" TargetMode="External"/><Relationship Id="rId78" Type="http://schemas.openxmlformats.org/officeDocument/2006/relationships/hyperlink" Target="https://kase.kz/ru/listing/issuers/KCEL" TargetMode="External"/><Relationship Id="rId99" Type="http://schemas.openxmlformats.org/officeDocument/2006/relationships/hyperlink" Target="https://kase.kz/ru/investors/shares/KZTO" TargetMode="External"/><Relationship Id="rId101" Type="http://schemas.openxmlformats.org/officeDocument/2006/relationships/hyperlink" Target="https://kase.kz/ru/investors/gsecs/KZ_23_3504" TargetMode="External"/><Relationship Id="rId122" Type="http://schemas.openxmlformats.org/officeDocument/2006/relationships/hyperlink" Target="https://kase.kz/ru/listing/issuers/MFOK" TargetMode="External"/><Relationship Id="rId143" Type="http://schemas.openxmlformats.org/officeDocument/2006/relationships/hyperlink" Target="https://kase.kz/ru/investors/bonds/MFTSb1" TargetMode="External"/><Relationship Id="rId164" Type="http://schemas.openxmlformats.org/officeDocument/2006/relationships/hyperlink" Target="https://kase.kz/ru/listing/issuers/MFRK" TargetMode="External"/><Relationship Id="rId185" Type="http://schemas.openxmlformats.org/officeDocument/2006/relationships/hyperlink" Target="https://kase.kz/ru/investors/gsecs/MUJ168_0004" TargetMode="External"/><Relationship Id="rId350" Type="http://schemas.openxmlformats.org/officeDocument/2006/relationships/hyperlink" Target="https://kase.kz/ru/listing/issuers/SKKZ" TargetMode="External"/><Relationship Id="rId9" Type="http://schemas.openxmlformats.org/officeDocument/2006/relationships/hyperlink" Target="https://kase.kz/ru/investors/mifs/BCCIbe" TargetMode="External"/><Relationship Id="rId210" Type="http://schemas.openxmlformats.org/officeDocument/2006/relationships/hyperlink" Target="https://kase.kz/ru/listing/issuers/MFRK" TargetMode="External"/><Relationship Id="rId26" Type="http://schemas.openxmlformats.org/officeDocument/2006/relationships/hyperlink" Target="https://kase.kz/ru/listing/issuers/BRKZ" TargetMode="External"/><Relationship Id="rId231" Type="http://schemas.openxmlformats.org/officeDocument/2006/relationships/hyperlink" Target="https://kase.kz/ru/investors/gsecs/MUJ228_0006" TargetMode="External"/><Relationship Id="rId252" Type="http://schemas.openxmlformats.org/officeDocument/2006/relationships/hyperlink" Target="https://kase.kz/ru/listing/issuers/MFRK" TargetMode="External"/><Relationship Id="rId273" Type="http://schemas.openxmlformats.org/officeDocument/2006/relationships/hyperlink" Target="https://kase.kz/ru/investors/gsecs/MUM132_0007" TargetMode="External"/><Relationship Id="rId294" Type="http://schemas.openxmlformats.org/officeDocument/2006/relationships/hyperlink" Target="https://kase.kz/ru/listing/issuers/MFRK" TargetMode="External"/><Relationship Id="rId308" Type="http://schemas.openxmlformats.org/officeDocument/2006/relationships/hyperlink" Target="https://kase.kz/ru/listing/issuers/MFRK" TargetMode="External"/><Relationship Id="rId329" Type="http://schemas.openxmlformats.org/officeDocument/2006/relationships/hyperlink" Target="https://kase.kz/ru/investors/gsecs/MUM240_0002" TargetMode="External"/><Relationship Id="rId47" Type="http://schemas.openxmlformats.org/officeDocument/2006/relationships/hyperlink" Target="https://kase.kz/ru/investors/mifs/FFIN_or" TargetMode="External"/><Relationship Id="rId68" Type="http://schemas.openxmlformats.org/officeDocument/2006/relationships/hyperlink" Target="https://kase.kz/ru/listing/issuers/HSBK" TargetMode="External"/><Relationship Id="rId89" Type="http://schemas.openxmlformats.org/officeDocument/2006/relationships/hyperlink" Target="https://kase.kz/ru/investors/depts/KSPId" TargetMode="External"/><Relationship Id="rId112" Type="http://schemas.openxmlformats.org/officeDocument/2006/relationships/hyperlink" Target="https://kase.kz/ru/listing/issuers/MFMO" TargetMode="External"/><Relationship Id="rId133" Type="http://schemas.openxmlformats.org/officeDocument/2006/relationships/hyperlink" Target="https://kase.kz/ru/investors/bonds/MFRFb11" TargetMode="External"/><Relationship Id="rId154" Type="http://schemas.openxmlformats.org/officeDocument/2006/relationships/hyperlink" Target="https://kase.kz/ru/listing/issuers/MFRK" TargetMode="External"/><Relationship Id="rId175" Type="http://schemas.openxmlformats.org/officeDocument/2006/relationships/hyperlink" Target="https://kase.kz/ru/investors/gsecs/MTM072_0001" TargetMode="External"/><Relationship Id="rId340" Type="http://schemas.openxmlformats.org/officeDocument/2006/relationships/hyperlink" Target="https://kase.kz/ru/listing/issuers/MFRK" TargetMode="External"/><Relationship Id="rId196" Type="http://schemas.openxmlformats.org/officeDocument/2006/relationships/hyperlink" Target="https://kase.kz/ru/listing/issuers/MFRK" TargetMode="External"/><Relationship Id="rId200" Type="http://schemas.openxmlformats.org/officeDocument/2006/relationships/hyperlink" Target="https://kase.kz/ru/listing/issuers/MFRK" TargetMode="External"/><Relationship Id="rId16" Type="http://schemas.openxmlformats.org/officeDocument/2006/relationships/hyperlink" Target="https://kase.kz/ru/listing/issuers/BIGD" TargetMode="External"/><Relationship Id="rId221" Type="http://schemas.openxmlformats.org/officeDocument/2006/relationships/hyperlink" Target="https://kase.kz/ru/investors/gsecs/MUJ228_0001" TargetMode="External"/><Relationship Id="rId242" Type="http://schemas.openxmlformats.org/officeDocument/2006/relationships/hyperlink" Target="https://kase.kz/ru/listing/issuers/MFRK" TargetMode="External"/><Relationship Id="rId263" Type="http://schemas.openxmlformats.org/officeDocument/2006/relationships/hyperlink" Target="https://kase.kz/ru/investors/gsecs/MUM108_0015" TargetMode="External"/><Relationship Id="rId284" Type="http://schemas.openxmlformats.org/officeDocument/2006/relationships/hyperlink" Target="https://kase.kz/ru/listing/issuers/MFRK" TargetMode="External"/><Relationship Id="rId319" Type="http://schemas.openxmlformats.org/officeDocument/2006/relationships/hyperlink" Target="https://kase.kz/ru/investors/gsecs/MUM192_0002" TargetMode="External"/><Relationship Id="rId37" Type="http://schemas.openxmlformats.org/officeDocument/2006/relationships/hyperlink" Target="https://kase.kz/ru/investors/mifs/CSECfe" TargetMode="External"/><Relationship Id="rId58" Type="http://schemas.openxmlformats.org/officeDocument/2006/relationships/hyperlink" Target="https://kase.kz/ru/listing/issuers/HFIN" TargetMode="External"/><Relationship Id="rId79" Type="http://schemas.openxmlformats.org/officeDocument/2006/relationships/hyperlink" Target="https://kase.kz/ru/investors/shares/KEGC" TargetMode="External"/><Relationship Id="rId102" Type="http://schemas.openxmlformats.org/officeDocument/2006/relationships/hyperlink" Target="https://kase.kz/ru/listing/issuers/MFRK" TargetMode="External"/><Relationship Id="rId123" Type="http://schemas.openxmlformats.org/officeDocument/2006/relationships/hyperlink" Target="https://kase.kz/ru/investors/bonds/MFOKb21" TargetMode="External"/><Relationship Id="rId144" Type="http://schemas.openxmlformats.org/officeDocument/2006/relationships/hyperlink" Target="https://kase.kz/ru/listing/issuers/MFTS" TargetMode="External"/><Relationship Id="rId330" Type="http://schemas.openxmlformats.org/officeDocument/2006/relationships/hyperlink" Target="https://kase.kz/ru/listing/issuers/MFRK" TargetMode="External"/><Relationship Id="rId90" Type="http://schemas.openxmlformats.org/officeDocument/2006/relationships/hyperlink" Target="https://kase.kz/ru/listing/issuers/KSPI" TargetMode="External"/><Relationship Id="rId165" Type="http://schemas.openxmlformats.org/officeDocument/2006/relationships/hyperlink" Target="https://kase.kz/ru/investors/gsecs/MOM060_0054" TargetMode="External"/><Relationship Id="rId186" Type="http://schemas.openxmlformats.org/officeDocument/2006/relationships/hyperlink" Target="https://kase.kz/ru/listing/issuers/MFRK" TargetMode="External"/><Relationship Id="rId351" Type="http://schemas.openxmlformats.org/officeDocument/2006/relationships/hyperlink" Target="https://kase.kz/ru/investors/shares/TPIB" TargetMode="External"/><Relationship Id="rId211" Type="http://schemas.openxmlformats.org/officeDocument/2006/relationships/hyperlink" Target="https://kase.kz/ru/investors/gsecs/MUJ216_0001" TargetMode="External"/><Relationship Id="rId232" Type="http://schemas.openxmlformats.org/officeDocument/2006/relationships/hyperlink" Target="https://kase.kz/ru/listing/issuers/MFRK" TargetMode="External"/><Relationship Id="rId253" Type="http://schemas.openxmlformats.org/officeDocument/2006/relationships/hyperlink" Target="https://kase.kz/ru/investors/gsecs/MUM096_0014" TargetMode="External"/><Relationship Id="rId274" Type="http://schemas.openxmlformats.org/officeDocument/2006/relationships/hyperlink" Target="https://kase.kz/ru/listing/issuers/MFRK" TargetMode="External"/><Relationship Id="rId295" Type="http://schemas.openxmlformats.org/officeDocument/2006/relationships/hyperlink" Target="https://kase.kz/ru/investors/gsecs/MUM180_0005" TargetMode="External"/><Relationship Id="rId309" Type="http://schemas.openxmlformats.org/officeDocument/2006/relationships/hyperlink" Target="https://kase.kz/ru/investors/gsecs/MUM180_0013" TargetMode="External"/><Relationship Id="rId27" Type="http://schemas.openxmlformats.org/officeDocument/2006/relationships/hyperlink" Target="https://kase.kz/ru/investors/bonds/BRKZe18" TargetMode="External"/><Relationship Id="rId48" Type="http://schemas.openxmlformats.org/officeDocument/2006/relationships/hyperlink" Target="https://kase.kz/ru/listing/issuers/FFIN" TargetMode="External"/><Relationship Id="rId69" Type="http://schemas.openxmlformats.org/officeDocument/2006/relationships/hyperlink" Target="https://kase.kz/ru/investors/shares/IFDR" TargetMode="External"/><Relationship Id="rId113" Type="http://schemas.openxmlformats.org/officeDocument/2006/relationships/hyperlink" Target="https://kase.kz/ru/investors/bonds/MFMOb27" TargetMode="External"/><Relationship Id="rId134" Type="http://schemas.openxmlformats.org/officeDocument/2006/relationships/hyperlink" Target="https://kase.kz/ru/listing/issuers/MFRF" TargetMode="External"/><Relationship Id="rId320" Type="http://schemas.openxmlformats.org/officeDocument/2006/relationships/hyperlink" Target="https://kase.kz/ru/listing/issuers/MFRK" TargetMode="External"/><Relationship Id="rId80" Type="http://schemas.openxmlformats.org/officeDocument/2006/relationships/hyperlink" Target="https://kase.kz/ru/listing/issuers/KEGC" TargetMode="External"/><Relationship Id="rId155" Type="http://schemas.openxmlformats.org/officeDocument/2006/relationships/hyperlink" Target="https://kase.kz/ru/investors/gsecs/MOM048_0052" TargetMode="External"/><Relationship Id="rId176" Type="http://schemas.openxmlformats.org/officeDocument/2006/relationships/hyperlink" Target="https://kase.kz/ru/listing/issuers/MFRK" TargetMode="External"/><Relationship Id="rId197" Type="http://schemas.openxmlformats.org/officeDocument/2006/relationships/hyperlink" Target="https://kase.kz/ru/investors/gsecs/MUJ192_0004" TargetMode="External"/><Relationship Id="rId341" Type="http://schemas.openxmlformats.org/officeDocument/2006/relationships/hyperlink" Target="https://kase.kz/ru/investors/gsecs/MUX072_0003" TargetMode="External"/><Relationship Id="rId201" Type="http://schemas.openxmlformats.org/officeDocument/2006/relationships/hyperlink" Target="https://kase.kz/ru/investors/gsecs/MUJ204_0002" TargetMode="External"/><Relationship Id="rId222" Type="http://schemas.openxmlformats.org/officeDocument/2006/relationships/hyperlink" Target="https://kase.kz/ru/listing/issuers/MFRK" TargetMode="External"/><Relationship Id="rId243" Type="http://schemas.openxmlformats.org/officeDocument/2006/relationships/hyperlink" Target="https://kase.kz/ru/investors/gsecs/MUM084_0019" TargetMode="External"/><Relationship Id="rId264" Type="http://schemas.openxmlformats.org/officeDocument/2006/relationships/hyperlink" Target="https://kase.kz/ru/listing/issuers/MFRK" TargetMode="External"/><Relationship Id="rId285" Type="http://schemas.openxmlformats.org/officeDocument/2006/relationships/hyperlink" Target="https://kase.kz/ru/investors/gsecs/MUM168_0002" TargetMode="External"/><Relationship Id="rId17" Type="http://schemas.openxmlformats.org/officeDocument/2006/relationships/hyperlink" Target="https://kase.kz/ru/investors/bonds/BIGDb2" TargetMode="External"/><Relationship Id="rId38" Type="http://schemas.openxmlformats.org/officeDocument/2006/relationships/hyperlink" Target="https://kase.kz/ru/listing/issuers/CSEC" TargetMode="External"/><Relationship Id="rId59" Type="http://schemas.openxmlformats.org/officeDocument/2006/relationships/hyperlink" Target="https://kase.kz/ru/investors/mifs/HFINhs" TargetMode="External"/><Relationship Id="rId103" Type="http://schemas.openxmlformats.org/officeDocument/2006/relationships/hyperlink" Target="https://kase.kz/ru/investors/bonds/MFDFb1" TargetMode="External"/><Relationship Id="rId124" Type="http://schemas.openxmlformats.org/officeDocument/2006/relationships/hyperlink" Target="https://kase.kz/ru/listing/issuers/MFOK" TargetMode="External"/><Relationship Id="rId310" Type="http://schemas.openxmlformats.org/officeDocument/2006/relationships/hyperlink" Target="https://kase.kz/ru/listing/issuers/MFRK" TargetMode="External"/><Relationship Id="rId70" Type="http://schemas.openxmlformats.org/officeDocument/2006/relationships/hyperlink" Target="https://kase.kz/ru/listing/issuers/TCIB" TargetMode="External"/><Relationship Id="rId91" Type="http://schemas.openxmlformats.org/officeDocument/2006/relationships/hyperlink" Target="https://kase.kz/ru/investors/shares/KZAP" TargetMode="External"/><Relationship Id="rId145" Type="http://schemas.openxmlformats.org/officeDocument/2006/relationships/hyperlink" Target="https://kase.kz/ru/investors/bonds/MFTSb2" TargetMode="External"/><Relationship Id="rId166" Type="http://schemas.openxmlformats.org/officeDocument/2006/relationships/hyperlink" Target="https://kase.kz/ru/listing/issuers/MFRK" TargetMode="External"/><Relationship Id="rId187" Type="http://schemas.openxmlformats.org/officeDocument/2006/relationships/hyperlink" Target="https://kase.kz/ru/investors/gsecs/MUJ168_0005" TargetMode="External"/><Relationship Id="rId331" Type="http://schemas.openxmlformats.org/officeDocument/2006/relationships/hyperlink" Target="https://kase.kz/ru/investors/gsecs/MUM240_0004" TargetMode="External"/><Relationship Id="rId352" Type="http://schemas.openxmlformats.org/officeDocument/2006/relationships/hyperlink" Target="https://kase.kz/ru/listing/issuers/TPIB" TargetMode="External"/><Relationship Id="rId1" Type="http://schemas.openxmlformats.org/officeDocument/2006/relationships/hyperlink" Target="https://kase.kz/ru/investors/shares/AIRA" TargetMode="External"/><Relationship Id="rId212" Type="http://schemas.openxmlformats.org/officeDocument/2006/relationships/hyperlink" Target="https://kase.kz/ru/listing/issuers/MFRK" TargetMode="External"/><Relationship Id="rId233" Type="http://schemas.openxmlformats.org/officeDocument/2006/relationships/hyperlink" Target="https://kase.kz/ru/investors/gsecs/MUJ240_0001" TargetMode="External"/><Relationship Id="rId254" Type="http://schemas.openxmlformats.org/officeDocument/2006/relationships/hyperlink" Target="https://kase.kz/ru/listing/issuers/MFRK" TargetMode="External"/><Relationship Id="rId28" Type="http://schemas.openxmlformats.org/officeDocument/2006/relationships/hyperlink" Target="https://kase.kz/ru/listing/issuers/BRKZ" TargetMode="External"/><Relationship Id="rId49" Type="http://schemas.openxmlformats.org/officeDocument/2006/relationships/hyperlink" Target="https://kase.kz/ru/investors/mifs/FFINgw" TargetMode="External"/><Relationship Id="rId114" Type="http://schemas.openxmlformats.org/officeDocument/2006/relationships/hyperlink" Target="https://kase.kz/ru/listing/issuers/MFMO" TargetMode="External"/><Relationship Id="rId275" Type="http://schemas.openxmlformats.org/officeDocument/2006/relationships/hyperlink" Target="https://kase.kz/ru/investors/gsecs/MUM144_0009" TargetMode="External"/><Relationship Id="rId296" Type="http://schemas.openxmlformats.org/officeDocument/2006/relationships/hyperlink" Target="https://kase.kz/ru/listing/issuers/MFRK" TargetMode="External"/><Relationship Id="rId300" Type="http://schemas.openxmlformats.org/officeDocument/2006/relationships/hyperlink" Target="https://kase.kz/ru/listing/issuers/MFRK" TargetMode="External"/><Relationship Id="rId60" Type="http://schemas.openxmlformats.org/officeDocument/2006/relationships/hyperlink" Target="https://kase.kz/ru/listing/issuers/HFIN" TargetMode="External"/><Relationship Id="rId81" Type="http://schemas.openxmlformats.org/officeDocument/2006/relationships/hyperlink" Target="https://kase.kz/ru/investors/shares/KMGZ" TargetMode="External"/><Relationship Id="rId135" Type="http://schemas.openxmlformats.org/officeDocument/2006/relationships/hyperlink" Target="https://kase.kz/ru/investors/bonds/MFRFb14" TargetMode="External"/><Relationship Id="rId156" Type="http://schemas.openxmlformats.org/officeDocument/2006/relationships/hyperlink" Target="https://kase.kz/ru/listing/issuers/MFRK" TargetMode="External"/><Relationship Id="rId177" Type="http://schemas.openxmlformats.org/officeDocument/2006/relationships/hyperlink" Target="https://kase.kz/ru/investors/gsecs/MTM084_0001" TargetMode="External"/><Relationship Id="rId198" Type="http://schemas.openxmlformats.org/officeDocument/2006/relationships/hyperlink" Target="https://kase.kz/ru/listing/issuers/MFRK" TargetMode="External"/><Relationship Id="rId321" Type="http://schemas.openxmlformats.org/officeDocument/2006/relationships/hyperlink" Target="https://kase.kz/ru/investors/gsecs/MUM192_0003" TargetMode="External"/><Relationship Id="rId342" Type="http://schemas.openxmlformats.org/officeDocument/2006/relationships/hyperlink" Target="https://kase.kz/ru/listing/issuers/MFRK" TargetMode="External"/><Relationship Id="rId202" Type="http://schemas.openxmlformats.org/officeDocument/2006/relationships/hyperlink" Target="https://kase.kz/ru/listing/issuers/MFRK" TargetMode="External"/><Relationship Id="rId223" Type="http://schemas.openxmlformats.org/officeDocument/2006/relationships/hyperlink" Target="https://kase.kz/ru/investors/gsecs/MUJ228_0002" TargetMode="External"/><Relationship Id="rId244" Type="http://schemas.openxmlformats.org/officeDocument/2006/relationships/hyperlink" Target="https://kase.kz/ru/listing/issuers/MFRK" TargetMode="External"/><Relationship Id="rId18" Type="http://schemas.openxmlformats.org/officeDocument/2006/relationships/hyperlink" Target="https://kase.kz/ru/listing/issuers/BIGD" TargetMode="External"/><Relationship Id="rId39" Type="http://schemas.openxmlformats.org/officeDocument/2006/relationships/hyperlink" Target="https://kase.kz/ru/investors/mifs/CSECtf" TargetMode="External"/><Relationship Id="rId265" Type="http://schemas.openxmlformats.org/officeDocument/2006/relationships/hyperlink" Target="https://kase.kz/ru/investors/gsecs/MUM120_0017" TargetMode="External"/><Relationship Id="rId286" Type="http://schemas.openxmlformats.org/officeDocument/2006/relationships/hyperlink" Target="https://kase.kz/ru/listing/issuers/MFRK" TargetMode="External"/><Relationship Id="rId50" Type="http://schemas.openxmlformats.org/officeDocument/2006/relationships/hyperlink" Target="https://kase.kz/ru/listing/issuers/FFIN" TargetMode="External"/><Relationship Id="rId104" Type="http://schemas.openxmlformats.org/officeDocument/2006/relationships/hyperlink" Target="https://kase.kz/ru/listing/issuers/MFDF" TargetMode="External"/><Relationship Id="rId125" Type="http://schemas.openxmlformats.org/officeDocument/2006/relationships/hyperlink" Target="https://kase.kz/ru/investors/bonds/MFOKb22" TargetMode="External"/><Relationship Id="rId146" Type="http://schemas.openxmlformats.org/officeDocument/2006/relationships/hyperlink" Target="https://kase.kz/ru/listing/issuers/MFTS" TargetMode="External"/><Relationship Id="rId167" Type="http://schemas.openxmlformats.org/officeDocument/2006/relationships/hyperlink" Target="https://kase.kz/ru/investors/gsecs/MOM060_0055" TargetMode="External"/><Relationship Id="rId188" Type="http://schemas.openxmlformats.org/officeDocument/2006/relationships/hyperlink" Target="https://kase.kz/ru/listing/issuers/MFRK" TargetMode="External"/><Relationship Id="rId311" Type="http://schemas.openxmlformats.org/officeDocument/2006/relationships/hyperlink" Target="https://kase.kz/ru/investors/gsecs/MUM180_0014" TargetMode="External"/><Relationship Id="rId332" Type="http://schemas.openxmlformats.org/officeDocument/2006/relationships/hyperlink" Target="https://kase.kz/ru/listing/issuers/MFRK" TargetMode="External"/><Relationship Id="rId353" Type="http://schemas.openxmlformats.org/officeDocument/2006/relationships/printerSettings" Target="../printerSettings/printerSettings9.bin"/><Relationship Id="rId71" Type="http://schemas.openxmlformats.org/officeDocument/2006/relationships/hyperlink" Target="https://kase.kz/ru/investors/bonds/KAFIb16" TargetMode="External"/><Relationship Id="rId92" Type="http://schemas.openxmlformats.org/officeDocument/2006/relationships/hyperlink" Target="https://kase.kz/ru/listing/issuers/KZAP" TargetMode="External"/><Relationship Id="rId213" Type="http://schemas.openxmlformats.org/officeDocument/2006/relationships/hyperlink" Target="https://kase.kz/ru/investors/gsecs/MUJ216_0002" TargetMode="External"/><Relationship Id="rId234" Type="http://schemas.openxmlformats.org/officeDocument/2006/relationships/hyperlink" Target="https://kase.kz/ru/listing/issuers/MFRK" TargetMode="External"/><Relationship Id="rId2" Type="http://schemas.openxmlformats.org/officeDocument/2006/relationships/hyperlink" Target="https://kase.kz/ru/listing/issuers/AIRA" TargetMode="External"/><Relationship Id="rId29" Type="http://schemas.openxmlformats.org/officeDocument/2006/relationships/hyperlink" Target="https://kase.kz/ru/investors/bonds/BRKZe21" TargetMode="External"/><Relationship Id="rId255" Type="http://schemas.openxmlformats.org/officeDocument/2006/relationships/hyperlink" Target="https://kase.kz/ru/investors/gsecs/MUM096_0015" TargetMode="External"/><Relationship Id="rId276" Type="http://schemas.openxmlformats.org/officeDocument/2006/relationships/hyperlink" Target="https://kase.kz/ru/listing/issuers/MFRK" TargetMode="External"/><Relationship Id="rId297" Type="http://schemas.openxmlformats.org/officeDocument/2006/relationships/hyperlink" Target="https://kase.kz/ru/investors/gsecs/MUM180_0006" TargetMode="External"/><Relationship Id="rId40" Type="http://schemas.openxmlformats.org/officeDocument/2006/relationships/hyperlink" Target="https://kase.kz/ru/listing/issuers/CSEC" TargetMode="External"/><Relationship Id="rId115" Type="http://schemas.openxmlformats.org/officeDocument/2006/relationships/hyperlink" Target="https://kase.kz/ru/investors/bonds/MFMOb29" TargetMode="External"/><Relationship Id="rId136" Type="http://schemas.openxmlformats.org/officeDocument/2006/relationships/hyperlink" Target="https://kase.kz/ru/listing/issuers/MFRF" TargetMode="External"/><Relationship Id="rId157" Type="http://schemas.openxmlformats.org/officeDocument/2006/relationships/hyperlink" Target="https://kase.kz/ru/investors/gsecs/MOM048_0053" TargetMode="External"/><Relationship Id="rId178" Type="http://schemas.openxmlformats.org/officeDocument/2006/relationships/hyperlink" Target="https://kase.kz/ru/listing/issuers/MFRK" TargetMode="External"/><Relationship Id="rId301" Type="http://schemas.openxmlformats.org/officeDocument/2006/relationships/hyperlink" Target="https://kase.kz/ru/investors/gsecs/MUM180_0008" TargetMode="External"/><Relationship Id="rId322" Type="http://schemas.openxmlformats.org/officeDocument/2006/relationships/hyperlink" Target="https://kase.kz/ru/listing/issuers/MFRK" TargetMode="External"/><Relationship Id="rId343" Type="http://schemas.openxmlformats.org/officeDocument/2006/relationships/hyperlink" Target="https://kase.kz/ru/investors/bonds/NCOMb7" TargetMode="External"/><Relationship Id="rId61" Type="http://schemas.openxmlformats.org/officeDocument/2006/relationships/hyperlink" Target="https://kase.kz/ru/investors/mifs/HFINhv" TargetMode="External"/><Relationship Id="rId82" Type="http://schemas.openxmlformats.org/officeDocument/2006/relationships/hyperlink" Target="https://kase.kz/ru/listing/issuers/KMGZ" TargetMode="External"/><Relationship Id="rId199" Type="http://schemas.openxmlformats.org/officeDocument/2006/relationships/hyperlink" Target="https://kase.kz/ru/investors/gsecs/MUJ204_0001" TargetMode="External"/><Relationship Id="rId203" Type="http://schemas.openxmlformats.org/officeDocument/2006/relationships/hyperlink" Target="https://kase.kz/ru/investors/gsecs/MUJ204_0003" TargetMode="External"/><Relationship Id="rId19" Type="http://schemas.openxmlformats.org/officeDocument/2006/relationships/hyperlink" Target="https://kase.kz/ru/investors/bonds/BIGDb5" TargetMode="External"/><Relationship Id="rId224" Type="http://schemas.openxmlformats.org/officeDocument/2006/relationships/hyperlink" Target="https://kase.kz/ru/listing/issuers/MFRK" TargetMode="External"/><Relationship Id="rId245" Type="http://schemas.openxmlformats.org/officeDocument/2006/relationships/hyperlink" Target="https://kase.kz/ru/investors/gsecs/MUM084_0020" TargetMode="External"/><Relationship Id="rId266" Type="http://schemas.openxmlformats.org/officeDocument/2006/relationships/hyperlink" Target="https://kase.kz/ru/listing/issuers/MFRK" TargetMode="External"/><Relationship Id="rId287" Type="http://schemas.openxmlformats.org/officeDocument/2006/relationships/hyperlink" Target="https://kase.kz/ru/investors/gsecs/MUM168_0003" TargetMode="External"/><Relationship Id="rId30" Type="http://schemas.openxmlformats.org/officeDocument/2006/relationships/hyperlink" Target="https://kase.kz/ru/listing/issuers/BRKZ" TargetMode="External"/><Relationship Id="rId105" Type="http://schemas.openxmlformats.org/officeDocument/2006/relationships/hyperlink" Target="https://kase.kz/ru/investors/bonds/MFDGb1" TargetMode="External"/><Relationship Id="rId126" Type="http://schemas.openxmlformats.org/officeDocument/2006/relationships/hyperlink" Target="https://kase.kz/ru/listing/issuers/MFOK" TargetMode="External"/><Relationship Id="rId147" Type="http://schemas.openxmlformats.org/officeDocument/2006/relationships/hyperlink" Target="https://kase.kz/ru/investors/bonds/MFTSb3" TargetMode="External"/><Relationship Id="rId168" Type="http://schemas.openxmlformats.org/officeDocument/2006/relationships/hyperlink" Target="https://kase.kz/ru/listing/issuers/MFRK" TargetMode="External"/><Relationship Id="rId312" Type="http://schemas.openxmlformats.org/officeDocument/2006/relationships/hyperlink" Target="https://kase.kz/ru/listing/issuers/MFRK" TargetMode="External"/><Relationship Id="rId333" Type="http://schemas.openxmlformats.org/officeDocument/2006/relationships/hyperlink" Target="https://kase.kz/ru/investors/gsecs/MUM300_0001" TargetMode="External"/><Relationship Id="rId51" Type="http://schemas.openxmlformats.org/officeDocument/2006/relationships/hyperlink" Target="https://kase.kz/ru/investors/bonds/FPSTb5" TargetMode="External"/><Relationship Id="rId72" Type="http://schemas.openxmlformats.org/officeDocument/2006/relationships/hyperlink" Target="https://kase.kz/ru/listing/issuers/KAFI" TargetMode="External"/><Relationship Id="rId93" Type="http://schemas.openxmlformats.org/officeDocument/2006/relationships/hyperlink" Target="https://kase.kz/ru/investors/bonds/KZTCb3" TargetMode="External"/><Relationship Id="rId189" Type="http://schemas.openxmlformats.org/officeDocument/2006/relationships/hyperlink" Target="https://kase.kz/ru/investors/gsecs/MUJ180_0007" TargetMode="External"/><Relationship Id="rId3" Type="http://schemas.openxmlformats.org/officeDocument/2006/relationships/hyperlink" Target="https://kase.kz/ru/investors/shares/AKZM" TargetMode="External"/><Relationship Id="rId214" Type="http://schemas.openxmlformats.org/officeDocument/2006/relationships/hyperlink" Target="https://kase.kz/ru/listing/issuers/MFRK" TargetMode="External"/><Relationship Id="rId235" Type="http://schemas.openxmlformats.org/officeDocument/2006/relationships/hyperlink" Target="https://kase.kz/ru/investors/gsecs/MUM072_0013" TargetMode="External"/><Relationship Id="rId256" Type="http://schemas.openxmlformats.org/officeDocument/2006/relationships/hyperlink" Target="https://kase.kz/ru/listing/issuers/MFRK" TargetMode="External"/><Relationship Id="rId277" Type="http://schemas.openxmlformats.org/officeDocument/2006/relationships/hyperlink" Target="https://kase.kz/ru/investors/gsecs/MUM156_0005" TargetMode="External"/><Relationship Id="rId298" Type="http://schemas.openxmlformats.org/officeDocument/2006/relationships/hyperlink" Target="https://kase.kz/ru/listing/issuers/MFRK" TargetMode="External"/><Relationship Id="rId116" Type="http://schemas.openxmlformats.org/officeDocument/2006/relationships/hyperlink" Target="https://kase.kz/ru/listing/issuers/MFMO" TargetMode="External"/><Relationship Id="rId137" Type="http://schemas.openxmlformats.org/officeDocument/2006/relationships/hyperlink" Target="https://kase.kz/ru/investors/bonds/MFRFb16" TargetMode="External"/><Relationship Id="rId158" Type="http://schemas.openxmlformats.org/officeDocument/2006/relationships/hyperlink" Target="https://kase.kz/ru/listing/issuers/MFRK" TargetMode="External"/><Relationship Id="rId302" Type="http://schemas.openxmlformats.org/officeDocument/2006/relationships/hyperlink" Target="https://kase.kz/ru/listing/issuers/MFRK" TargetMode="External"/><Relationship Id="rId323" Type="http://schemas.openxmlformats.org/officeDocument/2006/relationships/hyperlink" Target="https://kase.kz/ru/investors/gsecs/MUM216_0001" TargetMode="External"/><Relationship Id="rId344" Type="http://schemas.openxmlformats.org/officeDocument/2006/relationships/hyperlink" Target="https://kase.kz/ru/listing/issuers/NCOM" TargetMode="External"/><Relationship Id="rId20" Type="http://schemas.openxmlformats.org/officeDocument/2006/relationships/hyperlink" Target="https://kase.kz/ru/listing/issuers/BIGD" TargetMode="External"/><Relationship Id="rId41" Type="http://schemas.openxmlformats.org/officeDocument/2006/relationships/hyperlink" Target="https://kase.kz/ru/investors/bonds/EABRb40" TargetMode="External"/><Relationship Id="rId62" Type="http://schemas.openxmlformats.org/officeDocument/2006/relationships/hyperlink" Target="https://kase.kz/ru/listing/issuers/HFIN" TargetMode="External"/><Relationship Id="rId83" Type="http://schemas.openxmlformats.org/officeDocument/2006/relationships/hyperlink" Target="https://kase.kz/ru/investors/bonds/KMGZe12" TargetMode="External"/><Relationship Id="rId179" Type="http://schemas.openxmlformats.org/officeDocument/2006/relationships/hyperlink" Target="https://kase.kz/ru/investors/gsecs/MTM096_0001" TargetMode="External"/><Relationship Id="rId190" Type="http://schemas.openxmlformats.org/officeDocument/2006/relationships/hyperlink" Target="https://kase.kz/ru/listing/issuers/MFRK" TargetMode="External"/><Relationship Id="rId204" Type="http://schemas.openxmlformats.org/officeDocument/2006/relationships/hyperlink" Target="https://kase.kz/ru/listing/issuers/MFRK" TargetMode="External"/><Relationship Id="rId225" Type="http://schemas.openxmlformats.org/officeDocument/2006/relationships/hyperlink" Target="https://kase.kz/ru/investors/gsecs/MUJ228_0003" TargetMode="External"/><Relationship Id="rId246" Type="http://schemas.openxmlformats.org/officeDocument/2006/relationships/hyperlink" Target="https://kase.kz/ru/listing/issuers/MFRK" TargetMode="External"/><Relationship Id="rId267" Type="http://schemas.openxmlformats.org/officeDocument/2006/relationships/hyperlink" Target="https://kase.kz/ru/investors/gsecs/MUM120_0018" TargetMode="External"/><Relationship Id="rId288" Type="http://schemas.openxmlformats.org/officeDocument/2006/relationships/hyperlink" Target="https://kase.kz/ru/listing/issuers/MFRK" TargetMode="External"/><Relationship Id="rId106" Type="http://schemas.openxmlformats.org/officeDocument/2006/relationships/hyperlink" Target="https://kase.kz/ru/listing/issuers/MFDG" TargetMode="External"/><Relationship Id="rId127" Type="http://schemas.openxmlformats.org/officeDocument/2006/relationships/hyperlink" Target="https://kase.kz/ru/investors/bonds/MFOKb24" TargetMode="External"/><Relationship Id="rId313" Type="http://schemas.openxmlformats.org/officeDocument/2006/relationships/hyperlink" Target="https://kase.kz/ru/investors/gsecs/MUM180_0015" TargetMode="External"/><Relationship Id="rId10" Type="http://schemas.openxmlformats.org/officeDocument/2006/relationships/hyperlink" Target="https://kase.kz/ru/listing/issuers/BCCI" TargetMode="External"/><Relationship Id="rId31" Type="http://schemas.openxmlformats.org/officeDocument/2006/relationships/hyperlink" Target="https://kase.kz/ru/investors/bonds/BTRKe1" TargetMode="External"/><Relationship Id="rId52" Type="http://schemas.openxmlformats.org/officeDocument/2006/relationships/hyperlink" Target="https://kase.kz/ru/listing/issuers/FPST" TargetMode="External"/><Relationship Id="rId73" Type="http://schemas.openxmlformats.org/officeDocument/2006/relationships/hyperlink" Target="https://kase.kz/ru/investors/bonds/KAFIb17" TargetMode="External"/><Relationship Id="rId94" Type="http://schemas.openxmlformats.org/officeDocument/2006/relationships/hyperlink" Target="https://kase.kz/ru/listing/issuers/KZTC" TargetMode="External"/><Relationship Id="rId148" Type="http://schemas.openxmlformats.org/officeDocument/2006/relationships/hyperlink" Target="https://kase.kz/ru/listing/issuers/MFTS" TargetMode="External"/><Relationship Id="rId169" Type="http://schemas.openxmlformats.org/officeDocument/2006/relationships/hyperlink" Target="https://kase.kz/ru/investors/gsecs/MTC048_0001" TargetMode="External"/><Relationship Id="rId334" Type="http://schemas.openxmlformats.org/officeDocument/2006/relationships/hyperlink" Target="https://kase.kz/ru/listing/issuers/MFRK" TargetMode="External"/><Relationship Id="rId4" Type="http://schemas.openxmlformats.org/officeDocument/2006/relationships/hyperlink" Target="https://kase.kz/ru/listing/issuers/AKZM" TargetMode="External"/><Relationship Id="rId180" Type="http://schemas.openxmlformats.org/officeDocument/2006/relationships/hyperlink" Target="https://kase.kz/ru/listing/issuers/MFRK" TargetMode="External"/><Relationship Id="rId215" Type="http://schemas.openxmlformats.org/officeDocument/2006/relationships/hyperlink" Target="https://kase.kz/ru/investors/gsecs/MUJ216_0003" TargetMode="External"/><Relationship Id="rId236" Type="http://schemas.openxmlformats.org/officeDocument/2006/relationships/hyperlink" Target="https://kase.kz/ru/listing/issuers/MFRK" TargetMode="External"/><Relationship Id="rId257" Type="http://schemas.openxmlformats.org/officeDocument/2006/relationships/hyperlink" Target="https://kase.kz/ru/investors/gsecs/MUM108_0012" TargetMode="External"/><Relationship Id="rId278" Type="http://schemas.openxmlformats.org/officeDocument/2006/relationships/hyperlink" Target="https://kase.kz/ru/listing/issuers/MFRK" TargetMode="External"/><Relationship Id="rId303" Type="http://schemas.openxmlformats.org/officeDocument/2006/relationships/hyperlink" Target="https://kase.kz/ru/investors/gsecs/MUM180_0009" TargetMode="External"/><Relationship Id="rId42" Type="http://schemas.openxmlformats.org/officeDocument/2006/relationships/hyperlink" Target="https://kase.kz/ru/listing/issuers/EABR" TargetMode="External"/><Relationship Id="rId84" Type="http://schemas.openxmlformats.org/officeDocument/2006/relationships/hyperlink" Target="https://kase.kz/ru/listing/issuers/KMGZ" TargetMode="External"/><Relationship Id="rId138" Type="http://schemas.openxmlformats.org/officeDocument/2006/relationships/hyperlink" Target="https://kase.kz/ru/listing/issuers/MFRF" TargetMode="External"/><Relationship Id="rId345" Type="http://schemas.openxmlformats.org/officeDocument/2006/relationships/hyperlink" Target="https://kase.kz/ru/investors/gsecs/NTK028_2868" TargetMode="External"/><Relationship Id="rId191" Type="http://schemas.openxmlformats.org/officeDocument/2006/relationships/hyperlink" Target="https://kase.kz/ru/investors/gsecs/MUJ180_0008" TargetMode="External"/><Relationship Id="rId205" Type="http://schemas.openxmlformats.org/officeDocument/2006/relationships/hyperlink" Target="https://kase.kz/ru/investors/gsecs/MUJ204_0004" TargetMode="External"/><Relationship Id="rId247" Type="http://schemas.openxmlformats.org/officeDocument/2006/relationships/hyperlink" Target="https://kase.kz/ru/investors/gsecs/MUM096_0011" TargetMode="External"/><Relationship Id="rId107" Type="http://schemas.openxmlformats.org/officeDocument/2006/relationships/hyperlink" Target="https://kase.kz/ru/investors/bonds/MFMCb2" TargetMode="External"/><Relationship Id="rId289" Type="http://schemas.openxmlformats.org/officeDocument/2006/relationships/hyperlink" Target="https://kase.kz/ru/investors/gsecs/MUM168_0005" TargetMode="External"/><Relationship Id="rId11" Type="http://schemas.openxmlformats.org/officeDocument/2006/relationships/hyperlink" Target="https://kase.kz/ru/investors/mifs/BCCIrb" TargetMode="External"/><Relationship Id="rId53" Type="http://schemas.openxmlformats.org/officeDocument/2006/relationships/hyperlink" Target="https://kase.kz/ru/investors/bonds/HCBNb13" TargetMode="External"/><Relationship Id="rId149" Type="http://schemas.openxmlformats.org/officeDocument/2006/relationships/hyperlink" Target="https://kase.kz/ru/investors/gsecs/MKM012_0159" TargetMode="External"/><Relationship Id="rId314" Type="http://schemas.openxmlformats.org/officeDocument/2006/relationships/hyperlink" Target="https://kase.kz/ru/listing/issuers/MFRK" TargetMode="External"/><Relationship Id="rId95" Type="http://schemas.openxmlformats.org/officeDocument/2006/relationships/hyperlink" Target="https://kase.kz/ru/investors/shares/KZTK" TargetMode="External"/><Relationship Id="rId160" Type="http://schemas.openxmlformats.org/officeDocument/2006/relationships/hyperlink" Target="https://kase.kz/ru/listing/issuers/MFRK" TargetMode="External"/><Relationship Id="rId216" Type="http://schemas.openxmlformats.org/officeDocument/2006/relationships/hyperlink" Target="https://kase.kz/ru/listing/issuers/MFRK" TargetMode="External"/><Relationship Id="rId258" Type="http://schemas.openxmlformats.org/officeDocument/2006/relationships/hyperlink" Target="https://kase.kz/ru/listing/issuers/MFRK" TargetMode="External"/><Relationship Id="rId22" Type="http://schemas.openxmlformats.org/officeDocument/2006/relationships/hyperlink" Target="https://kase.kz/ru/listing/issuers/BIGD" TargetMode="External"/><Relationship Id="rId64" Type="http://schemas.openxmlformats.org/officeDocument/2006/relationships/hyperlink" Target="https://kase.kz/ru/listing/issuers/HSBK" TargetMode="External"/><Relationship Id="rId118" Type="http://schemas.openxmlformats.org/officeDocument/2006/relationships/hyperlink" Target="https://kase.kz/ru/listing/issuers/MFOK" TargetMode="External"/><Relationship Id="rId325" Type="http://schemas.openxmlformats.org/officeDocument/2006/relationships/hyperlink" Target="https://kase.kz/ru/investors/gsecs/MUM216_0002" TargetMode="External"/><Relationship Id="rId171" Type="http://schemas.openxmlformats.org/officeDocument/2006/relationships/hyperlink" Target="https://kase.kz/ru/investors/gsecs/MTM048_0001" TargetMode="External"/><Relationship Id="rId227" Type="http://schemas.openxmlformats.org/officeDocument/2006/relationships/hyperlink" Target="https://kase.kz/ru/investors/gsecs/MUJ228_0004" TargetMode="External"/><Relationship Id="rId269" Type="http://schemas.openxmlformats.org/officeDocument/2006/relationships/hyperlink" Target="https://kase.kz/ru/investors/gsecs/MUM120_0019" TargetMode="External"/><Relationship Id="rId33" Type="http://schemas.openxmlformats.org/officeDocument/2006/relationships/hyperlink" Target="https://kase.kz/ru/investors/shares/CCBN" TargetMode="External"/><Relationship Id="rId129" Type="http://schemas.openxmlformats.org/officeDocument/2006/relationships/hyperlink" Target="https://kase.kz/ru/investors/bonds/MFOKb25" TargetMode="External"/><Relationship Id="rId280" Type="http://schemas.openxmlformats.org/officeDocument/2006/relationships/hyperlink" Target="https://kase.kz/ru/listing/issuers/MFRK" TargetMode="External"/><Relationship Id="rId336" Type="http://schemas.openxmlformats.org/officeDocument/2006/relationships/hyperlink" Target="https://kase.kz/ru/listing/issuers/MFRK" TargetMode="External"/><Relationship Id="rId75" Type="http://schemas.openxmlformats.org/officeDocument/2006/relationships/hyperlink" Target="https://kase.kz/ru/investors/bonds/KASAb1" TargetMode="External"/><Relationship Id="rId140" Type="http://schemas.openxmlformats.org/officeDocument/2006/relationships/hyperlink" Target="https://kase.kz/ru/listing/issuers/MFRF" TargetMode="External"/><Relationship Id="rId182" Type="http://schemas.openxmlformats.org/officeDocument/2006/relationships/hyperlink" Target="https://kase.kz/ru/listing/issuers/MFRK" TargetMode="External"/><Relationship Id="rId6" Type="http://schemas.openxmlformats.org/officeDocument/2006/relationships/hyperlink" Target="https://kase.kz/ru/listing/issuers/ALMS" TargetMode="External"/><Relationship Id="rId238" Type="http://schemas.openxmlformats.org/officeDocument/2006/relationships/hyperlink" Target="https://kase.kz/ru/listing/issuers/MFRK" TargetMode="External"/><Relationship Id="rId291" Type="http://schemas.openxmlformats.org/officeDocument/2006/relationships/hyperlink" Target="https://kase.kz/ru/investors/gsecs/MUM180_0003" TargetMode="External"/><Relationship Id="rId305" Type="http://schemas.openxmlformats.org/officeDocument/2006/relationships/hyperlink" Target="https://kase.kz/ru/investors/gsecs/MUM180_0011" TargetMode="External"/><Relationship Id="rId347" Type="http://schemas.openxmlformats.org/officeDocument/2006/relationships/hyperlink" Target="https://kase.kz/ru/investors/bonds/PRKRe1" TargetMode="External"/><Relationship Id="rId44" Type="http://schemas.openxmlformats.org/officeDocument/2006/relationships/hyperlink" Target="https://kase.kz/ru/listing/issuers/EABR" TargetMode="External"/><Relationship Id="rId86" Type="http://schemas.openxmlformats.org/officeDocument/2006/relationships/hyperlink" Target="https://kase.kz/ru/listing/issuers/KMGZ" TargetMode="External"/><Relationship Id="rId151" Type="http://schemas.openxmlformats.org/officeDocument/2006/relationships/hyperlink" Target="https://kase.kz/ru/investors/gsecs/MKM012_0160" TargetMode="External"/><Relationship Id="rId193" Type="http://schemas.openxmlformats.org/officeDocument/2006/relationships/hyperlink" Target="https://kase.kz/ru/investors/gsecs/MUJ192_0002" TargetMode="External"/><Relationship Id="rId207" Type="http://schemas.openxmlformats.org/officeDocument/2006/relationships/hyperlink" Target="https://kase.kz/ru/investors/gsecs/MUJ204_0005" TargetMode="External"/><Relationship Id="rId249" Type="http://schemas.openxmlformats.org/officeDocument/2006/relationships/hyperlink" Target="https://kase.kz/ru/investors/gsecs/MUM096_0012" TargetMode="External"/><Relationship Id="rId13" Type="http://schemas.openxmlformats.org/officeDocument/2006/relationships/hyperlink" Target="https://kase.kz/ru/investors/mifs/BCCIwah" TargetMode="External"/><Relationship Id="rId109" Type="http://schemas.openxmlformats.org/officeDocument/2006/relationships/hyperlink" Target="https://kase.kz/ru/investors/bonds/MFMOb23" TargetMode="External"/><Relationship Id="rId260" Type="http://schemas.openxmlformats.org/officeDocument/2006/relationships/hyperlink" Target="https://kase.kz/ru/listing/issuers/MFRK" TargetMode="External"/><Relationship Id="rId316" Type="http://schemas.openxmlformats.org/officeDocument/2006/relationships/hyperlink" Target="https://kase.kz/ru/listing/issuers/MFRK" TargetMode="External"/><Relationship Id="rId55" Type="http://schemas.openxmlformats.org/officeDocument/2006/relationships/hyperlink" Target="https://kase.kz/ru/investors/mifs/HFINhl" TargetMode="External"/><Relationship Id="rId97" Type="http://schemas.openxmlformats.org/officeDocument/2006/relationships/hyperlink" Target="https://kase.kz/ru/investors/shares/KZTKp" TargetMode="External"/><Relationship Id="rId120" Type="http://schemas.openxmlformats.org/officeDocument/2006/relationships/hyperlink" Target="https://kase.kz/ru/listing/issuers/MFOK" TargetMode="External"/><Relationship Id="rId162" Type="http://schemas.openxmlformats.org/officeDocument/2006/relationships/hyperlink" Target="https://kase.kz/ru/listing/issuers/MFRK" TargetMode="External"/><Relationship Id="rId218" Type="http://schemas.openxmlformats.org/officeDocument/2006/relationships/hyperlink" Target="https://kase.kz/ru/listing/issuers/MFRK" TargetMode="External"/><Relationship Id="rId271" Type="http://schemas.openxmlformats.org/officeDocument/2006/relationships/hyperlink" Target="https://kase.kz/ru/investors/gsecs/MUM120_0020" TargetMode="External"/><Relationship Id="rId24" Type="http://schemas.openxmlformats.org/officeDocument/2006/relationships/hyperlink" Target="https://kase.kz/ru/listing/issuers/BRKZ" TargetMode="External"/><Relationship Id="rId66" Type="http://schemas.openxmlformats.org/officeDocument/2006/relationships/hyperlink" Target="https://kase.kz/ru/listing/issuers/HSBK" TargetMode="External"/><Relationship Id="rId131" Type="http://schemas.openxmlformats.org/officeDocument/2006/relationships/hyperlink" Target="https://kase.kz/ru/investors/bonds/MFOKb26" TargetMode="External"/><Relationship Id="rId327" Type="http://schemas.openxmlformats.org/officeDocument/2006/relationships/hyperlink" Target="https://kase.kz/ru/investors/gsecs/MUM240_0001" TargetMode="External"/><Relationship Id="rId173" Type="http://schemas.openxmlformats.org/officeDocument/2006/relationships/hyperlink" Target="https://kase.kz/ru/investors/gsecs/MTM060_0001" TargetMode="External"/><Relationship Id="rId229" Type="http://schemas.openxmlformats.org/officeDocument/2006/relationships/hyperlink" Target="https://kase.kz/ru/investors/gsecs/MUJ228_0005" TargetMode="External"/><Relationship Id="rId240" Type="http://schemas.openxmlformats.org/officeDocument/2006/relationships/hyperlink" Target="https://kase.kz/ru/listing/issuers/MFRK" TargetMode="External"/><Relationship Id="rId35" Type="http://schemas.openxmlformats.org/officeDocument/2006/relationships/hyperlink" Target="https://kase.kz/ru/investors/shares/CCBNp" TargetMode="External"/><Relationship Id="rId77" Type="http://schemas.openxmlformats.org/officeDocument/2006/relationships/hyperlink" Target="https://kase.kz/ru/investors/shares/KCEL" TargetMode="External"/><Relationship Id="rId100" Type="http://schemas.openxmlformats.org/officeDocument/2006/relationships/hyperlink" Target="https://kase.kz/ru/listing/issuers/KZTO" TargetMode="External"/><Relationship Id="rId282" Type="http://schemas.openxmlformats.org/officeDocument/2006/relationships/hyperlink" Target="https://kase.kz/ru/listing/issuers/MFRK" TargetMode="External"/><Relationship Id="rId338" Type="http://schemas.openxmlformats.org/officeDocument/2006/relationships/hyperlink" Target="https://kase.kz/ru/listing/issuers/MFRK" TargetMode="External"/><Relationship Id="rId8" Type="http://schemas.openxmlformats.org/officeDocument/2006/relationships/hyperlink" Target="https://kase.kz/ru/listing/issuers/BCCI" TargetMode="External"/><Relationship Id="rId142" Type="http://schemas.openxmlformats.org/officeDocument/2006/relationships/hyperlink" Target="https://kase.kz/ru/listing/issuers/MFRF" TargetMode="External"/><Relationship Id="rId184" Type="http://schemas.openxmlformats.org/officeDocument/2006/relationships/hyperlink" Target="https://kase.kz/ru/listing/issuers/MFRK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old.kase.kz/ru/issuers/KZIK/" TargetMode="External"/><Relationship Id="rId1" Type="http://schemas.openxmlformats.org/officeDocument/2006/relationships/hyperlink" Target="https://old.kase.kz/ru/issuers/KZIK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00B050"/>
    <pageSetUpPr fitToPage="1"/>
  </sheetPr>
  <dimension ref="A1:AH140"/>
  <sheetViews>
    <sheetView tabSelected="1" zoomScale="70" zoomScaleNormal="70" workbookViewId="0">
      <selection activeCell="J39" sqref="J39"/>
    </sheetView>
  </sheetViews>
  <sheetFormatPr defaultColWidth="9.140625" defaultRowHeight="12.75" outlineLevelCol="1"/>
  <cols>
    <col min="1" max="1" width="9.140625" style="48"/>
    <col min="2" max="2" width="41.7109375" style="61" customWidth="1"/>
    <col min="3" max="3" width="21.140625" style="61" customWidth="1"/>
    <col min="4" max="4" width="23.7109375" style="61" customWidth="1"/>
    <col min="5" max="5" width="24.42578125" style="61" customWidth="1"/>
    <col min="6" max="7" width="21.42578125" style="61" bestFit="1" customWidth="1"/>
    <col min="8" max="8" width="10" style="70" customWidth="1"/>
    <col min="9" max="9" width="7.85546875" style="89" customWidth="1"/>
    <col min="10" max="10" width="10.140625" style="89" customWidth="1"/>
    <col min="11" max="11" width="13.7109375" style="67" customWidth="1"/>
    <col min="12" max="12" width="10.42578125" style="67" customWidth="1"/>
    <col min="13" max="13" width="28" style="200" customWidth="1"/>
    <col min="14" max="14" width="15.85546875" style="68" customWidth="1" outlineLevel="1"/>
    <col min="15" max="15" width="16.28515625" style="68" bestFit="1" customWidth="1" outlineLevel="1"/>
    <col min="16" max="16" width="20.28515625" style="68" customWidth="1" outlineLevel="1"/>
    <col min="17" max="17" width="15.5703125" style="68" customWidth="1" outlineLevel="1"/>
    <col min="18" max="19" width="20.140625" style="68" bestFit="1" customWidth="1" outlineLevel="1"/>
    <col min="20" max="22" width="15.5703125" style="68" customWidth="1" outlineLevel="1"/>
    <col min="23" max="23" width="9.140625" style="68"/>
    <col min="24" max="24" width="19.28515625" style="68" bestFit="1" customWidth="1"/>
    <col min="25" max="25" width="23.7109375" style="408" bestFit="1" customWidth="1"/>
    <col min="26" max="26" width="18.42578125" style="68" bestFit="1" customWidth="1"/>
    <col min="27" max="29" width="9.140625" style="68"/>
    <col min="30" max="30" width="43.140625" style="68" bestFit="1" customWidth="1"/>
    <col min="31" max="31" width="46.140625" style="68" bestFit="1" customWidth="1"/>
    <col min="32" max="34" width="9.140625" style="68"/>
    <col min="35" max="16384" width="9.140625" style="52"/>
  </cols>
  <sheetData>
    <row r="1" spans="1:34">
      <c r="B1" s="49"/>
      <c r="E1" s="30"/>
      <c r="F1" s="196"/>
      <c r="G1" s="50"/>
      <c r="I1" s="51"/>
      <c r="J1" s="51"/>
    </row>
    <row r="2" spans="1:34" ht="13.5" thickBot="1">
      <c r="A2" s="53" t="s">
        <v>266</v>
      </c>
      <c r="B2" s="54">
        <v>45950</v>
      </c>
      <c r="C2" s="53" t="s">
        <v>302</v>
      </c>
      <c r="D2" s="433">
        <f ca="1">E14+E28+E43+E57+E71+E85</f>
        <v>218720804792.93924</v>
      </c>
      <c r="E2" s="300"/>
      <c r="F2" s="308"/>
      <c r="G2" s="465"/>
      <c r="H2" s="72"/>
      <c r="I2" s="71"/>
      <c r="J2" s="72"/>
      <c r="X2" s="409"/>
      <c r="Y2" s="410"/>
    </row>
    <row r="3" spans="1:34">
      <c r="B3" s="31"/>
      <c r="C3" s="73"/>
      <c r="D3" s="163">
        <f ca="1">D2-'Report (t-1)'!D2</f>
        <v>494770928.32015991</v>
      </c>
      <c r="G3" s="55"/>
      <c r="H3" s="55"/>
      <c r="I3" s="182"/>
      <c r="J3" s="171"/>
      <c r="X3" s="411"/>
      <c r="Y3" s="411"/>
      <c r="Z3" s="411"/>
    </row>
    <row r="4" spans="1:34">
      <c r="A4" s="56"/>
      <c r="B4" s="31"/>
      <c r="C4" s="32"/>
      <c r="D4" s="32"/>
      <c r="E4" s="33"/>
      <c r="F4" s="37"/>
      <c r="G4" s="37"/>
      <c r="H4" s="65"/>
      <c r="I4" s="85"/>
      <c r="J4" s="86"/>
    </row>
    <row r="5" spans="1:34" ht="13.5" thickBot="1">
      <c r="A5" s="56"/>
      <c r="B5" s="31"/>
      <c r="C5" s="32"/>
      <c r="D5" s="32"/>
      <c r="E5" s="33"/>
      <c r="F5" s="37"/>
      <c r="G5" s="37"/>
      <c r="H5" s="65"/>
      <c r="I5" s="85"/>
      <c r="J5" s="86"/>
    </row>
    <row r="6" spans="1:34" ht="13.5" thickBot="1">
      <c r="B6" s="38" t="s">
        <v>759</v>
      </c>
      <c r="C6" s="39"/>
      <c r="D6" s="39"/>
      <c r="E6" s="39"/>
      <c r="F6" s="39"/>
      <c r="G6" s="39"/>
      <c r="H6" s="46"/>
      <c r="I6" s="82"/>
      <c r="J6" s="83"/>
      <c r="K6" s="197"/>
      <c r="L6" s="197"/>
      <c r="M6" s="201"/>
      <c r="X6" s="412"/>
      <c r="AD6" s="638"/>
      <c r="AE6" s="639"/>
    </row>
    <row r="7" spans="1:34" ht="29.25" thickBot="1">
      <c r="B7" s="40" t="s">
        <v>275</v>
      </c>
      <c r="C7" s="40" t="s">
        <v>268</v>
      </c>
      <c r="D7" s="40" t="s">
        <v>322</v>
      </c>
      <c r="E7" s="40" t="s">
        <v>301</v>
      </c>
      <c r="F7" s="74" t="s">
        <v>280</v>
      </c>
      <c r="G7" s="74" t="s">
        <v>303</v>
      </c>
      <c r="H7" s="75" t="s">
        <v>308</v>
      </c>
      <c r="I7" s="74" t="s">
        <v>281</v>
      </c>
      <c r="J7" s="257" t="s">
        <v>786</v>
      </c>
      <c r="K7" s="204" t="s">
        <v>488</v>
      </c>
      <c r="L7" s="204" t="s">
        <v>489</v>
      </c>
      <c r="M7" s="202" t="s">
        <v>487</v>
      </c>
      <c r="P7" s="418"/>
      <c r="X7" s="412"/>
      <c r="AD7" s="174"/>
      <c r="AE7" s="175"/>
    </row>
    <row r="8" spans="1:34" ht="12.75" customHeight="1">
      <c r="A8" s="48" t="s">
        <v>173</v>
      </c>
      <c r="B8" s="59" t="s">
        <v>277</v>
      </c>
      <c r="C8" s="437">
        <f>'Report (t-1)'!E8</f>
        <v>877463.43</v>
      </c>
      <c r="D8" s="116">
        <f>E8-C8</f>
        <v>-792301.55</v>
      </c>
      <c r="E8" s="438">
        <f>VLOOKUP($B$2,Cash!$B:$AW,5,0)</f>
        <v>85161.88</v>
      </c>
      <c r="F8" s="44">
        <f t="shared" ref="F8:F13" ca="1" si="0">E8/$E$14</f>
        <v>1.5609807936483384E-6</v>
      </c>
      <c r="G8" s="57">
        <v>0</v>
      </c>
      <c r="H8" s="58">
        <v>0</v>
      </c>
      <c r="I8" s="69">
        <v>0</v>
      </c>
      <c r="J8" s="396">
        <v>1E-3</v>
      </c>
      <c r="K8" s="319" t="str">
        <f ca="1">IF(AND(F8&gt;=I8,F8&lt;=J8),"ok","breach")</f>
        <v>ok</v>
      </c>
      <c r="L8" s="198" t="str">
        <f t="shared" ref="L8:L13" ca="1" si="1">IF(AND(F8&gt;=I8,F8&lt;=J8),"ok","breach")</f>
        <v>ok</v>
      </c>
      <c r="M8" s="199" t="s">
        <v>309</v>
      </c>
      <c r="Q8" s="492"/>
      <c r="R8" s="91"/>
      <c r="S8" s="441"/>
      <c r="U8" s="441"/>
      <c r="AD8" s="173"/>
      <c r="AE8" s="178"/>
    </row>
    <row r="9" spans="1:34" ht="15">
      <c r="A9" s="48" t="s">
        <v>759</v>
      </c>
      <c r="B9" s="66" t="s">
        <v>276</v>
      </c>
      <c r="C9" s="437">
        <f>'Report (t-1)'!E9</f>
        <v>40494447361.111107</v>
      </c>
      <c r="D9" s="116">
        <f ca="1">E9-C9</f>
        <v>97506611.111114502</v>
      </c>
      <c r="E9" s="120">
        <f ca="1">SUMIFS(ГЦБ!$X:$X,ГЦБ!$D:$D,$A$8,ГЦБ!$E:$E,$A$9)</f>
        <v>40591953972.222221</v>
      </c>
      <c r="F9" s="44">
        <f t="shared" ca="1" si="0"/>
        <v>0.7440331346289708</v>
      </c>
      <c r="G9" s="57">
        <f>SUMIFS(ГЦБ!$AC:$AC,ГЦБ!$D:$D,$A$8,ГЦБ!$E:$E,$A$9)</f>
        <v>0.16818449946594868</v>
      </c>
      <c r="H9" s="58">
        <f>SUMIFS(ГЦБ!$AD:$AD,ГЦБ!$D:$D,$A$8,ГЦБ!$E:$E,$A$9)</f>
        <v>2.6178017162366665</v>
      </c>
      <c r="I9" s="318">
        <v>0</v>
      </c>
      <c r="J9" s="397">
        <v>1</v>
      </c>
      <c r="K9" s="319" t="str">
        <f ca="1">IF(AND(F9&gt;=I9,F9&lt;=J9),"ok","breach")</f>
        <v>ok</v>
      </c>
      <c r="L9" s="319" t="str">
        <f t="shared" ca="1" si="1"/>
        <v>ok</v>
      </c>
      <c r="M9" s="390" t="s">
        <v>309</v>
      </c>
      <c r="Q9" s="492"/>
      <c r="R9" s="441"/>
      <c r="S9" s="441"/>
      <c r="U9" s="441"/>
      <c r="AD9" s="173"/>
      <c r="AE9" s="178"/>
    </row>
    <row r="10" spans="1:34" ht="15">
      <c r="B10" s="187" t="s">
        <v>455</v>
      </c>
      <c r="C10" s="437">
        <f>'Report (t-1)'!E10</f>
        <v>12020122836.653809</v>
      </c>
      <c r="D10" s="116">
        <f>E10-C10</f>
        <v>6378755.8647632599</v>
      </c>
      <c r="E10" s="120">
        <f>SUMIFS(Repo!$L:$L,Repo!$B:$B,$A$8,Repo!$C:$C,$A$9)</f>
        <v>12026501592.518572</v>
      </c>
      <c r="F10" s="44">
        <f t="shared" ca="1" si="0"/>
        <v>0.22044062438150314</v>
      </c>
      <c r="G10" s="57">
        <f>SUMIFS(Repo!$Q:$Q,Repo!$B:$B,$A$8,Repo!$C:$C,$A$9)</f>
        <v>0.17045750807775795</v>
      </c>
      <c r="H10" s="58">
        <f>SUMIFS(Repo!$R:$R,Repo!$B:$B,$A$8,Repo!$C:$C,$A$9)</f>
        <v>2.3407308948421328E-3</v>
      </c>
      <c r="I10" s="153">
        <v>0</v>
      </c>
      <c r="J10" s="396">
        <v>0.5</v>
      </c>
      <c r="K10" s="319" t="str">
        <f ca="1">IF(AND(F10&gt;=I10,F10&lt;=J10),"ok","breach")</f>
        <v>ok</v>
      </c>
      <c r="L10" s="319" t="str">
        <f t="shared" ca="1" si="1"/>
        <v>ok</v>
      </c>
      <c r="M10" s="199">
        <f ca="1">(E$14*J10-E10)/1000000</f>
        <v>15251.822505550212</v>
      </c>
      <c r="Q10" s="492"/>
      <c r="R10" s="441"/>
      <c r="S10" s="441"/>
      <c r="U10" s="441"/>
      <c r="AD10" s="179"/>
      <c r="AE10" s="180"/>
    </row>
    <row r="11" spans="1:34" ht="15">
      <c r="B11" s="59" t="s">
        <v>353</v>
      </c>
      <c r="C11" s="437">
        <f>'Report (t-1)'!E11</f>
        <v>1929398328.9335637</v>
      </c>
      <c r="D11" s="116">
        <f ca="1">E11-C11</f>
        <v>8709140.5832157135</v>
      </c>
      <c r="E11" s="120">
        <f ca="1">SUMIFS(МФО!$W:$W,МФО!$D:$D,$A$8,МФО!$E:$E,$A$9)</f>
        <v>1938107469.5167794</v>
      </c>
      <c r="F11" s="44">
        <f t="shared" ca="1" si="0"/>
        <v>3.5524680008732483E-2</v>
      </c>
      <c r="G11" s="57">
        <f>SUMIFS(МФО!$AA:$AA,МФО!$D:$D,$A$8,МФО!$E:$E,$A$9)</f>
        <v>0.17551474632357902</v>
      </c>
      <c r="H11" s="262">
        <f>SUMIFS(МФО!$AB:$AB,МФО!$D:$D,$A$8,МФО!$E:$E,$A$9)</f>
        <v>1.4812510213351635</v>
      </c>
      <c r="I11" s="153">
        <v>0</v>
      </c>
      <c r="J11" s="396">
        <v>7.4999999999999997E-2</v>
      </c>
      <c r="K11" s="319" t="str">
        <f ca="1">IF(OR(F11&gt;=J11,COUNTIF(МФО!AE19:AE23,"breach")&gt;0),"breach","ok")</f>
        <v>ok</v>
      </c>
      <c r="L11" s="319" t="str">
        <f t="shared" ca="1" si="1"/>
        <v>ok</v>
      </c>
      <c r="M11" s="199">
        <f ca="1">(E$14*J11-E11)/1000000</f>
        <v>2153.6411451935378</v>
      </c>
      <c r="Q11" s="492"/>
      <c r="R11" s="441"/>
      <c r="S11" s="441"/>
      <c r="U11" s="441"/>
      <c r="AD11" s="173"/>
      <c r="AE11" s="178"/>
    </row>
    <row r="12" spans="1:34" ht="15.75" thickBot="1">
      <c r="B12" s="66" t="s">
        <v>354</v>
      </c>
      <c r="C12" s="437">
        <f>'Report (t-1)'!E12</f>
        <v>0</v>
      </c>
      <c r="D12" s="116">
        <f>E12-C12</f>
        <v>0</v>
      </c>
      <c r="E12" s="120">
        <f>SUMIFS(Агентсткие!$W:$W,Агентсткие!$D:$D,$A$8,Агентсткие!$E:$E,$A$9)</f>
        <v>0</v>
      </c>
      <c r="F12" s="44">
        <f t="shared" ca="1" si="0"/>
        <v>0</v>
      </c>
      <c r="G12" s="57">
        <f>SUMIFS(Агентсткие!$AA:$AA,Агентсткие!$D:$D,$A$8,Агентсткие!$E:$E,$A$9)</f>
        <v>0</v>
      </c>
      <c r="H12" s="262">
        <f>SUMIFS(Агентсткие!$AB:$AB,Агентсткие!$D:$D,$A$8,Агентсткие!$E:$E,$A$9)</f>
        <v>0</v>
      </c>
      <c r="I12" s="69">
        <v>0</v>
      </c>
      <c r="J12" s="396">
        <v>7.4999999999999997E-2</v>
      </c>
      <c r="K12" s="319" t="str">
        <f ca="1">IF(AND(F12&gt;=I12,F12&lt;=J12),"ok","breach")</f>
        <v>ok</v>
      </c>
      <c r="L12" s="319" t="str">
        <f t="shared" ca="1" si="1"/>
        <v>ok</v>
      </c>
      <c r="M12" s="199">
        <f ca="1">(E$14*J12-E12)/1000000</f>
        <v>4091.7486147103173</v>
      </c>
      <c r="Q12" s="492"/>
      <c r="R12" s="441"/>
      <c r="S12" s="441"/>
      <c r="U12" s="441"/>
      <c r="AD12" s="176"/>
      <c r="AE12" s="177"/>
    </row>
    <row r="13" spans="1:34" s="299" customFormat="1" ht="15">
      <c r="A13" s="297"/>
      <c r="B13" s="427" t="s">
        <v>893</v>
      </c>
      <c r="C13" s="437">
        <f>'Report (t-1)'!E13</f>
        <v>0</v>
      </c>
      <c r="D13" s="429"/>
      <c r="E13" s="428">
        <f>SUMIFS('Accounts receivable'!H:H,'Accounts receivable'!B:B,Report!A9)</f>
        <v>0</v>
      </c>
      <c r="F13" s="260">
        <f t="shared" ca="1" si="0"/>
        <v>0</v>
      </c>
      <c r="G13" s="261">
        <f>SUMIFS(Агентсткие!$AA:$AA,Агентсткие!$D:$D,$A$8,Агентсткие!$E:$E,$A$9)</f>
        <v>0</v>
      </c>
      <c r="H13" s="262">
        <f>SUMIFS(Агентсткие!$AB:$AB,Агентсткие!$D:$D,$A$8,Агентсткие!$E:$E,$A$9)</f>
        <v>0</v>
      </c>
      <c r="I13" s="69">
        <v>0</v>
      </c>
      <c r="J13" s="397">
        <v>1</v>
      </c>
      <c r="K13" s="319" t="str">
        <f ca="1">IF(AND(F13&gt;=I13,F13&lt;=J13),"ok","breach")</f>
        <v>ok</v>
      </c>
      <c r="L13" s="319" t="str">
        <f t="shared" ca="1" si="1"/>
        <v>ok</v>
      </c>
      <c r="M13" s="199">
        <f ca="1">(E$14*J13-E13)/1000000</f>
        <v>54556.648196137568</v>
      </c>
      <c r="N13" s="68"/>
      <c r="O13" s="68"/>
      <c r="P13" s="68"/>
      <c r="Q13" s="492"/>
      <c r="R13" s="441"/>
      <c r="S13" s="441"/>
      <c r="T13" s="68"/>
      <c r="U13" s="441"/>
      <c r="V13" s="68"/>
      <c r="W13" s="68"/>
      <c r="X13" s="68"/>
      <c r="Y13" s="408"/>
      <c r="Z13" s="68"/>
      <c r="AA13" s="68"/>
      <c r="AB13" s="68"/>
      <c r="AC13" s="68"/>
      <c r="AD13" s="251"/>
      <c r="AE13" s="252"/>
      <c r="AF13" s="68"/>
      <c r="AG13" s="68"/>
      <c r="AH13" s="68"/>
    </row>
    <row r="14" spans="1:34">
      <c r="B14" s="41" t="s">
        <v>279</v>
      </c>
      <c r="C14" s="119">
        <f>SUM(C8:C13)</f>
        <v>54444845990.128479</v>
      </c>
      <c r="D14" s="119">
        <f ca="1">E14-C14</f>
        <v>111802206.00908661</v>
      </c>
      <c r="E14" s="119">
        <f ca="1">SUM(E8:E13)</f>
        <v>54556648196.137566</v>
      </c>
      <c r="F14" s="78">
        <f ca="1">SUM(F8:F13)</f>
        <v>1</v>
      </c>
      <c r="G14" s="78">
        <f ca="1">SUMPRODUCT($F$8:$F$12,G8:G12)/F14</f>
        <v>0.16894570504478934</v>
      </c>
      <c r="H14" s="293">
        <f ca="1">SUMPRODUCT($E$8:$E$13,H8:H13)/E14</f>
        <v>2.0008681774941746</v>
      </c>
      <c r="I14" s="79"/>
      <c r="J14" s="79"/>
      <c r="K14" s="197"/>
      <c r="L14" s="197"/>
      <c r="M14" s="201"/>
      <c r="O14" s="441">
        <f ca="1">E14-C14</f>
        <v>111802206.00908661</v>
      </c>
      <c r="Q14" s="492"/>
      <c r="R14" s="441"/>
      <c r="S14" s="441"/>
    </row>
    <row r="15" spans="1:34">
      <c r="B15" s="60"/>
      <c r="C15" s="117"/>
      <c r="D15" s="117"/>
      <c r="E15" s="117">
        <f>VLOOKUP($B$2,MV!$B:$XFD,MV!$E$1,0)</f>
        <v>54556648196.137566</v>
      </c>
      <c r="F15" s="36"/>
      <c r="G15" s="36"/>
      <c r="H15" s="36"/>
      <c r="I15" s="34"/>
      <c r="J15" s="35"/>
      <c r="K15" s="205"/>
      <c r="L15" s="205"/>
      <c r="M15" s="206"/>
      <c r="O15" s="419"/>
      <c r="Q15" s="492"/>
      <c r="R15" s="441"/>
    </row>
    <row r="16" spans="1:34" ht="13.5" thickBot="1">
      <c r="B16" s="399">
        <f ca="1">E14/D2</f>
        <v>0.24943511088387676</v>
      </c>
      <c r="C16" s="52"/>
      <c r="D16" s="52"/>
      <c r="E16" s="64">
        <f ca="1">E14-E15</f>
        <v>0</v>
      </c>
      <c r="F16" s="52"/>
      <c r="G16" s="294"/>
      <c r="H16" s="91"/>
      <c r="I16" s="154"/>
      <c r="J16" s="154"/>
      <c r="K16" s="154"/>
      <c r="L16" s="154"/>
      <c r="M16" s="203"/>
      <c r="Q16" s="493"/>
      <c r="R16" s="91"/>
    </row>
    <row r="17" spans="1:34">
      <c r="B17" s="416" t="s">
        <v>759</v>
      </c>
      <c r="C17" s="401" t="s">
        <v>308</v>
      </c>
      <c r="D17" s="404" t="s">
        <v>772</v>
      </c>
      <c r="E17" s="405">
        <v>-0.2</v>
      </c>
      <c r="F17" s="405" t="s">
        <v>773</v>
      </c>
      <c r="G17" s="406" t="s">
        <v>774</v>
      </c>
      <c r="H17" s="303"/>
      <c r="I17" s="413"/>
      <c r="J17" s="86"/>
      <c r="Q17" s="494"/>
      <c r="R17" s="495"/>
    </row>
    <row r="18" spans="1:34" ht="13.5" thickBot="1">
      <c r="B18" s="417"/>
      <c r="C18" s="407">
        <f ca="1">SUMPRODUCT($F8:$F12,$H8:$H12)%</f>
        <v>2.000868177494174E-2</v>
      </c>
      <c r="D18" s="402">
        <f>VLOOKUP($B$2,'MBM index - с 1 апреля 2024 г  '!A:D,4)/100</f>
        <v>2.1299999999999999E-2</v>
      </c>
      <c r="E18" s="402">
        <f>D18*0.8</f>
        <v>1.704E-2</v>
      </c>
      <c r="F18" s="402">
        <f>D18*1.5</f>
        <v>3.1949999999999999E-2</v>
      </c>
      <c r="G18" s="403" t="str">
        <f ca="1">IF(AND(C18&gt;=E18,C18&lt;=F18),"ok","breach")</f>
        <v>ok</v>
      </c>
      <c r="H18" s="91"/>
      <c r="I18" s="154"/>
      <c r="J18" s="154"/>
      <c r="K18" s="154"/>
      <c r="L18" s="154"/>
      <c r="M18" s="203"/>
      <c r="Q18" s="494"/>
      <c r="R18" s="493"/>
    </row>
    <row r="19" spans="1:34">
      <c r="B19" s="52"/>
      <c r="C19" s="52"/>
      <c r="D19" s="52"/>
      <c r="E19" s="265"/>
      <c r="F19" s="52"/>
      <c r="G19" s="52"/>
      <c r="H19" s="64"/>
      <c r="I19" s="87"/>
      <c r="J19" s="87"/>
      <c r="K19" s="154"/>
      <c r="L19" s="154"/>
      <c r="M19" s="203"/>
      <c r="R19" s="91"/>
    </row>
    <row r="20" spans="1:34">
      <c r="B20" s="38" t="s">
        <v>762</v>
      </c>
      <c r="C20" s="39"/>
      <c r="D20" s="39"/>
      <c r="E20" s="39"/>
      <c r="F20" s="39"/>
      <c r="G20" s="39"/>
      <c r="H20" s="46"/>
      <c r="I20" s="82"/>
      <c r="J20" s="83"/>
      <c r="K20" s="197"/>
      <c r="L20" s="197"/>
      <c r="M20" s="201"/>
      <c r="N20" s="90"/>
      <c r="O20" s="90"/>
      <c r="P20" s="90"/>
      <c r="R20" s="90"/>
      <c r="S20" s="90"/>
      <c r="T20" s="90"/>
      <c r="U20" s="90"/>
      <c r="V20" s="90"/>
    </row>
    <row r="21" spans="1:34" ht="28.5">
      <c r="B21" s="40" t="s">
        <v>275</v>
      </c>
      <c r="C21" s="40" t="s">
        <v>268</v>
      </c>
      <c r="D21" s="40" t="s">
        <v>322</v>
      </c>
      <c r="E21" s="40" t="s">
        <v>301</v>
      </c>
      <c r="F21" s="74" t="s">
        <v>280</v>
      </c>
      <c r="G21" s="74" t="s">
        <v>303</v>
      </c>
      <c r="H21" s="75" t="s">
        <v>308</v>
      </c>
      <c r="I21" s="74" t="s">
        <v>281</v>
      </c>
      <c r="J21" s="257" t="s">
        <v>786</v>
      </c>
      <c r="K21" s="204" t="s">
        <v>488</v>
      </c>
      <c r="L21" s="204" t="s">
        <v>489</v>
      </c>
      <c r="M21" s="202" t="s">
        <v>487</v>
      </c>
    </row>
    <row r="22" spans="1:34" ht="13.5" thickBot="1">
      <c r="A22" s="48" t="s">
        <v>173</v>
      </c>
      <c r="B22" s="59" t="s">
        <v>277</v>
      </c>
      <c r="C22" s="437">
        <f>'Report (t-1)'!E22</f>
        <v>5401813.5599999996</v>
      </c>
      <c r="D22" s="116">
        <f>E22-C22</f>
        <v>-3151076.3199999994</v>
      </c>
      <c r="E22" s="438">
        <f>VLOOKUP($B$2,Cash!$B:$AW,9,0)</f>
        <v>2250737.2400000002</v>
      </c>
      <c r="F22" s="44">
        <f t="shared" ref="F22:F27" ca="1" si="2">E22/$E$28</f>
        <v>4.2564491488544044E-5</v>
      </c>
      <c r="G22" s="57">
        <v>0</v>
      </c>
      <c r="H22" s="58">
        <v>0</v>
      </c>
      <c r="I22" s="69">
        <v>0</v>
      </c>
      <c r="J22" s="396">
        <v>1E-3</v>
      </c>
      <c r="K22" s="319" t="str">
        <f t="shared" ref="K22:K27" ca="1" si="3">IF(AND(F22&gt;=I22,F22&lt;=J22),"ok","breach")</f>
        <v>ok</v>
      </c>
      <c r="L22" s="319" t="str">
        <f t="shared" ref="L22:L27" ca="1" si="4">IF(AND(F22&gt;=I22,F22&lt;=J22),"ok","breach")</f>
        <v>ok</v>
      </c>
      <c r="M22" s="199" t="s">
        <v>309</v>
      </c>
      <c r="Q22" s="492"/>
      <c r="R22" s="91"/>
      <c r="S22" s="441"/>
    </row>
    <row r="23" spans="1:34" ht="15.75" thickBot="1">
      <c r="A23" s="48" t="s">
        <v>762</v>
      </c>
      <c r="B23" s="66" t="s">
        <v>276</v>
      </c>
      <c r="C23" s="437">
        <f>'Report (t-1)'!E23</f>
        <v>42867017890.833321</v>
      </c>
      <c r="D23" s="116">
        <f ca="1">E23-C23</f>
        <v>109990952.22224426</v>
      </c>
      <c r="E23" s="120">
        <f ca="1">SUMIFS(ГЦБ!$X:$X,ГЦБ!$D:$D,$A$22,ГЦБ!$E:$E,$A$23)</f>
        <v>42977008843.055565</v>
      </c>
      <c r="F23" s="44">
        <f t="shared" ca="1" si="2"/>
        <v>0.81275348121192525</v>
      </c>
      <c r="G23" s="57">
        <f>SUMIFS(ГЦБ!$AC:$AC,ГЦБ!$D:$D,$A$22,ГЦБ!$E:$E,$A$23)</f>
        <v>0.16797847762317825</v>
      </c>
      <c r="H23" s="58">
        <f>SUMIFS(ГЦБ!$AD:$AD,ГЦБ!$D:$D,$A$22,ГЦБ!$E:$E,$A$23)</f>
        <v>2.3618261717922717</v>
      </c>
      <c r="I23" s="318">
        <v>0</v>
      </c>
      <c r="J23" s="397">
        <v>1</v>
      </c>
      <c r="K23" s="319" t="str">
        <f t="shared" ca="1" si="3"/>
        <v>ok</v>
      </c>
      <c r="L23" s="319" t="str">
        <f t="shared" ca="1" si="4"/>
        <v>ok</v>
      </c>
      <c r="M23" s="390" t="s">
        <v>309</v>
      </c>
      <c r="Q23" s="492"/>
      <c r="R23" s="441"/>
      <c r="S23" s="441"/>
      <c r="AD23" s="174"/>
      <c r="AE23" s="175"/>
    </row>
    <row r="24" spans="1:34" ht="15">
      <c r="A24" s="258"/>
      <c r="B24" s="187" t="s">
        <v>455</v>
      </c>
      <c r="C24" s="437">
        <f>'Report (t-1)'!E24</f>
        <v>4153258184.3400002</v>
      </c>
      <c r="D24" s="116">
        <f>E24-C24</f>
        <v>5083670.3199996948</v>
      </c>
      <c r="E24" s="120">
        <f>SUMIFS(Repo!$L:$L,Repo!$B:$B,$A$22,Repo!$C:$C,$A$23)</f>
        <v>4158341854.6599998</v>
      </c>
      <c r="F24" s="44">
        <f t="shared" ca="1" si="2"/>
        <v>7.8639880006220533E-2</v>
      </c>
      <c r="G24" s="57">
        <f>SUMIFS(Repo!$Q:$Q,Repo!$B:$B,$A$22,Repo!$C:$C,$A$23)</f>
        <v>0.17046675595120828</v>
      </c>
      <c r="H24" s="58">
        <f>SUMIFS(Repo!$R:$R,Repo!$B:$B,$A$22,Repo!$C:$C,$A$23)</f>
        <v>2.340712381165273E-3</v>
      </c>
      <c r="I24" s="153">
        <v>0</v>
      </c>
      <c r="J24" s="396">
        <v>0.5</v>
      </c>
      <c r="K24" s="319" t="str">
        <f t="shared" ca="1" si="3"/>
        <v>ok</v>
      </c>
      <c r="L24" s="319" t="str">
        <f t="shared" ca="1" si="4"/>
        <v>ok</v>
      </c>
      <c r="M24" s="199">
        <f ca="1">(E$28*J24-E24)/1000000</f>
        <v>22280.799801781162</v>
      </c>
      <c r="Q24" s="492"/>
      <c r="R24" s="441"/>
      <c r="S24" s="441"/>
      <c r="AD24" s="173"/>
      <c r="AE24" s="178"/>
    </row>
    <row r="25" spans="1:34" ht="15" customHeight="1">
      <c r="B25" s="59" t="s">
        <v>771</v>
      </c>
      <c r="C25" s="437">
        <f>'Report (t-1)'!E25</f>
        <v>2894097493.4003458</v>
      </c>
      <c r="D25" s="116">
        <f ca="1">E25-C25</f>
        <v>13063710.87482357</v>
      </c>
      <c r="E25" s="120">
        <f ca="1">SUMIFS(МФО!$W:$W,МФО!$D:$D,$A$22,МФО!$E:$E,$A$23)</f>
        <v>2907161204.2751694</v>
      </c>
      <c r="F25" s="44">
        <f t="shared" ca="1" si="2"/>
        <v>5.4978358262378013E-2</v>
      </c>
      <c r="G25" s="57">
        <f>SUMIFS(МФО!$AA:$AA,МФО!$D:$D,$A$22,МФО!$E:$E,$A$23)</f>
        <v>0.17551474632357902</v>
      </c>
      <c r="H25" s="262">
        <f>SUMIFS(МФО!$AB:$AB,МФО!$D:$D,$A$22,МФО!$E:$E,$A$23)</f>
        <v>1.4812510213351635</v>
      </c>
      <c r="I25" s="153">
        <v>0</v>
      </c>
      <c r="J25" s="396">
        <v>7.4999999999999997E-2</v>
      </c>
      <c r="K25" s="319" t="str">
        <f t="shared" ca="1" si="3"/>
        <v>ok</v>
      </c>
      <c r="L25" s="319" t="str">
        <f t="shared" ca="1" si="4"/>
        <v>ok</v>
      </c>
      <c r="M25" s="199">
        <f ca="1">(E$28*J25-E25)/1000000</f>
        <v>1058.7100441910047</v>
      </c>
      <c r="Q25" s="492"/>
      <c r="R25" s="441"/>
      <c r="S25" s="441"/>
      <c r="X25" s="412"/>
      <c r="AD25" s="173"/>
      <c r="AE25" s="178"/>
    </row>
    <row r="26" spans="1:34" ht="12.75" customHeight="1">
      <c r="B26" s="66" t="s">
        <v>354</v>
      </c>
      <c r="C26" s="437">
        <f>'Report (t-1)'!E26</f>
        <v>2831805895.0111527</v>
      </c>
      <c r="D26" s="116">
        <f ca="1">E26-C26</f>
        <v>1714778.6404366493</v>
      </c>
      <c r="E26" s="120">
        <f ca="1">SUMIFS(Агентсткие!$W:$W,Агентсткие!$D:$D,$A$22,Агентсткие!$E:$E,$A$23)</f>
        <v>2833520673.6515894</v>
      </c>
      <c r="F26" s="44">
        <f t="shared" ca="1" si="2"/>
        <v>5.3585716027987632E-2</v>
      </c>
      <c r="G26" s="57">
        <f>SUMIFS(Агентсткие!$AA:$AA,Агентсткие!$D:$D,$A$22,Агентсткие!$E:$E,$A$23)</f>
        <v>0</v>
      </c>
      <c r="H26" s="262">
        <f>SUMIFS(Агентсткие!$AB:$AB,Агентсткие!$D:$D,$A$22,Агентсткие!$E:$E,$A$23)</f>
        <v>0</v>
      </c>
      <c r="I26" s="69">
        <v>0</v>
      </c>
      <c r="J26" s="396">
        <v>7.4999999999999997E-2</v>
      </c>
      <c r="K26" s="319" t="str">
        <f t="shared" ca="1" si="3"/>
        <v>ok</v>
      </c>
      <c r="L26" s="319" t="str">
        <f t="shared" ca="1" si="4"/>
        <v>ok</v>
      </c>
      <c r="M26" s="199">
        <f ca="1">(E$28*J26-E26)/1000000</f>
        <v>1132.3505748145847</v>
      </c>
      <c r="Q26" s="492"/>
      <c r="R26" s="441"/>
      <c r="S26" s="441"/>
      <c r="AD26" s="179"/>
      <c r="AE26" s="180"/>
    </row>
    <row r="27" spans="1:34" s="299" customFormat="1" ht="12.75" customHeight="1">
      <c r="A27" s="297"/>
      <c r="B27" s="427" t="s">
        <v>893</v>
      </c>
      <c r="C27" s="437">
        <f>'Report (t-1)'!E27</f>
        <v>0</v>
      </c>
      <c r="D27" s="429"/>
      <c r="E27" s="428">
        <f>SUMIFS('Accounts receivable'!H:H,'Accounts receivable'!B:B,Report!A23)</f>
        <v>0</v>
      </c>
      <c r="F27" s="260">
        <f t="shared" ca="1" si="2"/>
        <v>0</v>
      </c>
      <c r="G27" s="261">
        <v>0</v>
      </c>
      <c r="H27" s="262">
        <v>0</v>
      </c>
      <c r="I27" s="69">
        <v>0</v>
      </c>
      <c r="J27" s="397">
        <v>1</v>
      </c>
      <c r="K27" s="319" t="str">
        <f t="shared" ca="1" si="3"/>
        <v>ok</v>
      </c>
      <c r="L27" s="319" t="str">
        <f t="shared" ca="1" si="4"/>
        <v>ok</v>
      </c>
      <c r="M27" s="199">
        <f ca="1">(E$28*J27-E27)/1000000</f>
        <v>52878.283312882326</v>
      </c>
      <c r="N27" s="68"/>
      <c r="O27" s="68"/>
      <c r="P27" s="68"/>
      <c r="Q27" s="492"/>
      <c r="R27" s="441"/>
      <c r="S27" s="441"/>
      <c r="T27" s="68"/>
      <c r="U27" s="68"/>
      <c r="V27" s="68"/>
      <c r="W27" s="68"/>
      <c r="X27" s="68"/>
      <c r="Y27" s="408"/>
      <c r="Z27" s="68"/>
      <c r="AA27" s="68"/>
      <c r="AB27" s="68"/>
      <c r="AC27" s="68"/>
      <c r="AD27" s="430"/>
      <c r="AE27" s="431"/>
      <c r="AF27" s="68"/>
      <c r="AG27" s="68"/>
      <c r="AH27" s="68"/>
    </row>
    <row r="28" spans="1:34" s="259" customFormat="1" ht="12.75" customHeight="1">
      <c r="A28" s="48"/>
      <c r="B28" s="41" t="s">
        <v>279</v>
      </c>
      <c r="C28" s="119">
        <f>SUM(C22:C27)</f>
        <v>52751581277.144821</v>
      </c>
      <c r="D28" s="119">
        <f ca="1">E28-C28</f>
        <v>126702035.73750305</v>
      </c>
      <c r="E28" s="119">
        <f ca="1">SUM(E22:E27)</f>
        <v>52878283312.882324</v>
      </c>
      <c r="F28" s="78">
        <f ca="1">SUM(F22:F27)</f>
        <v>1</v>
      </c>
      <c r="G28" s="78">
        <f ca="1">SUMPRODUCT($F$22:$F$26,G22:G26)/F28</f>
        <v>0.15958009029367842</v>
      </c>
      <c r="H28" s="293">
        <f ca="1">SUMPRODUCT($E$22:$E$26,H22:H26)/E28</f>
        <v>2.0012032658098655</v>
      </c>
      <c r="I28" s="79"/>
      <c r="J28" s="79"/>
      <c r="K28" s="197"/>
      <c r="L28" s="197"/>
      <c r="M28" s="201"/>
      <c r="N28" s="68"/>
      <c r="O28" s="441">
        <f ca="1">E28-C28</f>
        <v>126702035.73750305</v>
      </c>
      <c r="P28" s="68"/>
      <c r="Q28" s="492"/>
      <c r="R28" s="441"/>
      <c r="S28" s="441"/>
      <c r="T28" s="68"/>
      <c r="U28" s="68"/>
      <c r="V28" s="68"/>
      <c r="W28" s="68"/>
      <c r="X28" s="68"/>
      <c r="Y28" s="408"/>
      <c r="Z28" s="68"/>
      <c r="AA28" s="68"/>
      <c r="AB28" s="68"/>
      <c r="AC28" s="68"/>
      <c r="AD28" s="173"/>
      <c r="AE28" s="178"/>
      <c r="AF28" s="68"/>
      <c r="AG28" s="68"/>
      <c r="AH28" s="68"/>
    </row>
    <row r="29" spans="1:34" ht="15.75" thickBot="1">
      <c r="B29" s="60"/>
      <c r="C29" s="117"/>
      <c r="D29" s="117"/>
      <c r="E29" s="117">
        <f>VLOOKUP($B$2,MV!$B:$XFD,MV!$I$1,0)</f>
        <v>52878283312.882324</v>
      </c>
      <c r="F29" s="36"/>
      <c r="G29" s="36"/>
      <c r="H29" s="36"/>
      <c r="I29" s="84"/>
      <c r="J29" s="84"/>
      <c r="Q29" s="492"/>
      <c r="R29" s="441"/>
      <c r="AD29" s="176"/>
      <c r="AE29" s="177"/>
    </row>
    <row r="30" spans="1:34" ht="15">
      <c r="B30" s="60"/>
      <c r="C30" s="47"/>
      <c r="D30" s="47"/>
      <c r="E30" s="304">
        <f ca="1">E28-E29</f>
        <v>0</v>
      </c>
      <c r="F30" s="52"/>
      <c r="G30" s="36"/>
      <c r="H30" s="36"/>
      <c r="I30" s="160"/>
      <c r="J30" s="84"/>
      <c r="K30" s="154"/>
      <c r="L30" s="154"/>
      <c r="M30" s="203"/>
      <c r="Q30" s="492"/>
      <c r="R30" s="91"/>
      <c r="AD30" s="251"/>
      <c r="AE30" s="252"/>
    </row>
    <row r="31" spans="1:34" ht="13.5" thickBot="1">
      <c r="B31" s="398">
        <f ca="1">E28/$D$2</f>
        <v>0.24176156156220099</v>
      </c>
      <c r="C31" s="63"/>
      <c r="H31" s="84"/>
      <c r="I31" s="160"/>
      <c r="Q31" s="493"/>
    </row>
    <row r="32" spans="1:34">
      <c r="A32" s="56"/>
      <c r="B32" s="416" t="s">
        <v>762</v>
      </c>
      <c r="C32" s="401" t="s">
        <v>308</v>
      </c>
      <c r="D32" s="404" t="s">
        <v>772</v>
      </c>
      <c r="E32" s="405">
        <v>-0.2</v>
      </c>
      <c r="F32" s="405" t="s">
        <v>773</v>
      </c>
      <c r="G32" s="406" t="s">
        <v>774</v>
      </c>
      <c r="H32" s="84"/>
      <c r="I32" s="413"/>
      <c r="J32" s="86"/>
      <c r="Q32" s="494"/>
      <c r="R32" s="495"/>
    </row>
    <row r="33" spans="1:34" ht="13.5" thickBot="1">
      <c r="A33" s="56"/>
      <c r="B33" s="417"/>
      <c r="C33" s="407">
        <f ca="1">SUMPRODUCT($F22:$F26,$H22:$H26)%</f>
        <v>2.0012032658098654E-2</v>
      </c>
      <c r="D33" s="402">
        <f>VLOOKUP($B$2,'MBM index - с 1 апреля 2024 г  '!A:D,4)/100</f>
        <v>2.1299999999999999E-2</v>
      </c>
      <c r="E33" s="402">
        <f>D33*0.8</f>
        <v>1.704E-2</v>
      </c>
      <c r="F33" s="402">
        <f>D33*1.5</f>
        <v>3.1949999999999999E-2</v>
      </c>
      <c r="G33" s="403" t="str">
        <f ca="1">IF(AND(C33&gt;=E33,C33&lt;=F33),"ok","breach")</f>
        <v>ok</v>
      </c>
      <c r="H33" s="84"/>
      <c r="I33" s="67"/>
      <c r="J33" s="67"/>
      <c r="Q33" s="494"/>
      <c r="R33" s="493"/>
    </row>
    <row r="34" spans="1:34">
      <c r="A34" s="297"/>
      <c r="B34" s="62"/>
      <c r="C34" s="62"/>
      <c r="D34" s="62"/>
      <c r="E34" s="118"/>
      <c r="F34" s="309"/>
      <c r="G34" s="309"/>
      <c r="H34" s="309"/>
      <c r="I34" s="88"/>
      <c r="J34" s="88"/>
      <c r="R34" s="441"/>
    </row>
    <row r="35" spans="1:34">
      <c r="A35" s="297"/>
      <c r="B35" s="38" t="s">
        <v>760</v>
      </c>
      <c r="C35" s="39"/>
      <c r="D35" s="39"/>
      <c r="E35" s="39"/>
      <c r="F35" s="39"/>
      <c r="G35" s="39"/>
      <c r="H35" s="46"/>
      <c r="I35" s="82"/>
      <c r="J35" s="83"/>
      <c r="K35" s="197"/>
      <c r="L35" s="197"/>
      <c r="M35" s="201"/>
    </row>
    <row r="36" spans="1:34" ht="28.5">
      <c r="A36" s="297" t="s">
        <v>173</v>
      </c>
      <c r="B36" s="40" t="s">
        <v>275</v>
      </c>
      <c r="C36" s="40" t="s">
        <v>268</v>
      </c>
      <c r="D36" s="40" t="s">
        <v>322</v>
      </c>
      <c r="E36" s="40" t="s">
        <v>301</v>
      </c>
      <c r="F36" s="257" t="s">
        <v>280</v>
      </c>
      <c r="G36" s="257" t="s">
        <v>303</v>
      </c>
      <c r="H36" s="75" t="s">
        <v>308</v>
      </c>
      <c r="I36" s="257" t="s">
        <v>281</v>
      </c>
      <c r="J36" s="257" t="s">
        <v>786</v>
      </c>
      <c r="K36" s="204" t="s">
        <v>488</v>
      </c>
      <c r="L36" s="204" t="s">
        <v>489</v>
      </c>
      <c r="M36" s="202" t="s">
        <v>487</v>
      </c>
    </row>
    <row r="37" spans="1:34" ht="12.75" customHeight="1">
      <c r="A37" s="297" t="s">
        <v>760</v>
      </c>
      <c r="B37" s="59" t="s">
        <v>277</v>
      </c>
      <c r="C37" s="437">
        <f>'Report (t-1)'!E37</f>
        <v>3420624.84</v>
      </c>
      <c r="D37" s="116">
        <f>E37-C37</f>
        <v>524719.84000000032</v>
      </c>
      <c r="E37" s="438">
        <f>VLOOKUP($B$2,Cash!$B:$AW,13,0)</f>
        <v>3945344.68</v>
      </c>
      <c r="F37" s="260">
        <f t="shared" ref="F37:F42" ca="1" si="5">E37/$E$43</f>
        <v>1.2049835035449984E-4</v>
      </c>
      <c r="G37" s="261">
        <v>0</v>
      </c>
      <c r="H37" s="262">
        <f>1/366</f>
        <v>2.7322404371584699E-3</v>
      </c>
      <c r="I37" s="69">
        <v>0</v>
      </c>
      <c r="J37" s="396">
        <v>1E-3</v>
      </c>
      <c r="K37" s="319" t="str">
        <f t="shared" ref="K37:K42" ca="1" si="6">IF(AND(F37&gt;=I37,F37&lt;=J37),"ok","breach")</f>
        <v>ok</v>
      </c>
      <c r="L37" s="319" t="str">
        <f t="shared" ref="L37:L42" ca="1" si="7">IF(AND(F37&gt;=I37,F37&lt;=J37),"ok","breach")</f>
        <v>ok</v>
      </c>
      <c r="M37" s="199" t="s">
        <v>309</v>
      </c>
      <c r="P37" s="91"/>
      <c r="Q37" s="492"/>
      <c r="R37" s="91"/>
      <c r="S37" s="441"/>
      <c r="T37" s="441"/>
    </row>
    <row r="38" spans="1:34">
      <c r="A38" s="297"/>
      <c r="B38" s="66" t="s">
        <v>276</v>
      </c>
      <c r="C38" s="437">
        <f>'Report (t-1)'!E38</f>
        <v>26175761695.022831</v>
      </c>
      <c r="D38" s="116">
        <f ca="1">E38-C38</f>
        <v>64020278.729114532</v>
      </c>
      <c r="E38" s="120">
        <f ca="1">SUMIFS(ГЦБ!$X:$X,ГЦБ!$D:$D,$A$36,ГЦБ!$E:$E,$A$37)</f>
        <v>26239781973.751945</v>
      </c>
      <c r="F38" s="260">
        <f ca="1">E38/$E$43</f>
        <v>0.80141298110837078</v>
      </c>
      <c r="G38" s="261">
        <f>SUMIFS(ГЦБ!$AC:$AC,ГЦБ!$D:$D,$A$36,ГЦБ!$E:$E,$A$37)</f>
        <v>0.16800047340303967</v>
      </c>
      <c r="H38" s="262">
        <f>SUMIFS(ГЦБ!$AD:$AD,ГЦБ!$D:$D,$A$36,ГЦБ!$E:$E,$A$37)</f>
        <v>2.6556326432222659</v>
      </c>
      <c r="I38" s="318">
        <v>0</v>
      </c>
      <c r="J38" s="397">
        <v>1</v>
      </c>
      <c r="K38" s="319" t="str">
        <f t="shared" ca="1" si="6"/>
        <v>ok</v>
      </c>
      <c r="L38" s="319" t="str">
        <f t="shared" ca="1" si="7"/>
        <v>ok</v>
      </c>
      <c r="M38" s="390" t="s">
        <v>309</v>
      </c>
      <c r="Q38" s="492"/>
      <c r="R38" s="441"/>
      <c r="S38" s="441"/>
      <c r="T38" s="441"/>
    </row>
    <row r="39" spans="1:34" ht="13.5" thickBot="1">
      <c r="A39" s="297"/>
      <c r="B39" s="187" t="s">
        <v>455</v>
      </c>
      <c r="C39" s="437">
        <f>'Report (t-1)'!E39</f>
        <v>3255150055.2733335</v>
      </c>
      <c r="D39" s="116">
        <f>E39-C39</f>
        <v>994408.5266661644</v>
      </c>
      <c r="E39" s="120">
        <f>SUMIFS(Repo!$L:$L,Repo!$B:$B,$A$36,Repo!$C:$C,$A$37)</f>
        <v>3256144463.7999997</v>
      </c>
      <c r="F39" s="260">
        <f t="shared" ca="1" si="5"/>
        <v>9.9448861437332614E-2</v>
      </c>
      <c r="G39" s="261">
        <f>SUMIFS(Repo!$Q:$Q,Repo!$B:$B,$A$36,Repo!$C:$C,$A$37)</f>
        <v>0.17109049588969749</v>
      </c>
      <c r="H39" s="262">
        <f>SUMIFS(Repo!$R:$R,Repo!$B:$B,$A$36,Repo!$C:$C,$A$37)</f>
        <v>2.3394660846965789E-3</v>
      </c>
      <c r="I39" s="153">
        <v>0</v>
      </c>
      <c r="J39" s="396">
        <v>0.5</v>
      </c>
      <c r="K39" s="319" t="str">
        <f t="shared" ca="1" si="6"/>
        <v>ok</v>
      </c>
      <c r="L39" s="319" t="str">
        <f t="shared" ca="1" si="7"/>
        <v>ok</v>
      </c>
      <c r="M39" s="199">
        <f ca="1">(E$43*J39-E39)/1000000</f>
        <v>13114.804467836833</v>
      </c>
      <c r="Q39" s="492"/>
      <c r="R39" s="441"/>
      <c r="S39" s="441"/>
      <c r="T39" s="441"/>
    </row>
    <row r="40" spans="1:34" ht="15.75" thickBot="1">
      <c r="A40" s="297"/>
      <c r="B40" s="59" t="s">
        <v>771</v>
      </c>
      <c r="C40" s="437">
        <f>'Report (t-1)'!E40</f>
        <v>2025868245.3802421</v>
      </c>
      <c r="D40" s="116">
        <f ca="1">E40-C40</f>
        <v>9144597.6123764515</v>
      </c>
      <c r="E40" s="120">
        <f ca="1">SUMIFS(МФО!$W:$W,МФО!$D:$D,$A$36,МФО!$E:$E,$A$37)</f>
        <v>2035012842.9926186</v>
      </c>
      <c r="F40" s="260">
        <f t="shared" ca="1" si="5"/>
        <v>6.2153173022852677E-2</v>
      </c>
      <c r="G40" s="261">
        <f>SUMIFS(МФО!$AA:$AA,МФО!$D:$D,$A$36,МФО!$E:$E,$A$37)</f>
        <v>0.17551474632357902</v>
      </c>
      <c r="H40" s="262">
        <f>SUMIFS(МФО!$AB:$AB,МФО!$D:$D,$A$36,МФО!$E:$E,$A$37)</f>
        <v>1.4812510213351635</v>
      </c>
      <c r="I40" s="153">
        <v>0</v>
      </c>
      <c r="J40" s="396">
        <v>7.4999999999999997E-2</v>
      </c>
      <c r="K40" s="319" t="str">
        <f t="shared" ca="1" si="6"/>
        <v>ok</v>
      </c>
      <c r="L40" s="319" t="str">
        <f t="shared" ca="1" si="7"/>
        <v>ok</v>
      </c>
      <c r="M40" s="199">
        <f ca="1">(E$43*J40-E40)/1000000</f>
        <v>420.62949675290633</v>
      </c>
      <c r="Q40" s="492"/>
      <c r="R40" s="441"/>
      <c r="S40" s="441"/>
      <c r="T40" s="441"/>
      <c r="AD40" s="174"/>
      <c r="AE40" s="175"/>
    </row>
    <row r="41" spans="1:34" ht="15">
      <c r="A41" s="297"/>
      <c r="B41" s="66" t="s">
        <v>354</v>
      </c>
      <c r="C41" s="437">
        <f>'Report (t-1)'!E41</f>
        <v>1206324084.9005842</v>
      </c>
      <c r="D41" s="116">
        <f ca="1">E41-C41</f>
        <v>689153.14851927757</v>
      </c>
      <c r="E41" s="120">
        <f ca="1">SUMIFS(Агентсткие!$W:$W,Агентсткие!$D:$D,$A$36,Агентсткие!$E:$E,$A$37)</f>
        <v>1207013238.0491035</v>
      </c>
      <c r="F41" s="260">
        <f t="shared" ca="1" si="5"/>
        <v>3.6864486081089422E-2</v>
      </c>
      <c r="G41" s="261">
        <f>SUMIFS(Агентсткие!$AA:$AA,Агентсткие!$D:$D,$A$36,Агентсткие!$E:$E,$A$37)</f>
        <v>0</v>
      </c>
      <c r="H41" s="262">
        <f>SUMIFS(Агентсткие!$AB:$AB,Агентсткие!$D:$D,$A$36,Агентсткие!$E:$E,$A$37)</f>
        <v>0</v>
      </c>
      <c r="I41" s="69">
        <v>0</v>
      </c>
      <c r="J41" s="396">
        <v>7.4999999999999997E-2</v>
      </c>
      <c r="K41" s="319" t="str">
        <f t="shared" ca="1" si="6"/>
        <v>ok</v>
      </c>
      <c r="L41" s="319" t="str">
        <f t="shared" ca="1" si="7"/>
        <v>ok</v>
      </c>
      <c r="M41" s="199">
        <f ca="1">(E$43*J41-E41)/1000000</f>
        <v>1248.6291016964215</v>
      </c>
      <c r="N41" s="90"/>
      <c r="O41" s="90"/>
      <c r="P41" s="90"/>
      <c r="Q41" s="492"/>
      <c r="R41" s="450"/>
      <c r="S41" s="441"/>
      <c r="T41" s="441"/>
      <c r="U41" s="90"/>
      <c r="V41" s="90"/>
      <c r="AD41" s="173"/>
      <c r="AE41" s="178"/>
    </row>
    <row r="42" spans="1:34" s="299" customFormat="1" ht="15">
      <c r="A42" s="297"/>
      <c r="B42" s="427" t="s">
        <v>893</v>
      </c>
      <c r="C42" s="437">
        <f>'Report (t-1)'!E42</f>
        <v>0</v>
      </c>
      <c r="D42" s="429"/>
      <c r="E42" s="461">
        <f>SUMIFS('Accounts receivable'!H:H,'Accounts receivable'!B:B,A37)</f>
        <v>0</v>
      </c>
      <c r="F42" s="260">
        <f t="shared" ca="1" si="5"/>
        <v>0</v>
      </c>
      <c r="G42" s="261">
        <v>0</v>
      </c>
      <c r="H42" s="262">
        <v>0</v>
      </c>
      <c r="I42" s="69">
        <v>0</v>
      </c>
      <c r="J42" s="397">
        <v>1</v>
      </c>
      <c r="K42" s="319" t="str">
        <f t="shared" ca="1" si="6"/>
        <v>ok</v>
      </c>
      <c r="L42" s="319" t="str">
        <f t="shared" ca="1" si="7"/>
        <v>ok</v>
      </c>
      <c r="M42" s="199">
        <f ca="1">(E$43*J42-E42)/1000000</f>
        <v>32741.897863273665</v>
      </c>
      <c r="N42" s="90"/>
      <c r="O42" s="90"/>
      <c r="P42" s="90"/>
      <c r="Q42" s="492"/>
      <c r="R42" s="496"/>
      <c r="S42" s="441"/>
      <c r="T42" s="441"/>
      <c r="U42" s="90"/>
      <c r="V42" s="90"/>
      <c r="W42" s="68"/>
      <c r="X42" s="68"/>
      <c r="Y42" s="408"/>
      <c r="Z42" s="68"/>
      <c r="AA42" s="68"/>
      <c r="AB42" s="68"/>
      <c r="AC42" s="68"/>
      <c r="AD42" s="173"/>
      <c r="AE42" s="178"/>
      <c r="AF42" s="68"/>
      <c r="AG42" s="68"/>
      <c r="AH42" s="68"/>
    </row>
    <row r="43" spans="1:34" ht="15">
      <c r="A43" s="297"/>
      <c r="B43" s="41" t="s">
        <v>279</v>
      </c>
      <c r="C43" s="119">
        <f>SUM(C37:C42)</f>
        <v>32666524705.416992</v>
      </c>
      <c r="D43" s="119">
        <f ca="1">E43-C43</f>
        <v>75373157.856674194</v>
      </c>
      <c r="E43" s="119">
        <f ca="1">SUM(E37:E42)</f>
        <v>32741897863.273666</v>
      </c>
      <c r="F43" s="78">
        <f ca="1">SUM(F37:F42)</f>
        <v>1.0000000000000002</v>
      </c>
      <c r="G43" s="78">
        <f ca="1">SUMPRODUCT($F$8:$F$12,G37:G41)/F43</f>
        <v>0.16894831978483954</v>
      </c>
      <c r="H43" s="293">
        <f ca="1">SUMPRODUCT($E$37:$E$42,H37:H42)/E43</f>
        <v>2.2205559108217399</v>
      </c>
      <c r="I43" s="79"/>
      <c r="J43" s="79"/>
      <c r="K43" s="197"/>
      <c r="L43" s="197"/>
      <c r="M43" s="201"/>
      <c r="O43" s="441">
        <f ca="1">E43-C43</f>
        <v>75373157.856674194</v>
      </c>
      <c r="Q43" s="492"/>
      <c r="R43" s="441"/>
      <c r="S43" s="441"/>
      <c r="AD43" s="173"/>
      <c r="AE43" s="178"/>
    </row>
    <row r="44" spans="1:34" s="299" customFormat="1" ht="15">
      <c r="A44" s="297"/>
      <c r="B44" s="60"/>
      <c r="C44" s="117"/>
      <c r="D44" s="117"/>
      <c r="E44" s="117">
        <f>VLOOKUP($B$2,MV!$B:$XFD,MV!$M$1,0)</f>
        <v>32741897863.273666</v>
      </c>
      <c r="F44" s="36"/>
      <c r="G44" s="36"/>
      <c r="H44" s="36"/>
      <c r="I44" s="34"/>
      <c r="J44" s="35"/>
      <c r="K44" s="205"/>
      <c r="L44" s="205"/>
      <c r="M44" s="206"/>
      <c r="N44" s="68"/>
      <c r="O44" s="68"/>
      <c r="P44" s="68"/>
      <c r="Q44" s="492"/>
      <c r="R44" s="441"/>
      <c r="S44" s="68"/>
      <c r="T44" s="68"/>
      <c r="U44" s="68"/>
      <c r="V44" s="68"/>
      <c r="W44" s="68"/>
      <c r="X44" s="68"/>
      <c r="Y44" s="408"/>
      <c r="Z44" s="68"/>
      <c r="AA44" s="68"/>
      <c r="AB44" s="68"/>
      <c r="AC44" s="68"/>
      <c r="AD44" s="179"/>
      <c r="AE44" s="180"/>
      <c r="AF44" s="68"/>
      <c r="AG44" s="68"/>
      <c r="AH44" s="68"/>
    </row>
    <row r="45" spans="1:34" s="299" customFormat="1" ht="15.75" thickBot="1">
      <c r="A45" s="297"/>
      <c r="B45" s="398">
        <f ca="1">E43/$D$2</f>
        <v>0.14969722653622314</v>
      </c>
      <c r="E45" s="304">
        <f ca="1">E43-E44</f>
        <v>0</v>
      </c>
      <c r="G45" s="306"/>
      <c r="H45" s="304"/>
      <c r="I45" s="87"/>
      <c r="J45" s="87"/>
      <c r="K45" s="154"/>
      <c r="L45" s="154"/>
      <c r="M45" s="203"/>
      <c r="N45" s="68"/>
      <c r="O45" s="68"/>
      <c r="P45" s="68"/>
      <c r="Q45" s="493"/>
      <c r="R45" s="91"/>
      <c r="S45" s="68"/>
      <c r="T45" s="68"/>
      <c r="U45" s="68"/>
      <c r="V45" s="68"/>
      <c r="W45" s="68"/>
      <c r="X45" s="412"/>
      <c r="Y45" s="408"/>
      <c r="Z45" s="68"/>
      <c r="AA45" s="68"/>
      <c r="AB45" s="68"/>
      <c r="AC45" s="68"/>
      <c r="AD45" s="173"/>
      <c r="AE45" s="178"/>
      <c r="AF45" s="68"/>
      <c r="AG45" s="68"/>
      <c r="AH45" s="68"/>
    </row>
    <row r="46" spans="1:34" s="299" customFormat="1">
      <c r="A46" s="297"/>
      <c r="B46" s="416" t="s">
        <v>760</v>
      </c>
      <c r="C46" s="401" t="s">
        <v>308</v>
      </c>
      <c r="D46" s="404" t="s">
        <v>772</v>
      </c>
      <c r="E46" s="405">
        <v>-0.2</v>
      </c>
      <c r="F46" s="405" t="s">
        <v>773</v>
      </c>
      <c r="G46" s="406" t="s">
        <v>774</v>
      </c>
      <c r="H46" s="414"/>
      <c r="I46" s="413"/>
      <c r="J46" s="86"/>
      <c r="K46" s="67"/>
      <c r="L46" s="67"/>
      <c r="M46" s="200"/>
      <c r="N46" s="68"/>
      <c r="O46" s="68"/>
      <c r="P46" s="68"/>
      <c r="Q46" s="494"/>
      <c r="R46" s="495"/>
      <c r="S46" s="68"/>
      <c r="T46" s="68"/>
      <c r="U46" s="68"/>
      <c r="V46" s="68"/>
      <c r="W46" s="68"/>
      <c r="X46" s="68"/>
      <c r="Y46" s="408"/>
      <c r="Z46" s="68"/>
      <c r="AA46" s="68"/>
      <c r="AB46" s="68"/>
      <c r="AC46" s="68"/>
      <c r="AD46" s="68"/>
      <c r="AE46" s="68"/>
      <c r="AF46" s="68"/>
      <c r="AG46" s="68"/>
      <c r="AH46" s="68"/>
    </row>
    <row r="47" spans="1:34" s="299" customFormat="1" ht="13.5" thickBot="1">
      <c r="A47" s="297"/>
      <c r="B47" s="417"/>
      <c r="C47" s="407">
        <f ca="1">SUMPRODUCT($F37:$F41,$H37:$H41)%</f>
        <v>2.22055591082174E-2</v>
      </c>
      <c r="D47" s="402">
        <f>VLOOKUP($B$2,'MBM index - с 1 апреля 2024 г  '!A:D,4)/100</f>
        <v>2.1299999999999999E-2</v>
      </c>
      <c r="E47" s="402">
        <f>D47*0.8</f>
        <v>1.704E-2</v>
      </c>
      <c r="F47" s="402">
        <f>D47*1.5</f>
        <v>3.1949999999999999E-2</v>
      </c>
      <c r="G47" s="403" t="str">
        <f ca="1">IF(AND(C47&gt;=E47,C47&lt;=F47),"ok","breach")</f>
        <v>ok</v>
      </c>
      <c r="H47" s="89"/>
      <c r="I47" s="88"/>
      <c r="J47" s="88"/>
      <c r="K47" s="67"/>
      <c r="L47" s="67"/>
      <c r="M47" s="200"/>
      <c r="N47" s="68"/>
      <c r="O47" s="68"/>
      <c r="P47" s="68"/>
      <c r="Q47" s="494"/>
      <c r="R47" s="493"/>
      <c r="S47" s="68"/>
      <c r="T47" s="68"/>
      <c r="U47" s="68"/>
      <c r="V47" s="68"/>
      <c r="W47" s="68"/>
      <c r="X47" s="68"/>
      <c r="Y47" s="408"/>
      <c r="Z47" s="68"/>
      <c r="AA47" s="68"/>
      <c r="AB47" s="68"/>
      <c r="AC47" s="68"/>
      <c r="AD47" s="68"/>
      <c r="AE47" s="68"/>
      <c r="AF47" s="68"/>
      <c r="AG47" s="68"/>
      <c r="AH47" s="68"/>
    </row>
    <row r="48" spans="1:34" s="299" customFormat="1">
      <c r="A48" s="297"/>
      <c r="B48" s="62"/>
      <c r="C48" s="62"/>
      <c r="D48" s="62"/>
      <c r="E48" s="118"/>
      <c r="F48" s="309"/>
      <c r="G48" s="309"/>
      <c r="H48" s="309"/>
      <c r="I48" s="88"/>
      <c r="J48" s="88"/>
      <c r="K48" s="67"/>
      <c r="L48" s="67"/>
      <c r="M48" s="200"/>
      <c r="N48" s="68"/>
      <c r="O48" s="68"/>
      <c r="P48" s="68"/>
      <c r="Q48" s="68"/>
      <c r="R48" s="441"/>
      <c r="S48" s="68"/>
      <c r="T48" s="68"/>
      <c r="U48" s="68"/>
      <c r="V48" s="68"/>
      <c r="W48" s="68"/>
      <c r="X48" s="68"/>
      <c r="Y48" s="408"/>
      <c r="Z48" s="68"/>
      <c r="AA48" s="68"/>
      <c r="AB48" s="68"/>
      <c r="AC48" s="68"/>
      <c r="AD48" s="68"/>
      <c r="AE48" s="68"/>
      <c r="AF48" s="68"/>
      <c r="AG48" s="68"/>
      <c r="AH48" s="68"/>
    </row>
    <row r="49" spans="1:34" s="299" customFormat="1">
      <c r="A49" s="297"/>
      <c r="B49" s="38" t="s">
        <v>761</v>
      </c>
      <c r="C49" s="39"/>
      <c r="D49" s="39"/>
      <c r="E49" s="39"/>
      <c r="F49" s="39"/>
      <c r="G49" s="39"/>
      <c r="H49" s="46"/>
      <c r="I49" s="82"/>
      <c r="J49" s="83"/>
      <c r="K49" s="197"/>
      <c r="L49" s="197"/>
      <c r="M49" s="20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408"/>
      <c r="Z49" s="68"/>
      <c r="AA49" s="68"/>
      <c r="AB49" s="68"/>
      <c r="AC49" s="68"/>
      <c r="AD49" s="68"/>
      <c r="AE49" s="68"/>
      <c r="AF49" s="68"/>
      <c r="AG49" s="68"/>
      <c r="AH49" s="68"/>
    </row>
    <row r="50" spans="1:34" s="299" customFormat="1" ht="28.5">
      <c r="A50" s="297"/>
      <c r="B50" s="40" t="s">
        <v>275</v>
      </c>
      <c r="C50" s="40" t="s">
        <v>268</v>
      </c>
      <c r="D50" s="40" t="s">
        <v>322</v>
      </c>
      <c r="E50" s="40" t="s">
        <v>301</v>
      </c>
      <c r="F50" s="257" t="s">
        <v>280</v>
      </c>
      <c r="G50" s="257" t="s">
        <v>303</v>
      </c>
      <c r="H50" s="75" t="s">
        <v>308</v>
      </c>
      <c r="I50" s="257" t="s">
        <v>281</v>
      </c>
      <c r="J50" s="257" t="s">
        <v>786</v>
      </c>
      <c r="K50" s="204" t="s">
        <v>488</v>
      </c>
      <c r="L50" s="204" t="s">
        <v>489</v>
      </c>
      <c r="M50" s="202" t="s">
        <v>487</v>
      </c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408"/>
      <c r="Z50" s="68"/>
      <c r="AA50" s="68"/>
      <c r="AB50" s="68"/>
      <c r="AC50" s="68"/>
      <c r="AD50" s="68"/>
      <c r="AE50" s="68"/>
      <c r="AF50" s="68"/>
      <c r="AG50" s="68"/>
      <c r="AH50" s="68"/>
    </row>
    <row r="51" spans="1:34" s="299" customFormat="1">
      <c r="A51" s="297" t="s">
        <v>173</v>
      </c>
      <c r="B51" s="59" t="s">
        <v>277</v>
      </c>
      <c r="C51" s="437">
        <f>'Report (t-1)'!E51</f>
        <v>316202.84000000003</v>
      </c>
      <c r="D51" s="116">
        <f>E51-C51</f>
        <v>-143838.28000000003</v>
      </c>
      <c r="E51" s="438">
        <f>VLOOKUP($B$2,Cash!$B:$AW,17,0)</f>
        <v>172364.56</v>
      </c>
      <c r="F51" s="260">
        <f t="shared" ref="F51:F56" ca="1" si="8">E51/$E$57</f>
        <v>6.1377291713952863E-6</v>
      </c>
      <c r="G51" s="261">
        <v>0</v>
      </c>
      <c r="H51" s="262">
        <f>1/366</f>
        <v>2.7322404371584699E-3</v>
      </c>
      <c r="I51" s="69">
        <v>0</v>
      </c>
      <c r="J51" s="396">
        <v>1E-3</v>
      </c>
      <c r="K51" s="319" t="str">
        <f t="shared" ref="K51:K56" ca="1" si="9">IF(AND(F51&gt;=I51,F51&lt;=J51),"ok","breach")</f>
        <v>ok</v>
      </c>
      <c r="L51" s="319" t="str">
        <f t="shared" ref="L51:L56" ca="1" si="10">IF(AND(F51&gt;=I51,F51&lt;=J51),"ok","breach")</f>
        <v>ok</v>
      </c>
      <c r="M51" s="199" t="s">
        <v>309</v>
      </c>
      <c r="N51" s="68"/>
      <c r="O51" s="68"/>
      <c r="P51" s="68"/>
      <c r="Q51" s="492"/>
      <c r="R51" s="91"/>
      <c r="S51" s="441"/>
      <c r="T51" s="68"/>
      <c r="U51" s="68"/>
      <c r="V51" s="68"/>
      <c r="W51" s="68"/>
      <c r="X51" s="68"/>
      <c r="Y51" s="408"/>
      <c r="Z51" s="68"/>
      <c r="AA51" s="68"/>
      <c r="AB51" s="68"/>
      <c r="AC51" s="68"/>
      <c r="AD51" s="68"/>
      <c r="AE51" s="68"/>
      <c r="AF51" s="68"/>
      <c r="AG51" s="68"/>
      <c r="AH51" s="68"/>
    </row>
    <row r="52" spans="1:34" s="299" customFormat="1">
      <c r="A52" s="297" t="s">
        <v>761</v>
      </c>
      <c r="B52" s="66" t="s">
        <v>276</v>
      </c>
      <c r="C52" s="437">
        <f>'Report (t-1)'!E52</f>
        <v>23348065624.168217</v>
      </c>
      <c r="D52" s="116">
        <f ca="1">E52-C52</f>
        <v>61214334.463233948</v>
      </c>
      <c r="E52" s="120">
        <f ca="1">SUMIFS(ГЦБ!$X:$X,ГЦБ!$D:$D,$A$51,ГЦБ!$E:$E,$A$52)</f>
        <v>23409279958.631451</v>
      </c>
      <c r="F52" s="260">
        <f ca="1">E52/$E$57</f>
        <v>0.83358098952273774</v>
      </c>
      <c r="G52" s="261">
        <f>SUMIFS(ГЦБ!$AC:$AC,ГЦБ!$D:$D,$A$51,ГЦБ!$E:$E,$A$52)</f>
        <v>0.16947669342721119</v>
      </c>
      <c r="H52" s="262">
        <f>SUMIFS(ГЦБ!$AD:$AD,ГЦБ!$D:$D,$A$51,ГЦБ!$E:$E,$A$52)</f>
        <v>3.1377472382403186</v>
      </c>
      <c r="I52" s="318">
        <v>0</v>
      </c>
      <c r="J52" s="397">
        <v>1</v>
      </c>
      <c r="K52" s="319" t="str">
        <f t="shared" ca="1" si="9"/>
        <v>ok</v>
      </c>
      <c r="L52" s="319" t="str">
        <f t="shared" ca="1" si="10"/>
        <v>ok</v>
      </c>
      <c r="M52" s="390" t="s">
        <v>309</v>
      </c>
      <c r="N52" s="68"/>
      <c r="O52" s="68"/>
      <c r="P52" s="68"/>
      <c r="Q52" s="492"/>
      <c r="R52" s="441"/>
      <c r="S52" s="441"/>
      <c r="T52" s="68"/>
      <c r="U52" s="68"/>
      <c r="V52" s="68"/>
      <c r="W52" s="68"/>
      <c r="X52" s="68"/>
      <c r="Y52" s="408"/>
      <c r="Z52" s="68"/>
      <c r="AA52" s="68"/>
      <c r="AB52" s="68"/>
      <c r="AC52" s="68"/>
      <c r="AD52" s="68"/>
      <c r="AE52" s="68"/>
      <c r="AF52" s="68"/>
      <c r="AG52" s="68"/>
      <c r="AH52" s="68"/>
    </row>
    <row r="53" spans="1:34" s="299" customFormat="1">
      <c r="A53" s="297"/>
      <c r="B53" s="187" t="s">
        <v>455</v>
      </c>
      <c r="C53" s="437">
        <f>'Report (t-1)'!E53</f>
        <v>1431449919.0423808</v>
      </c>
      <c r="D53" s="116">
        <f>E53-C53</f>
        <v>27311799.427619219</v>
      </c>
      <c r="E53" s="120">
        <f>SUMIFS(Repo!$L:$L,Repo!$B:$B,$A$51,Repo!$C:$C,$A$52)</f>
        <v>1458761718.47</v>
      </c>
      <c r="F53" s="260">
        <f ca="1">E53/$E$57</f>
        <v>5.1945042261402445E-2</v>
      </c>
      <c r="G53" s="261">
        <f>SUMIFS(Repo!$Q:$Q,Repo!$B:$B,$A$51,Repo!$C:$C,$A$52)</f>
        <v>0.17046675547588602</v>
      </c>
      <c r="H53" s="262">
        <f>SUMIFS(Repo!$R:$R,Repo!$B:$B,$A$51,Repo!$C:$C,$A$52)</f>
        <v>2.3407123821158286E-3</v>
      </c>
      <c r="I53" s="153">
        <v>0</v>
      </c>
      <c r="J53" s="396">
        <v>0.5</v>
      </c>
      <c r="K53" s="319" t="str">
        <f t="shared" ca="1" si="9"/>
        <v>ok</v>
      </c>
      <c r="L53" s="319" t="str">
        <f t="shared" ca="1" si="10"/>
        <v>ok</v>
      </c>
      <c r="M53" s="199">
        <f ca="1">(E$57*J53-E53)/1000000</f>
        <v>12582.633330638731</v>
      </c>
      <c r="N53" s="68"/>
      <c r="O53" s="68"/>
      <c r="P53" s="68"/>
      <c r="Q53" s="492"/>
      <c r="R53" s="441"/>
      <c r="S53" s="441"/>
      <c r="T53" s="68"/>
      <c r="U53" s="68"/>
      <c r="V53" s="68"/>
      <c r="W53" s="68"/>
      <c r="X53" s="68"/>
      <c r="Y53" s="408"/>
      <c r="Z53" s="68"/>
      <c r="AA53" s="68"/>
      <c r="AB53" s="68"/>
      <c r="AC53" s="68"/>
      <c r="AD53" s="68"/>
      <c r="AE53" s="68"/>
      <c r="AF53" s="68"/>
      <c r="AG53" s="68"/>
      <c r="AH53" s="68"/>
    </row>
    <row r="54" spans="1:34" s="299" customFormat="1">
      <c r="A54" s="297"/>
      <c r="B54" s="59" t="s">
        <v>771</v>
      </c>
      <c r="C54" s="437">
        <f>'Report (t-1)'!E54</f>
        <v>1639988579.5935292</v>
      </c>
      <c r="D54" s="116">
        <f ca="1">E54-C54</f>
        <v>7402769.4957334995</v>
      </c>
      <c r="E54" s="120">
        <f ca="1">SUMIFS(МФО!$W:$W,МФО!$D:$D,$A$51,МФО!$E:$E,$A$52)</f>
        <v>1647391349.0892627</v>
      </c>
      <c r="F54" s="260">
        <f t="shared" ca="1" si="8"/>
        <v>5.8661954290426074E-2</v>
      </c>
      <c r="G54" s="261">
        <f>SUMIFS(МФО!$AA:$AA,МФО!$D:$D,$A$51,МФО!$E:$E,$A$52)</f>
        <v>0.17551474632357902</v>
      </c>
      <c r="H54" s="262">
        <f>SUMIFS(МФО!$AB:$AB,МФО!$D:$D,$A$51,МФО!$E:$E,$A$52)</f>
        <v>1.4812510213351635</v>
      </c>
      <c r="I54" s="153">
        <v>0</v>
      </c>
      <c r="J54" s="396">
        <v>7.4999999999999997E-2</v>
      </c>
      <c r="K54" s="319" t="str">
        <f t="shared" ca="1" si="9"/>
        <v>ok</v>
      </c>
      <c r="L54" s="319" t="str">
        <f t="shared" ca="1" si="10"/>
        <v>ok</v>
      </c>
      <c r="M54" s="199">
        <f ca="1">(E$57*J54-E54)/1000000</f>
        <v>458.81790827704668</v>
      </c>
      <c r="N54" s="68"/>
      <c r="O54" s="68"/>
      <c r="P54" s="441"/>
      <c r="Q54" s="492"/>
      <c r="R54" s="441"/>
      <c r="S54" s="441"/>
      <c r="T54" s="68"/>
      <c r="U54" s="68"/>
      <c r="V54" s="68"/>
      <c r="W54" s="68"/>
      <c r="X54" s="68"/>
      <c r="Y54" s="408"/>
      <c r="Z54" s="68"/>
      <c r="AA54" s="68"/>
      <c r="AB54" s="68"/>
      <c r="AC54" s="68"/>
      <c r="AD54" s="68"/>
      <c r="AE54" s="68"/>
      <c r="AF54" s="68"/>
      <c r="AG54" s="68"/>
      <c r="AH54" s="68"/>
    </row>
    <row r="55" spans="1:34" s="299" customFormat="1">
      <c r="A55" s="297"/>
      <c r="B55" s="66" t="s">
        <v>354</v>
      </c>
      <c r="C55" s="437">
        <f>'Report (t-1)'!E55</f>
        <v>1549036005.8849187</v>
      </c>
      <c r="D55" s="116">
        <f ca="1">E55-C55</f>
        <v>1448701.5818259716</v>
      </c>
      <c r="E55" s="120">
        <f ca="1">SUMIFS(Агентсткие!$W:$W,Агентсткие!$D:$D,$A$51,Агентсткие!$E:$E,$A$52)</f>
        <v>1550484707.4667447</v>
      </c>
      <c r="F55" s="260">
        <f t="shared" ca="1" si="8"/>
        <v>5.5211205939439782E-2</v>
      </c>
      <c r="G55" s="261">
        <f>SUMIFS(Агентсткие!$AA:$AA,Агентсткие!$D:$D,$A$51,Агентсткие!$E:$E,$A$52)</f>
        <v>0.181198558545757</v>
      </c>
      <c r="H55" s="262">
        <f>SUMIFS(Агентсткие!$AB:$AB,Агентсткие!$D:$D,$A$51,Агентсткие!$E:$E,$A$52)</f>
        <v>0.95121210114287214</v>
      </c>
      <c r="I55" s="69">
        <v>0</v>
      </c>
      <c r="J55" s="396">
        <v>7.4999999999999997E-2</v>
      </c>
      <c r="K55" s="319" t="str">
        <f t="shared" ca="1" si="9"/>
        <v>ok</v>
      </c>
      <c r="L55" s="319" t="str">
        <f t="shared" ca="1" si="10"/>
        <v>ok</v>
      </c>
      <c r="M55" s="199">
        <f ca="1">(E$57*J55-E55)/1000000</f>
        <v>555.72454989956475</v>
      </c>
      <c r="N55" s="68"/>
      <c r="O55" s="68"/>
      <c r="P55" s="68"/>
      <c r="Q55" s="492"/>
      <c r="R55" s="441"/>
      <c r="S55" s="441"/>
      <c r="T55" s="68"/>
      <c r="U55" s="68"/>
      <c r="V55" s="68"/>
      <c r="W55" s="68"/>
      <c r="X55" s="68"/>
      <c r="Y55" s="408"/>
      <c r="Z55" s="68"/>
      <c r="AA55" s="68"/>
      <c r="AB55" s="68"/>
      <c r="AC55" s="68"/>
      <c r="AD55" s="68"/>
      <c r="AE55" s="68"/>
      <c r="AF55" s="68"/>
      <c r="AG55" s="68"/>
      <c r="AH55" s="68"/>
    </row>
    <row r="56" spans="1:34" s="299" customFormat="1" ht="13.5" thickBot="1">
      <c r="A56" s="297"/>
      <c r="B56" s="427" t="s">
        <v>893</v>
      </c>
      <c r="C56" s="437">
        <f>'Report (t-1)'!E56</f>
        <v>43200000</v>
      </c>
      <c r="D56" s="429"/>
      <c r="E56" s="428">
        <f>SUMIFS('Accounts receivable'!H:H,'Accounts receivable'!B:B,A52)</f>
        <v>16700000</v>
      </c>
      <c r="F56" s="260">
        <f t="shared" ca="1" si="8"/>
        <v>5.9467025682252359E-4</v>
      </c>
      <c r="G56" s="261">
        <v>0</v>
      </c>
      <c r="H56" s="262">
        <v>0</v>
      </c>
      <c r="I56" s="69">
        <v>0</v>
      </c>
      <c r="J56" s="397">
        <v>1</v>
      </c>
      <c r="K56" s="319" t="str">
        <f t="shared" ca="1" si="9"/>
        <v>ok</v>
      </c>
      <c r="L56" s="319" t="str">
        <f t="shared" ca="1" si="10"/>
        <v>ok</v>
      </c>
      <c r="M56" s="199">
        <f ca="1">(E$57*J56-E56)/1000000</f>
        <v>28066.090098217461</v>
      </c>
      <c r="N56" s="68"/>
      <c r="O56" s="68"/>
      <c r="P56" s="68"/>
      <c r="Q56" s="492"/>
      <c r="R56" s="441"/>
      <c r="S56" s="441"/>
      <c r="T56" s="68"/>
      <c r="U56" s="68"/>
      <c r="V56" s="68"/>
      <c r="W56" s="68"/>
      <c r="X56" s="68"/>
      <c r="Y56" s="408"/>
      <c r="Z56" s="68"/>
      <c r="AA56" s="68"/>
      <c r="AB56" s="68"/>
      <c r="AC56" s="68"/>
      <c r="AD56" s="68"/>
      <c r="AE56" s="68"/>
      <c r="AF56" s="68"/>
      <c r="AG56" s="68"/>
      <c r="AH56" s="68"/>
    </row>
    <row r="57" spans="1:34" s="299" customFormat="1" ht="15.75" thickBot="1">
      <c r="A57" s="297"/>
      <c r="B57" s="41" t="s">
        <v>279</v>
      </c>
      <c r="C57" s="119">
        <f>SUM(C51:C56)</f>
        <v>28012056331.529045</v>
      </c>
      <c r="D57" s="119">
        <f ca="1">E57-C57</f>
        <v>70733766.688415527</v>
      </c>
      <c r="E57" s="119">
        <f ca="1">SUM(E51:E56)</f>
        <v>28082790098.217461</v>
      </c>
      <c r="F57" s="78">
        <f ca="1">SUM(F51:F56)</f>
        <v>0.99999999999999978</v>
      </c>
      <c r="G57" s="432">
        <f ca="1">SUMPRODUCT($F$8:$F$12,G51:G55)/F57</f>
        <v>0.16990917867055341</v>
      </c>
      <c r="H57" s="293">
        <f ca="1">SUMPRODUCT($E$51:$E$56,H51:H56)/E57</f>
        <v>2.7550986998124611</v>
      </c>
      <c r="I57" s="79"/>
      <c r="J57" s="79"/>
      <c r="K57" s="197"/>
      <c r="L57" s="197"/>
      <c r="M57" s="201"/>
      <c r="N57" s="68"/>
      <c r="O57" s="441">
        <f ca="1">E57-C57</f>
        <v>70733766.688415527</v>
      </c>
      <c r="P57" s="68"/>
      <c r="Q57" s="492"/>
      <c r="R57" s="441"/>
      <c r="S57" s="441"/>
      <c r="T57" s="68"/>
      <c r="U57" s="68"/>
      <c r="V57" s="68"/>
      <c r="W57" s="68"/>
      <c r="X57" s="68"/>
      <c r="Y57" s="408"/>
      <c r="Z57" s="68"/>
      <c r="AA57" s="68"/>
      <c r="AB57" s="68"/>
      <c r="AC57" s="68"/>
      <c r="AD57" s="174"/>
      <c r="AE57" s="175"/>
      <c r="AF57" s="68"/>
      <c r="AG57" s="68"/>
      <c r="AH57" s="68"/>
    </row>
    <row r="58" spans="1:34" s="299" customFormat="1" ht="12.75" customHeight="1">
      <c r="A58" s="297"/>
      <c r="B58" s="60"/>
      <c r="C58" s="117"/>
      <c r="D58" s="117"/>
      <c r="E58" s="117">
        <f>VLOOKUP($B$2,MV!$B:$XFD,MV!$Q$1,0)</f>
        <v>28082790098.217461</v>
      </c>
      <c r="F58" s="36"/>
      <c r="G58" s="36"/>
      <c r="H58" s="36"/>
      <c r="I58" s="34"/>
      <c r="J58" s="35"/>
      <c r="K58" s="205"/>
      <c r="L58" s="205"/>
      <c r="M58" s="206"/>
      <c r="N58" s="68"/>
      <c r="O58" s="68"/>
      <c r="P58" s="68"/>
      <c r="Q58" s="492"/>
      <c r="R58" s="441"/>
      <c r="S58" s="441"/>
      <c r="T58" s="68"/>
      <c r="U58" s="68"/>
      <c r="V58" s="68"/>
      <c r="W58" s="68"/>
      <c r="X58" s="68"/>
      <c r="Y58" s="408"/>
      <c r="Z58" s="68"/>
      <c r="AA58" s="68"/>
      <c r="AB58" s="68"/>
      <c r="AC58" s="68"/>
      <c r="AD58" s="173"/>
      <c r="AE58" s="178"/>
      <c r="AF58" s="68"/>
      <c r="AG58" s="68"/>
      <c r="AH58" s="68"/>
    </row>
    <row r="59" spans="1:34" s="299" customFormat="1" ht="15.75" thickBot="1">
      <c r="A59" s="297"/>
      <c r="B59" s="398">
        <f ca="1">E57/$D$2</f>
        <v>0.12839560518627002</v>
      </c>
      <c r="E59" s="304">
        <f ca="1">E57-E58</f>
        <v>0</v>
      </c>
      <c r="G59" s="306"/>
      <c r="H59" s="304"/>
      <c r="I59" s="87"/>
      <c r="J59" s="87"/>
      <c r="K59" s="154"/>
      <c r="L59" s="154"/>
      <c r="M59" s="203"/>
      <c r="N59" s="68"/>
      <c r="O59" s="68"/>
      <c r="P59" s="68"/>
      <c r="Q59" s="493"/>
      <c r="R59" s="91"/>
      <c r="S59" s="68"/>
      <c r="T59" s="68"/>
      <c r="U59" s="68"/>
      <c r="V59" s="68"/>
      <c r="W59" s="68"/>
      <c r="X59" s="68"/>
      <c r="Y59" s="408"/>
      <c r="Z59" s="68"/>
      <c r="AA59" s="68"/>
      <c r="AB59" s="68"/>
      <c r="AC59" s="68"/>
      <c r="AD59" s="173"/>
      <c r="AE59" s="178"/>
      <c r="AF59" s="68"/>
      <c r="AG59" s="68"/>
      <c r="AH59" s="68"/>
    </row>
    <row r="60" spans="1:34" s="299" customFormat="1" ht="12.75" customHeight="1">
      <c r="A60" s="297"/>
      <c r="B60" s="416" t="s">
        <v>761</v>
      </c>
      <c r="C60" s="401" t="s">
        <v>308</v>
      </c>
      <c r="D60" s="404" t="s">
        <v>772</v>
      </c>
      <c r="E60" s="405">
        <v>-0.2</v>
      </c>
      <c r="F60" s="405" t="s">
        <v>773</v>
      </c>
      <c r="G60" s="406" t="s">
        <v>774</v>
      </c>
      <c r="H60" s="414"/>
      <c r="I60" s="413"/>
      <c r="J60" s="86"/>
      <c r="K60" s="67"/>
      <c r="L60" s="67"/>
      <c r="M60" s="200"/>
      <c r="N60" s="68"/>
      <c r="O60" s="68"/>
      <c r="P60" s="68"/>
      <c r="Q60" s="494"/>
      <c r="R60" s="495"/>
      <c r="S60" s="68"/>
      <c r="T60" s="68"/>
      <c r="U60" s="68"/>
      <c r="V60" s="68"/>
      <c r="W60" s="68"/>
      <c r="X60" s="68"/>
      <c r="Y60" s="408"/>
      <c r="Z60" s="68"/>
      <c r="AA60" s="68"/>
      <c r="AB60" s="68"/>
      <c r="AC60" s="68"/>
      <c r="AD60" s="68"/>
      <c r="AE60" s="68"/>
      <c r="AF60" s="68"/>
      <c r="AG60" s="68"/>
      <c r="AH60" s="68"/>
    </row>
    <row r="61" spans="1:34" s="299" customFormat="1" ht="13.5" thickBot="1">
      <c r="A61" s="297"/>
      <c r="B61" s="417"/>
      <c r="C61" s="407">
        <f ca="1">SUMPRODUCT($F51:$F55,$H51:$H55)%</f>
        <v>2.7550986998124617E-2</v>
      </c>
      <c r="D61" s="402">
        <f>VLOOKUP($B$2,'MBM index - с 1 апреля 2024 г  '!A:D,4)/100</f>
        <v>2.1299999999999999E-2</v>
      </c>
      <c r="E61" s="402">
        <f>D61*0.8</f>
        <v>1.704E-2</v>
      </c>
      <c r="F61" s="402">
        <f>D61*1.5</f>
        <v>3.1949999999999999E-2</v>
      </c>
      <c r="G61" s="403" t="str">
        <f ca="1">IF(AND(C61&gt;=E61,C61&lt;=F61),"ok","breach")</f>
        <v>ok</v>
      </c>
      <c r="H61" s="414"/>
      <c r="I61" s="67"/>
      <c r="J61" s="67"/>
      <c r="K61" s="67"/>
      <c r="L61" s="67"/>
      <c r="M61" s="200"/>
      <c r="N61" s="68"/>
      <c r="O61" s="68"/>
      <c r="P61" s="68"/>
      <c r="Q61" s="494"/>
      <c r="R61" s="493"/>
      <c r="S61" s="68"/>
      <c r="T61" s="68"/>
      <c r="U61" s="68"/>
      <c r="V61" s="68"/>
      <c r="W61" s="68"/>
      <c r="X61" s="68"/>
      <c r="Y61" s="408"/>
      <c r="Z61" s="68"/>
      <c r="AA61" s="68"/>
      <c r="AB61" s="68"/>
      <c r="AC61" s="68"/>
      <c r="AD61" s="68"/>
      <c r="AE61" s="68"/>
      <c r="AF61" s="68"/>
      <c r="AG61" s="68"/>
      <c r="AH61" s="68"/>
    </row>
    <row r="62" spans="1:34" s="299" customFormat="1">
      <c r="A62" s="297"/>
      <c r="B62" s="62"/>
      <c r="C62" s="62"/>
      <c r="D62" s="62"/>
      <c r="E62" s="118"/>
      <c r="F62" s="309"/>
      <c r="G62" s="309"/>
      <c r="H62" s="309"/>
      <c r="I62" s="88"/>
      <c r="J62" s="88"/>
      <c r="K62" s="67"/>
      <c r="L62" s="67"/>
      <c r="M62" s="200"/>
      <c r="N62" s="68"/>
      <c r="O62" s="68"/>
      <c r="P62" s="68"/>
      <c r="Q62" s="68"/>
      <c r="R62" s="441"/>
      <c r="S62" s="68"/>
      <c r="T62" s="68"/>
      <c r="U62" s="68"/>
      <c r="V62" s="68"/>
      <c r="W62" s="68"/>
      <c r="X62" s="68"/>
      <c r="Y62" s="408"/>
      <c r="Z62" s="68"/>
      <c r="AA62" s="68"/>
      <c r="AB62" s="68"/>
      <c r="AC62" s="68"/>
      <c r="AD62" s="68"/>
      <c r="AE62" s="68"/>
      <c r="AF62" s="68"/>
      <c r="AG62" s="68"/>
      <c r="AH62" s="68"/>
    </row>
    <row r="63" spans="1:34" s="299" customFormat="1">
      <c r="A63" s="297"/>
      <c r="B63" s="38" t="s">
        <v>763</v>
      </c>
      <c r="C63" s="39"/>
      <c r="D63" s="39"/>
      <c r="E63" s="39"/>
      <c r="F63" s="39"/>
      <c r="G63" s="39"/>
      <c r="H63" s="46"/>
      <c r="I63" s="82"/>
      <c r="J63" s="83"/>
      <c r="K63" s="197"/>
      <c r="L63" s="197"/>
      <c r="M63" s="20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408"/>
      <c r="Z63" s="68"/>
      <c r="AA63" s="68"/>
      <c r="AB63" s="68"/>
      <c r="AC63" s="68"/>
      <c r="AD63" s="68"/>
      <c r="AE63" s="68"/>
      <c r="AF63" s="68"/>
      <c r="AG63" s="68"/>
      <c r="AH63" s="68"/>
    </row>
    <row r="64" spans="1:34" s="299" customFormat="1" ht="28.5">
      <c r="A64" s="297"/>
      <c r="B64" s="40" t="s">
        <v>275</v>
      </c>
      <c r="C64" s="40" t="s">
        <v>268</v>
      </c>
      <c r="D64" s="40" t="s">
        <v>322</v>
      </c>
      <c r="E64" s="40" t="s">
        <v>301</v>
      </c>
      <c r="F64" s="257" t="s">
        <v>280</v>
      </c>
      <c r="G64" s="257" t="s">
        <v>303</v>
      </c>
      <c r="H64" s="75" t="s">
        <v>308</v>
      </c>
      <c r="I64" s="257" t="s">
        <v>281</v>
      </c>
      <c r="J64" s="257" t="s">
        <v>786</v>
      </c>
      <c r="K64" s="204" t="s">
        <v>488</v>
      </c>
      <c r="L64" s="204" t="s">
        <v>489</v>
      </c>
      <c r="M64" s="202" t="s">
        <v>487</v>
      </c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408"/>
      <c r="Z64" s="68"/>
      <c r="AA64" s="68"/>
      <c r="AB64" s="68"/>
      <c r="AC64" s="68"/>
      <c r="AD64" s="68"/>
      <c r="AE64" s="68"/>
      <c r="AF64" s="68"/>
      <c r="AG64" s="68"/>
      <c r="AH64" s="68"/>
    </row>
    <row r="65" spans="1:34" s="299" customFormat="1">
      <c r="A65" s="297" t="s">
        <v>173</v>
      </c>
      <c r="B65" s="59" t="s">
        <v>277</v>
      </c>
      <c r="C65" s="437">
        <f>'Report (t-1)'!E65</f>
        <v>232004.39</v>
      </c>
      <c r="D65" s="116">
        <f>E65-C65</f>
        <v>502487.42999999993</v>
      </c>
      <c r="E65" s="597">
        <f>VLOOKUP($B$2,Cash!$B:$AW,21,0)</f>
        <v>734491.82</v>
      </c>
      <c r="F65" s="260">
        <f t="shared" ref="F65:F70" ca="1" si="11">E65/$E$71</f>
        <v>2.619781992030225E-5</v>
      </c>
      <c r="G65" s="261">
        <v>0</v>
      </c>
      <c r="H65" s="262">
        <f>1/366</f>
        <v>2.7322404371584699E-3</v>
      </c>
      <c r="I65" s="69">
        <v>0</v>
      </c>
      <c r="J65" s="396">
        <v>1E-3</v>
      </c>
      <c r="K65" s="319" t="str">
        <f t="shared" ref="K65:K70" ca="1" si="12">IF(AND(F65&gt;=I65,F65&lt;=J65),"ok","breach")</f>
        <v>ok</v>
      </c>
      <c r="L65" s="319" t="str">
        <f t="shared" ref="L65:L70" ca="1" si="13">IF(AND(F65&gt;=I65,F65&lt;=J65),"ok","breach")</f>
        <v>ok</v>
      </c>
      <c r="M65" s="199" t="s">
        <v>309</v>
      </c>
      <c r="N65" s="68"/>
      <c r="O65" s="68"/>
      <c r="P65" s="68"/>
      <c r="Q65" s="492"/>
      <c r="R65" s="91"/>
      <c r="S65" s="441"/>
      <c r="T65" s="68"/>
      <c r="U65" s="68"/>
      <c r="V65" s="68"/>
      <c r="W65" s="68"/>
      <c r="X65" s="68"/>
      <c r="Y65" s="408"/>
      <c r="Z65" s="68"/>
      <c r="AA65" s="68"/>
      <c r="AB65" s="68"/>
      <c r="AC65" s="68"/>
      <c r="AD65" s="68"/>
      <c r="AE65" s="68"/>
      <c r="AF65" s="68"/>
      <c r="AG65" s="68"/>
      <c r="AH65" s="68"/>
    </row>
    <row r="66" spans="1:34" s="299" customFormat="1">
      <c r="A66" s="297" t="s">
        <v>763</v>
      </c>
      <c r="B66" s="66" t="s">
        <v>276</v>
      </c>
      <c r="C66" s="437">
        <f>'Report (t-1)'!E66</f>
        <v>24760476632.944443</v>
      </c>
      <c r="D66" s="116">
        <f ca="1">E66-C66</f>
        <v>62933186.872219086</v>
      </c>
      <c r="E66" s="120">
        <f ca="1">SUMIFS(ГЦБ!$X:$X,ГЦБ!$D:$D,$A$65,ГЦБ!$E:$E,$A$66)</f>
        <v>24823409819.816662</v>
      </c>
      <c r="F66" s="260">
        <f t="shared" ca="1" si="11"/>
        <v>0.88540022170351662</v>
      </c>
      <c r="G66" s="261">
        <f>SUMIFS(ГЦБ!$AC:$AC,ГЦБ!$D:$D,$A$65,ГЦБ!$E:$E,$A$66)</f>
        <v>0.16743364028474328</v>
      </c>
      <c r="H66" s="262">
        <f>SUMIFS(ГЦБ!$AD:$AD,ГЦБ!$D:$D,$A$51,ГЦБ!$E:$E,$A$66)</f>
        <v>2.3151238097687989</v>
      </c>
      <c r="I66" s="318">
        <v>0</v>
      </c>
      <c r="J66" s="397">
        <v>1</v>
      </c>
      <c r="K66" s="319" t="str">
        <f t="shared" ca="1" si="12"/>
        <v>ok</v>
      </c>
      <c r="L66" s="319" t="str">
        <f t="shared" ca="1" si="13"/>
        <v>ok</v>
      </c>
      <c r="M66" s="390" t="s">
        <v>309</v>
      </c>
      <c r="N66" s="68"/>
      <c r="O66" s="68"/>
      <c r="P66" s="68"/>
      <c r="Q66" s="492"/>
      <c r="R66" s="441"/>
      <c r="S66" s="441"/>
      <c r="T66" s="68"/>
      <c r="U66" s="68"/>
      <c r="V66" s="68"/>
      <c r="W66" s="68"/>
      <c r="X66" s="68"/>
      <c r="Y66" s="408"/>
      <c r="Z66" s="68"/>
      <c r="AA66" s="68"/>
      <c r="AB66" s="68"/>
      <c r="AC66" s="68"/>
      <c r="AD66" s="68"/>
      <c r="AE66" s="68"/>
      <c r="AF66" s="68"/>
      <c r="AG66" s="68"/>
      <c r="AH66" s="68"/>
    </row>
    <row r="67" spans="1:34" s="299" customFormat="1">
      <c r="A67" s="297"/>
      <c r="B67" s="187" t="s">
        <v>455</v>
      </c>
      <c r="C67" s="437">
        <f>'Report (t-1)'!E67</f>
        <v>2123464324.3266666</v>
      </c>
      <c r="D67" s="116">
        <f>E67-C67</f>
        <v>127235114.51333356</v>
      </c>
      <c r="E67" s="120">
        <f>SUMIFS(Repo!$L:$L,Repo!$B:$B,$A$65,Repo!$C:$C,$A$66)</f>
        <v>2250699438.8400002</v>
      </c>
      <c r="F67" s="260">
        <f t="shared" ca="1" si="11"/>
        <v>8.0277842431867585E-2</v>
      </c>
      <c r="G67" s="261">
        <f>SUMIFS(Repo!$Q:$Q,Repo!$B:$B,$A$65,Repo!$C:$C,$A$66)</f>
        <v>0.17046675489363369</v>
      </c>
      <c r="H67" s="262">
        <f>SUMIFS(Repo!$R:$R,Repo!$B:$B,$A$51,Repo!$C:$C,$A$66)</f>
        <v>2.3407123832802261E-3</v>
      </c>
      <c r="I67" s="153">
        <v>0</v>
      </c>
      <c r="J67" s="396">
        <v>0.5</v>
      </c>
      <c r="K67" s="319" t="str">
        <f t="shared" ca="1" si="12"/>
        <v>ok</v>
      </c>
      <c r="L67" s="319" t="str">
        <f t="shared" ca="1" si="13"/>
        <v>ok</v>
      </c>
      <c r="M67" s="199">
        <f ca="1">(E$71*J67-E67)/1000000</f>
        <v>11767.48646812546</v>
      </c>
      <c r="N67" s="68"/>
      <c r="O67" s="68"/>
      <c r="P67" s="68"/>
      <c r="Q67" s="492"/>
      <c r="R67" s="441"/>
      <c r="S67" s="441"/>
      <c r="T67" s="68"/>
      <c r="U67" s="68"/>
      <c r="V67" s="68"/>
      <c r="W67" s="68"/>
      <c r="X67" s="68"/>
      <c r="Y67" s="408"/>
      <c r="Z67" s="68"/>
      <c r="AA67" s="68"/>
      <c r="AB67" s="68"/>
      <c r="AC67" s="68"/>
      <c r="AD67" s="68"/>
      <c r="AE67" s="68"/>
      <c r="AF67" s="68"/>
      <c r="AG67" s="68"/>
      <c r="AH67" s="68"/>
    </row>
    <row r="68" spans="1:34" s="299" customFormat="1">
      <c r="A68" s="297"/>
      <c r="B68" s="59" t="s">
        <v>785</v>
      </c>
      <c r="C68" s="437">
        <f>'Report (t-1)'!E68</f>
        <v>957207310.75553286</v>
      </c>
      <c r="D68" s="116">
        <f ca="1">E68-C68</f>
        <v>4320752.6987233162</v>
      </c>
      <c r="E68" s="120">
        <f ca="1">SUMIFS(МФО!$W:$W,МФО!$D:$D,$A$65,МФО!$E:$E,$A$66)</f>
        <v>961528063.45425618</v>
      </c>
      <c r="F68" s="260">
        <f t="shared" ca="1" si="11"/>
        <v>3.4295738044695392E-2</v>
      </c>
      <c r="G68" s="261">
        <f>SUMIFS(МФО!$AA:$AA,МФО!$D:$D,$A$65,МФО!$E:$E,$A$66)</f>
        <v>0.17551474632357902</v>
      </c>
      <c r="H68" s="262">
        <f>SUMIFS(МФО!$AB:$AB,МФО!$D:$D,$A$51,МФО!$E:$E,$A$66)</f>
        <v>1.4812510213351635</v>
      </c>
      <c r="I68" s="153">
        <v>0</v>
      </c>
      <c r="J68" s="396">
        <v>7.4999999999999997E-2</v>
      </c>
      <c r="K68" s="319" t="str">
        <f t="shared" ca="1" si="12"/>
        <v>ok</v>
      </c>
      <c r="L68" s="319" t="str">
        <f t="shared" ca="1" si="13"/>
        <v>ok</v>
      </c>
      <c r="M68" s="199">
        <f ca="1">(E$71*J68-E68)/1000000</f>
        <v>1141.1998225905629</v>
      </c>
      <c r="N68" s="68"/>
      <c r="O68" s="68"/>
      <c r="P68" s="68"/>
      <c r="Q68" s="492"/>
      <c r="R68" s="441"/>
      <c r="S68" s="441"/>
      <c r="T68" s="68"/>
      <c r="U68" s="68"/>
      <c r="V68" s="68"/>
      <c r="W68" s="68"/>
      <c r="X68" s="68"/>
      <c r="Y68" s="408"/>
      <c r="Z68" s="68"/>
      <c r="AA68" s="68"/>
      <c r="AB68" s="68"/>
      <c r="AC68" s="68"/>
      <c r="AD68" s="68"/>
      <c r="AE68" s="68"/>
      <c r="AF68" s="68"/>
      <c r="AG68" s="68"/>
      <c r="AH68" s="68"/>
    </row>
    <row r="69" spans="1:34" s="299" customFormat="1">
      <c r="A69" s="297"/>
      <c r="B69" s="66" t="s">
        <v>354</v>
      </c>
      <c r="C69" s="437">
        <f>'Report (t-1)'!E69</f>
        <v>0</v>
      </c>
      <c r="D69" s="116">
        <f>E69-C69</f>
        <v>0</v>
      </c>
      <c r="E69" s="120">
        <f>SUMIFS(Агентсткие!$W:$W,Агентсткие!$D:$D,$A$65,Агентсткие!$E:$E,$A$66)</f>
        <v>0</v>
      </c>
      <c r="F69" s="260">
        <f t="shared" ca="1" si="11"/>
        <v>0</v>
      </c>
      <c r="G69" s="261">
        <f>SUMIFS(Агентсткие!$AA:$AA,Агентсткие!$D:$D,$A$65,Агентсткие!$E:$E,$A$66)</f>
        <v>0</v>
      </c>
      <c r="H69" s="262">
        <f>SUMIFS(Агентсткие!$AB:$AB,Агентсткие!$D:$D,$A$51,Агентсткие!$E:$E,$A$66)</f>
        <v>0</v>
      </c>
      <c r="I69" s="69">
        <v>0</v>
      </c>
      <c r="J69" s="396">
        <v>7.4999999999999997E-2</v>
      </c>
      <c r="K69" s="319" t="str">
        <f t="shared" ca="1" si="12"/>
        <v>ok</v>
      </c>
      <c r="L69" s="319" t="str">
        <f t="shared" ca="1" si="13"/>
        <v>ok</v>
      </c>
      <c r="M69" s="199">
        <f ca="1">(E$71*J69-E69)/1000000</f>
        <v>2102.7278860448187</v>
      </c>
      <c r="N69" s="68"/>
      <c r="O69" s="68"/>
      <c r="P69" s="68"/>
      <c r="Q69" s="492"/>
      <c r="R69" s="441"/>
      <c r="S69" s="441"/>
      <c r="T69" s="68"/>
      <c r="U69" s="68"/>
      <c r="V69" s="68"/>
      <c r="W69" s="68"/>
      <c r="X69" s="68"/>
      <c r="Y69" s="408"/>
      <c r="Z69" s="68"/>
      <c r="AA69" s="68"/>
      <c r="AB69" s="68"/>
      <c r="AC69" s="68"/>
      <c r="AD69" s="68"/>
      <c r="AE69" s="68"/>
      <c r="AF69" s="68"/>
      <c r="AG69" s="68"/>
      <c r="AH69" s="68"/>
    </row>
    <row r="70" spans="1:34" s="299" customFormat="1">
      <c r="A70" s="297"/>
      <c r="B70" s="427" t="s">
        <v>893</v>
      </c>
      <c r="C70" s="437">
        <f>'Report (t-1)'!E70</f>
        <v>126749500</v>
      </c>
      <c r="D70" s="429"/>
      <c r="E70" s="428">
        <f>SUMIFS('Accounts receivable'!H:H,'Accounts receivable'!B:B,A66)</f>
        <v>0</v>
      </c>
      <c r="F70" s="260">
        <f t="shared" ca="1" si="11"/>
        <v>0</v>
      </c>
      <c r="G70" s="261">
        <v>0</v>
      </c>
      <c r="H70" s="262">
        <v>0</v>
      </c>
      <c r="I70" s="69">
        <v>0</v>
      </c>
      <c r="J70" s="397">
        <v>1</v>
      </c>
      <c r="K70" s="319" t="str">
        <f t="shared" ca="1" si="12"/>
        <v>ok</v>
      </c>
      <c r="L70" s="319" t="str">
        <f t="shared" ca="1" si="13"/>
        <v>ok</v>
      </c>
      <c r="M70" s="199">
        <f ca="1">(E$71*J70-E70)/1000000</f>
        <v>28036.37181393092</v>
      </c>
      <c r="N70" s="68"/>
      <c r="O70" s="68"/>
      <c r="P70" s="68"/>
      <c r="Q70" s="492"/>
      <c r="R70" s="441"/>
      <c r="S70" s="441"/>
      <c r="T70" s="68"/>
      <c r="U70" s="68"/>
      <c r="V70" s="68"/>
      <c r="W70" s="68"/>
      <c r="X70" s="68"/>
      <c r="Y70" s="408"/>
      <c r="Z70" s="68"/>
      <c r="AA70" s="68"/>
      <c r="AB70" s="68"/>
      <c r="AC70" s="68"/>
      <c r="AD70" s="68"/>
      <c r="AE70" s="68"/>
      <c r="AF70" s="68"/>
      <c r="AG70" s="68"/>
      <c r="AH70" s="68"/>
    </row>
    <row r="71" spans="1:34" s="299" customFormat="1">
      <c r="A71" s="297"/>
      <c r="B71" s="41" t="s">
        <v>279</v>
      </c>
      <c r="C71" s="119">
        <f>SUM(C65:C70)</f>
        <v>27968129772.416641</v>
      </c>
      <c r="D71" s="119">
        <f ca="1">E71-C71</f>
        <v>68242041.514278412</v>
      </c>
      <c r="E71" s="119">
        <f ca="1">SUM(E65:E70)</f>
        <v>28036371813.93092</v>
      </c>
      <c r="F71" s="78">
        <f ca="1">SUM(F65:F70)</f>
        <v>0.99999999999999989</v>
      </c>
      <c r="G71" s="432">
        <f ca="1">SUMPRODUCT($F$8:$F$12,G65:G69)/F71</f>
        <v>0.16838907930839736</v>
      </c>
      <c r="H71" s="293">
        <f ca="1">SUMPRODUCT($E$65:$E$69,H65:H69)/E71</f>
        <v>2.100799710365159</v>
      </c>
      <c r="I71" s="79"/>
      <c r="J71" s="79"/>
      <c r="K71" s="197"/>
      <c r="L71" s="197"/>
      <c r="M71" s="201"/>
      <c r="N71" s="68"/>
      <c r="O71" s="441">
        <f ca="1">E71-C71</f>
        <v>68242041.514278412</v>
      </c>
      <c r="P71" s="68"/>
      <c r="Q71" s="492"/>
      <c r="R71" s="441"/>
      <c r="S71" s="441"/>
      <c r="T71" s="68"/>
      <c r="U71" s="68"/>
      <c r="V71" s="68"/>
      <c r="W71" s="68"/>
      <c r="X71" s="68"/>
      <c r="Y71" s="408"/>
      <c r="Z71" s="68"/>
      <c r="AA71" s="68"/>
      <c r="AB71" s="68"/>
      <c r="AC71" s="68"/>
      <c r="AD71" s="68"/>
      <c r="AE71" s="68"/>
      <c r="AF71" s="68"/>
      <c r="AG71" s="68"/>
      <c r="AH71" s="68"/>
    </row>
    <row r="72" spans="1:34" s="299" customFormat="1">
      <c r="A72" s="297"/>
      <c r="B72" s="60"/>
      <c r="C72" s="117"/>
      <c r="D72" s="117"/>
      <c r="E72" s="117">
        <f>VLOOKUP($B$2,MV!$B:$XFD,MV!$U$1,0)</f>
        <v>28036371813.93092</v>
      </c>
      <c r="F72" s="36"/>
      <c r="G72" s="36"/>
      <c r="H72" s="36"/>
      <c r="I72" s="34"/>
      <c r="J72" s="35"/>
      <c r="K72" s="205"/>
      <c r="L72" s="205"/>
      <c r="M72" s="206"/>
      <c r="N72" s="68"/>
      <c r="O72" s="68"/>
      <c r="P72" s="68"/>
      <c r="Q72" s="492"/>
      <c r="R72" s="441"/>
      <c r="S72" s="68"/>
      <c r="T72" s="68"/>
      <c r="U72" s="68"/>
      <c r="V72" s="68"/>
      <c r="W72" s="68"/>
      <c r="X72" s="68"/>
      <c r="Y72" s="408"/>
      <c r="Z72" s="68"/>
      <c r="AA72" s="68"/>
      <c r="AB72" s="68"/>
      <c r="AC72" s="68"/>
      <c r="AD72" s="68"/>
      <c r="AE72" s="68"/>
      <c r="AF72" s="68"/>
      <c r="AG72" s="68"/>
      <c r="AH72" s="68"/>
    </row>
    <row r="73" spans="1:34" s="299" customFormat="1" ht="13.5" thickBot="1">
      <c r="A73" s="297"/>
      <c r="B73" s="398">
        <f ca="1">E71/$D$2</f>
        <v>0.12818337899073051</v>
      </c>
      <c r="E73" s="304">
        <f ca="1">E71-E72</f>
        <v>0</v>
      </c>
      <c r="G73" s="306"/>
      <c r="H73" s="89"/>
      <c r="I73" s="87"/>
      <c r="J73" s="87"/>
      <c r="K73" s="154"/>
      <c r="L73" s="154"/>
      <c r="M73" s="203"/>
      <c r="N73" s="68"/>
      <c r="O73" s="68"/>
      <c r="P73" s="68"/>
      <c r="Q73" s="493"/>
      <c r="R73" s="91"/>
      <c r="S73" s="68"/>
      <c r="T73" s="68"/>
      <c r="U73" s="68"/>
      <c r="V73" s="68"/>
      <c r="W73" s="68"/>
      <c r="X73" s="68"/>
      <c r="Y73" s="408"/>
      <c r="Z73" s="68"/>
      <c r="AA73" s="68"/>
      <c r="AB73" s="68"/>
      <c r="AC73" s="68"/>
      <c r="AD73" s="68"/>
      <c r="AE73" s="68"/>
      <c r="AF73" s="68"/>
      <c r="AG73" s="68"/>
      <c r="AH73" s="68"/>
    </row>
    <row r="74" spans="1:34" s="299" customFormat="1" ht="15">
      <c r="A74" s="297"/>
      <c r="B74" s="416" t="s">
        <v>763</v>
      </c>
      <c r="C74" s="401" t="s">
        <v>308</v>
      </c>
      <c r="D74" s="404" t="s">
        <v>772</v>
      </c>
      <c r="E74" s="405">
        <v>-0.2</v>
      </c>
      <c r="F74" s="405" t="s">
        <v>773</v>
      </c>
      <c r="G74" s="406" t="s">
        <v>774</v>
      </c>
      <c r="H74" s="414"/>
      <c r="I74" s="413"/>
      <c r="J74" s="86"/>
      <c r="K74" s="67"/>
      <c r="L74" s="67"/>
      <c r="M74" s="200"/>
      <c r="N74" s="68"/>
      <c r="O74" s="68"/>
      <c r="P74" s="68"/>
      <c r="Q74" s="494"/>
      <c r="R74" s="495"/>
      <c r="S74" s="68"/>
      <c r="T74" s="68"/>
      <c r="U74" s="68"/>
      <c r="V74" s="68"/>
      <c r="W74" s="68"/>
      <c r="X74" s="68"/>
      <c r="Y74" s="408"/>
      <c r="Z74" s="68"/>
      <c r="AA74" s="68"/>
      <c r="AB74" s="68"/>
      <c r="AC74" s="68"/>
      <c r="AD74" s="173"/>
      <c r="AE74" s="178"/>
      <c r="AF74" s="68"/>
      <c r="AG74" s="68"/>
      <c r="AH74" s="68"/>
    </row>
    <row r="75" spans="1:34" s="299" customFormat="1" ht="15.75" thickBot="1">
      <c r="A75" s="297"/>
      <c r="B75" s="417"/>
      <c r="C75" s="407">
        <f ca="1">SUMPRODUCT($F65:$F69,$H65:$H69)%</f>
        <v>2.1007997103651591E-2</v>
      </c>
      <c r="D75" s="402">
        <f>VLOOKUP($B$2,'MBM index - с 1 апреля 2024 г  '!A:D,4)/100</f>
        <v>2.1299999999999999E-2</v>
      </c>
      <c r="E75" s="402">
        <f>D75*0.8</f>
        <v>1.704E-2</v>
      </c>
      <c r="F75" s="402">
        <f>D75*1.5</f>
        <v>3.1949999999999999E-2</v>
      </c>
      <c r="G75" s="403" t="str">
        <f ca="1">IF(AND(C75&gt;=E75,C75&lt;=F75),"ok","breach")</f>
        <v>ok</v>
      </c>
      <c r="H75" s="414"/>
      <c r="I75" s="67"/>
      <c r="J75" s="67"/>
      <c r="K75" s="67"/>
      <c r="L75" s="67"/>
      <c r="M75" s="200"/>
      <c r="N75" s="68"/>
      <c r="O75" s="68"/>
      <c r="P75" s="68"/>
      <c r="Q75" s="494"/>
      <c r="R75" s="493"/>
      <c r="S75" s="68"/>
      <c r="T75" s="68"/>
      <c r="U75" s="68"/>
      <c r="V75" s="68"/>
      <c r="W75" s="68"/>
      <c r="X75" s="68"/>
      <c r="Y75" s="408"/>
      <c r="Z75" s="68"/>
      <c r="AA75" s="68"/>
      <c r="AB75" s="68"/>
      <c r="AC75" s="68"/>
      <c r="AD75" s="179"/>
      <c r="AE75" s="180"/>
      <c r="AF75" s="68"/>
      <c r="AG75" s="68"/>
      <c r="AH75" s="68"/>
    </row>
    <row r="76" spans="1:34" s="299" customFormat="1" ht="15">
      <c r="A76" s="297"/>
      <c r="B76" s="62"/>
      <c r="C76" s="62"/>
      <c r="D76" s="62"/>
      <c r="E76" s="118"/>
      <c r="F76" s="309"/>
      <c r="G76" s="309"/>
      <c r="H76" s="309"/>
      <c r="I76" s="88"/>
      <c r="J76" s="88"/>
      <c r="K76" s="67"/>
      <c r="L76" s="67"/>
      <c r="M76" s="200"/>
      <c r="N76" s="68"/>
      <c r="O76" s="68"/>
      <c r="P76" s="68"/>
      <c r="Q76" s="68"/>
      <c r="R76" s="441"/>
      <c r="S76" s="68"/>
      <c r="T76" s="68"/>
      <c r="U76" s="68"/>
      <c r="V76" s="68"/>
      <c r="W76" s="68"/>
      <c r="X76" s="412"/>
      <c r="Y76" s="408"/>
      <c r="Z76" s="68"/>
      <c r="AA76" s="68"/>
      <c r="AB76" s="68"/>
      <c r="AC76" s="68"/>
      <c r="AD76" s="173"/>
      <c r="AE76" s="178"/>
      <c r="AF76" s="68"/>
      <c r="AG76" s="68"/>
      <c r="AH76" s="68"/>
    </row>
    <row r="77" spans="1:34" s="299" customFormat="1" ht="15.75" thickBot="1">
      <c r="B77" s="38" t="s">
        <v>764</v>
      </c>
      <c r="C77" s="39"/>
      <c r="D77" s="39"/>
      <c r="E77" s="39"/>
      <c r="F77" s="39"/>
      <c r="G77" s="39"/>
      <c r="H77" s="46"/>
      <c r="I77" s="82"/>
      <c r="J77" s="83"/>
      <c r="K77" s="197"/>
      <c r="L77" s="197"/>
      <c r="M77" s="201"/>
      <c r="N77" s="68"/>
      <c r="O77" s="68"/>
      <c r="P77" s="68"/>
      <c r="Q77" s="68"/>
      <c r="S77" s="68"/>
      <c r="T77" s="68"/>
      <c r="U77" s="68"/>
      <c r="V77" s="68"/>
      <c r="W77" s="68"/>
      <c r="X77" s="412"/>
      <c r="Y77" s="408"/>
      <c r="Z77" s="68"/>
      <c r="AA77" s="68"/>
      <c r="AB77" s="68"/>
      <c r="AC77" s="68"/>
      <c r="AD77" s="176"/>
      <c r="AE77" s="177"/>
      <c r="AF77" s="68"/>
      <c r="AG77" s="68"/>
      <c r="AH77" s="68"/>
    </row>
    <row r="78" spans="1:34" s="299" customFormat="1" ht="12.75" customHeight="1">
      <c r="B78" s="40" t="s">
        <v>275</v>
      </c>
      <c r="C78" s="40" t="s">
        <v>268</v>
      </c>
      <c r="D78" s="40" t="s">
        <v>322</v>
      </c>
      <c r="E78" s="40" t="s">
        <v>301</v>
      </c>
      <c r="F78" s="257" t="s">
        <v>280</v>
      </c>
      <c r="G78" s="257" t="s">
        <v>303</v>
      </c>
      <c r="H78" s="75" t="s">
        <v>308</v>
      </c>
      <c r="I78" s="257" t="s">
        <v>281</v>
      </c>
      <c r="J78" s="257" t="s">
        <v>786</v>
      </c>
      <c r="K78" s="204" t="s">
        <v>488</v>
      </c>
      <c r="L78" s="204" t="s">
        <v>489</v>
      </c>
      <c r="M78" s="202" t="s">
        <v>487</v>
      </c>
      <c r="N78" s="68"/>
      <c r="O78" s="68"/>
      <c r="P78" s="68"/>
      <c r="Q78" s="68"/>
      <c r="S78" s="68"/>
      <c r="T78" s="68"/>
      <c r="U78" s="68"/>
      <c r="V78" s="68"/>
      <c r="W78" s="68"/>
      <c r="X78" s="68"/>
      <c r="Y78" s="408"/>
      <c r="Z78" s="68"/>
      <c r="AA78" s="68"/>
      <c r="AB78" s="68"/>
      <c r="AC78" s="68"/>
      <c r="AD78" s="68"/>
      <c r="AE78" s="68"/>
      <c r="AF78" s="68"/>
      <c r="AG78" s="68"/>
      <c r="AH78" s="68"/>
    </row>
    <row r="79" spans="1:34" s="299" customFormat="1">
      <c r="A79" s="297"/>
      <c r="B79" s="59" t="s">
        <v>277</v>
      </c>
      <c r="C79" s="437">
        <f>'Report (t-1)'!E79</f>
        <v>419640.72</v>
      </c>
      <c r="D79" s="116">
        <f>E79-C79</f>
        <v>231776.74</v>
      </c>
      <c r="E79" s="438">
        <f>VLOOKUP($B$2,Cash!$B:$AW,25,0)</f>
        <v>651417.46</v>
      </c>
      <c r="F79" s="260">
        <f t="shared" ref="F79:F84" ca="1" si="14">E79/$E$85</f>
        <v>2.9048957742866538E-5</v>
      </c>
      <c r="G79" s="261">
        <v>0</v>
      </c>
      <c r="H79" s="262">
        <f>1/366</f>
        <v>2.7322404371584699E-3</v>
      </c>
      <c r="I79" s="69">
        <v>0</v>
      </c>
      <c r="J79" s="396">
        <v>1E-3</v>
      </c>
      <c r="K79" s="319" t="str">
        <f t="shared" ref="K79:K84" ca="1" si="15">IF(AND(F79&gt;=I79,F79&lt;=J79),"ok","breach")</f>
        <v>ok</v>
      </c>
      <c r="L79" s="319" t="str">
        <f t="shared" ref="L79:L84" ca="1" si="16">IF(AND(F79&gt;=I79,F79&lt;=J79),"ok","breach")</f>
        <v>ok</v>
      </c>
      <c r="M79" s="199" t="s">
        <v>309</v>
      </c>
      <c r="N79" s="68"/>
      <c r="O79" s="68"/>
      <c r="P79" s="68"/>
      <c r="Q79" s="492"/>
      <c r="R79" s="304"/>
      <c r="S79" s="441"/>
      <c r="T79" s="91"/>
      <c r="U79" s="68"/>
      <c r="V79" s="68"/>
      <c r="W79" s="68"/>
      <c r="X79" s="68"/>
      <c r="Y79" s="408"/>
      <c r="Z79" s="68"/>
      <c r="AA79" s="68"/>
      <c r="AB79" s="68"/>
      <c r="AC79" s="68"/>
      <c r="AD79" s="68"/>
      <c r="AE79" s="68"/>
      <c r="AF79" s="68"/>
      <c r="AG79" s="68"/>
      <c r="AH79" s="68"/>
    </row>
    <row r="80" spans="1:34" s="299" customFormat="1">
      <c r="A80" s="297" t="s">
        <v>173</v>
      </c>
      <c r="B80" s="66" t="s">
        <v>276</v>
      </c>
      <c r="C80" s="437">
        <f>'Report (t-1)'!E80</f>
        <v>15855975054.596224</v>
      </c>
      <c r="D80" s="116">
        <f ca="1">E80-C80</f>
        <v>38424493.769720078</v>
      </c>
      <c r="E80" s="120">
        <f ca="1">SUMIFS(ГЦБ!$X:$X,ГЦБ!$D:$D,$A$80,ГЦБ!$E:$E,$A$81)</f>
        <v>15894399548.365944</v>
      </c>
      <c r="F80" s="260">
        <f t="shared" ca="1" si="14"/>
        <v>0.70878625333241652</v>
      </c>
      <c r="G80" s="261">
        <f>SUMIFS(ГЦБ!$AC:$AC,ГЦБ!$D:$D,$A$65,ГЦБ!$E:$E,$A$81)</f>
        <v>0.1676639703858902</v>
      </c>
      <c r="H80" s="262">
        <f>SUMIFS(ГЦБ!$AD:$AD,ГЦБ!$D:$D,$A$51,ГЦБ!$E:$E,$A$81)</f>
        <v>2.437567562476052</v>
      </c>
      <c r="I80" s="318">
        <v>0</v>
      </c>
      <c r="J80" s="397">
        <v>1</v>
      </c>
      <c r="K80" s="319" t="str">
        <f t="shared" ca="1" si="15"/>
        <v>ok</v>
      </c>
      <c r="L80" s="319" t="str">
        <f t="shared" ca="1" si="16"/>
        <v>ok</v>
      </c>
      <c r="M80" s="390" t="s">
        <v>309</v>
      </c>
      <c r="N80" s="68"/>
      <c r="O80" s="68"/>
      <c r="P80" s="68"/>
      <c r="Q80" s="492"/>
      <c r="R80" s="497"/>
      <c r="S80" s="441"/>
      <c r="T80" s="91"/>
      <c r="U80" s="68"/>
      <c r="V80" s="68"/>
      <c r="W80" s="68"/>
      <c r="X80" s="68"/>
      <c r="Y80" s="408"/>
      <c r="Z80" s="68"/>
      <c r="AA80" s="68"/>
      <c r="AB80" s="68"/>
      <c r="AC80" s="68"/>
      <c r="AD80" s="68"/>
      <c r="AE80" s="68"/>
      <c r="AF80" s="68"/>
      <c r="AG80" s="68"/>
      <c r="AH80" s="68"/>
    </row>
    <row r="81" spans="1:34" s="299" customFormat="1">
      <c r="A81" s="297" t="s">
        <v>764</v>
      </c>
      <c r="B81" s="187" t="s">
        <v>455</v>
      </c>
      <c r="C81" s="437">
        <f>'Report (t-1)'!E81</f>
        <v>4965812459.4766674</v>
      </c>
      <c r="D81" s="116">
        <f>E81-C81</f>
        <v>2078955.733332634</v>
      </c>
      <c r="E81" s="120">
        <f>SUMIFS(Repo!$L:$L,Repo!$B:$B,$A$80,Repo!$C:$C,$A$81)</f>
        <v>4967891415.21</v>
      </c>
      <c r="F81" s="260">
        <f t="shared" ca="1" si="14"/>
        <v>0.22153546174765523</v>
      </c>
      <c r="G81" s="261">
        <f>SUMIFS(Repo!$Q:$Q,Repo!$B:$B,$A$65,Repo!$C:$C,$A$81)</f>
        <v>0.17146849323376437</v>
      </c>
      <c r="H81" s="262">
        <f>SUMIFS(Repo!$R:$R,Repo!$B:$B,$A$51,Repo!$C:$C,$A$81)</f>
        <v>1.8709686471101997E-2</v>
      </c>
      <c r="I81" s="153">
        <v>0</v>
      </c>
      <c r="J81" s="396">
        <v>0.5</v>
      </c>
      <c r="K81" s="319" t="str">
        <f t="shared" ca="1" si="15"/>
        <v>ok</v>
      </c>
      <c r="L81" s="319" t="str">
        <f t="shared" ca="1" si="16"/>
        <v>ok</v>
      </c>
      <c r="M81" s="199">
        <f ca="1">(E$85*J81-E81)/1000000</f>
        <v>6244.5153390386358</v>
      </c>
      <c r="N81" s="68"/>
      <c r="O81" s="68"/>
      <c r="P81" s="68"/>
      <c r="Q81" s="492"/>
      <c r="R81" s="497"/>
      <c r="S81" s="441"/>
      <c r="T81" s="91"/>
      <c r="U81" s="68"/>
      <c r="V81" s="68"/>
      <c r="W81" s="68"/>
      <c r="X81" s="68"/>
      <c r="Y81" s="408"/>
      <c r="Z81" s="68"/>
      <c r="AA81" s="68"/>
      <c r="AB81" s="68"/>
      <c r="AC81" s="68"/>
      <c r="AD81" s="68"/>
      <c r="AE81" s="68"/>
      <c r="AF81" s="68"/>
      <c r="AG81" s="68"/>
      <c r="AH81" s="68"/>
    </row>
    <row r="82" spans="1:34" s="299" customFormat="1">
      <c r="A82" s="297"/>
      <c r="B82" s="59" t="s">
        <v>785</v>
      </c>
      <c r="C82" s="437">
        <f>'Report (t-1)'!E82</f>
        <v>0</v>
      </c>
      <c r="D82" s="116">
        <f>E82-C82</f>
        <v>0</v>
      </c>
      <c r="E82" s="120">
        <f>SUMIFS(МФО!$W:$W,МФО!$D:$D,$A$80,МФО!$E:$E,$A$81)</f>
        <v>0</v>
      </c>
      <c r="F82" s="260">
        <f t="shared" ca="1" si="14"/>
        <v>0</v>
      </c>
      <c r="G82" s="261">
        <f>SUMIFS(МФО!$AA:$AA,МФО!$D:$D,$A$65,МФО!$E:$E,$A$81)</f>
        <v>0</v>
      </c>
      <c r="H82" s="262">
        <f>SUMIFS(МФО!$AB:$AB,МФО!$D:$D,$A$51,МФО!$E:$E,$A$81)</f>
        <v>0</v>
      </c>
      <c r="I82" s="262">
        <v>0</v>
      </c>
      <c r="J82" s="396">
        <v>7.4999999999999997E-2</v>
      </c>
      <c r="K82" s="319" t="str">
        <f t="shared" ca="1" si="15"/>
        <v>ok</v>
      </c>
      <c r="L82" s="319" t="str">
        <f t="shared" ca="1" si="16"/>
        <v>ok</v>
      </c>
      <c r="M82" s="199">
        <f ca="1">(E$85*J82-E82)/1000000</f>
        <v>1681.8610131372955</v>
      </c>
      <c r="N82" s="68"/>
      <c r="O82" s="68"/>
      <c r="P82" s="68"/>
      <c r="Q82" s="492"/>
      <c r="R82" s="497"/>
      <c r="S82" s="441"/>
      <c r="T82" s="91"/>
      <c r="U82" s="68"/>
      <c r="V82" s="68"/>
      <c r="W82" s="68"/>
      <c r="X82" s="68"/>
      <c r="Y82" s="408"/>
      <c r="Z82" s="68"/>
      <c r="AA82" s="68"/>
      <c r="AB82" s="68"/>
      <c r="AC82" s="68"/>
      <c r="AD82" s="68"/>
      <c r="AE82" s="68"/>
      <c r="AF82" s="68"/>
      <c r="AG82" s="68"/>
      <c r="AH82" s="68"/>
    </row>
    <row r="83" spans="1:34" s="299" customFormat="1">
      <c r="A83" s="297"/>
      <c r="B83" s="66" t="s">
        <v>354</v>
      </c>
      <c r="C83" s="437">
        <f>'Report (t-1)'!E83</f>
        <v>1560688633.1901889</v>
      </c>
      <c r="D83" s="116">
        <f ca="1">E83-C83</f>
        <v>1182494.2711429596</v>
      </c>
      <c r="E83" s="120">
        <f ca="1">SUMIFS(Агентсткие!$W:$W,Агентсткие!$D:$D,$A$80,Агентсткие!$E:$E,$A$81)</f>
        <v>1561871127.4613318</v>
      </c>
      <c r="F83" s="260">
        <f t="shared" ca="1" si="14"/>
        <v>6.9649235962185516E-2</v>
      </c>
      <c r="G83" s="261">
        <f>SUMIFS(Агентсткие!$AA:$AA,Агентсткие!$D:$D,$A$65,Агентсткие!$E:$E,$A$81)</f>
        <v>0.17457280624741922</v>
      </c>
      <c r="H83" s="262">
        <f>SUMIFS(Агентсткие!$AB:$AB,Агентсткие!$D:$D,$A$51,Агентсткие!$E:$E,$A$81)</f>
        <v>0.49178175730678919</v>
      </c>
      <c r="I83" s="262">
        <v>0</v>
      </c>
      <c r="J83" s="396">
        <v>7.4999999999999997E-2</v>
      </c>
      <c r="K83" s="319" t="str">
        <f ca="1">IF(AND(F83&gt;=I83,F83&lt;=J83),"ok","breach")</f>
        <v>ok</v>
      </c>
      <c r="L83" s="319" t="str">
        <f t="shared" ca="1" si="16"/>
        <v>ok</v>
      </c>
      <c r="M83" s="199">
        <f ca="1">(E$85*J83-E83)/1000000</f>
        <v>119.98988567596363</v>
      </c>
      <c r="N83" s="68"/>
      <c r="O83" s="68"/>
      <c r="P83" s="68"/>
      <c r="Q83" s="492"/>
      <c r="R83" s="497"/>
      <c r="S83" s="441"/>
      <c r="T83" s="91"/>
      <c r="U83" s="68"/>
      <c r="V83" s="68"/>
      <c r="W83" s="68"/>
      <c r="X83" s="68"/>
      <c r="Y83" s="408"/>
      <c r="Z83" s="68"/>
      <c r="AA83" s="68"/>
      <c r="AB83" s="68"/>
      <c r="AC83" s="68"/>
      <c r="AD83" s="68"/>
      <c r="AE83" s="68"/>
      <c r="AF83" s="68"/>
      <c r="AG83" s="68"/>
      <c r="AH83" s="68"/>
    </row>
    <row r="84" spans="1:34" s="299" customFormat="1">
      <c r="A84" s="297"/>
      <c r="B84" s="427" t="s">
        <v>893</v>
      </c>
      <c r="C84" s="437">
        <f>'Report (t-1)'!E84</f>
        <v>0</v>
      </c>
      <c r="D84" s="429"/>
      <c r="E84" s="428">
        <f>SUMIFS('Accounts receivable'!H:H,'Accounts receivable'!B:B,A81)</f>
        <v>0</v>
      </c>
      <c r="F84" s="260">
        <f t="shared" ca="1" si="14"/>
        <v>0</v>
      </c>
      <c r="G84" s="261">
        <v>0</v>
      </c>
      <c r="H84" s="262">
        <v>0</v>
      </c>
      <c r="I84" s="262">
        <v>0</v>
      </c>
      <c r="J84" s="397">
        <v>1</v>
      </c>
      <c r="K84" s="319" t="str">
        <f t="shared" ca="1" si="15"/>
        <v>ok</v>
      </c>
      <c r="L84" s="319" t="str">
        <f t="shared" ca="1" si="16"/>
        <v>ok</v>
      </c>
      <c r="M84" s="199">
        <f ca="1">(E$85*J84-E84)/1000000</f>
        <v>22424.813508497271</v>
      </c>
      <c r="N84" s="68"/>
      <c r="O84" s="68"/>
      <c r="P84" s="68"/>
      <c r="Q84" s="492"/>
      <c r="R84" s="497"/>
      <c r="S84" s="441"/>
      <c r="T84" s="91"/>
      <c r="U84" s="68"/>
      <c r="V84" s="68"/>
      <c r="W84" s="68"/>
      <c r="X84" s="68"/>
      <c r="Y84" s="408"/>
      <c r="Z84" s="68"/>
      <c r="AA84" s="68"/>
      <c r="AB84" s="68"/>
      <c r="AC84" s="68"/>
      <c r="AD84" s="68"/>
      <c r="AE84" s="68"/>
      <c r="AF84" s="68"/>
      <c r="AG84" s="68"/>
      <c r="AH84" s="68"/>
    </row>
    <row r="85" spans="1:34" s="299" customFormat="1">
      <c r="A85" s="297"/>
      <c r="C85" s="119">
        <f>SUM(C79:C84)</f>
        <v>22382895787.983082</v>
      </c>
      <c r="D85" s="119">
        <f ca="1">E85-C85</f>
        <v>41917720.514190674</v>
      </c>
      <c r="E85" s="119">
        <f ca="1">SUM(E79:E84)</f>
        <v>22424813508.497272</v>
      </c>
      <c r="F85" s="78">
        <f ca="1">SUM(F79:F84)</f>
        <v>1.0000000000000002</v>
      </c>
      <c r="G85" s="78">
        <f ca="1">SUMPRODUCT($F$8:$F$12,G79:G83)/F85</f>
        <v>0.16254617116075934</v>
      </c>
      <c r="H85" s="293">
        <f ca="1">SUMPRODUCT($E$79:$E$84,H79:H84)/E85</f>
        <v>1.7661115419088573</v>
      </c>
      <c r="I85" s="79"/>
      <c r="J85" s="79"/>
      <c r="K85" s="197"/>
      <c r="L85" s="197"/>
      <c r="M85" s="201"/>
      <c r="N85" s="68"/>
      <c r="O85" s="441">
        <f ca="1">E85-C85</f>
        <v>41917720.514190674</v>
      </c>
      <c r="P85" s="68"/>
      <c r="Q85" s="68"/>
      <c r="R85" s="441"/>
      <c r="S85" s="441"/>
      <c r="T85" s="68"/>
      <c r="U85" s="68"/>
      <c r="V85" s="68"/>
      <c r="W85" s="68"/>
      <c r="X85" s="68"/>
      <c r="Y85" s="408"/>
      <c r="Z85" s="68"/>
      <c r="AA85" s="68"/>
      <c r="AB85" s="68"/>
      <c r="AC85" s="68"/>
      <c r="AD85" s="68"/>
      <c r="AE85" s="68"/>
      <c r="AF85" s="68"/>
      <c r="AG85" s="68"/>
      <c r="AH85" s="68"/>
    </row>
    <row r="86" spans="1:34" s="299" customFormat="1">
      <c r="A86" s="297"/>
      <c r="B86" s="60"/>
      <c r="C86" s="117"/>
      <c r="D86" s="117"/>
      <c r="E86" s="117">
        <f>VLOOKUP($B$2,MV!$B:$XFD,MV!$Y$1,0)</f>
        <v>22424813508.497272</v>
      </c>
      <c r="F86" s="36"/>
      <c r="G86" s="36"/>
      <c r="H86" s="36"/>
      <c r="I86" s="34"/>
      <c r="J86" s="35"/>
      <c r="K86" s="205"/>
      <c r="L86" s="205"/>
      <c r="M86" s="206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408"/>
      <c r="Z86" s="68"/>
      <c r="AA86" s="68"/>
      <c r="AB86" s="68"/>
      <c r="AC86" s="68"/>
      <c r="AD86" s="68"/>
      <c r="AE86" s="68"/>
      <c r="AF86" s="68"/>
      <c r="AG86" s="68"/>
      <c r="AH86" s="68"/>
    </row>
    <row r="87" spans="1:34" s="299" customFormat="1" ht="13.5" thickBot="1">
      <c r="A87" s="297"/>
      <c r="B87" s="398">
        <f ca="1">E85/$D$2</f>
        <v>0.10252711684069842</v>
      </c>
      <c r="E87" s="304">
        <f ca="1">E85-E86</f>
        <v>0</v>
      </c>
      <c r="G87" s="306"/>
      <c r="H87" s="304"/>
      <c r="I87" s="87"/>
      <c r="J87" s="87"/>
      <c r="K87" s="154"/>
      <c r="L87" s="154"/>
      <c r="M87" s="203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408"/>
      <c r="Z87" s="68"/>
      <c r="AA87" s="68"/>
      <c r="AB87" s="68"/>
      <c r="AC87" s="68"/>
      <c r="AD87" s="68"/>
      <c r="AE87" s="68"/>
      <c r="AF87" s="68"/>
      <c r="AG87" s="68"/>
      <c r="AH87" s="68"/>
    </row>
    <row r="88" spans="1:34" s="299" customFormat="1" ht="15.75" thickBot="1">
      <c r="A88" s="297"/>
      <c r="B88" s="416" t="s">
        <v>764</v>
      </c>
      <c r="C88" s="401" t="s">
        <v>308</v>
      </c>
      <c r="D88" s="404" t="s">
        <v>772</v>
      </c>
      <c r="E88" s="405">
        <v>-0.2</v>
      </c>
      <c r="F88" s="405" t="s">
        <v>773</v>
      </c>
      <c r="G88" s="406" t="s">
        <v>774</v>
      </c>
      <c r="H88" s="414"/>
      <c r="I88" s="413"/>
      <c r="J88" s="86"/>
      <c r="K88" s="67"/>
      <c r="L88" s="67"/>
      <c r="M88" s="200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408"/>
      <c r="Z88" s="68"/>
      <c r="AA88" s="68"/>
      <c r="AB88" s="68"/>
      <c r="AC88" s="68"/>
      <c r="AD88" s="174"/>
      <c r="AE88" s="175"/>
      <c r="AF88" s="68"/>
      <c r="AG88" s="68"/>
      <c r="AH88" s="68"/>
    </row>
    <row r="89" spans="1:34" s="299" customFormat="1" ht="12.75" customHeight="1" thickBot="1">
      <c r="A89" s="297"/>
      <c r="B89" s="417"/>
      <c r="C89" s="407">
        <f ca="1">SUMPRODUCT($F79:$F83,$H79:$H83)%</f>
        <v>1.7661115419088571E-2</v>
      </c>
      <c r="D89" s="402">
        <f>VLOOKUP($B$2,'MBM index - с 1 апреля 2024 г  '!A:D,4)/100</f>
        <v>2.1299999999999999E-2</v>
      </c>
      <c r="E89" s="402">
        <f>D89*0.8</f>
        <v>1.704E-2</v>
      </c>
      <c r="F89" s="402">
        <f>D89*1.5</f>
        <v>3.1949999999999999E-2</v>
      </c>
      <c r="G89" s="403" t="str">
        <f ca="1">IF(AND(C89&gt;=E89,C89&lt;=F89),"ok","breach")</f>
        <v>ok</v>
      </c>
      <c r="H89" s="414"/>
      <c r="I89" s="67"/>
      <c r="J89" s="67"/>
      <c r="K89" s="67"/>
      <c r="L89" s="67"/>
      <c r="M89" s="200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408"/>
      <c r="Z89" s="68"/>
      <c r="AA89" s="68"/>
      <c r="AB89" s="68"/>
      <c r="AC89" s="68"/>
      <c r="AD89" s="173"/>
      <c r="AE89" s="178"/>
      <c r="AF89" s="68"/>
      <c r="AG89" s="68"/>
      <c r="AH89" s="68"/>
    </row>
    <row r="90" spans="1:34" s="299" customFormat="1" ht="15">
      <c r="A90" s="297"/>
      <c r="B90" s="61"/>
      <c r="C90" s="61"/>
      <c r="D90" s="103" t="s">
        <v>336</v>
      </c>
      <c r="E90" s="103" t="s">
        <v>337</v>
      </c>
      <c r="F90" s="104" t="s">
        <v>338</v>
      </c>
      <c r="G90" s="61"/>
      <c r="H90" s="415"/>
      <c r="I90" s="414"/>
      <c r="J90" s="414"/>
      <c r="K90" s="67"/>
      <c r="L90" s="67"/>
      <c r="M90" s="200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408"/>
      <c r="Z90" s="68"/>
      <c r="AA90" s="68"/>
      <c r="AB90" s="68"/>
      <c r="AC90" s="68"/>
      <c r="AD90" s="173"/>
      <c r="AE90" s="178"/>
      <c r="AF90" s="68"/>
      <c r="AG90" s="68"/>
      <c r="AH90" s="68"/>
    </row>
    <row r="91" spans="1:34" s="299" customFormat="1" ht="15">
      <c r="A91" s="297"/>
      <c r="B91" s="61"/>
      <c r="C91" s="61"/>
      <c r="D91" s="101" t="s">
        <v>266</v>
      </c>
      <c r="E91" s="101" t="s">
        <v>266</v>
      </c>
      <c r="F91" s="101" t="s">
        <v>266</v>
      </c>
      <c r="G91" s="61"/>
      <c r="H91" s="70"/>
      <c r="I91" s="89"/>
      <c r="J91" s="89"/>
      <c r="K91" s="67"/>
      <c r="L91" s="67"/>
      <c r="M91" s="200"/>
      <c r="N91" s="90"/>
      <c r="O91" s="90"/>
      <c r="P91" s="90"/>
      <c r="Q91" s="68"/>
      <c r="R91" s="90"/>
      <c r="S91" s="90"/>
      <c r="T91" s="90"/>
      <c r="U91" s="90"/>
      <c r="V91" s="90"/>
      <c r="W91" s="68"/>
      <c r="X91" s="68"/>
      <c r="Y91" s="408"/>
      <c r="Z91" s="68"/>
      <c r="AA91" s="68"/>
      <c r="AB91" s="68"/>
      <c r="AC91" s="68"/>
      <c r="AD91" s="173"/>
      <c r="AE91" s="178"/>
      <c r="AF91" s="68"/>
      <c r="AG91" s="68"/>
      <c r="AH91" s="68"/>
    </row>
    <row r="92" spans="1:34" s="299" customFormat="1" ht="15">
      <c r="A92" s="48"/>
      <c r="B92" s="61"/>
      <c r="C92" s="61"/>
      <c r="D92" s="102" t="str">
        <f>"&gt;"&amp;TEXT(EOMONTH(B2,-1),"ДД/ММ/ГГГГ")</f>
        <v>&gt;30/09/2025</v>
      </c>
      <c r="E92" s="102" t="str">
        <f>TEXT(B2,"&lt;=ДД/ММ/ГГГГ")</f>
        <v>&lt;=20/10/2025</v>
      </c>
      <c r="F92" s="102" t="str">
        <f>"&gt;"&amp;TEXT(EOMONTH(B2,IF(TEXT(B2,"ММ")/3-FLOOR(TEXT(B2,"ММ")/3,1)=1/3,-1,IF(TEXT(B2,"ММ")/3-FLOOR(TEXT(B2,"ММ")/3,1)=2/3,-2,-3))),"ДД/ММ/ГГГГ")</f>
        <v>&gt;30/09/2025</v>
      </c>
      <c r="G92" s="61"/>
      <c r="H92" s="70"/>
      <c r="I92" s="89"/>
      <c r="J92" s="89"/>
      <c r="K92" s="67"/>
      <c r="L92" s="67"/>
      <c r="M92" s="200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408"/>
      <c r="Z92" s="68"/>
      <c r="AA92" s="68"/>
      <c r="AB92" s="68"/>
      <c r="AC92" s="68"/>
      <c r="AD92" s="173"/>
      <c r="AE92" s="178"/>
      <c r="AF92" s="68"/>
      <c r="AG92" s="68"/>
      <c r="AH92" s="68"/>
    </row>
    <row r="93" spans="1:34" s="299" customFormat="1" ht="15">
      <c r="A93" s="48"/>
      <c r="B93" s="61"/>
      <c r="C93" s="61"/>
      <c r="D93" s="61"/>
      <c r="E93" s="61"/>
      <c r="F93" s="61"/>
      <c r="G93" s="61"/>
      <c r="H93" s="70"/>
      <c r="I93" s="89"/>
      <c r="J93" s="89"/>
      <c r="K93" s="67"/>
      <c r="L93" s="67"/>
      <c r="M93" s="200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408"/>
      <c r="Z93" s="68"/>
      <c r="AA93" s="68"/>
      <c r="AB93" s="68"/>
      <c r="AC93" s="68"/>
      <c r="AD93" s="179"/>
      <c r="AE93" s="180"/>
      <c r="AF93" s="68"/>
      <c r="AG93" s="68"/>
      <c r="AH93" s="68"/>
    </row>
    <row r="94" spans="1:34" s="299" customFormat="1" ht="15">
      <c r="A94" s="48"/>
      <c r="B94" s="61"/>
      <c r="C94" s="61"/>
      <c r="D94" s="61" t="s">
        <v>462</v>
      </c>
      <c r="E94" s="103" t="s">
        <v>337</v>
      </c>
      <c r="F94" s="61" t="s">
        <v>463</v>
      </c>
      <c r="G94" s="61"/>
      <c r="H94" s="70"/>
      <c r="I94" s="89"/>
      <c r="J94" s="89"/>
      <c r="K94" s="67"/>
      <c r="L94" s="67"/>
      <c r="M94" s="200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412"/>
      <c r="Y94" s="408"/>
      <c r="Z94" s="68"/>
      <c r="AA94" s="68"/>
      <c r="AB94" s="68"/>
      <c r="AC94" s="68"/>
      <c r="AD94" s="173"/>
      <c r="AE94" s="178"/>
      <c r="AF94" s="68"/>
      <c r="AG94" s="68"/>
      <c r="AH94" s="68"/>
    </row>
    <row r="95" spans="1:34" s="299" customFormat="1" ht="15.75" thickBot="1">
      <c r="A95" s="48"/>
      <c r="B95" s="61"/>
      <c r="C95" s="61"/>
      <c r="D95" s="188" t="s">
        <v>266</v>
      </c>
      <c r="E95" s="188" t="s">
        <v>266</v>
      </c>
      <c r="F95" s="188" t="s">
        <v>266</v>
      </c>
      <c r="G95" s="61"/>
      <c r="H95" s="70"/>
      <c r="I95" s="89"/>
      <c r="J95" s="89"/>
      <c r="K95" s="67"/>
      <c r="L95" s="67"/>
      <c r="M95" s="200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412"/>
      <c r="Y95" s="408"/>
      <c r="Z95" s="68"/>
      <c r="AA95" s="68"/>
      <c r="AB95" s="68"/>
      <c r="AC95" s="68"/>
      <c r="AD95" s="176"/>
      <c r="AE95" s="177"/>
      <c r="AF95" s="68"/>
      <c r="AG95" s="68"/>
      <c r="AH95" s="68"/>
    </row>
    <row r="96" spans="1:34" s="299" customFormat="1" ht="12.75" customHeight="1">
      <c r="A96" s="48"/>
      <c r="B96" s="61"/>
      <c r="C96" s="61"/>
      <c r="D96" s="189" t="str">
        <f>"&gt;"&amp;TEXT(EOMONTH(B2,-12)-(TEXT(EOMONTH(B2,0),"ДД/ММ/ГГГГ")-B2),"ДД/ММ/ГГГГ")</f>
        <v>&gt;20/10/2024</v>
      </c>
      <c r="E96" s="189" t="str">
        <f>TEXT(B2,"&lt;=ДД/ММ/ГГГГ")</f>
        <v>&lt;=20/10/2025</v>
      </c>
      <c r="F96" s="189" t="str">
        <f>"&gt;"&amp;TEXT(EOMONTH(B2,-MONTH(B2)),"ДД/ММ/ГГГГ")</f>
        <v>&gt;31/12/2024</v>
      </c>
      <c r="G96" s="61"/>
      <c r="H96" s="70"/>
      <c r="I96" s="89"/>
      <c r="J96" s="89"/>
      <c r="K96" s="67"/>
      <c r="L96" s="67"/>
      <c r="M96" s="200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408"/>
      <c r="Z96" s="68"/>
      <c r="AA96" s="68"/>
      <c r="AB96" s="68"/>
      <c r="AC96" s="68"/>
      <c r="AD96" s="68"/>
      <c r="AE96" s="68"/>
      <c r="AF96" s="68"/>
      <c r="AG96" s="68"/>
      <c r="AH96" s="68"/>
    </row>
    <row r="97" spans="1:34" s="299" customFormat="1">
      <c r="A97" s="48"/>
      <c r="B97" s="61"/>
      <c r="C97" s="61"/>
      <c r="D97" s="61"/>
      <c r="E97" s="70"/>
      <c r="F97" s="61"/>
      <c r="G97" s="61"/>
      <c r="H97" s="70"/>
      <c r="I97" s="89"/>
      <c r="J97" s="89"/>
      <c r="K97" s="67"/>
      <c r="L97" s="67"/>
      <c r="M97" s="200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408"/>
      <c r="Z97" s="68"/>
      <c r="AA97" s="68"/>
      <c r="AB97" s="68"/>
      <c r="AC97" s="68"/>
      <c r="AD97" s="68"/>
      <c r="AE97" s="68"/>
      <c r="AF97" s="68"/>
      <c r="AG97" s="68"/>
      <c r="AH97" s="68"/>
    </row>
    <row r="98" spans="1:34" s="299" customFormat="1">
      <c r="A98" s="48"/>
      <c r="B98" s="61"/>
      <c r="C98" s="61"/>
      <c r="D98" s="190"/>
      <c r="E98" s="157"/>
      <c r="F98" s="157"/>
      <c r="G98" s="61"/>
      <c r="H98" s="70"/>
      <c r="I98" s="89"/>
      <c r="J98" s="89"/>
      <c r="K98" s="67"/>
      <c r="L98" s="67"/>
      <c r="M98" s="200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408"/>
      <c r="Z98" s="68"/>
      <c r="AA98" s="68"/>
      <c r="AB98" s="68"/>
      <c r="AC98" s="68"/>
      <c r="AD98" s="68"/>
      <c r="AE98" s="68"/>
      <c r="AF98" s="68"/>
      <c r="AG98" s="68"/>
      <c r="AH98" s="68"/>
    </row>
    <row r="99" spans="1:34" s="299" customFormat="1">
      <c r="A99" s="48"/>
      <c r="B99" s="61"/>
      <c r="C99" s="61"/>
      <c r="D99" s="61"/>
      <c r="E99" s="61"/>
      <c r="F99" s="61"/>
      <c r="G99" s="61"/>
      <c r="H99" s="70"/>
      <c r="I99" s="89"/>
      <c r="J99" s="89"/>
      <c r="K99" s="67"/>
      <c r="L99" s="67"/>
      <c r="M99" s="200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408"/>
      <c r="Z99" s="68"/>
      <c r="AA99" s="68"/>
      <c r="AB99" s="68"/>
      <c r="AC99" s="68"/>
      <c r="AD99" s="68"/>
      <c r="AE99" s="68"/>
      <c r="AF99" s="68"/>
      <c r="AG99" s="68"/>
      <c r="AH99" s="68"/>
    </row>
    <row r="100" spans="1:34" s="299" customFormat="1">
      <c r="A100" s="48"/>
      <c r="B100" s="62"/>
      <c r="C100" s="62"/>
      <c r="D100" s="62"/>
      <c r="E100" s="62"/>
      <c r="F100" s="62"/>
      <c r="G100" s="62"/>
      <c r="H100" s="36"/>
      <c r="I100" s="88"/>
      <c r="J100" s="88"/>
      <c r="K100" s="67"/>
      <c r="L100" s="67"/>
      <c r="M100" s="200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408"/>
      <c r="Z100" s="68"/>
      <c r="AA100" s="68"/>
      <c r="AB100" s="68"/>
      <c r="AC100" s="68"/>
      <c r="AD100" s="68"/>
      <c r="AE100" s="68"/>
      <c r="AF100" s="68"/>
      <c r="AG100" s="68"/>
      <c r="AH100" s="68"/>
    </row>
    <row r="101" spans="1:34" s="299" customFormat="1">
      <c r="A101" s="48"/>
      <c r="B101" s="62"/>
      <c r="C101" s="62"/>
      <c r="D101" s="62"/>
      <c r="E101" s="62"/>
      <c r="F101" s="62"/>
      <c r="G101" s="62"/>
      <c r="H101" s="36"/>
      <c r="I101" s="88"/>
      <c r="J101" s="88"/>
      <c r="K101" s="67"/>
      <c r="L101" s="67"/>
      <c r="M101" s="200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408"/>
      <c r="Z101" s="68"/>
      <c r="AA101" s="68"/>
      <c r="AB101" s="68"/>
      <c r="AC101" s="68"/>
      <c r="AD101" s="68"/>
      <c r="AE101" s="68"/>
      <c r="AF101" s="68"/>
      <c r="AG101" s="68"/>
      <c r="AH101" s="68"/>
    </row>
    <row r="102" spans="1:34" s="299" customFormat="1">
      <c r="A102" s="48"/>
      <c r="B102" s="62"/>
      <c r="C102" s="62"/>
      <c r="D102" s="62"/>
      <c r="E102" s="62"/>
      <c r="F102" s="62"/>
      <c r="G102" s="62"/>
      <c r="H102" s="36"/>
      <c r="I102" s="88"/>
      <c r="J102" s="88"/>
      <c r="K102" s="67"/>
      <c r="L102" s="67"/>
      <c r="M102" s="200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408"/>
      <c r="Z102" s="68"/>
      <c r="AA102" s="68"/>
      <c r="AB102" s="68"/>
      <c r="AC102" s="68"/>
      <c r="AD102" s="68"/>
      <c r="AE102" s="68"/>
      <c r="AF102" s="68"/>
      <c r="AG102" s="68"/>
      <c r="AH102" s="68"/>
    </row>
    <row r="103" spans="1:34" s="299" customFormat="1">
      <c r="A103" s="48"/>
      <c r="B103" s="62"/>
      <c r="C103" s="62"/>
      <c r="D103" s="62"/>
      <c r="E103" s="62"/>
      <c r="F103" s="62"/>
      <c r="G103" s="62"/>
      <c r="H103" s="36"/>
      <c r="I103" s="88"/>
      <c r="J103" s="88"/>
      <c r="K103" s="67"/>
      <c r="L103" s="67"/>
      <c r="M103" s="200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408"/>
      <c r="Z103" s="68"/>
      <c r="AA103" s="68"/>
      <c r="AB103" s="68"/>
      <c r="AC103" s="68"/>
      <c r="AD103" s="68"/>
      <c r="AE103" s="68"/>
      <c r="AF103" s="68"/>
      <c r="AG103" s="68"/>
      <c r="AH103" s="68"/>
    </row>
    <row r="104" spans="1:34" s="299" customFormat="1">
      <c r="A104" s="48"/>
      <c r="B104" s="62"/>
      <c r="C104" s="62"/>
      <c r="D104" s="62"/>
      <c r="E104" s="62"/>
      <c r="F104" s="62"/>
      <c r="G104" s="62"/>
      <c r="H104" s="36"/>
      <c r="I104" s="88"/>
      <c r="J104" s="88"/>
      <c r="K104" s="67"/>
      <c r="L104" s="67"/>
      <c r="M104" s="200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408"/>
      <c r="Z104" s="68"/>
      <c r="AA104" s="68"/>
      <c r="AB104" s="68"/>
      <c r="AC104" s="68"/>
      <c r="AD104" s="68"/>
      <c r="AE104" s="68"/>
      <c r="AF104" s="68"/>
      <c r="AG104" s="68"/>
      <c r="AH104" s="68"/>
    </row>
    <row r="105" spans="1:34" s="299" customFormat="1">
      <c r="A105" s="48"/>
      <c r="B105" s="62"/>
      <c r="C105" s="62"/>
      <c r="D105" s="62"/>
      <c r="E105" s="62"/>
      <c r="F105" s="62"/>
      <c r="G105" s="62"/>
      <c r="H105" s="36"/>
      <c r="I105" s="88"/>
      <c r="J105" s="88"/>
      <c r="K105" s="67"/>
      <c r="L105" s="67"/>
      <c r="M105" s="200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408"/>
      <c r="Z105" s="68"/>
      <c r="AA105" s="68"/>
      <c r="AB105" s="68"/>
      <c r="AC105" s="68"/>
      <c r="AD105" s="68"/>
      <c r="AE105" s="68"/>
      <c r="AF105" s="68"/>
      <c r="AG105" s="68"/>
      <c r="AH105" s="68"/>
    </row>
    <row r="106" spans="1:34" s="299" customFormat="1">
      <c r="A106" s="48"/>
      <c r="B106" s="61"/>
      <c r="C106" s="61"/>
      <c r="D106" s="61"/>
      <c r="E106" s="61"/>
      <c r="F106" s="61"/>
      <c r="G106" s="61"/>
      <c r="H106" s="70"/>
      <c r="I106" s="89"/>
      <c r="J106" s="89"/>
      <c r="K106" s="67"/>
      <c r="L106" s="67"/>
      <c r="M106" s="200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408"/>
      <c r="Z106" s="68"/>
      <c r="AA106" s="68"/>
      <c r="AB106" s="68"/>
      <c r="AC106" s="68"/>
      <c r="AD106" s="68"/>
      <c r="AE106" s="68"/>
      <c r="AF106" s="68"/>
      <c r="AG106" s="68"/>
      <c r="AH106" s="68"/>
    </row>
    <row r="107" spans="1:34" s="299" customFormat="1">
      <c r="A107" s="48"/>
      <c r="B107" s="61"/>
      <c r="C107" s="61"/>
      <c r="D107" s="61"/>
      <c r="E107" s="61"/>
      <c r="F107" s="61"/>
      <c r="G107" s="61"/>
      <c r="H107" s="70"/>
      <c r="I107" s="89"/>
      <c r="J107" s="89"/>
      <c r="K107" s="67"/>
      <c r="L107" s="67"/>
      <c r="M107" s="200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408"/>
      <c r="Z107" s="68"/>
      <c r="AA107" s="68"/>
      <c r="AB107" s="68"/>
      <c r="AC107" s="68"/>
      <c r="AD107" s="68"/>
      <c r="AE107" s="68"/>
      <c r="AF107" s="68"/>
      <c r="AG107" s="68"/>
      <c r="AH107" s="68"/>
    </row>
    <row r="108" spans="1:34" s="299" customFormat="1">
      <c r="A108" s="48"/>
      <c r="B108" s="61"/>
      <c r="C108" s="61"/>
      <c r="D108" s="61"/>
      <c r="E108" s="61"/>
      <c r="F108" s="61"/>
      <c r="G108" s="61"/>
      <c r="H108" s="70"/>
      <c r="I108" s="89"/>
      <c r="J108" s="89"/>
      <c r="K108" s="67"/>
      <c r="L108" s="67"/>
      <c r="M108" s="200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408"/>
      <c r="Z108" s="68"/>
      <c r="AA108" s="68"/>
      <c r="AB108" s="68"/>
      <c r="AC108" s="68"/>
      <c r="AD108" s="68"/>
      <c r="AE108" s="68"/>
      <c r="AF108" s="68"/>
      <c r="AG108" s="68"/>
      <c r="AH108" s="68"/>
    </row>
    <row r="109" spans="1:34" s="299" customFormat="1">
      <c r="A109" s="48"/>
      <c r="B109" s="61"/>
      <c r="C109" s="61"/>
      <c r="D109" s="61"/>
      <c r="E109" s="61"/>
      <c r="F109" s="61"/>
      <c r="G109" s="61"/>
      <c r="H109" s="70"/>
      <c r="I109" s="89"/>
      <c r="J109" s="89"/>
      <c r="K109" s="67"/>
      <c r="L109" s="67"/>
      <c r="M109" s="200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408"/>
      <c r="Z109" s="68"/>
      <c r="AA109" s="68"/>
      <c r="AB109" s="68"/>
      <c r="AC109" s="68"/>
      <c r="AD109" s="68"/>
      <c r="AE109" s="68"/>
      <c r="AF109" s="68"/>
      <c r="AG109" s="68"/>
      <c r="AH109" s="68"/>
    </row>
    <row r="110" spans="1:34" s="299" customFormat="1">
      <c r="A110" s="48"/>
      <c r="B110" s="61"/>
      <c r="C110" s="61"/>
      <c r="D110" s="61"/>
      <c r="E110" s="61"/>
      <c r="F110" s="61"/>
      <c r="G110" s="61"/>
      <c r="H110" s="70"/>
      <c r="I110" s="89"/>
      <c r="J110" s="89"/>
      <c r="K110" s="67"/>
      <c r="L110" s="67"/>
      <c r="M110" s="200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408"/>
      <c r="Z110" s="68"/>
      <c r="AA110" s="68"/>
      <c r="AB110" s="68"/>
      <c r="AC110" s="68"/>
      <c r="AD110" s="68"/>
      <c r="AE110" s="68"/>
      <c r="AF110" s="68"/>
      <c r="AG110" s="68"/>
      <c r="AH110" s="68"/>
    </row>
    <row r="111" spans="1:34" s="299" customFormat="1" ht="12.75" customHeight="1">
      <c r="A111" s="48"/>
      <c r="B111" s="61"/>
      <c r="C111" s="61"/>
      <c r="D111" s="61"/>
      <c r="E111" s="61"/>
      <c r="F111" s="61"/>
      <c r="G111" s="61"/>
      <c r="H111" s="70"/>
      <c r="I111" s="89"/>
      <c r="J111" s="89"/>
      <c r="K111" s="67"/>
      <c r="L111" s="67"/>
      <c r="M111" s="200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408"/>
      <c r="Z111" s="68"/>
      <c r="AA111" s="68"/>
      <c r="AB111" s="68"/>
      <c r="AC111" s="68"/>
      <c r="AD111" s="68"/>
      <c r="AE111" s="68"/>
      <c r="AF111" s="68"/>
      <c r="AG111" s="68"/>
      <c r="AH111" s="68"/>
    </row>
    <row r="112" spans="1:34" s="299" customFormat="1">
      <c r="A112" s="48"/>
      <c r="B112" s="61"/>
      <c r="C112" s="61"/>
      <c r="D112" s="61"/>
      <c r="E112" s="61"/>
      <c r="F112" s="61"/>
      <c r="G112" s="61"/>
      <c r="H112" s="70"/>
      <c r="I112" s="89"/>
      <c r="J112" s="89"/>
      <c r="K112" s="67"/>
      <c r="L112" s="67"/>
      <c r="M112" s="200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408"/>
      <c r="Z112" s="68"/>
      <c r="AA112" s="68"/>
      <c r="AB112" s="68"/>
      <c r="AC112" s="68"/>
      <c r="AD112" s="68"/>
      <c r="AE112" s="68"/>
      <c r="AF112" s="68"/>
      <c r="AG112" s="68"/>
      <c r="AH112" s="68"/>
    </row>
    <row r="113" spans="1:34" s="299" customFormat="1">
      <c r="A113" s="48"/>
      <c r="B113" s="61"/>
      <c r="C113" s="61"/>
      <c r="D113" s="61"/>
      <c r="E113" s="61"/>
      <c r="F113" s="61"/>
      <c r="G113" s="61"/>
      <c r="H113" s="70"/>
      <c r="I113" s="89"/>
      <c r="J113" s="89"/>
      <c r="K113" s="67"/>
      <c r="L113" s="67"/>
      <c r="M113" s="200"/>
      <c r="N113" s="90"/>
      <c r="O113" s="90"/>
      <c r="P113" s="90"/>
      <c r="Q113" s="68"/>
      <c r="R113" s="90"/>
      <c r="S113" s="90"/>
      <c r="T113" s="90"/>
      <c r="U113" s="90"/>
      <c r="V113" s="90"/>
      <c r="W113" s="68"/>
      <c r="X113" s="68"/>
      <c r="Y113" s="408"/>
      <c r="Z113" s="68"/>
      <c r="AA113" s="68"/>
      <c r="AB113" s="68"/>
      <c r="AC113" s="68"/>
      <c r="AD113" s="68"/>
      <c r="AE113" s="68"/>
      <c r="AF113" s="68"/>
      <c r="AG113" s="68"/>
      <c r="AH113" s="68"/>
    </row>
    <row r="119" spans="1:34">
      <c r="B119" s="62"/>
      <c r="C119" s="62"/>
      <c r="D119" s="62"/>
      <c r="E119" s="62"/>
      <c r="F119" s="62"/>
      <c r="G119" s="62"/>
      <c r="H119" s="36"/>
      <c r="I119" s="88"/>
      <c r="J119" s="88"/>
    </row>
    <row r="120" spans="1:34">
      <c r="B120" s="62"/>
      <c r="C120" s="62"/>
      <c r="D120" s="62"/>
      <c r="E120" s="62"/>
      <c r="F120" s="62"/>
      <c r="G120" s="62"/>
      <c r="H120" s="36"/>
      <c r="I120" s="88"/>
      <c r="J120" s="88"/>
    </row>
    <row r="122" spans="1:34">
      <c r="B122" s="62"/>
      <c r="C122" s="62"/>
      <c r="D122" s="62"/>
      <c r="E122" s="62"/>
      <c r="F122" s="62"/>
      <c r="G122" s="62"/>
      <c r="H122" s="36"/>
      <c r="I122" s="88"/>
      <c r="J122" s="88"/>
    </row>
    <row r="123" spans="1:34">
      <c r="B123" s="62"/>
      <c r="C123" s="62"/>
      <c r="D123" s="62"/>
      <c r="E123" s="62"/>
      <c r="F123" s="62"/>
      <c r="G123" s="62"/>
      <c r="H123" s="36"/>
      <c r="I123" s="88"/>
      <c r="J123" s="88"/>
    </row>
    <row r="130" spans="2:10">
      <c r="B130" s="62"/>
      <c r="C130" s="62"/>
      <c r="D130" s="62"/>
      <c r="E130" s="62"/>
      <c r="F130" s="62"/>
      <c r="G130" s="62"/>
      <c r="H130" s="36"/>
      <c r="I130" s="88"/>
      <c r="J130" s="88"/>
    </row>
    <row r="131" spans="2:10">
      <c r="B131" s="62"/>
      <c r="C131" s="62"/>
      <c r="D131" s="62"/>
      <c r="E131" s="62"/>
      <c r="F131" s="62"/>
      <c r="G131" s="62"/>
      <c r="H131" s="36"/>
      <c r="I131" s="88"/>
      <c r="J131" s="88"/>
    </row>
    <row r="132" spans="2:10">
      <c r="B132" s="62"/>
      <c r="C132" s="62"/>
      <c r="D132" s="62"/>
      <c r="E132" s="62"/>
      <c r="F132" s="62"/>
      <c r="G132" s="62"/>
      <c r="H132" s="36"/>
      <c r="I132" s="88"/>
      <c r="J132" s="88"/>
    </row>
    <row r="133" spans="2:10">
      <c r="B133" s="62"/>
      <c r="C133" s="62"/>
      <c r="D133" s="62"/>
      <c r="E133" s="62"/>
      <c r="F133" s="62"/>
      <c r="G133" s="62"/>
      <c r="H133" s="36"/>
      <c r="I133" s="88"/>
      <c r="J133" s="88"/>
    </row>
    <row r="134" spans="2:10">
      <c r="B134" s="62"/>
      <c r="C134" s="62"/>
      <c r="D134" s="62"/>
      <c r="E134" s="62"/>
      <c r="F134" s="62"/>
      <c r="G134" s="62"/>
      <c r="H134" s="36"/>
      <c r="I134" s="88"/>
      <c r="J134" s="88"/>
    </row>
    <row r="135" spans="2:10">
      <c r="B135" s="62"/>
      <c r="C135" s="62"/>
      <c r="D135" s="62"/>
      <c r="E135" s="62"/>
      <c r="F135" s="62"/>
      <c r="G135" s="62"/>
      <c r="H135" s="36"/>
      <c r="I135" s="88"/>
      <c r="J135" s="88"/>
    </row>
    <row r="136" spans="2:10">
      <c r="B136" s="62"/>
      <c r="C136" s="62"/>
      <c r="D136" s="62"/>
      <c r="E136" s="62"/>
      <c r="F136" s="62"/>
      <c r="G136" s="62"/>
      <c r="H136" s="36"/>
      <c r="I136" s="88"/>
      <c r="J136" s="88"/>
    </row>
    <row r="137" spans="2:10">
      <c r="B137" s="62"/>
      <c r="C137" s="62"/>
      <c r="D137" s="62"/>
      <c r="E137" s="62"/>
      <c r="F137" s="62"/>
      <c r="G137" s="62"/>
      <c r="H137" s="36"/>
      <c r="I137" s="88"/>
      <c r="J137" s="88"/>
    </row>
    <row r="138" spans="2:10">
      <c r="B138" s="62"/>
      <c r="C138" s="62"/>
      <c r="D138" s="62"/>
      <c r="E138" s="62"/>
      <c r="F138" s="62"/>
      <c r="G138" s="62"/>
      <c r="H138" s="36"/>
      <c r="I138" s="88"/>
      <c r="J138" s="88"/>
    </row>
    <row r="139" spans="2:10">
      <c r="B139" s="62"/>
      <c r="C139" s="62"/>
      <c r="D139" s="62"/>
      <c r="E139" s="62"/>
      <c r="F139" s="62"/>
      <c r="G139" s="62"/>
      <c r="H139" s="36"/>
      <c r="I139" s="88"/>
      <c r="J139" s="88"/>
    </row>
    <row r="140" spans="2:10">
      <c r="B140" s="62"/>
      <c r="C140" s="62"/>
      <c r="D140" s="62"/>
      <c r="E140" s="62"/>
      <c r="F140" s="62"/>
      <c r="G140" s="62"/>
      <c r="H140" s="36"/>
      <c r="I140" s="88"/>
      <c r="J140" s="88"/>
    </row>
  </sheetData>
  <mergeCells count="1">
    <mergeCell ref="AD6:AE6"/>
  </mergeCells>
  <conditionalFormatting sqref="K16:M16 K29:M30 K6:L7 K20:L21 K1:M5 K33:M34 K47:M48 K61:M62 K75:M76 K89:M1048576 K18:M19 K8:M14">
    <cfRule type="containsText" dxfId="1419" priority="646" operator="containsText" text="breach">
      <formula>NOT(ISERROR(SEARCH("breach",K1)))</formula>
    </cfRule>
  </conditionalFormatting>
  <conditionalFormatting sqref="K15:M15">
    <cfRule type="containsText" dxfId="1418" priority="630" operator="containsText" text="breach">
      <formula>NOT(ISERROR(SEARCH("breach",K15)))</formula>
    </cfRule>
  </conditionalFormatting>
  <conditionalFormatting sqref="K17:M17">
    <cfRule type="containsText" dxfId="1417" priority="523" operator="containsText" text="breach">
      <formula>NOT(ISERROR(SEARCH("breach",K17)))</formula>
    </cfRule>
  </conditionalFormatting>
  <conditionalFormatting sqref="K32:M32">
    <cfRule type="containsText" dxfId="1416" priority="522" operator="containsText" text="breach">
      <formula>NOT(ISERROR(SEARCH("breach",K32)))</formula>
    </cfRule>
  </conditionalFormatting>
  <conditionalFormatting sqref="M7">
    <cfRule type="containsText" dxfId="1415" priority="328" operator="containsText" text="breach">
      <formula>NOT(ISERROR(SEARCH("breach",M7)))</formula>
    </cfRule>
  </conditionalFormatting>
  <conditionalFormatting sqref="M21">
    <cfRule type="containsText" dxfId="1414" priority="327" operator="containsText" text="breach">
      <formula>NOT(ISERROR(SEARCH("breach",M21)))</formula>
    </cfRule>
  </conditionalFormatting>
  <conditionalFormatting sqref="K45:M45 K35:L36">
    <cfRule type="containsText" dxfId="1413" priority="300" operator="containsText" text="breach">
      <formula>NOT(ISERROR(SEARCH("breach",K35)))</formula>
    </cfRule>
  </conditionalFormatting>
  <conditionalFormatting sqref="K44:M44">
    <cfRule type="containsText" dxfId="1412" priority="299" operator="containsText" text="breach">
      <formula>NOT(ISERROR(SEARCH("breach",K44)))</formula>
    </cfRule>
  </conditionalFormatting>
  <conditionalFormatting sqref="K46:M46">
    <cfRule type="containsText" dxfId="1411" priority="294" operator="containsText" text="breach">
      <formula>NOT(ISERROR(SEARCH("breach",K46)))</formula>
    </cfRule>
  </conditionalFormatting>
  <conditionalFormatting sqref="M36">
    <cfRule type="containsText" dxfId="1410" priority="283" operator="containsText" text="breach">
      <formula>NOT(ISERROR(SEARCH("breach",M36)))</formula>
    </cfRule>
  </conditionalFormatting>
  <conditionalFormatting sqref="K59:M59 K49:L50">
    <cfRule type="containsText" dxfId="1409" priority="282" operator="containsText" text="breach">
      <formula>NOT(ISERROR(SEARCH("breach",K49)))</formula>
    </cfRule>
  </conditionalFormatting>
  <conditionalFormatting sqref="K58:M58">
    <cfRule type="containsText" dxfId="1408" priority="281" operator="containsText" text="breach">
      <formula>NOT(ISERROR(SEARCH("breach",K58)))</formula>
    </cfRule>
  </conditionalFormatting>
  <conditionalFormatting sqref="K60:M60">
    <cfRule type="containsText" dxfId="1407" priority="276" operator="containsText" text="breach">
      <formula>NOT(ISERROR(SEARCH("breach",K60)))</formula>
    </cfRule>
  </conditionalFormatting>
  <conditionalFormatting sqref="M50">
    <cfRule type="containsText" dxfId="1406" priority="265" operator="containsText" text="breach">
      <formula>NOT(ISERROR(SEARCH("breach",M50)))</formula>
    </cfRule>
  </conditionalFormatting>
  <conditionalFormatting sqref="K73:M73 K63:L64">
    <cfRule type="containsText" dxfId="1405" priority="264" operator="containsText" text="breach">
      <formula>NOT(ISERROR(SEARCH("breach",K63)))</formula>
    </cfRule>
  </conditionalFormatting>
  <conditionalFormatting sqref="K72:M72">
    <cfRule type="containsText" dxfId="1404" priority="263" operator="containsText" text="breach">
      <formula>NOT(ISERROR(SEARCH("breach",K72)))</formula>
    </cfRule>
  </conditionalFormatting>
  <conditionalFormatting sqref="K74:M74">
    <cfRule type="containsText" dxfId="1403" priority="258" operator="containsText" text="breach">
      <formula>NOT(ISERROR(SEARCH("breach",K74)))</formula>
    </cfRule>
  </conditionalFormatting>
  <conditionalFormatting sqref="M64">
    <cfRule type="containsText" dxfId="1402" priority="247" operator="containsText" text="breach">
      <formula>NOT(ISERROR(SEARCH("breach",M64)))</formula>
    </cfRule>
  </conditionalFormatting>
  <conditionalFormatting sqref="K87:M87 K77:L78">
    <cfRule type="containsText" dxfId="1401" priority="246" operator="containsText" text="breach">
      <formula>NOT(ISERROR(SEARCH("breach",K77)))</formula>
    </cfRule>
  </conditionalFormatting>
  <conditionalFormatting sqref="K86:M86">
    <cfRule type="containsText" dxfId="1400" priority="245" operator="containsText" text="breach">
      <formula>NOT(ISERROR(SEARCH("breach",K86)))</formula>
    </cfRule>
  </conditionalFormatting>
  <conditionalFormatting sqref="K88:M88">
    <cfRule type="containsText" dxfId="1399" priority="240" operator="containsText" text="breach">
      <formula>NOT(ISERROR(SEARCH("breach",K88)))</formula>
    </cfRule>
  </conditionalFormatting>
  <conditionalFormatting sqref="M78">
    <cfRule type="containsText" dxfId="1398" priority="229" operator="containsText" text="breach">
      <formula>NOT(ISERROR(SEARCH("breach",M78)))</formula>
    </cfRule>
  </conditionalFormatting>
  <conditionalFormatting sqref="K22:M26 K28:M28">
    <cfRule type="containsText" dxfId="1397" priority="228" operator="containsText" text="breach">
      <formula>NOT(ISERROR(SEARCH("breach",K22)))</formula>
    </cfRule>
  </conditionalFormatting>
  <conditionalFormatting sqref="K37:M41 K43:M43">
    <cfRule type="containsText" dxfId="1396" priority="227" operator="containsText" text="breach">
      <formula>NOT(ISERROR(SEARCH("breach",K37)))</formula>
    </cfRule>
  </conditionalFormatting>
  <conditionalFormatting sqref="K51:M55 K57:M57">
    <cfRule type="containsText" dxfId="1395" priority="226" operator="containsText" text="breach">
      <formula>NOT(ISERROR(SEARCH("breach",K51)))</formula>
    </cfRule>
  </conditionalFormatting>
  <conditionalFormatting sqref="K65:M69 K71:M71">
    <cfRule type="containsText" dxfId="1394" priority="225" operator="containsText" text="breach">
      <formula>NOT(ISERROR(SEARCH("breach",K65)))</formula>
    </cfRule>
  </conditionalFormatting>
  <conditionalFormatting sqref="K79:M83 K85:M85">
    <cfRule type="containsText" dxfId="1393" priority="224" operator="containsText" text="breach">
      <formula>NOT(ISERROR(SEARCH("breach",K79)))</formula>
    </cfRule>
  </conditionalFormatting>
  <conditionalFormatting sqref="E61:F61">
    <cfRule type="cellIs" dxfId="1392" priority="69" stopIfTrue="1" operator="lessThan">
      <formula>0</formula>
    </cfRule>
    <cfRule type="cellIs" dxfId="1391" priority="70" stopIfTrue="1" operator="greaterThan">
      <formula>0</formula>
    </cfRule>
  </conditionalFormatting>
  <conditionalFormatting sqref="G61">
    <cfRule type="cellIs" dxfId="1390" priority="67" stopIfTrue="1" operator="lessThan">
      <formula>0</formula>
    </cfRule>
    <cfRule type="cellIs" dxfId="1389" priority="68" stopIfTrue="1" operator="greaterThan">
      <formula>0</formula>
    </cfRule>
  </conditionalFormatting>
  <conditionalFormatting sqref="C61">
    <cfRule type="cellIs" dxfId="1388" priority="65" stopIfTrue="1" operator="lessThan">
      <formula>0</formula>
    </cfRule>
    <cfRule type="cellIs" dxfId="1387" priority="66" stopIfTrue="1" operator="greaterThan">
      <formula>0</formula>
    </cfRule>
  </conditionalFormatting>
  <conditionalFormatting sqref="E18:F18">
    <cfRule type="cellIs" dxfId="1386" priority="93" stopIfTrue="1" operator="lessThan">
      <formula>0</formula>
    </cfRule>
    <cfRule type="cellIs" dxfId="1385" priority="94" stopIfTrue="1" operator="greaterThan">
      <formula>0</formula>
    </cfRule>
  </conditionalFormatting>
  <conditionalFormatting sqref="G18">
    <cfRule type="cellIs" dxfId="1384" priority="91" stopIfTrue="1" operator="lessThan">
      <formula>0</formula>
    </cfRule>
    <cfRule type="cellIs" dxfId="1383" priority="92" stopIfTrue="1" operator="greaterThan">
      <formula>0</formula>
    </cfRule>
  </conditionalFormatting>
  <conditionalFormatting sqref="C18">
    <cfRule type="cellIs" dxfId="1382" priority="89" stopIfTrue="1" operator="lessThan">
      <formula>0</formula>
    </cfRule>
    <cfRule type="cellIs" dxfId="1381" priority="90" stopIfTrue="1" operator="greaterThan">
      <formula>0</formula>
    </cfRule>
  </conditionalFormatting>
  <conditionalFormatting sqref="D18">
    <cfRule type="cellIs" dxfId="1380" priority="87" stopIfTrue="1" operator="lessThan">
      <formula>0</formula>
    </cfRule>
    <cfRule type="cellIs" dxfId="1379" priority="88" stopIfTrue="1" operator="greaterThan">
      <formula>0</formula>
    </cfRule>
  </conditionalFormatting>
  <conditionalFormatting sqref="E33:F33">
    <cfRule type="cellIs" dxfId="1378" priority="85" stopIfTrue="1" operator="lessThan">
      <formula>0</formula>
    </cfRule>
    <cfRule type="cellIs" dxfId="1377" priority="86" stopIfTrue="1" operator="greaterThan">
      <formula>0</formula>
    </cfRule>
  </conditionalFormatting>
  <conditionalFormatting sqref="G33">
    <cfRule type="cellIs" dxfId="1376" priority="83" stopIfTrue="1" operator="lessThan">
      <formula>0</formula>
    </cfRule>
    <cfRule type="cellIs" dxfId="1375" priority="84" stopIfTrue="1" operator="greaterThan">
      <formula>0</formula>
    </cfRule>
  </conditionalFormatting>
  <conditionalFormatting sqref="C33">
    <cfRule type="cellIs" dxfId="1374" priority="81" stopIfTrue="1" operator="lessThan">
      <formula>0</formula>
    </cfRule>
    <cfRule type="cellIs" dxfId="1373" priority="82" stopIfTrue="1" operator="greaterThan">
      <formula>0</formula>
    </cfRule>
  </conditionalFormatting>
  <conditionalFormatting sqref="E47:F47">
    <cfRule type="cellIs" dxfId="1372" priority="77" stopIfTrue="1" operator="lessThan">
      <formula>0</formula>
    </cfRule>
    <cfRule type="cellIs" dxfId="1371" priority="78" stopIfTrue="1" operator="greaterThan">
      <formula>0</formula>
    </cfRule>
  </conditionalFormatting>
  <conditionalFormatting sqref="G47">
    <cfRule type="cellIs" dxfId="1370" priority="75" stopIfTrue="1" operator="lessThan">
      <formula>0</formula>
    </cfRule>
    <cfRule type="cellIs" dxfId="1369" priority="76" stopIfTrue="1" operator="greaterThan">
      <formula>0</formula>
    </cfRule>
  </conditionalFormatting>
  <conditionalFormatting sqref="C47">
    <cfRule type="cellIs" dxfId="1368" priority="73" stopIfTrue="1" operator="lessThan">
      <formula>0</formula>
    </cfRule>
    <cfRule type="cellIs" dxfId="1367" priority="74" stopIfTrue="1" operator="greaterThan">
      <formula>0</formula>
    </cfRule>
  </conditionalFormatting>
  <conditionalFormatting sqref="E75:F75">
    <cfRule type="cellIs" dxfId="1366" priority="61" stopIfTrue="1" operator="lessThan">
      <formula>0</formula>
    </cfRule>
    <cfRule type="cellIs" dxfId="1365" priority="62" stopIfTrue="1" operator="greaterThan">
      <formula>0</formula>
    </cfRule>
  </conditionalFormatting>
  <conditionalFormatting sqref="G75">
    <cfRule type="cellIs" dxfId="1364" priority="59" stopIfTrue="1" operator="lessThan">
      <formula>0</formula>
    </cfRule>
    <cfRule type="cellIs" dxfId="1363" priority="60" stopIfTrue="1" operator="greaterThan">
      <formula>0</formula>
    </cfRule>
  </conditionalFormatting>
  <conditionalFormatting sqref="C75">
    <cfRule type="cellIs" dxfId="1362" priority="57" stopIfTrue="1" operator="lessThan">
      <formula>0</formula>
    </cfRule>
    <cfRule type="cellIs" dxfId="1361" priority="58" stopIfTrue="1" operator="greaterThan">
      <formula>0</formula>
    </cfRule>
  </conditionalFormatting>
  <conditionalFormatting sqref="E89:F89">
    <cfRule type="cellIs" dxfId="1360" priority="53" stopIfTrue="1" operator="lessThan">
      <formula>0</formula>
    </cfRule>
    <cfRule type="cellIs" dxfId="1359" priority="54" stopIfTrue="1" operator="greaterThan">
      <formula>0</formula>
    </cfRule>
  </conditionalFormatting>
  <conditionalFormatting sqref="G89">
    <cfRule type="cellIs" dxfId="1358" priority="51" stopIfTrue="1" operator="lessThan">
      <formula>0</formula>
    </cfRule>
    <cfRule type="cellIs" dxfId="1357" priority="52" stopIfTrue="1" operator="greaterThan">
      <formula>0</formula>
    </cfRule>
  </conditionalFormatting>
  <conditionalFormatting sqref="C89">
    <cfRule type="cellIs" dxfId="1356" priority="49" stopIfTrue="1" operator="lessThan">
      <formula>0</formula>
    </cfRule>
    <cfRule type="cellIs" dxfId="1355" priority="50" stopIfTrue="1" operator="greaterThan">
      <formula>0</formula>
    </cfRule>
  </conditionalFormatting>
  <conditionalFormatting sqref="K27:M27">
    <cfRule type="containsText" dxfId="1354" priority="46" operator="containsText" text="breach">
      <formula>NOT(ISERROR(SEARCH("breach",K27)))</formula>
    </cfRule>
  </conditionalFormatting>
  <conditionalFormatting sqref="K42:M42">
    <cfRule type="containsText" dxfId="1353" priority="43" operator="containsText" text="breach">
      <formula>NOT(ISERROR(SEARCH("breach",K42)))</formula>
    </cfRule>
  </conditionalFormatting>
  <conditionalFormatting sqref="K56:M56">
    <cfRule type="containsText" dxfId="1352" priority="40" operator="containsText" text="breach">
      <formula>NOT(ISERROR(SEARCH("breach",K56)))</formula>
    </cfRule>
  </conditionalFormatting>
  <conditionalFormatting sqref="K70:M70">
    <cfRule type="containsText" dxfId="1351" priority="37" operator="containsText" text="breach">
      <formula>NOT(ISERROR(SEARCH("breach",K70)))</formula>
    </cfRule>
  </conditionalFormatting>
  <conditionalFormatting sqref="K84:M84">
    <cfRule type="containsText" dxfId="1350" priority="34" operator="containsText" text="breach">
      <formula>NOT(ISERROR(SEARCH("breach",K84)))</formula>
    </cfRule>
  </conditionalFormatting>
  <conditionalFormatting sqref="D33">
    <cfRule type="cellIs" dxfId="1349" priority="11" stopIfTrue="1" operator="lessThan">
      <formula>0</formula>
    </cfRule>
    <cfRule type="cellIs" dxfId="1348" priority="12" stopIfTrue="1" operator="greaterThan">
      <formula>0</formula>
    </cfRule>
  </conditionalFormatting>
  <conditionalFormatting sqref="D47">
    <cfRule type="cellIs" dxfId="1347" priority="9" stopIfTrue="1" operator="lessThan">
      <formula>0</formula>
    </cfRule>
    <cfRule type="cellIs" dxfId="1346" priority="10" stopIfTrue="1" operator="greaterThan">
      <formula>0</formula>
    </cfRule>
  </conditionalFormatting>
  <conditionalFormatting sqref="D61">
    <cfRule type="cellIs" dxfId="1345" priority="7" stopIfTrue="1" operator="lessThan">
      <formula>0</formula>
    </cfRule>
    <cfRule type="cellIs" dxfId="1344" priority="8" stopIfTrue="1" operator="greaterThan">
      <formula>0</formula>
    </cfRule>
  </conditionalFormatting>
  <conditionalFormatting sqref="D75">
    <cfRule type="cellIs" dxfId="1343" priority="5" stopIfTrue="1" operator="lessThan">
      <formula>0</formula>
    </cfRule>
    <cfRule type="cellIs" dxfId="1342" priority="6" stopIfTrue="1" operator="greaterThan">
      <formula>0</formula>
    </cfRule>
  </conditionalFormatting>
  <conditionalFormatting sqref="D89">
    <cfRule type="cellIs" dxfId="1341" priority="3" stopIfTrue="1" operator="lessThan">
      <formula>0</formula>
    </cfRule>
    <cfRule type="cellIs" dxfId="1340" priority="4" stopIfTrue="1" operator="greaterThan">
      <formula>0</formula>
    </cfRule>
  </conditionalFormatting>
  <pageMargins left="0.7" right="0.7" top="0.75" bottom="0.75" header="0.3" footer="0.3"/>
  <pageSetup paperSize="9" scale="3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02" r:id="rId4" name="Button 10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rgb="FF00B050"/>
  </sheetPr>
  <dimension ref="B1:K140"/>
  <sheetViews>
    <sheetView zoomScale="85" zoomScaleNormal="85" workbookViewId="0">
      <selection activeCell="B1" sqref="B1:H1048576"/>
    </sheetView>
  </sheetViews>
  <sheetFormatPr defaultRowHeight="12.75"/>
  <cols>
    <col min="1" max="1" width="9.140625" style="296"/>
    <col min="2" max="2" width="41.7109375" style="307" customWidth="1"/>
    <col min="3" max="3" width="21.140625" style="307" customWidth="1"/>
    <col min="4" max="4" width="23.7109375" style="307" customWidth="1"/>
    <col min="5" max="5" width="24.42578125" style="307" customWidth="1"/>
    <col min="6" max="7" width="21.42578125" style="307" bestFit="1" customWidth="1"/>
    <col min="8" max="8" width="10" style="298" customWidth="1"/>
    <col min="9" max="10" width="9.140625" style="296"/>
    <col min="11" max="11" width="9.140625" style="296" collapsed="1"/>
    <col min="12" max="16384" width="9.140625" style="296"/>
  </cols>
  <sheetData>
    <row r="1" spans="2:8">
      <c r="B1" s="49"/>
      <c r="E1" s="30"/>
      <c r="F1" s="196"/>
      <c r="G1" s="50"/>
    </row>
    <row r="2" spans="2:8" ht="13.5" thickBot="1">
      <c r="B2" s="54">
        <v>45949</v>
      </c>
      <c r="C2" s="53" t="s">
        <v>302</v>
      </c>
      <c r="D2" s="433">
        <v>218226033864.61908</v>
      </c>
      <c r="E2" s="300"/>
      <c r="F2" s="308"/>
      <c r="G2" s="465"/>
      <c r="H2" s="72"/>
    </row>
    <row r="3" spans="2:8">
      <c r="B3" s="31"/>
      <c r="C3" s="300"/>
      <c r="D3" s="163">
        <v>72469900.708831787</v>
      </c>
      <c r="G3" s="55"/>
      <c r="H3" s="55"/>
    </row>
    <row r="4" spans="2:8">
      <c r="B4" s="31"/>
      <c r="C4" s="302"/>
      <c r="D4" s="302"/>
      <c r="E4" s="33"/>
      <c r="F4" s="301"/>
      <c r="G4" s="301"/>
      <c r="H4" s="303"/>
    </row>
    <row r="5" spans="2:8">
      <c r="B5" s="31"/>
      <c r="C5" s="302"/>
      <c r="D5" s="302"/>
      <c r="E5" s="33"/>
      <c r="F5" s="301"/>
      <c r="G5" s="301"/>
      <c r="H5" s="303"/>
    </row>
    <row r="6" spans="2:8">
      <c r="B6" s="38" t="s">
        <v>759</v>
      </c>
      <c r="C6" s="39"/>
      <c r="D6" s="39"/>
      <c r="E6" s="39"/>
      <c r="F6" s="39"/>
      <c r="G6" s="39"/>
      <c r="H6" s="46"/>
    </row>
    <row r="7" spans="2:8">
      <c r="B7" s="40" t="s">
        <v>275</v>
      </c>
      <c r="C7" s="40" t="s">
        <v>268</v>
      </c>
      <c r="D7" s="40" t="s">
        <v>322</v>
      </c>
      <c r="E7" s="40" t="s">
        <v>301</v>
      </c>
      <c r="F7" s="257" t="s">
        <v>280</v>
      </c>
      <c r="G7" s="257" t="s">
        <v>303</v>
      </c>
      <c r="H7" s="75" t="s">
        <v>308</v>
      </c>
    </row>
    <row r="8" spans="2:8">
      <c r="B8" s="59" t="s">
        <v>277</v>
      </c>
      <c r="C8" s="437">
        <v>877463.43</v>
      </c>
      <c r="D8" s="116">
        <v>0</v>
      </c>
      <c r="E8" s="438">
        <v>877463.43</v>
      </c>
      <c r="F8" s="260">
        <v>1.6116556379994078E-5</v>
      </c>
      <c r="G8" s="261">
        <v>0</v>
      </c>
      <c r="H8" s="262">
        <v>0</v>
      </c>
    </row>
    <row r="9" spans="2:8">
      <c r="B9" s="66" t="s">
        <v>276</v>
      </c>
      <c r="C9" s="437">
        <v>40481681250.000008</v>
      </c>
      <c r="D9" s="116">
        <v>12766111.111099243</v>
      </c>
      <c r="E9" s="120">
        <v>40494447361.111107</v>
      </c>
      <c r="F9" s="260">
        <v>0.74377007822656438</v>
      </c>
      <c r="G9" s="261">
        <v>0.16932892835989952</v>
      </c>
      <c r="H9" s="262">
        <v>2.6179840113839474</v>
      </c>
    </row>
    <row r="10" spans="2:8">
      <c r="B10" s="187" t="s">
        <v>455</v>
      </c>
      <c r="C10" s="437">
        <v>12014536382.339048</v>
      </c>
      <c r="D10" s="116">
        <v>5586454.3147602081</v>
      </c>
      <c r="E10" s="120">
        <v>12020122836.653809</v>
      </c>
      <c r="F10" s="260">
        <v>0.22077613809088936</v>
      </c>
      <c r="G10" s="261">
        <v>0.1704580085163426</v>
      </c>
      <c r="H10" s="262">
        <v>4.2908359783348348E-3</v>
      </c>
    </row>
    <row r="11" spans="2:8">
      <c r="B11" s="59" t="s">
        <v>353</v>
      </c>
      <c r="C11" s="437">
        <v>1928603884.4891193</v>
      </c>
      <c r="D11" s="116">
        <v>794444.44444441795</v>
      </c>
      <c r="E11" s="120">
        <v>1929398328.9335637</v>
      </c>
      <c r="F11" s="260">
        <v>3.5437667126166313E-2</v>
      </c>
      <c r="G11" s="261">
        <v>0.17825103356509611</v>
      </c>
      <c r="H11" s="262">
        <v>1.4799478589164512</v>
      </c>
    </row>
    <row r="12" spans="2:8">
      <c r="B12" s="66" t="s">
        <v>354</v>
      </c>
      <c r="C12" s="437">
        <v>0</v>
      </c>
      <c r="D12" s="116">
        <v>0</v>
      </c>
      <c r="E12" s="120">
        <v>0</v>
      </c>
      <c r="F12" s="260">
        <v>0</v>
      </c>
      <c r="G12" s="261">
        <v>0</v>
      </c>
      <c r="H12" s="262">
        <v>0</v>
      </c>
    </row>
    <row r="13" spans="2:8">
      <c r="B13" s="427" t="s">
        <v>893</v>
      </c>
      <c r="C13" s="437">
        <v>0</v>
      </c>
      <c r="D13" s="429"/>
      <c r="E13" s="428">
        <v>0</v>
      </c>
      <c r="F13" s="260">
        <v>0</v>
      </c>
      <c r="G13" s="261">
        <v>0</v>
      </c>
      <c r="H13" s="262">
        <v>0</v>
      </c>
    </row>
    <row r="14" spans="2:8">
      <c r="B14" s="41" t="s">
        <v>279</v>
      </c>
      <c r="C14" s="119">
        <v>54425698980.258179</v>
      </c>
      <c r="D14" s="119">
        <v>19147009.870300293</v>
      </c>
      <c r="E14" s="119">
        <v>54444845990.128479</v>
      </c>
      <c r="F14" s="78">
        <v>1</v>
      </c>
      <c r="G14" s="78">
        <v>0.16989165191153979</v>
      </c>
      <c r="H14" s="293">
        <v>2.0005713867277755</v>
      </c>
    </row>
    <row r="15" spans="2:8">
      <c r="B15" s="60"/>
      <c r="C15" s="117"/>
      <c r="D15" s="117"/>
      <c r="E15" s="117">
        <v>54444845990.128479</v>
      </c>
      <c r="F15" s="36"/>
      <c r="G15" s="36"/>
      <c r="H15" s="36"/>
    </row>
    <row r="16" spans="2:8" ht="13.5" thickBot="1">
      <c r="B16" s="399">
        <v>0.24948831734670318</v>
      </c>
      <c r="C16" s="299"/>
      <c r="D16" s="299"/>
      <c r="E16" s="304">
        <v>0</v>
      </c>
      <c r="F16" s="299"/>
      <c r="G16" s="306"/>
      <c r="H16" s="91"/>
    </row>
    <row r="17" spans="2:8">
      <c r="B17" s="416" t="s">
        <v>759</v>
      </c>
      <c r="C17" s="401" t="s">
        <v>308</v>
      </c>
      <c r="D17" s="404" t="s">
        <v>772</v>
      </c>
      <c r="E17" s="405">
        <v>-0.2</v>
      </c>
      <c r="F17" s="405" t="s">
        <v>773</v>
      </c>
      <c r="G17" s="406" t="s">
        <v>774</v>
      </c>
      <c r="H17" s="303"/>
    </row>
    <row r="18" spans="2:8" ht="13.5" thickBot="1">
      <c r="B18" s="417"/>
      <c r="C18" s="407">
        <v>2.0005713867277754E-2</v>
      </c>
      <c r="D18" s="402">
        <v>2.1299999999999999E-2</v>
      </c>
      <c r="E18" s="402">
        <v>1.704E-2</v>
      </c>
      <c r="F18" s="402">
        <v>3.1949999999999999E-2</v>
      </c>
      <c r="G18" s="403" t="s">
        <v>787</v>
      </c>
      <c r="H18" s="91"/>
    </row>
    <row r="19" spans="2:8">
      <c r="B19" s="299"/>
      <c r="C19" s="299"/>
      <c r="D19" s="299"/>
      <c r="E19" s="304"/>
      <c r="F19" s="299"/>
      <c r="G19" s="299"/>
      <c r="H19" s="304"/>
    </row>
    <row r="20" spans="2:8">
      <c r="B20" s="38" t="s">
        <v>762</v>
      </c>
      <c r="C20" s="39"/>
      <c r="D20" s="39"/>
      <c r="E20" s="39"/>
      <c r="F20" s="39"/>
      <c r="G20" s="39"/>
      <c r="H20" s="46"/>
    </row>
    <row r="21" spans="2:8">
      <c r="B21" s="40" t="s">
        <v>275</v>
      </c>
      <c r="C21" s="40" t="s">
        <v>268</v>
      </c>
      <c r="D21" s="40" t="s">
        <v>322</v>
      </c>
      <c r="E21" s="40" t="s">
        <v>301</v>
      </c>
      <c r="F21" s="257" t="s">
        <v>280</v>
      </c>
      <c r="G21" s="257" t="s">
        <v>303</v>
      </c>
      <c r="H21" s="75" t="s">
        <v>308</v>
      </c>
    </row>
    <row r="22" spans="2:8">
      <c r="B22" s="59" t="s">
        <v>277</v>
      </c>
      <c r="C22" s="437">
        <v>5401813.5599999996</v>
      </c>
      <c r="D22" s="116">
        <v>0</v>
      </c>
      <c r="E22" s="438">
        <v>5401813.5599999996</v>
      </c>
      <c r="F22" s="260">
        <v>1.02400978875308E-4</v>
      </c>
      <c r="G22" s="261">
        <v>0</v>
      </c>
      <c r="H22" s="262">
        <v>0</v>
      </c>
    </row>
    <row r="23" spans="2:8">
      <c r="B23" s="66" t="s">
        <v>276</v>
      </c>
      <c r="C23" s="437">
        <v>42854397293.611115</v>
      </c>
      <c r="D23" s="116">
        <v>12620597.222206116</v>
      </c>
      <c r="E23" s="120">
        <v>42867017890.833321</v>
      </c>
      <c r="F23" s="260">
        <v>0.81262052914811689</v>
      </c>
      <c r="G23" s="261">
        <v>0.16929104775518475</v>
      </c>
      <c r="H23" s="262">
        <v>2.3620191654325069</v>
      </c>
    </row>
    <row r="24" spans="2:8">
      <c r="B24" s="187" t="s">
        <v>455</v>
      </c>
      <c r="C24" s="437">
        <v>4151325590.3399997</v>
      </c>
      <c r="D24" s="116">
        <v>1932594.0000004768</v>
      </c>
      <c r="E24" s="120">
        <v>4153258184.3400002</v>
      </c>
      <c r="F24" s="260">
        <v>7.873239216317944E-2</v>
      </c>
      <c r="G24" s="261">
        <v>0.17046575357502733</v>
      </c>
      <c r="H24" s="262">
        <v>2.3407143857299777E-3</v>
      </c>
    </row>
    <row r="25" spans="2:8">
      <c r="B25" s="59" t="s">
        <v>788</v>
      </c>
      <c r="C25" s="437">
        <v>2892905826.7336793</v>
      </c>
      <c r="D25" s="116">
        <v>1191666.6666665077</v>
      </c>
      <c r="E25" s="120">
        <v>2894097493.4003458</v>
      </c>
      <c r="F25" s="260">
        <v>5.4862762846774493E-2</v>
      </c>
      <c r="G25" s="261">
        <v>0.17825103356509611</v>
      </c>
      <c r="H25" s="262">
        <v>1.4799478589164512</v>
      </c>
    </row>
    <row r="26" spans="2:8">
      <c r="B26" s="66" t="s">
        <v>354</v>
      </c>
      <c r="C26" s="437">
        <v>2830607075.5667081</v>
      </c>
      <c r="D26" s="116">
        <v>1198819.4444446564</v>
      </c>
      <c r="E26" s="120">
        <v>2831805895.0111527</v>
      </c>
      <c r="F26" s="260">
        <v>5.3681914863053834E-2</v>
      </c>
      <c r="G26" s="261">
        <v>0</v>
      </c>
      <c r="H26" s="262">
        <v>0</v>
      </c>
    </row>
    <row r="27" spans="2:8">
      <c r="B27" s="427" t="s">
        <v>893</v>
      </c>
      <c r="C27" s="437">
        <v>0</v>
      </c>
      <c r="D27" s="429"/>
      <c r="E27" s="428">
        <v>0</v>
      </c>
      <c r="F27" s="260">
        <v>0</v>
      </c>
      <c r="G27" s="261">
        <v>0</v>
      </c>
      <c r="H27" s="262">
        <v>0</v>
      </c>
    </row>
    <row r="28" spans="2:8">
      <c r="B28" s="41" t="s">
        <v>279</v>
      </c>
      <c r="C28" s="119">
        <v>52734637599.811501</v>
      </c>
      <c r="D28" s="119">
        <v>16943677.333320618</v>
      </c>
      <c r="E28" s="119">
        <v>52751581277.144821</v>
      </c>
      <c r="F28" s="78">
        <v>0.99999999999999989</v>
      </c>
      <c r="G28" s="78">
        <v>0.16076990154939264</v>
      </c>
      <c r="H28" s="293">
        <v>2.0008035825240413</v>
      </c>
    </row>
    <row r="29" spans="2:8">
      <c r="B29" s="60"/>
      <c r="C29" s="117"/>
      <c r="D29" s="117"/>
      <c r="E29" s="117">
        <v>52751581277.144821</v>
      </c>
      <c r="F29" s="36"/>
      <c r="G29" s="36"/>
      <c r="H29" s="36"/>
    </row>
    <row r="30" spans="2:8">
      <c r="B30" s="60"/>
      <c r="C30" s="47"/>
      <c r="D30" s="47"/>
      <c r="E30" s="304">
        <v>0</v>
      </c>
      <c r="F30" s="299"/>
      <c r="G30" s="36"/>
      <c r="H30" s="36"/>
    </row>
    <row r="31" spans="2:8" ht="13.5" thickBot="1">
      <c r="B31" s="398">
        <v>0.24172909319275046</v>
      </c>
      <c r="C31" s="308"/>
      <c r="H31" s="84"/>
    </row>
    <row r="32" spans="2:8">
      <c r="B32" s="416" t="s">
        <v>762</v>
      </c>
      <c r="C32" s="401" t="s">
        <v>308</v>
      </c>
      <c r="D32" s="404" t="s">
        <v>772</v>
      </c>
      <c r="E32" s="405">
        <v>-0.2</v>
      </c>
      <c r="F32" s="405" t="s">
        <v>773</v>
      </c>
      <c r="G32" s="406" t="s">
        <v>774</v>
      </c>
      <c r="H32" s="84"/>
    </row>
    <row r="33" spans="2:8" ht="13.5" thickBot="1">
      <c r="B33" s="417"/>
      <c r="C33" s="407">
        <v>2.0008035825240418E-2</v>
      </c>
      <c r="D33" s="402">
        <v>2.1299999999999999E-2</v>
      </c>
      <c r="E33" s="402">
        <v>1.704E-2</v>
      </c>
      <c r="F33" s="402">
        <v>3.1949999999999999E-2</v>
      </c>
      <c r="G33" s="403" t="s">
        <v>787</v>
      </c>
      <c r="H33" s="84"/>
    </row>
    <row r="34" spans="2:8">
      <c r="B34" s="62"/>
      <c r="C34" s="62"/>
      <c r="D34" s="62"/>
      <c r="E34" s="118"/>
      <c r="F34" s="309"/>
      <c r="G34" s="309"/>
      <c r="H34" s="309"/>
    </row>
    <row r="35" spans="2:8">
      <c r="B35" s="38" t="s">
        <v>760</v>
      </c>
      <c r="C35" s="39"/>
      <c r="D35" s="39"/>
      <c r="E35" s="39"/>
      <c r="F35" s="39"/>
      <c r="G35" s="39"/>
      <c r="H35" s="46"/>
    </row>
    <row r="36" spans="2:8">
      <c r="B36" s="40" t="s">
        <v>275</v>
      </c>
      <c r="C36" s="40" t="s">
        <v>268</v>
      </c>
      <c r="D36" s="40" t="s">
        <v>322</v>
      </c>
      <c r="E36" s="40" t="s">
        <v>301</v>
      </c>
      <c r="F36" s="257" t="s">
        <v>280</v>
      </c>
      <c r="G36" s="257" t="s">
        <v>303</v>
      </c>
      <c r="H36" s="75" t="s">
        <v>308</v>
      </c>
    </row>
    <row r="37" spans="2:8">
      <c r="B37" s="59" t="s">
        <v>277</v>
      </c>
      <c r="C37" s="437">
        <v>3420624.84</v>
      </c>
      <c r="D37" s="116">
        <v>0</v>
      </c>
      <c r="E37" s="438">
        <v>3420624.84</v>
      </c>
      <c r="F37" s="260">
        <v>1.0471346036490891E-4</v>
      </c>
      <c r="G37" s="261">
        <v>0</v>
      </c>
      <c r="H37" s="262">
        <v>2.7322404371584699E-3</v>
      </c>
    </row>
    <row r="38" spans="2:8">
      <c r="B38" s="66" t="s">
        <v>276</v>
      </c>
      <c r="C38" s="437">
        <v>26167576280.691715</v>
      </c>
      <c r="D38" s="116">
        <v>8185414.3311157227</v>
      </c>
      <c r="E38" s="120">
        <v>26175761695.022831</v>
      </c>
      <c r="F38" s="260">
        <v>0.80130230966020644</v>
      </c>
      <c r="G38" s="261">
        <v>0.16913291507005596</v>
      </c>
      <c r="H38" s="262">
        <v>2.6557698138715722</v>
      </c>
    </row>
    <row r="39" spans="2:8">
      <c r="B39" s="187" t="s">
        <v>455</v>
      </c>
      <c r="C39" s="437">
        <v>3253630926.9066668</v>
      </c>
      <c r="D39" s="116">
        <v>1519128.3666667938</v>
      </c>
      <c r="E39" s="120">
        <v>3255150055.2733335</v>
      </c>
      <c r="F39" s="260">
        <v>9.964788371667653E-2</v>
      </c>
      <c r="G39" s="261">
        <v>0.17096613420534845</v>
      </c>
      <c r="H39" s="262">
        <v>2.339714144898503E-3</v>
      </c>
    </row>
    <row r="40" spans="2:8">
      <c r="B40" s="59" t="s">
        <v>788</v>
      </c>
      <c r="C40" s="437">
        <v>2025034078.7135754</v>
      </c>
      <c r="D40" s="116">
        <v>834166.66666674614</v>
      </c>
      <c r="E40" s="120">
        <v>2025868245.3802421</v>
      </c>
      <c r="F40" s="260">
        <v>6.2016644367568687E-2</v>
      </c>
      <c r="G40" s="261">
        <v>0.17825103356509611</v>
      </c>
      <c r="H40" s="262">
        <v>1.4799478589164512</v>
      </c>
    </row>
    <row r="41" spans="2:8">
      <c r="B41" s="66" t="s">
        <v>354</v>
      </c>
      <c r="C41" s="437">
        <v>1205880703.3033619</v>
      </c>
      <c r="D41" s="116">
        <v>443381.59722232819</v>
      </c>
      <c r="E41" s="120">
        <v>1206324084.9005842</v>
      </c>
      <c r="F41" s="260">
        <v>3.692844879518338E-2</v>
      </c>
      <c r="G41" s="261">
        <v>0</v>
      </c>
      <c r="H41" s="262">
        <v>0</v>
      </c>
    </row>
    <row r="42" spans="2:8">
      <c r="B42" s="427" t="s">
        <v>893</v>
      </c>
      <c r="C42" s="437">
        <v>0</v>
      </c>
      <c r="D42" s="429"/>
      <c r="E42" s="461">
        <v>0</v>
      </c>
      <c r="F42" s="260">
        <v>0</v>
      </c>
      <c r="G42" s="261">
        <v>0</v>
      </c>
      <c r="H42" s="262">
        <v>0</v>
      </c>
    </row>
    <row r="43" spans="2:8">
      <c r="B43" s="41" t="s">
        <v>279</v>
      </c>
      <c r="C43" s="119">
        <v>32655542614.455315</v>
      </c>
      <c r="D43" s="119">
        <v>10982090.961677551</v>
      </c>
      <c r="E43" s="119">
        <v>32666524705.416992</v>
      </c>
      <c r="F43" s="78">
        <v>1</v>
      </c>
      <c r="G43" s="78">
        <v>0.1698580451189029</v>
      </c>
      <c r="H43" s="293">
        <v>2.2200893194955058</v>
      </c>
    </row>
    <row r="44" spans="2:8">
      <c r="B44" s="60"/>
      <c r="C44" s="117"/>
      <c r="D44" s="117"/>
      <c r="E44" s="117">
        <v>32666524705.416992</v>
      </c>
      <c r="F44" s="36"/>
      <c r="G44" s="36"/>
      <c r="H44" s="36"/>
    </row>
    <row r="45" spans="2:8" ht="13.5" thickBot="1">
      <c r="B45" s="398">
        <v>0.14969123585723199</v>
      </c>
      <c r="C45" s="299"/>
      <c r="D45" s="299"/>
      <c r="E45" s="304">
        <v>0</v>
      </c>
      <c r="F45" s="299"/>
      <c r="G45" s="306"/>
      <c r="H45" s="304"/>
    </row>
    <row r="46" spans="2:8">
      <c r="B46" s="416" t="s">
        <v>760</v>
      </c>
      <c r="C46" s="401" t="s">
        <v>308</v>
      </c>
      <c r="D46" s="404" t="s">
        <v>772</v>
      </c>
      <c r="E46" s="405">
        <v>-0.2</v>
      </c>
      <c r="F46" s="405" t="s">
        <v>773</v>
      </c>
      <c r="G46" s="406" t="s">
        <v>774</v>
      </c>
      <c r="H46" s="414"/>
    </row>
    <row r="47" spans="2:8" ht="13.5" thickBot="1">
      <c r="B47" s="417"/>
      <c r="C47" s="407">
        <v>2.2200893194955055E-2</v>
      </c>
      <c r="D47" s="402">
        <v>2.1299999999999999E-2</v>
      </c>
      <c r="E47" s="402">
        <v>1.704E-2</v>
      </c>
      <c r="F47" s="402">
        <v>3.1949999999999999E-2</v>
      </c>
      <c r="G47" s="403" t="s">
        <v>787</v>
      </c>
      <c r="H47" s="89"/>
    </row>
    <row r="48" spans="2:8">
      <c r="B48" s="62"/>
      <c r="C48" s="62"/>
      <c r="D48" s="62"/>
      <c r="E48" s="118"/>
      <c r="F48" s="309"/>
      <c r="G48" s="309"/>
      <c r="H48" s="309"/>
    </row>
    <row r="49" spans="2:8">
      <c r="B49" s="38" t="s">
        <v>761</v>
      </c>
      <c r="C49" s="39"/>
      <c r="D49" s="39"/>
      <c r="E49" s="39"/>
      <c r="F49" s="39"/>
      <c r="G49" s="39"/>
      <c r="H49" s="46"/>
    </row>
    <row r="50" spans="2:8">
      <c r="B50" s="40" t="s">
        <v>275</v>
      </c>
      <c r="C50" s="40" t="s">
        <v>268</v>
      </c>
      <c r="D50" s="40" t="s">
        <v>322</v>
      </c>
      <c r="E50" s="40" t="s">
        <v>301</v>
      </c>
      <c r="F50" s="257" t="s">
        <v>280</v>
      </c>
      <c r="G50" s="257" t="s">
        <v>303</v>
      </c>
      <c r="H50" s="75" t="s">
        <v>308</v>
      </c>
    </row>
    <row r="51" spans="2:8">
      <c r="B51" s="59" t="s">
        <v>277</v>
      </c>
      <c r="C51" s="437">
        <v>316202.84000000003</v>
      </c>
      <c r="D51" s="116">
        <v>0</v>
      </c>
      <c r="E51" s="438">
        <v>316202.84000000003</v>
      </c>
      <c r="F51" s="260">
        <v>1.1288098105246814E-5</v>
      </c>
      <c r="G51" s="261">
        <v>0</v>
      </c>
      <c r="H51" s="262">
        <v>2.7322404371584699E-3</v>
      </c>
    </row>
    <row r="52" spans="2:8">
      <c r="B52" s="66" t="s">
        <v>276</v>
      </c>
      <c r="C52" s="437">
        <v>23367183262.605995</v>
      </c>
      <c r="D52" s="116">
        <v>-19117638.437778473</v>
      </c>
      <c r="E52" s="120">
        <v>23348065624.168217</v>
      </c>
      <c r="F52" s="260">
        <v>0.83350059516654407</v>
      </c>
      <c r="G52" s="261">
        <v>0.17038598508253688</v>
      </c>
      <c r="H52" s="262">
        <v>3.1382939205981497</v>
      </c>
    </row>
    <row r="53" spans="2:8">
      <c r="B53" s="187" t="s">
        <v>455</v>
      </c>
      <c r="C53" s="437">
        <v>1430781957.894762</v>
      </c>
      <c r="D53" s="116">
        <v>667961.1476187706</v>
      </c>
      <c r="E53" s="120">
        <v>1431449919.0423808</v>
      </c>
      <c r="F53" s="260">
        <v>5.1101208069155871E-2</v>
      </c>
      <c r="G53" s="261">
        <v>0.17095483042229501</v>
      </c>
      <c r="H53" s="262">
        <v>2.3397367415340089E-3</v>
      </c>
    </row>
    <row r="54" spans="2:8">
      <c r="B54" s="59" t="s">
        <v>788</v>
      </c>
      <c r="C54" s="437">
        <v>1639313301.8157516</v>
      </c>
      <c r="D54" s="116">
        <v>675277.77777767181</v>
      </c>
      <c r="E54" s="120">
        <v>1639988579.5935292</v>
      </c>
      <c r="F54" s="260">
        <v>5.8545811852721279E-2</v>
      </c>
      <c r="G54" s="261">
        <v>0.17825103356509611</v>
      </c>
      <c r="H54" s="262">
        <v>1.4799478589164512</v>
      </c>
    </row>
    <row r="55" spans="2:8">
      <c r="B55" s="66" t="s">
        <v>354</v>
      </c>
      <c r="C55" s="437">
        <v>1548331644.7738075</v>
      </c>
      <c r="D55" s="116">
        <v>704361.11111116409</v>
      </c>
      <c r="E55" s="120">
        <v>1549036005.8849187</v>
      </c>
      <c r="F55" s="260">
        <v>5.5298903713162859E-2</v>
      </c>
      <c r="G55" s="261">
        <v>0.18157582107684464</v>
      </c>
      <c r="H55" s="262">
        <v>0.95285751866585766</v>
      </c>
    </row>
    <row r="56" spans="2:8">
      <c r="B56" s="427" t="s">
        <v>893</v>
      </c>
      <c r="C56" s="437">
        <v>16700000</v>
      </c>
      <c r="D56" s="429"/>
      <c r="E56" s="428">
        <v>43200000</v>
      </c>
      <c r="F56" s="260">
        <v>1.5421931003107446E-3</v>
      </c>
      <c r="G56" s="261">
        <v>0</v>
      </c>
      <c r="H56" s="262">
        <v>0</v>
      </c>
    </row>
    <row r="57" spans="2:8">
      <c r="B57" s="41" t="s">
        <v>279</v>
      </c>
      <c r="C57" s="119">
        <v>28002626369.930317</v>
      </c>
      <c r="D57" s="119">
        <v>9429961.5987281799</v>
      </c>
      <c r="E57" s="119">
        <v>28012056331.529045</v>
      </c>
      <c r="F57" s="78">
        <v>1</v>
      </c>
      <c r="G57" s="432">
        <v>0.17078754549454084</v>
      </c>
      <c r="H57" s="293">
        <v>2.7552261699189855</v>
      </c>
    </row>
    <row r="58" spans="2:8">
      <c r="B58" s="60"/>
      <c r="C58" s="117"/>
      <c r="D58" s="117"/>
      <c r="E58" s="117">
        <v>28012056331.529045</v>
      </c>
      <c r="F58" s="36"/>
      <c r="G58" s="36"/>
      <c r="H58" s="36"/>
    </row>
    <row r="59" spans="2:8" ht="13.5" thickBot="1">
      <c r="B59" s="398">
        <v>0.12836257817390792</v>
      </c>
      <c r="C59" s="299"/>
      <c r="D59" s="299"/>
      <c r="E59" s="304">
        <v>0</v>
      </c>
      <c r="F59" s="299"/>
      <c r="G59" s="306"/>
      <c r="H59" s="304"/>
    </row>
    <row r="60" spans="2:8">
      <c r="B60" s="416" t="s">
        <v>761</v>
      </c>
      <c r="C60" s="401" t="s">
        <v>308</v>
      </c>
      <c r="D60" s="404" t="s">
        <v>772</v>
      </c>
      <c r="E60" s="405">
        <v>-0.2</v>
      </c>
      <c r="F60" s="405" t="s">
        <v>773</v>
      </c>
      <c r="G60" s="406" t="s">
        <v>774</v>
      </c>
      <c r="H60" s="414"/>
    </row>
    <row r="61" spans="2:8" ht="13.5" thickBot="1">
      <c r="B61" s="417"/>
      <c r="C61" s="407">
        <v>2.755226169918986E-2</v>
      </c>
      <c r="D61" s="402">
        <v>2.1299999999999999E-2</v>
      </c>
      <c r="E61" s="402">
        <v>1.704E-2</v>
      </c>
      <c r="F61" s="402">
        <v>3.1949999999999999E-2</v>
      </c>
      <c r="G61" s="403" t="s">
        <v>787</v>
      </c>
      <c r="H61" s="414"/>
    </row>
    <row r="62" spans="2:8">
      <c r="B62" s="62"/>
      <c r="C62" s="62"/>
      <c r="D62" s="62"/>
      <c r="E62" s="118"/>
      <c r="F62" s="309"/>
      <c r="G62" s="309"/>
      <c r="H62" s="309"/>
    </row>
    <row r="63" spans="2:8">
      <c r="B63" s="38" t="s">
        <v>763</v>
      </c>
      <c r="C63" s="39"/>
      <c r="D63" s="39"/>
      <c r="E63" s="39"/>
      <c r="F63" s="39"/>
      <c r="G63" s="39"/>
      <c r="H63" s="46"/>
    </row>
    <row r="64" spans="2:8">
      <c r="B64" s="40" t="s">
        <v>275</v>
      </c>
      <c r="C64" s="40" t="s">
        <v>268</v>
      </c>
      <c r="D64" s="40" t="s">
        <v>322</v>
      </c>
      <c r="E64" s="40" t="s">
        <v>301</v>
      </c>
      <c r="F64" s="257" t="s">
        <v>280</v>
      </c>
      <c r="G64" s="257" t="s">
        <v>303</v>
      </c>
      <c r="H64" s="75" t="s">
        <v>308</v>
      </c>
    </row>
    <row r="65" spans="2:8">
      <c r="B65" s="59" t="s">
        <v>277</v>
      </c>
      <c r="C65" s="437">
        <v>232004.39</v>
      </c>
      <c r="D65" s="116">
        <v>0</v>
      </c>
      <c r="E65" s="597">
        <v>232004.39</v>
      </c>
      <c r="F65" s="260">
        <v>8.2953129825939462E-6</v>
      </c>
      <c r="G65" s="261">
        <v>0</v>
      </c>
      <c r="H65" s="262">
        <v>2.7322404371584699E-3</v>
      </c>
    </row>
    <row r="66" spans="2:8">
      <c r="B66" s="66" t="s">
        <v>276</v>
      </c>
      <c r="C66" s="437">
        <v>24880254433.472225</v>
      </c>
      <c r="D66" s="116">
        <v>-119777800.52778244</v>
      </c>
      <c r="E66" s="120">
        <v>24760476632.944443</v>
      </c>
      <c r="F66" s="260">
        <v>0.8853104170506344</v>
      </c>
      <c r="G66" s="261">
        <v>0.16885957906012486</v>
      </c>
      <c r="H66" s="262">
        <v>2.3152387414175957</v>
      </c>
    </row>
    <row r="67" spans="2:8">
      <c r="B67" s="187" t="s">
        <v>455</v>
      </c>
      <c r="C67" s="437">
        <v>2122476222.3833334</v>
      </c>
      <c r="D67" s="116">
        <v>988101.94333314896</v>
      </c>
      <c r="E67" s="120">
        <v>2123464324.3266666</v>
      </c>
      <c r="F67" s="260">
        <v>7.592443047160477E-2</v>
      </c>
      <c r="G67" s="261">
        <v>0.1704677522233802</v>
      </c>
      <c r="H67" s="262">
        <v>2.3407103888108574E-3</v>
      </c>
    </row>
    <row r="68" spans="2:8">
      <c r="B68" s="59" t="s">
        <v>789</v>
      </c>
      <c r="C68" s="437">
        <v>956813173.3610884</v>
      </c>
      <c r="D68" s="116">
        <v>394137.39444446564</v>
      </c>
      <c r="E68" s="120">
        <v>957207310.75553286</v>
      </c>
      <c r="F68" s="260">
        <v>3.4224930967660605E-2</v>
      </c>
      <c r="G68" s="261">
        <v>0.17825103356509611</v>
      </c>
      <c r="H68" s="262">
        <v>1.4799478589164512</v>
      </c>
    </row>
    <row r="69" spans="2:8">
      <c r="B69" s="66" t="s">
        <v>354</v>
      </c>
      <c r="C69" s="437">
        <v>0</v>
      </c>
      <c r="D69" s="116">
        <v>0</v>
      </c>
      <c r="E69" s="120">
        <v>0</v>
      </c>
      <c r="F69" s="260">
        <v>0</v>
      </c>
      <c r="G69" s="261">
        <v>0</v>
      </c>
      <c r="H69" s="262">
        <v>0</v>
      </c>
    </row>
    <row r="70" spans="2:8">
      <c r="B70" s="427" t="s">
        <v>893</v>
      </c>
      <c r="C70" s="437">
        <v>0</v>
      </c>
      <c r="D70" s="429"/>
      <c r="E70" s="428">
        <v>126749500</v>
      </c>
      <c r="F70" s="260">
        <v>4.5319261971176117E-3</v>
      </c>
      <c r="G70" s="261">
        <v>0</v>
      </c>
      <c r="H70" s="262">
        <v>0</v>
      </c>
    </row>
    <row r="71" spans="2:8">
      <c r="B71" s="41" t="s">
        <v>279</v>
      </c>
      <c r="C71" s="119">
        <v>27959775833.606647</v>
      </c>
      <c r="D71" s="119">
        <v>8353938.8099937439</v>
      </c>
      <c r="E71" s="119">
        <v>27968129772.416641</v>
      </c>
      <c r="F71" s="78">
        <v>1</v>
      </c>
      <c r="G71" s="432">
        <v>0.16954471512414129</v>
      </c>
      <c r="H71" s="293">
        <v>2.1005338288113093</v>
      </c>
    </row>
    <row r="72" spans="2:8">
      <c r="B72" s="60"/>
      <c r="C72" s="117"/>
      <c r="D72" s="117"/>
      <c r="E72" s="117">
        <v>27968129772.416641</v>
      </c>
      <c r="F72" s="36"/>
      <c r="G72" s="36"/>
      <c r="H72" s="36"/>
    </row>
    <row r="73" spans="2:8" ht="13.5" thickBot="1">
      <c r="B73" s="398">
        <v>0.12816128890362932</v>
      </c>
      <c r="C73" s="299"/>
      <c r="D73" s="299"/>
      <c r="E73" s="304">
        <v>0</v>
      </c>
      <c r="F73" s="299"/>
      <c r="G73" s="306"/>
      <c r="H73" s="89"/>
    </row>
    <row r="74" spans="2:8">
      <c r="B74" s="416" t="s">
        <v>763</v>
      </c>
      <c r="C74" s="401" t="s">
        <v>308</v>
      </c>
      <c r="D74" s="404" t="s">
        <v>772</v>
      </c>
      <c r="E74" s="405">
        <v>-0.2</v>
      </c>
      <c r="F74" s="405" t="s">
        <v>773</v>
      </c>
      <c r="G74" s="406" t="s">
        <v>774</v>
      </c>
      <c r="H74" s="414"/>
    </row>
    <row r="75" spans="2:8" ht="13.5" thickBot="1">
      <c r="B75" s="417"/>
      <c r="C75" s="407">
        <v>2.1005338288113094E-2</v>
      </c>
      <c r="D75" s="402">
        <v>2.1299999999999999E-2</v>
      </c>
      <c r="E75" s="402">
        <v>1.704E-2</v>
      </c>
      <c r="F75" s="402">
        <v>3.1949999999999999E-2</v>
      </c>
      <c r="G75" s="403" t="s">
        <v>787</v>
      </c>
      <c r="H75" s="414"/>
    </row>
    <row r="76" spans="2:8">
      <c r="B76" s="62"/>
      <c r="C76" s="62"/>
      <c r="D76" s="62"/>
      <c r="E76" s="118"/>
      <c r="F76" s="309"/>
      <c r="G76" s="309"/>
      <c r="H76" s="309"/>
    </row>
    <row r="77" spans="2:8">
      <c r="B77" s="38" t="s">
        <v>764</v>
      </c>
      <c r="C77" s="39"/>
      <c r="D77" s="39"/>
      <c r="E77" s="39"/>
      <c r="F77" s="39"/>
      <c r="G77" s="39"/>
      <c r="H77" s="46"/>
    </row>
    <row r="78" spans="2:8">
      <c r="B78" s="40" t="s">
        <v>275</v>
      </c>
      <c r="C78" s="40" t="s">
        <v>268</v>
      </c>
      <c r="D78" s="40" t="s">
        <v>322</v>
      </c>
      <c r="E78" s="40" t="s">
        <v>301</v>
      </c>
      <c r="F78" s="257" t="s">
        <v>280</v>
      </c>
      <c r="G78" s="257" t="s">
        <v>303</v>
      </c>
      <c r="H78" s="75" t="s">
        <v>308</v>
      </c>
    </row>
    <row r="79" spans="2:8">
      <c r="B79" s="59" t="s">
        <v>277</v>
      </c>
      <c r="C79" s="437">
        <v>419640.72</v>
      </c>
      <c r="D79" s="116">
        <v>0</v>
      </c>
      <c r="E79" s="438">
        <v>419640.72</v>
      </c>
      <c r="F79" s="260">
        <v>1.8748276540039851E-5</v>
      </c>
      <c r="G79" s="261">
        <v>0</v>
      </c>
      <c r="H79" s="262">
        <v>2.7322404371584699E-3</v>
      </c>
    </row>
    <row r="80" spans="2:8">
      <c r="B80" s="66" t="s">
        <v>276</v>
      </c>
      <c r="C80" s="437">
        <v>15851300864.0215</v>
      </c>
      <c r="D80" s="116">
        <v>4674190.5747241974</v>
      </c>
      <c r="E80" s="120">
        <v>15855975054.596224</v>
      </c>
      <c r="F80" s="260">
        <v>0.70839694759732441</v>
      </c>
      <c r="G80" s="261">
        <v>0.17118970969171995</v>
      </c>
      <c r="H80" s="262">
        <v>2.4374662581597217</v>
      </c>
    </row>
    <row r="81" spans="2:8">
      <c r="B81" s="187" t="s">
        <v>455</v>
      </c>
      <c r="C81" s="437">
        <v>4963501727.003334</v>
      </c>
      <c r="D81" s="116">
        <v>2310732.4733333588</v>
      </c>
      <c r="E81" s="120">
        <v>4965812459.4766674</v>
      </c>
      <c r="F81" s="260">
        <v>0.22185746234598966</v>
      </c>
      <c r="G81" s="261">
        <v>0.17046876166881189</v>
      </c>
      <c r="H81" s="262">
        <v>2.3407083701158693E-3</v>
      </c>
    </row>
    <row r="82" spans="2:8">
      <c r="B82" s="59" t="s">
        <v>789</v>
      </c>
      <c r="C82" s="437">
        <v>0</v>
      </c>
      <c r="D82" s="116">
        <v>0</v>
      </c>
      <c r="E82" s="120">
        <v>0</v>
      </c>
      <c r="F82" s="260">
        <v>0</v>
      </c>
      <c r="G82" s="261">
        <v>0</v>
      </c>
      <c r="H82" s="262">
        <v>0</v>
      </c>
    </row>
    <row r="83" spans="2:8">
      <c r="B83" s="66" t="s">
        <v>354</v>
      </c>
      <c r="C83" s="437">
        <v>1560060334.1034307</v>
      </c>
      <c r="D83" s="116">
        <v>628299.08675813675</v>
      </c>
      <c r="E83" s="120">
        <v>1560688633.1901889</v>
      </c>
      <c r="F83" s="260">
        <v>6.9726841780145835E-2</v>
      </c>
      <c r="G83" s="261">
        <v>0.17520869697737862</v>
      </c>
      <c r="H83" s="262">
        <v>0.49415877355613047</v>
      </c>
    </row>
    <row r="84" spans="2:8">
      <c r="B84" s="427" t="s">
        <v>893</v>
      </c>
      <c r="C84" s="437">
        <v>0</v>
      </c>
      <c r="D84" s="429"/>
      <c r="E84" s="428">
        <v>0</v>
      </c>
      <c r="F84" s="260">
        <v>0</v>
      </c>
      <c r="G84" s="261">
        <v>0</v>
      </c>
      <c r="H84" s="262">
        <v>0</v>
      </c>
    </row>
    <row r="85" spans="2:8">
      <c r="B85" s="299"/>
      <c r="C85" s="119">
        <v>22375282565.848267</v>
      </c>
      <c r="D85" s="119">
        <v>7613222.1348152161</v>
      </c>
      <c r="E85" s="119">
        <v>22382895787.983082</v>
      </c>
      <c r="F85" s="78">
        <v>1</v>
      </c>
      <c r="G85" s="78">
        <v>0.16496121863536992</v>
      </c>
      <c r="H85" s="293">
        <v>1.761669142613723</v>
      </c>
    </row>
    <row r="86" spans="2:8">
      <c r="B86" s="60"/>
      <c r="C86" s="117"/>
      <c r="D86" s="117"/>
      <c r="E86" s="117">
        <v>22382895787.983082</v>
      </c>
      <c r="F86" s="36"/>
      <c r="G86" s="36"/>
      <c r="H86" s="36"/>
    </row>
    <row r="87" spans="2:8" ht="13.5" thickBot="1">
      <c r="B87" s="398">
        <v>0.10256748652577705</v>
      </c>
      <c r="C87" s="299"/>
      <c r="D87" s="299"/>
      <c r="E87" s="304">
        <v>0</v>
      </c>
      <c r="F87" s="299"/>
      <c r="G87" s="306"/>
      <c r="H87" s="304"/>
    </row>
    <row r="88" spans="2:8">
      <c r="B88" s="416" t="s">
        <v>764</v>
      </c>
      <c r="C88" s="401" t="s">
        <v>308</v>
      </c>
      <c r="D88" s="404" t="s">
        <v>772</v>
      </c>
      <c r="E88" s="405">
        <v>-0.2</v>
      </c>
      <c r="F88" s="405" t="s">
        <v>773</v>
      </c>
      <c r="G88" s="406" t="s">
        <v>774</v>
      </c>
      <c r="H88" s="414"/>
    </row>
    <row r="89" spans="2:8" ht="13.5" thickBot="1">
      <c r="B89" s="417"/>
      <c r="C89" s="407">
        <v>1.7616691426137233E-2</v>
      </c>
      <c r="D89" s="402">
        <v>2.1299999999999999E-2</v>
      </c>
      <c r="E89" s="402">
        <v>1.704E-2</v>
      </c>
      <c r="F89" s="402">
        <v>3.1949999999999999E-2</v>
      </c>
      <c r="G89" s="403" t="s">
        <v>787</v>
      </c>
      <c r="H89" s="414"/>
    </row>
    <row r="90" spans="2:8">
      <c r="D90" s="310" t="s">
        <v>336</v>
      </c>
      <c r="E90" s="310" t="s">
        <v>337</v>
      </c>
      <c r="F90" s="311" t="s">
        <v>338</v>
      </c>
      <c r="H90" s="415"/>
    </row>
    <row r="91" spans="2:8">
      <c r="D91" s="101" t="s">
        <v>266</v>
      </c>
      <c r="E91" s="101" t="s">
        <v>266</v>
      </c>
      <c r="F91" s="101" t="s">
        <v>266</v>
      </c>
    </row>
    <row r="92" spans="2:8">
      <c r="D92" s="102" t="s">
        <v>3106</v>
      </c>
      <c r="E92" s="102" t="s">
        <v>3223</v>
      </c>
      <c r="F92" s="102" t="s">
        <v>3106</v>
      </c>
    </row>
    <row r="94" spans="2:8">
      <c r="D94" s="307" t="s">
        <v>462</v>
      </c>
      <c r="E94" s="310" t="s">
        <v>337</v>
      </c>
      <c r="F94" s="307" t="s">
        <v>463</v>
      </c>
    </row>
    <row r="95" spans="2:8">
      <c r="D95" s="188" t="s">
        <v>266</v>
      </c>
      <c r="E95" s="188" t="s">
        <v>266</v>
      </c>
      <c r="F95" s="188" t="s">
        <v>266</v>
      </c>
    </row>
    <row r="96" spans="2:8">
      <c r="D96" s="189" t="s">
        <v>3224</v>
      </c>
      <c r="E96" s="189" t="s">
        <v>3223</v>
      </c>
      <c r="F96" s="189" t="s">
        <v>1038</v>
      </c>
    </row>
    <row r="97" spans="2:8">
      <c r="E97" s="298"/>
    </row>
    <row r="98" spans="2:8">
      <c r="D98" s="312"/>
      <c r="E98" s="305"/>
      <c r="F98" s="305"/>
    </row>
    <row r="100" spans="2:8">
      <c r="B100" s="62"/>
      <c r="C100" s="62"/>
      <c r="D100" s="62"/>
      <c r="E100" s="62"/>
      <c r="F100" s="62"/>
      <c r="G100" s="62"/>
      <c r="H100" s="36"/>
    </row>
    <row r="101" spans="2:8">
      <c r="B101" s="62"/>
      <c r="C101" s="62"/>
      <c r="D101" s="62"/>
      <c r="E101" s="62"/>
      <c r="F101" s="62"/>
      <c r="G101" s="62"/>
      <c r="H101" s="36"/>
    </row>
    <row r="102" spans="2:8">
      <c r="B102" s="62"/>
      <c r="C102" s="62"/>
      <c r="D102" s="62"/>
      <c r="E102" s="62"/>
      <c r="F102" s="62"/>
      <c r="G102" s="62"/>
      <c r="H102" s="36"/>
    </row>
    <row r="103" spans="2:8">
      <c r="B103" s="62"/>
      <c r="C103" s="62"/>
      <c r="D103" s="62"/>
      <c r="E103" s="62"/>
      <c r="F103" s="62"/>
      <c r="G103" s="62"/>
      <c r="H103" s="36"/>
    </row>
    <row r="104" spans="2:8">
      <c r="B104" s="62"/>
      <c r="C104" s="62"/>
      <c r="D104" s="62"/>
      <c r="E104" s="62"/>
      <c r="F104" s="62"/>
      <c r="G104" s="62"/>
      <c r="H104" s="36"/>
    </row>
    <row r="105" spans="2:8">
      <c r="B105" s="62"/>
      <c r="C105" s="62"/>
      <c r="D105" s="62"/>
      <c r="E105" s="62"/>
      <c r="F105" s="62"/>
      <c r="G105" s="62"/>
      <c r="H105" s="36"/>
    </row>
    <row r="119" spans="2:8">
      <c r="B119" s="62"/>
      <c r="C119" s="62"/>
      <c r="D119" s="62"/>
      <c r="E119" s="62"/>
      <c r="F119" s="62"/>
      <c r="G119" s="62"/>
      <c r="H119" s="36"/>
    </row>
    <row r="120" spans="2:8">
      <c r="B120" s="62"/>
      <c r="C120" s="62"/>
      <c r="D120" s="62"/>
      <c r="E120" s="62"/>
      <c r="F120" s="62"/>
      <c r="G120" s="62"/>
      <c r="H120" s="36"/>
    </row>
    <row r="122" spans="2:8">
      <c r="B122" s="62"/>
      <c r="C122" s="62"/>
      <c r="D122" s="62"/>
      <c r="E122" s="62"/>
      <c r="F122" s="62"/>
      <c r="G122" s="62"/>
      <c r="H122" s="36"/>
    </row>
    <row r="123" spans="2:8">
      <c r="B123" s="62"/>
      <c r="C123" s="62"/>
      <c r="D123" s="62"/>
      <c r="E123" s="62"/>
      <c r="F123" s="62"/>
      <c r="G123" s="62"/>
      <c r="H123" s="36"/>
    </row>
    <row r="130" spans="2:8">
      <c r="B130" s="62"/>
      <c r="C130" s="62"/>
      <c r="D130" s="62"/>
      <c r="E130" s="62"/>
      <c r="F130" s="62"/>
      <c r="G130" s="62"/>
      <c r="H130" s="36"/>
    </row>
    <row r="131" spans="2:8">
      <c r="B131" s="62"/>
      <c r="C131" s="62"/>
      <c r="D131" s="62"/>
      <c r="E131" s="62"/>
      <c r="F131" s="62"/>
      <c r="G131" s="62"/>
      <c r="H131" s="36"/>
    </row>
    <row r="132" spans="2:8">
      <c r="B132" s="62"/>
      <c r="C132" s="62"/>
      <c r="D132" s="62"/>
      <c r="E132" s="62"/>
      <c r="F132" s="62"/>
      <c r="G132" s="62"/>
      <c r="H132" s="36"/>
    </row>
    <row r="133" spans="2:8">
      <c r="B133" s="62"/>
      <c r="C133" s="62"/>
      <c r="D133" s="62"/>
      <c r="E133" s="62"/>
      <c r="F133" s="62"/>
      <c r="G133" s="62"/>
      <c r="H133" s="36"/>
    </row>
    <row r="134" spans="2:8">
      <c r="B134" s="62"/>
      <c r="C134" s="62"/>
      <c r="D134" s="62"/>
      <c r="E134" s="62"/>
      <c r="F134" s="62"/>
      <c r="G134" s="62"/>
      <c r="H134" s="36"/>
    </row>
    <row r="135" spans="2:8">
      <c r="B135" s="62"/>
      <c r="C135" s="62"/>
      <c r="D135" s="62"/>
      <c r="E135" s="62"/>
      <c r="F135" s="62"/>
      <c r="G135" s="62"/>
      <c r="H135" s="36"/>
    </row>
    <row r="136" spans="2:8">
      <c r="B136" s="62"/>
      <c r="C136" s="62"/>
      <c r="D136" s="62"/>
      <c r="E136" s="62"/>
      <c r="F136" s="62"/>
      <c r="G136" s="62"/>
      <c r="H136" s="36"/>
    </row>
    <row r="137" spans="2:8">
      <c r="B137" s="62"/>
      <c r="C137" s="62"/>
      <c r="D137" s="62"/>
      <c r="E137" s="62"/>
      <c r="F137" s="62"/>
      <c r="G137" s="62"/>
      <c r="H137" s="36"/>
    </row>
    <row r="138" spans="2:8">
      <c r="B138" s="62"/>
      <c r="C138" s="62"/>
      <c r="D138" s="62"/>
      <c r="E138" s="62"/>
      <c r="F138" s="62"/>
      <c r="G138" s="62"/>
      <c r="H138" s="36"/>
    </row>
    <row r="139" spans="2:8">
      <c r="B139" s="62"/>
      <c r="C139" s="62"/>
      <c r="D139" s="62"/>
      <c r="E139" s="62"/>
      <c r="F139" s="62"/>
      <c r="G139" s="62"/>
      <c r="H139" s="36"/>
    </row>
    <row r="140" spans="2:8">
      <c r="B140" s="62"/>
      <c r="C140" s="62"/>
      <c r="D140" s="62"/>
      <c r="E140" s="62"/>
      <c r="F140" s="62"/>
      <c r="G140" s="62"/>
      <c r="H140" s="36"/>
    </row>
  </sheetData>
  <conditionalFormatting sqref="E61:F61">
    <cfRule type="cellIs" dxfId="1339" priority="27" stopIfTrue="1" operator="lessThan">
      <formula>0</formula>
    </cfRule>
    <cfRule type="cellIs" dxfId="1338" priority="28" stopIfTrue="1" operator="greaterThan">
      <formula>0</formula>
    </cfRule>
  </conditionalFormatting>
  <conditionalFormatting sqref="G61">
    <cfRule type="cellIs" dxfId="1337" priority="25" stopIfTrue="1" operator="lessThan">
      <formula>0</formula>
    </cfRule>
    <cfRule type="cellIs" dxfId="1336" priority="26" stopIfTrue="1" operator="greaterThan">
      <formula>0</formula>
    </cfRule>
  </conditionalFormatting>
  <conditionalFormatting sqref="C61">
    <cfRule type="cellIs" dxfId="1335" priority="23" stopIfTrue="1" operator="lessThan">
      <formula>0</formula>
    </cfRule>
    <cfRule type="cellIs" dxfId="1334" priority="24" stopIfTrue="1" operator="greaterThan">
      <formula>0</formula>
    </cfRule>
  </conditionalFormatting>
  <conditionalFormatting sqref="E18:F18">
    <cfRule type="cellIs" dxfId="1333" priority="47" stopIfTrue="1" operator="lessThan">
      <formula>0</formula>
    </cfRule>
    <cfRule type="cellIs" dxfId="1332" priority="48" stopIfTrue="1" operator="greaterThan">
      <formula>0</formula>
    </cfRule>
  </conditionalFormatting>
  <conditionalFormatting sqref="G18">
    <cfRule type="cellIs" dxfId="1331" priority="45" stopIfTrue="1" operator="lessThan">
      <formula>0</formula>
    </cfRule>
    <cfRule type="cellIs" dxfId="1330" priority="46" stopIfTrue="1" operator="greaterThan">
      <formula>0</formula>
    </cfRule>
  </conditionalFormatting>
  <conditionalFormatting sqref="C18">
    <cfRule type="cellIs" dxfId="1329" priority="43" stopIfTrue="1" operator="lessThan">
      <formula>0</formula>
    </cfRule>
    <cfRule type="cellIs" dxfId="1328" priority="44" stopIfTrue="1" operator="greaterThan">
      <formula>0</formula>
    </cfRule>
  </conditionalFormatting>
  <conditionalFormatting sqref="D18">
    <cfRule type="cellIs" dxfId="1327" priority="41" stopIfTrue="1" operator="lessThan">
      <formula>0</formula>
    </cfRule>
    <cfRule type="cellIs" dxfId="1326" priority="42" stopIfTrue="1" operator="greaterThan">
      <formula>0</formula>
    </cfRule>
  </conditionalFormatting>
  <conditionalFormatting sqref="E33:F33">
    <cfRule type="cellIs" dxfId="1325" priority="39" stopIfTrue="1" operator="lessThan">
      <formula>0</formula>
    </cfRule>
    <cfRule type="cellIs" dxfId="1324" priority="40" stopIfTrue="1" operator="greaterThan">
      <formula>0</formula>
    </cfRule>
  </conditionalFormatting>
  <conditionalFormatting sqref="G33">
    <cfRule type="cellIs" dxfId="1323" priority="37" stopIfTrue="1" operator="lessThan">
      <formula>0</formula>
    </cfRule>
    <cfRule type="cellIs" dxfId="1322" priority="38" stopIfTrue="1" operator="greaterThan">
      <formula>0</formula>
    </cfRule>
  </conditionalFormatting>
  <conditionalFormatting sqref="C33">
    <cfRule type="cellIs" dxfId="1321" priority="35" stopIfTrue="1" operator="lessThan">
      <formula>0</formula>
    </cfRule>
    <cfRule type="cellIs" dxfId="1320" priority="36" stopIfTrue="1" operator="greaterThan">
      <formula>0</formula>
    </cfRule>
  </conditionalFormatting>
  <conditionalFormatting sqref="E47:F47">
    <cfRule type="cellIs" dxfId="1319" priority="33" stopIfTrue="1" operator="lessThan">
      <formula>0</formula>
    </cfRule>
    <cfRule type="cellIs" dxfId="1318" priority="34" stopIfTrue="1" operator="greaterThan">
      <formula>0</formula>
    </cfRule>
  </conditionalFormatting>
  <conditionalFormatting sqref="G47">
    <cfRule type="cellIs" dxfId="1317" priority="31" stopIfTrue="1" operator="lessThan">
      <formula>0</formula>
    </cfRule>
    <cfRule type="cellIs" dxfId="1316" priority="32" stopIfTrue="1" operator="greaterThan">
      <formula>0</formula>
    </cfRule>
  </conditionalFormatting>
  <conditionalFormatting sqref="C47">
    <cfRule type="cellIs" dxfId="1315" priority="29" stopIfTrue="1" operator="lessThan">
      <formula>0</formula>
    </cfRule>
    <cfRule type="cellIs" dxfId="1314" priority="30" stopIfTrue="1" operator="greaterThan">
      <formula>0</formula>
    </cfRule>
  </conditionalFormatting>
  <conditionalFormatting sqref="E75:F75">
    <cfRule type="cellIs" dxfId="1313" priority="21" stopIfTrue="1" operator="lessThan">
      <formula>0</formula>
    </cfRule>
    <cfRule type="cellIs" dxfId="1312" priority="22" stopIfTrue="1" operator="greaterThan">
      <formula>0</formula>
    </cfRule>
  </conditionalFormatting>
  <conditionalFormatting sqref="G75">
    <cfRule type="cellIs" dxfId="1311" priority="19" stopIfTrue="1" operator="lessThan">
      <formula>0</formula>
    </cfRule>
    <cfRule type="cellIs" dxfId="1310" priority="20" stopIfTrue="1" operator="greaterThan">
      <formula>0</formula>
    </cfRule>
  </conditionalFormatting>
  <conditionalFormatting sqref="C75">
    <cfRule type="cellIs" dxfId="1309" priority="17" stopIfTrue="1" operator="lessThan">
      <formula>0</formula>
    </cfRule>
    <cfRule type="cellIs" dxfId="1308" priority="18" stopIfTrue="1" operator="greaterThan">
      <formula>0</formula>
    </cfRule>
  </conditionalFormatting>
  <conditionalFormatting sqref="E89:F89">
    <cfRule type="cellIs" dxfId="1307" priority="15" stopIfTrue="1" operator="lessThan">
      <formula>0</formula>
    </cfRule>
    <cfRule type="cellIs" dxfId="1306" priority="16" stopIfTrue="1" operator="greaterThan">
      <formula>0</formula>
    </cfRule>
  </conditionalFormatting>
  <conditionalFormatting sqref="G89">
    <cfRule type="cellIs" dxfId="1305" priority="13" stopIfTrue="1" operator="lessThan">
      <formula>0</formula>
    </cfRule>
    <cfRule type="cellIs" dxfId="1304" priority="14" stopIfTrue="1" operator="greaterThan">
      <formula>0</formula>
    </cfRule>
  </conditionalFormatting>
  <conditionalFormatting sqref="C89">
    <cfRule type="cellIs" dxfId="1303" priority="11" stopIfTrue="1" operator="lessThan">
      <formula>0</formula>
    </cfRule>
    <cfRule type="cellIs" dxfId="1302" priority="12" stopIfTrue="1" operator="greaterThan">
      <formula>0</formula>
    </cfRule>
  </conditionalFormatting>
  <conditionalFormatting sqref="D33">
    <cfRule type="cellIs" dxfId="1301" priority="9" stopIfTrue="1" operator="lessThan">
      <formula>0</formula>
    </cfRule>
    <cfRule type="cellIs" dxfId="1300" priority="10" stopIfTrue="1" operator="greaterThan">
      <formula>0</formula>
    </cfRule>
  </conditionalFormatting>
  <conditionalFormatting sqref="D47">
    <cfRule type="cellIs" dxfId="1299" priority="7" stopIfTrue="1" operator="lessThan">
      <formula>0</formula>
    </cfRule>
    <cfRule type="cellIs" dxfId="1298" priority="8" stopIfTrue="1" operator="greaterThan">
      <formula>0</formula>
    </cfRule>
  </conditionalFormatting>
  <conditionalFormatting sqref="D61">
    <cfRule type="cellIs" dxfId="1297" priority="5" stopIfTrue="1" operator="lessThan">
      <formula>0</formula>
    </cfRule>
    <cfRule type="cellIs" dxfId="1296" priority="6" stopIfTrue="1" operator="greaterThan">
      <formula>0</formula>
    </cfRule>
  </conditionalFormatting>
  <conditionalFormatting sqref="D75">
    <cfRule type="cellIs" dxfId="1295" priority="3" stopIfTrue="1" operator="lessThan">
      <formula>0</formula>
    </cfRule>
    <cfRule type="cellIs" dxfId="1294" priority="4" stopIfTrue="1" operator="greaterThan">
      <formula>0</formula>
    </cfRule>
  </conditionalFormatting>
  <conditionalFormatting sqref="D89">
    <cfRule type="cellIs" dxfId="1293" priority="1" stopIfTrue="1" operator="lessThan">
      <formula>0</formula>
    </cfRule>
    <cfRule type="cellIs" dxfId="1292" priority="2" stopIfTrue="1" operator="greaterThan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375" r:id="rId4" name="Button 127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5" name="Button 131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6" name="Button 135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7" name="Button 139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8" name="Button 140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9" r:id="rId9" name="Button 141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0" r:id="rId10" name="Button 142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3" r:id="rId11" name="Button 145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5" r:id="rId12" name="Button 147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7" r:id="rId13" name="Button 149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9" r:id="rId14" name="Button 151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3" r:id="rId15" name="Button 155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4" r:id="rId16" name="Button 156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5" r:id="rId17" name="Button 157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6" r:id="rId18" name="Button 158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7" r:id="rId19" name="Button 159">
              <controlPr defaultSize="0" print="0" autoFill="0" autoPict="0" macro="[0]!start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1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6">
    <tabColor rgb="FF00B050"/>
  </sheetPr>
  <dimension ref="B1:P94"/>
  <sheetViews>
    <sheetView zoomScale="85" zoomScaleNormal="85" workbookViewId="0">
      <selection activeCell="C44" sqref="C44"/>
    </sheetView>
  </sheetViews>
  <sheetFormatPr defaultRowHeight="12.75"/>
  <cols>
    <col min="3" max="4" width="31.140625" customWidth="1"/>
    <col min="5" max="5" width="14.5703125" bestFit="1" customWidth="1"/>
    <col min="6" max="7" width="31.140625" customWidth="1"/>
  </cols>
  <sheetData>
    <row r="1" spans="2:16" ht="13.5" thickBot="1"/>
    <row r="2" spans="2:16" s="121" customFormat="1" ht="21" customHeight="1" thickBot="1">
      <c r="B2" s="122"/>
      <c r="C2" s="123" t="s">
        <v>344</v>
      </c>
      <c r="D2" s="123"/>
      <c r="E2" s="124"/>
      <c r="F2" s="125"/>
      <c r="G2" s="126">
        <f>Report!B2</f>
        <v>45950</v>
      </c>
      <c r="H2" s="127"/>
      <c r="I2" s="128"/>
      <c r="J2" s="128"/>
      <c r="K2" s="128" t="e">
        <f ca="1">E5-Report!D2/1000000000</f>
        <v>#REF!</v>
      </c>
      <c r="L2" s="128"/>
      <c r="M2" s="128"/>
      <c r="N2" s="128"/>
      <c r="O2" s="128"/>
      <c r="P2" s="128"/>
    </row>
    <row r="3" spans="2:16" s="121" customFormat="1" ht="21" customHeight="1" thickBot="1">
      <c r="B3" s="129"/>
      <c r="C3" s="130"/>
      <c r="D3" s="130"/>
      <c r="E3" s="130"/>
      <c r="F3" s="130"/>
      <c r="G3" s="130"/>
      <c r="H3" s="131"/>
      <c r="I3" s="131"/>
      <c r="J3" s="129"/>
      <c r="K3" s="191"/>
    </row>
    <row r="4" spans="2:16" s="121" customFormat="1" ht="14.25" customHeight="1">
      <c r="B4" s="132"/>
      <c r="C4" s="133"/>
      <c r="D4" s="133"/>
      <c r="E4" s="133"/>
      <c r="F4" s="134"/>
      <c r="G4" s="133"/>
      <c r="H4" s="135"/>
      <c r="I4" s="131"/>
      <c r="J4" s="129"/>
      <c r="K4" s="191"/>
    </row>
    <row r="5" spans="2:16" s="121" customFormat="1" ht="23.25">
      <c r="B5" s="136"/>
      <c r="C5" s="640" t="s">
        <v>345</v>
      </c>
      <c r="D5" s="640"/>
      <c r="E5" s="137" t="e">
        <f>D27+G26+D42+G42+D56+G58+D69+G69+D81+G81+D93+G93</f>
        <v>#REF!</v>
      </c>
      <c r="F5" s="138"/>
      <c r="G5" s="139"/>
      <c r="H5" s="140"/>
      <c r="I5" s="141"/>
      <c r="J5" s="142"/>
    </row>
    <row r="6" spans="2:16" s="121" customFormat="1" ht="21" customHeight="1">
      <c r="B6" s="136"/>
      <c r="C6" s="641" t="s">
        <v>346</v>
      </c>
      <c r="D6" s="642"/>
      <c r="E6" s="143" t="e">
        <f>SUM(D10:D11,D14,G10:G11,G14,G33:G34,G37,G48:G49,G52,D48:D49,D52)</f>
        <v>#REF!</v>
      </c>
      <c r="F6" s="138"/>
      <c r="G6" s="144"/>
      <c r="H6" s="140"/>
      <c r="I6" s="141"/>
      <c r="J6" s="142"/>
    </row>
    <row r="7" spans="2:16">
      <c r="B7" s="146"/>
      <c r="C7" s="147"/>
      <c r="D7" s="147"/>
      <c r="E7" s="147"/>
      <c r="F7" s="147"/>
      <c r="G7" s="147"/>
      <c r="H7" s="148"/>
    </row>
    <row r="8" spans="2:16">
      <c r="B8" s="146"/>
      <c r="C8" s="643" t="s">
        <v>347</v>
      </c>
      <c r="D8" s="644"/>
      <c r="E8" s="147"/>
      <c r="F8" s="643" t="s">
        <v>348</v>
      </c>
      <c r="G8" s="644"/>
      <c r="H8" s="148"/>
    </row>
    <row r="9" spans="2:16" ht="25.5">
      <c r="B9" s="146"/>
      <c r="C9" s="74" t="s">
        <v>283</v>
      </c>
      <c r="D9" s="74" t="s">
        <v>284</v>
      </c>
      <c r="E9" s="147"/>
      <c r="F9" s="74" t="s">
        <v>283</v>
      </c>
      <c r="G9" s="74" t="s">
        <v>284</v>
      </c>
      <c r="H9" s="148"/>
      <c r="M9" s="159"/>
    </row>
    <row r="10" spans="2:16">
      <c r="B10" s="146"/>
      <c r="C10" s="76" t="s">
        <v>285</v>
      </c>
      <c r="D10" s="145">
        <v>0</v>
      </c>
      <c r="E10" s="147"/>
      <c r="F10" s="76" t="s">
        <v>285</v>
      </c>
      <c r="G10" s="145" t="e">
        <f>Report!#REF!</f>
        <v>#REF!</v>
      </c>
      <c r="H10" s="148"/>
    </row>
    <row r="11" spans="2:16">
      <c r="B11" s="146"/>
      <c r="C11" s="76" t="s">
        <v>286</v>
      </c>
      <c r="D11" s="77" t="e">
        <f>Report!#REF!</f>
        <v>#REF!</v>
      </c>
      <c r="E11" s="147"/>
      <c r="F11" s="76" t="s">
        <v>286</v>
      </c>
      <c r="G11" s="77" t="e">
        <f>Report!#REF!</f>
        <v>#REF!</v>
      </c>
      <c r="H11" s="148"/>
    </row>
    <row r="12" spans="2:16">
      <c r="B12" s="146"/>
      <c r="C12" s="76" t="s">
        <v>287</v>
      </c>
      <c r="D12" s="77" t="e">
        <f>Report!#REF!</f>
        <v>#REF!</v>
      </c>
      <c r="E12" s="147"/>
      <c r="F12" s="76" t="s">
        <v>287</v>
      </c>
      <c r="G12" s="77" t="e">
        <f>Report!#REF!</f>
        <v>#REF!</v>
      </c>
      <c r="H12" s="148"/>
    </row>
    <row r="13" spans="2:16">
      <c r="B13" s="146"/>
      <c r="C13" s="76" t="s">
        <v>452</v>
      </c>
      <c r="D13" s="77"/>
      <c r="E13" s="147"/>
      <c r="F13" s="76" t="s">
        <v>452</v>
      </c>
      <c r="G13" s="77"/>
      <c r="H13" s="148"/>
    </row>
    <row r="14" spans="2:16">
      <c r="B14" s="146"/>
      <c r="C14" s="76" t="s">
        <v>288</v>
      </c>
      <c r="D14" s="77" t="e">
        <f>Report!#REF!</f>
        <v>#REF!</v>
      </c>
      <c r="E14" s="147"/>
      <c r="F14" s="76" t="s">
        <v>288</v>
      </c>
      <c r="G14" s="77" t="e">
        <f>Report!#REF!</f>
        <v>#REF!</v>
      </c>
      <c r="H14" s="148"/>
    </row>
    <row r="15" spans="2:16">
      <c r="B15" s="146"/>
      <c r="C15" s="76" t="s">
        <v>289</v>
      </c>
      <c r="D15" s="77" t="e">
        <f>Report!#REF!</f>
        <v>#REF!</v>
      </c>
      <c r="E15" s="147"/>
      <c r="F15" s="76" t="s">
        <v>289</v>
      </c>
      <c r="G15" s="77" t="e">
        <f>Report!#REF!</f>
        <v>#REF!</v>
      </c>
      <c r="H15" s="148"/>
    </row>
    <row r="16" spans="2:16">
      <c r="B16" s="146"/>
      <c r="C16" s="76" t="s">
        <v>290</v>
      </c>
      <c r="D16" s="77" t="e">
        <f>Report!#REF!</f>
        <v>#REF!</v>
      </c>
      <c r="E16" s="147"/>
      <c r="F16" s="76" t="s">
        <v>290</v>
      </c>
      <c r="G16" s="77" t="e">
        <f>Report!#REF!</f>
        <v>#REF!</v>
      </c>
      <c r="H16" s="148"/>
    </row>
    <row r="17" spans="2:8">
      <c r="B17" s="146"/>
      <c r="C17" s="76" t="s">
        <v>291</v>
      </c>
      <c r="D17" s="77" t="e">
        <f>Report!#REF!</f>
        <v>#REF!</v>
      </c>
      <c r="E17" s="147"/>
      <c r="F17" s="76" t="s">
        <v>291</v>
      </c>
      <c r="G17" s="77" t="e">
        <f>Report!#REF!</f>
        <v>#REF!</v>
      </c>
      <c r="H17" s="148"/>
    </row>
    <row r="18" spans="2:8">
      <c r="B18" s="146"/>
      <c r="C18" s="76" t="s">
        <v>292</v>
      </c>
      <c r="D18" s="77" t="e">
        <f>Report!#REF!</f>
        <v>#REF!</v>
      </c>
      <c r="E18" s="147"/>
      <c r="F18" s="76" t="s">
        <v>292</v>
      </c>
      <c r="G18" s="77" t="e">
        <f>Report!#REF!</f>
        <v>#REF!</v>
      </c>
      <c r="H18" s="148"/>
    </row>
    <row r="19" spans="2:8">
      <c r="B19" s="146"/>
      <c r="C19" s="76" t="s">
        <v>293</v>
      </c>
      <c r="D19" s="77" t="e">
        <f>Report!#REF!</f>
        <v>#REF!</v>
      </c>
      <c r="E19" s="147"/>
      <c r="F19" s="76" t="s">
        <v>293</v>
      </c>
      <c r="G19" s="77" t="e">
        <f>Report!#REF!</f>
        <v>#REF!</v>
      </c>
      <c r="H19" s="148"/>
    </row>
    <row r="20" spans="2:8">
      <c r="B20" s="146"/>
      <c r="C20" s="76" t="s">
        <v>294</v>
      </c>
      <c r="D20" s="77" t="e">
        <f>Report!#REF!</f>
        <v>#REF!</v>
      </c>
      <c r="E20" s="147"/>
      <c r="F20" s="76" t="s">
        <v>294</v>
      </c>
      <c r="G20" s="77" t="e">
        <f>Report!#REF!</f>
        <v>#REF!</v>
      </c>
      <c r="H20" s="148"/>
    </row>
    <row r="21" spans="2:8">
      <c r="B21" s="146"/>
      <c r="C21" s="76" t="s">
        <v>295</v>
      </c>
      <c r="D21" s="77" t="e">
        <f>Report!#REF!</f>
        <v>#REF!</v>
      </c>
      <c r="E21" s="147"/>
      <c r="F21" s="76" t="s">
        <v>300</v>
      </c>
      <c r="G21" s="77" t="e">
        <f>Report!#REF!</f>
        <v>#REF!</v>
      </c>
      <c r="H21" s="148"/>
    </row>
    <row r="22" spans="2:8">
      <c r="B22" s="146"/>
      <c r="C22" s="192" t="s">
        <v>342</v>
      </c>
      <c r="D22" s="77" t="e">
        <f>Report!#REF!</f>
        <v>#REF!</v>
      </c>
      <c r="E22" s="147"/>
      <c r="F22" s="76" t="s">
        <v>342</v>
      </c>
      <c r="G22" s="77" t="e">
        <f>Report!#REF!</f>
        <v>#REF!</v>
      </c>
      <c r="H22" s="148"/>
    </row>
    <row r="23" spans="2:8">
      <c r="B23" s="146"/>
      <c r="C23" s="76" t="s">
        <v>296</v>
      </c>
      <c r="D23" s="77" t="e">
        <f>Report!#REF!</f>
        <v>#REF!</v>
      </c>
      <c r="E23" s="147"/>
      <c r="F23" s="76" t="s">
        <v>296</v>
      </c>
      <c r="G23" s="77" t="e">
        <f>Report!#REF!</f>
        <v>#REF!</v>
      </c>
      <c r="H23" s="148"/>
    </row>
    <row r="24" spans="2:8">
      <c r="B24" s="146"/>
      <c r="C24" s="76" t="s">
        <v>297</v>
      </c>
      <c r="D24" s="77" t="e">
        <f>Report!#REF!</f>
        <v>#REF!</v>
      </c>
      <c r="E24" s="147"/>
      <c r="F24" s="76" t="s">
        <v>297</v>
      </c>
      <c r="G24" s="77" t="e">
        <f>Report!#REF!</f>
        <v>#REF!</v>
      </c>
      <c r="H24" s="148"/>
    </row>
    <row r="25" spans="2:8">
      <c r="B25" s="146"/>
      <c r="C25" s="76" t="s">
        <v>298</v>
      </c>
      <c r="D25" s="77" t="e">
        <f>Report!#REF!</f>
        <v>#REF!</v>
      </c>
      <c r="E25" s="147"/>
      <c r="F25" s="76" t="s">
        <v>298</v>
      </c>
      <c r="G25" s="77" t="e">
        <f>Report!#REF!</f>
        <v>#REF!</v>
      </c>
      <c r="H25" s="148"/>
    </row>
    <row r="26" spans="2:8">
      <c r="B26" s="146"/>
      <c r="C26" s="76"/>
      <c r="D26" s="77"/>
      <c r="E26" s="147"/>
      <c r="F26" s="80" t="s">
        <v>299</v>
      </c>
      <c r="G26" s="184" t="e">
        <f>SUM(G10:G25)</f>
        <v>#REF!</v>
      </c>
      <c r="H26" s="148"/>
    </row>
    <row r="27" spans="2:8">
      <c r="B27" s="146"/>
      <c r="C27" s="80" t="s">
        <v>299</v>
      </c>
      <c r="D27" s="184" t="e">
        <f>SUM(D10:D26)</f>
        <v>#REF!</v>
      </c>
      <c r="E27" s="147"/>
      <c r="H27" s="148"/>
    </row>
    <row r="28" spans="2:8">
      <c r="B28" s="146"/>
      <c r="E28" s="147"/>
      <c r="H28" s="148"/>
    </row>
    <row r="29" spans="2:8">
      <c r="B29" s="146"/>
      <c r="C29" s="147"/>
      <c r="D29" s="147"/>
      <c r="E29" s="147"/>
      <c r="F29" s="147"/>
      <c r="G29" s="147"/>
      <c r="H29" s="148"/>
    </row>
    <row r="30" spans="2:8">
      <c r="B30" s="146"/>
      <c r="C30" s="147"/>
      <c r="D30" s="147"/>
      <c r="E30" s="147"/>
      <c r="F30" s="147"/>
      <c r="G30" s="147"/>
      <c r="H30" s="148"/>
    </row>
    <row r="31" spans="2:8">
      <c r="B31" s="146"/>
      <c r="C31" s="643" t="s">
        <v>178</v>
      </c>
      <c r="D31" s="644"/>
      <c r="E31" s="147"/>
      <c r="F31" s="643" t="s">
        <v>349</v>
      </c>
      <c r="G31" s="644"/>
      <c r="H31" s="148"/>
    </row>
    <row r="32" spans="2:8" ht="25.5">
      <c r="B32" s="146"/>
      <c r="C32" s="74" t="s">
        <v>283</v>
      </c>
      <c r="D32" s="74" t="s">
        <v>284</v>
      </c>
      <c r="E32" s="147"/>
      <c r="F32" s="74" t="s">
        <v>283</v>
      </c>
      <c r="G32" s="74" t="s">
        <v>284</v>
      </c>
      <c r="H32" s="148"/>
    </row>
    <row r="33" spans="2:8">
      <c r="B33" s="146"/>
      <c r="C33" s="76" t="s">
        <v>285</v>
      </c>
      <c r="D33" s="145" t="e">
        <f>Report!#REF!</f>
        <v>#REF!</v>
      </c>
      <c r="E33" s="147"/>
      <c r="F33" s="76" t="s">
        <v>285</v>
      </c>
      <c r="G33" s="145" t="e">
        <f>Report!#REF!</f>
        <v>#REF!</v>
      </c>
      <c r="H33" s="148"/>
    </row>
    <row r="34" spans="2:8">
      <c r="B34" s="146"/>
      <c r="C34" s="76" t="s">
        <v>286</v>
      </c>
      <c r="D34" s="77" t="e">
        <f>Report!#REF!</f>
        <v>#REF!</v>
      </c>
      <c r="E34" s="147"/>
      <c r="F34" s="76" t="s">
        <v>286</v>
      </c>
      <c r="G34" s="77" t="e">
        <f>Report!#REF!</f>
        <v>#REF!</v>
      </c>
      <c r="H34" s="148"/>
    </row>
    <row r="35" spans="2:8">
      <c r="B35" s="146"/>
      <c r="C35" s="76" t="s">
        <v>287</v>
      </c>
      <c r="D35" s="77" t="e">
        <f>Report!#REF!</f>
        <v>#REF!</v>
      </c>
      <c r="E35" s="147"/>
      <c r="F35" s="76" t="s">
        <v>287</v>
      </c>
      <c r="G35" s="77" t="e">
        <f>Report!#REF!</f>
        <v>#REF!</v>
      </c>
      <c r="H35" s="148"/>
    </row>
    <row r="36" spans="2:8">
      <c r="B36" s="146"/>
      <c r="C36" s="76" t="s">
        <v>452</v>
      </c>
      <c r="D36" s="77"/>
      <c r="E36" s="147"/>
      <c r="F36" s="76" t="s">
        <v>452</v>
      </c>
      <c r="G36" s="77"/>
      <c r="H36" s="148"/>
    </row>
    <row r="37" spans="2:8">
      <c r="B37" s="146"/>
      <c r="C37" s="76" t="s">
        <v>288</v>
      </c>
      <c r="D37" s="77" t="e">
        <f>Report!#REF!</f>
        <v>#REF!</v>
      </c>
      <c r="E37" s="147"/>
      <c r="F37" s="76" t="s">
        <v>288</v>
      </c>
      <c r="G37" s="77" t="e">
        <f>Report!#REF!</f>
        <v>#REF!</v>
      </c>
      <c r="H37" s="148"/>
    </row>
    <row r="38" spans="2:8">
      <c r="B38" s="146"/>
      <c r="C38" s="76" t="s">
        <v>289</v>
      </c>
      <c r="D38" s="77" t="e">
        <f>Report!#REF!</f>
        <v>#REF!</v>
      </c>
      <c r="E38" s="147"/>
      <c r="F38" s="76" t="s">
        <v>289</v>
      </c>
      <c r="G38" s="77" t="e">
        <f>Report!#REF!</f>
        <v>#REF!</v>
      </c>
      <c r="H38" s="148"/>
    </row>
    <row r="39" spans="2:8">
      <c r="B39" s="146"/>
      <c r="C39" s="76" t="s">
        <v>292</v>
      </c>
      <c r="D39" s="77" t="e">
        <f>Report!#REF!</f>
        <v>#REF!</v>
      </c>
      <c r="E39" s="147"/>
      <c r="F39" s="76" t="s">
        <v>292</v>
      </c>
      <c r="G39" s="77" t="e">
        <f>Report!#REF!</f>
        <v>#REF!</v>
      </c>
      <c r="H39" s="148"/>
    </row>
    <row r="40" spans="2:8">
      <c r="B40" s="146"/>
      <c r="C40" s="76" t="s">
        <v>296</v>
      </c>
      <c r="D40" s="77" t="e">
        <f>Report!#REF!</f>
        <v>#REF!</v>
      </c>
      <c r="E40" s="147"/>
      <c r="F40" s="76" t="s">
        <v>294</v>
      </c>
      <c r="G40" s="77" t="e">
        <f>Report!#REF!</f>
        <v>#REF!</v>
      </c>
      <c r="H40" s="148"/>
    </row>
    <row r="41" spans="2:8">
      <c r="B41" s="146"/>
      <c r="C41" s="76"/>
      <c r="D41" s="77"/>
      <c r="E41" s="147"/>
      <c r="F41" s="76" t="s">
        <v>296</v>
      </c>
      <c r="G41" s="77" t="e">
        <f>Report!#REF!</f>
        <v>#REF!</v>
      </c>
      <c r="H41" s="148"/>
    </row>
    <row r="42" spans="2:8">
      <c r="B42" s="146"/>
      <c r="C42" s="80" t="s">
        <v>299</v>
      </c>
      <c r="D42" s="81" t="e">
        <f>SUM(D33:D41)</f>
        <v>#REF!</v>
      </c>
      <c r="E42" s="147"/>
      <c r="F42" s="80" t="s">
        <v>299</v>
      </c>
      <c r="G42" s="184" t="e">
        <f>SUM(G33:G41)</f>
        <v>#REF!</v>
      </c>
      <c r="H42" s="148"/>
    </row>
    <row r="43" spans="2:8">
      <c r="B43" s="146"/>
      <c r="C43" s="147"/>
      <c r="D43" s="147"/>
      <c r="E43" s="147"/>
      <c r="F43" s="147"/>
      <c r="G43" s="147"/>
      <c r="H43" s="148"/>
    </row>
    <row r="44" spans="2:8">
      <c r="B44" s="146"/>
      <c r="C44" s="147"/>
      <c r="D44" s="147"/>
      <c r="E44" s="147"/>
      <c r="F44" s="147"/>
      <c r="G44" s="147"/>
      <c r="H44" s="148"/>
    </row>
    <row r="45" spans="2:8">
      <c r="B45" s="146"/>
      <c r="C45" s="147"/>
      <c r="D45" s="147"/>
      <c r="E45" s="147"/>
      <c r="F45" s="147"/>
      <c r="G45" s="147"/>
      <c r="H45" s="148"/>
    </row>
    <row r="46" spans="2:8">
      <c r="B46" s="146"/>
      <c r="C46" s="643" t="s">
        <v>282</v>
      </c>
      <c r="D46" s="644"/>
      <c r="E46" s="147"/>
      <c r="F46" s="643" t="s">
        <v>350</v>
      </c>
      <c r="G46" s="644"/>
      <c r="H46" s="148"/>
    </row>
    <row r="47" spans="2:8" ht="25.5">
      <c r="B47" s="146"/>
      <c r="C47" s="74" t="s">
        <v>283</v>
      </c>
      <c r="D47" s="74" t="s">
        <v>284</v>
      </c>
      <c r="E47" s="147"/>
      <c r="F47" s="74" t="s">
        <v>283</v>
      </c>
      <c r="G47" s="74" t="s">
        <v>284</v>
      </c>
      <c r="H47" s="148"/>
    </row>
    <row r="48" spans="2:8">
      <c r="B48" s="146"/>
      <c r="C48" s="76" t="s">
        <v>285</v>
      </c>
      <c r="D48" s="145" t="e">
        <f>Report!#REF!</f>
        <v>#REF!</v>
      </c>
      <c r="E48" s="147"/>
      <c r="F48" s="76" t="s">
        <v>285</v>
      </c>
      <c r="G48" s="145" t="e">
        <f>Report!#REF!</f>
        <v>#REF!</v>
      </c>
      <c r="H48" s="148"/>
    </row>
    <row r="49" spans="2:8">
      <c r="B49" s="146"/>
      <c r="C49" s="76" t="s">
        <v>286</v>
      </c>
      <c r="D49" s="77" t="e">
        <f>Report!#REF!</f>
        <v>#REF!</v>
      </c>
      <c r="E49" s="147"/>
      <c r="F49" s="76" t="s">
        <v>286</v>
      </c>
      <c r="G49" s="77" t="e">
        <f>Report!#REF!</f>
        <v>#REF!</v>
      </c>
      <c r="H49" s="148"/>
    </row>
    <row r="50" spans="2:8">
      <c r="B50" s="146"/>
      <c r="C50" s="76" t="s">
        <v>287</v>
      </c>
      <c r="D50" s="77" t="e">
        <f>Report!#REF!</f>
        <v>#REF!</v>
      </c>
      <c r="E50" s="147"/>
      <c r="F50" s="76" t="s">
        <v>287</v>
      </c>
      <c r="G50" s="77" t="e">
        <f>Report!#REF!</f>
        <v>#REF!</v>
      </c>
      <c r="H50" s="148"/>
    </row>
    <row r="51" spans="2:8">
      <c r="B51" s="146"/>
      <c r="C51" s="76" t="s">
        <v>452</v>
      </c>
      <c r="D51" s="77" t="e">
        <f>Report!#REF!</f>
        <v>#REF!</v>
      </c>
      <c r="E51" s="147"/>
      <c r="F51" s="76" t="s">
        <v>452</v>
      </c>
      <c r="G51" s="77"/>
      <c r="H51" s="148"/>
    </row>
    <row r="52" spans="2:8">
      <c r="B52" s="146"/>
      <c r="C52" s="76" t="s">
        <v>288</v>
      </c>
      <c r="D52" s="77" t="e">
        <f>Report!#REF!</f>
        <v>#REF!</v>
      </c>
      <c r="E52" s="147"/>
      <c r="F52" s="76" t="s">
        <v>288</v>
      </c>
      <c r="G52" s="77" t="e">
        <f>Report!#REF!</f>
        <v>#REF!</v>
      </c>
      <c r="H52" s="148"/>
    </row>
    <row r="53" spans="2:8">
      <c r="B53" s="146"/>
      <c r="C53" s="76" t="s">
        <v>289</v>
      </c>
      <c r="D53" s="77" t="e">
        <f>Report!#REF!</f>
        <v>#REF!</v>
      </c>
      <c r="E53" s="147"/>
      <c r="F53" s="76" t="s">
        <v>289</v>
      </c>
      <c r="G53" s="77" t="e">
        <f>Report!#REF!</f>
        <v>#REF!</v>
      </c>
      <c r="H53" s="148"/>
    </row>
    <row r="54" spans="2:8">
      <c r="B54" s="146"/>
      <c r="C54" s="76"/>
      <c r="D54" s="77"/>
      <c r="E54" s="147"/>
      <c r="F54" s="76" t="s">
        <v>290</v>
      </c>
      <c r="G54" s="77" t="e">
        <f>Report!#REF!</f>
        <v>#REF!</v>
      </c>
      <c r="H54" s="148"/>
    </row>
    <row r="55" spans="2:8">
      <c r="B55" s="146"/>
      <c r="C55" s="76"/>
      <c r="D55" s="77"/>
      <c r="E55" s="147"/>
      <c r="F55" s="76" t="s">
        <v>292</v>
      </c>
      <c r="G55" s="77" t="e">
        <f>Report!#REF!</f>
        <v>#REF!</v>
      </c>
      <c r="H55" s="148"/>
    </row>
    <row r="56" spans="2:8">
      <c r="B56" s="146"/>
      <c r="C56" s="80" t="s">
        <v>299</v>
      </c>
      <c r="D56" s="81" t="e">
        <f>SUM(D48:D55)</f>
        <v>#REF!</v>
      </c>
      <c r="E56" s="147"/>
      <c r="F56" s="76" t="s">
        <v>342</v>
      </c>
      <c r="G56" s="77" t="e">
        <f>Report!#REF!</f>
        <v>#REF!</v>
      </c>
      <c r="H56" s="148"/>
    </row>
    <row r="57" spans="2:8">
      <c r="B57" s="146"/>
      <c r="E57" s="147"/>
      <c r="F57" s="76" t="s">
        <v>297</v>
      </c>
      <c r="G57" s="77" t="e">
        <f>Report!#REF!</f>
        <v>#REF!</v>
      </c>
      <c r="H57" s="148"/>
    </row>
    <row r="58" spans="2:8">
      <c r="B58" s="146"/>
      <c r="C58" s="147"/>
      <c r="D58" s="147"/>
      <c r="E58" s="147"/>
      <c r="F58" s="80" t="s">
        <v>299</v>
      </c>
      <c r="G58" s="81" t="e">
        <f>SUM(G48:G57)</f>
        <v>#REF!</v>
      </c>
      <c r="H58" s="148"/>
    </row>
    <row r="59" spans="2:8">
      <c r="B59" s="146"/>
      <c r="C59" s="147"/>
      <c r="D59" s="147"/>
      <c r="E59" s="147"/>
      <c r="F59" s="147"/>
      <c r="G59" s="147"/>
      <c r="H59" s="148"/>
    </row>
    <row r="60" spans="2:8">
      <c r="B60" s="146"/>
      <c r="C60" s="147"/>
      <c r="D60" s="147"/>
      <c r="E60" s="147"/>
      <c r="F60" s="147"/>
      <c r="G60" s="147"/>
      <c r="H60" s="148"/>
    </row>
    <row r="61" spans="2:8">
      <c r="B61" s="146"/>
      <c r="C61" s="643" t="s">
        <v>176</v>
      </c>
      <c r="D61" s="644"/>
      <c r="E61" s="147"/>
      <c r="F61" s="643" t="s">
        <v>351</v>
      </c>
      <c r="G61" s="644"/>
      <c r="H61" s="148"/>
    </row>
    <row r="62" spans="2:8" ht="25.5">
      <c r="B62" s="146"/>
      <c r="C62" s="74" t="s">
        <v>283</v>
      </c>
      <c r="D62" s="74" t="s">
        <v>284</v>
      </c>
      <c r="E62" s="147"/>
      <c r="F62" s="74" t="s">
        <v>283</v>
      </c>
      <c r="G62" s="74" t="s">
        <v>284</v>
      </c>
      <c r="H62" s="148"/>
    </row>
    <row r="63" spans="2:8">
      <c r="B63" s="146"/>
      <c r="C63" s="76" t="s">
        <v>285</v>
      </c>
      <c r="D63" s="145" t="e">
        <f>Report!#REF!</f>
        <v>#REF!</v>
      </c>
      <c r="E63" s="147"/>
      <c r="F63" s="76" t="s">
        <v>285</v>
      </c>
      <c r="G63" s="145" t="e">
        <f>Report!#REF!</f>
        <v>#REF!</v>
      </c>
      <c r="H63" s="148"/>
    </row>
    <row r="64" spans="2:8">
      <c r="B64" s="146"/>
      <c r="C64" s="76" t="s">
        <v>286</v>
      </c>
      <c r="D64" s="77" t="e">
        <f>Report!#REF!</f>
        <v>#REF!</v>
      </c>
      <c r="E64" s="147"/>
      <c r="F64" s="76" t="s">
        <v>286</v>
      </c>
      <c r="G64" s="77" t="e">
        <f>Report!#REF!</f>
        <v>#REF!</v>
      </c>
      <c r="H64" s="148"/>
    </row>
    <row r="65" spans="2:8">
      <c r="B65" s="146"/>
      <c r="C65" s="76" t="s">
        <v>287</v>
      </c>
      <c r="D65" s="77" t="e">
        <f>Report!#REF!</f>
        <v>#REF!</v>
      </c>
      <c r="E65" s="147"/>
      <c r="F65" s="76" t="s">
        <v>287</v>
      </c>
      <c r="G65" s="77" t="e">
        <f>Report!#REF!</f>
        <v>#REF!</v>
      </c>
      <c r="H65" s="148"/>
    </row>
    <row r="66" spans="2:8">
      <c r="B66" s="146"/>
      <c r="C66" s="76" t="s">
        <v>452</v>
      </c>
      <c r="D66" s="77" t="e">
        <f>Report!#REF!</f>
        <v>#REF!</v>
      </c>
      <c r="E66" s="147"/>
      <c r="F66" s="76" t="s">
        <v>452</v>
      </c>
      <c r="G66" s="77"/>
      <c r="H66" s="148"/>
    </row>
    <row r="67" spans="2:8">
      <c r="B67" s="146"/>
      <c r="C67" s="76" t="s">
        <v>288</v>
      </c>
      <c r="D67" s="77" t="e">
        <f>Report!#REF!</f>
        <v>#REF!</v>
      </c>
      <c r="E67" s="147"/>
      <c r="F67" s="76" t="s">
        <v>288</v>
      </c>
      <c r="G67" s="77" t="e">
        <f>Report!#REF!</f>
        <v>#REF!</v>
      </c>
      <c r="H67" s="148"/>
    </row>
    <row r="68" spans="2:8">
      <c r="B68" s="146"/>
      <c r="C68" s="76" t="s">
        <v>289</v>
      </c>
      <c r="D68" s="77" t="e">
        <f>Report!#REF!</f>
        <v>#REF!</v>
      </c>
      <c r="E68" s="147"/>
      <c r="F68" s="76" t="s">
        <v>289</v>
      </c>
      <c r="G68" s="77" t="e">
        <f>Report!#REF!</f>
        <v>#REF!</v>
      </c>
      <c r="H68" s="148"/>
    </row>
    <row r="69" spans="2:8">
      <c r="B69" s="146"/>
      <c r="C69" s="80" t="s">
        <v>299</v>
      </c>
      <c r="D69" s="184" t="e">
        <f>SUM(D63:D68)</f>
        <v>#REF!</v>
      </c>
      <c r="E69" s="147"/>
      <c r="F69" s="80" t="s">
        <v>299</v>
      </c>
      <c r="G69" s="184" t="e">
        <f>SUM(G63:G68)</f>
        <v>#REF!</v>
      </c>
      <c r="H69" s="148"/>
    </row>
    <row r="70" spans="2:8">
      <c r="B70" s="146"/>
      <c r="C70" s="147"/>
      <c r="D70" s="147"/>
      <c r="E70" s="147"/>
      <c r="F70" s="147"/>
      <c r="G70" s="147"/>
      <c r="H70" s="148"/>
    </row>
    <row r="71" spans="2:8">
      <c r="B71" s="146"/>
      <c r="C71" s="147"/>
      <c r="D71" s="147"/>
      <c r="E71" s="147"/>
      <c r="F71" s="147"/>
      <c r="G71" s="147"/>
      <c r="H71" s="148"/>
    </row>
    <row r="72" spans="2:8">
      <c r="B72" s="146"/>
      <c r="C72" s="147"/>
      <c r="D72" s="147"/>
      <c r="E72" s="147"/>
      <c r="F72" s="147"/>
      <c r="G72" s="147"/>
      <c r="H72" s="148"/>
    </row>
    <row r="73" spans="2:8">
      <c r="B73" s="146"/>
      <c r="C73" s="643" t="s">
        <v>177</v>
      </c>
      <c r="D73" s="644"/>
      <c r="E73" s="147"/>
      <c r="F73" s="643" t="s">
        <v>352</v>
      </c>
      <c r="G73" s="644"/>
      <c r="H73" s="148"/>
    </row>
    <row r="74" spans="2:8" ht="25.5">
      <c r="B74" s="146"/>
      <c r="C74" s="74" t="s">
        <v>283</v>
      </c>
      <c r="D74" s="74" t="s">
        <v>284</v>
      </c>
      <c r="E74" s="147"/>
      <c r="F74" s="74" t="s">
        <v>283</v>
      </c>
      <c r="G74" s="74" t="s">
        <v>284</v>
      </c>
      <c r="H74" s="148"/>
    </row>
    <row r="75" spans="2:8">
      <c r="B75" s="146"/>
      <c r="C75" s="76" t="s">
        <v>285</v>
      </c>
      <c r="D75" s="145" t="e">
        <f>Report!#REF!</f>
        <v>#REF!</v>
      </c>
      <c r="E75" s="147"/>
      <c r="F75" s="76" t="s">
        <v>285</v>
      </c>
      <c r="G75" s="145" t="e">
        <f>Report!#REF!</f>
        <v>#REF!</v>
      </c>
      <c r="H75" s="148"/>
    </row>
    <row r="76" spans="2:8">
      <c r="B76" s="146"/>
      <c r="C76" s="76" t="s">
        <v>286</v>
      </c>
      <c r="D76" s="77" t="e">
        <f>Report!#REF!</f>
        <v>#REF!</v>
      </c>
      <c r="E76" s="147"/>
      <c r="F76" s="76" t="s">
        <v>286</v>
      </c>
      <c r="G76" s="77" t="e">
        <f>Report!#REF!</f>
        <v>#REF!</v>
      </c>
      <c r="H76" s="148"/>
    </row>
    <row r="77" spans="2:8">
      <c r="B77" s="146"/>
      <c r="C77" s="76" t="s">
        <v>287</v>
      </c>
      <c r="D77" s="77" t="e">
        <f>Report!#REF!</f>
        <v>#REF!</v>
      </c>
      <c r="E77" s="147"/>
      <c r="F77" s="76" t="s">
        <v>287</v>
      </c>
      <c r="G77" s="77" t="e">
        <f>Report!#REF!</f>
        <v>#REF!</v>
      </c>
      <c r="H77" s="148"/>
    </row>
    <row r="78" spans="2:8">
      <c r="B78" s="146"/>
      <c r="C78" s="76" t="s">
        <v>452</v>
      </c>
      <c r="D78" s="77" t="e">
        <f>Report!#REF!</f>
        <v>#REF!</v>
      </c>
      <c r="E78" s="147"/>
      <c r="F78" s="76" t="s">
        <v>452</v>
      </c>
      <c r="G78" s="77"/>
      <c r="H78" s="148"/>
    </row>
    <row r="79" spans="2:8">
      <c r="B79" s="146"/>
      <c r="C79" s="76" t="s">
        <v>288</v>
      </c>
      <c r="D79" s="77" t="e">
        <f>Report!#REF!</f>
        <v>#REF!</v>
      </c>
      <c r="E79" s="147"/>
      <c r="F79" s="76" t="s">
        <v>288</v>
      </c>
      <c r="G79" s="77" t="e">
        <f>Report!#REF!</f>
        <v>#REF!</v>
      </c>
      <c r="H79" s="148"/>
    </row>
    <row r="80" spans="2:8">
      <c r="B80" s="146"/>
      <c r="C80" s="76" t="s">
        <v>289</v>
      </c>
      <c r="D80" s="77" t="e">
        <f>Report!#REF!+Report!#REF!</f>
        <v>#REF!</v>
      </c>
      <c r="E80" s="147"/>
      <c r="F80" s="76" t="s">
        <v>289</v>
      </c>
      <c r="G80" s="77" t="e">
        <f>Report!#REF!</f>
        <v>#REF!</v>
      </c>
      <c r="H80" s="148"/>
    </row>
    <row r="81" spans="2:8">
      <c r="B81" s="146"/>
      <c r="C81" s="80" t="s">
        <v>299</v>
      </c>
      <c r="D81" s="81" t="e">
        <f>SUM(D75:D80)</f>
        <v>#REF!</v>
      </c>
      <c r="E81" s="147"/>
      <c r="F81" s="80" t="s">
        <v>299</v>
      </c>
      <c r="G81" s="184" t="e">
        <f>SUM(G75:G80)</f>
        <v>#REF!</v>
      </c>
      <c r="H81" s="148"/>
    </row>
    <row r="82" spans="2:8">
      <c r="B82" s="146"/>
      <c r="C82" s="147"/>
      <c r="D82" s="147"/>
      <c r="E82" s="147"/>
      <c r="F82" s="147"/>
      <c r="G82" s="147"/>
      <c r="H82" s="148"/>
    </row>
    <row r="83" spans="2:8">
      <c r="B83" s="146"/>
      <c r="C83" s="147"/>
      <c r="D83" s="147"/>
      <c r="E83" s="147"/>
      <c r="F83" s="147"/>
      <c r="G83" s="147"/>
      <c r="H83" s="148"/>
    </row>
    <row r="84" spans="2:8">
      <c r="B84" s="146"/>
      <c r="C84" s="147"/>
      <c r="D84" s="147"/>
      <c r="E84" s="147"/>
      <c r="F84" s="147"/>
      <c r="G84" s="147"/>
      <c r="H84" s="148"/>
    </row>
    <row r="85" spans="2:8">
      <c r="B85" s="146"/>
      <c r="C85" s="643" t="s">
        <v>242</v>
      </c>
      <c r="D85" s="644"/>
      <c r="E85" s="147"/>
      <c r="F85" s="643" t="s">
        <v>241</v>
      </c>
      <c r="G85" s="644"/>
      <c r="H85" s="148"/>
    </row>
    <row r="86" spans="2:8" ht="25.5">
      <c r="B86" s="146"/>
      <c r="C86" s="74" t="s">
        <v>283</v>
      </c>
      <c r="D86" s="74" t="s">
        <v>284</v>
      </c>
      <c r="E86" s="147"/>
      <c r="F86" s="74" t="s">
        <v>283</v>
      </c>
      <c r="G86" s="74" t="s">
        <v>284</v>
      </c>
      <c r="H86" s="148"/>
    </row>
    <row r="87" spans="2:8">
      <c r="B87" s="146"/>
      <c r="C87" s="76" t="s">
        <v>285</v>
      </c>
      <c r="D87" s="145" t="e">
        <f>Report!#REF!</f>
        <v>#REF!</v>
      </c>
      <c r="E87" s="147"/>
      <c r="F87" s="76" t="s">
        <v>285</v>
      </c>
      <c r="G87" s="145" t="e">
        <f>Report!#REF!</f>
        <v>#REF!</v>
      </c>
      <c r="H87" s="148"/>
    </row>
    <row r="88" spans="2:8">
      <c r="B88" s="146"/>
      <c r="C88" s="76" t="s">
        <v>286</v>
      </c>
      <c r="D88" s="77" t="e">
        <f>Report!#REF!</f>
        <v>#REF!</v>
      </c>
      <c r="E88" s="147"/>
      <c r="F88" s="76" t="s">
        <v>286</v>
      </c>
      <c r="G88" s="77" t="e">
        <f>Report!#REF!</f>
        <v>#REF!</v>
      </c>
      <c r="H88" s="148"/>
    </row>
    <row r="89" spans="2:8">
      <c r="B89" s="146"/>
      <c r="C89" s="76" t="s">
        <v>287</v>
      </c>
      <c r="D89" s="77" t="e">
        <f>Report!#REF!</f>
        <v>#REF!</v>
      </c>
      <c r="E89" s="147"/>
      <c r="F89" s="76" t="s">
        <v>287</v>
      </c>
      <c r="G89" s="77" t="e">
        <f>Report!#REF!</f>
        <v>#REF!</v>
      </c>
      <c r="H89" s="148"/>
    </row>
    <row r="90" spans="2:8">
      <c r="B90" s="146"/>
      <c r="C90" s="76" t="s">
        <v>452</v>
      </c>
      <c r="D90" s="77" t="e">
        <f>Report!#REF!</f>
        <v>#REF!</v>
      </c>
      <c r="E90" s="147"/>
      <c r="F90" s="76" t="s">
        <v>452</v>
      </c>
      <c r="G90" s="77" t="e">
        <f>Report!#REF!</f>
        <v>#REF!</v>
      </c>
      <c r="H90" s="148"/>
    </row>
    <row r="91" spans="2:8">
      <c r="B91" s="146"/>
      <c r="C91" s="76" t="s">
        <v>288</v>
      </c>
      <c r="D91" s="77" t="e">
        <f>Report!#REF!</f>
        <v>#REF!</v>
      </c>
      <c r="E91" s="147"/>
      <c r="F91" s="76" t="s">
        <v>288</v>
      </c>
      <c r="G91" s="77" t="e">
        <f>Report!#REF!</f>
        <v>#REF!</v>
      </c>
      <c r="H91" s="148"/>
    </row>
    <row r="92" spans="2:8">
      <c r="B92" s="146"/>
      <c r="C92" s="76" t="s">
        <v>289</v>
      </c>
      <c r="D92" s="77" t="e">
        <f>Report!#REF!</f>
        <v>#REF!</v>
      </c>
      <c r="E92" s="147"/>
      <c r="F92" s="76" t="s">
        <v>289</v>
      </c>
      <c r="G92" s="77" t="e">
        <f>Report!#REF!</f>
        <v>#REF!</v>
      </c>
      <c r="H92" s="148"/>
    </row>
    <row r="93" spans="2:8">
      <c r="B93" s="146"/>
      <c r="C93" s="80" t="s">
        <v>299</v>
      </c>
      <c r="D93" s="184" t="e">
        <f>SUM(D87:D92)</f>
        <v>#REF!</v>
      </c>
      <c r="E93" s="147"/>
      <c r="F93" s="80" t="s">
        <v>299</v>
      </c>
      <c r="G93" s="184" t="e">
        <f>SUM(G87:G92)</f>
        <v>#REF!</v>
      </c>
      <c r="H93" s="148"/>
    </row>
    <row r="94" spans="2:8" ht="13.5" thickBot="1">
      <c r="B94" s="149"/>
      <c r="C94" s="150"/>
      <c r="D94" s="150"/>
      <c r="E94" s="150"/>
      <c r="F94" s="150"/>
      <c r="G94" s="150"/>
      <c r="H94" s="151"/>
    </row>
  </sheetData>
  <mergeCells count="14">
    <mergeCell ref="C85:D85"/>
    <mergeCell ref="F85:G85"/>
    <mergeCell ref="C46:D46"/>
    <mergeCell ref="F46:G46"/>
    <mergeCell ref="C61:D61"/>
    <mergeCell ref="F61:G61"/>
    <mergeCell ref="C73:D73"/>
    <mergeCell ref="F73:G73"/>
    <mergeCell ref="C5:D5"/>
    <mergeCell ref="C6:D6"/>
    <mergeCell ref="C8:D8"/>
    <mergeCell ref="F8:G8"/>
    <mergeCell ref="C31:D31"/>
    <mergeCell ref="F31:G31"/>
  </mergeCells>
  <conditionalFormatting sqref="K2">
    <cfRule type="cellIs" dxfId="1291" priority="1" operator="not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8">
    <tabColor rgb="FF00B050"/>
  </sheetPr>
  <dimension ref="B1:AA463"/>
  <sheetViews>
    <sheetView zoomScaleNormal="100" workbookViewId="0">
      <pane xSplit="2" ySplit="3" topLeftCell="C442" activePane="bottomRight" state="frozen"/>
      <selection activeCell="M60" sqref="M60"/>
      <selection pane="topRight" activeCell="M60" sqref="M60"/>
      <selection pane="bottomLeft" activeCell="M60" sqref="M60"/>
      <selection pane="bottomRight" activeCell="A462" sqref="A462:XFD462"/>
    </sheetView>
  </sheetViews>
  <sheetFormatPr defaultColWidth="9.140625" defaultRowHeight="12.75"/>
  <cols>
    <col min="1" max="1" width="9.140625" style="16"/>
    <col min="2" max="2" width="10.140625" style="17" bestFit="1" customWidth="1"/>
    <col min="3" max="3" width="2.28515625" style="28" customWidth="1"/>
    <col min="4" max="6" width="17.7109375" style="27" customWidth="1"/>
    <col min="7" max="7" width="2.28515625" style="28" customWidth="1"/>
    <col min="8" max="10" width="17.7109375" style="27" customWidth="1"/>
    <col min="11" max="11" width="2.28515625" style="28" customWidth="1"/>
    <col min="12" max="14" width="17.7109375" style="279" customWidth="1"/>
    <col min="15" max="15" width="2.28515625" style="280" customWidth="1"/>
    <col min="16" max="18" width="17.7109375" style="279" customWidth="1"/>
    <col min="19" max="19" width="2.28515625" style="280" customWidth="1"/>
    <col min="20" max="22" width="17.7109375" style="279" customWidth="1"/>
    <col min="23" max="23" width="2.28515625" style="280" customWidth="1"/>
    <col min="24" max="26" width="17.7109375" style="279" customWidth="1"/>
    <col min="27" max="27" width="2.28515625" style="280" customWidth="1"/>
    <col min="28" max="16384" width="9.140625" style="16"/>
  </cols>
  <sheetData>
    <row r="1" spans="2:27" s="22" customFormat="1">
      <c r="B1" s="23"/>
      <c r="C1" s="42">
        <f t="shared" ref="C1:AA1" si="0">COLUMN()-1</f>
        <v>2</v>
      </c>
      <c r="D1" s="42">
        <f t="shared" si="0"/>
        <v>3</v>
      </c>
      <c r="E1" s="42">
        <f t="shared" si="0"/>
        <v>4</v>
      </c>
      <c r="F1" s="42">
        <f t="shared" si="0"/>
        <v>5</v>
      </c>
      <c r="G1" s="42">
        <f t="shared" si="0"/>
        <v>6</v>
      </c>
      <c r="H1" s="42">
        <f t="shared" si="0"/>
        <v>7</v>
      </c>
      <c r="I1" s="42">
        <f t="shared" si="0"/>
        <v>8</v>
      </c>
      <c r="J1" s="42">
        <f t="shared" si="0"/>
        <v>9</v>
      </c>
      <c r="K1" s="42">
        <f t="shared" si="0"/>
        <v>10</v>
      </c>
      <c r="L1" s="42">
        <f t="shared" si="0"/>
        <v>11</v>
      </c>
      <c r="M1" s="42">
        <f t="shared" si="0"/>
        <v>12</v>
      </c>
      <c r="N1" s="42">
        <f t="shared" si="0"/>
        <v>13</v>
      </c>
      <c r="O1" s="42">
        <f t="shared" si="0"/>
        <v>14</v>
      </c>
      <c r="P1" s="42">
        <f t="shared" si="0"/>
        <v>15</v>
      </c>
      <c r="Q1" s="42">
        <f t="shared" si="0"/>
        <v>16</v>
      </c>
      <c r="R1" s="42">
        <f t="shared" si="0"/>
        <v>17</v>
      </c>
      <c r="S1" s="42">
        <f t="shared" si="0"/>
        <v>18</v>
      </c>
      <c r="T1" s="42">
        <f t="shared" si="0"/>
        <v>19</v>
      </c>
      <c r="U1" s="42">
        <f t="shared" si="0"/>
        <v>20</v>
      </c>
      <c r="V1" s="42">
        <f t="shared" si="0"/>
        <v>21</v>
      </c>
      <c r="W1" s="42">
        <f t="shared" si="0"/>
        <v>22</v>
      </c>
      <c r="X1" s="42">
        <f t="shared" si="0"/>
        <v>23</v>
      </c>
      <c r="Y1" s="42">
        <f t="shared" si="0"/>
        <v>24</v>
      </c>
      <c r="Z1" s="42">
        <f t="shared" si="0"/>
        <v>25</v>
      </c>
      <c r="AA1" s="42">
        <f t="shared" si="0"/>
        <v>26</v>
      </c>
    </row>
    <row r="2" spans="2:27">
      <c r="B2" s="651" t="s">
        <v>266</v>
      </c>
      <c r="C2" s="24"/>
      <c r="D2" s="653" t="s">
        <v>759</v>
      </c>
      <c r="E2" s="654"/>
      <c r="F2" s="655"/>
      <c r="G2" s="24"/>
      <c r="H2" s="656" t="s">
        <v>762</v>
      </c>
      <c r="I2" s="657"/>
      <c r="J2" s="658"/>
      <c r="K2" s="24"/>
      <c r="L2" s="659" t="s">
        <v>760</v>
      </c>
      <c r="M2" s="660"/>
      <c r="N2" s="661"/>
      <c r="O2" s="24"/>
      <c r="P2" s="662" t="s">
        <v>761</v>
      </c>
      <c r="Q2" s="663"/>
      <c r="R2" s="664"/>
      <c r="S2" s="24"/>
      <c r="T2" s="645" t="s">
        <v>763</v>
      </c>
      <c r="U2" s="646"/>
      <c r="V2" s="647"/>
      <c r="W2" s="24"/>
      <c r="X2" s="648" t="s">
        <v>764</v>
      </c>
      <c r="Y2" s="649"/>
      <c r="Z2" s="650"/>
      <c r="AA2" s="24"/>
    </row>
    <row r="3" spans="2:27">
      <c r="B3" s="652"/>
      <c r="C3" s="24"/>
      <c r="D3" s="375" t="s">
        <v>268</v>
      </c>
      <c r="E3" s="375" t="s">
        <v>269</v>
      </c>
      <c r="F3" s="375" t="s">
        <v>267</v>
      </c>
      <c r="G3" s="24"/>
      <c r="H3" s="376" t="s">
        <v>268</v>
      </c>
      <c r="I3" s="376" t="s">
        <v>269</v>
      </c>
      <c r="J3" s="376" t="s">
        <v>267</v>
      </c>
      <c r="K3" s="24"/>
      <c r="L3" s="25" t="s">
        <v>268</v>
      </c>
      <c r="M3" s="25" t="s">
        <v>269</v>
      </c>
      <c r="N3" s="25" t="s">
        <v>267</v>
      </c>
      <c r="O3" s="24"/>
      <c r="P3" s="377" t="s">
        <v>268</v>
      </c>
      <c r="Q3" s="377" t="s">
        <v>269</v>
      </c>
      <c r="R3" s="377" t="s">
        <v>267</v>
      </c>
      <c r="S3" s="24"/>
      <c r="T3" s="378" t="s">
        <v>268</v>
      </c>
      <c r="U3" s="378" t="s">
        <v>269</v>
      </c>
      <c r="V3" s="378" t="s">
        <v>267</v>
      </c>
      <c r="W3" s="24"/>
      <c r="X3" s="379" t="s">
        <v>268</v>
      </c>
      <c r="Y3" s="379" t="s">
        <v>269</v>
      </c>
      <c r="Z3" s="379" t="s">
        <v>267</v>
      </c>
      <c r="AA3" s="24"/>
    </row>
    <row r="4" spans="2:27" s="276" customFormat="1">
      <c r="B4" s="238">
        <v>45490</v>
      </c>
      <c r="C4" s="290"/>
      <c r="D4" s="290">
        <v>1794979.66</v>
      </c>
      <c r="E4" s="290">
        <v>-178333.32999992371</v>
      </c>
      <c r="F4" s="290">
        <v>0</v>
      </c>
      <c r="G4" s="290"/>
      <c r="H4" s="290">
        <v>1628274.14</v>
      </c>
      <c r="I4" s="290">
        <v>-190900.43999958038</v>
      </c>
      <c r="J4" s="313">
        <v>0</v>
      </c>
      <c r="K4" s="280"/>
      <c r="L4" s="290">
        <v>1628274.14</v>
      </c>
      <c r="M4" s="290">
        <v>-190900.43999958038</v>
      </c>
      <c r="N4" s="313">
        <v>0</v>
      </c>
      <c r="O4" s="280"/>
      <c r="P4" s="290">
        <v>1628274.14</v>
      </c>
      <c r="Q4" s="290">
        <v>-190900.43999958038</v>
      </c>
      <c r="R4" s="313">
        <v>0</v>
      </c>
      <c r="S4" s="280"/>
      <c r="T4" s="290">
        <v>1628274.14</v>
      </c>
      <c r="U4" s="290">
        <v>-190900.43999958038</v>
      </c>
      <c r="V4" s="313">
        <v>0</v>
      </c>
      <c r="W4" s="280"/>
      <c r="X4" s="290">
        <v>1628274.14</v>
      </c>
      <c r="Y4" s="290">
        <v>-190900.43999958038</v>
      </c>
      <c r="Z4" s="313">
        <v>0</v>
      </c>
      <c r="AA4" s="280"/>
    </row>
    <row r="5" spans="2:27" s="276" customFormat="1">
      <c r="B5" s="238">
        <v>45491</v>
      </c>
      <c r="C5" s="290"/>
      <c r="D5" s="290">
        <v>0</v>
      </c>
      <c r="E5" s="290">
        <v>0</v>
      </c>
      <c r="F5" s="290">
        <v>0</v>
      </c>
      <c r="G5" s="290"/>
      <c r="H5" s="290">
        <v>0</v>
      </c>
      <c r="I5" s="290">
        <v>0</v>
      </c>
      <c r="J5" s="313">
        <v>0</v>
      </c>
      <c r="K5" s="280"/>
      <c r="L5" s="290">
        <v>0</v>
      </c>
      <c r="M5" s="290">
        <v>0</v>
      </c>
      <c r="N5" s="313">
        <v>0</v>
      </c>
      <c r="O5" s="280"/>
      <c r="P5" s="290">
        <v>0</v>
      </c>
      <c r="Q5" s="290">
        <v>0</v>
      </c>
      <c r="R5" s="313">
        <v>0</v>
      </c>
      <c r="S5" s="280"/>
      <c r="T5" s="290">
        <v>0</v>
      </c>
      <c r="U5" s="290">
        <v>0</v>
      </c>
      <c r="V5" s="313">
        <v>0</v>
      </c>
      <c r="W5" s="280"/>
      <c r="X5" s="290">
        <v>0</v>
      </c>
      <c r="Y5" s="290">
        <v>0</v>
      </c>
      <c r="Z5" s="313">
        <v>0</v>
      </c>
      <c r="AA5" s="280"/>
    </row>
    <row r="6" spans="2:27" s="276" customFormat="1">
      <c r="B6" s="238">
        <v>45492</v>
      </c>
      <c r="C6" s="290"/>
      <c r="D6" s="290">
        <v>0</v>
      </c>
      <c r="E6" s="290">
        <v>335339.67332767695</v>
      </c>
      <c r="F6" s="290">
        <v>335339.67</v>
      </c>
      <c r="G6" s="290"/>
      <c r="H6" s="290">
        <v>0</v>
      </c>
      <c r="I6" s="290">
        <v>1000574.2666717619</v>
      </c>
      <c r="J6" s="313">
        <v>1000574.27</v>
      </c>
      <c r="K6" s="280"/>
      <c r="L6" s="290">
        <v>0</v>
      </c>
      <c r="M6" s="290">
        <v>0</v>
      </c>
      <c r="N6" s="313">
        <v>0</v>
      </c>
      <c r="O6" s="280"/>
      <c r="P6" s="290">
        <v>0</v>
      </c>
      <c r="Q6" s="290">
        <v>0</v>
      </c>
      <c r="R6" s="313">
        <v>0</v>
      </c>
      <c r="S6" s="280"/>
      <c r="T6" s="290">
        <v>0</v>
      </c>
      <c r="U6" s="290">
        <v>0</v>
      </c>
      <c r="V6" s="313">
        <v>0</v>
      </c>
      <c r="W6" s="280"/>
      <c r="X6" s="290">
        <v>0</v>
      </c>
      <c r="Y6" s="290">
        <v>0</v>
      </c>
      <c r="Z6" s="313">
        <v>0</v>
      </c>
      <c r="AA6" s="280"/>
    </row>
    <row r="7" spans="2:27" s="276" customFormat="1">
      <c r="B7" s="238">
        <v>45495</v>
      </c>
      <c r="C7" s="290"/>
      <c r="D7" s="290">
        <v>335339.67</v>
      </c>
      <c r="E7" s="290">
        <v>1008465.7200008631</v>
      </c>
      <c r="F7" s="290">
        <v>1343805.39</v>
      </c>
      <c r="G7" s="290"/>
      <c r="H7" s="290">
        <v>1000574.27</v>
      </c>
      <c r="I7" s="290">
        <v>2624122.399998039</v>
      </c>
      <c r="J7" s="313">
        <v>3624696.67</v>
      </c>
      <c r="K7" s="280"/>
      <c r="L7" s="290">
        <v>0</v>
      </c>
      <c r="M7" s="290">
        <v>819484.5633354187</v>
      </c>
      <c r="N7" s="313">
        <v>819484.56</v>
      </c>
      <c r="O7" s="280"/>
      <c r="P7" s="290">
        <v>0</v>
      </c>
      <c r="Q7" s="290">
        <v>675039.74333584309</v>
      </c>
      <c r="R7" s="313">
        <v>675039.74</v>
      </c>
      <c r="S7" s="280"/>
      <c r="T7" s="290">
        <v>0</v>
      </c>
      <c r="U7" s="290">
        <v>1576046.5866683573</v>
      </c>
      <c r="V7" s="313">
        <v>1576046.59</v>
      </c>
      <c r="W7" s="280"/>
      <c r="X7" s="290">
        <v>0</v>
      </c>
      <c r="Y7" s="290">
        <v>374600.48000014201</v>
      </c>
      <c r="Z7" s="313">
        <v>374600.48</v>
      </c>
      <c r="AA7" s="280"/>
    </row>
    <row r="8" spans="2:27" s="276" customFormat="1">
      <c r="B8" s="238">
        <v>45496</v>
      </c>
      <c r="C8" s="290"/>
      <c r="D8" s="290">
        <v>1343805.39</v>
      </c>
      <c r="E8" s="290">
        <v>-1039384.1299997345</v>
      </c>
      <c r="F8" s="290">
        <v>304421.26</v>
      </c>
      <c r="G8" s="290"/>
      <c r="H8" s="290">
        <v>3624696.67</v>
      </c>
      <c r="I8" s="290">
        <v>-1864968.4700000733</v>
      </c>
      <c r="J8" s="313">
        <v>1759728.2</v>
      </c>
      <c r="K8" s="280"/>
      <c r="L8" s="290">
        <v>819484.56</v>
      </c>
      <c r="M8" s="290">
        <v>753164.48000181839</v>
      </c>
      <c r="N8" s="313">
        <v>1572649.04</v>
      </c>
      <c r="O8" s="280"/>
      <c r="P8" s="290">
        <v>675039.74</v>
      </c>
      <c r="Q8" s="290">
        <v>-279412.63999969885</v>
      </c>
      <c r="R8" s="313">
        <v>395627.1</v>
      </c>
      <c r="S8" s="280"/>
      <c r="T8" s="290">
        <v>1576046.59</v>
      </c>
      <c r="U8" s="290">
        <v>-973567.80000167713</v>
      </c>
      <c r="V8" s="313">
        <v>602478.79</v>
      </c>
      <c r="W8" s="280"/>
      <c r="X8" s="290">
        <v>374600.48</v>
      </c>
      <c r="Y8" s="290">
        <v>-251763.93999950588</v>
      </c>
      <c r="Z8" s="313">
        <v>122836.54</v>
      </c>
      <c r="AA8" s="280"/>
    </row>
    <row r="9" spans="2:27" s="276" customFormat="1">
      <c r="B9" s="238">
        <v>45497</v>
      </c>
      <c r="C9" s="290"/>
      <c r="D9" s="290">
        <v>304421.26</v>
      </c>
      <c r="E9" s="290">
        <v>-102676.48999822512</v>
      </c>
      <c r="F9" s="290">
        <v>201744.77</v>
      </c>
      <c r="G9" s="290"/>
      <c r="H9" s="290">
        <v>1759728.2</v>
      </c>
      <c r="I9" s="290">
        <v>873576.10999894142</v>
      </c>
      <c r="J9" s="313">
        <v>2633304.31</v>
      </c>
      <c r="K9" s="280"/>
      <c r="L9" s="290">
        <v>1572649.04</v>
      </c>
      <c r="M9" s="290">
        <v>-1101619.2800022513</v>
      </c>
      <c r="N9" s="313">
        <v>471029.76000000001</v>
      </c>
      <c r="O9" s="280"/>
      <c r="P9" s="290">
        <v>395627.1</v>
      </c>
      <c r="Q9" s="290">
        <v>2106144847.0999999</v>
      </c>
      <c r="R9" s="290">
        <v>2267928.08</v>
      </c>
      <c r="S9" s="280"/>
      <c r="T9" s="290">
        <v>602478.79</v>
      </c>
      <c r="U9" s="290">
        <v>15189.390000037849</v>
      </c>
      <c r="V9" s="313">
        <v>617668.18000000005</v>
      </c>
      <c r="W9" s="280"/>
      <c r="X9" s="290">
        <v>122836.54</v>
      </c>
      <c r="Y9" s="290">
        <v>144187.06999989599</v>
      </c>
      <c r="Z9" s="313">
        <v>267023.61</v>
      </c>
      <c r="AA9" s="280"/>
    </row>
    <row r="10" spans="2:27" s="276" customFormat="1">
      <c r="B10" s="238">
        <v>45498</v>
      </c>
      <c r="C10" s="290"/>
      <c r="D10" s="290">
        <v>201744.77</v>
      </c>
      <c r="E10" s="290">
        <v>689777.83000087738</v>
      </c>
      <c r="F10" s="290">
        <v>891522.6</v>
      </c>
      <c r="G10" s="290"/>
      <c r="H10" s="290">
        <v>2633304.31</v>
      </c>
      <c r="I10" s="290">
        <v>-984750.42000198364</v>
      </c>
      <c r="J10" s="313">
        <v>1648553.89</v>
      </c>
      <c r="K10" s="280"/>
      <c r="L10" s="290">
        <v>471029.76000000001</v>
      </c>
      <c r="M10" s="290">
        <v>1070386.2600009441</v>
      </c>
      <c r="N10" s="313">
        <v>1541416.02</v>
      </c>
      <c r="O10" s="280"/>
      <c r="P10" s="290">
        <v>2267928.08</v>
      </c>
      <c r="Q10" s="290">
        <v>-1716909.5100001097</v>
      </c>
      <c r="R10" s="313">
        <v>551018.56999999995</v>
      </c>
      <c r="S10" s="280"/>
      <c r="T10" s="290">
        <v>617668.18000000005</v>
      </c>
      <c r="U10" s="290">
        <v>258359.63999968767</v>
      </c>
      <c r="V10" s="313">
        <v>876027.82</v>
      </c>
      <c r="W10" s="280"/>
      <c r="X10" s="290">
        <v>267023.61</v>
      </c>
      <c r="Y10" s="290">
        <v>842550.419999809</v>
      </c>
      <c r="Z10" s="313">
        <v>1109574.03</v>
      </c>
      <c r="AA10" s="280"/>
    </row>
    <row r="11" spans="2:27" s="276" customFormat="1">
      <c r="B11" s="238">
        <v>45499</v>
      </c>
      <c r="C11" s="290"/>
      <c r="D11" s="290">
        <v>891522.6</v>
      </c>
      <c r="E11" s="290">
        <v>1991542.0999993086</v>
      </c>
      <c r="F11" s="290">
        <v>2883064.7</v>
      </c>
      <c r="G11" s="290"/>
      <c r="H11" s="290">
        <v>1648553.89</v>
      </c>
      <c r="I11" s="290">
        <v>2119246.0999984741</v>
      </c>
      <c r="J11" s="313">
        <v>3767799.99</v>
      </c>
      <c r="K11" s="280"/>
      <c r="L11" s="290">
        <v>1541416.02</v>
      </c>
      <c r="M11" s="290">
        <v>136584.65000036359</v>
      </c>
      <c r="N11" s="313">
        <v>1678000.67</v>
      </c>
      <c r="O11" s="280"/>
      <c r="P11" s="290">
        <v>551018.56999999995</v>
      </c>
      <c r="Q11" s="290">
        <v>650206.89999982715</v>
      </c>
      <c r="R11" s="313">
        <v>1201225.47</v>
      </c>
      <c r="S11" s="280"/>
      <c r="T11" s="290">
        <v>876027.82</v>
      </c>
      <c r="U11" s="290">
        <v>-843013.28999996185</v>
      </c>
      <c r="V11" s="313">
        <v>33014.53</v>
      </c>
      <c r="W11" s="280"/>
      <c r="X11" s="290">
        <v>1109574.03</v>
      </c>
      <c r="Y11" s="290">
        <v>-121428.5435072137</v>
      </c>
      <c r="Z11" s="313">
        <v>988145.49</v>
      </c>
      <c r="AA11" s="280"/>
    </row>
    <row r="12" spans="2:27" s="276" customFormat="1">
      <c r="B12" s="238">
        <v>45500</v>
      </c>
      <c r="C12" s="290"/>
      <c r="D12" s="290">
        <v>2883064.7</v>
      </c>
      <c r="E12" s="290">
        <v>0</v>
      </c>
      <c r="F12" s="290">
        <v>2883064.7</v>
      </c>
      <c r="G12" s="290"/>
      <c r="H12" s="290">
        <v>3767799.99</v>
      </c>
      <c r="I12" s="290">
        <v>0</v>
      </c>
      <c r="J12" s="313">
        <v>3767799.99</v>
      </c>
      <c r="K12" s="280"/>
      <c r="L12" s="290">
        <v>1678000.67</v>
      </c>
      <c r="M12" s="290">
        <v>0</v>
      </c>
      <c r="N12" s="313">
        <v>1678000.67</v>
      </c>
      <c r="O12" s="280"/>
      <c r="P12" s="290">
        <v>1201225.47</v>
      </c>
      <c r="Q12" s="290">
        <v>0</v>
      </c>
      <c r="R12" s="313">
        <v>1201225.47</v>
      </c>
      <c r="S12" s="280"/>
      <c r="T12" s="290">
        <v>33014.53</v>
      </c>
      <c r="U12" s="290">
        <v>0</v>
      </c>
      <c r="V12" s="313">
        <v>33014.53</v>
      </c>
      <c r="W12" s="280"/>
      <c r="X12" s="290">
        <v>988145.49</v>
      </c>
      <c r="Y12" s="290">
        <v>0</v>
      </c>
      <c r="Z12" s="313">
        <v>988145.49</v>
      </c>
      <c r="AA12" s="280"/>
    </row>
    <row r="13" spans="2:27" s="276" customFormat="1">
      <c r="B13" s="238">
        <v>45501</v>
      </c>
      <c r="C13" s="290"/>
      <c r="D13" s="290">
        <v>2883064.7</v>
      </c>
      <c r="E13" s="290">
        <v>0</v>
      </c>
      <c r="F13" s="290">
        <v>2883064.7</v>
      </c>
      <c r="G13" s="290"/>
      <c r="H13" s="290">
        <v>3767799.99</v>
      </c>
      <c r="I13" s="290">
        <v>0</v>
      </c>
      <c r="J13" s="313">
        <v>3767799.99</v>
      </c>
      <c r="K13" s="280"/>
      <c r="L13" s="290">
        <v>1678000.67</v>
      </c>
      <c r="M13" s="290">
        <v>0</v>
      </c>
      <c r="N13" s="313">
        <v>1678000.67</v>
      </c>
      <c r="O13" s="280"/>
      <c r="P13" s="290">
        <v>1201225.47</v>
      </c>
      <c r="Q13" s="290">
        <v>0</v>
      </c>
      <c r="R13" s="313">
        <v>1201225.47</v>
      </c>
      <c r="S13" s="280"/>
      <c r="T13" s="290">
        <v>33014.53</v>
      </c>
      <c r="U13" s="290">
        <v>0</v>
      </c>
      <c r="V13" s="313">
        <v>33014.53</v>
      </c>
      <c r="W13" s="280"/>
      <c r="X13" s="290">
        <v>988145.49</v>
      </c>
      <c r="Y13" s="290">
        <v>0</v>
      </c>
      <c r="Z13" s="313">
        <v>988145.49</v>
      </c>
      <c r="AA13" s="280"/>
    </row>
    <row r="14" spans="2:27" s="276" customFormat="1">
      <c r="B14" s="238">
        <v>45502</v>
      </c>
      <c r="C14" s="290"/>
      <c r="D14" s="290">
        <v>2883064.7</v>
      </c>
      <c r="E14" s="290">
        <v>-2228945.8799997643</v>
      </c>
      <c r="F14" s="290">
        <v>654118.81999999995</v>
      </c>
      <c r="G14" s="290"/>
      <c r="H14" s="290">
        <v>3767799.99</v>
      </c>
      <c r="I14" s="290">
        <v>-631058.81000041962</v>
      </c>
      <c r="J14" s="313">
        <v>3136741.18</v>
      </c>
      <c r="K14" s="280"/>
      <c r="L14" s="290">
        <v>1678000.67</v>
      </c>
      <c r="M14" s="290">
        <v>-525653.83999732137</v>
      </c>
      <c r="N14" s="313">
        <v>1152346.83</v>
      </c>
      <c r="O14" s="280"/>
      <c r="P14" s="290">
        <v>1201225.47</v>
      </c>
      <c r="Q14" s="290">
        <v>543228.34000000358</v>
      </c>
      <c r="R14" s="313">
        <v>1744453.81</v>
      </c>
      <c r="S14" s="280"/>
      <c r="T14" s="290">
        <v>33014.53</v>
      </c>
      <c r="U14" s="290">
        <v>-9722.8099977970123</v>
      </c>
      <c r="V14" s="313">
        <v>23291.72</v>
      </c>
      <c r="W14" s="280"/>
      <c r="X14" s="290">
        <v>988145.49</v>
      </c>
      <c r="Y14" s="290">
        <v>2274791.6399998665</v>
      </c>
      <c r="Z14" s="313">
        <v>3262937.13</v>
      </c>
      <c r="AA14" s="280"/>
    </row>
    <row r="15" spans="2:27" s="276" customFormat="1">
      <c r="B15" s="238">
        <v>45503</v>
      </c>
      <c r="C15" s="290"/>
      <c r="D15" s="290">
        <v>654118.81999999995</v>
      </c>
      <c r="E15" s="290">
        <v>288659.85999908298</v>
      </c>
      <c r="F15" s="290">
        <v>942778.68</v>
      </c>
      <c r="G15" s="290"/>
      <c r="H15" s="290">
        <v>3136741.18</v>
      </c>
      <c r="I15" s="290">
        <v>-1084303.1800000668</v>
      </c>
      <c r="J15" s="313">
        <v>2052438</v>
      </c>
      <c r="K15" s="280"/>
      <c r="L15" s="290">
        <v>1152346.83</v>
      </c>
      <c r="M15" s="290">
        <v>1016033.759997597</v>
      </c>
      <c r="N15" s="313">
        <v>2168380.59</v>
      </c>
      <c r="O15" s="280"/>
      <c r="P15" s="290">
        <v>1744453.81</v>
      </c>
      <c r="Q15" s="290">
        <v>-1321834.5299997628</v>
      </c>
      <c r="R15" s="313">
        <v>422619.28</v>
      </c>
      <c r="S15" s="280"/>
      <c r="T15" s="290">
        <v>23291.72</v>
      </c>
      <c r="U15" s="290">
        <v>110031.03000056744</v>
      </c>
      <c r="V15" s="313">
        <v>133322.75</v>
      </c>
      <c r="W15" s="280"/>
      <c r="X15" s="290">
        <v>3262937.13</v>
      </c>
      <c r="Y15" s="290">
        <v>2078934.6199997663</v>
      </c>
      <c r="Z15" s="313">
        <v>5341871.75</v>
      </c>
      <c r="AA15" s="280"/>
    </row>
    <row r="16" spans="2:27" s="276" customFormat="1">
      <c r="B16" s="238">
        <v>45504</v>
      </c>
      <c r="C16" s="290"/>
      <c r="D16" s="290">
        <v>942778.68</v>
      </c>
      <c r="E16" s="290">
        <v>-147895.04999933206</v>
      </c>
      <c r="F16" s="290">
        <v>794883.63</v>
      </c>
      <c r="G16" s="290"/>
      <c r="H16" s="290">
        <v>2052438</v>
      </c>
      <c r="I16" s="290">
        <v>1131952.6399997696</v>
      </c>
      <c r="J16" s="313">
        <v>3184390.64</v>
      </c>
      <c r="K16" s="280"/>
      <c r="L16" s="290">
        <v>2168380.59</v>
      </c>
      <c r="M16" s="290">
        <v>-1196920.8500001505</v>
      </c>
      <c r="N16" s="313">
        <v>971459.74</v>
      </c>
      <c r="O16" s="280"/>
      <c r="P16" s="290">
        <v>422619.28</v>
      </c>
      <c r="Q16" s="290">
        <v>361652.14999985695</v>
      </c>
      <c r="R16" s="313">
        <v>784271.43</v>
      </c>
      <c r="S16" s="280"/>
      <c r="T16" s="290">
        <v>133322.75</v>
      </c>
      <c r="U16" s="290">
        <v>316018.31000041962</v>
      </c>
      <c r="V16" s="313">
        <v>449341.06</v>
      </c>
      <c r="W16" s="280"/>
      <c r="X16" s="290">
        <v>5341871.75</v>
      </c>
      <c r="Y16" s="290">
        <v>-4861841.900000209</v>
      </c>
      <c r="Z16" s="313">
        <v>480029.85</v>
      </c>
      <c r="AA16" s="280"/>
    </row>
    <row r="17" spans="2:27" s="276" customFormat="1">
      <c r="B17" s="238">
        <v>45505</v>
      </c>
      <c r="C17" s="290"/>
      <c r="D17" s="290">
        <v>794883.63</v>
      </c>
      <c r="E17" s="290">
        <v>-556311.30999978073</v>
      </c>
      <c r="F17" s="290">
        <v>238572.32</v>
      </c>
      <c r="G17" s="290"/>
      <c r="H17" s="290">
        <v>3184390.64</v>
      </c>
      <c r="I17" s="290">
        <v>-1696856.8299980164</v>
      </c>
      <c r="J17" s="313">
        <v>1487533.81</v>
      </c>
      <c r="K17" s="280"/>
      <c r="L17" s="290">
        <v>971459.74</v>
      </c>
      <c r="M17" s="290">
        <v>617578.80000076443</v>
      </c>
      <c r="N17" s="313">
        <v>1589038.54</v>
      </c>
      <c r="O17" s="280"/>
      <c r="P17" s="290">
        <v>784271.43</v>
      </c>
      <c r="Q17" s="290">
        <v>0</v>
      </c>
      <c r="R17" s="313">
        <v>784271.43</v>
      </c>
      <c r="S17" s="280"/>
      <c r="T17" s="290">
        <v>449341.06</v>
      </c>
      <c r="U17" s="290">
        <v>-422406.27000034368</v>
      </c>
      <c r="V17" s="313">
        <v>26934.79</v>
      </c>
      <c r="W17" s="280"/>
      <c r="X17" s="290">
        <v>480029.85</v>
      </c>
      <c r="Y17" s="290">
        <v>324682.6799999997</v>
      </c>
      <c r="Z17" s="313">
        <v>804712.53</v>
      </c>
      <c r="AA17" s="280"/>
    </row>
    <row r="18" spans="2:27" s="276" customFormat="1">
      <c r="B18" s="238">
        <v>45506</v>
      </c>
      <c r="C18" s="290"/>
      <c r="D18" s="290">
        <v>238572.32</v>
      </c>
      <c r="E18" s="290">
        <v>466418.0600001188</v>
      </c>
      <c r="F18" s="290">
        <v>704990.38</v>
      </c>
      <c r="G18" s="290"/>
      <c r="H18" s="290">
        <v>1487533.81</v>
      </c>
      <c r="I18" s="290">
        <v>1772760.3100002185</v>
      </c>
      <c r="J18" s="313">
        <v>3260294.12</v>
      </c>
      <c r="K18" s="280"/>
      <c r="L18" s="290">
        <v>1589038.54</v>
      </c>
      <c r="M18" s="290">
        <v>951013.8600005731</v>
      </c>
      <c r="N18" s="313">
        <v>2540052.4</v>
      </c>
      <c r="O18" s="280"/>
      <c r="P18" s="290">
        <v>784271.43</v>
      </c>
      <c r="Q18" s="290">
        <v>-108350.76999992412</v>
      </c>
      <c r="R18" s="313">
        <v>675920.66</v>
      </c>
      <c r="S18" s="280"/>
      <c r="T18" s="290">
        <v>26934.79</v>
      </c>
      <c r="U18" s="290">
        <v>409047.13999938965</v>
      </c>
      <c r="V18" s="313">
        <v>435981.93</v>
      </c>
      <c r="W18" s="280"/>
      <c r="X18" s="290">
        <v>804712.53</v>
      </c>
      <c r="Y18" s="290">
        <v>188995.46999999881</v>
      </c>
      <c r="Z18" s="313">
        <v>993708</v>
      </c>
      <c r="AA18" s="280"/>
    </row>
    <row r="19" spans="2:27" s="276" customFormat="1">
      <c r="B19" s="238">
        <v>45507</v>
      </c>
      <c r="C19" s="290"/>
      <c r="D19" s="290">
        <v>704990.38</v>
      </c>
      <c r="E19" s="290">
        <v>0</v>
      </c>
      <c r="F19" s="290">
        <v>704990.38</v>
      </c>
      <c r="G19" s="290"/>
      <c r="H19" s="290">
        <v>3260294.12</v>
      </c>
      <c r="I19" s="290">
        <v>0</v>
      </c>
      <c r="J19" s="313">
        <v>3260294.12</v>
      </c>
      <c r="K19" s="280"/>
      <c r="L19" s="290">
        <v>2540052.4</v>
      </c>
      <c r="M19" s="290">
        <v>0</v>
      </c>
      <c r="N19" s="313">
        <v>2540052.4</v>
      </c>
      <c r="O19" s="280"/>
      <c r="P19" s="290">
        <v>675920.66</v>
      </c>
      <c r="Q19" s="290">
        <v>0</v>
      </c>
      <c r="R19" s="313">
        <v>675920.66</v>
      </c>
      <c r="S19" s="280"/>
      <c r="T19" s="290">
        <v>435981.93</v>
      </c>
      <c r="U19" s="290">
        <v>0</v>
      </c>
      <c r="V19" s="313">
        <v>435981.93</v>
      </c>
      <c r="W19" s="280"/>
      <c r="X19" s="290">
        <v>993708</v>
      </c>
      <c r="Y19" s="290">
        <v>0</v>
      </c>
      <c r="Z19" s="313">
        <v>993708</v>
      </c>
      <c r="AA19" s="280"/>
    </row>
    <row r="20" spans="2:27" s="276" customFormat="1">
      <c r="B20" s="238">
        <v>45508</v>
      </c>
      <c r="C20" s="290"/>
      <c r="D20" s="290">
        <v>704990.38</v>
      </c>
      <c r="E20" s="290">
        <v>0</v>
      </c>
      <c r="F20" s="290">
        <v>704990.38</v>
      </c>
      <c r="G20" s="290"/>
      <c r="H20" s="290">
        <v>3260294.12</v>
      </c>
      <c r="I20" s="290">
        <v>0</v>
      </c>
      <c r="J20" s="313">
        <v>3260294.12</v>
      </c>
      <c r="K20" s="280"/>
      <c r="L20" s="290">
        <v>2540052.4</v>
      </c>
      <c r="M20" s="290">
        <v>0</v>
      </c>
      <c r="N20" s="313">
        <v>2540052.4</v>
      </c>
      <c r="O20" s="280"/>
      <c r="P20" s="290">
        <v>675920.66</v>
      </c>
      <c r="Q20" s="290">
        <v>0</v>
      </c>
      <c r="R20" s="313">
        <v>675920.66</v>
      </c>
      <c r="S20" s="280"/>
      <c r="T20" s="290">
        <v>435981.93</v>
      </c>
      <c r="U20" s="290">
        <v>0</v>
      </c>
      <c r="V20" s="313">
        <v>435981.93</v>
      </c>
      <c r="W20" s="280"/>
      <c r="X20" s="290">
        <v>993708</v>
      </c>
      <c r="Y20" s="290">
        <v>0</v>
      </c>
      <c r="Z20" s="313">
        <v>993708</v>
      </c>
      <c r="AA20" s="280"/>
    </row>
    <row r="21" spans="2:27" s="276" customFormat="1">
      <c r="B21" s="238">
        <v>45509</v>
      </c>
      <c r="C21" s="290"/>
      <c r="D21" s="290">
        <v>704990.38</v>
      </c>
      <c r="E21" s="290">
        <v>-75681.550000037998</v>
      </c>
      <c r="F21" s="290">
        <v>629308.82999999996</v>
      </c>
      <c r="G21" s="290"/>
      <c r="H21" s="290">
        <v>3260294.12</v>
      </c>
      <c r="I21" s="290">
        <v>-1041821.3299985901</v>
      </c>
      <c r="J21" s="313">
        <v>2218472.79</v>
      </c>
      <c r="K21" s="280"/>
      <c r="L21" s="290">
        <v>2540052.4</v>
      </c>
      <c r="M21" s="290">
        <v>662488.96999868378</v>
      </c>
      <c r="N21" s="313">
        <v>3202541.37</v>
      </c>
      <c r="O21" s="280"/>
      <c r="P21" s="290">
        <v>675920.66</v>
      </c>
      <c r="Q21" s="290">
        <v>-198576.41999979038</v>
      </c>
      <c r="R21" s="313">
        <v>477344.24</v>
      </c>
      <c r="S21" s="280"/>
      <c r="T21" s="290">
        <v>435981.93</v>
      </c>
      <c r="U21" s="290">
        <v>-320090.4399998188</v>
      </c>
      <c r="V21" s="313">
        <v>115891.49</v>
      </c>
      <c r="W21" s="280"/>
      <c r="X21" s="290">
        <v>993708</v>
      </c>
      <c r="Y21" s="290">
        <v>0</v>
      </c>
      <c r="Z21" s="313">
        <v>993708</v>
      </c>
      <c r="AA21" s="280"/>
    </row>
    <row r="22" spans="2:27" s="276" customFormat="1">
      <c r="B22" s="238">
        <v>45510</v>
      </c>
      <c r="C22" s="290"/>
      <c r="D22" s="290">
        <v>629308.82999999996</v>
      </c>
      <c r="E22" s="290">
        <v>-574809.41999993846</v>
      </c>
      <c r="F22" s="290">
        <v>54499.41</v>
      </c>
      <c r="G22" s="290"/>
      <c r="H22" s="290">
        <v>2218472.79</v>
      </c>
      <c r="I22" s="290">
        <v>2121814.3300005794</v>
      </c>
      <c r="J22" s="313">
        <v>4340287.12</v>
      </c>
      <c r="K22" s="280"/>
      <c r="L22" s="290">
        <v>3202541.37</v>
      </c>
      <c r="M22" s="290">
        <v>-2105638.1999989673</v>
      </c>
      <c r="N22" s="313">
        <v>1096903.17</v>
      </c>
      <c r="O22" s="280"/>
      <c r="P22" s="290">
        <v>477344.24</v>
      </c>
      <c r="Q22" s="290">
        <v>403628.699999962</v>
      </c>
      <c r="R22" s="313">
        <v>880972.94</v>
      </c>
      <c r="S22" s="280"/>
      <c r="T22" s="290">
        <v>115891.49</v>
      </c>
      <c r="U22" s="290">
        <v>251910.33000080287</v>
      </c>
      <c r="V22" s="313">
        <v>367801.82</v>
      </c>
      <c r="W22" s="280"/>
      <c r="X22" s="290">
        <v>993708</v>
      </c>
      <c r="Y22" s="290">
        <v>0</v>
      </c>
      <c r="Z22" s="313">
        <v>993708</v>
      </c>
      <c r="AA22" s="280"/>
    </row>
    <row r="23" spans="2:27" s="276" customFormat="1">
      <c r="B23" s="238">
        <v>45511</v>
      </c>
      <c r="C23" s="290"/>
      <c r="D23" s="290">
        <v>54499.41</v>
      </c>
      <c r="E23" s="290">
        <v>840162.81999844685</v>
      </c>
      <c r="F23" s="290">
        <v>894662.23</v>
      </c>
      <c r="G23" s="290"/>
      <c r="H23" s="290">
        <v>4340287.12</v>
      </c>
      <c r="I23" s="290">
        <v>-1777303.5000014752</v>
      </c>
      <c r="J23" s="313">
        <v>2562983.62</v>
      </c>
      <c r="K23" s="280"/>
      <c r="L23" s="290">
        <v>1096903.17</v>
      </c>
      <c r="M23" s="290">
        <v>-741510.34999921173</v>
      </c>
      <c r="N23" s="313">
        <v>355392.82</v>
      </c>
      <c r="O23" s="280"/>
      <c r="P23" s="290">
        <v>880972.94</v>
      </c>
      <c r="Q23" s="290">
        <v>62028.259999848902</v>
      </c>
      <c r="R23" s="313">
        <v>943001.2</v>
      </c>
      <c r="S23" s="280"/>
      <c r="T23" s="290">
        <v>367801.82</v>
      </c>
      <c r="U23" s="290">
        <v>-347116.33999919891</v>
      </c>
      <c r="V23" s="313">
        <v>20685.48</v>
      </c>
      <c r="W23" s="280"/>
      <c r="X23" s="290">
        <v>993708</v>
      </c>
      <c r="Y23" s="290">
        <v>-842709.62000035122</v>
      </c>
      <c r="Z23" s="313">
        <v>150998.38</v>
      </c>
      <c r="AA23" s="280"/>
    </row>
    <row r="24" spans="2:27" s="276" customFormat="1">
      <c r="B24" s="238">
        <v>45512</v>
      </c>
      <c r="C24" s="290"/>
      <c r="D24" s="290">
        <v>894662.23</v>
      </c>
      <c r="E24" s="290">
        <v>-177886.09999978542</v>
      </c>
      <c r="F24" s="290">
        <v>716776.13</v>
      </c>
      <c r="G24" s="290"/>
      <c r="H24" s="290">
        <v>2562983.62</v>
      </c>
      <c r="I24" s="290">
        <v>3452287.3299999833</v>
      </c>
      <c r="J24" s="313">
        <v>6015270.9500000002</v>
      </c>
      <c r="K24" s="280"/>
      <c r="L24" s="290">
        <v>355392.82</v>
      </c>
      <c r="M24" s="290">
        <v>265821.30999875814</v>
      </c>
      <c r="N24" s="313">
        <v>621214.13</v>
      </c>
      <c r="O24" s="280"/>
      <c r="P24" s="290">
        <v>943001.2</v>
      </c>
      <c r="Q24" s="290">
        <v>1680169.0599999428</v>
      </c>
      <c r="R24" s="313">
        <v>2623170.2599999998</v>
      </c>
      <c r="S24" s="280"/>
      <c r="T24" s="290">
        <v>20685.48</v>
      </c>
      <c r="U24" s="290">
        <v>26804.529999542981</v>
      </c>
      <c r="V24" s="313">
        <v>47490.01</v>
      </c>
      <c r="W24" s="280"/>
      <c r="X24" s="290">
        <v>150998.38</v>
      </c>
      <c r="Y24" s="290">
        <v>0</v>
      </c>
      <c r="Z24" s="313">
        <v>150998.38</v>
      </c>
      <c r="AA24" s="280"/>
    </row>
    <row r="25" spans="2:27" s="276" customFormat="1">
      <c r="B25" s="238">
        <v>45513</v>
      </c>
      <c r="C25" s="290"/>
      <c r="D25" s="290">
        <v>716776.13</v>
      </c>
      <c r="E25" s="290">
        <v>212005.94000004791</v>
      </c>
      <c r="F25" s="290">
        <v>928782.07</v>
      </c>
      <c r="G25" s="290"/>
      <c r="H25" s="290">
        <v>6015270.9500000002</v>
      </c>
      <c r="I25" s="290">
        <v>-4476576.9299995452</v>
      </c>
      <c r="J25" s="313">
        <v>1538694.02</v>
      </c>
      <c r="K25" s="280"/>
      <c r="L25" s="290">
        <v>621214.13</v>
      </c>
      <c r="M25" s="290">
        <v>509218.67999982834</v>
      </c>
      <c r="N25" s="313">
        <v>1130432.81</v>
      </c>
      <c r="O25" s="280"/>
      <c r="P25" s="290">
        <v>2623170.2599999998</v>
      </c>
      <c r="Q25" s="290">
        <v>-907790.11000001431</v>
      </c>
      <c r="R25" s="313">
        <v>1715380.15</v>
      </c>
      <c r="S25" s="280"/>
      <c r="T25" s="290">
        <v>47490.01</v>
      </c>
      <c r="U25" s="290">
        <v>182319.25000053272</v>
      </c>
      <c r="V25" s="313">
        <v>229809.26</v>
      </c>
      <c r="W25" s="280"/>
      <c r="X25" s="290">
        <v>150998.38</v>
      </c>
      <c r="Y25" s="290">
        <v>1029291.7300000004</v>
      </c>
      <c r="Z25" s="313">
        <v>1180290.1100000001</v>
      </c>
      <c r="AA25" s="280"/>
    </row>
    <row r="26" spans="2:27" s="276" customFormat="1">
      <c r="B26" s="238">
        <v>45514</v>
      </c>
      <c r="C26" s="290"/>
      <c r="D26" s="290">
        <v>928782.07</v>
      </c>
      <c r="E26" s="290">
        <v>0</v>
      </c>
      <c r="F26" s="290">
        <v>928782.07</v>
      </c>
      <c r="G26" s="290"/>
      <c r="H26" s="290">
        <v>1538694.02</v>
      </c>
      <c r="I26" s="290">
        <v>0</v>
      </c>
      <c r="J26" s="313">
        <v>1538694.02</v>
      </c>
      <c r="K26" s="280"/>
      <c r="L26" s="290">
        <v>1130432.81</v>
      </c>
      <c r="M26" s="290">
        <v>0</v>
      </c>
      <c r="N26" s="313">
        <v>1130432.81</v>
      </c>
      <c r="O26" s="280"/>
      <c r="P26" s="290">
        <v>1715380.15</v>
      </c>
      <c r="Q26" s="290">
        <v>0</v>
      </c>
      <c r="R26" s="313">
        <v>1715380.15</v>
      </c>
      <c r="S26" s="280"/>
      <c r="T26" s="290">
        <v>229809.26</v>
      </c>
      <c r="U26" s="290">
        <v>0</v>
      </c>
      <c r="V26" s="313">
        <v>229809.26</v>
      </c>
      <c r="W26" s="280"/>
      <c r="X26" s="290">
        <v>1180290.1100000001</v>
      </c>
      <c r="Y26" s="290">
        <v>0</v>
      </c>
      <c r="Z26" s="313">
        <v>1180290.1100000001</v>
      </c>
      <c r="AA26" s="280"/>
    </row>
    <row r="27" spans="2:27" s="276" customFormat="1">
      <c r="B27" s="238">
        <v>45515</v>
      </c>
      <c r="C27" s="290"/>
      <c r="D27" s="290">
        <v>928782.07</v>
      </c>
      <c r="E27" s="290">
        <v>0</v>
      </c>
      <c r="F27" s="290">
        <v>928782.07</v>
      </c>
      <c r="G27" s="290"/>
      <c r="H27" s="290">
        <v>1538694.02</v>
      </c>
      <c r="I27" s="290">
        <v>0</v>
      </c>
      <c r="J27" s="313">
        <v>1538694.02</v>
      </c>
      <c r="K27" s="280"/>
      <c r="L27" s="290">
        <v>1130432.81</v>
      </c>
      <c r="M27" s="290">
        <v>0</v>
      </c>
      <c r="N27" s="313">
        <v>1130432.81</v>
      </c>
      <c r="O27" s="280"/>
      <c r="P27" s="290">
        <v>1715380.15</v>
      </c>
      <c r="Q27" s="290">
        <v>0</v>
      </c>
      <c r="R27" s="313">
        <v>1715380.15</v>
      </c>
      <c r="S27" s="280"/>
      <c r="T27" s="290">
        <v>229809.26</v>
      </c>
      <c r="U27" s="290">
        <v>0</v>
      </c>
      <c r="V27" s="313">
        <v>229809.26</v>
      </c>
      <c r="W27" s="280"/>
      <c r="X27" s="290">
        <v>1180290.1100000001</v>
      </c>
      <c r="Y27" s="290">
        <v>0</v>
      </c>
      <c r="Z27" s="313">
        <v>1180290.1100000001</v>
      </c>
      <c r="AA27" s="280"/>
    </row>
    <row r="28" spans="2:27" s="276" customFormat="1">
      <c r="B28" s="238">
        <v>45516</v>
      </c>
      <c r="C28" s="290"/>
      <c r="D28" s="290">
        <v>928782.07</v>
      </c>
      <c r="E28" s="290">
        <v>-356531.63000006694</v>
      </c>
      <c r="F28" s="290">
        <v>572250.43999999994</v>
      </c>
      <c r="G28" s="290"/>
      <c r="H28" s="290">
        <v>1538694.02</v>
      </c>
      <c r="I28" s="290">
        <v>733360.08000087738</v>
      </c>
      <c r="J28" s="313">
        <v>2272054.1</v>
      </c>
      <c r="K28" s="280"/>
      <c r="L28" s="290">
        <v>1130432.81</v>
      </c>
      <c r="M28" s="290">
        <v>1071105.6400004365</v>
      </c>
      <c r="N28" s="313">
        <v>2201538.4500000002</v>
      </c>
      <c r="O28" s="280"/>
      <c r="P28" s="290">
        <v>1715380.15</v>
      </c>
      <c r="Q28" s="290">
        <v>-1332135.2299999427</v>
      </c>
      <c r="R28" s="313">
        <v>383244.92</v>
      </c>
      <c r="S28" s="280"/>
      <c r="T28" s="290">
        <v>229809.26</v>
      </c>
      <c r="U28" s="290">
        <v>47783.610000647604</v>
      </c>
      <c r="V28" s="313">
        <v>277592.87</v>
      </c>
      <c r="W28" s="280"/>
      <c r="X28" s="290">
        <v>1180290.1100000001</v>
      </c>
      <c r="Y28" s="290">
        <v>0</v>
      </c>
      <c r="Z28" s="313">
        <v>1180290.1100000001</v>
      </c>
      <c r="AA28" s="280"/>
    </row>
    <row r="29" spans="2:27" s="276" customFormat="1">
      <c r="B29" s="238">
        <v>45517</v>
      </c>
      <c r="C29" s="290"/>
      <c r="D29" s="290">
        <v>572250.43999999994</v>
      </c>
      <c r="E29" s="290">
        <v>590643.81000015233</v>
      </c>
      <c r="F29" s="290">
        <v>1162894.25</v>
      </c>
      <c r="G29" s="290"/>
      <c r="H29" s="290">
        <v>2272054.1</v>
      </c>
      <c r="I29" s="290">
        <v>914119.54999923706</v>
      </c>
      <c r="J29" s="313">
        <v>3186173.65</v>
      </c>
      <c r="K29" s="280"/>
      <c r="L29" s="290">
        <v>2201538.4500000002</v>
      </c>
      <c r="M29" s="290">
        <v>-1755861.5300000608</v>
      </c>
      <c r="N29" s="313">
        <v>445676.92</v>
      </c>
      <c r="O29" s="280"/>
      <c r="P29" s="290">
        <v>383244.92</v>
      </c>
      <c r="Q29" s="290">
        <v>-38123.950000096112</v>
      </c>
      <c r="R29" s="313">
        <v>345120.97</v>
      </c>
      <c r="S29" s="280"/>
      <c r="T29" s="290">
        <v>277592.87</v>
      </c>
      <c r="U29" s="290">
        <v>151164.00999926031</v>
      </c>
      <c r="V29" s="313">
        <v>428756.88</v>
      </c>
      <c r="W29" s="280"/>
      <c r="X29" s="290">
        <v>1180290.1100000001</v>
      </c>
      <c r="Y29" s="290">
        <v>0</v>
      </c>
      <c r="Z29" s="313">
        <v>1180290.1100000001</v>
      </c>
      <c r="AA29" s="280"/>
    </row>
    <row r="30" spans="2:27" s="276" customFormat="1">
      <c r="B30" s="238">
        <v>45518</v>
      </c>
      <c r="C30" s="290"/>
      <c r="D30" s="290">
        <v>1162894.25</v>
      </c>
      <c r="E30" s="290">
        <v>-907839.01999966055</v>
      </c>
      <c r="F30" s="290">
        <v>255055.23</v>
      </c>
      <c r="G30" s="290"/>
      <c r="H30" s="290">
        <v>3186173.65</v>
      </c>
      <c r="I30" s="290">
        <v>-1502987.25</v>
      </c>
      <c r="J30" s="313">
        <v>1683186.4</v>
      </c>
      <c r="K30" s="280"/>
      <c r="L30" s="290">
        <v>445676.92</v>
      </c>
      <c r="M30" s="290">
        <v>356935.1199991703</v>
      </c>
      <c r="N30" s="313">
        <v>802612.04</v>
      </c>
      <c r="O30" s="280"/>
      <c r="P30" s="290">
        <v>345120.97</v>
      </c>
      <c r="Q30" s="290">
        <v>61934.860000021756</v>
      </c>
      <c r="R30" s="313">
        <v>407055.83</v>
      </c>
      <c r="S30" s="280"/>
      <c r="T30" s="290">
        <v>428756.88</v>
      </c>
      <c r="U30" s="290">
        <v>39501.39999961853</v>
      </c>
      <c r="V30" s="313">
        <v>468258.28</v>
      </c>
      <c r="W30" s="280"/>
      <c r="X30" s="290">
        <v>1180290.1100000001</v>
      </c>
      <c r="Y30" s="290">
        <v>490966.84999973327</v>
      </c>
      <c r="Z30" s="313">
        <v>1671256.96</v>
      </c>
      <c r="AA30" s="280"/>
    </row>
    <row r="31" spans="2:27" s="276" customFormat="1">
      <c r="B31" s="238">
        <v>45519</v>
      </c>
      <c r="C31" s="290"/>
      <c r="D31" s="290">
        <v>255055.23</v>
      </c>
      <c r="E31" s="290">
        <v>687716.96999975201</v>
      </c>
      <c r="F31" s="290">
        <v>942772.2</v>
      </c>
      <c r="G31" s="290"/>
      <c r="H31" s="290">
        <v>1683186.4</v>
      </c>
      <c r="I31" s="290">
        <v>878869.48999816924</v>
      </c>
      <c r="J31" s="313">
        <v>2562055.89</v>
      </c>
      <c r="K31" s="280"/>
      <c r="L31" s="290">
        <v>802612.04</v>
      </c>
      <c r="M31" s="290">
        <v>302415.57000013441</v>
      </c>
      <c r="N31" s="313">
        <v>1105027.6100000001</v>
      </c>
      <c r="O31" s="280"/>
      <c r="P31" s="290">
        <v>407055.83</v>
      </c>
      <c r="Q31" s="290">
        <v>6567869.0099999905</v>
      </c>
      <c r="R31" s="313">
        <v>6974924.8399999999</v>
      </c>
      <c r="S31" s="280"/>
      <c r="T31" s="290">
        <v>468258.28</v>
      </c>
      <c r="U31" s="290">
        <v>-461675.36999940872</v>
      </c>
      <c r="V31" s="313">
        <v>6582.91</v>
      </c>
      <c r="W31" s="280"/>
      <c r="X31" s="290">
        <v>1671256.96</v>
      </c>
      <c r="Y31" s="290">
        <v>0</v>
      </c>
      <c r="Z31" s="313">
        <v>1671256.96</v>
      </c>
      <c r="AA31" s="280"/>
    </row>
    <row r="32" spans="2:27" s="276" customFormat="1">
      <c r="B32" s="238">
        <v>45520</v>
      </c>
      <c r="C32" s="290"/>
      <c r="D32" s="290">
        <v>942772.2</v>
      </c>
      <c r="E32" s="290">
        <v>-541951.82000006642</v>
      </c>
      <c r="F32" s="290">
        <v>400820.38</v>
      </c>
      <c r="G32" s="290"/>
      <c r="H32" s="290">
        <v>2562055.89</v>
      </c>
      <c r="I32" s="290">
        <v>-980318.11000156403</v>
      </c>
      <c r="J32" s="313">
        <v>1581737.78</v>
      </c>
      <c r="K32" s="280"/>
      <c r="L32" s="290">
        <v>1105027.6100000001</v>
      </c>
      <c r="M32" s="290">
        <v>-183985.09999997914</v>
      </c>
      <c r="N32" s="313">
        <v>921042.51</v>
      </c>
      <c r="O32" s="280"/>
      <c r="P32" s="290">
        <v>6974924.8399999999</v>
      </c>
      <c r="Q32" s="290">
        <v>-6337438.5499999654</v>
      </c>
      <c r="R32" s="313">
        <v>637486.29</v>
      </c>
      <c r="S32" s="280"/>
      <c r="T32" s="290">
        <v>6582.91</v>
      </c>
      <c r="U32" s="290">
        <v>217388.33000013232</v>
      </c>
      <c r="V32" s="313">
        <v>223971.24</v>
      </c>
      <c r="W32" s="280"/>
      <c r="X32" s="290">
        <v>1671256.96</v>
      </c>
      <c r="Y32" s="290">
        <v>-977815</v>
      </c>
      <c r="Z32" s="313">
        <v>693441.96</v>
      </c>
      <c r="AA32" s="280"/>
    </row>
    <row r="33" spans="2:27" s="276" customFormat="1">
      <c r="B33" s="238">
        <v>45521</v>
      </c>
      <c r="C33" s="290"/>
      <c r="D33" s="290">
        <v>400820.38</v>
      </c>
      <c r="E33" s="290">
        <v>0</v>
      </c>
      <c r="F33" s="290">
        <v>400820.38</v>
      </c>
      <c r="G33" s="290"/>
      <c r="H33" s="290">
        <v>1581737.78</v>
      </c>
      <c r="I33" s="290">
        <v>0</v>
      </c>
      <c r="J33" s="313">
        <v>1581737.78</v>
      </c>
      <c r="K33" s="280"/>
      <c r="L33" s="290">
        <v>921042.51</v>
      </c>
      <c r="M33" s="290">
        <v>0</v>
      </c>
      <c r="N33" s="313">
        <v>921042.51</v>
      </c>
      <c r="O33" s="280"/>
      <c r="P33" s="290">
        <v>637486.29</v>
      </c>
      <c r="Q33" s="290">
        <v>0</v>
      </c>
      <c r="R33" s="313">
        <v>637486.29</v>
      </c>
      <c r="S33" s="280"/>
      <c r="T33" s="290">
        <v>223971.24</v>
      </c>
      <c r="U33" s="290">
        <v>0</v>
      </c>
      <c r="V33" s="313">
        <v>223971.24</v>
      </c>
      <c r="W33" s="280"/>
      <c r="X33" s="290">
        <v>693441.96</v>
      </c>
      <c r="Y33" s="290">
        <v>0</v>
      </c>
      <c r="Z33" s="313">
        <v>693441.96</v>
      </c>
      <c r="AA33" s="280"/>
    </row>
    <row r="34" spans="2:27" s="276" customFormat="1">
      <c r="B34" s="238">
        <v>45522</v>
      </c>
      <c r="C34" s="290"/>
      <c r="D34" s="290">
        <v>400820.38</v>
      </c>
      <c r="E34" s="290">
        <v>0</v>
      </c>
      <c r="F34" s="290">
        <v>400820.38</v>
      </c>
      <c r="G34" s="290"/>
      <c r="H34" s="290">
        <v>1581737.78</v>
      </c>
      <c r="I34" s="290">
        <v>0</v>
      </c>
      <c r="J34" s="313">
        <v>1581737.78</v>
      </c>
      <c r="K34" s="280"/>
      <c r="L34" s="290">
        <v>921042.51</v>
      </c>
      <c r="M34" s="290">
        <v>0</v>
      </c>
      <c r="N34" s="313">
        <v>921042.51</v>
      </c>
      <c r="O34" s="280"/>
      <c r="P34" s="290">
        <v>637486.29</v>
      </c>
      <c r="Q34" s="290">
        <v>0</v>
      </c>
      <c r="R34" s="313">
        <v>637486.29</v>
      </c>
      <c r="S34" s="280"/>
      <c r="T34" s="290">
        <v>223971.24</v>
      </c>
      <c r="U34" s="290">
        <v>0</v>
      </c>
      <c r="V34" s="313">
        <v>223971.24</v>
      </c>
      <c r="W34" s="280"/>
      <c r="X34" s="290">
        <v>693441.96</v>
      </c>
      <c r="Y34" s="290">
        <v>0</v>
      </c>
      <c r="Z34" s="313">
        <v>693441.96</v>
      </c>
      <c r="AA34" s="280"/>
    </row>
    <row r="35" spans="2:27" s="276" customFormat="1">
      <c r="B35" s="238">
        <v>45523</v>
      </c>
      <c r="C35" s="290"/>
      <c r="D35" s="290">
        <v>400820.38</v>
      </c>
      <c r="E35" s="290">
        <v>359431.53999993298</v>
      </c>
      <c r="F35" s="290">
        <v>760251.92</v>
      </c>
      <c r="G35" s="290"/>
      <c r="H35" s="290">
        <v>1581737.78</v>
      </c>
      <c r="I35" s="290">
        <v>493704.60000000149</v>
      </c>
      <c r="J35" s="313">
        <v>2075442.38</v>
      </c>
      <c r="K35" s="280"/>
      <c r="L35" s="290">
        <v>921042.51</v>
      </c>
      <c r="M35" s="290">
        <v>1183430.6499999464</v>
      </c>
      <c r="N35" s="313">
        <v>2104473.16</v>
      </c>
      <c r="O35" s="280"/>
      <c r="P35" s="290">
        <v>637486.29</v>
      </c>
      <c r="Q35" s="290">
        <v>328085.9399998188</v>
      </c>
      <c r="R35" s="313">
        <v>965572.23</v>
      </c>
      <c r="S35" s="280"/>
      <c r="T35" s="290">
        <v>223971.24</v>
      </c>
      <c r="U35" s="290">
        <v>412794.55000114441</v>
      </c>
      <c r="V35" s="313">
        <v>636765.79</v>
      </c>
      <c r="W35" s="280"/>
      <c r="X35" s="290">
        <v>693441.96</v>
      </c>
      <c r="Y35" s="290">
        <v>0</v>
      </c>
      <c r="Z35" s="313">
        <v>693441.96</v>
      </c>
      <c r="AA35" s="280"/>
    </row>
    <row r="36" spans="2:27" s="276" customFormat="1">
      <c r="B36" s="238">
        <v>45524</v>
      </c>
      <c r="C36" s="290"/>
      <c r="D36" s="290">
        <v>760251.92</v>
      </c>
      <c r="E36" s="290">
        <v>-360103.50999994297</v>
      </c>
      <c r="F36" s="290">
        <v>400148.41</v>
      </c>
      <c r="G36" s="290"/>
      <c r="H36" s="290">
        <v>2075442.38</v>
      </c>
      <c r="I36" s="290">
        <v>638089.4000017643</v>
      </c>
      <c r="J36" s="313">
        <v>2713531.78</v>
      </c>
      <c r="K36" s="280"/>
      <c r="L36" s="290">
        <v>2104473.16</v>
      </c>
      <c r="M36" s="290">
        <v>599529.15999984741</v>
      </c>
      <c r="N36" s="313">
        <v>2704002.32</v>
      </c>
      <c r="O36" s="280"/>
      <c r="P36" s="290">
        <v>965572.23</v>
      </c>
      <c r="Q36" s="290">
        <v>-41387.019999980927</v>
      </c>
      <c r="R36" s="313">
        <v>924185.21</v>
      </c>
      <c r="S36" s="280"/>
      <c r="T36" s="290">
        <v>636765.79</v>
      </c>
      <c r="U36" s="290">
        <v>300085.09000115469</v>
      </c>
      <c r="V36" s="313">
        <v>936850.88</v>
      </c>
      <c r="W36" s="280"/>
      <c r="X36" s="290">
        <v>693441.96</v>
      </c>
      <c r="Y36" s="290">
        <v>0</v>
      </c>
      <c r="Z36" s="313">
        <v>693441.96</v>
      </c>
      <c r="AA36" s="280"/>
    </row>
    <row r="37" spans="2:27" s="276" customFormat="1">
      <c r="B37" s="238">
        <v>45525</v>
      </c>
      <c r="C37" s="290"/>
      <c r="D37" s="290">
        <v>400148.41</v>
      </c>
      <c r="E37" s="290">
        <v>331979.77999958396</v>
      </c>
      <c r="F37" s="290">
        <v>732128.19</v>
      </c>
      <c r="G37" s="290"/>
      <c r="H37" s="290">
        <v>2713531.78</v>
      </c>
      <c r="I37" s="290">
        <v>-1214363.2699966431</v>
      </c>
      <c r="J37" s="313">
        <v>1499168.51</v>
      </c>
      <c r="K37" s="280"/>
      <c r="L37" s="290">
        <v>2704002.32</v>
      </c>
      <c r="M37" s="290">
        <v>-1931705.1199995484</v>
      </c>
      <c r="N37" s="313">
        <v>772297.2</v>
      </c>
      <c r="O37" s="280"/>
      <c r="P37" s="290">
        <v>924185.21</v>
      </c>
      <c r="Q37" s="290">
        <v>-444576.87000018358</v>
      </c>
      <c r="R37" s="313">
        <v>479608.34</v>
      </c>
      <c r="S37" s="280"/>
      <c r="T37" s="290">
        <v>936850.88</v>
      </c>
      <c r="U37" s="290">
        <v>-630902.10999818891</v>
      </c>
      <c r="V37" s="313">
        <v>305948.77</v>
      </c>
      <c r="W37" s="280"/>
      <c r="X37" s="290">
        <v>693441.96</v>
      </c>
      <c r="Y37" s="290">
        <v>310565.53999945364</v>
      </c>
      <c r="Z37" s="313">
        <v>1004007.5</v>
      </c>
      <c r="AA37" s="280"/>
    </row>
    <row r="38" spans="2:27" s="276" customFormat="1">
      <c r="B38" s="238">
        <v>45526</v>
      </c>
      <c r="C38" s="290"/>
      <c r="D38" s="290">
        <v>732128.19</v>
      </c>
      <c r="E38" s="290">
        <v>15280.740000344813</v>
      </c>
      <c r="F38" s="290">
        <v>747408.93</v>
      </c>
      <c r="G38" s="290"/>
      <c r="H38" s="290">
        <v>1499168.51</v>
      </c>
      <c r="I38" s="290">
        <v>1766622.9400007427</v>
      </c>
      <c r="J38" s="313">
        <v>3265791.45</v>
      </c>
      <c r="K38" s="280"/>
      <c r="L38" s="290">
        <v>772297.2</v>
      </c>
      <c r="M38" s="290">
        <v>386631.64000038058</v>
      </c>
      <c r="N38" s="313">
        <v>1158928.8400000001</v>
      </c>
      <c r="O38" s="280"/>
      <c r="P38" s="290">
        <v>479608.34</v>
      </c>
      <c r="Q38" s="290">
        <v>2175027.2399999499</v>
      </c>
      <c r="R38" s="313">
        <v>2654635.58</v>
      </c>
      <c r="S38" s="280"/>
      <c r="T38" s="290">
        <v>305948.77</v>
      </c>
      <c r="U38" s="290">
        <v>437927.94999885559</v>
      </c>
      <c r="V38" s="313">
        <v>743876.72</v>
      </c>
      <c r="W38" s="280"/>
      <c r="X38" s="290">
        <v>1004007.5</v>
      </c>
      <c r="Y38" s="290">
        <v>-287773.10000094399</v>
      </c>
      <c r="Z38" s="313">
        <v>716234.4</v>
      </c>
      <c r="AA38" s="280"/>
    </row>
    <row r="39" spans="2:27" s="276" customFormat="1">
      <c r="B39" s="238">
        <v>45527</v>
      </c>
      <c r="C39" s="290"/>
      <c r="D39" s="290">
        <v>747408.93</v>
      </c>
      <c r="E39" s="290">
        <v>-18481.089999914169</v>
      </c>
      <c r="F39" s="290">
        <v>728927.84</v>
      </c>
      <c r="G39" s="290"/>
      <c r="H39" s="290">
        <v>3265791.45</v>
      </c>
      <c r="I39" s="290">
        <v>-1571978.1600010693</v>
      </c>
      <c r="J39" s="313">
        <v>1693813.29</v>
      </c>
      <c r="K39" s="280"/>
      <c r="L39" s="290">
        <v>1158928.8400000001</v>
      </c>
      <c r="M39" s="290">
        <v>253772.42999946326</v>
      </c>
      <c r="N39" s="313">
        <v>1412701.27</v>
      </c>
      <c r="O39" s="280"/>
      <c r="P39" s="290">
        <v>2654635.58</v>
      </c>
      <c r="Q39" s="290">
        <v>-2005010.6299999284</v>
      </c>
      <c r="R39" s="313">
        <v>649624.94999999995</v>
      </c>
      <c r="S39" s="280"/>
      <c r="T39" s="290">
        <v>743876.72</v>
      </c>
      <c r="U39" s="290">
        <v>175472.8100001514</v>
      </c>
      <c r="V39" s="313">
        <v>919349.53</v>
      </c>
      <c r="W39" s="280"/>
      <c r="X39" s="290">
        <v>716234.4</v>
      </c>
      <c r="Y39" s="290">
        <v>-280883.03999942727</v>
      </c>
      <c r="Z39" s="313">
        <v>435351.36</v>
      </c>
      <c r="AA39" s="280"/>
    </row>
    <row r="40" spans="2:27" s="276" customFormat="1">
      <c r="B40" s="238">
        <v>45528</v>
      </c>
      <c r="C40" s="290"/>
      <c r="D40" s="290">
        <v>728927.84</v>
      </c>
      <c r="E40" s="290">
        <v>0</v>
      </c>
      <c r="F40" s="290">
        <v>728927.84</v>
      </c>
      <c r="G40" s="290"/>
      <c r="H40" s="290">
        <v>1693813.29</v>
      </c>
      <c r="I40" s="290">
        <v>0</v>
      </c>
      <c r="J40" s="313">
        <v>1693813.29</v>
      </c>
      <c r="K40" s="280"/>
      <c r="L40" s="290">
        <v>1412701.27</v>
      </c>
      <c r="M40" s="290">
        <v>0</v>
      </c>
      <c r="N40" s="313">
        <v>1412701.27</v>
      </c>
      <c r="O40" s="280"/>
      <c r="P40" s="290">
        <v>649624.94999999995</v>
      </c>
      <c r="Q40" s="290">
        <v>0</v>
      </c>
      <c r="R40" s="313">
        <v>649624.94999999995</v>
      </c>
      <c r="S40" s="280"/>
      <c r="T40" s="290">
        <v>919349.53</v>
      </c>
      <c r="U40" s="290">
        <v>0</v>
      </c>
      <c r="V40" s="313">
        <v>919349.53</v>
      </c>
      <c r="W40" s="280"/>
      <c r="X40" s="290">
        <v>435351.36</v>
      </c>
      <c r="Y40" s="290">
        <v>0</v>
      </c>
      <c r="Z40" s="313">
        <v>435351.36</v>
      </c>
      <c r="AA40" s="280"/>
    </row>
    <row r="41" spans="2:27" s="276" customFormat="1">
      <c r="B41" s="238">
        <v>45529</v>
      </c>
      <c r="C41" s="290"/>
      <c r="D41" s="290">
        <v>728927.84</v>
      </c>
      <c r="E41" s="290">
        <v>0</v>
      </c>
      <c r="F41" s="290">
        <v>728927.84</v>
      </c>
      <c r="G41" s="290"/>
      <c r="H41" s="290">
        <v>1693813.29</v>
      </c>
      <c r="I41" s="290">
        <v>0</v>
      </c>
      <c r="J41" s="313">
        <v>1693813.29</v>
      </c>
      <c r="K41" s="280"/>
      <c r="L41" s="290">
        <v>1412701.27</v>
      </c>
      <c r="M41" s="290">
        <v>0</v>
      </c>
      <c r="N41" s="313">
        <v>1412701.27</v>
      </c>
      <c r="O41" s="280"/>
      <c r="P41" s="290">
        <v>649624.94999999995</v>
      </c>
      <c r="Q41" s="290">
        <v>0</v>
      </c>
      <c r="R41" s="313">
        <v>649624.94999999995</v>
      </c>
      <c r="S41" s="280"/>
      <c r="T41" s="290">
        <v>919349.53</v>
      </c>
      <c r="U41" s="290">
        <v>0</v>
      </c>
      <c r="V41" s="313">
        <v>919349.53</v>
      </c>
      <c r="W41" s="280"/>
      <c r="X41" s="290">
        <v>435351.36</v>
      </c>
      <c r="Y41" s="290">
        <v>0</v>
      </c>
      <c r="Z41" s="313">
        <v>435351.36</v>
      </c>
      <c r="AA41" s="280"/>
    </row>
    <row r="42" spans="2:27" s="276" customFormat="1">
      <c r="B42" s="238">
        <v>45530</v>
      </c>
      <c r="C42" s="290"/>
      <c r="D42" s="290">
        <v>728927.84</v>
      </c>
      <c r="E42" s="290">
        <v>-306862.53999995254</v>
      </c>
      <c r="F42" s="290">
        <v>422065.3</v>
      </c>
      <c r="G42" s="290"/>
      <c r="H42" s="290">
        <v>1693813.29</v>
      </c>
      <c r="I42" s="290">
        <v>677000.67999891192</v>
      </c>
      <c r="J42" s="313">
        <v>2370813.9700000002</v>
      </c>
      <c r="K42" s="280"/>
      <c r="L42" s="290">
        <v>1412701.27</v>
      </c>
      <c r="M42" s="290">
        <v>639139.55999951437</v>
      </c>
      <c r="N42" s="313">
        <v>2051840.83</v>
      </c>
      <c r="O42" s="280"/>
      <c r="P42" s="290">
        <v>649624.94999999995</v>
      </c>
      <c r="Q42" s="290">
        <v>-322864.06000017002</v>
      </c>
      <c r="R42" s="313">
        <v>326760.89</v>
      </c>
      <c r="S42" s="280"/>
      <c r="T42" s="290">
        <v>919349.53</v>
      </c>
      <c r="U42" s="290">
        <v>-249430.13999883831</v>
      </c>
      <c r="V42" s="313">
        <v>669919.39</v>
      </c>
      <c r="W42" s="280"/>
      <c r="X42" s="290">
        <v>435351.36</v>
      </c>
      <c r="Y42" s="290">
        <v>391897.47999990359</v>
      </c>
      <c r="Z42" s="313">
        <v>827248.84</v>
      </c>
      <c r="AA42" s="280"/>
    </row>
    <row r="43" spans="2:27" s="276" customFormat="1">
      <c r="B43" s="238">
        <v>45531</v>
      </c>
      <c r="C43" s="290"/>
      <c r="D43" s="290">
        <v>422065.3</v>
      </c>
      <c r="E43" s="290">
        <v>452556.98000012431</v>
      </c>
      <c r="F43" s="290">
        <v>874622.28</v>
      </c>
      <c r="G43" s="290"/>
      <c r="H43" s="290">
        <v>2370813.9700000002</v>
      </c>
      <c r="I43" s="290">
        <v>-659671.13000001758</v>
      </c>
      <c r="J43" s="313">
        <v>1711142.84</v>
      </c>
      <c r="K43" s="280"/>
      <c r="L43" s="290">
        <v>2051840.83</v>
      </c>
      <c r="M43" s="290">
        <v>-1072057.7699998692</v>
      </c>
      <c r="N43" s="313">
        <v>979783.06</v>
      </c>
      <c r="O43" s="280"/>
      <c r="P43" s="290">
        <v>326760.89</v>
      </c>
      <c r="Q43" s="290">
        <v>-188627.54999997863</v>
      </c>
      <c r="R43" s="313">
        <v>138133.34</v>
      </c>
      <c r="S43" s="280"/>
      <c r="T43" s="290">
        <v>669919.39</v>
      </c>
      <c r="U43" s="290">
        <v>-287035.50999903679</v>
      </c>
      <c r="V43" s="313">
        <v>382883.88</v>
      </c>
      <c r="W43" s="280"/>
      <c r="X43" s="290">
        <v>827248.84</v>
      </c>
      <c r="Y43" s="290">
        <v>0</v>
      </c>
      <c r="Z43" s="313">
        <v>827248.84</v>
      </c>
      <c r="AA43" s="280"/>
    </row>
    <row r="44" spans="2:27" s="276" customFormat="1">
      <c r="B44" s="238">
        <v>45532</v>
      </c>
      <c r="C44" s="290"/>
      <c r="D44" s="290">
        <v>874622.28</v>
      </c>
      <c r="E44" s="290">
        <v>-658036.37999993563</v>
      </c>
      <c r="F44" s="290">
        <v>216585.9</v>
      </c>
      <c r="G44" s="290"/>
      <c r="H44" s="290">
        <v>1711142.84</v>
      </c>
      <c r="I44" s="290">
        <v>1146032.7600004673</v>
      </c>
      <c r="J44" s="313">
        <v>2857175.6</v>
      </c>
      <c r="K44" s="280"/>
      <c r="L44" s="290">
        <v>979783.06</v>
      </c>
      <c r="M44" s="290">
        <v>1149862.1100000665</v>
      </c>
      <c r="N44" s="313">
        <v>2129645.17</v>
      </c>
      <c r="O44" s="280"/>
      <c r="P44" s="290">
        <v>138133.34</v>
      </c>
      <c r="Q44" s="290">
        <v>409657.68999977596</v>
      </c>
      <c r="R44" s="313">
        <v>547791.03</v>
      </c>
      <c r="S44" s="280"/>
      <c r="T44" s="290">
        <v>382883.88</v>
      </c>
      <c r="U44" s="290">
        <v>-266775.66999816895</v>
      </c>
      <c r="V44" s="313">
        <v>116108.21</v>
      </c>
      <c r="W44" s="280"/>
      <c r="X44" s="290">
        <v>827248.84</v>
      </c>
      <c r="Y44" s="290">
        <v>0</v>
      </c>
      <c r="Z44" s="313">
        <v>827248.84</v>
      </c>
      <c r="AA44" s="280"/>
    </row>
    <row r="45" spans="2:27" s="276" customFormat="1">
      <c r="B45" s="238">
        <v>45533</v>
      </c>
      <c r="C45" s="290"/>
      <c r="D45" s="290">
        <v>216585.9</v>
      </c>
      <c r="E45" s="290">
        <v>1073090.2399991751</v>
      </c>
      <c r="F45" s="290">
        <v>1289676.1399999999</v>
      </c>
      <c r="G45" s="290"/>
      <c r="H45" s="290">
        <v>2857175.6</v>
      </c>
      <c r="I45" s="290">
        <v>-888109.60999882221</v>
      </c>
      <c r="J45" s="313">
        <v>1969065.99</v>
      </c>
      <c r="K45" s="280"/>
      <c r="L45" s="290">
        <v>2129645.17</v>
      </c>
      <c r="M45" s="290">
        <v>-1594014.0700005144</v>
      </c>
      <c r="N45" s="313">
        <v>535631.1</v>
      </c>
      <c r="O45" s="280"/>
      <c r="P45" s="290">
        <v>547791.03</v>
      </c>
      <c r="Q45" s="290">
        <v>0</v>
      </c>
      <c r="R45" s="313">
        <v>547791.03</v>
      </c>
      <c r="S45" s="280"/>
      <c r="T45" s="290">
        <v>116108.21</v>
      </c>
      <c r="U45" s="290">
        <v>121848.40999862738</v>
      </c>
      <c r="V45" s="313">
        <v>237956.62</v>
      </c>
      <c r="W45" s="280"/>
      <c r="X45" s="290">
        <v>827248.84</v>
      </c>
      <c r="Y45" s="290">
        <v>0</v>
      </c>
      <c r="Z45" s="313">
        <v>827248.84</v>
      </c>
      <c r="AA45" s="280"/>
    </row>
    <row r="46" spans="2:27" s="276" customFormat="1">
      <c r="B46" s="238">
        <v>45534</v>
      </c>
      <c r="C46" s="290"/>
      <c r="D46" s="290">
        <v>1289676.1399999999</v>
      </c>
      <c r="E46" s="290">
        <v>0</v>
      </c>
      <c r="F46" s="290">
        <v>1289676.1399999999</v>
      </c>
      <c r="G46" s="290"/>
      <c r="H46" s="290">
        <v>1969065.99</v>
      </c>
      <c r="I46" s="290">
        <v>0</v>
      </c>
      <c r="J46" s="313">
        <v>1969065.99</v>
      </c>
      <c r="K46" s="280"/>
      <c r="L46" s="290">
        <v>535631.1</v>
      </c>
      <c r="M46" s="290">
        <v>0</v>
      </c>
      <c r="N46" s="313">
        <v>535631.1</v>
      </c>
      <c r="O46" s="280"/>
      <c r="P46" s="290">
        <v>547791.03</v>
      </c>
      <c r="Q46" s="290">
        <v>0</v>
      </c>
      <c r="R46" s="313">
        <v>547791.03</v>
      </c>
      <c r="S46" s="280"/>
      <c r="T46" s="290">
        <v>237956.62</v>
      </c>
      <c r="U46" s="290">
        <v>0</v>
      </c>
      <c r="V46" s="313">
        <v>237956.62</v>
      </c>
      <c r="W46" s="280"/>
      <c r="X46" s="290">
        <v>827248.84</v>
      </c>
      <c r="Y46" s="290">
        <v>0</v>
      </c>
      <c r="Z46" s="313">
        <v>827248.84</v>
      </c>
      <c r="AA46" s="280"/>
    </row>
    <row r="47" spans="2:27" s="276" customFormat="1">
      <c r="B47" s="238">
        <v>45535</v>
      </c>
      <c r="C47" s="290"/>
      <c r="D47" s="290">
        <v>1289676.1399999999</v>
      </c>
      <c r="E47" s="290">
        <v>0</v>
      </c>
      <c r="F47" s="290">
        <v>1289676.1399999999</v>
      </c>
      <c r="G47" s="290"/>
      <c r="H47" s="290">
        <v>1969065.99</v>
      </c>
      <c r="I47" s="290">
        <v>0</v>
      </c>
      <c r="J47" s="313">
        <v>1969065.99</v>
      </c>
      <c r="K47" s="280"/>
      <c r="L47" s="290">
        <v>535631.1</v>
      </c>
      <c r="M47" s="290">
        <v>0</v>
      </c>
      <c r="N47" s="313">
        <v>535631.1</v>
      </c>
      <c r="O47" s="280"/>
      <c r="P47" s="290">
        <v>547791.03</v>
      </c>
      <c r="Q47" s="290">
        <v>0</v>
      </c>
      <c r="R47" s="313">
        <v>547791.03</v>
      </c>
      <c r="S47" s="280"/>
      <c r="T47" s="290">
        <v>237956.62</v>
      </c>
      <c r="U47" s="290">
        <v>0</v>
      </c>
      <c r="V47" s="313">
        <v>237956.62</v>
      </c>
      <c r="W47" s="280"/>
      <c r="X47" s="290">
        <v>827248.84</v>
      </c>
      <c r="Y47" s="290">
        <v>0</v>
      </c>
      <c r="Z47" s="313">
        <v>827248.84</v>
      </c>
      <c r="AA47" s="280"/>
    </row>
    <row r="48" spans="2:27" s="276" customFormat="1">
      <c r="B48" s="238">
        <v>45536</v>
      </c>
      <c r="C48" s="290"/>
      <c r="D48" s="290">
        <v>1289676.1399999999</v>
      </c>
      <c r="E48" s="290">
        <v>0</v>
      </c>
      <c r="F48" s="290">
        <v>1289676.1399999999</v>
      </c>
      <c r="G48" s="290"/>
      <c r="H48" s="290">
        <v>1969065.99</v>
      </c>
      <c r="I48" s="290">
        <v>0</v>
      </c>
      <c r="J48" s="313">
        <v>1969065.99</v>
      </c>
      <c r="K48" s="280"/>
      <c r="L48" s="290">
        <v>535631.1</v>
      </c>
      <c r="M48" s="290">
        <v>0</v>
      </c>
      <c r="N48" s="313">
        <v>535631.1</v>
      </c>
      <c r="O48" s="280"/>
      <c r="P48" s="290">
        <v>547791.03</v>
      </c>
      <c r="Q48" s="290">
        <v>0</v>
      </c>
      <c r="R48" s="313">
        <v>547791.03</v>
      </c>
      <c r="S48" s="280"/>
      <c r="T48" s="290">
        <v>237956.62</v>
      </c>
      <c r="U48" s="290">
        <v>0</v>
      </c>
      <c r="V48" s="313">
        <v>237956.62</v>
      </c>
      <c r="W48" s="280"/>
      <c r="X48" s="290">
        <v>827248.84</v>
      </c>
      <c r="Y48" s="290">
        <v>0</v>
      </c>
      <c r="Z48" s="313">
        <v>827248.84</v>
      </c>
      <c r="AA48" s="280"/>
    </row>
    <row r="49" spans="2:27" s="276" customFormat="1">
      <c r="B49" s="238">
        <v>45537</v>
      </c>
      <c r="C49" s="290"/>
      <c r="D49" s="290">
        <v>1289676.1399999999</v>
      </c>
      <c r="E49" s="290">
        <v>-374749.59000026714</v>
      </c>
      <c r="F49" s="290">
        <v>914926.55</v>
      </c>
      <c r="G49" s="290"/>
      <c r="H49" s="290">
        <v>1969065.99</v>
      </c>
      <c r="I49" s="290">
        <v>1456888.3300008774</v>
      </c>
      <c r="J49" s="313">
        <v>3425953.5799999996</v>
      </c>
      <c r="K49" s="280"/>
      <c r="L49" s="290">
        <v>535631.1</v>
      </c>
      <c r="M49" s="290">
        <v>1191281.3199992776</v>
      </c>
      <c r="N49" s="313">
        <v>1726912.42</v>
      </c>
      <c r="O49" s="280"/>
      <c r="P49" s="290">
        <v>547791.03</v>
      </c>
      <c r="Q49" s="290">
        <v>218913.39999997616</v>
      </c>
      <c r="R49" s="313">
        <v>766704.43</v>
      </c>
      <c r="S49" s="280"/>
      <c r="T49" s="290">
        <v>237956.62</v>
      </c>
      <c r="U49" s="290">
        <v>205615.19000053406</v>
      </c>
      <c r="V49" s="313">
        <v>443571.81</v>
      </c>
      <c r="W49" s="280"/>
      <c r="X49" s="290">
        <v>827248.84</v>
      </c>
      <c r="Y49" s="290">
        <v>-261858.13999984227</v>
      </c>
      <c r="Z49" s="313">
        <v>565390.69999999995</v>
      </c>
      <c r="AA49" s="280"/>
    </row>
    <row r="50" spans="2:27" s="276" customFormat="1">
      <c r="B50" s="238">
        <v>45538</v>
      </c>
      <c r="C50" s="290"/>
      <c r="D50" s="290">
        <v>914926.55</v>
      </c>
      <c r="E50" s="290">
        <v>-880770.21999979019</v>
      </c>
      <c r="F50" s="290">
        <v>34156.33</v>
      </c>
      <c r="G50" s="290"/>
      <c r="H50" s="290">
        <v>3425953.5799999996</v>
      </c>
      <c r="I50" s="290">
        <v>-630850.94000053406</v>
      </c>
      <c r="J50" s="313">
        <v>2795102.64</v>
      </c>
      <c r="K50" s="280"/>
      <c r="L50" s="290">
        <v>1726912.42</v>
      </c>
      <c r="M50" s="290">
        <v>777906.26999950409</v>
      </c>
      <c r="N50" s="313">
        <v>2504818.69</v>
      </c>
      <c r="O50" s="280"/>
      <c r="P50" s="290">
        <v>766704.43</v>
      </c>
      <c r="Q50" s="290">
        <v>1127510.7699999809</v>
      </c>
      <c r="R50" s="313">
        <v>1894215.2</v>
      </c>
      <c r="S50" s="280"/>
      <c r="T50" s="290">
        <v>443571.81</v>
      </c>
      <c r="U50" s="290">
        <v>-335093.58000037447</v>
      </c>
      <c r="V50" s="313">
        <v>108478.23</v>
      </c>
      <c r="W50" s="280"/>
      <c r="X50" s="290">
        <v>565390.69999999995</v>
      </c>
      <c r="Y50" s="290">
        <v>0</v>
      </c>
      <c r="Z50" s="313">
        <v>565390.69999999995</v>
      </c>
      <c r="AA50" s="280"/>
    </row>
    <row r="51" spans="2:27" s="276" customFormat="1">
      <c r="B51" s="238">
        <v>45539</v>
      </c>
      <c r="C51" s="290"/>
      <c r="D51" s="290">
        <v>34156.33</v>
      </c>
      <c r="E51" s="290">
        <v>165728.23000025749</v>
      </c>
      <c r="F51" s="290">
        <v>199884.56</v>
      </c>
      <c r="G51" s="290"/>
      <c r="H51" s="290">
        <v>2795102.64</v>
      </c>
      <c r="I51" s="290">
        <v>-492923.63999938965</v>
      </c>
      <c r="J51" s="313">
        <v>2302179</v>
      </c>
      <c r="K51" s="280"/>
      <c r="L51" s="290">
        <v>2504818.69</v>
      </c>
      <c r="M51" s="290">
        <v>-1438778.9700000957</v>
      </c>
      <c r="N51" s="313">
        <v>1066039.72</v>
      </c>
      <c r="O51" s="280"/>
      <c r="P51" s="290">
        <v>1894215.2</v>
      </c>
      <c r="Q51" s="290">
        <v>-951539.62000000663</v>
      </c>
      <c r="R51" s="313">
        <v>942675.58</v>
      </c>
      <c r="S51" s="280"/>
      <c r="T51" s="290">
        <v>108478.23</v>
      </c>
      <c r="U51" s="290">
        <v>202541.65000034124</v>
      </c>
      <c r="V51" s="313">
        <v>311019.88</v>
      </c>
      <c r="W51" s="280"/>
      <c r="X51" s="290">
        <v>565390.69999999995</v>
      </c>
      <c r="Y51" s="290">
        <v>0</v>
      </c>
      <c r="Z51" s="313">
        <v>565390.69999999995</v>
      </c>
      <c r="AA51" s="280"/>
    </row>
    <row r="52" spans="2:27" s="276" customFormat="1">
      <c r="B52" s="238">
        <v>45540</v>
      </c>
      <c r="C52" s="290"/>
      <c r="D52" s="290">
        <v>199884.56</v>
      </c>
      <c r="E52" s="290">
        <v>992439.74000005797</v>
      </c>
      <c r="F52" s="290">
        <v>1192324.3</v>
      </c>
      <c r="G52" s="290"/>
      <c r="H52" s="290">
        <v>2302179</v>
      </c>
      <c r="I52" s="290">
        <v>-1247070.8899999224</v>
      </c>
      <c r="J52" s="313">
        <v>1055108.1100000001</v>
      </c>
      <c r="K52" s="280"/>
      <c r="L52" s="290">
        <v>1066039.72</v>
      </c>
      <c r="M52" s="290">
        <v>211780.11999975145</v>
      </c>
      <c r="N52" s="313">
        <v>1277819.8400000001</v>
      </c>
      <c r="O52" s="280"/>
      <c r="P52" s="290">
        <v>942675.58</v>
      </c>
      <c r="Q52" s="290">
        <v>28274.930000007153</v>
      </c>
      <c r="R52" s="313">
        <v>970950.51</v>
      </c>
      <c r="S52" s="280"/>
      <c r="T52" s="290">
        <v>311019.88</v>
      </c>
      <c r="U52" s="290">
        <v>382293.63000106812</v>
      </c>
      <c r="V52" s="313">
        <v>693313.51</v>
      </c>
      <c r="W52" s="280"/>
      <c r="X52" s="290">
        <v>565390.69999999995</v>
      </c>
      <c r="Y52" s="290">
        <v>0</v>
      </c>
      <c r="Z52" s="313">
        <v>565390.69999999995</v>
      </c>
      <c r="AA52" s="280"/>
    </row>
    <row r="53" spans="2:27" s="276" customFormat="1">
      <c r="B53" s="238">
        <v>45541</v>
      </c>
      <c r="C53" s="290"/>
      <c r="D53" s="290">
        <v>1192324.3</v>
      </c>
      <c r="E53" s="290">
        <v>-917750.42000003811</v>
      </c>
      <c r="F53" s="290">
        <v>274573.88</v>
      </c>
      <c r="G53" s="290"/>
      <c r="H53" s="290">
        <v>1055108.1100000001</v>
      </c>
      <c r="I53" s="290">
        <v>1149388.4099998847</v>
      </c>
      <c r="J53" s="313">
        <v>2204496.52</v>
      </c>
      <c r="K53" s="280"/>
      <c r="L53" s="290">
        <v>1277819.8400000001</v>
      </c>
      <c r="M53" s="290">
        <v>1072947.1899999082</v>
      </c>
      <c r="N53" s="313">
        <v>2350767.0299999998</v>
      </c>
      <c r="O53" s="280"/>
      <c r="P53" s="290">
        <v>970950.51</v>
      </c>
      <c r="Q53" s="290">
        <v>1685.320000000298</v>
      </c>
      <c r="R53" s="313">
        <v>972635.83</v>
      </c>
      <c r="S53" s="280"/>
      <c r="T53" s="290">
        <v>693313.51</v>
      </c>
      <c r="U53" s="290">
        <v>-7834.9300003051758</v>
      </c>
      <c r="V53" s="313">
        <v>685478.58</v>
      </c>
      <c r="W53" s="280"/>
      <c r="X53" s="290">
        <v>565390.69999999995</v>
      </c>
      <c r="Y53" s="290">
        <v>0</v>
      </c>
      <c r="Z53" s="313">
        <v>565390.69999999995</v>
      </c>
      <c r="AA53" s="280"/>
    </row>
    <row r="54" spans="2:27" s="276" customFormat="1">
      <c r="B54" s="238">
        <v>45542</v>
      </c>
      <c r="C54" s="290"/>
      <c r="D54" s="290">
        <v>274573.88</v>
      </c>
      <c r="E54" s="290">
        <v>0</v>
      </c>
      <c r="F54" s="290">
        <v>274573.88</v>
      </c>
      <c r="G54" s="290"/>
      <c r="H54" s="290">
        <v>2204496.52</v>
      </c>
      <c r="I54" s="290">
        <v>0</v>
      </c>
      <c r="J54" s="313">
        <v>2204496.52</v>
      </c>
      <c r="K54" s="280"/>
      <c r="L54" s="290">
        <v>2350767.0299999998</v>
      </c>
      <c r="M54" s="290">
        <v>0</v>
      </c>
      <c r="N54" s="313">
        <v>2350767.0299999998</v>
      </c>
      <c r="O54" s="280"/>
      <c r="P54" s="290">
        <v>972635.83</v>
      </c>
      <c r="Q54" s="290">
        <v>0</v>
      </c>
      <c r="R54" s="313">
        <v>972635.83</v>
      </c>
      <c r="S54" s="280"/>
      <c r="T54" s="290">
        <v>685478.58</v>
      </c>
      <c r="U54" s="290">
        <v>0</v>
      </c>
      <c r="V54" s="313">
        <v>685478.58</v>
      </c>
      <c r="W54" s="280"/>
      <c r="X54" s="290">
        <v>565390.69999999995</v>
      </c>
      <c r="Y54" s="290">
        <v>0</v>
      </c>
      <c r="Z54" s="313">
        <v>565390.69999999995</v>
      </c>
      <c r="AA54" s="280"/>
    </row>
    <row r="55" spans="2:27" s="276" customFormat="1">
      <c r="B55" s="238">
        <v>45543</v>
      </c>
      <c r="C55" s="290"/>
      <c r="D55" s="290">
        <v>274573.88</v>
      </c>
      <c r="E55" s="290">
        <v>0</v>
      </c>
      <c r="F55" s="290">
        <v>274573.88</v>
      </c>
      <c r="G55" s="290"/>
      <c r="H55" s="290">
        <v>2204496.52</v>
      </c>
      <c r="I55" s="290">
        <v>0</v>
      </c>
      <c r="J55" s="313">
        <v>2204496.52</v>
      </c>
      <c r="K55" s="280"/>
      <c r="L55" s="290">
        <v>2350767.0299999998</v>
      </c>
      <c r="M55" s="290">
        <v>0</v>
      </c>
      <c r="N55" s="313">
        <v>2350767.0299999998</v>
      </c>
      <c r="O55" s="280"/>
      <c r="P55" s="290">
        <v>972635.83</v>
      </c>
      <c r="Q55" s="290">
        <v>0</v>
      </c>
      <c r="R55" s="313">
        <v>972635.83</v>
      </c>
      <c r="S55" s="280"/>
      <c r="T55" s="290">
        <v>685478.58</v>
      </c>
      <c r="U55" s="290">
        <v>0</v>
      </c>
      <c r="V55" s="313">
        <v>685478.58</v>
      </c>
      <c r="W55" s="280"/>
      <c r="X55" s="290">
        <v>565390.69999999995</v>
      </c>
      <c r="Y55" s="290">
        <v>0</v>
      </c>
      <c r="Z55" s="313">
        <v>565390.69999999995</v>
      </c>
      <c r="AA55" s="280"/>
    </row>
    <row r="56" spans="2:27" s="276" customFormat="1">
      <c r="B56" s="238">
        <v>45544</v>
      </c>
      <c r="C56" s="290"/>
      <c r="D56" s="290">
        <v>274573.88</v>
      </c>
      <c r="E56" s="290">
        <v>667881.09000002872</v>
      </c>
      <c r="F56" s="290">
        <v>942454.97</v>
      </c>
      <c r="G56" s="290"/>
      <c r="H56" s="290">
        <v>2204496.52</v>
      </c>
      <c r="I56" s="290">
        <v>473837.53999965638</v>
      </c>
      <c r="J56" s="313">
        <v>2678334.06</v>
      </c>
      <c r="K56" s="280"/>
      <c r="L56" s="290">
        <v>2350767.0299999998</v>
      </c>
      <c r="M56" s="290">
        <v>457794.30999998748</v>
      </c>
      <c r="N56" s="313">
        <v>2808561.34</v>
      </c>
      <c r="O56" s="280"/>
      <c r="P56" s="290">
        <v>972635.83</v>
      </c>
      <c r="Q56" s="290">
        <v>-144665.87999956124</v>
      </c>
      <c r="R56" s="313">
        <v>827969.95</v>
      </c>
      <c r="S56" s="280"/>
      <c r="T56" s="290">
        <v>685478.58</v>
      </c>
      <c r="U56" s="290">
        <v>-41102.359998233616</v>
      </c>
      <c r="V56" s="313">
        <v>644376.22</v>
      </c>
      <c r="W56" s="280"/>
      <c r="X56" s="290">
        <v>565390.69999999995</v>
      </c>
      <c r="Y56" s="290">
        <v>2570262.1899998672</v>
      </c>
      <c r="Z56" s="313">
        <v>3135652.89</v>
      </c>
      <c r="AA56" s="280"/>
    </row>
    <row r="57" spans="2:27" s="276" customFormat="1">
      <c r="B57" s="238">
        <v>45545</v>
      </c>
      <c r="C57" s="290"/>
      <c r="D57" s="290">
        <v>942454.97</v>
      </c>
      <c r="E57" s="290">
        <v>804024.40999984741</v>
      </c>
      <c r="F57" s="290">
        <v>1746479.38</v>
      </c>
      <c r="G57" s="290"/>
      <c r="H57" s="290">
        <v>2678334.06</v>
      </c>
      <c r="I57" s="290">
        <v>-479573.62999939919</v>
      </c>
      <c r="J57" s="313">
        <v>2198760.4300000002</v>
      </c>
      <c r="K57" s="280"/>
      <c r="L57" s="290">
        <v>2808561.34</v>
      </c>
      <c r="M57" s="290">
        <v>277825.16999983788</v>
      </c>
      <c r="N57" s="313">
        <v>3086386.51</v>
      </c>
      <c r="O57" s="280"/>
      <c r="P57" s="290">
        <v>827969.95</v>
      </c>
      <c r="Q57" s="290">
        <v>0</v>
      </c>
      <c r="R57" s="313">
        <v>827969.95</v>
      </c>
      <c r="S57" s="280"/>
      <c r="T57" s="290">
        <v>644376.22</v>
      </c>
      <c r="U57" s="290">
        <v>-600269.01999835065</v>
      </c>
      <c r="V57" s="313">
        <v>44107.199999999997</v>
      </c>
      <c r="W57" s="280"/>
      <c r="X57" s="290">
        <v>3135652.89</v>
      </c>
      <c r="Y57" s="290">
        <v>-835599.18999999762</v>
      </c>
      <c r="Z57" s="313">
        <v>2300053.7000000002</v>
      </c>
      <c r="AA57" s="280"/>
    </row>
    <row r="58" spans="2:27" s="276" customFormat="1">
      <c r="B58" s="238">
        <v>45546</v>
      </c>
      <c r="C58" s="290"/>
      <c r="D58" s="290">
        <v>1746479.38</v>
      </c>
      <c r="E58" s="290">
        <v>-1639478.0400000475</v>
      </c>
      <c r="F58" s="290">
        <v>107001.34</v>
      </c>
      <c r="G58" s="290"/>
      <c r="H58" s="290">
        <v>2198760.4300000002</v>
      </c>
      <c r="I58" s="290">
        <v>872827.12999878079</v>
      </c>
      <c r="J58" s="313">
        <v>3071587.56</v>
      </c>
      <c r="K58" s="280"/>
      <c r="L58" s="290">
        <v>3086386.51</v>
      </c>
      <c r="M58" s="290">
        <v>549884.65999998897</v>
      </c>
      <c r="N58" s="313">
        <v>3636271.17</v>
      </c>
      <c r="O58" s="280"/>
      <c r="P58" s="290">
        <v>827969.95</v>
      </c>
      <c r="Q58" s="290">
        <v>-128987.08999973768</v>
      </c>
      <c r="R58" s="313">
        <v>698982.86</v>
      </c>
      <c r="S58" s="280"/>
      <c r="T58" s="290">
        <v>44107.199999999997</v>
      </c>
      <c r="U58" s="290">
        <v>739499.46000003815</v>
      </c>
      <c r="V58" s="313">
        <v>783606.66</v>
      </c>
      <c r="W58" s="280"/>
      <c r="X58" s="290">
        <v>2300053.7000000002</v>
      </c>
      <c r="Y58" s="290">
        <v>222885.79000002146</v>
      </c>
      <c r="Z58" s="313">
        <v>2522939.4900000002</v>
      </c>
      <c r="AA58" s="280"/>
    </row>
    <row r="59" spans="2:27" s="276" customFormat="1">
      <c r="B59" s="238">
        <v>45547</v>
      </c>
      <c r="C59" s="290"/>
      <c r="D59" s="290">
        <v>107001.34</v>
      </c>
      <c r="E59" s="290">
        <v>389853.2000009343</v>
      </c>
      <c r="F59" s="290">
        <v>496854.54</v>
      </c>
      <c r="G59" s="290"/>
      <c r="H59" s="290">
        <v>3071587.56</v>
      </c>
      <c r="I59" s="290">
        <v>-1004808.1800003052</v>
      </c>
      <c r="J59" s="313">
        <v>2066779.38</v>
      </c>
      <c r="K59" s="280"/>
      <c r="L59" s="290">
        <v>3636271.17</v>
      </c>
      <c r="M59" s="290">
        <v>310470.52999999374</v>
      </c>
      <c r="N59" s="313">
        <v>3946741.7</v>
      </c>
      <c r="O59" s="280"/>
      <c r="P59" s="290">
        <v>698982.86</v>
      </c>
      <c r="Q59" s="290">
        <v>1349134.9900000095</v>
      </c>
      <c r="R59" s="313">
        <v>2048117.85</v>
      </c>
      <c r="S59" s="280"/>
      <c r="T59" s="290">
        <v>783606.66</v>
      </c>
      <c r="U59" s="290">
        <v>166642.72000031546</v>
      </c>
      <c r="V59" s="313">
        <v>950249.38</v>
      </c>
      <c r="W59" s="280"/>
      <c r="X59" s="290">
        <v>2522939.4900000002</v>
      </c>
      <c r="Y59" s="290">
        <v>205577.14999997616</v>
      </c>
      <c r="Z59" s="313">
        <v>2728516.64</v>
      </c>
      <c r="AA59" s="280"/>
    </row>
    <row r="60" spans="2:27" s="276" customFormat="1">
      <c r="B60" s="238">
        <v>45548</v>
      </c>
      <c r="C60" s="290"/>
      <c r="D60" s="290">
        <v>496854.54</v>
      </c>
      <c r="E60" s="290">
        <v>226652.8299998669</v>
      </c>
      <c r="F60" s="290">
        <v>723507.37</v>
      </c>
      <c r="G60" s="290"/>
      <c r="H60" s="290">
        <v>2066779.38</v>
      </c>
      <c r="I60" s="290">
        <v>-197796.63999966159</v>
      </c>
      <c r="J60" s="313">
        <v>1868982.74</v>
      </c>
      <c r="K60" s="280"/>
      <c r="L60" s="290">
        <v>3946741.7</v>
      </c>
      <c r="M60" s="290">
        <v>679765.20999993384</v>
      </c>
      <c r="N60" s="313">
        <v>4626506.91</v>
      </c>
      <c r="O60" s="280"/>
      <c r="P60" s="290">
        <v>2048117.85</v>
      </c>
      <c r="Q60" s="290">
        <v>-2000682.37</v>
      </c>
      <c r="R60" s="313">
        <v>47435.48</v>
      </c>
      <c r="S60" s="280"/>
      <c r="T60" s="290">
        <v>950249.38</v>
      </c>
      <c r="U60" s="290">
        <v>-600715.95999935269</v>
      </c>
      <c r="V60" s="313">
        <v>349533.42</v>
      </c>
      <c r="W60" s="280"/>
      <c r="X60" s="290">
        <v>2728516.64</v>
      </c>
      <c r="Y60" s="290">
        <v>993921.07999998331</v>
      </c>
      <c r="Z60" s="313">
        <v>3722437.72</v>
      </c>
      <c r="AA60" s="280"/>
    </row>
    <row r="61" spans="2:27" s="276" customFormat="1">
      <c r="B61" s="238">
        <v>45549</v>
      </c>
      <c r="C61" s="290"/>
      <c r="D61" s="290">
        <v>723507.37</v>
      </c>
      <c r="E61" s="290">
        <v>0</v>
      </c>
      <c r="F61" s="290">
        <v>723507.37</v>
      </c>
      <c r="G61" s="290"/>
      <c r="H61" s="290">
        <v>1868982.74</v>
      </c>
      <c r="I61" s="290">
        <v>0</v>
      </c>
      <c r="J61" s="313">
        <v>1868982.74</v>
      </c>
      <c r="K61" s="280"/>
      <c r="L61" s="290">
        <v>4626506.91</v>
      </c>
      <c r="M61" s="290">
        <v>0</v>
      </c>
      <c r="N61" s="313">
        <v>4626506.91</v>
      </c>
      <c r="O61" s="280"/>
      <c r="P61" s="290">
        <v>47435.48</v>
      </c>
      <c r="Q61" s="290">
        <v>0</v>
      </c>
      <c r="R61" s="313">
        <v>47435.48</v>
      </c>
      <c r="S61" s="280"/>
      <c r="T61" s="290">
        <v>349533.42</v>
      </c>
      <c r="U61" s="290">
        <v>0</v>
      </c>
      <c r="V61" s="313">
        <v>349533.42</v>
      </c>
      <c r="W61" s="280"/>
      <c r="X61" s="290">
        <v>3722437.72</v>
      </c>
      <c r="Y61" s="290">
        <v>0</v>
      </c>
      <c r="Z61" s="313">
        <v>3722437.72</v>
      </c>
      <c r="AA61" s="280"/>
    </row>
    <row r="62" spans="2:27" s="276" customFormat="1">
      <c r="B62" s="238">
        <v>45550</v>
      </c>
      <c r="C62" s="290"/>
      <c r="D62" s="290">
        <v>723507.37</v>
      </c>
      <c r="E62" s="290">
        <v>0</v>
      </c>
      <c r="F62" s="290">
        <v>723507.37</v>
      </c>
      <c r="G62" s="290"/>
      <c r="H62" s="290">
        <v>1868982.74</v>
      </c>
      <c r="I62" s="290">
        <v>0</v>
      </c>
      <c r="J62" s="313">
        <v>1868982.74</v>
      </c>
      <c r="K62" s="280"/>
      <c r="L62" s="290">
        <v>4626506.91</v>
      </c>
      <c r="M62" s="290">
        <v>0</v>
      </c>
      <c r="N62" s="313">
        <v>4626506.91</v>
      </c>
      <c r="O62" s="280"/>
      <c r="P62" s="290">
        <v>47435.48</v>
      </c>
      <c r="Q62" s="290">
        <v>0</v>
      </c>
      <c r="R62" s="313">
        <v>47435.48</v>
      </c>
      <c r="S62" s="280"/>
      <c r="T62" s="290">
        <v>349533.42</v>
      </c>
      <c r="U62" s="290">
        <v>0</v>
      </c>
      <c r="V62" s="313">
        <v>349533.42</v>
      </c>
      <c r="W62" s="280"/>
      <c r="X62" s="290">
        <v>3722437.72</v>
      </c>
      <c r="Y62" s="290">
        <v>0</v>
      </c>
      <c r="Z62" s="313">
        <v>3722437.72</v>
      </c>
      <c r="AA62" s="280"/>
    </row>
    <row r="63" spans="2:27" s="276" customFormat="1">
      <c r="B63" s="238">
        <v>45551</v>
      </c>
      <c r="C63" s="290"/>
      <c r="D63" s="290">
        <v>723507.37</v>
      </c>
      <c r="E63" s="290">
        <v>253927.41999974288</v>
      </c>
      <c r="F63" s="290">
        <v>977434.79</v>
      </c>
      <c r="G63" s="290"/>
      <c r="H63" s="290">
        <v>1868982.74</v>
      </c>
      <c r="I63" s="290">
        <v>647391.55000114441</v>
      </c>
      <c r="J63" s="313">
        <v>2516374.29</v>
      </c>
      <c r="K63" s="280"/>
      <c r="L63" s="290">
        <v>4626506.91</v>
      </c>
      <c r="M63" s="290">
        <v>-3525476.2400001138</v>
      </c>
      <c r="N63" s="313">
        <v>1101030.67</v>
      </c>
      <c r="O63" s="280"/>
      <c r="P63" s="290">
        <v>47435.48</v>
      </c>
      <c r="Q63" s="290">
        <v>229754.76000024844</v>
      </c>
      <c r="R63" s="313">
        <v>277190.24</v>
      </c>
      <c r="S63" s="280"/>
      <c r="T63" s="290">
        <v>349533.42</v>
      </c>
      <c r="U63" s="290">
        <v>410088.24000072479</v>
      </c>
      <c r="V63" s="313">
        <v>759621.66</v>
      </c>
      <c r="W63" s="280"/>
      <c r="X63" s="290">
        <v>3722437.72</v>
      </c>
      <c r="Y63" s="290">
        <v>-2088287.8200002462</v>
      </c>
      <c r="Z63" s="313">
        <v>1634149.9</v>
      </c>
      <c r="AA63" s="280"/>
    </row>
    <row r="64" spans="2:27" s="276" customFormat="1">
      <c r="B64" s="238">
        <v>45552</v>
      </c>
      <c r="C64" s="290"/>
      <c r="D64" s="290">
        <v>977434.79</v>
      </c>
      <c r="E64" s="290">
        <v>-771520.15000021458</v>
      </c>
      <c r="F64" s="290">
        <v>205914.64</v>
      </c>
      <c r="G64" s="290"/>
      <c r="H64" s="290">
        <v>2516374.29</v>
      </c>
      <c r="I64" s="290">
        <v>-569446.25000015274</v>
      </c>
      <c r="J64" s="313">
        <v>1946928.04</v>
      </c>
      <c r="K64" s="280"/>
      <c r="L64" s="290">
        <v>1101030.67</v>
      </c>
      <c r="M64" s="290">
        <v>428177.58000002056</v>
      </c>
      <c r="N64" s="313">
        <v>1529208.25</v>
      </c>
      <c r="O64" s="280"/>
      <c r="P64" s="290">
        <v>277190.24</v>
      </c>
      <c r="Q64" s="290">
        <v>0</v>
      </c>
      <c r="R64" s="313">
        <v>277190.24</v>
      </c>
      <c r="S64" s="280"/>
      <c r="T64" s="290">
        <v>759621.66</v>
      </c>
      <c r="U64" s="290">
        <v>-69270.970000267029</v>
      </c>
      <c r="V64" s="313">
        <v>690350.69</v>
      </c>
      <c r="W64" s="280"/>
      <c r="X64" s="290">
        <v>1634149.9</v>
      </c>
      <c r="Y64" s="290">
        <v>-1201881.5399998566</v>
      </c>
      <c r="Z64" s="313">
        <v>432268.36</v>
      </c>
      <c r="AA64" s="280"/>
    </row>
    <row r="65" spans="2:27" s="276" customFormat="1">
      <c r="B65" s="238">
        <v>45553</v>
      </c>
      <c r="C65" s="290"/>
      <c r="D65" s="290">
        <v>205914.64</v>
      </c>
      <c r="E65" s="290">
        <v>321892.84999998659</v>
      </c>
      <c r="F65" s="290">
        <v>527807.49</v>
      </c>
      <c r="G65" s="290"/>
      <c r="H65" s="290">
        <v>1946928.04</v>
      </c>
      <c r="I65" s="290">
        <v>273959.99000008777</v>
      </c>
      <c r="J65" s="313">
        <v>2220888.0299999998</v>
      </c>
      <c r="K65" s="280"/>
      <c r="L65" s="290">
        <v>1529208.25</v>
      </c>
      <c r="M65" s="290">
        <v>395409.26000009477</v>
      </c>
      <c r="N65" s="313">
        <v>1924617.51</v>
      </c>
      <c r="O65" s="280"/>
      <c r="P65" s="290">
        <v>277190.24</v>
      </c>
      <c r="Q65" s="290">
        <v>-126914.38999999128</v>
      </c>
      <c r="R65" s="313">
        <v>150275.85</v>
      </c>
      <c r="S65" s="280"/>
      <c r="T65" s="290">
        <v>690350.69</v>
      </c>
      <c r="U65" s="290">
        <v>-236808.35000038147</v>
      </c>
      <c r="V65" s="313">
        <v>453542.34</v>
      </c>
      <c r="W65" s="280"/>
      <c r="X65" s="290">
        <v>432268.36</v>
      </c>
      <c r="Y65" s="290">
        <v>0</v>
      </c>
      <c r="Z65" s="313">
        <v>432268.36</v>
      </c>
      <c r="AA65" s="280"/>
    </row>
    <row r="66" spans="2:27" s="276" customFormat="1">
      <c r="B66" s="238">
        <v>45554</v>
      </c>
      <c r="C66" s="290"/>
      <c r="D66" s="290">
        <v>527807.49</v>
      </c>
      <c r="E66" s="290">
        <v>-365435.96000001952</v>
      </c>
      <c r="F66" s="290">
        <v>162371.53</v>
      </c>
      <c r="G66" s="290"/>
      <c r="H66" s="290">
        <v>2220888.0299999998</v>
      </c>
      <c r="I66" s="290">
        <v>-917246.22999984026</v>
      </c>
      <c r="J66" s="313">
        <v>1303641.8</v>
      </c>
      <c r="K66" s="280"/>
      <c r="L66" s="290">
        <v>1924617.51</v>
      </c>
      <c r="M66" s="290">
        <v>578204.64000003785</v>
      </c>
      <c r="N66" s="313">
        <v>2502822.15</v>
      </c>
      <c r="O66" s="280"/>
      <c r="P66" s="290">
        <v>150275.85</v>
      </c>
      <c r="Q66" s="290">
        <v>0</v>
      </c>
      <c r="R66" s="313">
        <v>150275.85</v>
      </c>
      <c r="S66" s="280"/>
      <c r="T66" s="290">
        <v>453542.34</v>
      </c>
      <c r="U66" s="290">
        <v>-173702.70999908447</v>
      </c>
      <c r="V66" s="313">
        <v>279839.63</v>
      </c>
      <c r="W66" s="280"/>
      <c r="X66" s="290">
        <v>432268.36</v>
      </c>
      <c r="Y66" s="290">
        <v>0</v>
      </c>
      <c r="Z66" s="313">
        <v>432268.36</v>
      </c>
      <c r="AA66" s="280"/>
    </row>
    <row r="67" spans="2:27" s="276" customFormat="1">
      <c r="B67" s="238">
        <v>45555</v>
      </c>
      <c r="C67" s="290"/>
      <c r="D67" s="290">
        <v>162371.53</v>
      </c>
      <c r="E67" s="290">
        <v>571452.47000017203</v>
      </c>
      <c r="F67" s="290">
        <v>733824</v>
      </c>
      <c r="G67" s="290"/>
      <c r="H67" s="290">
        <v>1303641.8</v>
      </c>
      <c r="I67" s="290">
        <v>1561513.9600009918</v>
      </c>
      <c r="J67" s="313">
        <v>2865155.76</v>
      </c>
      <c r="K67" s="280"/>
      <c r="L67" s="290">
        <v>2502822.15</v>
      </c>
      <c r="M67" s="290">
        <v>-1545998.9700000882</v>
      </c>
      <c r="N67" s="313">
        <v>956823.18</v>
      </c>
      <c r="O67" s="280"/>
      <c r="P67" s="290">
        <v>150275.85</v>
      </c>
      <c r="Q67" s="290">
        <v>0</v>
      </c>
      <c r="R67" s="313">
        <v>150275.85</v>
      </c>
      <c r="S67" s="280"/>
      <c r="T67" s="290">
        <v>279839.63</v>
      </c>
      <c r="U67" s="290">
        <v>646339.31999984756</v>
      </c>
      <c r="V67" s="313">
        <v>926178.95</v>
      </c>
      <c r="W67" s="280"/>
      <c r="X67" s="290">
        <v>432268.36</v>
      </c>
      <c r="Y67" s="290">
        <v>0</v>
      </c>
      <c r="Z67" s="313">
        <v>432268.36</v>
      </c>
      <c r="AA67" s="280"/>
    </row>
    <row r="68" spans="2:27" s="276" customFormat="1">
      <c r="B68" s="238">
        <v>45556</v>
      </c>
      <c r="C68" s="290"/>
      <c r="D68" s="290">
        <v>733824</v>
      </c>
      <c r="E68" s="290">
        <v>0</v>
      </c>
      <c r="F68" s="290">
        <v>733824</v>
      </c>
      <c r="G68" s="290"/>
      <c r="H68" s="290">
        <v>2865155.76</v>
      </c>
      <c r="I68" s="290">
        <v>0</v>
      </c>
      <c r="J68" s="313">
        <v>2865155.76</v>
      </c>
      <c r="K68" s="280"/>
      <c r="L68" s="290">
        <v>956823.18</v>
      </c>
      <c r="M68" s="290">
        <v>0</v>
      </c>
      <c r="N68" s="313">
        <v>956823.18</v>
      </c>
      <c r="O68" s="280"/>
      <c r="P68" s="290">
        <v>150275.85</v>
      </c>
      <c r="Q68" s="290">
        <v>0</v>
      </c>
      <c r="R68" s="313">
        <v>150275.85</v>
      </c>
      <c r="S68" s="280"/>
      <c r="T68" s="290">
        <v>926178.95</v>
      </c>
      <c r="U68" s="290">
        <v>0</v>
      </c>
      <c r="V68" s="313">
        <v>926178.95</v>
      </c>
      <c r="W68" s="280"/>
      <c r="X68" s="290">
        <v>432268.36</v>
      </c>
      <c r="Y68" s="290">
        <v>0</v>
      </c>
      <c r="Z68" s="313">
        <v>432268.36</v>
      </c>
      <c r="AA68" s="280"/>
    </row>
    <row r="69" spans="2:27" s="276" customFormat="1">
      <c r="B69" s="238">
        <v>45557</v>
      </c>
      <c r="C69" s="290"/>
      <c r="D69" s="290">
        <v>733824</v>
      </c>
      <c r="E69" s="290">
        <v>0</v>
      </c>
      <c r="F69" s="290">
        <v>733824</v>
      </c>
      <c r="G69" s="290"/>
      <c r="H69" s="290">
        <v>2865155.76</v>
      </c>
      <c r="I69" s="290">
        <v>0</v>
      </c>
      <c r="J69" s="313">
        <v>2865155.76</v>
      </c>
      <c r="K69" s="280"/>
      <c r="L69" s="290">
        <v>956823.18</v>
      </c>
      <c r="M69" s="290">
        <v>0</v>
      </c>
      <c r="N69" s="313">
        <v>956823.18</v>
      </c>
      <c r="O69" s="280"/>
      <c r="P69" s="290">
        <v>150275.85</v>
      </c>
      <c r="Q69" s="290">
        <v>0</v>
      </c>
      <c r="R69" s="313">
        <v>150275.85</v>
      </c>
      <c r="S69" s="280"/>
      <c r="T69" s="290">
        <v>926178.95</v>
      </c>
      <c r="U69" s="290">
        <v>0</v>
      </c>
      <c r="V69" s="313">
        <v>926178.95</v>
      </c>
      <c r="W69" s="280"/>
      <c r="X69" s="290">
        <v>432268.36</v>
      </c>
      <c r="Y69" s="290">
        <v>0</v>
      </c>
      <c r="Z69" s="313">
        <v>432268.36</v>
      </c>
      <c r="AA69" s="280"/>
    </row>
    <row r="70" spans="2:27" s="276" customFormat="1">
      <c r="B70" s="238">
        <v>45558</v>
      </c>
      <c r="C70" s="290"/>
      <c r="D70" s="290">
        <v>733824</v>
      </c>
      <c r="E70" s="290">
        <v>-437823.69999989495</v>
      </c>
      <c r="F70" s="290">
        <v>296000.3</v>
      </c>
      <c r="G70" s="290"/>
      <c r="H70" s="290">
        <v>2865155.76</v>
      </c>
      <c r="I70" s="290">
        <v>-1026853.9299998283</v>
      </c>
      <c r="J70" s="313">
        <v>1838301.83</v>
      </c>
      <c r="K70" s="280"/>
      <c r="L70" s="290">
        <v>956823.18</v>
      </c>
      <c r="M70" s="290">
        <v>1027827.0399998203</v>
      </c>
      <c r="N70" s="313">
        <v>1984650.22</v>
      </c>
      <c r="O70" s="280"/>
      <c r="P70" s="290">
        <v>150275.85</v>
      </c>
      <c r="Q70" s="290">
        <v>521136.36999944644</v>
      </c>
      <c r="R70" s="313">
        <v>671412.22</v>
      </c>
      <c r="S70" s="280"/>
      <c r="T70" s="290">
        <v>926178.95</v>
      </c>
      <c r="U70" s="290">
        <v>-278041.81999969482</v>
      </c>
      <c r="V70" s="313">
        <v>648137.13</v>
      </c>
      <c r="W70" s="280"/>
      <c r="X70" s="290">
        <v>432268.36</v>
      </c>
      <c r="Y70" s="290">
        <v>47643.24000001885</v>
      </c>
      <c r="Z70" s="313">
        <v>479911.6</v>
      </c>
      <c r="AA70" s="280"/>
    </row>
    <row r="71" spans="2:27" s="276" customFormat="1">
      <c r="B71" s="238">
        <v>45559</v>
      </c>
      <c r="C71" s="290"/>
      <c r="D71" s="290">
        <v>296000.3</v>
      </c>
      <c r="E71" s="290">
        <v>87355.280000104569</v>
      </c>
      <c r="F71" s="290">
        <v>383355.58</v>
      </c>
      <c r="G71" s="290"/>
      <c r="H71" s="290">
        <v>1838301.83</v>
      </c>
      <c r="I71" s="290">
        <v>649218.28999971226</v>
      </c>
      <c r="J71" s="313">
        <v>2487520.12</v>
      </c>
      <c r="K71" s="280"/>
      <c r="L71" s="290">
        <v>1984650.22</v>
      </c>
      <c r="M71" s="290">
        <v>941867.09000001103</v>
      </c>
      <c r="N71" s="313">
        <v>2926517.31</v>
      </c>
      <c r="O71" s="280"/>
      <c r="P71" s="290">
        <v>671412.22</v>
      </c>
      <c r="Q71" s="290">
        <v>177676.52000000956</v>
      </c>
      <c r="R71" s="313">
        <v>849088.74</v>
      </c>
      <c r="S71" s="280"/>
      <c r="T71" s="290">
        <v>648137.13</v>
      </c>
      <c r="U71" s="290">
        <v>-226718.0499997139</v>
      </c>
      <c r="V71" s="313">
        <v>421419.08</v>
      </c>
      <c r="W71" s="280"/>
      <c r="X71" s="290">
        <v>479911.6</v>
      </c>
      <c r="Y71" s="290">
        <v>987621.78000032343</v>
      </c>
      <c r="Z71" s="313">
        <v>1467533.38</v>
      </c>
      <c r="AA71" s="280"/>
    </row>
    <row r="72" spans="2:27" s="276" customFormat="1">
      <c r="B72" s="238">
        <v>45560</v>
      </c>
      <c r="C72" s="290"/>
      <c r="D72" s="290">
        <v>383355.58</v>
      </c>
      <c r="E72" s="290">
        <v>388401.34999995958</v>
      </c>
      <c r="F72" s="290">
        <v>771756.93</v>
      </c>
      <c r="G72" s="290"/>
      <c r="H72" s="290">
        <v>2487520.12</v>
      </c>
      <c r="I72" s="290">
        <v>1439984.3500014506</v>
      </c>
      <c r="J72" s="313">
        <v>3927504.47</v>
      </c>
      <c r="K72" s="280"/>
      <c r="L72" s="290">
        <v>2926517.31</v>
      </c>
      <c r="M72" s="290">
        <v>-2014542.8499999195</v>
      </c>
      <c r="N72" s="313">
        <v>911974.46</v>
      </c>
      <c r="O72" s="280"/>
      <c r="P72" s="290">
        <v>849088.74</v>
      </c>
      <c r="Q72" s="290">
        <v>-332669.68999965675</v>
      </c>
      <c r="R72" s="313">
        <v>516419.05</v>
      </c>
      <c r="S72" s="280"/>
      <c r="T72" s="290">
        <v>421419.08</v>
      </c>
      <c r="U72" s="290">
        <v>-347635.55000019073</v>
      </c>
      <c r="V72" s="313">
        <v>73783.53</v>
      </c>
      <c r="W72" s="280"/>
      <c r="X72" s="290">
        <v>1467533.38</v>
      </c>
      <c r="Y72" s="290">
        <v>-667603.80000011437</v>
      </c>
      <c r="Z72" s="313">
        <v>799929.58</v>
      </c>
      <c r="AA72" s="280"/>
    </row>
    <row r="73" spans="2:27" s="276" customFormat="1">
      <c r="B73" s="238">
        <v>45561</v>
      </c>
      <c r="C73" s="290"/>
      <c r="D73" s="290">
        <v>771756.93</v>
      </c>
      <c r="E73" s="290">
        <v>647341.47999952361</v>
      </c>
      <c r="F73" s="290">
        <v>1419098.41</v>
      </c>
      <c r="G73" s="290"/>
      <c r="H73" s="290">
        <v>3927504.47</v>
      </c>
      <c r="I73" s="290">
        <v>-1775955.6499996558</v>
      </c>
      <c r="J73" s="313">
        <v>2151548.8199999998</v>
      </c>
      <c r="K73" s="280"/>
      <c r="L73" s="290">
        <v>911974.46</v>
      </c>
      <c r="M73" s="290">
        <v>735083.51999995112</v>
      </c>
      <c r="N73" s="313">
        <v>1647057.98</v>
      </c>
      <c r="O73" s="280"/>
      <c r="P73" s="290">
        <v>516419.05</v>
      </c>
      <c r="Q73" s="290">
        <v>104317.42000011448</v>
      </c>
      <c r="R73" s="313">
        <v>620736.47</v>
      </c>
      <c r="S73" s="280"/>
      <c r="T73" s="290">
        <v>73783.53</v>
      </c>
      <c r="U73" s="290">
        <v>827748.3200006485</v>
      </c>
      <c r="V73" s="313">
        <v>901531.85</v>
      </c>
      <c r="W73" s="280"/>
      <c r="X73" s="290">
        <v>799929.58</v>
      </c>
      <c r="Y73" s="290">
        <v>873732.13999971375</v>
      </c>
      <c r="Z73" s="313">
        <v>1673661.72</v>
      </c>
      <c r="AA73" s="280"/>
    </row>
    <row r="74" spans="2:27" s="276" customFormat="1">
      <c r="B74" s="238">
        <v>45562</v>
      </c>
      <c r="C74" s="290"/>
      <c r="D74" s="290">
        <v>1419098.41</v>
      </c>
      <c r="E74" s="290">
        <v>-764526.21999907494</v>
      </c>
      <c r="F74" s="290">
        <v>654572.18999999994</v>
      </c>
      <c r="G74" s="290"/>
      <c r="H74" s="290">
        <v>2151548.8199999998</v>
      </c>
      <c r="I74" s="290">
        <v>-1496185.0300004482</v>
      </c>
      <c r="J74" s="313">
        <v>655363.79</v>
      </c>
      <c r="K74" s="280"/>
      <c r="L74" s="290">
        <v>1647057.98</v>
      </c>
      <c r="M74" s="290">
        <v>345446.18999990448</v>
      </c>
      <c r="N74" s="313">
        <v>1992504.17</v>
      </c>
      <c r="O74" s="280"/>
      <c r="P74" s="290">
        <v>620736.47</v>
      </c>
      <c r="Q74" s="290">
        <v>274554.09000015259</v>
      </c>
      <c r="R74" s="313">
        <v>895290.56</v>
      </c>
      <c r="S74" s="280"/>
      <c r="T74" s="290">
        <v>901531.85</v>
      </c>
      <c r="U74" s="290">
        <v>59644.949999809265</v>
      </c>
      <c r="V74" s="313">
        <v>961176.8</v>
      </c>
      <c r="W74" s="280"/>
      <c r="X74" s="290">
        <v>1673661.72</v>
      </c>
      <c r="Y74" s="290">
        <v>-842819.23000038229</v>
      </c>
      <c r="Z74" s="313">
        <v>830842.49</v>
      </c>
      <c r="AA74" s="280"/>
    </row>
    <row r="75" spans="2:27" s="276" customFormat="1">
      <c r="B75" s="238">
        <v>45563</v>
      </c>
      <c r="C75" s="290"/>
      <c r="D75" s="290">
        <v>654572.18999999994</v>
      </c>
      <c r="E75" s="290">
        <v>0</v>
      </c>
      <c r="F75" s="290">
        <v>654572.18999999994</v>
      </c>
      <c r="G75" s="290"/>
      <c r="H75" s="290">
        <v>655363.79</v>
      </c>
      <c r="I75" s="290">
        <v>0</v>
      </c>
      <c r="J75" s="313">
        <v>655363.79</v>
      </c>
      <c r="K75" s="280"/>
      <c r="L75" s="290">
        <v>1992504.17</v>
      </c>
      <c r="M75" s="290">
        <v>0</v>
      </c>
      <c r="N75" s="313">
        <v>1992504.17</v>
      </c>
      <c r="O75" s="280"/>
      <c r="P75" s="290">
        <v>895290.56</v>
      </c>
      <c r="Q75" s="290">
        <v>0</v>
      </c>
      <c r="R75" s="313">
        <v>895290.56</v>
      </c>
      <c r="S75" s="280"/>
      <c r="T75" s="290">
        <v>961176.8</v>
      </c>
      <c r="U75" s="290">
        <v>0</v>
      </c>
      <c r="V75" s="313">
        <v>961176.8</v>
      </c>
      <c r="W75" s="280"/>
      <c r="X75" s="290">
        <v>830842.49</v>
      </c>
      <c r="Y75" s="290">
        <v>0</v>
      </c>
      <c r="Z75" s="313">
        <v>830842.49</v>
      </c>
      <c r="AA75" s="280"/>
    </row>
    <row r="76" spans="2:27" s="276" customFormat="1">
      <c r="B76" s="238">
        <v>45564</v>
      </c>
      <c r="C76" s="290"/>
      <c r="D76" s="290">
        <v>654572.18999999994</v>
      </c>
      <c r="E76" s="290">
        <v>0</v>
      </c>
      <c r="F76" s="290">
        <v>654572.18999999994</v>
      </c>
      <c r="G76" s="290"/>
      <c r="H76" s="290">
        <v>655363.79</v>
      </c>
      <c r="I76" s="290">
        <v>0</v>
      </c>
      <c r="J76" s="313">
        <v>655363.79</v>
      </c>
      <c r="K76" s="280"/>
      <c r="L76" s="290">
        <v>1992504.17</v>
      </c>
      <c r="M76" s="290">
        <v>0</v>
      </c>
      <c r="N76" s="313">
        <v>1992504.17</v>
      </c>
      <c r="O76" s="280"/>
      <c r="P76" s="290">
        <v>895290.56</v>
      </c>
      <c r="Q76" s="290">
        <v>0</v>
      </c>
      <c r="R76" s="313">
        <v>895290.56</v>
      </c>
      <c r="S76" s="280"/>
      <c r="T76" s="290">
        <v>961176.8</v>
      </c>
      <c r="U76" s="290">
        <v>0</v>
      </c>
      <c r="V76" s="313">
        <v>961176.8</v>
      </c>
      <c r="W76" s="280"/>
      <c r="X76" s="290">
        <v>830842.49</v>
      </c>
      <c r="Y76" s="290">
        <v>0</v>
      </c>
      <c r="Z76" s="313">
        <v>830842.49</v>
      </c>
      <c r="AA76" s="280"/>
    </row>
    <row r="77" spans="2:27" s="276" customFormat="1">
      <c r="B77" s="238">
        <v>45565</v>
      </c>
      <c r="C77" s="290"/>
      <c r="D77" s="290">
        <v>654572.18999999994</v>
      </c>
      <c r="E77" s="290">
        <v>-329583.18000019155</v>
      </c>
      <c r="F77" s="290">
        <v>324989.01</v>
      </c>
      <c r="G77" s="290"/>
      <c r="H77" s="290">
        <v>655363.79</v>
      </c>
      <c r="I77" s="290">
        <v>1878804.900000155</v>
      </c>
      <c r="J77" s="313">
        <v>2534168.69</v>
      </c>
      <c r="K77" s="280"/>
      <c r="L77" s="290">
        <v>1992504.17</v>
      </c>
      <c r="M77" s="290">
        <v>806796.53999994323</v>
      </c>
      <c r="N77" s="313">
        <v>2799300.71</v>
      </c>
      <c r="O77" s="280"/>
      <c r="P77" s="290">
        <v>895290.56</v>
      </c>
      <c r="Q77" s="290">
        <v>50105.970000037923</v>
      </c>
      <c r="R77" s="313">
        <v>945396.53</v>
      </c>
      <c r="S77" s="280"/>
      <c r="T77" s="290">
        <v>961176.8</v>
      </c>
      <c r="U77" s="290">
        <v>-72013.359998703003</v>
      </c>
      <c r="V77" s="313">
        <v>889163.44</v>
      </c>
      <c r="W77" s="280"/>
      <c r="X77" s="290">
        <v>830842.49</v>
      </c>
      <c r="Y77" s="290">
        <v>-337750.56999996305</v>
      </c>
      <c r="Z77" s="313">
        <v>493091.92</v>
      </c>
      <c r="AA77" s="280"/>
    </row>
    <row r="78" spans="2:27" s="276" customFormat="1">
      <c r="B78" s="238">
        <v>45566</v>
      </c>
      <c r="C78" s="290"/>
      <c r="D78" s="290">
        <v>324989.01</v>
      </c>
      <c r="E78" s="290">
        <v>-186040.31999996118</v>
      </c>
      <c r="F78" s="290">
        <v>138948.69</v>
      </c>
      <c r="G78" s="290"/>
      <c r="H78" s="290">
        <v>2534168.69</v>
      </c>
      <c r="I78" s="290">
        <v>-396793.40000088513</v>
      </c>
      <c r="J78" s="313">
        <v>2137375.29</v>
      </c>
      <c r="K78" s="280"/>
      <c r="L78" s="290">
        <v>2799300.71</v>
      </c>
      <c r="M78" s="290">
        <v>199388.12000001967</v>
      </c>
      <c r="N78" s="313">
        <v>2998688.83</v>
      </c>
      <c r="O78" s="280"/>
      <c r="P78" s="290">
        <v>945396.53</v>
      </c>
      <c r="Q78" s="290">
        <v>-730905.73999989033</v>
      </c>
      <c r="R78" s="313">
        <v>214490.79</v>
      </c>
      <c r="S78" s="280"/>
      <c r="T78" s="290">
        <v>889163.44</v>
      </c>
      <c r="U78" s="290">
        <v>-251288.36999988556</v>
      </c>
      <c r="V78" s="313">
        <v>637875.06999999995</v>
      </c>
      <c r="W78" s="280"/>
      <c r="X78" s="290">
        <v>493091.92</v>
      </c>
      <c r="Y78" s="290">
        <v>0</v>
      </c>
      <c r="Z78" s="313">
        <v>493091.92</v>
      </c>
      <c r="AA78" s="280"/>
    </row>
    <row r="79" spans="2:27" s="276" customFormat="1">
      <c r="B79" s="238">
        <v>45567</v>
      </c>
      <c r="C79" s="290"/>
      <c r="D79" s="290">
        <v>138948.69</v>
      </c>
      <c r="E79" s="290">
        <v>681730.39999985695</v>
      </c>
      <c r="F79" s="290">
        <v>820679.09</v>
      </c>
      <c r="G79" s="290"/>
      <c r="H79" s="290">
        <v>2137375.29</v>
      </c>
      <c r="I79" s="290">
        <v>1225915.1300001144</v>
      </c>
      <c r="J79" s="313">
        <v>3363290.42</v>
      </c>
      <c r="K79" s="280"/>
      <c r="L79" s="290">
        <v>2998688.83</v>
      </c>
      <c r="M79" s="290">
        <v>756014.69000023976</v>
      </c>
      <c r="N79" s="313">
        <v>3754703.52</v>
      </c>
      <c r="O79" s="280"/>
      <c r="P79" s="290">
        <v>214490.79</v>
      </c>
      <c r="Q79" s="290">
        <v>510902.77000001911</v>
      </c>
      <c r="R79" s="313">
        <v>725393.56</v>
      </c>
      <c r="S79" s="280"/>
      <c r="T79" s="290">
        <v>637875.06999999995</v>
      </c>
      <c r="U79" s="290">
        <v>59322.260000228882</v>
      </c>
      <c r="V79" s="313">
        <v>697197.33</v>
      </c>
      <c r="W79" s="280"/>
      <c r="X79" s="290">
        <v>493091.92</v>
      </c>
      <c r="Y79" s="290">
        <v>0</v>
      </c>
      <c r="Z79" s="313">
        <v>493091.92</v>
      </c>
      <c r="AA79" s="280"/>
    </row>
    <row r="80" spans="2:27" s="276" customFormat="1">
      <c r="B80" s="238">
        <v>45568</v>
      </c>
      <c r="C80" s="290"/>
      <c r="D80" s="290">
        <v>820679.09</v>
      </c>
      <c r="E80" s="290">
        <v>-211628.32000003848</v>
      </c>
      <c r="F80" s="290">
        <v>609050.77</v>
      </c>
      <c r="G80" s="290"/>
      <c r="H80" s="290">
        <v>3363290.42</v>
      </c>
      <c r="I80" s="290">
        <v>-1126709.5799999237</v>
      </c>
      <c r="J80" s="313">
        <v>2236580.84</v>
      </c>
      <c r="K80" s="280"/>
      <c r="L80" s="290">
        <v>3754703.52</v>
      </c>
      <c r="M80" s="290">
        <v>-2828286.7499998584</v>
      </c>
      <c r="N80" s="313">
        <v>926416.77</v>
      </c>
      <c r="O80" s="280"/>
      <c r="P80" s="290">
        <v>725393.56</v>
      </c>
      <c r="Q80" s="290">
        <v>215894.47999998578</v>
      </c>
      <c r="R80" s="313">
        <v>941288.04</v>
      </c>
      <c r="S80" s="280"/>
      <c r="T80" s="290">
        <v>697197.33</v>
      </c>
      <c r="U80" s="290">
        <v>-369435.99000072479</v>
      </c>
      <c r="V80" s="313">
        <v>327761.34000000003</v>
      </c>
      <c r="W80" s="280"/>
      <c r="X80" s="290">
        <v>493091.92</v>
      </c>
      <c r="Y80" s="290">
        <v>0</v>
      </c>
      <c r="Z80" s="313">
        <v>493091.92</v>
      </c>
      <c r="AA80" s="280"/>
    </row>
    <row r="81" spans="2:27" s="276" customFormat="1">
      <c r="B81" s="238">
        <v>45569</v>
      </c>
      <c r="C81" s="290"/>
      <c r="D81" s="290">
        <v>609050.77</v>
      </c>
      <c r="E81" s="290">
        <v>368960.16000064835</v>
      </c>
      <c r="F81" s="290">
        <v>978010.93</v>
      </c>
      <c r="G81" s="290"/>
      <c r="H81" s="290">
        <v>2236580.84</v>
      </c>
      <c r="I81" s="290">
        <v>-413170.1300008297</v>
      </c>
      <c r="J81" s="313">
        <v>1823410.71</v>
      </c>
      <c r="K81" s="280"/>
      <c r="L81" s="290">
        <v>926416.77</v>
      </c>
      <c r="M81" s="290">
        <v>487019.18999989331</v>
      </c>
      <c r="N81" s="313">
        <v>1413435.96</v>
      </c>
      <c r="O81" s="280"/>
      <c r="P81" s="290">
        <v>941288.04</v>
      </c>
      <c r="Q81" s="290">
        <v>-835054.24999997625</v>
      </c>
      <c r="R81" s="313">
        <v>106233.79</v>
      </c>
      <c r="S81" s="280"/>
      <c r="T81" s="290">
        <v>327761.34000000003</v>
      </c>
      <c r="U81" s="290">
        <v>-85168.579999696463</v>
      </c>
      <c r="V81" s="313">
        <v>242592.76</v>
      </c>
      <c r="W81" s="280"/>
      <c r="X81" s="290">
        <v>493091.92</v>
      </c>
      <c r="Y81" s="290">
        <v>0</v>
      </c>
      <c r="Z81" s="313">
        <v>493091.92</v>
      </c>
      <c r="AA81" s="280"/>
    </row>
    <row r="82" spans="2:27" s="276" customFormat="1">
      <c r="B82" s="238">
        <v>45570</v>
      </c>
      <c r="C82" s="290"/>
      <c r="D82" s="290">
        <v>978010.93</v>
      </c>
      <c r="E82" s="290">
        <v>0</v>
      </c>
      <c r="F82" s="290">
        <v>978010.93</v>
      </c>
      <c r="G82" s="290"/>
      <c r="H82" s="290">
        <v>1823410.71</v>
      </c>
      <c r="I82" s="290">
        <v>0</v>
      </c>
      <c r="J82" s="313">
        <v>1823410.71</v>
      </c>
      <c r="K82" s="280"/>
      <c r="L82" s="290">
        <v>1413435.96</v>
      </c>
      <c r="M82" s="290">
        <v>0</v>
      </c>
      <c r="N82" s="313">
        <v>1413435.96</v>
      </c>
      <c r="O82" s="280"/>
      <c r="P82" s="290">
        <v>106233.79</v>
      </c>
      <c r="Q82" s="290">
        <v>0</v>
      </c>
      <c r="R82" s="313">
        <v>106233.79</v>
      </c>
      <c r="S82" s="280"/>
      <c r="T82" s="290">
        <v>242592.76</v>
      </c>
      <c r="U82" s="290">
        <v>0</v>
      </c>
      <c r="V82" s="313">
        <v>242592.76</v>
      </c>
      <c r="W82" s="280"/>
      <c r="X82" s="290">
        <v>493091.92</v>
      </c>
      <c r="Y82" s="290">
        <v>0</v>
      </c>
      <c r="Z82" s="313">
        <v>493091.92</v>
      </c>
      <c r="AA82" s="280"/>
    </row>
    <row r="83" spans="2:27" s="276" customFormat="1">
      <c r="B83" s="238">
        <v>45571</v>
      </c>
      <c r="C83" s="290"/>
      <c r="D83" s="290">
        <v>978010.93</v>
      </c>
      <c r="E83" s="290">
        <v>0</v>
      </c>
      <c r="F83" s="290">
        <v>978010.93</v>
      </c>
      <c r="G83" s="290"/>
      <c r="H83" s="290">
        <v>1823410.71</v>
      </c>
      <c r="I83" s="290">
        <v>0</v>
      </c>
      <c r="J83" s="313">
        <v>1823410.71</v>
      </c>
      <c r="K83" s="280"/>
      <c r="L83" s="290">
        <v>1413435.96</v>
      </c>
      <c r="M83" s="290">
        <v>0</v>
      </c>
      <c r="N83" s="313">
        <v>1413435.96</v>
      </c>
      <c r="O83" s="280"/>
      <c r="P83" s="290">
        <v>106233.79</v>
      </c>
      <c r="Q83" s="290">
        <v>0</v>
      </c>
      <c r="R83" s="313">
        <v>106233.79</v>
      </c>
      <c r="S83" s="280"/>
      <c r="T83" s="290">
        <v>242592.76</v>
      </c>
      <c r="U83" s="290">
        <v>0</v>
      </c>
      <c r="V83" s="313">
        <v>242592.76</v>
      </c>
      <c r="W83" s="280"/>
      <c r="X83" s="290">
        <v>493091.92</v>
      </c>
      <c r="Y83" s="290">
        <v>0</v>
      </c>
      <c r="Z83" s="313">
        <v>493091.92</v>
      </c>
      <c r="AA83" s="280"/>
    </row>
    <row r="84" spans="2:27" s="276" customFormat="1">
      <c r="B84" s="238">
        <v>45572</v>
      </c>
      <c r="C84" s="290"/>
      <c r="D84" s="290">
        <v>978010.93</v>
      </c>
      <c r="E84" s="290">
        <v>430977.91999983788</v>
      </c>
      <c r="F84" s="290">
        <v>1408988.85</v>
      </c>
      <c r="G84" s="290"/>
      <c r="H84" s="290">
        <v>1823410.71</v>
      </c>
      <c r="I84" s="290">
        <v>769081.60999980941</v>
      </c>
      <c r="J84" s="313">
        <v>2592492.3199999998</v>
      </c>
      <c r="K84" s="280"/>
      <c r="L84" s="290">
        <v>1413435.96</v>
      </c>
      <c r="M84" s="290">
        <v>832736.77999971062</v>
      </c>
      <c r="N84" s="313">
        <v>2246172.7400000002</v>
      </c>
      <c r="O84" s="280"/>
      <c r="P84" s="290">
        <v>106233.79</v>
      </c>
      <c r="Q84" s="290">
        <v>710862.04999966547</v>
      </c>
      <c r="R84" s="313">
        <v>817095.84</v>
      </c>
      <c r="S84" s="280"/>
      <c r="T84" s="290">
        <v>242592.76</v>
      </c>
      <c r="U84" s="442">
        <v>46366.229999999981</v>
      </c>
      <c r="V84" s="313">
        <v>288958.99</v>
      </c>
      <c r="W84" s="280"/>
      <c r="X84" s="290">
        <v>493091.92</v>
      </c>
      <c r="Y84" s="290">
        <v>343125.5000004489</v>
      </c>
      <c r="Z84" s="313">
        <v>836217.42</v>
      </c>
      <c r="AA84" s="280"/>
    </row>
    <row r="85" spans="2:27" s="276" customFormat="1">
      <c r="B85" s="238">
        <v>45573</v>
      </c>
      <c r="C85" s="290"/>
      <c r="D85" s="290">
        <v>1408988.85</v>
      </c>
      <c r="E85" s="290">
        <v>-741335.50999999978</v>
      </c>
      <c r="F85" s="290">
        <v>667653.34</v>
      </c>
      <c r="G85" s="290"/>
      <c r="H85" s="290">
        <v>2592492.3199999998</v>
      </c>
      <c r="I85" s="290">
        <v>-886509.60999965668</v>
      </c>
      <c r="J85" s="313">
        <v>1705982.71</v>
      </c>
      <c r="K85" s="280"/>
      <c r="L85" s="290">
        <v>2246172.7400000002</v>
      </c>
      <c r="M85" s="290">
        <v>867159.08999981731</v>
      </c>
      <c r="N85" s="313">
        <v>3113331.83</v>
      </c>
      <c r="O85" s="280"/>
      <c r="P85" s="290">
        <v>817095.84</v>
      </c>
      <c r="Q85" s="290">
        <v>-29430.849999919068</v>
      </c>
      <c r="R85" s="313">
        <v>787664.99</v>
      </c>
      <c r="S85" s="280"/>
      <c r="T85" s="290">
        <v>288958.99</v>
      </c>
      <c r="U85" s="290">
        <v>437415.32999965549</v>
      </c>
      <c r="V85" s="313">
        <v>726374.32</v>
      </c>
      <c r="W85" s="280"/>
      <c r="X85" s="290">
        <v>836217.42</v>
      </c>
      <c r="Y85" s="290">
        <v>0</v>
      </c>
      <c r="Z85" s="313">
        <v>836217.42</v>
      </c>
      <c r="AA85" s="280"/>
    </row>
    <row r="86" spans="2:27" s="276" customFormat="1">
      <c r="B86" s="238">
        <v>45574</v>
      </c>
      <c r="C86" s="290"/>
      <c r="D86" s="290">
        <v>667653.34</v>
      </c>
      <c r="E86" s="290">
        <v>280625.26000022888</v>
      </c>
      <c r="F86" s="290">
        <v>948278.6</v>
      </c>
      <c r="G86" s="290"/>
      <c r="H86" s="290">
        <v>1705982.71</v>
      </c>
      <c r="I86" s="290">
        <v>315839.8399993889</v>
      </c>
      <c r="J86" s="313">
        <v>2021822.55</v>
      </c>
      <c r="K86" s="280"/>
      <c r="L86" s="290">
        <v>3113331.83</v>
      </c>
      <c r="M86" s="290">
        <v>-1878320.4300000072</v>
      </c>
      <c r="N86" s="313">
        <v>1235011.3999999999</v>
      </c>
      <c r="O86" s="280"/>
      <c r="P86" s="290">
        <v>787664.99</v>
      </c>
      <c r="Q86" s="290">
        <v>-565658.76999998093</v>
      </c>
      <c r="R86" s="313">
        <v>222006.22</v>
      </c>
      <c r="S86" s="280"/>
      <c r="T86" s="290">
        <v>726374.32</v>
      </c>
      <c r="U86" s="290">
        <v>-535414.01999938861</v>
      </c>
      <c r="V86" s="313">
        <v>190960.44</v>
      </c>
      <c r="W86" s="280"/>
      <c r="X86" s="290">
        <v>836217.42</v>
      </c>
      <c r="Y86" s="290">
        <v>0</v>
      </c>
      <c r="Z86" s="313">
        <v>836217.42</v>
      </c>
      <c r="AA86" s="280"/>
    </row>
    <row r="87" spans="2:27" s="276" customFormat="1">
      <c r="B87" s="238">
        <v>45575</v>
      </c>
      <c r="C87" s="290"/>
      <c r="D87" s="290">
        <v>948278.6</v>
      </c>
      <c r="E87" s="290">
        <v>-391507.18000006676</v>
      </c>
      <c r="F87" s="290">
        <v>556771.42000000004</v>
      </c>
      <c r="G87" s="290"/>
      <c r="H87" s="290">
        <v>2021822.55</v>
      </c>
      <c r="I87" s="290">
        <v>1003186.4699994326</v>
      </c>
      <c r="J87" s="313">
        <v>3025009.02</v>
      </c>
      <c r="K87" s="280"/>
      <c r="L87" s="290">
        <v>1235011.3999999999</v>
      </c>
      <c r="M87" s="290">
        <v>400802.44999998063</v>
      </c>
      <c r="N87" s="313">
        <v>1635813.85</v>
      </c>
      <c r="O87" s="280"/>
      <c r="P87" s="290">
        <v>222006.22</v>
      </c>
      <c r="Q87" s="290">
        <v>311709.58999983827</v>
      </c>
      <c r="R87" s="313">
        <v>533715.81000000006</v>
      </c>
      <c r="S87" s="280"/>
      <c r="T87" s="290">
        <v>190960.44</v>
      </c>
      <c r="U87" s="290">
        <v>-122338.69000053406</v>
      </c>
      <c r="V87" s="313">
        <v>68621.75</v>
      </c>
      <c r="W87" s="280"/>
      <c r="X87" s="290">
        <v>836217.42</v>
      </c>
      <c r="Y87" s="290">
        <v>0</v>
      </c>
      <c r="Z87" s="313">
        <v>836217.42</v>
      </c>
      <c r="AA87" s="280"/>
    </row>
    <row r="88" spans="2:27" s="276" customFormat="1">
      <c r="B88" s="238">
        <v>45576</v>
      </c>
      <c r="C88" s="290"/>
      <c r="D88" s="290">
        <v>556771.42000000004</v>
      </c>
      <c r="E88" s="290">
        <v>1015769.5699996948</v>
      </c>
      <c r="F88" s="290">
        <v>1572540.99</v>
      </c>
      <c r="G88" s="290"/>
      <c r="H88" s="290">
        <v>3025009.02</v>
      </c>
      <c r="I88" s="290">
        <v>-1696176.2600002289</v>
      </c>
      <c r="J88" s="313">
        <v>1328832.76</v>
      </c>
      <c r="K88" s="280"/>
      <c r="L88" s="290">
        <v>1635813.85</v>
      </c>
      <c r="M88" s="290">
        <v>1070413.1699998863</v>
      </c>
      <c r="N88" s="313">
        <v>2706227.02</v>
      </c>
      <c r="O88" s="280"/>
      <c r="P88" s="290">
        <v>533715.81000000006</v>
      </c>
      <c r="Q88" s="290">
        <v>288859.15999999037</v>
      </c>
      <c r="R88" s="313">
        <v>822574.97</v>
      </c>
      <c r="S88" s="280"/>
      <c r="T88" s="290">
        <v>68621.75</v>
      </c>
      <c r="U88" s="290">
        <v>898223.16000026837</v>
      </c>
      <c r="V88" s="313">
        <v>966844.91</v>
      </c>
      <c r="W88" s="280"/>
      <c r="X88" s="290">
        <v>836217.42</v>
      </c>
      <c r="Y88" s="290">
        <v>0</v>
      </c>
      <c r="Z88" s="313">
        <v>836217.42</v>
      </c>
      <c r="AA88" s="280"/>
    </row>
    <row r="89" spans="2:27" s="276" customFormat="1">
      <c r="B89" s="238">
        <v>45577</v>
      </c>
      <c r="C89" s="290"/>
      <c r="D89" s="290">
        <v>1572540.99</v>
      </c>
      <c r="E89" s="290">
        <v>0</v>
      </c>
      <c r="F89" s="290">
        <v>1572540.99</v>
      </c>
      <c r="G89" s="290"/>
      <c r="H89" s="290">
        <v>1328832.76</v>
      </c>
      <c r="I89" s="290">
        <v>0</v>
      </c>
      <c r="J89" s="313">
        <v>1328832.76</v>
      </c>
      <c r="K89" s="280"/>
      <c r="L89" s="290">
        <v>2706227.02</v>
      </c>
      <c r="M89" s="290">
        <v>0</v>
      </c>
      <c r="N89" s="313">
        <v>2706227.02</v>
      </c>
      <c r="O89" s="280"/>
      <c r="P89" s="290">
        <v>822574.97</v>
      </c>
      <c r="Q89" s="290">
        <v>0</v>
      </c>
      <c r="R89" s="313">
        <v>822574.97</v>
      </c>
      <c r="S89" s="280"/>
      <c r="T89" s="290">
        <v>966844.91</v>
      </c>
      <c r="U89" s="290">
        <v>0</v>
      </c>
      <c r="V89" s="313">
        <v>966844.91</v>
      </c>
      <c r="W89" s="280"/>
      <c r="X89" s="290">
        <v>836217.42</v>
      </c>
      <c r="Y89" s="290">
        <v>0</v>
      </c>
      <c r="Z89" s="313">
        <v>836217.42</v>
      </c>
      <c r="AA89" s="280"/>
    </row>
    <row r="90" spans="2:27" s="443" customFormat="1">
      <c r="B90" s="238">
        <v>45578</v>
      </c>
      <c r="C90" s="448"/>
      <c r="D90" s="448">
        <v>1572540.99</v>
      </c>
      <c r="E90" s="448">
        <v>0</v>
      </c>
      <c r="F90" s="448">
        <v>1572540.99</v>
      </c>
      <c r="G90" s="448"/>
      <c r="H90" s="448">
        <v>1328832.76</v>
      </c>
      <c r="I90" s="448">
        <v>0</v>
      </c>
      <c r="J90" s="449">
        <v>1328832.76</v>
      </c>
      <c r="K90" s="446"/>
      <c r="L90" s="448">
        <v>2706227.02</v>
      </c>
      <c r="M90" s="448">
        <v>0</v>
      </c>
      <c r="N90" s="449">
        <v>2706227.02</v>
      </c>
      <c r="O90" s="446"/>
      <c r="P90" s="448">
        <v>822574.97</v>
      </c>
      <c r="Q90" s="448">
        <v>0</v>
      </c>
      <c r="R90" s="449">
        <v>822574.97</v>
      </c>
      <c r="S90" s="446"/>
      <c r="T90" s="448">
        <v>966844.91</v>
      </c>
      <c r="U90" s="448">
        <v>0</v>
      </c>
      <c r="V90" s="449">
        <v>966844.91</v>
      </c>
      <c r="W90" s="446"/>
      <c r="X90" s="448">
        <v>836217.42</v>
      </c>
      <c r="Y90" s="448">
        <v>0</v>
      </c>
      <c r="Z90" s="449">
        <v>836217.42</v>
      </c>
      <c r="AA90" s="446"/>
    </row>
    <row r="91" spans="2:27" s="443" customFormat="1">
      <c r="B91" s="238">
        <v>45579</v>
      </c>
      <c r="C91" s="448"/>
      <c r="D91" s="448">
        <v>1572540.99</v>
      </c>
      <c r="E91" s="448">
        <v>-1370048.2899998948</v>
      </c>
      <c r="F91" s="448">
        <v>202492.7</v>
      </c>
      <c r="G91" s="448"/>
      <c r="H91" s="448">
        <v>1328832.76</v>
      </c>
      <c r="I91" s="448">
        <v>198608.44999992475</v>
      </c>
      <c r="J91" s="449">
        <v>1527441.21</v>
      </c>
      <c r="K91" s="446"/>
      <c r="L91" s="448">
        <v>2706227.02</v>
      </c>
      <c r="M91" s="448">
        <v>484407.35999985784</v>
      </c>
      <c r="N91" s="449">
        <v>3190634.38</v>
      </c>
      <c r="O91" s="446"/>
      <c r="P91" s="448">
        <v>822574.97</v>
      </c>
      <c r="Q91" s="448">
        <v>-441853.59000017121</v>
      </c>
      <c r="R91" s="449">
        <v>380721.38</v>
      </c>
      <c r="S91" s="446"/>
      <c r="T91" s="448">
        <v>966844.91</v>
      </c>
      <c r="U91" s="448">
        <v>-721755.02999950573</v>
      </c>
      <c r="V91" s="449">
        <v>245089.88</v>
      </c>
      <c r="W91" s="446"/>
      <c r="X91" s="448">
        <v>836217.42</v>
      </c>
      <c r="Y91" s="448">
        <v>812001.13000020944</v>
      </c>
      <c r="Z91" s="449">
        <v>1648218.55</v>
      </c>
      <c r="AA91" s="446"/>
    </row>
    <row r="92" spans="2:27" s="443" customFormat="1">
      <c r="B92" s="238">
        <v>45580</v>
      </c>
      <c r="C92" s="448"/>
      <c r="D92" s="448">
        <v>202492.7</v>
      </c>
      <c r="E92" s="448">
        <v>987717.99000003841</v>
      </c>
      <c r="F92" s="448">
        <v>1190210.69</v>
      </c>
      <c r="G92" s="448"/>
      <c r="H92" s="448">
        <v>1527441.21</v>
      </c>
      <c r="I92" s="448">
        <v>775765.56999981403</v>
      </c>
      <c r="J92" s="449">
        <v>2303206.7799999998</v>
      </c>
      <c r="K92" s="446"/>
      <c r="L92" s="448">
        <v>3190634.38</v>
      </c>
      <c r="M92" s="448">
        <v>231389.94000000879</v>
      </c>
      <c r="N92" s="449">
        <v>3422024.32</v>
      </c>
      <c r="O92" s="446"/>
      <c r="P92" s="448">
        <v>380721.38</v>
      </c>
      <c r="Q92" s="448">
        <v>-214449.05999996141</v>
      </c>
      <c r="R92" s="449">
        <v>166272.32000000001</v>
      </c>
      <c r="S92" s="446"/>
      <c r="T92" s="448">
        <v>245089.88</v>
      </c>
      <c r="U92" s="448">
        <v>6161.8400006480515</v>
      </c>
      <c r="V92" s="449">
        <v>251251.72</v>
      </c>
      <c r="W92" s="446"/>
      <c r="X92" s="448">
        <v>1648218.55</v>
      </c>
      <c r="Y92" s="448">
        <v>852879.40999961831</v>
      </c>
      <c r="Z92" s="449">
        <v>2501097.96</v>
      </c>
      <c r="AA92" s="446"/>
    </row>
    <row r="93" spans="2:27" s="443" customFormat="1">
      <c r="B93" s="238">
        <v>45581</v>
      </c>
      <c r="C93" s="448"/>
      <c r="D93" s="448">
        <v>1190210.69</v>
      </c>
      <c r="E93" s="448">
        <v>-378677.23000007588</v>
      </c>
      <c r="F93" s="448">
        <v>811533.46</v>
      </c>
      <c r="G93" s="448"/>
      <c r="H93" s="448">
        <v>2303206.7799999998</v>
      </c>
      <c r="I93" s="448">
        <v>878911.82999920845</v>
      </c>
      <c r="J93" s="449">
        <v>3182118.61</v>
      </c>
      <c r="K93" s="446"/>
      <c r="L93" s="448">
        <v>3422024.32</v>
      </c>
      <c r="M93" s="448">
        <v>549834.21999990381</v>
      </c>
      <c r="N93" s="449">
        <v>3971858.54</v>
      </c>
      <c r="O93" s="446"/>
      <c r="P93" s="448">
        <v>166272.32000000001</v>
      </c>
      <c r="Q93" s="448">
        <v>835032.14000026695</v>
      </c>
      <c r="R93" s="449">
        <v>1001304.46</v>
      </c>
      <c r="S93" s="446"/>
      <c r="T93" s="448">
        <v>251251.72</v>
      </c>
      <c r="U93" s="448">
        <v>-55086.700000688434</v>
      </c>
      <c r="V93" s="449">
        <v>196165.02</v>
      </c>
      <c r="W93" s="446"/>
      <c r="X93" s="448">
        <v>2501097.96</v>
      </c>
      <c r="Y93" s="448">
        <v>0</v>
      </c>
      <c r="Z93" s="449">
        <v>2501097.96</v>
      </c>
      <c r="AA93" s="446"/>
    </row>
    <row r="94" spans="2:27" s="443" customFormat="1">
      <c r="B94" s="238">
        <v>45582</v>
      </c>
      <c r="C94" s="448"/>
      <c r="D94" s="448">
        <v>811533.46</v>
      </c>
      <c r="E94" s="448">
        <v>395892.3900001049</v>
      </c>
      <c r="F94" s="448">
        <v>1207425.8500000001</v>
      </c>
      <c r="G94" s="448"/>
      <c r="H94" s="448">
        <v>3182118.61</v>
      </c>
      <c r="I94" s="448">
        <v>-1946050.5100002289</v>
      </c>
      <c r="J94" s="449">
        <v>1236068.1000000001</v>
      </c>
      <c r="K94" s="446"/>
      <c r="L94" s="448">
        <v>3971858.54</v>
      </c>
      <c r="M94" s="448">
        <v>147926.85999982804</v>
      </c>
      <c r="N94" s="449">
        <v>4119785.4</v>
      </c>
      <c r="O94" s="446"/>
      <c r="P94" s="448">
        <v>1001304.46</v>
      </c>
      <c r="Q94" s="448">
        <v>-437812.9600007534</v>
      </c>
      <c r="R94" s="449">
        <v>563491.5</v>
      </c>
      <c r="S94" s="446"/>
      <c r="T94" s="448">
        <v>196165.02</v>
      </c>
      <c r="U94" s="448">
        <v>796709.8200000003</v>
      </c>
      <c r="V94" s="449">
        <v>992874.84</v>
      </c>
      <c r="W94" s="446"/>
      <c r="X94" s="448">
        <v>2501097.96</v>
      </c>
      <c r="Y94" s="448">
        <v>0</v>
      </c>
      <c r="Z94" s="449">
        <v>2501097.96</v>
      </c>
      <c r="AA94" s="446"/>
    </row>
    <row r="95" spans="2:27" s="443" customFormat="1">
      <c r="B95" s="238">
        <v>45583</v>
      </c>
      <c r="C95" s="448"/>
      <c r="D95" s="448">
        <v>1207425.8500000001</v>
      </c>
      <c r="E95" s="448">
        <v>-230391.20999990404</v>
      </c>
      <c r="F95" s="448">
        <v>977034.64</v>
      </c>
      <c r="G95" s="448"/>
      <c r="H95" s="448">
        <v>1236068.1000000001</v>
      </c>
      <c r="I95" s="448">
        <v>803274.87999897078</v>
      </c>
      <c r="J95" s="449">
        <v>2039342.98</v>
      </c>
      <c r="K95" s="446"/>
      <c r="L95" s="448">
        <v>4119785.4</v>
      </c>
      <c r="M95" s="448">
        <v>-3251314.0100000389</v>
      </c>
      <c r="N95" s="449">
        <v>868471.39</v>
      </c>
      <c r="O95" s="446"/>
      <c r="P95" s="448">
        <v>563491.5</v>
      </c>
      <c r="Q95" s="448">
        <v>-188530.0199998999</v>
      </c>
      <c r="R95" s="449">
        <v>374961.48</v>
      </c>
      <c r="S95" s="446"/>
      <c r="T95" s="448">
        <v>992874.84</v>
      </c>
      <c r="U95" s="448">
        <v>-76903.170000497252</v>
      </c>
      <c r="V95" s="449">
        <v>915971.67</v>
      </c>
      <c r="W95" s="446"/>
      <c r="X95" s="448">
        <v>2501097.96</v>
      </c>
      <c r="Y95" s="448">
        <v>0</v>
      </c>
      <c r="Z95" s="449">
        <v>2501097.96</v>
      </c>
      <c r="AA95" s="446"/>
    </row>
    <row r="96" spans="2:27" s="443" customFormat="1">
      <c r="B96" s="238">
        <v>45584</v>
      </c>
      <c r="C96" s="448"/>
      <c r="D96" s="448">
        <v>977034.64</v>
      </c>
      <c r="E96" s="448">
        <v>0</v>
      </c>
      <c r="F96" s="448">
        <v>977034.64</v>
      </c>
      <c r="G96" s="448"/>
      <c r="H96" s="448">
        <v>2039342.98</v>
      </c>
      <c r="I96" s="448">
        <v>0</v>
      </c>
      <c r="J96" s="449">
        <v>2039342.98</v>
      </c>
      <c r="K96" s="446"/>
      <c r="L96" s="448">
        <v>868471.39</v>
      </c>
      <c r="M96" s="448">
        <v>0</v>
      </c>
      <c r="N96" s="449">
        <v>868471.39</v>
      </c>
      <c r="O96" s="446"/>
      <c r="P96" s="448">
        <v>374961.48</v>
      </c>
      <c r="Q96" s="448">
        <v>0</v>
      </c>
      <c r="R96" s="449">
        <v>374961.48</v>
      </c>
      <c r="S96" s="446"/>
      <c r="T96" s="448">
        <v>915971.67</v>
      </c>
      <c r="U96" s="448">
        <v>0</v>
      </c>
      <c r="V96" s="449">
        <v>915971.67</v>
      </c>
      <c r="W96" s="446"/>
      <c r="X96" s="448">
        <v>2501097.96</v>
      </c>
      <c r="Y96" s="448">
        <v>0</v>
      </c>
      <c r="Z96" s="449">
        <v>2501097.96</v>
      </c>
      <c r="AA96" s="446"/>
    </row>
    <row r="97" spans="2:27" s="443" customFormat="1">
      <c r="B97" s="238">
        <v>45585</v>
      </c>
      <c r="C97" s="448"/>
      <c r="D97" s="448">
        <v>977034.64</v>
      </c>
      <c r="E97" s="448">
        <v>0</v>
      </c>
      <c r="F97" s="448">
        <v>977034.64</v>
      </c>
      <c r="G97" s="448"/>
      <c r="H97" s="448">
        <v>2039342.98</v>
      </c>
      <c r="I97" s="448">
        <v>0</v>
      </c>
      <c r="J97" s="449">
        <v>2039342.98</v>
      </c>
      <c r="K97" s="446"/>
      <c r="L97" s="448">
        <v>868471.39</v>
      </c>
      <c r="M97" s="448">
        <v>0</v>
      </c>
      <c r="N97" s="449">
        <v>868471.39</v>
      </c>
      <c r="O97" s="446"/>
      <c r="P97" s="448">
        <v>374961.48</v>
      </c>
      <c r="Q97" s="448">
        <v>0</v>
      </c>
      <c r="R97" s="449">
        <v>374961.48</v>
      </c>
      <c r="S97" s="446"/>
      <c r="T97" s="448">
        <v>915971.67</v>
      </c>
      <c r="U97" s="448">
        <v>0</v>
      </c>
      <c r="V97" s="449">
        <v>915971.67</v>
      </c>
      <c r="W97" s="446"/>
      <c r="X97" s="448">
        <v>2501097.96</v>
      </c>
      <c r="Y97" s="448">
        <v>0</v>
      </c>
      <c r="Z97" s="449">
        <v>2501097.96</v>
      </c>
      <c r="AA97" s="446"/>
    </row>
    <row r="98" spans="2:27" s="443" customFormat="1">
      <c r="B98" s="238">
        <v>45586</v>
      </c>
      <c r="C98" s="448"/>
      <c r="D98" s="448">
        <v>977034.64</v>
      </c>
      <c r="E98" s="448">
        <v>-179076.21999988519</v>
      </c>
      <c r="F98" s="448">
        <v>797958.42</v>
      </c>
      <c r="G98" s="448"/>
      <c r="H98" s="448">
        <v>2039342.98</v>
      </c>
      <c r="I98" s="448">
        <v>190305.96000046656</v>
      </c>
      <c r="J98" s="449">
        <v>2229648.94</v>
      </c>
      <c r="K98" s="446"/>
      <c r="L98" s="448">
        <v>868471.39</v>
      </c>
      <c r="M98" s="448">
        <v>625650.48999993503</v>
      </c>
      <c r="N98" s="449">
        <v>1494121.88</v>
      </c>
      <c r="O98" s="446"/>
      <c r="P98" s="448">
        <v>374961.48</v>
      </c>
      <c r="Q98" s="448">
        <v>148505.03000004776</v>
      </c>
      <c r="R98" s="449">
        <v>523466.51</v>
      </c>
      <c r="S98" s="446"/>
      <c r="T98" s="448">
        <v>915971.67</v>
      </c>
      <c r="U98" s="448">
        <v>-504248.07999969646</v>
      </c>
      <c r="V98" s="449">
        <v>411723.59</v>
      </c>
      <c r="W98" s="446"/>
      <c r="X98" s="448">
        <v>2501097.96</v>
      </c>
      <c r="Y98" s="448">
        <v>0</v>
      </c>
      <c r="Z98" s="449">
        <v>2501097.96</v>
      </c>
      <c r="AA98" s="446"/>
    </row>
    <row r="99" spans="2:27" s="443" customFormat="1">
      <c r="B99" s="238">
        <v>45587</v>
      </c>
      <c r="C99" s="448"/>
      <c r="D99" s="448">
        <v>797958.42</v>
      </c>
      <c r="E99" s="448">
        <v>-600190.60999983829</v>
      </c>
      <c r="F99" s="448">
        <v>197767.81</v>
      </c>
      <c r="G99" s="448"/>
      <c r="H99" s="448">
        <v>2229648.94</v>
      </c>
      <c r="I99" s="448">
        <v>209508.73000049591</v>
      </c>
      <c r="J99" s="449">
        <v>2439157.67</v>
      </c>
      <c r="K99" s="446"/>
      <c r="L99" s="448">
        <v>1494121.88</v>
      </c>
      <c r="M99" s="448">
        <v>1034571.8800001889</v>
      </c>
      <c r="N99" s="449">
        <v>2528693.7599999998</v>
      </c>
      <c r="O99" s="446"/>
      <c r="P99" s="448">
        <v>523466.51</v>
      </c>
      <c r="Q99" s="448">
        <v>454159.69999988098</v>
      </c>
      <c r="R99" s="449">
        <v>977626.21</v>
      </c>
      <c r="S99" s="446"/>
      <c r="T99" s="448">
        <v>411723.59</v>
      </c>
      <c r="U99" s="448">
        <v>591593.98000049591</v>
      </c>
      <c r="V99" s="449">
        <v>1003317.57</v>
      </c>
      <c r="W99" s="446"/>
      <c r="X99" s="448">
        <v>2501097.96</v>
      </c>
      <c r="Y99" s="448">
        <v>-2239837.3099998813</v>
      </c>
      <c r="Z99" s="449">
        <v>261260.65</v>
      </c>
      <c r="AA99" s="446"/>
    </row>
    <row r="100" spans="2:27" s="443" customFormat="1">
      <c r="B100" s="238">
        <v>45588</v>
      </c>
      <c r="C100" s="448"/>
      <c r="D100" s="448">
        <v>197767.81</v>
      </c>
      <c r="E100" s="448">
        <v>253909.55999996141</v>
      </c>
      <c r="F100" s="448">
        <v>451677.37</v>
      </c>
      <c r="G100" s="448"/>
      <c r="H100" s="448">
        <v>2439157.67</v>
      </c>
      <c r="I100" s="448">
        <v>345657.9500002861</v>
      </c>
      <c r="J100" s="449">
        <v>2784815.62</v>
      </c>
      <c r="K100" s="446"/>
      <c r="L100" s="448">
        <v>2528693.7599999998</v>
      </c>
      <c r="M100" s="448">
        <v>344129.34999996051</v>
      </c>
      <c r="N100" s="449">
        <v>2872823.11</v>
      </c>
      <c r="O100" s="446"/>
      <c r="P100" s="448">
        <v>977626.21</v>
      </c>
      <c r="Q100" s="448">
        <v>-654699.15000002878</v>
      </c>
      <c r="R100" s="449">
        <v>322927.06</v>
      </c>
      <c r="S100" s="446"/>
      <c r="T100" s="448">
        <v>1003317.57</v>
      </c>
      <c r="U100" s="448">
        <v>-838760.94999988377</v>
      </c>
      <c r="V100" s="449">
        <v>164556.62</v>
      </c>
      <c r="W100" s="446"/>
      <c r="X100" s="448">
        <v>261260.65</v>
      </c>
      <c r="Y100" s="448">
        <v>1622854.2000004817</v>
      </c>
      <c r="Z100" s="449">
        <v>1884114.85</v>
      </c>
      <c r="AA100" s="446"/>
    </row>
    <row r="101" spans="2:27" s="443" customFormat="1">
      <c r="B101" s="238">
        <v>45589</v>
      </c>
      <c r="C101" s="448"/>
      <c r="D101" s="448">
        <v>451677.37</v>
      </c>
      <c r="E101" s="448">
        <v>-305900.80999983847</v>
      </c>
      <c r="F101" s="448">
        <v>145776.56</v>
      </c>
      <c r="G101" s="448"/>
      <c r="H101" s="448">
        <v>2784815.62</v>
      </c>
      <c r="I101" s="448">
        <v>-1664795.5300002098</v>
      </c>
      <c r="J101" s="449">
        <v>1120020.0900000001</v>
      </c>
      <c r="K101" s="446"/>
      <c r="L101" s="448">
        <v>2872823.11</v>
      </c>
      <c r="M101" s="448">
        <v>1082046.2600000948</v>
      </c>
      <c r="N101" s="449">
        <v>3954869.37</v>
      </c>
      <c r="O101" s="446"/>
      <c r="P101" s="448">
        <v>322927.06</v>
      </c>
      <c r="Q101" s="448">
        <v>-61263.049999812851</v>
      </c>
      <c r="R101" s="449">
        <v>261664.01</v>
      </c>
      <c r="S101" s="446"/>
      <c r="T101" s="448">
        <v>164556.62</v>
      </c>
      <c r="U101" s="448">
        <v>469075.85000009835</v>
      </c>
      <c r="V101" s="449">
        <v>633632.47</v>
      </c>
      <c r="W101" s="446"/>
      <c r="X101" s="448">
        <v>1884114.85</v>
      </c>
      <c r="Y101" s="448">
        <v>-741769.36000001431</v>
      </c>
      <c r="Z101" s="449">
        <v>1142345.49</v>
      </c>
      <c r="AA101" s="446"/>
    </row>
    <row r="102" spans="2:27" s="443" customFormat="1">
      <c r="B102" s="238">
        <v>45590</v>
      </c>
      <c r="C102" s="448"/>
      <c r="D102" s="448">
        <v>145776.56</v>
      </c>
      <c r="E102" s="448">
        <v>0</v>
      </c>
      <c r="F102" s="448">
        <v>145776.56</v>
      </c>
      <c r="G102" s="448"/>
      <c r="H102" s="448">
        <v>1120020.0900000001</v>
      </c>
      <c r="I102" s="448">
        <v>0</v>
      </c>
      <c r="J102" s="449">
        <v>1120020.0900000001</v>
      </c>
      <c r="K102" s="446"/>
      <c r="L102" s="448">
        <v>3954869.37</v>
      </c>
      <c r="M102" s="448">
        <v>0</v>
      </c>
      <c r="N102" s="449">
        <v>3954869.37</v>
      </c>
      <c r="O102" s="446"/>
      <c r="P102" s="448">
        <v>261664.01</v>
      </c>
      <c r="Q102" s="448">
        <v>0</v>
      </c>
      <c r="R102" s="449">
        <v>261664.01</v>
      </c>
      <c r="S102" s="446"/>
      <c r="T102" s="448">
        <v>633632.47</v>
      </c>
      <c r="U102" s="448">
        <v>0</v>
      </c>
      <c r="V102" s="449">
        <v>633632.47</v>
      </c>
      <c r="W102" s="446"/>
      <c r="X102" s="448">
        <v>1142345.49</v>
      </c>
      <c r="Y102" s="448">
        <v>0</v>
      </c>
      <c r="Z102" s="449">
        <v>1142345.49</v>
      </c>
      <c r="AA102" s="446"/>
    </row>
    <row r="103" spans="2:27" s="443" customFormat="1">
      <c r="B103" s="238">
        <v>45591</v>
      </c>
      <c r="C103" s="448"/>
      <c r="D103" s="448">
        <v>145776.56</v>
      </c>
      <c r="E103" s="448">
        <v>0</v>
      </c>
      <c r="F103" s="448">
        <v>145776.56</v>
      </c>
      <c r="G103" s="448"/>
      <c r="H103" s="448">
        <v>1120020.0900000001</v>
      </c>
      <c r="I103" s="448">
        <v>0</v>
      </c>
      <c r="J103" s="449">
        <v>1120020.0900000001</v>
      </c>
      <c r="K103" s="446"/>
      <c r="L103" s="448">
        <v>3954869.37</v>
      </c>
      <c r="M103" s="448">
        <v>0</v>
      </c>
      <c r="N103" s="449">
        <v>3954869.37</v>
      </c>
      <c r="O103" s="446"/>
      <c r="P103" s="448">
        <v>261664.01</v>
      </c>
      <c r="Q103" s="448">
        <v>0</v>
      </c>
      <c r="R103" s="449">
        <v>261664.01</v>
      </c>
      <c r="S103" s="446"/>
      <c r="T103" s="448">
        <v>633632.47</v>
      </c>
      <c r="U103" s="448">
        <v>0</v>
      </c>
      <c r="V103" s="449">
        <v>633632.47</v>
      </c>
      <c r="W103" s="446"/>
      <c r="X103" s="448">
        <v>1142345.49</v>
      </c>
      <c r="Y103" s="448">
        <v>0</v>
      </c>
      <c r="Z103" s="449">
        <v>1142345.49</v>
      </c>
      <c r="AA103" s="446"/>
    </row>
    <row r="104" spans="2:27" s="443" customFormat="1">
      <c r="B104" s="238">
        <v>45592</v>
      </c>
      <c r="C104" s="448"/>
      <c r="D104" s="448">
        <v>145776.56</v>
      </c>
      <c r="E104" s="448">
        <v>0</v>
      </c>
      <c r="F104" s="448">
        <v>145776.56</v>
      </c>
      <c r="G104" s="448"/>
      <c r="H104" s="448">
        <v>1120020.0900000001</v>
      </c>
      <c r="I104" s="448">
        <v>0</v>
      </c>
      <c r="J104" s="449">
        <v>1120020.0900000001</v>
      </c>
      <c r="K104" s="446"/>
      <c r="L104" s="448">
        <v>3954869.37</v>
      </c>
      <c r="M104" s="448">
        <v>0</v>
      </c>
      <c r="N104" s="449">
        <v>3954869.37</v>
      </c>
      <c r="O104" s="446"/>
      <c r="P104" s="448">
        <v>261664.01</v>
      </c>
      <c r="Q104" s="448">
        <v>0</v>
      </c>
      <c r="R104" s="449">
        <v>261664.01</v>
      </c>
      <c r="S104" s="446"/>
      <c r="T104" s="448">
        <v>633632.47</v>
      </c>
      <c r="U104" s="448">
        <v>0</v>
      </c>
      <c r="V104" s="449">
        <v>633632.47</v>
      </c>
      <c r="W104" s="446"/>
      <c r="X104" s="448">
        <v>1142345.49</v>
      </c>
      <c r="Y104" s="448">
        <v>0</v>
      </c>
      <c r="Z104" s="449">
        <v>1142345.49</v>
      </c>
      <c r="AA104" s="446"/>
    </row>
    <row r="105" spans="2:27" s="443" customFormat="1">
      <c r="B105" s="238">
        <v>45593</v>
      </c>
      <c r="C105" s="448"/>
      <c r="D105" s="448">
        <v>145776.56</v>
      </c>
      <c r="E105" s="448">
        <v>18569.889999885112</v>
      </c>
      <c r="F105" s="448">
        <v>164346.45000000001</v>
      </c>
      <c r="G105" s="448"/>
      <c r="H105" s="448">
        <v>1120020.0900000001</v>
      </c>
      <c r="I105" s="448">
        <v>1087771.6500007249</v>
      </c>
      <c r="J105" s="449">
        <v>2207791.7400000002</v>
      </c>
      <c r="K105" s="446"/>
      <c r="L105" s="448">
        <v>3954869.37</v>
      </c>
      <c r="M105" s="448">
        <v>1066229.6399999708</v>
      </c>
      <c r="N105" s="449">
        <v>5021099.01</v>
      </c>
      <c r="O105" s="446"/>
      <c r="P105" s="448">
        <v>261664.01</v>
      </c>
      <c r="Q105" s="448">
        <v>-159047.63000003109</v>
      </c>
      <c r="R105" s="449">
        <v>102616.38</v>
      </c>
      <c r="S105" s="446"/>
      <c r="T105" s="448">
        <v>633632.47</v>
      </c>
      <c r="U105" s="448">
        <v>-268791.23000045866</v>
      </c>
      <c r="V105" s="449">
        <v>364841.24</v>
      </c>
      <c r="W105" s="446"/>
      <c r="X105" s="448">
        <v>1142345.49</v>
      </c>
      <c r="Y105" s="448">
        <v>0</v>
      </c>
      <c r="Z105" s="449">
        <v>1142345.49</v>
      </c>
      <c r="AA105" s="446"/>
    </row>
    <row r="106" spans="2:27" s="443" customFormat="1">
      <c r="B106" s="238">
        <v>45594</v>
      </c>
      <c r="C106" s="448"/>
      <c r="D106" s="448">
        <v>164346.45000000001</v>
      </c>
      <c r="E106" s="448">
        <v>313586.84000001941</v>
      </c>
      <c r="F106" s="448">
        <v>477933.29</v>
      </c>
      <c r="G106" s="448"/>
      <c r="H106" s="448">
        <v>2207791.7400000002</v>
      </c>
      <c r="I106" s="448">
        <v>891508.71999996156</v>
      </c>
      <c r="J106" s="449">
        <v>3099300.46</v>
      </c>
      <c r="K106" s="446"/>
      <c r="L106" s="448">
        <v>5021099.01</v>
      </c>
      <c r="M106" s="448">
        <v>-4244467.3500002176</v>
      </c>
      <c r="N106" s="449">
        <v>776631.66</v>
      </c>
      <c r="O106" s="446"/>
      <c r="P106" s="448">
        <v>102616.38</v>
      </c>
      <c r="Q106" s="448">
        <v>123199.44000000716</v>
      </c>
      <c r="R106" s="449">
        <v>225815.82</v>
      </c>
      <c r="S106" s="446"/>
      <c r="T106" s="448">
        <v>364841.24</v>
      </c>
      <c r="U106" s="448">
        <v>140686.48999996856</v>
      </c>
      <c r="V106" s="449">
        <v>505527.73</v>
      </c>
      <c r="W106" s="446"/>
      <c r="X106" s="448">
        <v>1142345.49</v>
      </c>
      <c r="Y106" s="448">
        <v>0</v>
      </c>
      <c r="Z106" s="449">
        <v>1142345.49</v>
      </c>
      <c r="AA106" s="446"/>
    </row>
    <row r="107" spans="2:27" s="443" customFormat="1">
      <c r="B107" s="238">
        <v>45595</v>
      </c>
      <c r="C107" s="448"/>
      <c r="D107" s="448">
        <v>477933.29</v>
      </c>
      <c r="E107" s="448">
        <v>-355687.58999964129</v>
      </c>
      <c r="F107" s="448">
        <v>122245.7</v>
      </c>
      <c r="G107" s="448"/>
      <c r="H107" s="448">
        <v>3099300.46</v>
      </c>
      <c r="I107" s="448">
        <v>0</v>
      </c>
      <c r="J107" s="449">
        <v>3099300.46</v>
      </c>
      <c r="K107" s="446"/>
      <c r="L107" s="448">
        <v>776631.66</v>
      </c>
      <c r="M107" s="448">
        <v>231404.19999985397</v>
      </c>
      <c r="N107" s="449">
        <v>1008035.86</v>
      </c>
      <c r="O107" s="446"/>
      <c r="P107" s="448">
        <v>225815.82</v>
      </c>
      <c r="Q107" s="448">
        <v>319975.29000007152</v>
      </c>
      <c r="R107" s="449">
        <v>545791.11</v>
      </c>
      <c r="S107" s="446"/>
      <c r="T107" s="448">
        <v>505527.73</v>
      </c>
      <c r="U107" s="448">
        <v>-143972.69000083953</v>
      </c>
      <c r="V107" s="449">
        <v>361555.04</v>
      </c>
      <c r="W107" s="446"/>
      <c r="X107" s="448">
        <v>1142345.49</v>
      </c>
      <c r="Y107" s="448">
        <v>-374435.34000015259</v>
      </c>
      <c r="Z107" s="449">
        <v>767910.15</v>
      </c>
      <c r="AA107" s="446"/>
    </row>
    <row r="108" spans="2:27" s="443" customFormat="1">
      <c r="B108" s="238">
        <v>45596</v>
      </c>
      <c r="C108" s="448"/>
      <c r="D108" s="448">
        <v>122245.7</v>
      </c>
      <c r="E108" s="448">
        <v>449763.54999956116</v>
      </c>
      <c r="F108" s="448">
        <v>572009.25</v>
      </c>
      <c r="G108" s="448"/>
      <c r="H108" s="448">
        <v>3099300.46</v>
      </c>
      <c r="I108" s="448">
        <v>0</v>
      </c>
      <c r="J108" s="449">
        <v>3099300.46</v>
      </c>
      <c r="K108" s="446"/>
      <c r="L108" s="448">
        <v>1008035.86</v>
      </c>
      <c r="M108" s="448">
        <v>289395.85000000894</v>
      </c>
      <c r="N108" s="449">
        <v>1297431.71</v>
      </c>
      <c r="O108" s="446"/>
      <c r="P108" s="448">
        <v>545791.11</v>
      </c>
      <c r="Q108" s="448">
        <v>-181219.74000016018</v>
      </c>
      <c r="R108" s="449">
        <v>364571.37</v>
      </c>
      <c r="S108" s="446"/>
      <c r="T108" s="448">
        <v>361555.04</v>
      </c>
      <c r="U108" s="448">
        <v>125361.02000015229</v>
      </c>
      <c r="V108" s="449">
        <v>486916.06</v>
      </c>
      <c r="W108" s="446"/>
      <c r="X108" s="448">
        <v>767910.15</v>
      </c>
      <c r="Y108" s="448">
        <v>0</v>
      </c>
      <c r="Z108" s="449">
        <v>767910.15</v>
      </c>
      <c r="AA108" s="446"/>
    </row>
    <row r="109" spans="2:27" s="443" customFormat="1">
      <c r="B109" s="238">
        <v>45597</v>
      </c>
      <c r="C109" s="448"/>
      <c r="D109" s="448">
        <v>572009.25</v>
      </c>
      <c r="E109" s="448">
        <v>-19787.899999897927</v>
      </c>
      <c r="F109" s="448">
        <v>552221.35</v>
      </c>
      <c r="G109" s="448"/>
      <c r="H109" s="448">
        <v>3099300.46</v>
      </c>
      <c r="I109" s="448">
        <v>0</v>
      </c>
      <c r="J109" s="449">
        <v>3099300.46</v>
      </c>
      <c r="K109" s="446"/>
      <c r="L109" s="448">
        <v>1297431.71</v>
      </c>
      <c r="M109" s="448">
        <v>884069.04999991506</v>
      </c>
      <c r="N109" s="449">
        <v>2181500.7599999998</v>
      </c>
      <c r="O109" s="446"/>
      <c r="P109" s="448">
        <v>364571.37</v>
      </c>
      <c r="Q109" s="448">
        <v>262111.79000002285</v>
      </c>
      <c r="R109" s="449">
        <v>626683.16</v>
      </c>
      <c r="S109" s="446"/>
      <c r="T109" s="448">
        <v>486916.06</v>
      </c>
      <c r="U109" s="448">
        <v>-21891.090000104159</v>
      </c>
      <c r="V109" s="449">
        <v>465024.97</v>
      </c>
      <c r="W109" s="446"/>
      <c r="X109" s="448">
        <v>767910.15</v>
      </c>
      <c r="Y109" s="448">
        <v>0</v>
      </c>
      <c r="Z109" s="449">
        <v>767910.15</v>
      </c>
      <c r="AA109" s="446"/>
    </row>
    <row r="110" spans="2:27" s="443" customFormat="1">
      <c r="B110" s="238">
        <v>45598</v>
      </c>
      <c r="C110" s="448"/>
      <c r="D110" s="448">
        <v>552221.35</v>
      </c>
      <c r="E110" s="448">
        <v>0</v>
      </c>
      <c r="F110" s="448">
        <v>552221.35</v>
      </c>
      <c r="G110" s="448"/>
      <c r="H110" s="448">
        <v>3099300.46</v>
      </c>
      <c r="I110" s="448">
        <v>0</v>
      </c>
      <c r="J110" s="449">
        <v>3099300.46</v>
      </c>
      <c r="K110" s="446"/>
      <c r="L110" s="448">
        <v>2181500.7599999998</v>
      </c>
      <c r="M110" s="448">
        <v>0</v>
      </c>
      <c r="N110" s="449">
        <v>2181500.7599999998</v>
      </c>
      <c r="O110" s="446"/>
      <c r="P110" s="448">
        <v>626683.16</v>
      </c>
      <c r="Q110" s="448">
        <v>0</v>
      </c>
      <c r="R110" s="449">
        <v>626683.16</v>
      </c>
      <c r="S110" s="446"/>
      <c r="T110" s="448">
        <v>465024.97</v>
      </c>
      <c r="U110" s="448">
        <v>0</v>
      </c>
      <c r="V110" s="449">
        <v>465024.97</v>
      </c>
      <c r="W110" s="446"/>
      <c r="X110" s="448">
        <v>767910.15</v>
      </c>
      <c r="Y110" s="448">
        <v>0</v>
      </c>
      <c r="Z110" s="449">
        <v>767910.15</v>
      </c>
      <c r="AA110" s="446"/>
    </row>
    <row r="111" spans="2:27" s="443" customFormat="1">
      <c r="B111" s="238">
        <v>45599</v>
      </c>
      <c r="C111" s="448"/>
      <c r="D111" s="448">
        <v>552221.35</v>
      </c>
      <c r="E111" s="448">
        <v>0</v>
      </c>
      <c r="F111" s="448">
        <v>552221.35</v>
      </c>
      <c r="G111" s="448"/>
      <c r="H111" s="448">
        <v>3099300.46</v>
      </c>
      <c r="I111" s="448">
        <v>0</v>
      </c>
      <c r="J111" s="449">
        <v>3099300.46</v>
      </c>
      <c r="K111" s="446"/>
      <c r="L111" s="448">
        <v>2181500.7599999998</v>
      </c>
      <c r="M111" s="448">
        <v>0</v>
      </c>
      <c r="N111" s="449">
        <v>2181500.7599999998</v>
      </c>
      <c r="O111" s="446"/>
      <c r="P111" s="448">
        <v>626683.16</v>
      </c>
      <c r="Q111" s="448">
        <v>0</v>
      </c>
      <c r="R111" s="449">
        <v>626683.16</v>
      </c>
      <c r="S111" s="446"/>
      <c r="T111" s="448">
        <v>465024.97</v>
      </c>
      <c r="U111" s="448">
        <v>0</v>
      </c>
      <c r="V111" s="449">
        <v>465024.97</v>
      </c>
      <c r="W111" s="446"/>
      <c r="X111" s="448">
        <v>767910.15</v>
      </c>
      <c r="Y111" s="448">
        <v>0</v>
      </c>
      <c r="Z111" s="449">
        <v>767910.15</v>
      </c>
      <c r="AA111" s="446"/>
    </row>
    <row r="112" spans="2:27" s="443" customFormat="1">
      <c r="B112" s="238">
        <v>45600</v>
      </c>
      <c r="C112" s="448"/>
      <c r="D112" s="448">
        <v>552221.35</v>
      </c>
      <c r="E112" s="448">
        <v>55260.050001431257</v>
      </c>
      <c r="F112" s="448">
        <v>607481.4</v>
      </c>
      <c r="G112" s="448"/>
      <c r="H112" s="448">
        <v>3099300.46</v>
      </c>
      <c r="I112" s="448">
        <v>0</v>
      </c>
      <c r="J112" s="449">
        <v>3099300.46</v>
      </c>
      <c r="K112" s="446"/>
      <c r="L112" s="448">
        <v>2181500.7599999998</v>
      </c>
      <c r="M112" s="448">
        <v>230681.49000008404</v>
      </c>
      <c r="N112" s="449">
        <v>2412182.25</v>
      </c>
      <c r="O112" s="446"/>
      <c r="P112" s="448">
        <v>626683.16</v>
      </c>
      <c r="Q112" s="448">
        <v>-324629.82000000007</v>
      </c>
      <c r="R112" s="449">
        <v>302053.34000000003</v>
      </c>
      <c r="S112" s="446"/>
      <c r="T112" s="448">
        <v>465024.97</v>
      </c>
      <c r="U112" s="448">
        <v>411513.63000001758</v>
      </c>
      <c r="V112" s="449">
        <v>876538.6</v>
      </c>
      <c r="W112" s="446"/>
      <c r="X112" s="448">
        <v>767910.15</v>
      </c>
      <c r="Y112" s="448">
        <v>0</v>
      </c>
      <c r="Z112" s="449">
        <v>767910.15</v>
      </c>
      <c r="AA112" s="446"/>
    </row>
    <row r="113" spans="2:27" s="443" customFormat="1">
      <c r="B113" s="238">
        <v>45601</v>
      </c>
      <c r="C113" s="448"/>
      <c r="D113" s="448">
        <v>607481.4</v>
      </c>
      <c r="E113" s="448">
        <v>-503647.71000000089</v>
      </c>
      <c r="F113" s="448">
        <v>103833.69</v>
      </c>
      <c r="G113" s="448"/>
      <c r="H113" s="448">
        <v>3099300.46</v>
      </c>
      <c r="I113" s="448">
        <v>-1456794.5700010285</v>
      </c>
      <c r="J113" s="449">
        <v>1642505.89</v>
      </c>
      <c r="K113" s="446"/>
      <c r="L113" s="448">
        <v>2412182.25</v>
      </c>
      <c r="M113" s="448">
        <v>1090067.4599999562</v>
      </c>
      <c r="N113" s="449">
        <v>3502249.71</v>
      </c>
      <c r="O113" s="446"/>
      <c r="P113" s="448">
        <v>302053.34000000003</v>
      </c>
      <c r="Q113" s="448">
        <v>-218691.3999999857</v>
      </c>
      <c r="R113" s="449">
        <v>83361.94</v>
      </c>
      <c r="S113" s="446"/>
      <c r="T113" s="448">
        <v>876538.6</v>
      </c>
      <c r="U113" s="448">
        <v>-282557.2699999474</v>
      </c>
      <c r="V113" s="449">
        <v>593981.32999999996</v>
      </c>
      <c r="W113" s="446"/>
      <c r="X113" s="448">
        <v>767910.15</v>
      </c>
      <c r="Y113" s="448">
        <v>0</v>
      </c>
      <c r="Z113" s="449">
        <v>767910.15</v>
      </c>
      <c r="AA113" s="446"/>
    </row>
    <row r="114" spans="2:27" s="443" customFormat="1">
      <c r="B114" s="238">
        <v>45602</v>
      </c>
      <c r="C114" s="448"/>
      <c r="D114" s="448">
        <v>103833.69</v>
      </c>
      <c r="E114" s="448">
        <v>333570.63000019081</v>
      </c>
      <c r="F114" s="448">
        <v>437404.32</v>
      </c>
      <c r="G114" s="448"/>
      <c r="H114" s="448">
        <v>1642505.89</v>
      </c>
      <c r="I114" s="448">
        <v>0</v>
      </c>
      <c r="J114" s="449">
        <v>1642505.89</v>
      </c>
      <c r="K114" s="446"/>
      <c r="L114" s="448">
        <v>3502249.71</v>
      </c>
      <c r="M114" s="448">
        <v>1065085.8199999183</v>
      </c>
      <c r="N114" s="449">
        <v>4567335.53</v>
      </c>
      <c r="O114" s="446"/>
      <c r="P114" s="448">
        <v>83361.94</v>
      </c>
      <c r="Q114" s="448">
        <v>872707.76999974716</v>
      </c>
      <c r="R114" s="449">
        <v>956069.71</v>
      </c>
      <c r="S114" s="446"/>
      <c r="T114" s="448">
        <v>593981.32999999996</v>
      </c>
      <c r="U114" s="448">
        <v>-440570.56999946758</v>
      </c>
      <c r="V114" s="449">
        <v>153410.76</v>
      </c>
      <c r="W114" s="446"/>
      <c r="X114" s="448">
        <v>767910.15</v>
      </c>
      <c r="Y114" s="448">
        <v>-441579.08000024781</v>
      </c>
      <c r="Z114" s="449">
        <v>326331.07</v>
      </c>
      <c r="AA114" s="446"/>
    </row>
    <row r="115" spans="2:27" s="443" customFormat="1">
      <c r="B115" s="238">
        <v>45603</v>
      </c>
      <c r="C115" s="448"/>
      <c r="D115" s="448">
        <v>437404.32</v>
      </c>
      <c r="E115" s="448">
        <v>160459.93999992404</v>
      </c>
      <c r="F115" s="448">
        <v>597864.26</v>
      </c>
      <c r="G115" s="448"/>
      <c r="H115" s="448">
        <v>1642505.89</v>
      </c>
      <c r="I115" s="448">
        <v>0</v>
      </c>
      <c r="J115" s="449">
        <v>1642505.89</v>
      </c>
      <c r="K115" s="446"/>
      <c r="L115" s="448">
        <v>4567335.53</v>
      </c>
      <c r="M115" s="448">
        <v>494110.31999998167</v>
      </c>
      <c r="N115" s="449">
        <v>5061445.8499999996</v>
      </c>
      <c r="O115" s="446"/>
      <c r="P115" s="448">
        <v>956069.71</v>
      </c>
      <c r="Q115" s="448">
        <v>-359182.24000024516</v>
      </c>
      <c r="R115" s="449">
        <v>596887.47</v>
      </c>
      <c r="S115" s="446"/>
      <c r="T115" s="448">
        <v>153410.76</v>
      </c>
      <c r="U115" s="448">
        <v>20792.779999554157</v>
      </c>
      <c r="V115" s="449">
        <v>174203.54</v>
      </c>
      <c r="W115" s="446"/>
      <c r="X115" s="448">
        <v>326331.07</v>
      </c>
      <c r="Y115" s="448">
        <v>0</v>
      </c>
      <c r="Z115" s="449">
        <v>326331.07</v>
      </c>
      <c r="AA115" s="446"/>
    </row>
    <row r="116" spans="2:27" s="443" customFormat="1">
      <c r="B116" s="238">
        <v>45604</v>
      </c>
      <c r="C116" s="448"/>
      <c r="D116" s="448">
        <v>597864.26</v>
      </c>
      <c r="E116" s="448">
        <v>-225940.57000007667</v>
      </c>
      <c r="F116" s="448">
        <v>371923.69</v>
      </c>
      <c r="G116" s="448"/>
      <c r="H116" s="448">
        <v>1642505.89</v>
      </c>
      <c r="I116" s="448">
        <v>0</v>
      </c>
      <c r="J116" s="449">
        <v>1642505.89</v>
      </c>
      <c r="K116" s="446"/>
      <c r="L116" s="448">
        <v>5061445.8499999996</v>
      </c>
      <c r="M116" s="448">
        <v>-3908548.0199998617</v>
      </c>
      <c r="N116" s="449">
        <v>1152897.83</v>
      </c>
      <c r="O116" s="446"/>
      <c r="P116" s="448">
        <v>596887.47</v>
      </c>
      <c r="Q116" s="448">
        <v>243366.339999969</v>
      </c>
      <c r="R116" s="449">
        <v>840253.81</v>
      </c>
      <c r="S116" s="446"/>
      <c r="T116" s="448">
        <v>174203.54</v>
      </c>
      <c r="U116" s="448">
        <v>370079.92999998108</v>
      </c>
      <c r="V116" s="449">
        <v>544283.47</v>
      </c>
      <c r="W116" s="446"/>
      <c r="X116" s="448">
        <v>326331.07</v>
      </c>
      <c r="Y116" s="448">
        <v>0</v>
      </c>
      <c r="Z116" s="449">
        <v>326331.07</v>
      </c>
      <c r="AA116" s="446"/>
    </row>
    <row r="117" spans="2:27" s="443" customFormat="1">
      <c r="B117" s="238">
        <v>45605</v>
      </c>
      <c r="C117" s="448"/>
      <c r="D117" s="448">
        <v>371923.69</v>
      </c>
      <c r="E117" s="448">
        <v>0</v>
      </c>
      <c r="F117" s="448">
        <v>371923.69</v>
      </c>
      <c r="G117" s="448"/>
      <c r="H117" s="448">
        <v>1642505.89</v>
      </c>
      <c r="I117" s="448">
        <v>0</v>
      </c>
      <c r="J117" s="449">
        <v>1642505.89</v>
      </c>
      <c r="K117" s="446"/>
      <c r="L117" s="448">
        <v>1152897.83</v>
      </c>
      <c r="M117" s="448">
        <v>0</v>
      </c>
      <c r="N117" s="449">
        <v>1152897.83</v>
      </c>
      <c r="O117" s="446"/>
      <c r="P117" s="448">
        <v>840253.81</v>
      </c>
      <c r="Q117" s="448">
        <v>0</v>
      </c>
      <c r="R117" s="449">
        <v>840253.81</v>
      </c>
      <c r="S117" s="446"/>
      <c r="T117" s="448">
        <v>544283.47</v>
      </c>
      <c r="U117" s="448">
        <v>0</v>
      </c>
      <c r="V117" s="449">
        <v>544283.47</v>
      </c>
      <c r="W117" s="446"/>
      <c r="X117" s="448">
        <v>326331.07</v>
      </c>
      <c r="Y117" s="448">
        <v>0</v>
      </c>
      <c r="Z117" s="449">
        <v>326331.07</v>
      </c>
      <c r="AA117" s="446"/>
    </row>
    <row r="118" spans="2:27" s="443" customFormat="1">
      <c r="B118" s="238">
        <v>45606</v>
      </c>
      <c r="C118" s="448"/>
      <c r="D118" s="448">
        <v>371923.69</v>
      </c>
      <c r="E118" s="448">
        <v>0</v>
      </c>
      <c r="F118" s="448">
        <v>371923.69</v>
      </c>
      <c r="G118" s="448"/>
      <c r="H118" s="448">
        <v>1642505.89</v>
      </c>
      <c r="I118" s="448">
        <v>0</v>
      </c>
      <c r="J118" s="449">
        <v>1642505.89</v>
      </c>
      <c r="K118" s="446"/>
      <c r="L118" s="448">
        <v>1152897.83</v>
      </c>
      <c r="M118" s="448">
        <v>0</v>
      </c>
      <c r="N118" s="449">
        <v>1152897.83</v>
      </c>
      <c r="O118" s="446"/>
      <c r="P118" s="448">
        <v>840253.81</v>
      </c>
      <c r="Q118" s="448">
        <v>0</v>
      </c>
      <c r="R118" s="449">
        <v>840253.81</v>
      </c>
      <c r="S118" s="446"/>
      <c r="T118" s="448">
        <v>544283.47</v>
      </c>
      <c r="U118" s="448">
        <v>0</v>
      </c>
      <c r="V118" s="449">
        <v>544283.47</v>
      </c>
      <c r="W118" s="446"/>
      <c r="X118" s="448">
        <v>326331.07</v>
      </c>
      <c r="Y118" s="448">
        <v>0</v>
      </c>
      <c r="Z118" s="449">
        <v>326331.07</v>
      </c>
      <c r="AA118" s="446"/>
    </row>
    <row r="119" spans="2:27" s="443" customFormat="1">
      <c r="B119" s="238">
        <v>45607</v>
      </c>
      <c r="C119" s="448"/>
      <c r="D119" s="448">
        <v>371923.69</v>
      </c>
      <c r="E119" s="448">
        <v>177877.72000050545</v>
      </c>
      <c r="F119" s="448">
        <v>549801.41</v>
      </c>
      <c r="G119" s="448"/>
      <c r="H119" s="448">
        <v>1642505.89</v>
      </c>
      <c r="I119" s="448">
        <v>0</v>
      </c>
      <c r="J119" s="449">
        <v>1642505.89</v>
      </c>
      <c r="K119" s="446"/>
      <c r="L119" s="448">
        <v>1152897.83</v>
      </c>
      <c r="M119" s="448">
        <v>441109.72000012267</v>
      </c>
      <c r="N119" s="449">
        <v>1594007.55</v>
      </c>
      <c r="O119" s="446"/>
      <c r="P119" s="448">
        <v>840253.81</v>
      </c>
      <c r="Q119" s="448">
        <v>-506010.60000005015</v>
      </c>
      <c r="R119" s="449">
        <v>334243.21000000002</v>
      </c>
      <c r="S119" s="446"/>
      <c r="T119" s="448">
        <v>544283.47</v>
      </c>
      <c r="U119" s="448">
        <v>86552.799999810755</v>
      </c>
      <c r="V119" s="449">
        <v>630836.27</v>
      </c>
      <c r="W119" s="446"/>
      <c r="X119" s="448">
        <v>326331.07</v>
      </c>
      <c r="Y119" s="448">
        <v>0</v>
      </c>
      <c r="Z119" s="449">
        <v>326331.07</v>
      </c>
      <c r="AA119" s="446"/>
    </row>
    <row r="120" spans="2:27" s="443" customFormat="1" ht="12.75" customHeight="1">
      <c r="B120" s="238">
        <f>B119+1</f>
        <v>45608</v>
      </c>
      <c r="C120" s="448"/>
      <c r="D120" s="448">
        <f>F119</f>
        <v>549801.41</v>
      </c>
      <c r="E120" s="448">
        <f>SUMIFS(Trades!$E:$E,Trades!$B:$B,$B120,Trades!$D:$D,"Halyk finance")</f>
        <v>-295661.49999980908</v>
      </c>
      <c r="F120" s="448">
        <f>ROUND((D120+E120),2)</f>
        <v>254139.91</v>
      </c>
      <c r="G120" s="448"/>
      <c r="H120" s="448">
        <f>J119</f>
        <v>1642505.89</v>
      </c>
      <c r="I120" s="448">
        <f>SUMIFS(Trades!$E:$E,Trades!$B:$B,$B120,Trades!$D:$D,"BCC Invest")</f>
        <v>919766.43999993801</v>
      </c>
      <c r="J120" s="449">
        <f>ROUND((H120+I120),2)</f>
        <v>2562272.33</v>
      </c>
      <c r="K120" s="446"/>
      <c r="L120" s="448">
        <f>N119</f>
        <v>1594007.55</v>
      </c>
      <c r="M120" s="448">
        <f>SUMIFS(Trades!$E:$E,Trades!$B:$B,$B120,Trades!$D:$D,"Jusan invest")</f>
        <v>327924.7899999395</v>
      </c>
      <c r="N120" s="449">
        <f>ROUND((L120+M120),2)</f>
        <v>1921932.34</v>
      </c>
      <c r="O120" s="446"/>
      <c r="P120" s="448">
        <f>R119</f>
        <v>334243.21000000002</v>
      </c>
      <c r="Q120" s="448">
        <f>SUMIFS(Trades!$E:$E,Trades!$B:$B,$B120,Trades!$D:$D,"Сентрас")</f>
        <v>2229654.3399999924</v>
      </c>
      <c r="R120" s="449">
        <f>ROUND((P120+Q120),2)</f>
        <v>2563897.5499999998</v>
      </c>
      <c r="S120" s="446"/>
      <c r="T120" s="448">
        <f>V119</f>
        <v>630836.27</v>
      </c>
      <c r="U120" s="448">
        <f>SUMIFS(Trades!$E:$E,Trades!$B:$B,$B120,Trades!$D:$D,"UD Capital")</f>
        <v>-466693.88999997079</v>
      </c>
      <c r="V120" s="449">
        <f>ROUND((T120+U120),2)</f>
        <v>164142.38</v>
      </c>
      <c r="W120" s="446"/>
      <c r="X120" s="448">
        <f>Z119</f>
        <v>326331.07</v>
      </c>
      <c r="Y120" s="448">
        <f>SUMIFS(Trades!$E:$E,Trades!$B:$B,$B120,Trades!$D:$D,"Tansar Capital")</f>
        <v>0</v>
      </c>
      <c r="Z120" s="449">
        <f>ROUND((X120+Y120),2)</f>
        <v>326331.07</v>
      </c>
      <c r="AA120" s="446"/>
    </row>
    <row r="121" spans="2:27" s="443" customFormat="1" ht="13.5" customHeight="1">
      <c r="B121" s="238">
        <f>B120+1</f>
        <v>45609</v>
      </c>
      <c r="C121" s="448"/>
      <c r="D121" s="448">
        <f>F120</f>
        <v>254139.91</v>
      </c>
      <c r="E121" s="448">
        <f>SUMIFS(Trades!$E:$E,Trades!$B:$B,$B121,Trades!$D:$D,"Halyk finance")</f>
        <v>414145.92999985721</v>
      </c>
      <c r="F121" s="448">
        <f>ROUND((D121+E121),2)</f>
        <v>668285.84</v>
      </c>
      <c r="G121" s="448"/>
      <c r="H121" s="448">
        <f>J120</f>
        <v>2562272.33</v>
      </c>
      <c r="I121" s="448">
        <f>SUMIFS(Trades!$E:$E,Trades!$B:$B,$B121,Trades!$D:$D,"BCC Invest")</f>
        <v>0</v>
      </c>
      <c r="J121" s="449">
        <f>ROUND((H121+I121),2)</f>
        <v>2562272.33</v>
      </c>
      <c r="K121" s="446"/>
      <c r="L121" s="448">
        <f>N120</f>
        <v>1921932.34</v>
      </c>
      <c r="M121" s="448">
        <f>SUMIFS(Trades!$E:$E,Trades!$B:$B,$B121,Trades!$D:$D,"Jusan invest")</f>
        <v>967652.63999994099</v>
      </c>
      <c r="N121" s="449">
        <f>ROUND((L121+M121),2)</f>
        <v>2889584.98</v>
      </c>
      <c r="O121" s="446"/>
      <c r="P121" s="448">
        <f>R120</f>
        <v>2563897.5499999998</v>
      </c>
      <c r="Q121" s="448">
        <f>SUMIFS(Trades!$E:$E,Trades!$B:$B,$B121,Trades!$D:$D,"Сентрас")</f>
        <v>-2043406.9099993063</v>
      </c>
      <c r="R121" s="449">
        <f>ROUND((P121+Q121),2)</f>
        <v>520490.64</v>
      </c>
      <c r="S121" s="446"/>
      <c r="T121" s="448">
        <f>V120</f>
        <v>164142.38</v>
      </c>
      <c r="U121" s="448">
        <f>SUMIFS(Trades!$E:$E,Trades!$B:$B,$B121,Trades!$D:$D,"UD Capital")</f>
        <v>379953.07999963686</v>
      </c>
      <c r="V121" s="449">
        <f>ROUND((T121+U121),2)</f>
        <v>544095.46</v>
      </c>
      <c r="W121" s="446"/>
      <c r="X121" s="448">
        <f>Z120</f>
        <v>326331.07</v>
      </c>
      <c r="Y121" s="448">
        <f>SUMIFS(Trades!$E:$E,Trades!$B:$B,$B121,Trades!$D:$D,"Tansar Capital")</f>
        <v>293298.36999952234</v>
      </c>
      <c r="Z121" s="449">
        <f>ROUND((X121+Y121),2)</f>
        <v>619629.43999999994</v>
      </c>
      <c r="AA121" s="446"/>
    </row>
    <row r="122" spans="2:27" s="443" customFormat="1" ht="13.5" customHeight="1">
      <c r="B122" s="238">
        <f>B121+1</f>
        <v>45610</v>
      </c>
      <c r="C122" s="448"/>
      <c r="D122" s="448">
        <f>F121</f>
        <v>668285.84</v>
      </c>
      <c r="E122" s="448">
        <f>SUMIFS(Trades!$E:$E,Trades!$B:$B,$B122,Trades!$D:$D,"Halyk finance")</f>
        <v>61215.239999980666</v>
      </c>
      <c r="F122" s="448">
        <f>ROUND((D122+E122),2)</f>
        <v>729501.08</v>
      </c>
      <c r="G122" s="448"/>
      <c r="H122" s="448">
        <f>J121</f>
        <v>2562272.33</v>
      </c>
      <c r="I122" s="448">
        <f>SUMIFS(Trades!$E:$E,Trades!$B:$B,$B122,Trades!$D:$D,"BCC Invest")</f>
        <v>0</v>
      </c>
      <c r="J122" s="449">
        <f>ROUND((H122+I122),2)</f>
        <v>2562272.33</v>
      </c>
      <c r="K122" s="446"/>
      <c r="L122" s="448">
        <f>N121</f>
        <v>2889584.98</v>
      </c>
      <c r="M122" s="448">
        <f>SUMIFS(Trades!$E:$E,Trades!$B:$B,$B122,Trades!$D:$D,"Jusan invest")</f>
        <v>492754.13000001013</v>
      </c>
      <c r="N122" s="449">
        <f>ROUND((L122+M122),2)</f>
        <v>3382339.11</v>
      </c>
      <c r="O122" s="446"/>
      <c r="P122" s="448">
        <f>R121</f>
        <v>520490.64</v>
      </c>
      <c r="Q122" s="448">
        <f>SUMIFS(Trades!$E:$E,Trades!$B:$B,$B122,Trades!$D:$D,"Сентрас")</f>
        <v>463444.85000036284</v>
      </c>
      <c r="R122" s="449">
        <f>ROUND((P122+Q122),2)</f>
        <v>983935.49</v>
      </c>
      <c r="S122" s="446"/>
      <c r="T122" s="448">
        <f>V121</f>
        <v>544095.46</v>
      </c>
      <c r="U122" s="448">
        <f>SUMIFS(Trades!$E:$E,Trades!$B:$B,$B122,Trades!$D:$D,"UD Capital")</f>
        <v>-304560.04999912158</v>
      </c>
      <c r="V122" s="449">
        <f>ROUND((T122+U122),2)</f>
        <v>239535.41</v>
      </c>
      <c r="W122" s="446"/>
      <c r="X122" s="448">
        <f>Z121</f>
        <v>619629.43999999994</v>
      </c>
      <c r="Y122" s="448">
        <f>SUMIFS(Trades!$E:$E,Trades!$B:$B,$B122,Trades!$D:$D,"Tansar Capital")</f>
        <v>0</v>
      </c>
      <c r="Z122" s="449">
        <f>ROUND((X122+Y122),2)</f>
        <v>619629.43999999994</v>
      </c>
      <c r="AA122" s="446"/>
    </row>
    <row r="123" spans="2:27" s="443" customFormat="1" ht="13.5" customHeight="1">
      <c r="B123" s="238">
        <v>45611</v>
      </c>
      <c r="C123" s="448"/>
      <c r="D123" s="448">
        <v>729501.08</v>
      </c>
      <c r="E123" s="448">
        <v>-483661.74000003841</v>
      </c>
      <c r="F123" s="448">
        <v>245839.34</v>
      </c>
      <c r="G123" s="448"/>
      <c r="H123" s="448">
        <v>2562272.33</v>
      </c>
      <c r="I123" s="448">
        <v>0</v>
      </c>
      <c r="J123" s="449">
        <v>2562272.33</v>
      </c>
      <c r="K123" s="446"/>
      <c r="L123" s="448">
        <v>3382339.11</v>
      </c>
      <c r="M123" s="448">
        <v>-2807812.8300000578</v>
      </c>
      <c r="N123" s="449">
        <v>574526.28</v>
      </c>
      <c r="O123" s="446"/>
      <c r="P123" s="448">
        <v>983935.49</v>
      </c>
      <c r="Q123" s="448">
        <v>-617478.7400000263</v>
      </c>
      <c r="R123" s="449">
        <v>366456.75</v>
      </c>
      <c r="S123" s="446"/>
      <c r="T123" s="448">
        <v>239535.41</v>
      </c>
      <c r="U123" s="448">
        <v>50767.200000647455</v>
      </c>
      <c r="V123" s="449">
        <v>290302.61</v>
      </c>
      <c r="W123" s="446"/>
      <c r="X123" s="448">
        <v>619629.43999999994</v>
      </c>
      <c r="Y123" s="448">
        <v>0</v>
      </c>
      <c r="Z123" s="449">
        <v>619629.43999999994</v>
      </c>
      <c r="AA123" s="446"/>
    </row>
    <row r="124" spans="2:27" s="443" customFormat="1" ht="13.5" customHeight="1">
      <c r="B124" s="238">
        <v>45612</v>
      </c>
      <c r="C124" s="448"/>
      <c r="D124" s="448">
        <v>245839.34</v>
      </c>
      <c r="E124" s="448">
        <v>0</v>
      </c>
      <c r="F124" s="448">
        <v>245839.34</v>
      </c>
      <c r="G124" s="448"/>
      <c r="H124" s="448">
        <v>2562272.33</v>
      </c>
      <c r="I124" s="448">
        <v>0</v>
      </c>
      <c r="J124" s="449">
        <v>2562272.33</v>
      </c>
      <c r="K124" s="446"/>
      <c r="L124" s="448">
        <v>574526.28</v>
      </c>
      <c r="M124" s="448">
        <v>0</v>
      </c>
      <c r="N124" s="449">
        <v>574526.28</v>
      </c>
      <c r="O124" s="446"/>
      <c r="P124" s="448">
        <v>366456.75</v>
      </c>
      <c r="Q124" s="448">
        <v>0</v>
      </c>
      <c r="R124" s="449">
        <v>366456.75</v>
      </c>
      <c r="S124" s="446"/>
      <c r="T124" s="448">
        <v>290302.61</v>
      </c>
      <c r="U124" s="448">
        <v>0</v>
      </c>
      <c r="V124" s="449">
        <v>290302.61</v>
      </c>
      <c r="W124" s="446"/>
      <c r="X124" s="448">
        <v>619629.43999999994</v>
      </c>
      <c r="Y124" s="448">
        <v>0</v>
      </c>
      <c r="Z124" s="449">
        <v>619629.43999999994</v>
      </c>
      <c r="AA124" s="446"/>
    </row>
    <row r="125" spans="2:27" s="443" customFormat="1" ht="13.5" customHeight="1">
      <c r="B125" s="238">
        <v>45613</v>
      </c>
      <c r="C125" s="448"/>
      <c r="D125" s="448">
        <v>245839.34</v>
      </c>
      <c r="E125" s="448">
        <v>0</v>
      </c>
      <c r="F125" s="448">
        <v>245839.34</v>
      </c>
      <c r="G125" s="448"/>
      <c r="H125" s="448">
        <v>2562272.33</v>
      </c>
      <c r="I125" s="448">
        <v>0</v>
      </c>
      <c r="J125" s="449">
        <v>2562272.33</v>
      </c>
      <c r="K125" s="446"/>
      <c r="L125" s="448">
        <v>574526.28</v>
      </c>
      <c r="M125" s="448">
        <v>0</v>
      </c>
      <c r="N125" s="449">
        <v>574526.28</v>
      </c>
      <c r="O125" s="446"/>
      <c r="P125" s="448">
        <v>366456.75</v>
      </c>
      <c r="Q125" s="448">
        <v>0</v>
      </c>
      <c r="R125" s="449">
        <v>366456.75</v>
      </c>
      <c r="S125" s="446"/>
      <c r="T125" s="448">
        <v>290302.61</v>
      </c>
      <c r="U125" s="448">
        <v>0</v>
      </c>
      <c r="V125" s="449">
        <v>290302.61</v>
      </c>
      <c r="W125" s="446"/>
      <c r="X125" s="448">
        <v>619629.43999999994</v>
      </c>
      <c r="Y125" s="448">
        <v>0</v>
      </c>
      <c r="Z125" s="449">
        <v>619629.43999999994</v>
      </c>
      <c r="AA125" s="446"/>
    </row>
    <row r="126" spans="2:27" s="443" customFormat="1" ht="13.5" customHeight="1">
      <c r="B126" s="238">
        <v>45614</v>
      </c>
      <c r="C126" s="448"/>
      <c r="D126" s="448">
        <v>245839.34</v>
      </c>
      <c r="E126" s="448">
        <v>789756.54999965616</v>
      </c>
      <c r="F126" s="448">
        <v>1035595.89</v>
      </c>
      <c r="G126" s="448"/>
      <c r="H126" s="448">
        <v>2562272.33</v>
      </c>
      <c r="I126" s="448">
        <v>0</v>
      </c>
      <c r="J126" s="449">
        <v>2562272.33</v>
      </c>
      <c r="K126" s="446"/>
      <c r="L126" s="448">
        <v>574526.28</v>
      </c>
      <c r="M126" s="448">
        <v>329907.76000003889</v>
      </c>
      <c r="N126" s="449">
        <v>904434.04</v>
      </c>
      <c r="O126" s="446"/>
      <c r="P126" s="448">
        <v>366456.75</v>
      </c>
      <c r="Q126" s="448">
        <v>477417.21000002138</v>
      </c>
      <c r="R126" s="449">
        <v>843873.96</v>
      </c>
      <c r="S126" s="446"/>
      <c r="T126" s="448">
        <v>290302.61</v>
      </c>
      <c r="U126" s="448">
        <v>4711.6100010685623</v>
      </c>
      <c r="V126" s="449">
        <v>295014.21999999997</v>
      </c>
      <c r="W126" s="446"/>
      <c r="X126" s="448">
        <v>619629.43999999994</v>
      </c>
      <c r="Y126" s="448">
        <v>0</v>
      </c>
      <c r="Z126" s="449">
        <v>619629.43999999994</v>
      </c>
      <c r="AA126" s="446"/>
    </row>
    <row r="127" spans="2:27" s="443" customFormat="1" ht="13.5" customHeight="1">
      <c r="B127" s="238">
        <v>45615</v>
      </c>
      <c r="C127" s="448"/>
      <c r="D127" s="448">
        <v>1035595.89</v>
      </c>
      <c r="E127" s="448">
        <v>-628295.06000017188</v>
      </c>
      <c r="F127" s="448">
        <v>407300.83</v>
      </c>
      <c r="G127" s="448"/>
      <c r="H127" s="448">
        <v>2562272.33</v>
      </c>
      <c r="I127" s="448">
        <v>918635.47999978065</v>
      </c>
      <c r="J127" s="449">
        <v>3480907.81</v>
      </c>
      <c r="K127" s="446"/>
      <c r="L127" s="448">
        <v>904434.04</v>
      </c>
      <c r="M127" s="448">
        <v>174256.23000008613</v>
      </c>
      <c r="N127" s="449">
        <v>1078690.27</v>
      </c>
      <c r="O127" s="446"/>
      <c r="P127" s="448">
        <v>843873.96</v>
      </c>
      <c r="Q127" s="448">
        <v>-35824.689999980968</v>
      </c>
      <c r="R127" s="449">
        <v>808049.27</v>
      </c>
      <c r="S127" s="446"/>
      <c r="T127" s="448">
        <v>295014.21999999997</v>
      </c>
      <c r="U127" s="448">
        <v>197456.02999998629</v>
      </c>
      <c r="V127" s="449">
        <v>492470.25</v>
      </c>
      <c r="W127" s="446"/>
      <c r="X127" s="448">
        <v>619629.43999999994</v>
      </c>
      <c r="Y127" s="448">
        <v>0</v>
      </c>
      <c r="Z127" s="449">
        <v>619629.43999999994</v>
      </c>
      <c r="AA127" s="446"/>
    </row>
    <row r="128" spans="2:27" s="443" customFormat="1" ht="13.5" customHeight="1">
      <c r="B128" s="238">
        <v>45616</v>
      </c>
      <c r="C128" s="448"/>
      <c r="D128" s="448">
        <v>407300.83</v>
      </c>
      <c r="E128" s="448">
        <v>430444.28999999072</v>
      </c>
      <c r="F128" s="448">
        <v>837745.12</v>
      </c>
      <c r="G128" s="448"/>
      <c r="H128" s="448">
        <v>3480907.81</v>
      </c>
      <c r="I128" s="448">
        <v>-1483306.6099996567</v>
      </c>
      <c r="J128" s="449">
        <v>1997601.2</v>
      </c>
      <c r="K128" s="446"/>
      <c r="L128" s="448">
        <v>1078690.27</v>
      </c>
      <c r="M128" s="448">
        <v>827922.50000006706</v>
      </c>
      <c r="N128" s="449">
        <v>1906612.77</v>
      </c>
      <c r="O128" s="446"/>
      <c r="P128" s="448">
        <v>808049.27</v>
      </c>
      <c r="Q128" s="448">
        <v>127869.16999983788</v>
      </c>
      <c r="R128" s="449">
        <v>935918.44</v>
      </c>
      <c r="S128" s="446"/>
      <c r="T128" s="448">
        <v>492470.25</v>
      </c>
      <c r="U128" s="448">
        <v>-258172.76999980956</v>
      </c>
      <c r="V128" s="449">
        <v>234297.48</v>
      </c>
      <c r="W128" s="446"/>
      <c r="X128" s="448">
        <v>619629.43999999994</v>
      </c>
      <c r="Y128" s="448">
        <v>119006.05000023916</v>
      </c>
      <c r="Z128" s="449">
        <v>738635.49</v>
      </c>
      <c r="AA128" s="446"/>
    </row>
    <row r="129" spans="2:27" s="443" customFormat="1" ht="13.5" customHeight="1">
      <c r="B129" s="238">
        <v>45617</v>
      </c>
      <c r="C129" s="448"/>
      <c r="D129" s="448">
        <v>837745.12</v>
      </c>
      <c r="E129" s="448">
        <v>356857.54999989271</v>
      </c>
      <c r="F129" s="448">
        <v>1194602.67</v>
      </c>
      <c r="G129" s="448"/>
      <c r="H129" s="448">
        <v>1997601.2</v>
      </c>
      <c r="I129" s="448">
        <v>0</v>
      </c>
      <c r="J129" s="449">
        <v>1997601.2</v>
      </c>
      <c r="K129" s="446"/>
      <c r="L129" s="448">
        <v>1906612.77</v>
      </c>
      <c r="M129" s="448">
        <v>974075.0799998939</v>
      </c>
      <c r="N129" s="449">
        <v>2880687.85</v>
      </c>
      <c r="O129" s="446"/>
      <c r="P129" s="448">
        <v>935918.44</v>
      </c>
      <c r="Q129" s="448">
        <v>-650094.81000006385</v>
      </c>
      <c r="R129" s="449">
        <v>285823.63</v>
      </c>
      <c r="S129" s="446"/>
      <c r="T129" s="448">
        <v>234297.48</v>
      </c>
      <c r="U129" s="448">
        <v>544092.79999944568</v>
      </c>
      <c r="V129" s="449">
        <v>778390.28</v>
      </c>
      <c r="W129" s="446"/>
      <c r="X129" s="448">
        <v>738635.49</v>
      </c>
      <c r="Y129" s="448">
        <v>0</v>
      </c>
      <c r="Z129" s="449">
        <v>738635.49</v>
      </c>
      <c r="AA129" s="446"/>
    </row>
    <row r="130" spans="2:27" s="443" customFormat="1" ht="13.5" customHeight="1">
      <c r="B130" s="238">
        <v>45618</v>
      </c>
      <c r="C130" s="448"/>
      <c r="D130" s="448">
        <v>1194602.67</v>
      </c>
      <c r="E130" s="448">
        <v>-403119.60999987088</v>
      </c>
      <c r="F130" s="448">
        <v>791483.06</v>
      </c>
      <c r="G130" s="448"/>
      <c r="H130" s="448">
        <v>1997601.2</v>
      </c>
      <c r="I130" s="448">
        <v>0</v>
      </c>
      <c r="J130" s="449">
        <v>1997601.2</v>
      </c>
      <c r="K130" s="446"/>
      <c r="L130" s="448">
        <v>2880687.85</v>
      </c>
      <c r="M130" s="448">
        <v>799107.69000026584</v>
      </c>
      <c r="N130" s="449">
        <v>3679795.54</v>
      </c>
      <c r="O130" s="446"/>
      <c r="P130" s="448">
        <v>285823.63</v>
      </c>
      <c r="Q130" s="448">
        <v>80093.209999978542</v>
      </c>
      <c r="R130" s="449">
        <v>365916.84</v>
      </c>
      <c r="S130" s="446"/>
      <c r="T130" s="448">
        <v>778390.28</v>
      </c>
      <c r="U130" s="448">
        <v>104834.81999948621</v>
      </c>
      <c r="V130" s="449">
        <v>883225.1</v>
      </c>
      <c r="W130" s="446"/>
      <c r="X130" s="448">
        <v>738635.49</v>
      </c>
      <c r="Y130" s="448">
        <v>0</v>
      </c>
      <c r="Z130" s="449">
        <v>738635.49</v>
      </c>
      <c r="AA130" s="446"/>
    </row>
    <row r="131" spans="2:27" s="443" customFormat="1" ht="13.5" customHeight="1">
      <c r="B131" s="238">
        <v>45619</v>
      </c>
      <c r="C131" s="448"/>
      <c r="D131" s="448">
        <v>791483.06</v>
      </c>
      <c r="E131" s="448">
        <v>0</v>
      </c>
      <c r="F131" s="448">
        <v>791483.06</v>
      </c>
      <c r="G131" s="448"/>
      <c r="H131" s="448">
        <v>1997601.2</v>
      </c>
      <c r="I131" s="448">
        <v>0</v>
      </c>
      <c r="J131" s="449">
        <v>1997601.2</v>
      </c>
      <c r="K131" s="446"/>
      <c r="L131" s="448">
        <v>3679795.54</v>
      </c>
      <c r="M131" s="448">
        <v>0</v>
      </c>
      <c r="N131" s="449">
        <v>3679795.54</v>
      </c>
      <c r="O131" s="446"/>
      <c r="P131" s="448">
        <v>365916.84</v>
      </c>
      <c r="Q131" s="448">
        <v>0</v>
      </c>
      <c r="R131" s="449">
        <v>365916.84</v>
      </c>
      <c r="S131" s="446"/>
      <c r="T131" s="448">
        <v>883225.1</v>
      </c>
      <c r="U131" s="448">
        <v>0</v>
      </c>
      <c r="V131" s="449">
        <v>883225.1</v>
      </c>
      <c r="W131" s="446"/>
      <c r="X131" s="448">
        <v>738635.49</v>
      </c>
      <c r="Y131" s="448">
        <v>0</v>
      </c>
      <c r="Z131" s="449">
        <v>738635.49</v>
      </c>
      <c r="AA131" s="446"/>
    </row>
    <row r="132" spans="2:27" s="443" customFormat="1" ht="13.5" customHeight="1">
      <c r="B132" s="238">
        <v>45620</v>
      </c>
      <c r="C132" s="448"/>
      <c r="D132" s="448">
        <v>791483.06</v>
      </c>
      <c r="E132" s="448">
        <v>0</v>
      </c>
      <c r="F132" s="448">
        <v>791483.06</v>
      </c>
      <c r="G132" s="448"/>
      <c r="H132" s="448">
        <v>1997601.2</v>
      </c>
      <c r="I132" s="448">
        <v>0</v>
      </c>
      <c r="J132" s="449">
        <v>1997601.2</v>
      </c>
      <c r="K132" s="446"/>
      <c r="L132" s="448">
        <v>3679795.54</v>
      </c>
      <c r="M132" s="448">
        <v>0</v>
      </c>
      <c r="N132" s="449">
        <v>3679795.54</v>
      </c>
      <c r="O132" s="446"/>
      <c r="P132" s="448">
        <v>365916.84</v>
      </c>
      <c r="Q132" s="448">
        <v>0</v>
      </c>
      <c r="R132" s="449">
        <v>365916.84</v>
      </c>
      <c r="S132" s="446"/>
      <c r="T132" s="448">
        <v>883225.1</v>
      </c>
      <c r="U132" s="448">
        <v>0</v>
      </c>
      <c r="V132" s="449">
        <v>883225.1</v>
      </c>
      <c r="W132" s="446"/>
      <c r="X132" s="448">
        <v>738635.49</v>
      </c>
      <c r="Y132" s="448">
        <v>0</v>
      </c>
      <c r="Z132" s="449">
        <v>738635.49</v>
      </c>
      <c r="AA132" s="446"/>
    </row>
    <row r="133" spans="2:27" s="443" customFormat="1" ht="13.5" customHeight="1">
      <c r="B133" s="238">
        <v>45621</v>
      </c>
      <c r="C133" s="448"/>
      <c r="D133" s="448">
        <v>791483.06</v>
      </c>
      <c r="E133" s="448">
        <v>-274991.47999985499</v>
      </c>
      <c r="F133" s="448">
        <v>516491.58</v>
      </c>
      <c r="G133" s="448"/>
      <c r="H133" s="448">
        <v>1997601.2</v>
      </c>
      <c r="I133" s="448">
        <v>0</v>
      </c>
      <c r="J133" s="449">
        <v>1997601.2</v>
      </c>
      <c r="K133" s="446"/>
      <c r="L133" s="448">
        <v>3679795.54</v>
      </c>
      <c r="M133" s="448">
        <v>478691.98999971151</v>
      </c>
      <c r="N133" s="449">
        <v>4158487.53</v>
      </c>
      <c r="O133" s="446"/>
      <c r="P133" s="448">
        <v>365916.84</v>
      </c>
      <c r="Q133" s="448">
        <v>-201086.30000002868</v>
      </c>
      <c r="R133" s="449">
        <v>164830.54</v>
      </c>
      <c r="S133" s="446"/>
      <c r="T133" s="448">
        <v>883225.1</v>
      </c>
      <c r="U133" s="448">
        <v>105541.87999973446</v>
      </c>
      <c r="V133" s="449">
        <v>988766.98</v>
      </c>
      <c r="W133" s="446"/>
      <c r="X133" s="448">
        <v>738635.49</v>
      </c>
      <c r="Y133" s="448">
        <v>0</v>
      </c>
      <c r="Z133" s="449">
        <v>738635.49</v>
      </c>
      <c r="AA133" s="446"/>
    </row>
    <row r="134" spans="2:27" s="443" customFormat="1" ht="13.5" customHeight="1">
      <c r="B134" s="238">
        <v>45622</v>
      </c>
      <c r="C134" s="448"/>
      <c r="D134" s="448">
        <v>516491.58</v>
      </c>
      <c r="E134" s="448">
        <v>92334.889999313295</v>
      </c>
      <c r="F134" s="448">
        <v>608826.47</v>
      </c>
      <c r="G134" s="448"/>
      <c r="H134" s="448">
        <v>1997601.2</v>
      </c>
      <c r="I134" s="448">
        <v>0</v>
      </c>
      <c r="J134" s="449">
        <v>1997601.2</v>
      </c>
      <c r="K134" s="446"/>
      <c r="L134" s="448">
        <v>4158487.53</v>
      </c>
      <c r="M134" s="448">
        <v>761196.64999983832</v>
      </c>
      <c r="N134" s="449">
        <v>4919684.18</v>
      </c>
      <c r="O134" s="446"/>
      <c r="P134" s="448">
        <v>164830.54</v>
      </c>
      <c r="Q134" s="448">
        <v>4182.5600000293925</v>
      </c>
      <c r="R134" s="449">
        <v>169013.1</v>
      </c>
      <c r="S134" s="446"/>
      <c r="T134" s="448">
        <v>988766.98</v>
      </c>
      <c r="U134" s="448">
        <v>-160177.82999992371</v>
      </c>
      <c r="V134" s="449">
        <v>828589.15</v>
      </c>
      <c r="W134" s="446"/>
      <c r="X134" s="448">
        <v>738635.49</v>
      </c>
      <c r="Y134" s="448">
        <v>0</v>
      </c>
      <c r="Z134" s="449">
        <v>738635.49</v>
      </c>
      <c r="AA134" s="446"/>
    </row>
    <row r="135" spans="2:27" s="443" customFormat="1" ht="12" customHeight="1">
      <c r="B135" s="238">
        <v>45623</v>
      </c>
      <c r="C135" s="448"/>
      <c r="D135" s="448">
        <v>608826.47</v>
      </c>
      <c r="E135" s="448">
        <v>-207775.23999995273</v>
      </c>
      <c r="F135" s="448">
        <v>401051.23</v>
      </c>
      <c r="G135" s="448"/>
      <c r="H135" s="448">
        <v>1997601.2</v>
      </c>
      <c r="I135" s="448">
        <v>1098440.4100004658</v>
      </c>
      <c r="J135" s="449">
        <v>3096041.61</v>
      </c>
      <c r="K135" s="446"/>
      <c r="L135" s="448">
        <v>4919684.18</v>
      </c>
      <c r="M135" s="448">
        <v>1036870.1000000574</v>
      </c>
      <c r="N135" s="449">
        <v>5956554.2800000003</v>
      </c>
      <c r="O135" s="446"/>
      <c r="P135" s="448">
        <v>169013.1</v>
      </c>
      <c r="Q135" s="448">
        <v>-11325.389999670908</v>
      </c>
      <c r="R135" s="449">
        <v>157687.71</v>
      </c>
      <c r="S135" s="446"/>
      <c r="T135" s="448">
        <v>828589.15</v>
      </c>
      <c r="U135" s="448">
        <v>12122.679999817163</v>
      </c>
      <c r="V135" s="449">
        <v>840711.83</v>
      </c>
      <c r="W135" s="446"/>
      <c r="X135" s="448">
        <v>738635.49</v>
      </c>
      <c r="Y135" s="448">
        <v>-332553.32000013441</v>
      </c>
      <c r="Z135" s="449">
        <v>406082.17</v>
      </c>
      <c r="AA135" s="446"/>
    </row>
    <row r="136" spans="2:27" s="443" customFormat="1" ht="12" customHeight="1">
      <c r="B136" s="238">
        <v>45624</v>
      </c>
      <c r="C136" s="448"/>
      <c r="D136" s="448">
        <v>401051.23</v>
      </c>
      <c r="E136" s="448">
        <v>-372050.73999998067</v>
      </c>
      <c r="F136" s="448">
        <v>29000.49</v>
      </c>
      <c r="G136" s="448"/>
      <c r="H136" s="448">
        <v>3096041.61</v>
      </c>
      <c r="I136" s="448">
        <v>786330.87000012398</v>
      </c>
      <c r="J136" s="449">
        <v>3882372.48</v>
      </c>
      <c r="K136" s="446"/>
      <c r="L136" s="448">
        <v>5956554.2800000003</v>
      </c>
      <c r="M136" s="448">
        <v>-3896456.620000124</v>
      </c>
      <c r="N136" s="449">
        <v>2060097.66</v>
      </c>
      <c r="O136" s="446"/>
      <c r="P136" s="448">
        <v>157687.71</v>
      </c>
      <c r="Q136" s="448">
        <v>378265.32000017166</v>
      </c>
      <c r="R136" s="449">
        <v>535953.03</v>
      </c>
      <c r="S136" s="446"/>
      <c r="T136" s="448">
        <v>840711.83</v>
      </c>
      <c r="U136" s="448">
        <v>-338982.67000036733</v>
      </c>
      <c r="V136" s="449">
        <v>501729.16</v>
      </c>
      <c r="W136" s="446"/>
      <c r="X136" s="448">
        <v>406082.17</v>
      </c>
      <c r="Y136" s="448">
        <v>446679.30999994278</v>
      </c>
      <c r="Z136" s="449">
        <v>852761.48</v>
      </c>
      <c r="AA136" s="446"/>
    </row>
    <row r="137" spans="2:27" s="443" customFormat="1" ht="12" customHeight="1">
      <c r="B137" s="238">
        <v>45625</v>
      </c>
      <c r="C137" s="448"/>
      <c r="D137" s="448">
        <v>29000.49</v>
      </c>
      <c r="E137" s="448">
        <v>676864.35000005737</v>
      </c>
      <c r="F137" s="448">
        <v>705864.84</v>
      </c>
      <c r="G137" s="448"/>
      <c r="H137" s="448">
        <v>3882372.48</v>
      </c>
      <c r="I137" s="448">
        <v>0</v>
      </c>
      <c r="J137" s="449">
        <v>3882372.48</v>
      </c>
      <c r="K137" s="446"/>
      <c r="L137" s="448">
        <v>2060097.66</v>
      </c>
      <c r="M137" s="448">
        <v>1292234.6499999762</v>
      </c>
      <c r="N137" s="449">
        <v>3352332.31</v>
      </c>
      <c r="O137" s="446"/>
      <c r="P137" s="448">
        <v>535953.03</v>
      </c>
      <c r="Q137" s="448">
        <v>357333.07000000705</v>
      </c>
      <c r="R137" s="449">
        <v>893286.1</v>
      </c>
      <c r="S137" s="446"/>
      <c r="T137" s="448">
        <v>501729.16</v>
      </c>
      <c r="U137" s="448">
        <v>122235.09000110626</v>
      </c>
      <c r="V137" s="449">
        <v>623964.25</v>
      </c>
      <c r="W137" s="446"/>
      <c r="X137" s="448">
        <v>852761.48</v>
      </c>
      <c r="Y137" s="448">
        <v>717889.45999976154</v>
      </c>
      <c r="Z137" s="449">
        <v>1570650.94</v>
      </c>
      <c r="AA137" s="446"/>
    </row>
    <row r="138" spans="2:27" s="443" customFormat="1" ht="12" customHeight="1">
      <c r="B138" s="238">
        <v>45626</v>
      </c>
      <c r="C138" s="448"/>
      <c r="D138" s="448">
        <v>705864.84</v>
      </c>
      <c r="E138" s="448">
        <v>0</v>
      </c>
      <c r="F138" s="448">
        <v>705864.84</v>
      </c>
      <c r="G138" s="448"/>
      <c r="H138" s="448">
        <v>3882372.48</v>
      </c>
      <c r="I138" s="448">
        <v>0</v>
      </c>
      <c r="J138" s="449">
        <v>3882372.48</v>
      </c>
      <c r="K138" s="446"/>
      <c r="L138" s="448">
        <v>3352332.31</v>
      </c>
      <c r="M138" s="448">
        <v>0</v>
      </c>
      <c r="N138" s="449">
        <v>3352332.31</v>
      </c>
      <c r="O138" s="446"/>
      <c r="P138" s="448">
        <v>893286.1</v>
      </c>
      <c r="Q138" s="448">
        <v>0</v>
      </c>
      <c r="R138" s="449">
        <v>893286.1</v>
      </c>
      <c r="S138" s="446"/>
      <c r="T138" s="448">
        <v>623964.25</v>
      </c>
      <c r="U138" s="448">
        <v>0</v>
      </c>
      <c r="V138" s="449">
        <v>623964.25</v>
      </c>
      <c r="W138" s="446"/>
      <c r="X138" s="448">
        <v>1570650.94</v>
      </c>
      <c r="Y138" s="448">
        <v>0</v>
      </c>
      <c r="Z138" s="449">
        <v>1570650.94</v>
      </c>
      <c r="AA138" s="446"/>
    </row>
    <row r="139" spans="2:27" s="443" customFormat="1" ht="12.75" customHeight="1">
      <c r="B139" s="238">
        <v>45627</v>
      </c>
      <c r="C139" s="448"/>
      <c r="D139" s="448">
        <v>705864.84</v>
      </c>
      <c r="E139" s="448">
        <v>0</v>
      </c>
      <c r="F139" s="448">
        <v>705864.84</v>
      </c>
      <c r="G139" s="448"/>
      <c r="H139" s="448">
        <v>3882372.48</v>
      </c>
      <c r="I139" s="448">
        <v>0</v>
      </c>
      <c r="J139" s="449">
        <v>3882372.48</v>
      </c>
      <c r="K139" s="446"/>
      <c r="L139" s="448">
        <v>3352332.31</v>
      </c>
      <c r="M139" s="448">
        <v>0</v>
      </c>
      <c r="N139" s="449">
        <v>3352332.31</v>
      </c>
      <c r="O139" s="446"/>
      <c r="P139" s="448">
        <v>893286.1</v>
      </c>
      <c r="Q139" s="448">
        <v>0</v>
      </c>
      <c r="R139" s="449">
        <v>893286.1</v>
      </c>
      <c r="S139" s="446"/>
      <c r="T139" s="448">
        <v>623964.25</v>
      </c>
      <c r="U139" s="448">
        <v>0</v>
      </c>
      <c r="V139" s="449">
        <v>623964.25</v>
      </c>
      <c r="W139" s="446"/>
      <c r="X139" s="448">
        <v>1570650.94</v>
      </c>
      <c r="Y139" s="448">
        <v>0</v>
      </c>
      <c r="Z139" s="449">
        <v>1570650.94</v>
      </c>
      <c r="AA139" s="446"/>
    </row>
    <row r="140" spans="2:27" s="443" customFormat="1" ht="12" customHeight="1">
      <c r="B140" s="238">
        <v>45628</v>
      </c>
      <c r="C140" s="448"/>
      <c r="D140" s="448">
        <v>705864.84</v>
      </c>
      <c r="E140" s="448">
        <v>793127.12000005692</v>
      </c>
      <c r="F140" s="448">
        <v>1498991.96</v>
      </c>
      <c r="G140" s="448"/>
      <c r="H140" s="448">
        <v>3882372.48</v>
      </c>
      <c r="I140" s="448">
        <v>1254053.9099999964</v>
      </c>
      <c r="J140" s="449">
        <v>5136426.3899999997</v>
      </c>
      <c r="K140" s="446"/>
      <c r="L140" s="448">
        <v>3352332.31</v>
      </c>
      <c r="M140" s="448">
        <v>1436319.8600000143</v>
      </c>
      <c r="N140" s="449">
        <v>4788652.3499999996</v>
      </c>
      <c r="O140" s="446"/>
      <c r="P140" s="448">
        <v>893286.1</v>
      </c>
      <c r="Q140" s="448">
        <v>-387870.48999995948</v>
      </c>
      <c r="R140" s="449">
        <v>505415.61</v>
      </c>
      <c r="S140" s="446"/>
      <c r="T140" s="448">
        <v>623964.25</v>
      </c>
      <c r="U140" s="448">
        <v>146437.11000061035</v>
      </c>
      <c r="V140" s="449">
        <v>770401.36</v>
      </c>
      <c r="W140" s="446"/>
      <c r="X140" s="448">
        <v>1570650.94</v>
      </c>
      <c r="Y140" s="448">
        <v>907986.82000007667</v>
      </c>
      <c r="Z140" s="449">
        <v>2478637.7599999998</v>
      </c>
      <c r="AA140" s="446"/>
    </row>
    <row r="141" spans="2:27" s="443" customFormat="1" ht="12" customHeight="1">
      <c r="B141" s="238">
        <v>45629</v>
      </c>
      <c r="C141" s="448"/>
      <c r="D141" s="448">
        <v>1498991.96</v>
      </c>
      <c r="E141" s="448">
        <v>-882483.6600002367</v>
      </c>
      <c r="F141" s="448">
        <v>616508.30000000005</v>
      </c>
      <c r="G141" s="448"/>
      <c r="H141" s="448">
        <v>5136426.3899999997</v>
      </c>
      <c r="I141" s="448">
        <v>-1081370.8700000048</v>
      </c>
      <c r="J141" s="449">
        <v>4055055.52</v>
      </c>
      <c r="K141" s="446"/>
      <c r="L141" s="448">
        <v>4788652.3499999996</v>
      </c>
      <c r="M141" s="448">
        <v>2002446.1899999976</v>
      </c>
      <c r="N141" s="449">
        <v>6791098.54</v>
      </c>
      <c r="O141" s="446"/>
      <c r="P141" s="448">
        <v>505415.61</v>
      </c>
      <c r="Q141" s="448">
        <v>-139396.4999999702</v>
      </c>
      <c r="R141" s="449">
        <v>366019.11</v>
      </c>
      <c r="S141" s="446"/>
      <c r="T141" s="448">
        <f>V140</f>
        <v>770401.36</v>
      </c>
      <c r="U141" s="448">
        <f>SUMIFS(Trades!$E:$E,Trades!$B:$B,$B141,Trades!$D:$D,"UD Capital")</f>
        <v>-556957.14000011608</v>
      </c>
      <c r="V141" s="449">
        <f>ROUND((T141+U141),2)</f>
        <v>213444.22</v>
      </c>
      <c r="W141" s="446"/>
      <c r="X141" s="448">
        <v>2478637.7599999998</v>
      </c>
      <c r="Y141" s="448">
        <v>0</v>
      </c>
      <c r="Z141" s="449">
        <v>2478637.7599999998</v>
      </c>
      <c r="AA141" s="446"/>
    </row>
    <row r="142" spans="2:27" s="443" customFormat="1" ht="12" customHeight="1">
      <c r="B142" s="238">
        <v>45630</v>
      </c>
      <c r="C142" s="448"/>
      <c r="D142" s="448">
        <v>616508.30000000005</v>
      </c>
      <c r="E142" s="448">
        <v>-283641.46999982372</v>
      </c>
      <c r="F142" s="448">
        <v>332866.83</v>
      </c>
      <c r="G142" s="448"/>
      <c r="H142" s="448">
        <v>4055055.52</v>
      </c>
      <c r="I142" s="448">
        <v>-1753371.099999994</v>
      </c>
      <c r="J142" s="449">
        <v>2301684.42</v>
      </c>
      <c r="K142" s="446"/>
      <c r="L142" s="448">
        <v>6791098.54</v>
      </c>
      <c r="M142" s="448">
        <v>-4851724.219999969</v>
      </c>
      <c r="N142" s="449">
        <v>1939374.32</v>
      </c>
      <c r="O142" s="446"/>
      <c r="P142" s="448">
        <v>366019.11</v>
      </c>
      <c r="Q142" s="448">
        <v>1382298.1499999762</v>
      </c>
      <c r="R142" s="449">
        <v>1748317.26</v>
      </c>
      <c r="S142" s="446"/>
      <c r="T142" s="448">
        <v>213444.22</v>
      </c>
      <c r="U142" s="448">
        <v>334024.17000114545</v>
      </c>
      <c r="V142" s="449">
        <v>547468.39</v>
      </c>
      <c r="W142" s="446"/>
      <c r="X142" s="448">
        <v>2478637.7599999998</v>
      </c>
      <c r="Y142" s="448">
        <v>0</v>
      </c>
      <c r="Z142" s="449">
        <v>2478637.7599999998</v>
      </c>
      <c r="AA142" s="446"/>
    </row>
    <row r="143" spans="2:27" s="443" customFormat="1" ht="12" customHeight="1">
      <c r="B143" s="238">
        <v>45631</v>
      </c>
      <c r="C143" s="448"/>
      <c r="D143" s="448">
        <v>332866.83</v>
      </c>
      <c r="E143" s="448">
        <v>476563.96000005677</v>
      </c>
      <c r="F143" s="448">
        <v>809430.79</v>
      </c>
      <c r="G143" s="448"/>
      <c r="H143" s="448">
        <v>2301684.42</v>
      </c>
      <c r="I143" s="448">
        <v>784028.30000019073</v>
      </c>
      <c r="J143" s="449">
        <v>3085712.72</v>
      </c>
      <c r="K143" s="446"/>
      <c r="L143" s="448">
        <v>1939374.32</v>
      </c>
      <c r="M143" s="448">
        <v>2199953.9499999881</v>
      </c>
      <c r="N143" s="449">
        <v>4139328.27</v>
      </c>
      <c r="O143" s="446"/>
      <c r="P143" s="448">
        <v>1748317.26</v>
      </c>
      <c r="Q143" s="448">
        <v>-1161173.9800004335</v>
      </c>
      <c r="R143" s="449">
        <v>587143.28</v>
      </c>
      <c r="S143" s="446"/>
      <c r="T143" s="448">
        <v>547468.39</v>
      </c>
      <c r="U143" s="448">
        <v>421932.12999973446</v>
      </c>
      <c r="V143" s="449">
        <v>969400.52</v>
      </c>
      <c r="W143" s="446"/>
      <c r="X143" s="448">
        <v>2478637.7599999998</v>
      </c>
      <c r="Y143" s="448">
        <v>0</v>
      </c>
      <c r="Z143" s="449">
        <v>2478637.7599999998</v>
      </c>
      <c r="AA143" s="446"/>
    </row>
    <row r="144" spans="2:27" s="443" customFormat="1" ht="12" customHeight="1">
      <c r="B144" s="238">
        <v>45632</v>
      </c>
      <c r="C144" s="448"/>
      <c r="D144" s="448">
        <v>809430.79</v>
      </c>
      <c r="E144" s="448">
        <v>-66978.859999980778</v>
      </c>
      <c r="F144" s="448">
        <v>742451.93</v>
      </c>
      <c r="G144" s="448"/>
      <c r="H144" s="448">
        <v>3085712.72</v>
      </c>
      <c r="I144" s="448">
        <v>-1797523.1600000001</v>
      </c>
      <c r="J144" s="449">
        <v>1288189.56</v>
      </c>
      <c r="K144" s="446"/>
      <c r="L144" s="448">
        <v>4139328.27</v>
      </c>
      <c r="M144" s="448">
        <v>2037123.7699999809</v>
      </c>
      <c r="N144" s="449">
        <v>6176452.04</v>
      </c>
      <c r="O144" s="446"/>
      <c r="P144" s="448">
        <v>587143.28</v>
      </c>
      <c r="Q144" s="448">
        <v>222736.69999999995</v>
      </c>
      <c r="R144" s="449">
        <v>809879.98</v>
      </c>
      <c r="S144" s="446"/>
      <c r="T144" s="448">
        <v>969400.52</v>
      </c>
      <c r="U144" s="448">
        <v>-912126.50000010955</v>
      </c>
      <c r="V144" s="449">
        <v>57274.02</v>
      </c>
      <c r="W144" s="446"/>
      <c r="X144" s="448">
        <v>2478637.7599999998</v>
      </c>
      <c r="Y144" s="448">
        <v>0</v>
      </c>
      <c r="Z144" s="449">
        <v>2478637.7599999998</v>
      </c>
      <c r="AA144" s="446"/>
    </row>
    <row r="145" spans="2:27" s="443" customFormat="1" ht="12" customHeight="1">
      <c r="B145" s="238">
        <v>45633</v>
      </c>
      <c r="C145" s="448"/>
      <c r="D145" s="448">
        <v>742451.93</v>
      </c>
      <c r="E145" s="448">
        <v>0</v>
      </c>
      <c r="F145" s="448">
        <v>742451.93</v>
      </c>
      <c r="G145" s="448"/>
      <c r="H145" s="448">
        <v>1288189.56</v>
      </c>
      <c r="I145" s="448">
        <v>0</v>
      </c>
      <c r="J145" s="449">
        <v>1288189.56</v>
      </c>
      <c r="K145" s="446"/>
      <c r="L145" s="448">
        <v>6176452.04</v>
      </c>
      <c r="M145" s="448">
        <v>0</v>
      </c>
      <c r="N145" s="449">
        <v>6176452.04</v>
      </c>
      <c r="O145" s="446"/>
      <c r="P145" s="448">
        <v>809879.98</v>
      </c>
      <c r="Q145" s="448">
        <v>0</v>
      </c>
      <c r="R145" s="449">
        <v>809879.98</v>
      </c>
      <c r="S145" s="446"/>
      <c r="T145" s="448">
        <v>57274.02</v>
      </c>
      <c r="U145" s="448">
        <v>0</v>
      </c>
      <c r="V145" s="449">
        <v>57274.02</v>
      </c>
      <c r="W145" s="446"/>
      <c r="X145" s="448">
        <v>2478637.7599999998</v>
      </c>
      <c r="Y145" s="448">
        <v>0</v>
      </c>
      <c r="Z145" s="449">
        <v>2478637.7599999998</v>
      </c>
      <c r="AA145" s="446"/>
    </row>
    <row r="146" spans="2:27" s="443" customFormat="1" ht="12" customHeight="1">
      <c r="B146" s="238">
        <v>45634</v>
      </c>
      <c r="C146" s="448"/>
      <c r="D146" s="448">
        <v>742451.93</v>
      </c>
      <c r="E146" s="448">
        <v>0</v>
      </c>
      <c r="F146" s="448">
        <v>742451.93</v>
      </c>
      <c r="G146" s="448"/>
      <c r="H146" s="448">
        <v>1288189.56</v>
      </c>
      <c r="I146" s="448">
        <v>0</v>
      </c>
      <c r="J146" s="449">
        <v>1288189.56</v>
      </c>
      <c r="K146" s="446"/>
      <c r="L146" s="448">
        <v>6176452.04</v>
      </c>
      <c r="M146" s="448">
        <v>0</v>
      </c>
      <c r="N146" s="449">
        <v>6176452.04</v>
      </c>
      <c r="O146" s="446"/>
      <c r="P146" s="448">
        <v>809879.98</v>
      </c>
      <c r="Q146" s="448">
        <v>0</v>
      </c>
      <c r="R146" s="449">
        <v>809879.98</v>
      </c>
      <c r="S146" s="446"/>
      <c r="T146" s="448">
        <v>57274.02</v>
      </c>
      <c r="U146" s="448">
        <v>0</v>
      </c>
      <c r="V146" s="449">
        <v>57274.02</v>
      </c>
      <c r="W146" s="446"/>
      <c r="X146" s="448">
        <v>2478637.7599999998</v>
      </c>
      <c r="Y146" s="448">
        <v>0</v>
      </c>
      <c r="Z146" s="449">
        <v>2478637.7599999998</v>
      </c>
      <c r="AA146" s="446"/>
    </row>
    <row r="147" spans="2:27" s="443" customFormat="1" ht="12" customHeight="1">
      <c r="B147" s="238">
        <v>45635</v>
      </c>
      <c r="C147" s="448"/>
      <c r="D147" s="448">
        <v>742451.93</v>
      </c>
      <c r="E147" s="448">
        <v>-437789.42999993358</v>
      </c>
      <c r="F147" s="448">
        <v>304662.5</v>
      </c>
      <c r="G147" s="448"/>
      <c r="H147" s="448">
        <v>1288189.56</v>
      </c>
      <c r="I147" s="448">
        <v>720378.16000087187</v>
      </c>
      <c r="J147" s="449">
        <v>2008567.72</v>
      </c>
      <c r="K147" s="446"/>
      <c r="L147" s="448">
        <v>6176452.04</v>
      </c>
      <c r="M147" s="448">
        <v>-4828550.7299999595</v>
      </c>
      <c r="N147" s="449">
        <v>1347901.31</v>
      </c>
      <c r="O147" s="446"/>
      <c r="P147" s="448">
        <v>809879.98</v>
      </c>
      <c r="Q147" s="448">
        <v>-463284.40999996429</v>
      </c>
      <c r="R147" s="449">
        <v>346595.57</v>
      </c>
      <c r="S147" s="446"/>
      <c r="T147" s="448">
        <v>57274.02</v>
      </c>
      <c r="U147" s="448">
        <v>102782.64999978989</v>
      </c>
      <c r="V147" s="449">
        <v>160056.67000000001</v>
      </c>
      <c r="W147" s="446"/>
      <c r="X147" s="448">
        <v>2478637.7599999998</v>
      </c>
      <c r="Y147" s="448">
        <v>-1598975.3000001237</v>
      </c>
      <c r="Z147" s="449">
        <v>879662.46</v>
      </c>
      <c r="AA147" s="446"/>
    </row>
    <row r="148" spans="2:27" s="443" customFormat="1" ht="12" customHeight="1">
      <c r="B148" s="238">
        <v>45636</v>
      </c>
      <c r="C148" s="448"/>
      <c r="D148" s="448">
        <v>304662.5</v>
      </c>
      <c r="E148" s="448">
        <v>-168418.49000008777</v>
      </c>
      <c r="F148" s="448">
        <v>136244.01</v>
      </c>
      <c r="G148" s="448"/>
      <c r="H148" s="448">
        <v>2008567.72</v>
      </c>
      <c r="I148" s="448">
        <v>1115901.6599988192</v>
      </c>
      <c r="J148" s="449">
        <v>3124469.38</v>
      </c>
      <c r="K148" s="446"/>
      <c r="L148" s="448">
        <v>1347901.31</v>
      </c>
      <c r="M148" s="448">
        <v>1269294.1999999881</v>
      </c>
      <c r="N148" s="449">
        <v>2617195.5099999998</v>
      </c>
      <c r="O148" s="446"/>
      <c r="P148" s="448">
        <v>346595.57</v>
      </c>
      <c r="Q148" s="448">
        <v>1403610.6100000143</v>
      </c>
      <c r="R148" s="449">
        <v>1750206.18</v>
      </c>
      <c r="S148" s="446"/>
      <c r="T148" s="448">
        <v>160056.67000000001</v>
      </c>
      <c r="U148" s="448">
        <v>66462.000000447035</v>
      </c>
      <c r="V148" s="449">
        <v>226518.67</v>
      </c>
      <c r="W148" s="446"/>
      <c r="X148" s="448">
        <v>879662.46</v>
      </c>
      <c r="Y148" s="448">
        <v>0</v>
      </c>
      <c r="Z148" s="449">
        <v>879662.46</v>
      </c>
      <c r="AA148" s="446"/>
    </row>
    <row r="149" spans="2:27" s="443" customFormat="1" ht="12" customHeight="1">
      <c r="B149" s="238">
        <v>45637</v>
      </c>
      <c r="C149" s="448"/>
      <c r="D149" s="448">
        <v>136244.01</v>
      </c>
      <c r="E149" s="448">
        <v>89865.329999818467</v>
      </c>
      <c r="F149" s="448">
        <v>226109.34</v>
      </c>
      <c r="G149" s="448"/>
      <c r="H149" s="448">
        <v>3124469.38</v>
      </c>
      <c r="I149" s="448">
        <v>-1639833.6299993992</v>
      </c>
      <c r="J149" s="449">
        <v>1484635.75</v>
      </c>
      <c r="K149" s="446"/>
      <c r="L149" s="448">
        <v>2617195.5099999998</v>
      </c>
      <c r="M149" s="448">
        <v>2176694.0199999996</v>
      </c>
      <c r="N149" s="449">
        <v>4793889.53</v>
      </c>
      <c r="O149" s="446"/>
      <c r="P149" s="448">
        <v>1750206.18</v>
      </c>
      <c r="Q149" s="448">
        <v>-962603.16000000015</v>
      </c>
      <c r="R149" s="449">
        <v>787603.02</v>
      </c>
      <c r="S149" s="446"/>
      <c r="T149" s="448">
        <v>226518.67</v>
      </c>
      <c r="U149" s="448">
        <v>-50771.140000417829</v>
      </c>
      <c r="V149" s="449">
        <v>175747.53</v>
      </c>
      <c r="W149" s="446"/>
      <c r="X149" s="448">
        <v>879662.46</v>
      </c>
      <c r="Y149" s="448">
        <v>0</v>
      </c>
      <c r="Z149" s="449">
        <v>879662.46</v>
      </c>
      <c r="AA149" s="446"/>
    </row>
    <row r="150" spans="2:27" s="443" customFormat="1" ht="12" customHeight="1">
      <c r="B150" s="238">
        <v>45638</v>
      </c>
      <c r="C150" s="448"/>
      <c r="D150" s="448">
        <v>226109.34</v>
      </c>
      <c r="E150" s="448">
        <v>334887.20999979042</v>
      </c>
      <c r="F150" s="448">
        <v>560996.55000000005</v>
      </c>
      <c r="G150" s="448"/>
      <c r="H150" s="448">
        <v>1484635.75</v>
      </c>
      <c r="I150" s="448">
        <v>1624097.1899995804</v>
      </c>
      <c r="J150" s="449">
        <v>3108732.94</v>
      </c>
      <c r="K150" s="446"/>
      <c r="L150" s="448">
        <v>4793889.53</v>
      </c>
      <c r="M150" s="448">
        <v>1925629.5999999642</v>
      </c>
      <c r="N150" s="449">
        <v>6719519.1299999999</v>
      </c>
      <c r="O150" s="446"/>
      <c r="P150" s="448">
        <v>787603.02</v>
      </c>
      <c r="Q150" s="448">
        <v>-68434.25000003376</v>
      </c>
      <c r="R150" s="449">
        <v>719168.77</v>
      </c>
      <c r="S150" s="446"/>
      <c r="T150" s="448">
        <v>175747.53</v>
      </c>
      <c r="U150" s="448">
        <v>523905.1699994579</v>
      </c>
      <c r="V150" s="449">
        <v>699652.7</v>
      </c>
      <c r="W150" s="446"/>
      <c r="X150" s="448">
        <v>879662.46</v>
      </c>
      <c r="Y150" s="448">
        <v>0</v>
      </c>
      <c r="Z150" s="449">
        <v>879662.46</v>
      </c>
      <c r="AA150" s="446"/>
    </row>
    <row r="151" spans="2:27" s="443" customFormat="1" ht="12" customHeight="1">
      <c r="B151" s="238">
        <v>45639</v>
      </c>
      <c r="C151" s="448"/>
      <c r="D151" s="448">
        <v>560996.55000000005</v>
      </c>
      <c r="E151" s="448">
        <v>346691.92000000924</v>
      </c>
      <c r="F151" s="448">
        <v>907688.47</v>
      </c>
      <c r="G151" s="448"/>
      <c r="H151" s="448">
        <v>3108732.94</v>
      </c>
      <c r="I151" s="448">
        <v>-345808.51999977045</v>
      </c>
      <c r="J151" s="449">
        <v>2762924.42</v>
      </c>
      <c r="K151" s="446"/>
      <c r="L151" s="448">
        <v>6719519.1299999999</v>
      </c>
      <c r="M151" s="448">
        <v>-4618864</v>
      </c>
      <c r="N151" s="449">
        <v>2100655.13</v>
      </c>
      <c r="O151" s="446"/>
      <c r="P151" s="448">
        <v>719168.77</v>
      </c>
      <c r="Q151" s="448">
        <v>5372.8899999856949</v>
      </c>
      <c r="R151" s="449">
        <v>724541.66</v>
      </c>
      <c r="S151" s="446"/>
      <c r="T151" s="448">
        <v>699652.7</v>
      </c>
      <c r="U151" s="448">
        <v>-245176.74000024796</v>
      </c>
      <c r="V151" s="449">
        <v>454475.96</v>
      </c>
      <c r="W151" s="446"/>
      <c r="X151" s="448">
        <v>879662.46</v>
      </c>
      <c r="Y151" s="448">
        <v>0</v>
      </c>
      <c r="Z151" s="449">
        <v>879662.46</v>
      </c>
      <c r="AA151" s="446"/>
    </row>
    <row r="152" spans="2:27" s="443" customFormat="1" ht="12" customHeight="1">
      <c r="B152" s="238">
        <v>45640</v>
      </c>
      <c r="C152" s="448"/>
      <c r="D152" s="448">
        <v>907688.47</v>
      </c>
      <c r="E152" s="448">
        <v>0</v>
      </c>
      <c r="F152" s="448">
        <v>907688.47</v>
      </c>
      <c r="G152" s="448"/>
      <c r="H152" s="448">
        <v>2762924.42</v>
      </c>
      <c r="I152" s="448">
        <v>0</v>
      </c>
      <c r="J152" s="449">
        <v>2762924.42</v>
      </c>
      <c r="K152" s="446"/>
      <c r="L152" s="448">
        <v>2100655.13</v>
      </c>
      <c r="M152" s="448">
        <v>0</v>
      </c>
      <c r="N152" s="449">
        <v>2100655.13</v>
      </c>
      <c r="O152" s="446"/>
      <c r="P152" s="448">
        <v>724541.66</v>
      </c>
      <c r="Q152" s="448">
        <v>0</v>
      </c>
      <c r="R152" s="449">
        <v>724541.66</v>
      </c>
      <c r="S152" s="446"/>
      <c r="T152" s="448">
        <v>454475.96</v>
      </c>
      <c r="U152" s="448">
        <v>0</v>
      </c>
      <c r="V152" s="449">
        <v>454475.96</v>
      </c>
      <c r="W152" s="446"/>
      <c r="X152" s="448">
        <v>879662.46</v>
      </c>
      <c r="Y152" s="448">
        <v>0</v>
      </c>
      <c r="Z152" s="449">
        <v>879662.46</v>
      </c>
      <c r="AA152" s="446"/>
    </row>
    <row r="153" spans="2:27" s="443" customFormat="1" ht="12" customHeight="1">
      <c r="B153" s="238">
        <v>45641</v>
      </c>
      <c r="C153" s="448"/>
      <c r="D153" s="448">
        <v>907688.47</v>
      </c>
      <c r="E153" s="448">
        <v>0</v>
      </c>
      <c r="F153" s="448">
        <v>907688.47</v>
      </c>
      <c r="G153" s="448"/>
      <c r="H153" s="448">
        <v>2762924.42</v>
      </c>
      <c r="I153" s="448">
        <v>0</v>
      </c>
      <c r="J153" s="449">
        <v>2762924.42</v>
      </c>
      <c r="K153" s="446"/>
      <c r="L153" s="448">
        <v>2100655.13</v>
      </c>
      <c r="M153" s="448">
        <v>0</v>
      </c>
      <c r="N153" s="449">
        <v>2100655.13</v>
      </c>
      <c r="O153" s="446"/>
      <c r="P153" s="448">
        <v>724541.66</v>
      </c>
      <c r="Q153" s="448">
        <v>0</v>
      </c>
      <c r="R153" s="449">
        <v>724541.66</v>
      </c>
      <c r="S153" s="446"/>
      <c r="T153" s="448">
        <v>454475.96</v>
      </c>
      <c r="U153" s="448">
        <v>0</v>
      </c>
      <c r="V153" s="449">
        <v>454475.96</v>
      </c>
      <c r="W153" s="446"/>
      <c r="X153" s="448">
        <v>879662.46</v>
      </c>
      <c r="Y153" s="448">
        <v>0</v>
      </c>
      <c r="Z153" s="449">
        <v>879662.46</v>
      </c>
      <c r="AA153" s="446"/>
    </row>
    <row r="154" spans="2:27" s="443" customFormat="1" ht="12" customHeight="1">
      <c r="B154" s="238">
        <v>45642</v>
      </c>
      <c r="C154" s="448"/>
      <c r="D154" s="448">
        <v>907688.47</v>
      </c>
      <c r="E154" s="448">
        <v>0</v>
      </c>
      <c r="F154" s="448">
        <v>907688.47</v>
      </c>
      <c r="G154" s="448"/>
      <c r="H154" s="448">
        <v>2762924.42</v>
      </c>
      <c r="I154" s="448">
        <v>0</v>
      </c>
      <c r="J154" s="449">
        <v>2762924.42</v>
      </c>
      <c r="K154" s="446"/>
      <c r="L154" s="448">
        <v>2100655.13</v>
      </c>
      <c r="M154" s="448">
        <v>0</v>
      </c>
      <c r="N154" s="449">
        <v>2100655.13</v>
      </c>
      <c r="O154" s="446"/>
      <c r="P154" s="448">
        <v>724541.66</v>
      </c>
      <c r="Q154" s="448">
        <v>0</v>
      </c>
      <c r="R154" s="449">
        <v>724541.66</v>
      </c>
      <c r="S154" s="446"/>
      <c r="T154" s="448">
        <v>454475.96</v>
      </c>
      <c r="U154" s="448">
        <v>0</v>
      </c>
      <c r="V154" s="449">
        <v>454475.96</v>
      </c>
      <c r="W154" s="446"/>
      <c r="X154" s="448">
        <v>879662.46</v>
      </c>
      <c r="Y154" s="448">
        <v>0</v>
      </c>
      <c r="Z154" s="449">
        <v>879662.46</v>
      </c>
      <c r="AA154" s="446"/>
    </row>
    <row r="155" spans="2:27" s="443" customFormat="1" ht="12" customHeight="1">
      <c r="B155" s="238">
        <v>45643</v>
      </c>
      <c r="C155" s="448"/>
      <c r="D155" s="448">
        <v>907688.47</v>
      </c>
      <c r="E155" s="448">
        <v>-755849.79999963753</v>
      </c>
      <c r="F155" s="448">
        <v>151838.67000000001</v>
      </c>
      <c r="G155" s="448"/>
      <c r="H155" s="448">
        <v>2762924.42</v>
      </c>
      <c r="I155" s="448">
        <v>0</v>
      </c>
      <c r="J155" s="449">
        <v>2762924.42</v>
      </c>
      <c r="K155" s="446"/>
      <c r="L155" s="448">
        <v>2100655.13</v>
      </c>
      <c r="M155" s="448">
        <v>1432848.1600000113</v>
      </c>
      <c r="N155" s="449">
        <v>3533503.29</v>
      </c>
      <c r="O155" s="446"/>
      <c r="P155" s="448">
        <v>724541.66</v>
      </c>
      <c r="Q155" s="448">
        <v>-210250.82999996655</v>
      </c>
      <c r="R155" s="449">
        <v>514290.83</v>
      </c>
      <c r="S155" s="446"/>
      <c r="T155" s="448">
        <v>454475.96</v>
      </c>
      <c r="U155" s="448">
        <v>-107570.3899994269</v>
      </c>
      <c r="V155" s="449">
        <v>346905.57</v>
      </c>
      <c r="W155" s="446"/>
      <c r="X155" s="448">
        <v>879662.46</v>
      </c>
      <c r="Y155" s="448">
        <v>239423.44999995269</v>
      </c>
      <c r="Z155" s="449">
        <v>1119085.9099999999</v>
      </c>
      <c r="AA155" s="446"/>
    </row>
    <row r="156" spans="2:27" s="443" customFormat="1" ht="12" customHeight="1">
      <c r="B156" s="238">
        <v>45644</v>
      </c>
      <c r="C156" s="448"/>
      <c r="D156" s="448">
        <v>151838.67000000001</v>
      </c>
      <c r="E156" s="448">
        <v>-18040.040000073612</v>
      </c>
      <c r="F156" s="448">
        <v>133798.63</v>
      </c>
      <c r="G156" s="448"/>
      <c r="H156" s="448">
        <v>2762924.42</v>
      </c>
      <c r="I156" s="448">
        <v>0</v>
      </c>
      <c r="J156" s="449">
        <v>2762924.42</v>
      </c>
      <c r="K156" s="446"/>
      <c r="L156" s="448">
        <v>3533503.29</v>
      </c>
      <c r="M156" s="448">
        <v>2135852.6500000358</v>
      </c>
      <c r="N156" s="449">
        <v>5669355.9400000004</v>
      </c>
      <c r="O156" s="446"/>
      <c r="P156" s="448">
        <v>514290.83</v>
      </c>
      <c r="Q156" s="448">
        <v>-28828.630000144243</v>
      </c>
      <c r="R156" s="449">
        <f>485462.2-0.06</f>
        <v>485462.14</v>
      </c>
      <c r="S156" s="446"/>
      <c r="T156" s="448">
        <v>346905.57</v>
      </c>
      <c r="U156" s="448">
        <v>563213.10999996215</v>
      </c>
      <c r="V156" s="449">
        <v>910118.68</v>
      </c>
      <c r="W156" s="446"/>
      <c r="X156" s="448">
        <v>1119085.9099999999</v>
      </c>
      <c r="Y156" s="448">
        <v>0</v>
      </c>
      <c r="Z156" s="449">
        <v>1119085.9099999999</v>
      </c>
      <c r="AA156" s="446"/>
    </row>
    <row r="157" spans="2:27" s="443" customFormat="1" ht="12" customHeight="1">
      <c r="B157" s="238">
        <v>45645</v>
      </c>
      <c r="C157" s="448"/>
      <c r="D157" s="448">
        <v>133798.63</v>
      </c>
      <c r="E157" s="448">
        <v>996337.86000000499</v>
      </c>
      <c r="F157" s="448">
        <v>1130136.49</v>
      </c>
      <c r="G157" s="448"/>
      <c r="H157" s="448">
        <v>2762924.42</v>
      </c>
      <c r="I157" s="448">
        <v>0</v>
      </c>
      <c r="J157" s="449">
        <v>2762924.42</v>
      </c>
      <c r="K157" s="446"/>
      <c r="L157" s="448">
        <v>5669355.9400000004</v>
      </c>
      <c r="M157" s="448">
        <v>2017272.1900000423</v>
      </c>
      <c r="N157" s="449">
        <v>7686628.1299999999</v>
      </c>
      <c r="O157" s="446"/>
      <c r="P157" s="448">
        <v>485462.14</v>
      </c>
      <c r="Q157" s="448">
        <v>293664.69000001252</v>
      </c>
      <c r="R157" s="449">
        <v>779126.83</v>
      </c>
      <c r="S157" s="446"/>
      <c r="T157" s="448">
        <v>910118.68</v>
      </c>
      <c r="U157" s="448">
        <v>-108550.02000064775</v>
      </c>
      <c r="V157" s="449">
        <v>801568.66</v>
      </c>
      <c r="W157" s="446"/>
      <c r="X157" s="448">
        <v>1119085.9099999999</v>
      </c>
      <c r="Y157" s="448">
        <v>0</v>
      </c>
      <c r="Z157" s="449">
        <v>1119085.9099999999</v>
      </c>
      <c r="AA157" s="446"/>
    </row>
    <row r="158" spans="2:27" s="443" customFormat="1" ht="12" customHeight="1">
      <c r="B158" s="238">
        <v>45646</v>
      </c>
      <c r="C158" s="448"/>
      <c r="D158" s="448">
        <v>1130136.49</v>
      </c>
      <c r="E158" s="448">
        <v>-807723.33999909461</v>
      </c>
      <c r="F158" s="448">
        <v>322413.15000000002</v>
      </c>
      <c r="G158" s="448"/>
      <c r="H158" s="448">
        <v>2762924.42</v>
      </c>
      <c r="I158" s="448">
        <v>394661.80999935418</v>
      </c>
      <c r="J158" s="449">
        <v>3157586.23</v>
      </c>
      <c r="K158" s="446"/>
      <c r="L158" s="448">
        <v>7686628.1299999999</v>
      </c>
      <c r="M158" s="448">
        <v>-6902840.2500000093</v>
      </c>
      <c r="N158" s="449">
        <v>783787.88</v>
      </c>
      <c r="O158" s="446"/>
      <c r="P158" s="448">
        <v>779126.83</v>
      </c>
      <c r="Q158" s="448">
        <v>10532.490000035847</v>
      </c>
      <c r="R158" s="449">
        <v>789659.32</v>
      </c>
      <c r="S158" s="446"/>
      <c r="T158" s="448">
        <v>801568.66</v>
      </c>
      <c r="U158" s="448">
        <v>155409.70999938995</v>
      </c>
      <c r="V158" s="449">
        <v>956978.37</v>
      </c>
      <c r="W158" s="446"/>
      <c r="X158" s="448">
        <v>1119085.9099999999</v>
      </c>
      <c r="Y158" s="448">
        <v>0</v>
      </c>
      <c r="Z158" s="449">
        <v>1119085.9099999999</v>
      </c>
      <c r="AA158" s="446"/>
    </row>
    <row r="159" spans="2:27" s="443" customFormat="1" ht="12" customHeight="1">
      <c r="B159" s="238">
        <v>45647</v>
      </c>
      <c r="C159" s="448"/>
      <c r="D159" s="448">
        <v>322413.15000000002</v>
      </c>
      <c r="E159" s="448">
        <v>0</v>
      </c>
      <c r="F159" s="448">
        <v>322413.15000000002</v>
      </c>
      <c r="G159" s="448"/>
      <c r="H159" s="448">
        <v>3157586.23</v>
      </c>
      <c r="I159" s="448">
        <v>0</v>
      </c>
      <c r="J159" s="449">
        <v>3157586.23</v>
      </c>
      <c r="K159" s="446"/>
      <c r="L159" s="448">
        <v>783787.88</v>
      </c>
      <c r="M159" s="448">
        <v>0</v>
      </c>
      <c r="N159" s="449">
        <v>783787.88</v>
      </c>
      <c r="O159" s="446"/>
      <c r="P159" s="448">
        <v>789659.32</v>
      </c>
      <c r="Q159" s="448">
        <v>0</v>
      </c>
      <c r="R159" s="449">
        <v>789659.32</v>
      </c>
      <c r="S159" s="446"/>
      <c r="T159" s="448">
        <v>956978.37</v>
      </c>
      <c r="U159" s="448">
        <v>0</v>
      </c>
      <c r="V159" s="449">
        <v>956978.37</v>
      </c>
      <c r="W159" s="446"/>
      <c r="X159" s="448">
        <v>1119085.9099999999</v>
      </c>
      <c r="Y159" s="448">
        <v>0</v>
      </c>
      <c r="Z159" s="449">
        <v>1119085.9099999999</v>
      </c>
      <c r="AA159" s="446"/>
    </row>
    <row r="160" spans="2:27" s="443" customFormat="1" ht="12" customHeight="1">
      <c r="B160" s="238">
        <v>45648</v>
      </c>
      <c r="C160" s="448"/>
      <c r="D160" s="448">
        <v>322413.15000000002</v>
      </c>
      <c r="E160" s="448">
        <v>0</v>
      </c>
      <c r="F160" s="448">
        <v>322413.15000000002</v>
      </c>
      <c r="G160" s="448"/>
      <c r="H160" s="448">
        <v>3157586.23</v>
      </c>
      <c r="I160" s="448">
        <v>0</v>
      </c>
      <c r="J160" s="449">
        <v>3157586.23</v>
      </c>
      <c r="K160" s="446"/>
      <c r="L160" s="448">
        <v>783787.88</v>
      </c>
      <c r="M160" s="448">
        <v>0</v>
      </c>
      <c r="N160" s="449">
        <v>783787.88</v>
      </c>
      <c r="O160" s="446"/>
      <c r="P160" s="448">
        <v>789659.32</v>
      </c>
      <c r="Q160" s="448">
        <v>0</v>
      </c>
      <c r="R160" s="449">
        <v>789659.32</v>
      </c>
      <c r="S160" s="446"/>
      <c r="T160" s="448">
        <v>956978.37</v>
      </c>
      <c r="U160" s="448">
        <v>0</v>
      </c>
      <c r="V160" s="449">
        <v>956978.37</v>
      </c>
      <c r="W160" s="446"/>
      <c r="X160" s="448">
        <v>1119085.9099999999</v>
      </c>
      <c r="Y160" s="448">
        <v>0</v>
      </c>
      <c r="Z160" s="449">
        <v>1119085.9099999999</v>
      </c>
      <c r="AA160" s="446"/>
    </row>
    <row r="161" spans="2:27" s="443" customFormat="1" ht="12" customHeight="1">
      <c r="B161" s="238">
        <v>45649</v>
      </c>
      <c r="C161" s="448"/>
      <c r="D161" s="448">
        <v>322413.15000000002</v>
      </c>
      <c r="E161" s="448">
        <v>-81863.86999978032</v>
      </c>
      <c r="F161" s="448">
        <v>240549.28</v>
      </c>
      <c r="G161" s="448"/>
      <c r="H161" s="448">
        <v>3157586.23</v>
      </c>
      <c r="I161" s="448">
        <v>-1146411.2600000948</v>
      </c>
      <c r="J161" s="449">
        <v>2011174.97</v>
      </c>
      <c r="K161" s="446"/>
      <c r="L161" s="448">
        <v>783787.88</v>
      </c>
      <c r="M161" s="448">
        <v>1500437.4900000095</v>
      </c>
      <c r="N161" s="449">
        <v>2284225.37</v>
      </c>
      <c r="O161" s="446"/>
      <c r="P161" s="448">
        <v>789659.32</v>
      </c>
      <c r="Q161" s="448">
        <v>-171364.99999992247</v>
      </c>
      <c r="R161" s="449">
        <v>618294.31999999995</v>
      </c>
      <c r="S161" s="446"/>
      <c r="T161" s="448">
        <v>956978.37</v>
      </c>
      <c r="U161" s="448">
        <v>-313424.0600011982</v>
      </c>
      <c r="V161" s="449">
        <v>643554.31000000006</v>
      </c>
      <c r="W161" s="446"/>
      <c r="X161" s="448">
        <v>1119085.9099999999</v>
      </c>
      <c r="Y161" s="448">
        <v>0</v>
      </c>
      <c r="Z161" s="449">
        <v>1119085.9099999999</v>
      </c>
      <c r="AA161" s="446"/>
    </row>
    <row r="162" spans="2:27" s="443" customFormat="1" ht="12" customHeight="1">
      <c r="B162" s="238">
        <v>45650</v>
      </c>
      <c r="C162" s="448"/>
      <c r="D162" s="448">
        <v>240549.28</v>
      </c>
      <c r="E162" s="448">
        <v>144779.73000023887</v>
      </c>
      <c r="F162" s="448">
        <v>385329.01</v>
      </c>
      <c r="G162" s="448"/>
      <c r="H162" s="448">
        <v>2011174.97</v>
      </c>
      <c r="I162" s="448">
        <v>1023719.4799993895</v>
      </c>
      <c r="J162" s="449">
        <v>3034894.45</v>
      </c>
      <c r="K162" s="446"/>
      <c r="L162" s="448">
        <v>2284225.37</v>
      </c>
      <c r="M162" s="448">
        <v>2010778.969999969</v>
      </c>
      <c r="N162" s="449">
        <v>4295004.34</v>
      </c>
      <c r="O162" s="446"/>
      <c r="P162" s="448">
        <v>618294.31999999995</v>
      </c>
      <c r="Q162" s="448">
        <v>184117.09999999288</v>
      </c>
      <c r="R162" s="449">
        <v>802411.42</v>
      </c>
      <c r="S162" s="446"/>
      <c r="T162" s="448">
        <v>643554.31000000006</v>
      </c>
      <c r="U162" s="448">
        <v>159021.47999992222</v>
      </c>
      <c r="V162" s="449">
        <v>802575.79</v>
      </c>
      <c r="W162" s="446"/>
      <c r="X162" s="448">
        <v>1119085.9099999999</v>
      </c>
      <c r="Y162" s="448">
        <v>-870906.7299998384</v>
      </c>
      <c r="Z162" s="449">
        <v>248179.18</v>
      </c>
      <c r="AA162" s="446"/>
    </row>
    <row r="163" spans="2:27" s="443" customFormat="1" ht="12" customHeight="1">
      <c r="B163" s="238">
        <v>45651</v>
      </c>
      <c r="C163" s="448"/>
      <c r="D163" s="448">
        <v>385329.01</v>
      </c>
      <c r="E163" s="448">
        <v>111075.69000011403</v>
      </c>
      <c r="F163" s="448">
        <v>496404.7</v>
      </c>
      <c r="G163" s="448"/>
      <c r="H163" s="448">
        <v>3034894.45</v>
      </c>
      <c r="I163" s="448">
        <v>0</v>
      </c>
      <c r="J163" s="449">
        <v>3034894.45</v>
      </c>
      <c r="K163" s="446"/>
      <c r="L163" s="448">
        <v>4295004.34</v>
      </c>
      <c r="M163" s="448">
        <v>2273917.8200000525</v>
      </c>
      <c r="N163" s="449">
        <v>6568922.1600000001</v>
      </c>
      <c r="O163" s="446"/>
      <c r="P163" s="448">
        <v>802411.42</v>
      </c>
      <c r="Q163" s="448">
        <v>116994.75000015274</v>
      </c>
      <c r="R163" s="449">
        <v>919406.17</v>
      </c>
      <c r="S163" s="446"/>
      <c r="T163" s="448">
        <v>802575.79</v>
      </c>
      <c r="U163" s="448">
        <v>-339272.5199999623</v>
      </c>
      <c r="V163" s="449">
        <v>463303.27</v>
      </c>
      <c r="W163" s="446"/>
      <c r="X163" s="448">
        <v>248179.18</v>
      </c>
      <c r="Y163" s="448">
        <v>0</v>
      </c>
      <c r="Z163" s="449">
        <v>248179.18</v>
      </c>
      <c r="AA163" s="446"/>
    </row>
    <row r="164" spans="2:27" s="443" customFormat="1" ht="12" customHeight="1">
      <c r="B164" s="238">
        <v>45652</v>
      </c>
      <c r="C164" s="448"/>
      <c r="D164" s="448">
        <v>496404.7</v>
      </c>
      <c r="E164" s="448">
        <v>537669.69000042416</v>
      </c>
      <c r="F164" s="448">
        <v>1034074.39</v>
      </c>
      <c r="G164" s="448"/>
      <c r="H164" s="448">
        <v>3034894.45</v>
      </c>
      <c r="I164" s="448">
        <v>0</v>
      </c>
      <c r="J164" s="449">
        <v>3034894.45</v>
      </c>
      <c r="K164" s="446"/>
      <c r="L164" s="448">
        <v>6568922.1600000001</v>
      </c>
      <c r="M164" s="448">
        <v>-3954392.9400000274</v>
      </c>
      <c r="N164" s="449">
        <v>2614529.2200000002</v>
      </c>
      <c r="O164" s="446"/>
      <c r="P164" s="448">
        <v>919406.17</v>
      </c>
      <c r="Q164" s="448">
        <v>-767653.08999991044</v>
      </c>
      <c r="R164" s="449">
        <v>151753.07999999999</v>
      </c>
      <c r="S164" s="446"/>
      <c r="T164" s="448">
        <v>463303.27</v>
      </c>
      <c r="U164" s="448">
        <v>404890.77000042051</v>
      </c>
      <c r="V164" s="449">
        <v>868194.04</v>
      </c>
      <c r="W164" s="446"/>
      <c r="X164" s="448">
        <v>248179.18</v>
      </c>
      <c r="Y164" s="448">
        <v>0</v>
      </c>
      <c r="Z164" s="449">
        <v>248179.18</v>
      </c>
      <c r="AA164" s="446"/>
    </row>
    <row r="165" spans="2:27" s="443" customFormat="1" ht="12" customHeight="1">
      <c r="B165" s="238">
        <v>45653</v>
      </c>
      <c r="C165" s="448"/>
      <c r="D165" s="448">
        <v>1034074.39</v>
      </c>
      <c r="E165" s="448">
        <v>-775923.56000006665</v>
      </c>
      <c r="F165" s="448">
        <v>258150.83</v>
      </c>
      <c r="G165" s="448"/>
      <c r="H165" s="448">
        <v>3034894.45</v>
      </c>
      <c r="I165" s="448">
        <v>0</v>
      </c>
      <c r="J165" s="449">
        <v>3034894.45</v>
      </c>
      <c r="K165" s="446"/>
      <c r="L165" s="448">
        <v>2614529.2200000002</v>
      </c>
      <c r="M165" s="448">
        <v>2174207.6299999952</v>
      </c>
      <c r="N165" s="449">
        <v>4788736.8499999996</v>
      </c>
      <c r="O165" s="446"/>
      <c r="P165" s="448">
        <v>151753.07999999999</v>
      </c>
      <c r="Q165" s="448">
        <v>94520.840000072028</v>
      </c>
      <c r="R165" s="449">
        <v>246273.92000000001</v>
      </c>
      <c r="S165" s="446"/>
      <c r="T165" s="448">
        <v>868194.04</v>
      </c>
      <c r="U165" s="448">
        <v>131344.92000029981</v>
      </c>
      <c r="V165" s="449">
        <v>999538.96</v>
      </c>
      <c r="W165" s="446"/>
      <c r="X165" s="448">
        <v>248179.18</v>
      </c>
      <c r="Y165" s="448">
        <v>0</v>
      </c>
      <c r="Z165" s="449">
        <v>248179.18</v>
      </c>
      <c r="AA165" s="446"/>
    </row>
    <row r="166" spans="2:27" s="443" customFormat="1" ht="12" customHeight="1">
      <c r="B166" s="238">
        <v>45654</v>
      </c>
      <c r="C166" s="448"/>
      <c r="D166" s="448">
        <v>258150.83</v>
      </c>
      <c r="E166" s="448">
        <v>0</v>
      </c>
      <c r="F166" s="448">
        <v>258150.83</v>
      </c>
      <c r="G166" s="448"/>
      <c r="H166" s="448">
        <v>3034894.45</v>
      </c>
      <c r="I166" s="448">
        <v>0</v>
      </c>
      <c r="J166" s="449">
        <v>3034894.45</v>
      </c>
      <c r="K166" s="446"/>
      <c r="L166" s="448">
        <v>4788736.8499999996</v>
      </c>
      <c r="M166" s="448">
        <v>0</v>
      </c>
      <c r="N166" s="449">
        <v>4788736.8499999996</v>
      </c>
      <c r="O166" s="446"/>
      <c r="P166" s="448">
        <v>246273.92000000001</v>
      </c>
      <c r="Q166" s="448">
        <v>0</v>
      </c>
      <c r="R166" s="449">
        <v>246273.92000000001</v>
      </c>
      <c r="S166" s="446"/>
      <c r="T166" s="448">
        <v>999538.96</v>
      </c>
      <c r="U166" s="448">
        <v>0</v>
      </c>
      <c r="V166" s="449">
        <v>999538.96</v>
      </c>
      <c r="W166" s="446"/>
      <c r="X166" s="448">
        <v>248179.18</v>
      </c>
      <c r="Y166" s="448">
        <v>0</v>
      </c>
      <c r="Z166" s="449">
        <v>248179.18</v>
      </c>
      <c r="AA166" s="446"/>
    </row>
    <row r="167" spans="2:27" s="443" customFormat="1" ht="12" customHeight="1">
      <c r="B167" s="238">
        <v>45655</v>
      </c>
      <c r="C167" s="448"/>
      <c r="D167" s="448">
        <v>258150.83</v>
      </c>
      <c r="E167" s="448">
        <v>0</v>
      </c>
      <c r="F167" s="448">
        <v>258150.83</v>
      </c>
      <c r="G167" s="448"/>
      <c r="H167" s="448">
        <v>3034894.45</v>
      </c>
      <c r="I167" s="448">
        <v>0</v>
      </c>
      <c r="J167" s="449">
        <v>3034894.45</v>
      </c>
      <c r="K167" s="446"/>
      <c r="L167" s="448">
        <v>4788736.8499999996</v>
      </c>
      <c r="M167" s="448">
        <v>0</v>
      </c>
      <c r="N167" s="449">
        <v>4788736.8499999996</v>
      </c>
      <c r="O167" s="446"/>
      <c r="P167" s="448">
        <v>246273.92000000001</v>
      </c>
      <c r="Q167" s="448">
        <v>0</v>
      </c>
      <c r="R167" s="449">
        <v>246273.92000000001</v>
      </c>
      <c r="S167" s="446"/>
      <c r="T167" s="448">
        <v>999538.96</v>
      </c>
      <c r="U167" s="448">
        <v>0</v>
      </c>
      <c r="V167" s="449">
        <v>999538.96</v>
      </c>
      <c r="W167" s="446"/>
      <c r="X167" s="448">
        <v>248179.18</v>
      </c>
      <c r="Y167" s="448">
        <v>0</v>
      </c>
      <c r="Z167" s="449">
        <v>248179.18</v>
      </c>
      <c r="AA167" s="446"/>
    </row>
    <row r="168" spans="2:27" s="443" customFormat="1" ht="12" customHeight="1">
      <c r="B168" s="238">
        <v>45656</v>
      </c>
      <c r="C168" s="448"/>
      <c r="D168" s="448">
        <v>258150.83</v>
      </c>
      <c r="E168" s="448">
        <v>130148.49999987613</v>
      </c>
      <c r="F168" s="448">
        <v>388299.33</v>
      </c>
      <c r="G168" s="448"/>
      <c r="H168" s="448">
        <v>3034894.45</v>
      </c>
      <c r="I168" s="448">
        <v>0</v>
      </c>
      <c r="J168" s="449">
        <v>3034894.45</v>
      </c>
      <c r="K168" s="446"/>
      <c r="L168" s="448">
        <v>4788736.8499999996</v>
      </c>
      <c r="M168" s="448">
        <v>-2878841.169999972</v>
      </c>
      <c r="N168" s="449">
        <v>1909895.68</v>
      </c>
      <c r="O168" s="446"/>
      <c r="P168" s="448">
        <v>246273.92000000001</v>
      </c>
      <c r="Q168" s="448">
        <v>-236141.97000002861</v>
      </c>
      <c r="R168" s="449">
        <v>10131.950000000001</v>
      </c>
      <c r="S168" s="446"/>
      <c r="T168" s="448">
        <v>999538.96</v>
      </c>
      <c r="U168" s="448">
        <v>-796419.26999973133</v>
      </c>
      <c r="V168" s="449">
        <v>203119.69</v>
      </c>
      <c r="W168" s="446"/>
      <c r="X168" s="448">
        <v>248179.18</v>
      </c>
      <c r="Y168" s="448">
        <v>0</v>
      </c>
      <c r="Z168" s="449">
        <v>248179.18</v>
      </c>
      <c r="AA168" s="446"/>
    </row>
    <row r="169" spans="2:27" s="443" customFormat="1" ht="12" customHeight="1">
      <c r="B169" s="238">
        <v>45657</v>
      </c>
      <c r="C169" s="448"/>
      <c r="D169" s="448">
        <v>388299.33</v>
      </c>
      <c r="E169" s="448">
        <v>-206097.27000024915</v>
      </c>
      <c r="F169" s="448">
        <v>182202.06</v>
      </c>
      <c r="G169" s="448"/>
      <c r="H169" s="448">
        <v>3034894.45</v>
      </c>
      <c r="I169" s="448">
        <v>0</v>
      </c>
      <c r="J169" s="449">
        <v>3034894.45</v>
      </c>
      <c r="K169" s="446"/>
      <c r="L169" s="448">
        <v>1909895.68</v>
      </c>
      <c r="M169" s="448">
        <v>1373040.9599999487</v>
      </c>
      <c r="N169" s="449">
        <v>3282936.64</v>
      </c>
      <c r="O169" s="446"/>
      <c r="P169" s="448">
        <v>10131.950000000001</v>
      </c>
      <c r="Q169" s="448">
        <v>476063.26000000234</v>
      </c>
      <c r="R169" s="449">
        <v>486195.21</v>
      </c>
      <c r="S169" s="446"/>
      <c r="T169" s="448">
        <v>203119.69</v>
      </c>
      <c r="U169" s="448">
        <v>64460.699999924749</v>
      </c>
      <c r="V169" s="449">
        <v>267580.39</v>
      </c>
      <c r="W169" s="446"/>
      <c r="X169" s="448">
        <v>248179.18</v>
      </c>
      <c r="Y169" s="448">
        <v>0</v>
      </c>
      <c r="Z169" s="449">
        <v>248179.18</v>
      </c>
      <c r="AA169" s="446"/>
    </row>
    <row r="170" spans="2:27" s="443" customFormat="1" ht="12" customHeight="1">
      <c r="B170" s="238">
        <v>45658</v>
      </c>
      <c r="C170" s="448"/>
      <c r="D170" s="448">
        <v>182202.06</v>
      </c>
      <c r="E170" s="448">
        <v>0</v>
      </c>
      <c r="F170" s="448">
        <v>182202.06</v>
      </c>
      <c r="G170" s="448"/>
      <c r="H170" s="448">
        <v>3034894.45</v>
      </c>
      <c r="I170" s="448">
        <v>0</v>
      </c>
      <c r="J170" s="449">
        <v>3034894.45</v>
      </c>
      <c r="K170" s="446"/>
      <c r="L170" s="448">
        <v>3282936.64</v>
      </c>
      <c r="M170" s="448">
        <v>0</v>
      </c>
      <c r="N170" s="449">
        <v>3282936.64</v>
      </c>
      <c r="O170" s="446"/>
      <c r="P170" s="448">
        <v>486195.21</v>
      </c>
      <c r="Q170" s="448">
        <v>0</v>
      </c>
      <c r="R170" s="449">
        <v>486195.21</v>
      </c>
      <c r="S170" s="446"/>
      <c r="T170" s="448">
        <v>267580.39</v>
      </c>
      <c r="U170" s="448">
        <v>0</v>
      </c>
      <c r="V170" s="449">
        <v>267580.39</v>
      </c>
      <c r="W170" s="446"/>
      <c r="X170" s="448">
        <v>248179.18</v>
      </c>
      <c r="Y170" s="448">
        <v>0</v>
      </c>
      <c r="Z170" s="449">
        <v>248179.18</v>
      </c>
      <c r="AA170" s="446"/>
    </row>
    <row r="171" spans="2:27" s="443" customFormat="1" ht="12" customHeight="1">
      <c r="B171" s="238">
        <v>45659</v>
      </c>
      <c r="C171" s="448"/>
      <c r="D171" s="448">
        <v>182202.06</v>
      </c>
      <c r="E171" s="448">
        <v>0</v>
      </c>
      <c r="F171" s="448">
        <v>182202.06</v>
      </c>
      <c r="G171" s="448"/>
      <c r="H171" s="448">
        <v>3034894.45</v>
      </c>
      <c r="I171" s="448">
        <v>0</v>
      </c>
      <c r="J171" s="449">
        <v>3034894.45</v>
      </c>
      <c r="K171" s="446"/>
      <c r="L171" s="448">
        <v>3282936.64</v>
      </c>
      <c r="M171" s="448">
        <v>0</v>
      </c>
      <c r="N171" s="449">
        <v>3282936.64</v>
      </c>
      <c r="O171" s="446"/>
      <c r="P171" s="448">
        <v>486195.21</v>
      </c>
      <c r="Q171" s="448">
        <v>0</v>
      </c>
      <c r="R171" s="449">
        <v>486195.21</v>
      </c>
      <c r="S171" s="446"/>
      <c r="T171" s="448">
        <v>267580.39</v>
      </c>
      <c r="U171" s="448">
        <v>0</v>
      </c>
      <c r="V171" s="449">
        <v>267580.39</v>
      </c>
      <c r="W171" s="446"/>
      <c r="X171" s="448">
        <v>248179.18</v>
      </c>
      <c r="Y171" s="448">
        <v>0</v>
      </c>
      <c r="Z171" s="449">
        <v>248179.18</v>
      </c>
      <c r="AA171" s="446"/>
    </row>
    <row r="172" spans="2:27" s="443" customFormat="1" ht="12" customHeight="1">
      <c r="B172" s="238">
        <v>45660</v>
      </c>
      <c r="C172" s="448"/>
      <c r="D172" s="448">
        <v>182202.06</v>
      </c>
      <c r="E172" s="448">
        <v>0</v>
      </c>
      <c r="F172" s="448">
        <v>182202.06</v>
      </c>
      <c r="G172" s="448"/>
      <c r="H172" s="448">
        <v>3034894.45</v>
      </c>
      <c r="I172" s="448">
        <v>0</v>
      </c>
      <c r="J172" s="449">
        <v>3034894.45</v>
      </c>
      <c r="K172" s="446"/>
      <c r="L172" s="448">
        <v>3282936.64</v>
      </c>
      <c r="M172" s="448">
        <v>0</v>
      </c>
      <c r="N172" s="449">
        <v>3282936.64</v>
      </c>
      <c r="O172" s="446"/>
      <c r="P172" s="448">
        <v>486195.21</v>
      </c>
      <c r="Q172" s="448">
        <v>0</v>
      </c>
      <c r="R172" s="449">
        <v>486195.21</v>
      </c>
      <c r="S172" s="446"/>
      <c r="T172" s="448">
        <v>267580.39</v>
      </c>
      <c r="U172" s="448">
        <v>0</v>
      </c>
      <c r="V172" s="449">
        <v>267580.39</v>
      </c>
      <c r="W172" s="446"/>
      <c r="X172" s="448">
        <v>248179.18</v>
      </c>
      <c r="Y172" s="448">
        <v>0</v>
      </c>
      <c r="Z172" s="449">
        <v>248179.18</v>
      </c>
      <c r="AA172" s="446"/>
    </row>
    <row r="173" spans="2:27" s="443" customFormat="1" ht="12" customHeight="1">
      <c r="B173" s="238">
        <v>45661</v>
      </c>
      <c r="C173" s="448"/>
      <c r="D173" s="448">
        <v>182202.06</v>
      </c>
      <c r="E173" s="448">
        <v>0</v>
      </c>
      <c r="F173" s="448">
        <v>182202.06</v>
      </c>
      <c r="G173" s="448"/>
      <c r="H173" s="448">
        <v>3034894.45</v>
      </c>
      <c r="I173" s="448">
        <v>0</v>
      </c>
      <c r="J173" s="449">
        <v>3034894.45</v>
      </c>
      <c r="K173" s="446"/>
      <c r="L173" s="448">
        <v>3282936.64</v>
      </c>
      <c r="M173" s="448">
        <v>0</v>
      </c>
      <c r="N173" s="449">
        <v>3282936.64</v>
      </c>
      <c r="O173" s="446"/>
      <c r="P173" s="448">
        <v>486195.21</v>
      </c>
      <c r="Q173" s="448">
        <v>0</v>
      </c>
      <c r="R173" s="449">
        <v>486195.21</v>
      </c>
      <c r="S173" s="446"/>
      <c r="T173" s="448">
        <v>267580.39</v>
      </c>
      <c r="U173" s="448">
        <v>0</v>
      </c>
      <c r="V173" s="449">
        <v>267580.39</v>
      </c>
      <c r="W173" s="446"/>
      <c r="X173" s="448">
        <v>248179.18</v>
      </c>
      <c r="Y173" s="448">
        <v>0</v>
      </c>
      <c r="Z173" s="449">
        <v>248179.18</v>
      </c>
      <c r="AA173" s="446"/>
    </row>
    <row r="174" spans="2:27" s="443" customFormat="1" ht="12" customHeight="1">
      <c r="B174" s="238">
        <v>45662</v>
      </c>
      <c r="C174" s="448"/>
      <c r="D174" s="448">
        <v>182202.06</v>
      </c>
      <c r="E174" s="448">
        <v>416557.08000000007</v>
      </c>
      <c r="F174" s="448">
        <v>598759.14</v>
      </c>
      <c r="G174" s="448"/>
      <c r="H174" s="448">
        <v>3034894.45</v>
      </c>
      <c r="I174" s="448">
        <v>0</v>
      </c>
      <c r="J174" s="449">
        <v>3034894.45</v>
      </c>
      <c r="K174" s="446"/>
      <c r="L174" s="448">
        <v>3282936.64</v>
      </c>
      <c r="M174" s="448">
        <v>1430992.8500000238</v>
      </c>
      <c r="N174" s="449">
        <v>4713929.49</v>
      </c>
      <c r="O174" s="446"/>
      <c r="P174" s="448">
        <v>486195.21</v>
      </c>
      <c r="Q174" s="448">
        <v>3953891.7200001776</v>
      </c>
      <c r="R174" s="449">
        <v>4440086.93</v>
      </c>
      <c r="S174" s="446"/>
      <c r="T174" s="448">
        <v>267580.39</v>
      </c>
      <c r="U174" s="448">
        <v>503589.76999957114</v>
      </c>
      <c r="V174" s="449">
        <v>771170.16</v>
      </c>
      <c r="W174" s="446"/>
      <c r="X174" s="448">
        <v>248179.18</v>
      </c>
      <c r="Y174" s="448">
        <v>0</v>
      </c>
      <c r="Z174" s="449">
        <v>248179.18</v>
      </c>
      <c r="AA174" s="446"/>
    </row>
    <row r="175" spans="2:27" s="443" customFormat="1" ht="12" customHeight="1">
      <c r="B175" s="238">
        <v>45663</v>
      </c>
      <c r="C175" s="448"/>
      <c r="D175" s="448">
        <v>598759.14</v>
      </c>
      <c r="E175" s="448">
        <v>-511912.55000020936</v>
      </c>
      <c r="F175" s="448">
        <v>86846.59</v>
      </c>
      <c r="G175" s="448"/>
      <c r="H175" s="448">
        <v>3034894.45</v>
      </c>
      <c r="I175" s="448">
        <v>0</v>
      </c>
      <c r="J175" s="449">
        <v>3034894.45</v>
      </c>
      <c r="K175" s="446"/>
      <c r="L175" s="448">
        <v>4713929.49</v>
      </c>
      <c r="M175" s="448">
        <v>1137644.3000000119</v>
      </c>
      <c r="N175" s="449">
        <v>5851573.79</v>
      </c>
      <c r="O175" s="446"/>
      <c r="P175" s="448">
        <v>4440086.93</v>
      </c>
      <c r="Q175" s="448">
        <v>-3643998.8499998571</v>
      </c>
      <c r="R175" s="449">
        <v>796088.08</v>
      </c>
      <c r="S175" s="446"/>
      <c r="T175" s="448">
        <v>771170.16</v>
      </c>
      <c r="U175" s="448">
        <v>-416505.36999940872</v>
      </c>
      <c r="V175" s="449">
        <v>354664.79</v>
      </c>
      <c r="W175" s="446"/>
      <c r="X175" s="448">
        <v>248179.18</v>
      </c>
      <c r="Y175" s="448">
        <v>0</v>
      </c>
      <c r="Z175" s="449">
        <v>248179.18</v>
      </c>
      <c r="AA175" s="446"/>
    </row>
    <row r="176" spans="2:27" s="443" customFormat="1" ht="12" customHeight="1">
      <c r="B176" s="238">
        <v>45664</v>
      </c>
      <c r="C176" s="448"/>
      <c r="D176" s="448">
        <v>86846.59</v>
      </c>
      <c r="E176" s="448">
        <v>0</v>
      </c>
      <c r="F176" s="448">
        <v>86846.59</v>
      </c>
      <c r="G176" s="448"/>
      <c r="H176" s="448">
        <v>3034894.45</v>
      </c>
      <c r="I176" s="448">
        <v>0</v>
      </c>
      <c r="J176" s="449">
        <v>3034894.45</v>
      </c>
      <c r="K176" s="446"/>
      <c r="L176" s="448">
        <v>5851573.79</v>
      </c>
      <c r="M176" s="448">
        <v>0</v>
      </c>
      <c r="N176" s="449">
        <v>5851573.79</v>
      </c>
      <c r="O176" s="446"/>
      <c r="P176" s="448">
        <v>796088.08</v>
      </c>
      <c r="Q176" s="448">
        <v>0</v>
      </c>
      <c r="R176" s="449">
        <v>796088.08</v>
      </c>
      <c r="S176" s="446"/>
      <c r="T176" s="448">
        <v>354664.79</v>
      </c>
      <c r="U176" s="448">
        <v>0</v>
      </c>
      <c r="V176" s="449">
        <v>354664.79</v>
      </c>
      <c r="W176" s="446"/>
      <c r="X176" s="448">
        <v>248179.18</v>
      </c>
      <c r="Y176" s="448">
        <v>0</v>
      </c>
      <c r="Z176" s="449">
        <v>248179.18</v>
      </c>
      <c r="AA176" s="446"/>
    </row>
    <row r="177" spans="2:27" s="443" customFormat="1" ht="12" customHeight="1">
      <c r="B177" s="238">
        <v>45665</v>
      </c>
      <c r="C177" s="448"/>
      <c r="D177" s="448">
        <v>86846.59</v>
      </c>
      <c r="E177" s="448">
        <v>1069556.2099997997</v>
      </c>
      <c r="F177" s="448">
        <v>1156402.8</v>
      </c>
      <c r="G177" s="448"/>
      <c r="H177" s="448">
        <v>3034894.45</v>
      </c>
      <c r="I177" s="448">
        <v>-1315484.6900005341</v>
      </c>
      <c r="J177" s="449">
        <v>1719409.76</v>
      </c>
      <c r="K177" s="446"/>
      <c r="L177" s="448">
        <v>5851573.79</v>
      </c>
      <c r="M177" s="448">
        <v>-3843666.5799999833</v>
      </c>
      <c r="N177" s="449">
        <v>2007907.21</v>
      </c>
      <c r="O177" s="446"/>
      <c r="P177" s="448">
        <v>796088.08</v>
      </c>
      <c r="Q177" s="448">
        <v>-486441.12999993796</v>
      </c>
      <c r="R177" s="449">
        <v>309646.95</v>
      </c>
      <c r="S177" s="446"/>
      <c r="T177" s="448">
        <v>354664.79</v>
      </c>
      <c r="U177" s="448">
        <v>69107787.329999447</v>
      </c>
      <c r="V177" s="449">
        <v>69462452.120000005</v>
      </c>
      <c r="W177" s="446"/>
      <c r="X177" s="448">
        <v>248179.18</v>
      </c>
      <c r="Y177" s="448">
        <v>236676.94999997597</v>
      </c>
      <c r="Z177" s="449">
        <v>484856.13</v>
      </c>
      <c r="AA177" s="446"/>
    </row>
    <row r="178" spans="2:27" s="443" customFormat="1" ht="12" customHeight="1">
      <c r="B178" s="238">
        <v>45666</v>
      </c>
      <c r="C178" s="448"/>
      <c r="D178" s="448">
        <v>1156402.8</v>
      </c>
      <c r="E178" s="448">
        <v>-591545.86000034399</v>
      </c>
      <c r="F178" s="448">
        <v>564856.93999999994</v>
      </c>
      <c r="G178" s="448"/>
      <c r="H178" s="448">
        <v>1719409.76</v>
      </c>
      <c r="I178" s="448">
        <v>957576.32999977097</v>
      </c>
      <c r="J178" s="449">
        <v>2676986.09</v>
      </c>
      <c r="K178" s="446"/>
      <c r="L178" s="448">
        <v>2007907.21</v>
      </c>
      <c r="M178" s="448">
        <v>1121021.0799999833</v>
      </c>
      <c r="N178" s="449">
        <v>3128928.29</v>
      </c>
      <c r="O178" s="446"/>
      <c r="P178" s="448">
        <v>309646.95</v>
      </c>
      <c r="Q178" s="448">
        <v>657415.35000012396</v>
      </c>
      <c r="R178" s="449">
        <v>967062.3</v>
      </c>
      <c r="S178" s="446"/>
      <c r="T178" s="448">
        <v>69462452.120000005</v>
      </c>
      <c r="U178" s="448">
        <v>-68964465.540000618</v>
      </c>
      <c r="V178" s="449">
        <v>497986.58</v>
      </c>
      <c r="W178" s="446"/>
      <c r="X178" s="448">
        <v>484856.13</v>
      </c>
      <c r="Y178" s="448">
        <v>0</v>
      </c>
      <c r="Z178" s="449">
        <v>484856.13</v>
      </c>
      <c r="AA178" s="446"/>
    </row>
    <row r="179" spans="2:27" s="443" customFormat="1" ht="12" customHeight="1">
      <c r="B179" s="238">
        <v>45667</v>
      </c>
      <c r="C179" s="448"/>
      <c r="D179" s="448">
        <v>564856.93999999994</v>
      </c>
      <c r="E179" s="448">
        <v>-198455.99999988079</v>
      </c>
      <c r="F179" s="448">
        <v>366400.94</v>
      </c>
      <c r="G179" s="448"/>
      <c r="H179" s="448">
        <v>2676986.09</v>
      </c>
      <c r="I179" s="448">
        <v>193733.56999933347</v>
      </c>
      <c r="J179" s="449">
        <v>2870719.66</v>
      </c>
      <c r="K179" s="446"/>
      <c r="L179" s="448">
        <v>3128928.29</v>
      </c>
      <c r="M179" s="448">
        <v>1098583.6899999976</v>
      </c>
      <c r="N179" s="449">
        <v>4227511.9800000004</v>
      </c>
      <c r="O179" s="446"/>
      <c r="P179" s="448">
        <v>967062.3</v>
      </c>
      <c r="Q179" s="448">
        <v>-27063.360000052489</v>
      </c>
      <c r="R179" s="449">
        <v>939998.94</v>
      </c>
      <c r="S179" s="446"/>
      <c r="T179" s="448">
        <v>497986.58</v>
      </c>
      <c r="U179" s="448">
        <v>-332007.46999988705</v>
      </c>
      <c r="V179" s="449">
        <v>165979.10999999999</v>
      </c>
      <c r="W179" s="446"/>
      <c r="X179" s="448">
        <v>484856.13</v>
      </c>
      <c r="Y179" s="448">
        <v>0</v>
      </c>
      <c r="Z179" s="449">
        <v>484856.13</v>
      </c>
      <c r="AA179" s="446"/>
    </row>
    <row r="180" spans="2:27" s="443" customFormat="1" ht="12" customHeight="1">
      <c r="B180" s="238">
        <v>45668</v>
      </c>
      <c r="C180" s="448"/>
      <c r="D180" s="448">
        <v>366400.94</v>
      </c>
      <c r="E180" s="448">
        <v>0</v>
      </c>
      <c r="F180" s="448">
        <v>366400.94</v>
      </c>
      <c r="G180" s="448"/>
      <c r="H180" s="448">
        <v>2870719.66</v>
      </c>
      <c r="I180" s="448">
        <v>0</v>
      </c>
      <c r="J180" s="449">
        <v>2870719.66</v>
      </c>
      <c r="K180" s="446"/>
      <c r="L180" s="448">
        <v>4227511.9800000004</v>
      </c>
      <c r="M180" s="448">
        <v>0</v>
      </c>
      <c r="N180" s="449">
        <v>4227511.9800000004</v>
      </c>
      <c r="O180" s="446"/>
      <c r="P180" s="448">
        <v>939998.94</v>
      </c>
      <c r="Q180" s="448">
        <v>0</v>
      </c>
      <c r="R180" s="449">
        <v>939998.94</v>
      </c>
      <c r="S180" s="446"/>
      <c r="T180" s="448">
        <v>165979.10999999999</v>
      </c>
      <c r="U180" s="448">
        <v>0</v>
      </c>
      <c r="V180" s="449">
        <v>165979.10999999999</v>
      </c>
      <c r="W180" s="446"/>
      <c r="X180" s="448">
        <v>484856.13</v>
      </c>
      <c r="Y180" s="448">
        <v>0</v>
      </c>
      <c r="Z180" s="449">
        <v>484856.13</v>
      </c>
      <c r="AA180" s="446"/>
    </row>
    <row r="181" spans="2:27" s="443" customFormat="1" ht="12" customHeight="1">
      <c r="B181" s="238">
        <v>45669</v>
      </c>
      <c r="C181" s="448"/>
      <c r="D181" s="448">
        <v>366400.94</v>
      </c>
      <c r="E181" s="448">
        <v>0</v>
      </c>
      <c r="F181" s="448">
        <v>366400.94</v>
      </c>
      <c r="G181" s="448"/>
      <c r="H181" s="448">
        <v>2870719.66</v>
      </c>
      <c r="I181" s="448">
        <v>0</v>
      </c>
      <c r="J181" s="449">
        <v>2870719.66</v>
      </c>
      <c r="K181" s="446"/>
      <c r="L181" s="448">
        <v>4227511.9800000004</v>
      </c>
      <c r="M181" s="448">
        <v>0</v>
      </c>
      <c r="N181" s="449">
        <v>4227511.9800000004</v>
      </c>
      <c r="O181" s="446"/>
      <c r="P181" s="448">
        <v>939998.94</v>
      </c>
      <c r="Q181" s="448">
        <v>0</v>
      </c>
      <c r="R181" s="449">
        <v>939998.94</v>
      </c>
      <c r="S181" s="446"/>
      <c r="T181" s="448">
        <v>165979.10999999999</v>
      </c>
      <c r="U181" s="448">
        <v>0</v>
      </c>
      <c r="V181" s="449">
        <v>165979.10999999999</v>
      </c>
      <c r="W181" s="446"/>
      <c r="X181" s="448">
        <v>484856.13</v>
      </c>
      <c r="Y181" s="448">
        <v>0</v>
      </c>
      <c r="Z181" s="449">
        <v>484856.13</v>
      </c>
      <c r="AA181" s="446"/>
    </row>
    <row r="182" spans="2:27" s="443" customFormat="1" ht="12" customHeight="1">
      <c r="B182" s="238">
        <v>45670</v>
      </c>
      <c r="C182" s="448"/>
      <c r="D182" s="448">
        <v>366400.94</v>
      </c>
      <c r="E182" s="448">
        <v>969358.71000000928</v>
      </c>
      <c r="F182" s="448">
        <v>1335759.6499999999</v>
      </c>
      <c r="G182" s="448"/>
      <c r="H182" s="448">
        <v>2870719.66</v>
      </c>
      <c r="I182" s="448">
        <v>322748.64000034332</v>
      </c>
      <c r="J182" s="449">
        <v>3193468.3</v>
      </c>
      <c r="K182" s="446"/>
      <c r="L182" s="448">
        <v>4227511.9800000004</v>
      </c>
      <c r="M182" s="448">
        <v>1552521.6000000238</v>
      </c>
      <c r="N182" s="449">
        <v>5780033.5800000001</v>
      </c>
      <c r="O182" s="446"/>
      <c r="P182" s="448">
        <v>939998.94</v>
      </c>
      <c r="Q182" s="448">
        <v>-394052.44000008516</v>
      </c>
      <c r="R182" s="449">
        <v>545946.5</v>
      </c>
      <c r="S182" s="446"/>
      <c r="T182" s="448">
        <v>165979.10999999999</v>
      </c>
      <c r="U182" s="448">
        <v>515821.05000049621</v>
      </c>
      <c r="V182" s="449">
        <v>681800.16</v>
      </c>
      <c r="W182" s="446"/>
      <c r="X182" s="448">
        <v>484856.13</v>
      </c>
      <c r="Y182" s="448">
        <v>0</v>
      </c>
      <c r="Z182" s="449">
        <v>484856.13</v>
      </c>
      <c r="AA182" s="446"/>
    </row>
    <row r="183" spans="2:27" s="443" customFormat="1" ht="12" customHeight="1">
      <c r="B183" s="238">
        <v>45671</v>
      </c>
      <c r="C183" s="448"/>
      <c r="D183" s="448">
        <v>1335759.6499999999</v>
      </c>
      <c r="E183" s="448">
        <v>-830572.8500000285</v>
      </c>
      <c r="F183" s="448">
        <v>505186.8</v>
      </c>
      <c r="G183" s="448"/>
      <c r="H183" s="448">
        <v>3193468.3</v>
      </c>
      <c r="I183" s="448">
        <v>0</v>
      </c>
      <c r="J183" s="449">
        <v>3193468.3</v>
      </c>
      <c r="K183" s="446"/>
      <c r="L183" s="448">
        <v>5780033.5800000001</v>
      </c>
      <c r="M183" s="448">
        <v>2210450.4200000167</v>
      </c>
      <c r="N183" s="449">
        <v>7990484</v>
      </c>
      <c r="O183" s="446"/>
      <c r="P183" s="448">
        <v>545946.5</v>
      </c>
      <c r="Q183" s="448">
        <v>-360952.77000001934</v>
      </c>
      <c r="R183" s="449">
        <v>184993.73</v>
      </c>
      <c r="S183" s="446"/>
      <c r="T183" s="448">
        <v>681800.16</v>
      </c>
      <c r="U183" s="448">
        <v>169333.4099999778</v>
      </c>
      <c r="V183" s="449">
        <v>851133.57</v>
      </c>
      <c r="W183" s="446"/>
      <c r="X183" s="448">
        <v>484856.13</v>
      </c>
      <c r="Y183" s="448">
        <v>0</v>
      </c>
      <c r="Z183" s="449">
        <v>484856.13</v>
      </c>
      <c r="AA183" s="446"/>
    </row>
    <row r="184" spans="2:27" s="443" customFormat="1" ht="12" customHeight="1">
      <c r="B184" s="238">
        <v>45672</v>
      </c>
      <c r="C184" s="448"/>
      <c r="D184" s="448">
        <v>505186.8</v>
      </c>
      <c r="E184" s="448">
        <v>-287780.99000054318</v>
      </c>
      <c r="F184" s="448">
        <v>217405.81</v>
      </c>
      <c r="G184" s="448"/>
      <c r="H184" s="448">
        <v>3193468.3</v>
      </c>
      <c r="I184" s="448">
        <v>0</v>
      </c>
      <c r="J184" s="449">
        <v>3193468.3</v>
      </c>
      <c r="K184" s="446"/>
      <c r="L184" s="448">
        <v>7990484</v>
      </c>
      <c r="M184" s="448">
        <v>-4997860.8000000715</v>
      </c>
      <c r="N184" s="449">
        <v>2992623.2</v>
      </c>
      <c r="O184" s="446"/>
      <c r="P184" s="448">
        <v>184993.73</v>
      </c>
      <c r="Q184" s="448">
        <v>323923.66999984719</v>
      </c>
      <c r="R184" s="449">
        <v>508917.4</v>
      </c>
      <c r="S184" s="446"/>
      <c r="T184" s="448">
        <v>851133.57</v>
      </c>
      <c r="U184" s="448">
        <v>-336936.23999946192</v>
      </c>
      <c r="V184" s="449">
        <v>514197.33</v>
      </c>
      <c r="W184" s="446"/>
      <c r="X184" s="448">
        <v>484856.13</v>
      </c>
      <c r="Y184" s="448">
        <v>57600.050000057556</v>
      </c>
      <c r="Z184" s="449">
        <v>542456.18000000005</v>
      </c>
      <c r="AA184" s="446"/>
    </row>
    <row r="185" spans="2:27" s="443" customFormat="1" ht="12" customHeight="1">
      <c r="B185" s="238">
        <v>45673</v>
      </c>
      <c r="C185" s="448"/>
      <c r="D185" s="448">
        <v>217405.81</v>
      </c>
      <c r="E185" s="448">
        <v>686821.23999992013</v>
      </c>
      <c r="F185" s="448">
        <v>904227.05</v>
      </c>
      <c r="G185" s="448"/>
      <c r="H185" s="448">
        <v>3193468.3</v>
      </c>
      <c r="I185" s="448">
        <v>0</v>
      </c>
      <c r="J185" s="449">
        <v>3193468.3</v>
      </c>
      <c r="K185" s="446"/>
      <c r="L185" s="448">
        <v>2992623.2</v>
      </c>
      <c r="M185" s="448">
        <v>2169789.1600000262</v>
      </c>
      <c r="N185" s="449">
        <v>5162412.3600000003</v>
      </c>
      <c r="O185" s="446"/>
      <c r="P185" s="448">
        <v>508917.4</v>
      </c>
      <c r="Q185" s="448">
        <v>1562609.6200001836</v>
      </c>
      <c r="R185" s="449">
        <v>2071527.02</v>
      </c>
      <c r="S185" s="446"/>
      <c r="T185" s="448">
        <v>514197.33</v>
      </c>
      <c r="U185" s="448">
        <v>-166965.39000063017</v>
      </c>
      <c r="V185" s="449">
        <v>347231.94</v>
      </c>
      <c r="W185" s="446"/>
      <c r="X185" s="448">
        <v>542456.18000000005</v>
      </c>
      <c r="Y185" s="448">
        <v>0</v>
      </c>
      <c r="Z185" s="449">
        <v>542456.18000000005</v>
      </c>
      <c r="AA185" s="446"/>
    </row>
    <row r="186" spans="2:27" s="443" customFormat="1" ht="12" customHeight="1">
      <c r="B186" s="238">
        <v>45674</v>
      </c>
      <c r="C186" s="448"/>
      <c r="D186" s="448">
        <v>904227.05</v>
      </c>
      <c r="E186" s="448">
        <v>-720475.6700001806</v>
      </c>
      <c r="F186" s="448">
        <v>183751.38</v>
      </c>
      <c r="G186" s="448"/>
      <c r="H186" s="448">
        <v>3193468.3</v>
      </c>
      <c r="I186" s="448">
        <v>0</v>
      </c>
      <c r="J186" s="449">
        <v>3193468.3</v>
      </c>
      <c r="K186" s="446"/>
      <c r="L186" s="448">
        <v>5162412.3600000003</v>
      </c>
      <c r="M186" s="448">
        <v>-4049902.6200000308</v>
      </c>
      <c r="N186" s="449">
        <v>1112509.74</v>
      </c>
      <c r="O186" s="446"/>
      <c r="P186" s="448">
        <v>2071527.02</v>
      </c>
      <c r="Q186" s="448">
        <v>-1321348.9100003056</v>
      </c>
      <c r="R186" s="449">
        <v>750178.11</v>
      </c>
      <c r="S186" s="446"/>
      <c r="T186" s="448">
        <v>347231.94</v>
      </c>
      <c r="U186" s="448">
        <v>85746.160000413656</v>
      </c>
      <c r="V186" s="449">
        <v>432978.1</v>
      </c>
      <c r="W186" s="446"/>
      <c r="X186" s="448">
        <v>542456.18000000005</v>
      </c>
      <c r="Y186" s="448">
        <v>0</v>
      </c>
      <c r="Z186" s="449">
        <v>542456.18000000005</v>
      </c>
      <c r="AA186" s="446"/>
    </row>
    <row r="187" spans="2:27" s="443" customFormat="1" ht="12" customHeight="1">
      <c r="B187" s="238">
        <v>45675</v>
      </c>
      <c r="C187" s="448"/>
      <c r="D187" s="448">
        <v>183751.38</v>
      </c>
      <c r="E187" s="448">
        <v>0</v>
      </c>
      <c r="F187" s="448">
        <v>183751.38</v>
      </c>
      <c r="G187" s="448"/>
      <c r="H187" s="448">
        <v>3193468.3</v>
      </c>
      <c r="I187" s="448">
        <v>0</v>
      </c>
      <c r="J187" s="449">
        <v>3193468.3</v>
      </c>
      <c r="K187" s="446"/>
      <c r="L187" s="448">
        <v>1112509.74</v>
      </c>
      <c r="M187" s="448">
        <v>0</v>
      </c>
      <c r="N187" s="449">
        <v>1112509.74</v>
      </c>
      <c r="O187" s="446"/>
      <c r="P187" s="448">
        <v>750178.11</v>
      </c>
      <c r="Q187" s="448">
        <v>0</v>
      </c>
      <c r="R187" s="449">
        <v>750178.11</v>
      </c>
      <c r="S187" s="446"/>
      <c r="T187" s="448">
        <v>432978.1</v>
      </c>
      <c r="U187" s="448">
        <v>0</v>
      </c>
      <c r="V187" s="449">
        <v>432978.1</v>
      </c>
      <c r="W187" s="446"/>
      <c r="X187" s="448">
        <v>542456.18000000005</v>
      </c>
      <c r="Y187" s="448">
        <v>0</v>
      </c>
      <c r="Z187" s="449">
        <v>542456.18000000005</v>
      </c>
      <c r="AA187" s="446"/>
    </row>
    <row r="188" spans="2:27" s="443" customFormat="1" ht="12" customHeight="1">
      <c r="B188" s="238">
        <v>45676</v>
      </c>
      <c r="C188" s="448"/>
      <c r="D188" s="448">
        <v>183751.38</v>
      </c>
      <c r="E188" s="448">
        <v>0</v>
      </c>
      <c r="F188" s="448">
        <v>183751.38</v>
      </c>
      <c r="G188" s="448"/>
      <c r="H188" s="448">
        <v>3193468.3</v>
      </c>
      <c r="I188" s="448">
        <v>0</v>
      </c>
      <c r="J188" s="449">
        <v>3193468.3</v>
      </c>
      <c r="K188" s="446"/>
      <c r="L188" s="448">
        <v>1112509.74</v>
      </c>
      <c r="M188" s="448">
        <v>0</v>
      </c>
      <c r="N188" s="449">
        <v>1112509.74</v>
      </c>
      <c r="O188" s="446"/>
      <c r="P188" s="448">
        <v>750178.11</v>
      </c>
      <c r="Q188" s="448">
        <v>0</v>
      </c>
      <c r="R188" s="449">
        <v>750178.11</v>
      </c>
      <c r="S188" s="446"/>
      <c r="T188" s="448">
        <v>432978.1</v>
      </c>
      <c r="U188" s="448">
        <v>0</v>
      </c>
      <c r="V188" s="449">
        <v>432978.1</v>
      </c>
      <c r="W188" s="446"/>
      <c r="X188" s="448">
        <v>542456.18000000005</v>
      </c>
      <c r="Y188" s="448">
        <v>0</v>
      </c>
      <c r="Z188" s="449">
        <v>542456.18000000005</v>
      </c>
      <c r="AA188" s="446"/>
    </row>
    <row r="189" spans="2:27" s="443" customFormat="1" ht="12" customHeight="1">
      <c r="B189" s="238">
        <v>45677</v>
      </c>
      <c r="C189" s="448"/>
      <c r="D189" s="448">
        <v>183751.38</v>
      </c>
      <c r="E189" s="448">
        <v>764530.92999990471</v>
      </c>
      <c r="F189" s="448">
        <v>948282.31</v>
      </c>
      <c r="G189" s="448"/>
      <c r="H189" s="448">
        <v>3193468.3</v>
      </c>
      <c r="I189" s="448">
        <v>534579.95000080019</v>
      </c>
      <c r="J189" s="449">
        <v>3728048.25</v>
      </c>
      <c r="K189" s="446"/>
      <c r="L189" s="448">
        <v>1112509.74</v>
      </c>
      <c r="M189" s="448">
        <v>519583.88999997266</v>
      </c>
      <c r="N189" s="449">
        <v>1632093.63</v>
      </c>
      <c r="O189" s="446"/>
      <c r="P189" s="448">
        <v>750178.11</v>
      </c>
      <c r="Q189" s="448">
        <v>-148114.97000005841</v>
      </c>
      <c r="R189" s="449">
        <v>602063.14</v>
      </c>
      <c r="S189" s="446"/>
      <c r="T189" s="448">
        <v>432978.1</v>
      </c>
      <c r="U189" s="448">
        <v>219631.83999952301</v>
      </c>
      <c r="V189" s="449">
        <v>652609.93999999994</v>
      </c>
      <c r="W189" s="446"/>
      <c r="X189" s="448">
        <v>542456.18000000005</v>
      </c>
      <c r="Y189" s="448">
        <v>0</v>
      </c>
      <c r="Z189" s="449">
        <v>542456.18000000005</v>
      </c>
      <c r="AA189" s="446"/>
    </row>
    <row r="190" spans="2:27" s="443" customFormat="1" ht="12" customHeight="1">
      <c r="B190" s="238">
        <v>45678</v>
      </c>
      <c r="C190" s="448"/>
      <c r="D190" s="448">
        <v>948282.31</v>
      </c>
      <c r="E190" s="448">
        <v>266108799.4699997</v>
      </c>
      <c r="F190" s="448">
        <v>267057081.78</v>
      </c>
      <c r="G190" s="448"/>
      <c r="H190" s="448">
        <v>3728048.25</v>
      </c>
      <c r="I190" s="448">
        <v>254323341.4499999</v>
      </c>
      <c r="J190" s="449">
        <v>258051389.69999999</v>
      </c>
      <c r="K190" s="446"/>
      <c r="L190" s="448">
        <v>1632093.63</v>
      </c>
      <c r="M190" s="448">
        <v>91220.560000032187</v>
      </c>
      <c r="N190" s="449">
        <v>1723314.19</v>
      </c>
      <c r="O190" s="446"/>
      <c r="P190" s="448">
        <v>602063.14</v>
      </c>
      <c r="Q190" s="448">
        <v>58615125.390000328</v>
      </c>
      <c r="R190" s="449">
        <v>59217188.530000001</v>
      </c>
      <c r="S190" s="446"/>
      <c r="T190" s="448">
        <v>652609.93999999994</v>
      </c>
      <c r="U190" s="448">
        <v>-155232.64000049233</v>
      </c>
      <c r="V190" s="449">
        <v>497377.3</v>
      </c>
      <c r="W190" s="446"/>
      <c r="X190" s="448">
        <v>542456.18000000005</v>
      </c>
      <c r="Y190" s="448">
        <v>107287223.45</v>
      </c>
      <c r="Z190" s="449">
        <v>107829679.63</v>
      </c>
      <c r="AA190" s="446"/>
    </row>
    <row r="191" spans="2:27" s="443" customFormat="1" ht="12" customHeight="1">
      <c r="B191" s="238">
        <v>45679</v>
      </c>
      <c r="C191" s="448"/>
      <c r="D191" s="448">
        <v>267057081.78</v>
      </c>
      <c r="E191" s="448">
        <v>-266934885.85000136</v>
      </c>
      <c r="F191" s="448">
        <v>122195.93</v>
      </c>
      <c r="G191" s="448"/>
      <c r="H191" s="448">
        <v>258051389.69999999</v>
      </c>
      <c r="I191" s="448">
        <v>-255073491.25999999</v>
      </c>
      <c r="J191" s="449">
        <v>2977898.44</v>
      </c>
      <c r="K191" s="446"/>
      <c r="L191" s="448">
        <v>1723314.19</v>
      </c>
      <c r="M191" s="448">
        <v>1160557.7100000679</v>
      </c>
      <c r="N191" s="449">
        <v>2883871.9</v>
      </c>
      <c r="O191" s="446"/>
      <c r="P191" s="448">
        <v>59217188.530000001</v>
      </c>
      <c r="Q191" s="448">
        <v>-57450522.809999928</v>
      </c>
      <c r="R191" s="449">
        <v>1766665.72</v>
      </c>
      <c r="S191" s="446"/>
      <c r="T191" s="448">
        <v>497377.3</v>
      </c>
      <c r="U191" s="448">
        <v>-2646.7299999631941</v>
      </c>
      <c r="V191" s="449">
        <v>494730.57</v>
      </c>
      <c r="W191" s="446"/>
      <c r="X191" s="448">
        <v>107829679.63</v>
      </c>
      <c r="Y191" s="448">
        <v>-107106528.66999994</v>
      </c>
      <c r="Z191" s="449">
        <v>723150.96</v>
      </c>
      <c r="AA191" s="446"/>
    </row>
    <row r="192" spans="2:27" s="443" customFormat="1" ht="12" customHeight="1">
      <c r="B192" s="238">
        <v>45680</v>
      </c>
      <c r="C192" s="448"/>
      <c r="D192" s="448">
        <v>122195.93</v>
      </c>
      <c r="E192" s="448">
        <v>165925945.94999987</v>
      </c>
      <c r="F192" s="448">
        <v>166048141.88</v>
      </c>
      <c r="G192" s="448"/>
      <c r="H192" s="448">
        <v>2977898.44</v>
      </c>
      <c r="I192" s="448">
        <v>0</v>
      </c>
      <c r="J192" s="449">
        <v>2977898.44</v>
      </c>
      <c r="K192" s="446"/>
      <c r="L192" s="448">
        <v>2883871.9</v>
      </c>
      <c r="M192" s="448">
        <v>1276482.1899999976</v>
      </c>
      <c r="N192" s="449">
        <v>4160354.09</v>
      </c>
      <c r="O192" s="446"/>
      <c r="P192" s="448">
        <v>1766665.72</v>
      </c>
      <c r="Q192" s="448">
        <v>33929.020000086166</v>
      </c>
      <c r="R192" s="449">
        <v>1800594.74</v>
      </c>
      <c r="S192" s="446"/>
      <c r="T192" s="448">
        <v>494730.57</v>
      </c>
      <c r="U192" s="448">
        <v>330578.50000016764</v>
      </c>
      <c r="V192" s="449">
        <v>825309.07</v>
      </c>
      <c r="W192" s="446"/>
      <c r="X192" s="448">
        <v>723150.96</v>
      </c>
      <c r="Y192" s="448">
        <v>0</v>
      </c>
      <c r="Z192" s="449">
        <v>723150.96</v>
      </c>
      <c r="AA192" s="446"/>
    </row>
    <row r="193" spans="2:27" s="443" customFormat="1" ht="12" customHeight="1">
      <c r="B193" s="238">
        <v>45681</v>
      </c>
      <c r="C193" s="448"/>
      <c r="D193" s="448">
        <v>166048141.88</v>
      </c>
      <c r="E193" s="448">
        <v>-165307694.53999981</v>
      </c>
      <c r="F193" s="448">
        <v>740447.34</v>
      </c>
      <c r="G193" s="448"/>
      <c r="H193" s="448">
        <v>2977898.44</v>
      </c>
      <c r="I193" s="448">
        <v>0</v>
      </c>
      <c r="J193" s="449">
        <v>2977898.44</v>
      </c>
      <c r="K193" s="446"/>
      <c r="L193" s="448">
        <v>4160354.09</v>
      </c>
      <c r="M193" s="448">
        <v>-2970016.5100000501</v>
      </c>
      <c r="N193" s="449">
        <v>1190337.58</v>
      </c>
      <c r="O193" s="446"/>
      <c r="P193" s="448">
        <v>1800594.74</v>
      </c>
      <c r="Q193" s="448">
        <v>-1752528.5499998387</v>
      </c>
      <c r="R193" s="449">
        <v>48066.19</v>
      </c>
      <c r="S193" s="446"/>
      <c r="T193" s="448">
        <v>825309.07</v>
      </c>
      <c r="U193" s="448">
        <v>-581549.23000065237</v>
      </c>
      <c r="V193" s="449">
        <v>243759.84</v>
      </c>
      <c r="W193" s="446"/>
      <c r="X193" s="448">
        <v>723150.96</v>
      </c>
      <c r="Y193" s="448">
        <v>0</v>
      </c>
      <c r="Z193" s="449">
        <v>723150.96</v>
      </c>
      <c r="AA193" s="446"/>
    </row>
    <row r="194" spans="2:27" s="443" customFormat="1" ht="12" customHeight="1">
      <c r="B194" s="238">
        <v>45682</v>
      </c>
      <c r="C194" s="448"/>
      <c r="D194" s="448">
        <v>740447.34</v>
      </c>
      <c r="E194" s="448">
        <v>0</v>
      </c>
      <c r="F194" s="448">
        <v>740447.34</v>
      </c>
      <c r="G194" s="448"/>
      <c r="H194" s="448">
        <v>2977898.44</v>
      </c>
      <c r="I194" s="448">
        <v>0</v>
      </c>
      <c r="J194" s="449">
        <v>2977898.44</v>
      </c>
      <c r="K194" s="446"/>
      <c r="L194" s="448">
        <v>1190337.58</v>
      </c>
      <c r="M194" s="448">
        <v>0</v>
      </c>
      <c r="N194" s="449">
        <v>1190337.58</v>
      </c>
      <c r="O194" s="446"/>
      <c r="P194" s="448">
        <v>48066.19</v>
      </c>
      <c r="Q194" s="448">
        <v>0</v>
      </c>
      <c r="R194" s="449">
        <v>48066.19</v>
      </c>
      <c r="S194" s="446"/>
      <c r="T194" s="448">
        <v>243759.84</v>
      </c>
      <c r="U194" s="448">
        <v>0</v>
      </c>
      <c r="V194" s="449">
        <v>243759.84</v>
      </c>
      <c r="W194" s="446"/>
      <c r="X194" s="448">
        <v>723150.96</v>
      </c>
      <c r="Y194" s="448">
        <v>0</v>
      </c>
      <c r="Z194" s="449">
        <v>723150.96</v>
      </c>
      <c r="AA194" s="446"/>
    </row>
    <row r="195" spans="2:27" s="443" customFormat="1" ht="12" customHeight="1">
      <c r="B195" s="238">
        <v>45683</v>
      </c>
      <c r="C195" s="448"/>
      <c r="D195" s="448">
        <v>740447.34</v>
      </c>
      <c r="E195" s="448">
        <v>0</v>
      </c>
      <c r="F195" s="448">
        <v>740447.34</v>
      </c>
      <c r="G195" s="448"/>
      <c r="H195" s="448">
        <v>2977898.44</v>
      </c>
      <c r="I195" s="448">
        <v>0</v>
      </c>
      <c r="J195" s="449">
        <v>2977898.44</v>
      </c>
      <c r="K195" s="446"/>
      <c r="L195" s="448">
        <v>1190337.58</v>
      </c>
      <c r="M195" s="448">
        <v>0</v>
      </c>
      <c r="N195" s="449">
        <v>1190337.58</v>
      </c>
      <c r="O195" s="446"/>
      <c r="P195" s="448">
        <v>48066.19</v>
      </c>
      <c r="Q195" s="448">
        <v>0</v>
      </c>
      <c r="R195" s="449">
        <v>48066.19</v>
      </c>
      <c r="S195" s="446"/>
      <c r="T195" s="448">
        <v>243759.84</v>
      </c>
      <c r="U195" s="448">
        <v>0</v>
      </c>
      <c r="V195" s="449">
        <v>243759.84</v>
      </c>
      <c r="W195" s="446"/>
      <c r="X195" s="448">
        <v>723150.96</v>
      </c>
      <c r="Y195" s="448">
        <v>0</v>
      </c>
      <c r="Z195" s="449">
        <v>723150.96</v>
      </c>
      <c r="AA195" s="446"/>
    </row>
    <row r="196" spans="2:27" s="443" customFormat="1" ht="12" customHeight="1">
      <c r="B196" s="238">
        <v>45684</v>
      </c>
      <c r="C196" s="448"/>
      <c r="D196" s="448">
        <v>740447.34</v>
      </c>
      <c r="E196" s="448">
        <v>-43986.670000305399</v>
      </c>
      <c r="F196" s="448">
        <v>696460.67</v>
      </c>
      <c r="G196" s="448"/>
      <c r="H196" s="448">
        <v>2977898.44</v>
      </c>
      <c r="I196" s="448">
        <v>0</v>
      </c>
      <c r="J196" s="449">
        <v>2977898.44</v>
      </c>
      <c r="K196" s="446"/>
      <c r="L196" s="448">
        <v>1190337.58</v>
      </c>
      <c r="M196" s="448">
        <v>1717366.1999999583</v>
      </c>
      <c r="N196" s="449">
        <v>2907703.78</v>
      </c>
      <c r="O196" s="446"/>
      <c r="P196" s="448">
        <v>48066.19</v>
      </c>
      <c r="Q196" s="448">
        <v>1770738.8399997521</v>
      </c>
      <c r="R196" s="449">
        <v>1818805.03</v>
      </c>
      <c r="S196" s="446"/>
      <c r="T196" s="448">
        <v>243759.84</v>
      </c>
      <c r="U196" s="448">
        <v>-142090.19000083266</v>
      </c>
      <c r="V196" s="449">
        <v>101669.65</v>
      </c>
      <c r="W196" s="446"/>
      <c r="X196" s="448">
        <v>723150.96</v>
      </c>
      <c r="Y196" s="448">
        <v>0</v>
      </c>
      <c r="Z196" s="449">
        <v>723150.96</v>
      </c>
      <c r="AA196" s="446"/>
    </row>
    <row r="197" spans="2:27" s="443" customFormat="1" ht="12" customHeight="1">
      <c r="B197" s="238">
        <v>45685</v>
      </c>
      <c r="C197" s="448"/>
      <c r="D197" s="448">
        <v>696460.67</v>
      </c>
      <c r="E197" s="448">
        <v>269957.5800000336</v>
      </c>
      <c r="F197" s="448">
        <v>966418.25</v>
      </c>
      <c r="G197" s="448"/>
      <c r="H197" s="448">
        <v>2977898.44</v>
      </c>
      <c r="I197" s="448">
        <v>280220.62999984622</v>
      </c>
      <c r="J197" s="449">
        <v>3258119.07</v>
      </c>
      <c r="K197" s="446"/>
      <c r="L197" s="448">
        <v>2907703.78</v>
      </c>
      <c r="M197" s="448">
        <v>1224168.7799999714</v>
      </c>
      <c r="N197" s="449">
        <v>4131872.56</v>
      </c>
      <c r="O197" s="446"/>
      <c r="P197" s="448">
        <v>1818805.03</v>
      </c>
      <c r="Q197" s="448">
        <v>-82806.540000362322</v>
      </c>
      <c r="R197" s="449">
        <v>1735998.49</v>
      </c>
      <c r="S197" s="446"/>
      <c r="T197" s="448">
        <v>101669.65</v>
      </c>
      <c r="U197" s="448">
        <v>620191.89999969304</v>
      </c>
      <c r="V197" s="449">
        <v>721861.55</v>
      </c>
      <c r="W197" s="446"/>
      <c r="X197" s="448">
        <v>723150.96</v>
      </c>
      <c r="Y197" s="448">
        <v>0</v>
      </c>
      <c r="Z197" s="449">
        <v>723150.96</v>
      </c>
      <c r="AA197" s="446"/>
    </row>
    <row r="198" spans="2:27" s="443" customFormat="1" ht="12" customHeight="1">
      <c r="B198" s="238">
        <v>45686</v>
      </c>
      <c r="C198" s="448"/>
      <c r="D198" s="448">
        <v>966418.25</v>
      </c>
      <c r="E198" s="448">
        <v>572138.29999947548</v>
      </c>
      <c r="F198" s="448">
        <v>1538556.55</v>
      </c>
      <c r="G198" s="448"/>
      <c r="H198" s="448">
        <v>3258119.07</v>
      </c>
      <c r="I198" s="448">
        <v>2736331.0299996138</v>
      </c>
      <c r="J198" s="449">
        <v>5994450.0999999996</v>
      </c>
      <c r="K198" s="446"/>
      <c r="L198" s="448">
        <v>4131872.56</v>
      </c>
      <c r="M198" s="448">
        <v>-2352806.369999975</v>
      </c>
      <c r="N198" s="449">
        <v>1779066.19</v>
      </c>
      <c r="O198" s="446"/>
      <c r="P198" s="448">
        <v>1735998.49</v>
      </c>
      <c r="Q198" s="448">
        <v>-598327.87000021338</v>
      </c>
      <c r="R198" s="449">
        <v>1137670.6200000001</v>
      </c>
      <c r="S198" s="446"/>
      <c r="T198" s="448">
        <v>721861.55</v>
      </c>
      <c r="U198" s="448">
        <v>165405.73999917507</v>
      </c>
      <c r="V198" s="449">
        <v>887267.29</v>
      </c>
      <c r="W198" s="446"/>
      <c r="X198" s="448">
        <v>723150.96</v>
      </c>
      <c r="Y198" s="448">
        <v>812423.85000018775</v>
      </c>
      <c r="Z198" s="449">
        <v>1535574.81</v>
      </c>
      <c r="AA198" s="446"/>
    </row>
    <row r="199" spans="2:27" s="443" customFormat="1" ht="12" customHeight="1">
      <c r="B199" s="238">
        <v>45687</v>
      </c>
      <c r="C199" s="448"/>
      <c r="D199" s="448">
        <v>1538556.55</v>
      </c>
      <c r="E199" s="448">
        <v>-1044416.4999999218</v>
      </c>
      <c r="F199" s="448">
        <v>494140.05</v>
      </c>
      <c r="G199" s="448"/>
      <c r="H199" s="448">
        <v>5994450.0999999996</v>
      </c>
      <c r="I199" s="448">
        <v>-3234805.5300002098</v>
      </c>
      <c r="J199" s="449">
        <v>2759644.57</v>
      </c>
      <c r="K199" s="446"/>
      <c r="L199" s="448">
        <v>1779066.19</v>
      </c>
      <c r="M199" s="448">
        <v>1192342.9200000167</v>
      </c>
      <c r="N199" s="449">
        <v>2971409.11</v>
      </c>
      <c r="O199" s="446"/>
      <c r="P199" s="448">
        <v>1137670.6200000001</v>
      </c>
      <c r="Q199" s="448">
        <v>-771984.30999991391</v>
      </c>
      <c r="R199" s="449">
        <v>365686.31</v>
      </c>
      <c r="S199" s="446"/>
      <c r="T199" s="448">
        <v>887267.29</v>
      </c>
      <c r="U199" s="448">
        <v>-210540.23999960348</v>
      </c>
      <c r="V199" s="449">
        <v>676727.05</v>
      </c>
      <c r="W199" s="446"/>
      <c r="X199" s="448">
        <v>1535574.81</v>
      </c>
      <c r="Y199" s="448">
        <v>0</v>
      </c>
      <c r="Z199" s="449">
        <v>1535574.81</v>
      </c>
      <c r="AA199" s="446"/>
    </row>
    <row r="200" spans="2:27" s="443" customFormat="1" ht="12" customHeight="1">
      <c r="B200" s="238">
        <v>45688</v>
      </c>
      <c r="C200" s="448"/>
      <c r="D200" s="448">
        <v>494140.05</v>
      </c>
      <c r="E200" s="448">
        <v>652109.86999979056</v>
      </c>
      <c r="F200" s="448">
        <v>1146249.92</v>
      </c>
      <c r="G200" s="448"/>
      <c r="H200" s="448">
        <v>2759644.57</v>
      </c>
      <c r="I200" s="448">
        <v>0</v>
      </c>
      <c r="J200" s="449">
        <v>2759644.57</v>
      </c>
      <c r="K200" s="446"/>
      <c r="L200" s="448">
        <v>2971409.11</v>
      </c>
      <c r="M200" s="448">
        <v>984659.93000000715</v>
      </c>
      <c r="N200" s="449">
        <v>3956069.04</v>
      </c>
      <c r="O200" s="446"/>
      <c r="P200" s="448">
        <v>365686.31</v>
      </c>
      <c r="Q200" s="448">
        <v>338931.68000013381</v>
      </c>
      <c r="R200" s="449">
        <v>704617.99</v>
      </c>
      <c r="S200" s="446"/>
      <c r="T200" s="448">
        <v>676727.05</v>
      </c>
      <c r="U200" s="448">
        <v>-557671.06999937072</v>
      </c>
      <c r="V200" s="449">
        <v>119055.98</v>
      </c>
      <c r="W200" s="446"/>
      <c r="X200" s="448">
        <v>1535574.81</v>
      </c>
      <c r="Y200" s="448">
        <v>0</v>
      </c>
      <c r="Z200" s="449">
        <v>1535574.81</v>
      </c>
      <c r="AA200" s="446"/>
    </row>
    <row r="201" spans="2:27" s="443" customFormat="1" ht="12" customHeight="1">
      <c r="B201" s="238">
        <v>45689</v>
      </c>
      <c r="C201" s="448"/>
      <c r="D201" s="448">
        <v>1146249.92</v>
      </c>
      <c r="E201" s="448">
        <v>0</v>
      </c>
      <c r="F201" s="448">
        <v>1146249.92</v>
      </c>
      <c r="G201" s="448"/>
      <c r="H201" s="448">
        <v>2759644.57</v>
      </c>
      <c r="I201" s="448">
        <v>0</v>
      </c>
      <c r="J201" s="449">
        <v>2759644.57</v>
      </c>
      <c r="K201" s="446"/>
      <c r="L201" s="448">
        <v>3956069.04</v>
      </c>
      <c r="M201" s="448">
        <v>0</v>
      </c>
      <c r="N201" s="449">
        <v>3956069.04</v>
      </c>
      <c r="O201" s="446"/>
      <c r="P201" s="448">
        <v>704617.99</v>
      </c>
      <c r="Q201" s="448">
        <v>0</v>
      </c>
      <c r="R201" s="449">
        <v>704617.99</v>
      </c>
      <c r="S201" s="446"/>
      <c r="T201" s="448">
        <v>119055.98</v>
      </c>
      <c r="U201" s="448">
        <v>0</v>
      </c>
      <c r="V201" s="449">
        <v>119055.98</v>
      </c>
      <c r="W201" s="446"/>
      <c r="X201" s="448">
        <v>1535574.81</v>
      </c>
      <c r="Y201" s="448">
        <v>0</v>
      </c>
      <c r="Z201" s="449">
        <v>1535574.81</v>
      </c>
      <c r="AA201" s="446"/>
    </row>
    <row r="202" spans="2:27" s="443" customFormat="1" ht="12" customHeight="1">
      <c r="B202" s="238">
        <v>45690</v>
      </c>
      <c r="C202" s="448"/>
      <c r="D202" s="448">
        <v>1146249.92</v>
      </c>
      <c r="E202" s="448">
        <v>0</v>
      </c>
      <c r="F202" s="448">
        <v>1146249.92</v>
      </c>
      <c r="G202" s="448"/>
      <c r="H202" s="448">
        <v>2759644.57</v>
      </c>
      <c r="I202" s="448">
        <v>0</v>
      </c>
      <c r="J202" s="449">
        <v>2759644.57</v>
      </c>
      <c r="K202" s="446"/>
      <c r="L202" s="448">
        <v>3956069.04</v>
      </c>
      <c r="M202" s="448">
        <v>0</v>
      </c>
      <c r="N202" s="449">
        <v>3956069.04</v>
      </c>
      <c r="O202" s="446"/>
      <c r="P202" s="448">
        <v>704617.99</v>
      </c>
      <c r="Q202" s="448">
        <v>0</v>
      </c>
      <c r="R202" s="449">
        <v>704617.99</v>
      </c>
      <c r="S202" s="446"/>
      <c r="T202" s="448">
        <v>119055.98</v>
      </c>
      <c r="U202" s="448">
        <v>0</v>
      </c>
      <c r="V202" s="449">
        <v>119055.98</v>
      </c>
      <c r="W202" s="446"/>
      <c r="X202" s="448">
        <v>1535574.81</v>
      </c>
      <c r="Y202" s="448">
        <v>0</v>
      </c>
      <c r="Z202" s="449">
        <v>1535574.81</v>
      </c>
      <c r="AA202" s="446"/>
    </row>
    <row r="203" spans="2:27" s="443" customFormat="1" ht="12" customHeight="1">
      <c r="B203" s="238">
        <v>45691</v>
      </c>
      <c r="C203" s="448"/>
      <c r="D203" s="448">
        <v>1146249.92</v>
      </c>
      <c r="E203" s="448">
        <v>-765659.57000014931</v>
      </c>
      <c r="F203" s="448">
        <v>380590.35</v>
      </c>
      <c r="G203" s="448"/>
      <c r="H203" s="448">
        <v>2759644.57</v>
      </c>
      <c r="I203" s="448">
        <v>0</v>
      </c>
      <c r="J203" s="449">
        <v>2759644.57</v>
      </c>
      <c r="K203" s="446"/>
      <c r="L203" s="448">
        <v>3956069.04</v>
      </c>
      <c r="M203" s="448">
        <v>1199855.0900000036</v>
      </c>
      <c r="N203" s="449">
        <v>5155924.13</v>
      </c>
      <c r="O203" s="446"/>
      <c r="P203" s="448">
        <v>704617.99</v>
      </c>
      <c r="Q203" s="448">
        <v>-657628.47999995202</v>
      </c>
      <c r="R203" s="449">
        <v>46989.51</v>
      </c>
      <c r="S203" s="446"/>
      <c r="T203" s="448">
        <v>119055.98</v>
      </c>
      <c r="U203" s="448">
        <v>3819.6999996937811</v>
      </c>
      <c r="V203" s="449">
        <v>122875.68</v>
      </c>
      <c r="W203" s="446"/>
      <c r="X203" s="448">
        <v>1535574.81</v>
      </c>
      <c r="Y203" s="448">
        <v>0</v>
      </c>
      <c r="Z203" s="449">
        <v>1535574.81</v>
      </c>
      <c r="AA203" s="446"/>
    </row>
    <row r="204" spans="2:27" s="443" customFormat="1" ht="12" customHeight="1">
      <c r="B204" s="238">
        <v>45692</v>
      </c>
      <c r="C204" s="448"/>
      <c r="D204" s="448">
        <v>380590.35</v>
      </c>
      <c r="E204" s="448">
        <v>492171.83000013418</v>
      </c>
      <c r="F204" s="448">
        <v>872762.18</v>
      </c>
      <c r="G204" s="448"/>
      <c r="H204" s="448">
        <v>2759644.57</v>
      </c>
      <c r="I204" s="448">
        <v>0</v>
      </c>
      <c r="J204" s="449">
        <v>2759644.57</v>
      </c>
      <c r="K204" s="446"/>
      <c r="L204" s="448">
        <v>5155924.13</v>
      </c>
      <c r="M204" s="448">
        <v>585408.17999994755</v>
      </c>
      <c r="N204" s="449">
        <v>5741332.3099999996</v>
      </c>
      <c r="O204" s="446"/>
      <c r="P204" s="448">
        <v>46989.51</v>
      </c>
      <c r="Q204" s="448">
        <v>487288.05999997258</v>
      </c>
      <c r="R204" s="449">
        <v>534277.56999999995</v>
      </c>
      <c r="S204" s="446"/>
      <c r="T204" s="448">
        <v>122875.68</v>
      </c>
      <c r="U204" s="448">
        <v>609064.89999977499</v>
      </c>
      <c r="V204" s="449">
        <v>731940.58</v>
      </c>
      <c r="W204" s="446"/>
      <c r="X204" s="448">
        <v>1535574.81</v>
      </c>
      <c r="Y204" s="448">
        <v>0</v>
      </c>
      <c r="Z204" s="449">
        <v>1535574.81</v>
      </c>
      <c r="AA204" s="446"/>
    </row>
    <row r="205" spans="2:27" s="443" customFormat="1" ht="12" customHeight="1">
      <c r="B205" s="238">
        <v>45693</v>
      </c>
      <c r="C205" s="448"/>
      <c r="D205" s="448">
        <v>872762.18</v>
      </c>
      <c r="E205" s="448">
        <v>-282267.19999812916</v>
      </c>
      <c r="F205" s="448">
        <v>590494.98</v>
      </c>
      <c r="G205" s="448"/>
      <c r="H205" s="448">
        <v>2759644.57</v>
      </c>
      <c r="I205" s="448">
        <v>0</v>
      </c>
      <c r="J205" s="449">
        <v>2759644.57</v>
      </c>
      <c r="K205" s="446"/>
      <c r="L205" s="448">
        <v>5741332.3099999996</v>
      </c>
      <c r="M205" s="448">
        <v>0</v>
      </c>
      <c r="N205" s="449">
        <v>5741332.3099999996</v>
      </c>
      <c r="O205" s="446"/>
      <c r="P205" s="448">
        <v>534277.56999999995</v>
      </c>
      <c r="Q205" s="448">
        <v>-454980.74000012316</v>
      </c>
      <c r="R205" s="449">
        <v>79296.83</v>
      </c>
      <c r="S205" s="446"/>
      <c r="T205" s="448">
        <v>731940.58</v>
      </c>
      <c r="U205" s="448">
        <v>-599305.22999965772</v>
      </c>
      <c r="V205" s="449">
        <v>132635.35</v>
      </c>
      <c r="W205" s="446"/>
      <c r="X205" s="448">
        <v>1535574.81</v>
      </c>
      <c r="Y205" s="448">
        <v>-824409.35000015236</v>
      </c>
      <c r="Z205" s="449">
        <v>711165.46</v>
      </c>
      <c r="AA205" s="446"/>
    </row>
    <row r="206" spans="2:27" s="443" customFormat="1" ht="12" customHeight="1">
      <c r="B206" s="238">
        <v>45694</v>
      </c>
      <c r="C206" s="448"/>
      <c r="D206" s="448">
        <v>590494.98</v>
      </c>
      <c r="E206" s="448">
        <v>-478782.5899998825</v>
      </c>
      <c r="F206" s="448">
        <v>111712.39</v>
      </c>
      <c r="G206" s="448"/>
      <c r="H206" s="448">
        <v>2759644.57</v>
      </c>
      <c r="I206" s="448">
        <v>0</v>
      </c>
      <c r="J206" s="449">
        <v>2759644.57</v>
      </c>
      <c r="K206" s="446"/>
      <c r="L206" s="448">
        <v>5741332.3099999996</v>
      </c>
      <c r="M206" s="448">
        <v>0</v>
      </c>
      <c r="N206" s="449">
        <v>5741332.3099999996</v>
      </c>
      <c r="O206" s="446"/>
      <c r="P206" s="448">
        <v>79296.83</v>
      </c>
      <c r="Q206" s="448">
        <v>232188.62999992352</v>
      </c>
      <c r="R206" s="449">
        <v>311485.46000000002</v>
      </c>
      <c r="S206" s="446"/>
      <c r="T206" s="448">
        <v>132635.35</v>
      </c>
      <c r="U206" s="448">
        <v>555594.60000085458</v>
      </c>
      <c r="V206" s="449">
        <v>688229.95</v>
      </c>
      <c r="W206" s="446"/>
      <c r="X206" s="448">
        <v>711165.46</v>
      </c>
      <c r="Y206" s="448">
        <v>0</v>
      </c>
      <c r="Z206" s="449">
        <v>711165.46</v>
      </c>
      <c r="AA206" s="446"/>
    </row>
    <row r="207" spans="2:27" s="443" customFormat="1" ht="12" customHeight="1">
      <c r="B207" s="238">
        <v>45695</v>
      </c>
      <c r="C207" s="448"/>
      <c r="D207" s="448">
        <v>111712.39</v>
      </c>
      <c r="E207" s="448">
        <v>563351.37000009511</v>
      </c>
      <c r="F207" s="448">
        <v>675063.76</v>
      </c>
      <c r="G207" s="448"/>
      <c r="H207" s="448">
        <v>2759644.57</v>
      </c>
      <c r="I207" s="448">
        <v>0</v>
      </c>
      <c r="J207" s="449">
        <v>2759644.57</v>
      </c>
      <c r="K207" s="446"/>
      <c r="L207" s="448">
        <v>5741332.3099999996</v>
      </c>
      <c r="M207" s="448">
        <v>0</v>
      </c>
      <c r="N207" s="449">
        <v>5741332.3099999996</v>
      </c>
      <c r="O207" s="446"/>
      <c r="P207" s="448">
        <v>311485.46000000002</v>
      </c>
      <c r="Q207" s="448">
        <v>405505.50000001909</v>
      </c>
      <c r="R207" s="449">
        <v>716990.96</v>
      </c>
      <c r="S207" s="446"/>
      <c r="T207" s="448">
        <v>688229.95</v>
      </c>
      <c r="U207" s="448">
        <v>-399736.55999912322</v>
      </c>
      <c r="V207" s="449">
        <v>288493.39</v>
      </c>
      <c r="W207" s="446"/>
      <c r="X207" s="448">
        <v>711165.46</v>
      </c>
      <c r="Y207" s="448">
        <v>0</v>
      </c>
      <c r="Z207" s="449">
        <v>711165.46</v>
      </c>
      <c r="AA207" s="446"/>
    </row>
    <row r="208" spans="2:27" s="443" customFormat="1" ht="12" customHeight="1">
      <c r="B208" s="238">
        <v>45696</v>
      </c>
      <c r="C208" s="448"/>
      <c r="D208" s="448">
        <v>675063.76</v>
      </c>
      <c r="E208" s="448">
        <v>0</v>
      </c>
      <c r="F208" s="448">
        <v>675063.76</v>
      </c>
      <c r="G208" s="448"/>
      <c r="H208" s="448">
        <v>2759644.57</v>
      </c>
      <c r="I208" s="448">
        <v>0</v>
      </c>
      <c r="J208" s="449">
        <v>2759644.57</v>
      </c>
      <c r="K208" s="446"/>
      <c r="L208" s="448">
        <v>5741332.3099999996</v>
      </c>
      <c r="M208" s="448">
        <v>0</v>
      </c>
      <c r="N208" s="449">
        <v>5741332.3099999996</v>
      </c>
      <c r="O208" s="446"/>
      <c r="P208" s="448">
        <v>716990.96</v>
      </c>
      <c r="Q208" s="448">
        <v>0</v>
      </c>
      <c r="R208" s="449">
        <v>716990.96</v>
      </c>
      <c r="S208" s="446"/>
      <c r="T208" s="448">
        <v>288493.39</v>
      </c>
      <c r="U208" s="448">
        <v>0</v>
      </c>
      <c r="V208" s="449">
        <v>288493.39</v>
      </c>
      <c r="W208" s="446"/>
      <c r="X208" s="448">
        <v>711165.46</v>
      </c>
      <c r="Y208" s="448">
        <v>0</v>
      </c>
      <c r="Z208" s="449">
        <v>711165.46</v>
      </c>
      <c r="AA208" s="446"/>
    </row>
    <row r="209" spans="2:27" s="443" customFormat="1" ht="12" customHeight="1">
      <c r="B209" s="238">
        <v>45697</v>
      </c>
      <c r="C209" s="448"/>
      <c r="D209" s="448">
        <v>675063.76</v>
      </c>
      <c r="E209" s="448">
        <v>0</v>
      </c>
      <c r="F209" s="448">
        <v>675063.76</v>
      </c>
      <c r="G209" s="448"/>
      <c r="H209" s="448">
        <v>2759644.57</v>
      </c>
      <c r="I209" s="448">
        <v>0</v>
      </c>
      <c r="J209" s="449">
        <v>2759644.57</v>
      </c>
      <c r="K209" s="446"/>
      <c r="L209" s="448">
        <v>5741332.3099999996</v>
      </c>
      <c r="M209" s="448">
        <v>0</v>
      </c>
      <c r="N209" s="449">
        <v>5741332.3099999996</v>
      </c>
      <c r="O209" s="446"/>
      <c r="P209" s="448">
        <v>716990.96</v>
      </c>
      <c r="Q209" s="448">
        <v>0</v>
      </c>
      <c r="R209" s="449">
        <v>716990.96</v>
      </c>
      <c r="S209" s="446"/>
      <c r="T209" s="448">
        <v>288493.39</v>
      </c>
      <c r="U209" s="448">
        <v>0</v>
      </c>
      <c r="V209" s="449">
        <v>288493.39</v>
      </c>
      <c r="W209" s="446"/>
      <c r="X209" s="448">
        <v>711165.46</v>
      </c>
      <c r="Y209" s="448">
        <v>0</v>
      </c>
      <c r="Z209" s="449">
        <v>711165.46</v>
      </c>
      <c r="AA209" s="446"/>
    </row>
    <row r="210" spans="2:27" s="443" customFormat="1" ht="12" customHeight="1">
      <c r="B210" s="238">
        <v>45698</v>
      </c>
      <c r="C210" s="448"/>
      <c r="D210" s="448">
        <v>675063.76</v>
      </c>
      <c r="E210" s="448">
        <v>713905.10000019986</v>
      </c>
      <c r="F210" s="448">
        <v>1388968.86</v>
      </c>
      <c r="G210" s="448"/>
      <c r="H210" s="448">
        <v>2759644.57</v>
      </c>
      <c r="I210" s="448">
        <v>0</v>
      </c>
      <c r="J210" s="449">
        <v>2759644.57</v>
      </c>
      <c r="K210" s="446"/>
      <c r="L210" s="448">
        <v>5741332.3099999996</v>
      </c>
      <c r="M210" s="448">
        <v>0</v>
      </c>
      <c r="N210" s="449">
        <v>5741332.3099999996</v>
      </c>
      <c r="O210" s="446"/>
      <c r="P210" s="448">
        <v>716990.96</v>
      </c>
      <c r="Q210" s="448">
        <v>-48647.230000040494</v>
      </c>
      <c r="R210" s="449">
        <v>668343.73</v>
      </c>
      <c r="S210" s="446"/>
      <c r="T210" s="448">
        <v>288493.39</v>
      </c>
      <c r="U210" s="448">
        <v>-54686.499999552965</v>
      </c>
      <c r="V210" s="449">
        <v>233806.89</v>
      </c>
      <c r="W210" s="446"/>
      <c r="X210" s="448">
        <v>711165.46</v>
      </c>
      <c r="Y210" s="448">
        <v>0</v>
      </c>
      <c r="Z210" s="449">
        <v>711165.46</v>
      </c>
      <c r="AA210" s="446"/>
    </row>
    <row r="211" spans="2:27" s="443" customFormat="1" ht="12" customHeight="1">
      <c r="B211" s="238">
        <v>45699</v>
      </c>
      <c r="C211" s="448"/>
      <c r="D211" s="448">
        <v>1388968.86</v>
      </c>
      <c r="E211" s="448">
        <v>-572348.25000011176</v>
      </c>
      <c r="F211" s="448">
        <v>816620.61</v>
      </c>
      <c r="G211" s="448"/>
      <c r="H211" s="448">
        <v>2759644.57</v>
      </c>
      <c r="I211" s="448">
        <v>0</v>
      </c>
      <c r="J211" s="449">
        <v>2759644.57</v>
      </c>
      <c r="K211" s="446"/>
      <c r="L211" s="448">
        <v>5741332.3099999996</v>
      </c>
      <c r="M211" s="448">
        <v>-4352767.4299999923</v>
      </c>
      <c r="N211" s="449">
        <v>1388564.88</v>
      </c>
      <c r="O211" s="446"/>
      <c r="P211" s="448">
        <v>668343.73</v>
      </c>
      <c r="Q211" s="448">
        <v>93981.58999979496</v>
      </c>
      <c r="R211" s="449">
        <v>762325.32</v>
      </c>
      <c r="S211" s="446"/>
      <c r="T211" s="448">
        <v>233806.89</v>
      </c>
      <c r="U211" s="448">
        <v>-68191.240000724792</v>
      </c>
      <c r="V211" s="449">
        <v>165615.65</v>
      </c>
      <c r="W211" s="446"/>
      <c r="X211" s="448">
        <v>711165.46</v>
      </c>
      <c r="Y211" s="448">
        <v>0</v>
      </c>
      <c r="Z211" s="449">
        <v>711165.46</v>
      </c>
      <c r="AA211" s="446"/>
    </row>
    <row r="212" spans="2:27" s="443" customFormat="1" ht="12" customHeight="1">
      <c r="B212" s="238">
        <v>45700</v>
      </c>
      <c r="C212" s="448"/>
      <c r="D212" s="448">
        <v>816620.61</v>
      </c>
      <c r="E212" s="448">
        <v>76944.070000745356</v>
      </c>
      <c r="F212" s="448">
        <v>893564.68</v>
      </c>
      <c r="G212" s="448"/>
      <c r="H212" s="448">
        <v>2759644.57</v>
      </c>
      <c r="I212" s="448">
        <v>0</v>
      </c>
      <c r="J212" s="449">
        <v>2759644.57</v>
      </c>
      <c r="K212" s="446"/>
      <c r="L212" s="448">
        <v>1388564.88</v>
      </c>
      <c r="M212" s="448">
        <v>0</v>
      </c>
      <c r="N212" s="449">
        <v>1388564.88</v>
      </c>
      <c r="O212" s="446"/>
      <c r="P212" s="448">
        <v>762325.32</v>
      </c>
      <c r="Q212" s="448">
        <v>180294.80000043847</v>
      </c>
      <c r="R212" s="449">
        <v>942620.12</v>
      </c>
      <c r="S212" s="446"/>
      <c r="T212" s="448">
        <v>165615.65</v>
      </c>
      <c r="U212" s="448">
        <v>286899.67999996617</v>
      </c>
      <c r="V212" s="449">
        <v>452515.33</v>
      </c>
      <c r="W212" s="446"/>
      <c r="X212" s="448">
        <v>711165.46</v>
      </c>
      <c r="Y212" s="448">
        <v>-474820.61000005715</v>
      </c>
      <c r="Z212" s="449">
        <v>236344.85</v>
      </c>
      <c r="AA212" s="446"/>
    </row>
    <row r="213" spans="2:27" s="443" customFormat="1" ht="12" customHeight="1">
      <c r="B213" s="238">
        <v>45701</v>
      </c>
      <c r="C213" s="448"/>
      <c r="D213" s="448">
        <v>893564.68</v>
      </c>
      <c r="E213" s="448">
        <v>-694314.17000017129</v>
      </c>
      <c r="F213" s="448">
        <v>199250.51</v>
      </c>
      <c r="G213" s="448"/>
      <c r="H213" s="448">
        <v>2759644.57</v>
      </c>
      <c r="I213" s="448">
        <v>1951781.3999998458</v>
      </c>
      <c r="J213" s="449">
        <v>4711425.97</v>
      </c>
      <c r="K213" s="446"/>
      <c r="L213" s="448">
        <v>1388564.88</v>
      </c>
      <c r="M213" s="448">
        <v>0</v>
      </c>
      <c r="N213" s="449">
        <v>1388564.88</v>
      </c>
      <c r="O213" s="446"/>
      <c r="P213" s="448">
        <v>942620.12</v>
      </c>
      <c r="Q213" s="448">
        <v>-174549.47000000486</v>
      </c>
      <c r="R213" s="449">
        <v>768070.65</v>
      </c>
      <c r="S213" s="446"/>
      <c r="T213" s="448">
        <v>452515.33</v>
      </c>
      <c r="U213" s="448">
        <v>437021.16000047326</v>
      </c>
      <c r="V213" s="449">
        <v>889536.49</v>
      </c>
      <c r="W213" s="446"/>
      <c r="X213" s="448">
        <v>236344.85</v>
      </c>
      <c r="Y213" s="448">
        <v>0</v>
      </c>
      <c r="Z213" s="449">
        <v>236344.85</v>
      </c>
      <c r="AA213" s="446"/>
    </row>
    <row r="214" spans="2:27" s="443" customFormat="1" ht="12" customHeight="1">
      <c r="B214" s="238">
        <v>45702</v>
      </c>
      <c r="C214" s="448"/>
      <c r="D214" s="448">
        <v>199250.51</v>
      </c>
      <c r="E214" s="448">
        <v>763847.41999999061</v>
      </c>
      <c r="F214" s="448">
        <v>963097.93</v>
      </c>
      <c r="G214" s="448"/>
      <c r="H214" s="448">
        <v>4711425.97</v>
      </c>
      <c r="I214" s="448">
        <v>-1850868.5800001919</v>
      </c>
      <c r="J214" s="449">
        <v>2860557.39</v>
      </c>
      <c r="K214" s="446"/>
      <c r="L214" s="448">
        <v>1388564.88</v>
      </c>
      <c r="M214" s="448">
        <v>0</v>
      </c>
      <c r="N214" s="449">
        <v>1388564.88</v>
      </c>
      <c r="O214" s="446"/>
      <c r="P214" s="448">
        <v>768070.65</v>
      </c>
      <c r="Q214" s="448">
        <v>-355957.91999999993</v>
      </c>
      <c r="R214" s="449">
        <v>412112.73</v>
      </c>
      <c r="S214" s="446"/>
      <c r="T214" s="448">
        <v>889536.49</v>
      </c>
      <c r="U214" s="448">
        <v>-283635.76999858767</v>
      </c>
      <c r="V214" s="449">
        <v>605900.72</v>
      </c>
      <c r="W214" s="446"/>
      <c r="X214" s="448">
        <v>236344.85</v>
      </c>
      <c r="Y214" s="448">
        <v>0</v>
      </c>
      <c r="Z214" s="449">
        <v>236344.85</v>
      </c>
      <c r="AA214" s="446"/>
    </row>
    <row r="215" spans="2:27" s="443" customFormat="1" ht="12" customHeight="1">
      <c r="B215" s="238">
        <v>45703</v>
      </c>
      <c r="C215" s="448"/>
      <c r="D215" s="448">
        <v>963097.93</v>
      </c>
      <c r="E215" s="448">
        <v>0</v>
      </c>
      <c r="F215" s="448">
        <v>963097.93</v>
      </c>
      <c r="G215" s="448"/>
      <c r="H215" s="448">
        <v>2860557.39</v>
      </c>
      <c r="I215" s="448">
        <v>0</v>
      </c>
      <c r="J215" s="449">
        <v>2860557.39</v>
      </c>
      <c r="K215" s="446"/>
      <c r="L215" s="448">
        <v>1388564.88</v>
      </c>
      <c r="M215" s="448">
        <v>0</v>
      </c>
      <c r="N215" s="449">
        <v>1388564.88</v>
      </c>
      <c r="O215" s="446"/>
      <c r="P215" s="448">
        <v>412112.73</v>
      </c>
      <c r="Q215" s="448">
        <v>0</v>
      </c>
      <c r="R215" s="449">
        <v>412112.73</v>
      </c>
      <c r="S215" s="446"/>
      <c r="T215" s="448">
        <v>605900.72</v>
      </c>
      <c r="U215" s="448">
        <v>0</v>
      </c>
      <c r="V215" s="449">
        <v>605900.72</v>
      </c>
      <c r="W215" s="446"/>
      <c r="X215" s="448">
        <v>236344.85</v>
      </c>
      <c r="Y215" s="448">
        <v>0</v>
      </c>
      <c r="Z215" s="449">
        <v>236344.85</v>
      </c>
      <c r="AA215" s="446"/>
    </row>
    <row r="216" spans="2:27" s="443" customFormat="1" ht="12" customHeight="1">
      <c r="B216" s="238">
        <v>45704</v>
      </c>
      <c r="C216" s="448"/>
      <c r="D216" s="448">
        <v>963097.93</v>
      </c>
      <c r="E216" s="448">
        <v>0</v>
      </c>
      <c r="F216" s="448">
        <v>963097.93</v>
      </c>
      <c r="G216" s="448"/>
      <c r="H216" s="448">
        <v>2860557.39</v>
      </c>
      <c r="I216" s="448">
        <v>0</v>
      </c>
      <c r="J216" s="449">
        <v>2860557.39</v>
      </c>
      <c r="K216" s="446"/>
      <c r="L216" s="448">
        <v>1388564.88</v>
      </c>
      <c r="M216" s="448">
        <v>0</v>
      </c>
      <c r="N216" s="449">
        <v>1388564.88</v>
      </c>
      <c r="O216" s="446"/>
      <c r="P216" s="448">
        <v>412112.73</v>
      </c>
      <c r="Q216" s="448">
        <v>0</v>
      </c>
      <c r="R216" s="449">
        <v>412112.73</v>
      </c>
      <c r="S216" s="446"/>
      <c r="T216" s="448">
        <v>605900.72</v>
      </c>
      <c r="U216" s="448">
        <v>0</v>
      </c>
      <c r="V216" s="449">
        <v>605900.72</v>
      </c>
      <c r="W216" s="446"/>
      <c r="X216" s="448">
        <v>236344.85</v>
      </c>
      <c r="Y216" s="448">
        <v>0</v>
      </c>
      <c r="Z216" s="449">
        <v>236344.85</v>
      </c>
      <c r="AA216" s="446"/>
    </row>
    <row r="217" spans="2:27" s="443" customFormat="1" ht="12" customHeight="1">
      <c r="B217" s="238">
        <v>45705</v>
      </c>
      <c r="C217" s="448"/>
      <c r="D217" s="448">
        <v>963097.93</v>
      </c>
      <c r="E217" s="448">
        <v>42571.380000028759</v>
      </c>
      <c r="F217" s="448">
        <v>1005669.31</v>
      </c>
      <c r="G217" s="448"/>
      <c r="H217" s="448">
        <v>2860557.39</v>
      </c>
      <c r="I217" s="448">
        <v>0</v>
      </c>
      <c r="J217" s="449">
        <v>2860557.39</v>
      </c>
      <c r="K217" s="446"/>
      <c r="L217" s="448">
        <v>1388564.88</v>
      </c>
      <c r="M217" s="448">
        <v>0</v>
      </c>
      <c r="N217" s="449">
        <v>1388564.88</v>
      </c>
      <c r="O217" s="446"/>
      <c r="P217" s="448">
        <v>412112.73</v>
      </c>
      <c r="Q217" s="448">
        <v>-224798.32000005711</v>
      </c>
      <c r="R217" s="449">
        <v>187314.41</v>
      </c>
      <c r="S217" s="446"/>
      <c r="T217" s="448">
        <v>605900.72</v>
      </c>
      <c r="U217" s="448">
        <v>-443966.65999977291</v>
      </c>
      <c r="V217" s="449">
        <v>161934.06</v>
      </c>
      <c r="W217" s="446"/>
      <c r="X217" s="448">
        <v>236344.85</v>
      </c>
      <c r="Y217" s="448">
        <v>0</v>
      </c>
      <c r="Z217" s="449">
        <v>236344.85</v>
      </c>
      <c r="AA217" s="446"/>
    </row>
    <row r="218" spans="2:27" s="443" customFormat="1" ht="12" customHeight="1">
      <c r="B218" s="238">
        <v>45706</v>
      </c>
      <c r="C218" s="448"/>
      <c r="D218" s="448">
        <v>1005669.31</v>
      </c>
      <c r="E218" s="448">
        <v>472280.15999995265</v>
      </c>
      <c r="F218" s="448">
        <v>1477949.47</v>
      </c>
      <c r="G218" s="448"/>
      <c r="H218" s="448">
        <v>2860557.39</v>
      </c>
      <c r="I218" s="448">
        <v>0</v>
      </c>
      <c r="J218" s="449">
        <v>2860557.39</v>
      </c>
      <c r="K218" s="446"/>
      <c r="L218" s="448">
        <v>1388564.88</v>
      </c>
      <c r="M218" s="448">
        <v>930651.22000008821</v>
      </c>
      <c r="N218" s="449">
        <v>2319216.1</v>
      </c>
      <c r="O218" s="446"/>
      <c r="P218" s="448">
        <v>187314.41</v>
      </c>
      <c r="Q218" s="448">
        <v>430181.82000007154</v>
      </c>
      <c r="R218" s="449">
        <v>617496.23</v>
      </c>
      <c r="S218" s="446"/>
      <c r="T218" s="448">
        <v>161934.06</v>
      </c>
      <c r="U218" s="448">
        <v>156421.02000018954</v>
      </c>
      <c r="V218" s="449">
        <v>318355.08</v>
      </c>
      <c r="W218" s="446"/>
      <c r="X218" s="448">
        <v>236344.85</v>
      </c>
      <c r="Y218" s="448">
        <v>0</v>
      </c>
      <c r="Z218" s="449">
        <v>236344.85</v>
      </c>
      <c r="AA218" s="446"/>
    </row>
    <row r="219" spans="2:27" s="443" customFormat="1" ht="12" customHeight="1">
      <c r="B219" s="238">
        <v>45707</v>
      </c>
      <c r="C219" s="448"/>
      <c r="D219" s="448">
        <v>1477949.47</v>
      </c>
      <c r="E219" s="448">
        <v>1101593.9700002708</v>
      </c>
      <c r="F219" s="448">
        <v>2579543.44</v>
      </c>
      <c r="G219" s="448"/>
      <c r="H219" s="448">
        <v>2860557.39</v>
      </c>
      <c r="I219" s="448">
        <v>0</v>
      </c>
      <c r="J219" s="449">
        <v>2860557.39</v>
      </c>
      <c r="K219" s="446"/>
      <c r="L219" s="448">
        <v>2319216.1</v>
      </c>
      <c r="M219" s="448">
        <v>382618.45999994129</v>
      </c>
      <c r="N219" s="449">
        <v>2701834.56</v>
      </c>
      <c r="O219" s="446"/>
      <c r="P219" s="448">
        <v>617496.23</v>
      </c>
      <c r="Q219" s="448">
        <v>-580180.87000058684</v>
      </c>
      <c r="R219" s="449">
        <v>37315.360000000001</v>
      </c>
      <c r="S219" s="446"/>
      <c r="T219" s="448">
        <v>318355.08</v>
      </c>
      <c r="U219" s="448">
        <v>402145.54000064731</v>
      </c>
      <c r="V219" s="449">
        <v>720500.62</v>
      </c>
      <c r="W219" s="446"/>
      <c r="X219" s="448">
        <v>236344.85</v>
      </c>
      <c r="Y219" s="448">
        <v>346727.84999972396</v>
      </c>
      <c r="Z219" s="449">
        <v>583072.69999999995</v>
      </c>
      <c r="AA219" s="446"/>
    </row>
    <row r="220" spans="2:27" s="443" customFormat="1" ht="12" customHeight="1">
      <c r="B220" s="238">
        <v>45708</v>
      </c>
      <c r="C220" s="448"/>
      <c r="D220" s="448">
        <v>2579543.44</v>
      </c>
      <c r="E220" s="448">
        <v>-2354139.8799989605</v>
      </c>
      <c r="F220" s="448">
        <v>225403.56</v>
      </c>
      <c r="G220" s="448"/>
      <c r="H220" s="448">
        <v>2860557.39</v>
      </c>
      <c r="I220" s="448">
        <v>0</v>
      </c>
      <c r="J220" s="449">
        <v>2860557.39</v>
      </c>
      <c r="K220" s="446"/>
      <c r="L220" s="448">
        <v>2701834.56</v>
      </c>
      <c r="M220" s="448">
        <v>400340.46999999881</v>
      </c>
      <c r="N220" s="449">
        <v>3102175.03</v>
      </c>
      <c r="O220" s="446"/>
      <c r="P220" s="448">
        <v>37315.360000000001</v>
      </c>
      <c r="Q220" s="448">
        <v>368589.86999996658</v>
      </c>
      <c r="R220" s="449">
        <v>405905.23</v>
      </c>
      <c r="S220" s="446"/>
      <c r="T220" s="448">
        <v>720500.62</v>
      </c>
      <c r="U220" s="448">
        <v>-3746.5500001907349</v>
      </c>
      <c r="V220" s="449">
        <v>716754.07</v>
      </c>
      <c r="W220" s="446"/>
      <c r="X220" s="448">
        <v>583072.69999999995</v>
      </c>
      <c r="Y220" s="448">
        <v>0</v>
      </c>
      <c r="Z220" s="449">
        <v>583072.69999999995</v>
      </c>
      <c r="AA220" s="446"/>
    </row>
    <row r="221" spans="2:27" s="443" customFormat="1" ht="12" customHeight="1">
      <c r="B221" s="238">
        <v>45709</v>
      </c>
      <c r="C221" s="448"/>
      <c r="D221" s="448">
        <v>225403.56</v>
      </c>
      <c r="E221" s="448">
        <v>617711.83000009973</v>
      </c>
      <c r="F221" s="448">
        <v>843115.39</v>
      </c>
      <c r="G221" s="448"/>
      <c r="H221" s="448">
        <v>2860557.39</v>
      </c>
      <c r="I221" s="448">
        <v>1525230.1299999654</v>
      </c>
      <c r="J221" s="449">
        <v>4385787.5199999996</v>
      </c>
      <c r="K221" s="446"/>
      <c r="L221" s="448">
        <v>3102175.03</v>
      </c>
      <c r="M221" s="448">
        <v>1043943.1300000992</v>
      </c>
      <c r="N221" s="449">
        <v>4146118.16</v>
      </c>
      <c r="O221" s="446"/>
      <c r="P221" s="448">
        <v>405905.23</v>
      </c>
      <c r="Q221" s="448">
        <v>181609.19999998435</v>
      </c>
      <c r="R221" s="449">
        <v>587514.43000000005</v>
      </c>
      <c r="S221" s="446"/>
      <c r="T221" s="448">
        <v>716754.07</v>
      </c>
      <c r="U221" s="448">
        <v>220590.42000041902</v>
      </c>
      <c r="V221" s="449">
        <v>937344.49</v>
      </c>
      <c r="W221" s="446"/>
      <c r="X221" s="448">
        <v>583072.69999999995</v>
      </c>
      <c r="Y221" s="448">
        <v>0</v>
      </c>
      <c r="Z221" s="449">
        <v>583072.69999999995</v>
      </c>
      <c r="AA221" s="446"/>
    </row>
    <row r="222" spans="2:27" s="443" customFormat="1" ht="12" customHeight="1">
      <c r="B222" s="238">
        <v>45710</v>
      </c>
      <c r="C222" s="448"/>
      <c r="D222" s="448">
        <v>843115.39</v>
      </c>
      <c r="E222" s="448">
        <v>0</v>
      </c>
      <c r="F222" s="448">
        <v>843115.39</v>
      </c>
      <c r="G222" s="448"/>
      <c r="H222" s="448">
        <v>4385787.5199999996</v>
      </c>
      <c r="I222" s="448">
        <v>0</v>
      </c>
      <c r="J222" s="449">
        <v>4385787.5199999996</v>
      </c>
      <c r="K222" s="446"/>
      <c r="L222" s="448">
        <v>4146118.16</v>
      </c>
      <c r="M222" s="448">
        <v>0</v>
      </c>
      <c r="N222" s="449">
        <v>4146118.16</v>
      </c>
      <c r="O222" s="446"/>
      <c r="P222" s="448">
        <v>587514.43000000005</v>
      </c>
      <c r="Q222" s="448">
        <v>0</v>
      </c>
      <c r="R222" s="449">
        <v>587514.43000000005</v>
      </c>
      <c r="S222" s="446"/>
      <c r="T222" s="448">
        <v>937344.49</v>
      </c>
      <c r="U222" s="448">
        <v>0</v>
      </c>
      <c r="V222" s="449">
        <v>937344.49</v>
      </c>
      <c r="W222" s="446"/>
      <c r="X222" s="448">
        <v>583072.69999999995</v>
      </c>
      <c r="Y222" s="448">
        <v>0</v>
      </c>
      <c r="Z222" s="449">
        <v>583072.69999999995</v>
      </c>
      <c r="AA222" s="446"/>
    </row>
    <row r="223" spans="2:27" s="443" customFormat="1" ht="12" customHeight="1">
      <c r="B223" s="238">
        <v>45711</v>
      </c>
      <c r="C223" s="448"/>
      <c r="D223" s="448">
        <v>843115.39</v>
      </c>
      <c r="E223" s="448">
        <v>0</v>
      </c>
      <c r="F223" s="448">
        <v>843115.39</v>
      </c>
      <c r="G223" s="448"/>
      <c r="H223" s="448">
        <v>4385787.5199999996</v>
      </c>
      <c r="I223" s="448">
        <v>0</v>
      </c>
      <c r="J223" s="449">
        <v>4385787.5199999996</v>
      </c>
      <c r="K223" s="446"/>
      <c r="L223" s="448">
        <v>4146118.16</v>
      </c>
      <c r="M223" s="448">
        <v>0</v>
      </c>
      <c r="N223" s="449">
        <v>4146118.16</v>
      </c>
      <c r="O223" s="446"/>
      <c r="P223" s="448">
        <v>587514.43000000005</v>
      </c>
      <c r="Q223" s="448">
        <v>0</v>
      </c>
      <c r="R223" s="449">
        <v>587514.43000000005</v>
      </c>
      <c r="S223" s="446"/>
      <c r="T223" s="448">
        <v>937344.49</v>
      </c>
      <c r="U223" s="448">
        <v>0</v>
      </c>
      <c r="V223" s="449">
        <v>937344.49</v>
      </c>
      <c r="W223" s="446"/>
      <c r="X223" s="448">
        <v>583072.69999999995</v>
      </c>
      <c r="Y223" s="448">
        <v>0</v>
      </c>
      <c r="Z223" s="449">
        <v>583072.69999999995</v>
      </c>
      <c r="AA223" s="446"/>
    </row>
    <row r="224" spans="2:27" s="443" customFormat="1" ht="12" customHeight="1">
      <c r="B224" s="238">
        <v>45712</v>
      </c>
      <c r="C224" s="448"/>
      <c r="D224" s="448">
        <v>843115.39</v>
      </c>
      <c r="E224" s="448">
        <v>-304154.36000021733</v>
      </c>
      <c r="F224" s="448">
        <v>538961.03</v>
      </c>
      <c r="G224" s="448"/>
      <c r="H224" s="448">
        <v>4385787.5199999996</v>
      </c>
      <c r="I224" s="448">
        <v>-2207571.8499994762</v>
      </c>
      <c r="J224" s="449">
        <v>2178215.67</v>
      </c>
      <c r="K224" s="446"/>
      <c r="L224" s="448">
        <v>4146118.16</v>
      </c>
      <c r="M224" s="448">
        <v>-3117681.6700000241</v>
      </c>
      <c r="N224" s="449">
        <v>1028436.49</v>
      </c>
      <c r="O224" s="446"/>
      <c r="P224" s="448">
        <v>587514.43000000005</v>
      </c>
      <c r="Q224" s="448">
        <v>346474.11000000034</v>
      </c>
      <c r="R224" s="449">
        <v>933988.54</v>
      </c>
      <c r="S224" s="446"/>
      <c r="T224" s="448">
        <v>937344.49</v>
      </c>
      <c r="U224" s="448">
        <v>-642877.68000015244</v>
      </c>
      <c r="V224" s="449">
        <v>294466.81</v>
      </c>
      <c r="W224" s="446"/>
      <c r="X224" s="448">
        <v>583072.69999999995</v>
      </c>
      <c r="Y224" s="448">
        <v>0</v>
      </c>
      <c r="Z224" s="449">
        <v>583072.69999999995</v>
      </c>
      <c r="AA224" s="446"/>
    </row>
    <row r="225" spans="2:27" s="443" customFormat="1" ht="12" customHeight="1">
      <c r="B225" s="238">
        <v>45713</v>
      </c>
      <c r="C225" s="448"/>
      <c r="D225" s="448">
        <v>538961.03</v>
      </c>
      <c r="E225" s="448">
        <v>233092.84999989346</v>
      </c>
      <c r="F225" s="448">
        <v>772053.88</v>
      </c>
      <c r="G225" s="448"/>
      <c r="H225" s="448">
        <v>2178215.67</v>
      </c>
      <c r="I225" s="448">
        <v>0</v>
      </c>
      <c r="J225" s="449">
        <v>2178215.67</v>
      </c>
      <c r="K225" s="446"/>
      <c r="L225" s="448">
        <v>1028436.49</v>
      </c>
      <c r="M225" s="448">
        <v>0</v>
      </c>
      <c r="N225" s="449">
        <v>1028436.49</v>
      </c>
      <c r="O225" s="446"/>
      <c r="P225" s="448">
        <v>933988.54</v>
      </c>
      <c r="Q225" s="448">
        <v>-138730.07999992371</v>
      </c>
      <c r="R225" s="449">
        <v>795258.46</v>
      </c>
      <c r="S225" s="446"/>
      <c r="T225" s="448">
        <v>294466.81</v>
      </c>
      <c r="U225" s="448">
        <v>82390.45000038296</v>
      </c>
      <c r="V225" s="449">
        <v>376857.26</v>
      </c>
      <c r="W225" s="446"/>
      <c r="X225" s="448">
        <v>583072.69999999995</v>
      </c>
      <c r="Y225" s="448">
        <v>0</v>
      </c>
      <c r="Z225" s="449">
        <v>583072.69999999995</v>
      </c>
      <c r="AA225" s="446"/>
    </row>
    <row r="226" spans="2:27" s="443" customFormat="1" ht="12" customHeight="1">
      <c r="B226" s="238">
        <v>45714</v>
      </c>
      <c r="C226" s="448"/>
      <c r="D226" s="448">
        <v>772053.88</v>
      </c>
      <c r="E226" s="448">
        <v>220504.65999975242</v>
      </c>
      <c r="F226" s="448">
        <v>992558.54</v>
      </c>
      <c r="G226" s="448"/>
      <c r="H226" s="448">
        <v>2178215.67</v>
      </c>
      <c r="I226" s="448">
        <v>0</v>
      </c>
      <c r="J226" s="449">
        <v>2178215.67</v>
      </c>
      <c r="K226" s="446"/>
      <c r="L226" s="448">
        <v>1028436.49</v>
      </c>
      <c r="M226" s="448">
        <v>0</v>
      </c>
      <c r="N226" s="449">
        <v>1028436.49</v>
      </c>
      <c r="O226" s="446"/>
      <c r="P226" s="448">
        <v>795258.46</v>
      </c>
      <c r="Q226" s="448">
        <v>-8316.920000676997</v>
      </c>
      <c r="R226" s="449">
        <v>786941.54</v>
      </c>
      <c r="S226" s="446"/>
      <c r="T226" s="448">
        <v>376857.26</v>
      </c>
      <c r="U226" s="448">
        <v>39825.08999908343</v>
      </c>
      <c r="V226" s="449">
        <v>416682.35</v>
      </c>
      <c r="W226" s="446"/>
      <c r="X226" s="448">
        <v>583072.69999999995</v>
      </c>
      <c r="Y226" s="448">
        <v>-426642.39000003785</v>
      </c>
      <c r="Z226" s="449">
        <v>156430.31</v>
      </c>
      <c r="AA226" s="446"/>
    </row>
    <row r="227" spans="2:27" s="443" customFormat="1" ht="12" customHeight="1">
      <c r="B227" s="238">
        <v>45715</v>
      </c>
      <c r="C227" s="448"/>
      <c r="D227" s="448">
        <v>992558.54</v>
      </c>
      <c r="E227" s="448">
        <v>-192667.53999901935</v>
      </c>
      <c r="F227" s="448">
        <v>799891</v>
      </c>
      <c r="G227" s="448"/>
      <c r="H227" s="448">
        <v>2178215.67</v>
      </c>
      <c r="I227" s="448">
        <v>0</v>
      </c>
      <c r="J227" s="449">
        <v>2178215.67</v>
      </c>
      <c r="K227" s="446"/>
      <c r="L227" s="448">
        <v>1028436.49</v>
      </c>
      <c r="M227" s="448">
        <v>0</v>
      </c>
      <c r="N227" s="449">
        <v>1028436.49</v>
      </c>
      <c r="O227" s="446"/>
      <c r="P227" s="448">
        <v>786941.54</v>
      </c>
      <c r="Q227" s="448">
        <v>-297097.44999990938</v>
      </c>
      <c r="R227" s="449">
        <v>489844.09</v>
      </c>
      <c r="S227" s="446"/>
      <c r="T227" s="448">
        <v>416682.35</v>
      </c>
      <c r="U227" s="448">
        <v>91817.429999809712</v>
      </c>
      <c r="V227" s="449">
        <v>508499.78</v>
      </c>
      <c r="W227" s="446"/>
      <c r="X227" s="448">
        <v>156430.31</v>
      </c>
      <c r="Y227" s="448">
        <v>120260.46999980882</v>
      </c>
      <c r="Z227" s="449">
        <v>276690.78000000003</v>
      </c>
      <c r="AA227" s="446"/>
    </row>
    <row r="228" spans="2:27" s="443" customFormat="1" ht="12" customHeight="1">
      <c r="B228" s="238">
        <v>45716</v>
      </c>
      <c r="C228" s="448"/>
      <c r="D228" s="448">
        <v>799891</v>
      </c>
      <c r="E228" s="448">
        <v>-154604.82999976911</v>
      </c>
      <c r="F228" s="448">
        <v>645286.17000000004</v>
      </c>
      <c r="G228" s="448"/>
      <c r="H228" s="448">
        <v>2178215.67</v>
      </c>
      <c r="I228" s="448">
        <v>0</v>
      </c>
      <c r="J228" s="449">
        <v>2178215.67</v>
      </c>
      <c r="K228" s="446"/>
      <c r="L228" s="448">
        <v>1028436.49</v>
      </c>
      <c r="M228" s="448">
        <v>0</v>
      </c>
      <c r="N228" s="449">
        <v>1028436.49</v>
      </c>
      <c r="O228" s="446"/>
      <c r="P228" s="448">
        <v>489844.09</v>
      </c>
      <c r="Q228" s="448">
        <v>-180036.71999999508</v>
      </c>
      <c r="R228" s="449">
        <v>309807.37</v>
      </c>
      <c r="S228" s="446"/>
      <c r="T228" s="448">
        <v>508499.78</v>
      </c>
      <c r="U228" s="448">
        <v>-220299.59999969602</v>
      </c>
      <c r="V228" s="449">
        <v>288200.18</v>
      </c>
      <c r="W228" s="446"/>
      <c r="X228" s="448">
        <v>276690.78000000003</v>
      </c>
      <c r="Y228" s="448">
        <v>455361.65999969654</v>
      </c>
      <c r="Z228" s="449">
        <v>732052.44</v>
      </c>
      <c r="AA228" s="446"/>
    </row>
    <row r="229" spans="2:27" s="443" customFormat="1" ht="12" customHeight="1">
      <c r="B229" s="238">
        <v>45717</v>
      </c>
      <c r="C229" s="448"/>
      <c r="D229" s="448">
        <v>645286.17000000004</v>
      </c>
      <c r="E229" s="448">
        <v>0</v>
      </c>
      <c r="F229" s="448">
        <v>645286.17000000004</v>
      </c>
      <c r="G229" s="448"/>
      <c r="H229" s="448">
        <v>2178215.67</v>
      </c>
      <c r="I229" s="448">
        <v>0</v>
      </c>
      <c r="J229" s="449">
        <v>2178215.67</v>
      </c>
      <c r="K229" s="446"/>
      <c r="L229" s="448">
        <v>1028436.49</v>
      </c>
      <c r="M229" s="448">
        <v>0</v>
      </c>
      <c r="N229" s="449">
        <v>1028436.49</v>
      </c>
      <c r="O229" s="446"/>
      <c r="P229" s="448">
        <v>309807.37</v>
      </c>
      <c r="Q229" s="448">
        <v>0</v>
      </c>
      <c r="R229" s="449">
        <v>309807.37</v>
      </c>
      <c r="S229" s="446"/>
      <c r="T229" s="448">
        <v>288200.18</v>
      </c>
      <c r="U229" s="448">
        <v>0</v>
      </c>
      <c r="V229" s="449">
        <v>288200.18</v>
      </c>
      <c r="W229" s="446"/>
      <c r="X229" s="448">
        <v>732052.44</v>
      </c>
      <c r="Y229" s="448">
        <v>0</v>
      </c>
      <c r="Z229" s="449">
        <v>732052.44</v>
      </c>
      <c r="AA229" s="446"/>
    </row>
    <row r="230" spans="2:27" s="443" customFormat="1" ht="12" customHeight="1">
      <c r="B230" s="238">
        <v>45718</v>
      </c>
      <c r="C230" s="448"/>
      <c r="D230" s="448">
        <v>645286.17000000004</v>
      </c>
      <c r="E230" s="448">
        <v>0</v>
      </c>
      <c r="F230" s="448">
        <v>645286.17000000004</v>
      </c>
      <c r="G230" s="448"/>
      <c r="H230" s="448">
        <v>2178215.67</v>
      </c>
      <c r="I230" s="448">
        <v>0</v>
      </c>
      <c r="J230" s="449">
        <v>2178215.67</v>
      </c>
      <c r="K230" s="446"/>
      <c r="L230" s="448">
        <v>1028436.49</v>
      </c>
      <c r="M230" s="448">
        <v>0</v>
      </c>
      <c r="N230" s="449">
        <v>1028436.49</v>
      </c>
      <c r="O230" s="446"/>
      <c r="P230" s="448">
        <v>309807.37</v>
      </c>
      <c r="Q230" s="448">
        <v>0</v>
      </c>
      <c r="R230" s="449">
        <v>309807.37</v>
      </c>
      <c r="S230" s="446"/>
      <c r="T230" s="448">
        <v>288200.18</v>
      </c>
      <c r="U230" s="448">
        <v>0</v>
      </c>
      <c r="V230" s="449">
        <v>288200.18</v>
      </c>
      <c r="W230" s="446"/>
      <c r="X230" s="448">
        <v>732052.44</v>
      </c>
      <c r="Y230" s="448">
        <v>0</v>
      </c>
      <c r="Z230" s="449">
        <v>732052.44</v>
      </c>
      <c r="AA230" s="446"/>
    </row>
    <row r="231" spans="2:27" s="443" customFormat="1" ht="12" customHeight="1">
      <c r="B231" s="238">
        <v>45719</v>
      </c>
      <c r="C231" s="448"/>
      <c r="D231" s="448">
        <v>645286.17000000004</v>
      </c>
      <c r="E231" s="448">
        <v>1290478.5499997139</v>
      </c>
      <c r="F231" s="448">
        <v>1935764.72</v>
      </c>
      <c r="G231" s="448"/>
      <c r="H231" s="448">
        <v>2178215.67</v>
      </c>
      <c r="I231" s="448">
        <v>230263.48000026867</v>
      </c>
      <c r="J231" s="449">
        <v>2408479.15</v>
      </c>
      <c r="K231" s="446"/>
      <c r="L231" s="448">
        <v>1028436.49</v>
      </c>
      <c r="M231" s="448">
        <v>674373.67999997735</v>
      </c>
      <c r="N231" s="449">
        <v>1702810.17</v>
      </c>
      <c r="O231" s="446"/>
      <c r="P231" s="448">
        <v>309807.37</v>
      </c>
      <c r="Q231" s="448">
        <v>317424.1400000602</v>
      </c>
      <c r="R231" s="449">
        <v>627231.51</v>
      </c>
      <c r="S231" s="446"/>
      <c r="T231" s="448">
        <v>288200.18</v>
      </c>
      <c r="U231" s="448">
        <v>455964.08999977261</v>
      </c>
      <c r="V231" s="449">
        <v>744164.27</v>
      </c>
      <c r="W231" s="446"/>
      <c r="X231" s="448">
        <v>732052.44</v>
      </c>
      <c r="Y231" s="448">
        <v>0</v>
      </c>
      <c r="Z231" s="449">
        <v>732052.44</v>
      </c>
      <c r="AA231" s="446"/>
    </row>
    <row r="232" spans="2:27" s="443" customFormat="1" ht="12" customHeight="1">
      <c r="B232" s="238">
        <v>45720</v>
      </c>
      <c r="C232" s="448"/>
      <c r="D232" s="448">
        <v>1935764.72</v>
      </c>
      <c r="E232" s="448">
        <v>-1008246.7600002289</v>
      </c>
      <c r="F232" s="448">
        <v>927517.96</v>
      </c>
      <c r="G232" s="448"/>
      <c r="H232" s="448">
        <v>2408479.15</v>
      </c>
      <c r="I232" s="448">
        <v>0</v>
      </c>
      <c r="J232" s="449">
        <v>2408479.15</v>
      </c>
      <c r="K232" s="446"/>
      <c r="L232" s="448">
        <v>1702810.17</v>
      </c>
      <c r="M232" s="448">
        <v>0</v>
      </c>
      <c r="N232" s="449">
        <v>1702810.17</v>
      </c>
      <c r="O232" s="446"/>
      <c r="P232" s="448">
        <v>627231.51</v>
      </c>
      <c r="Q232" s="448">
        <v>-32657.969999969006</v>
      </c>
      <c r="R232" s="449">
        <v>594573.54</v>
      </c>
      <c r="S232" s="446"/>
      <c r="T232" s="448">
        <v>744164.27</v>
      </c>
      <c r="U232" s="448">
        <v>-397962.8499995023</v>
      </c>
      <c r="V232" s="449">
        <v>346201.42</v>
      </c>
      <c r="W232" s="446"/>
      <c r="X232" s="448">
        <v>732052.44</v>
      </c>
      <c r="Y232" s="448">
        <v>0</v>
      </c>
      <c r="Z232" s="449">
        <v>732052.44</v>
      </c>
      <c r="AA232" s="446"/>
    </row>
    <row r="233" spans="2:27" s="443" customFormat="1" ht="12" customHeight="1">
      <c r="B233" s="238">
        <v>45721</v>
      </c>
      <c r="C233" s="448"/>
      <c r="D233" s="448">
        <v>927517.96</v>
      </c>
      <c r="E233" s="448">
        <v>-566235.56000000052</v>
      </c>
      <c r="F233" s="448">
        <v>361282.4</v>
      </c>
      <c r="G233" s="448"/>
      <c r="H233" s="448">
        <v>2408479.15</v>
      </c>
      <c r="I233" s="448">
        <v>0</v>
      </c>
      <c r="J233" s="449">
        <v>2408479.15</v>
      </c>
      <c r="K233" s="446"/>
      <c r="L233" s="448">
        <v>1702810.17</v>
      </c>
      <c r="M233" s="448">
        <v>0</v>
      </c>
      <c r="N233" s="449">
        <v>1702810.17</v>
      </c>
      <c r="O233" s="446"/>
      <c r="P233" s="448">
        <v>594573.54</v>
      </c>
      <c r="Q233" s="448">
        <v>347175.84999994934</v>
      </c>
      <c r="R233" s="449">
        <v>941749.39</v>
      </c>
      <c r="S233" s="446"/>
      <c r="T233" s="448">
        <v>346201.42</v>
      </c>
      <c r="U233" s="448">
        <v>476665.46999958018</v>
      </c>
      <c r="V233" s="449">
        <v>822866.89</v>
      </c>
      <c r="W233" s="446"/>
      <c r="X233" s="448">
        <v>732052.44</v>
      </c>
      <c r="Y233" s="448">
        <v>0</v>
      </c>
      <c r="Z233" s="449">
        <v>732052.44</v>
      </c>
      <c r="AA233" s="446"/>
    </row>
    <row r="234" spans="2:27" s="443" customFormat="1" ht="12" customHeight="1">
      <c r="B234" s="238">
        <v>45722</v>
      </c>
      <c r="C234" s="448"/>
      <c r="D234" s="448">
        <v>361282.4</v>
      </c>
      <c r="E234" s="448">
        <v>734771.41999890283</v>
      </c>
      <c r="F234" s="448">
        <v>1096053.82</v>
      </c>
      <c r="G234" s="448"/>
      <c r="H234" s="448">
        <v>2408479.15</v>
      </c>
      <c r="I234" s="448">
        <v>883740.21999999881</v>
      </c>
      <c r="J234" s="449">
        <v>3292219.37</v>
      </c>
      <c r="K234" s="446"/>
      <c r="L234" s="448">
        <v>1702810.17</v>
      </c>
      <c r="M234" s="448">
        <v>0</v>
      </c>
      <c r="N234" s="449">
        <v>1702810.17</v>
      </c>
      <c r="O234" s="446"/>
      <c r="P234" s="448">
        <v>941749.39</v>
      </c>
      <c r="Q234" s="448">
        <v>-721948.23000007169</v>
      </c>
      <c r="R234" s="449">
        <v>219801.16</v>
      </c>
      <c r="S234" s="446"/>
      <c r="T234" s="448">
        <v>822866.89</v>
      </c>
      <c r="U234" s="448">
        <v>-276456.45000080019</v>
      </c>
      <c r="V234" s="449">
        <v>546410.43999999994</v>
      </c>
      <c r="W234" s="446"/>
      <c r="X234" s="448">
        <v>732052.44</v>
      </c>
      <c r="Y234" s="448">
        <v>0</v>
      </c>
      <c r="Z234" s="449">
        <v>732052.44</v>
      </c>
      <c r="AA234" s="446"/>
    </row>
    <row r="235" spans="2:27" s="443" customFormat="1" ht="12" customHeight="1">
      <c r="B235" s="238">
        <v>45723</v>
      </c>
      <c r="C235" s="448"/>
      <c r="D235" s="448">
        <v>1096053.82</v>
      </c>
      <c r="E235" s="448">
        <v>-327030.82000001892</v>
      </c>
      <c r="F235" s="448">
        <v>769023</v>
      </c>
      <c r="G235" s="448"/>
      <c r="H235" s="448">
        <v>3292219.37</v>
      </c>
      <c r="I235" s="448">
        <v>1103515.0100000203</v>
      </c>
      <c r="J235" s="449">
        <v>4395734.38</v>
      </c>
      <c r="K235" s="446"/>
      <c r="L235" s="448">
        <v>1702810.17</v>
      </c>
      <c r="M235" s="448">
        <v>-430278.12999999523</v>
      </c>
      <c r="N235" s="449">
        <v>1272532.04</v>
      </c>
      <c r="O235" s="446"/>
      <c r="P235" s="448">
        <v>219801.16</v>
      </c>
      <c r="Q235" s="448">
        <v>471018.4100000714</v>
      </c>
      <c r="R235" s="449">
        <v>690819.57</v>
      </c>
      <c r="S235" s="446"/>
      <c r="T235" s="448">
        <v>546410.43999999994</v>
      </c>
      <c r="U235" s="448">
        <v>401512.16999939084</v>
      </c>
      <c r="V235" s="449">
        <v>947922.61</v>
      </c>
      <c r="W235" s="446"/>
      <c r="X235" s="448">
        <v>732052.44</v>
      </c>
      <c r="Y235" s="448">
        <v>181264561.09000012</v>
      </c>
      <c r="Z235" s="449">
        <v>181996613.53</v>
      </c>
      <c r="AA235" s="446"/>
    </row>
    <row r="236" spans="2:27" s="443" customFormat="1" ht="12" customHeight="1">
      <c r="B236" s="238">
        <v>45724</v>
      </c>
      <c r="C236" s="448"/>
      <c r="D236" s="448">
        <v>769023</v>
      </c>
      <c r="E236" s="448">
        <v>0</v>
      </c>
      <c r="F236" s="448">
        <v>769023</v>
      </c>
      <c r="G236" s="448"/>
      <c r="H236" s="448">
        <v>4395734.38</v>
      </c>
      <c r="I236" s="448">
        <v>0</v>
      </c>
      <c r="J236" s="449">
        <v>4395734.38</v>
      </c>
      <c r="K236" s="446"/>
      <c r="L236" s="448">
        <v>1272532.04</v>
      </c>
      <c r="M236" s="448">
        <v>0</v>
      </c>
      <c r="N236" s="449">
        <v>1272532.04</v>
      </c>
      <c r="O236" s="446"/>
      <c r="P236" s="448">
        <v>690819.57</v>
      </c>
      <c r="Q236" s="448">
        <v>0</v>
      </c>
      <c r="R236" s="449">
        <v>690819.57</v>
      </c>
      <c r="S236" s="446"/>
      <c r="T236" s="448">
        <v>947922.61</v>
      </c>
      <c r="U236" s="448">
        <v>0</v>
      </c>
      <c r="V236" s="449">
        <v>947922.61</v>
      </c>
      <c r="W236" s="446"/>
      <c r="X236" s="448">
        <v>181996613.53</v>
      </c>
      <c r="Y236" s="448">
        <v>0</v>
      </c>
      <c r="Z236" s="449">
        <v>181996613.53</v>
      </c>
      <c r="AA236" s="446"/>
    </row>
    <row r="237" spans="2:27" s="443" customFormat="1" ht="12" customHeight="1">
      <c r="B237" s="238">
        <v>45725</v>
      </c>
      <c r="C237" s="448"/>
      <c r="D237" s="448">
        <v>769023</v>
      </c>
      <c r="E237" s="448">
        <v>0</v>
      </c>
      <c r="F237" s="448">
        <v>769023</v>
      </c>
      <c r="G237" s="448"/>
      <c r="H237" s="448">
        <v>4395734.38</v>
      </c>
      <c r="I237" s="448">
        <v>0</v>
      </c>
      <c r="J237" s="449">
        <v>4395734.38</v>
      </c>
      <c r="K237" s="446"/>
      <c r="L237" s="448">
        <v>1272532.04</v>
      </c>
      <c r="M237" s="448">
        <v>0</v>
      </c>
      <c r="N237" s="449">
        <v>1272532.04</v>
      </c>
      <c r="O237" s="446"/>
      <c r="P237" s="448">
        <v>690819.57</v>
      </c>
      <c r="Q237" s="448">
        <v>0</v>
      </c>
      <c r="R237" s="449">
        <v>690819.57</v>
      </c>
      <c r="S237" s="446"/>
      <c r="T237" s="448">
        <v>947922.61</v>
      </c>
      <c r="U237" s="448">
        <v>0</v>
      </c>
      <c r="V237" s="449">
        <v>947922.61</v>
      </c>
      <c r="W237" s="446"/>
      <c r="X237" s="448">
        <v>181996613.53</v>
      </c>
      <c r="Y237" s="448">
        <v>0</v>
      </c>
      <c r="Z237" s="449">
        <v>181996613.53</v>
      </c>
      <c r="AA237" s="446"/>
    </row>
    <row r="238" spans="2:27" s="443" customFormat="1" ht="12" customHeight="1">
      <c r="B238" s="238">
        <v>45726</v>
      </c>
      <c r="C238" s="448"/>
      <c r="D238" s="448">
        <v>769023</v>
      </c>
      <c r="E238" s="448">
        <v>0</v>
      </c>
      <c r="F238" s="448">
        <v>769023</v>
      </c>
      <c r="G238" s="448"/>
      <c r="H238" s="448">
        <v>4395734.38</v>
      </c>
      <c r="I238" s="448">
        <v>0</v>
      </c>
      <c r="J238" s="449">
        <v>4395734.38</v>
      </c>
      <c r="K238" s="446"/>
      <c r="L238" s="448">
        <v>1272532.04</v>
      </c>
      <c r="M238" s="448">
        <v>0</v>
      </c>
      <c r="N238" s="449">
        <v>1272532.04</v>
      </c>
      <c r="O238" s="446"/>
      <c r="P238" s="448">
        <v>690819.57</v>
      </c>
      <c r="Q238" s="448">
        <v>0</v>
      </c>
      <c r="R238" s="449">
        <v>690819.57</v>
      </c>
      <c r="S238" s="446"/>
      <c r="T238" s="448">
        <v>947922.61</v>
      </c>
      <c r="U238" s="448">
        <v>0</v>
      </c>
      <c r="V238" s="449">
        <v>947922.61</v>
      </c>
      <c r="W238" s="446"/>
      <c r="X238" s="448">
        <v>181996613.53</v>
      </c>
      <c r="Y238" s="448">
        <v>0</v>
      </c>
      <c r="Z238" s="449">
        <v>181996613.53</v>
      </c>
      <c r="AA238" s="446"/>
    </row>
    <row r="239" spans="2:27" s="443" customFormat="1" ht="12" customHeight="1">
      <c r="B239" s="238">
        <v>45727</v>
      </c>
      <c r="C239" s="448"/>
      <c r="D239" s="448">
        <v>769023</v>
      </c>
      <c r="E239" s="448">
        <v>-680948.45999996178</v>
      </c>
      <c r="F239" s="448">
        <v>88074.54</v>
      </c>
      <c r="G239" s="448"/>
      <c r="H239" s="448">
        <v>4395734.38</v>
      </c>
      <c r="I239" s="448">
        <v>-1644560.6799997315</v>
      </c>
      <c r="J239" s="449">
        <v>2751173.7</v>
      </c>
      <c r="K239" s="446"/>
      <c r="L239" s="448">
        <v>1272532.04</v>
      </c>
      <c r="M239" s="448">
        <v>1751009.5</v>
      </c>
      <c r="N239" s="449">
        <v>3023541.54</v>
      </c>
      <c r="O239" s="446"/>
      <c r="P239" s="448">
        <v>690819.57</v>
      </c>
      <c r="Q239" s="448">
        <v>0</v>
      </c>
      <c r="R239" s="449">
        <v>690819.57</v>
      </c>
      <c r="S239" s="446"/>
      <c r="T239" s="448">
        <v>947922.61</v>
      </c>
      <c r="U239" s="448">
        <v>52993.130000341684</v>
      </c>
      <c r="V239" s="449">
        <v>1000915.74</v>
      </c>
      <c r="W239" s="446"/>
      <c r="X239" s="448">
        <v>181996613.53</v>
      </c>
      <c r="Y239" s="448">
        <v>-180848574.63999999</v>
      </c>
      <c r="Z239" s="449">
        <v>1148038.8899999999</v>
      </c>
      <c r="AA239" s="446"/>
    </row>
    <row r="240" spans="2:27" s="443" customFormat="1" ht="12" customHeight="1">
      <c r="B240" s="238">
        <v>45728</v>
      </c>
      <c r="C240" s="448"/>
      <c r="D240" s="448">
        <v>88074.54</v>
      </c>
      <c r="E240" s="448">
        <v>225116.21000032499</v>
      </c>
      <c r="F240" s="448">
        <v>313190.75</v>
      </c>
      <c r="G240" s="448"/>
      <c r="H240" s="448">
        <v>2751173.7</v>
      </c>
      <c r="I240" s="448">
        <v>1081440.6200006567</v>
      </c>
      <c r="J240" s="449">
        <v>3832614.32</v>
      </c>
      <c r="K240" s="446"/>
      <c r="L240" s="448">
        <v>3023541.54</v>
      </c>
      <c r="M240" s="448">
        <v>0</v>
      </c>
      <c r="N240" s="449">
        <v>3023541.54</v>
      </c>
      <c r="O240" s="446"/>
      <c r="P240" s="448">
        <v>690819.57</v>
      </c>
      <c r="Q240" s="448">
        <v>201829.70999984723</v>
      </c>
      <c r="R240" s="449">
        <v>892649.28</v>
      </c>
      <c r="S240" s="446"/>
      <c r="T240" s="448">
        <v>1000915.74</v>
      </c>
      <c r="U240" s="448">
        <v>-820637.65000030398</v>
      </c>
      <c r="V240" s="449">
        <v>180278.09</v>
      </c>
      <c r="W240" s="446"/>
      <c r="X240" s="448">
        <v>1148038.8899999999</v>
      </c>
      <c r="Y240" s="448">
        <v>-190098.05000009574</v>
      </c>
      <c r="Z240" s="449">
        <v>957940.84</v>
      </c>
      <c r="AA240" s="446"/>
    </row>
    <row r="241" spans="2:27" s="443" customFormat="1" ht="12" customHeight="1">
      <c r="B241" s="238">
        <v>45729</v>
      </c>
      <c r="C241" s="448"/>
      <c r="D241" s="448">
        <v>313190.75</v>
      </c>
      <c r="E241" s="448">
        <v>-120569.6099993214</v>
      </c>
      <c r="F241" s="448">
        <v>192621.14</v>
      </c>
      <c r="G241" s="448"/>
      <c r="H241" s="448">
        <v>3832614.32</v>
      </c>
      <c r="I241" s="448">
        <v>1280995.1899997704</v>
      </c>
      <c r="J241" s="449">
        <v>5113609.51</v>
      </c>
      <c r="K241" s="446"/>
      <c r="L241" s="448">
        <v>3023541.54</v>
      </c>
      <c r="M241" s="448">
        <v>0</v>
      </c>
      <c r="N241" s="449">
        <v>3023541.54</v>
      </c>
      <c r="O241" s="446"/>
      <c r="P241" s="448">
        <v>892649.28</v>
      </c>
      <c r="Q241" s="448">
        <v>2565659.9699999839</v>
      </c>
      <c r="R241" s="449">
        <v>3458309.25</v>
      </c>
      <c r="S241" s="446"/>
      <c r="T241" s="448">
        <v>180278.09</v>
      </c>
      <c r="U241" s="448">
        <v>759791.88999961689</v>
      </c>
      <c r="V241" s="449">
        <v>940069.98</v>
      </c>
      <c r="W241" s="446"/>
      <c r="X241" s="448">
        <v>957940.84</v>
      </c>
      <c r="Y241" s="448">
        <v>0</v>
      </c>
      <c r="Z241" s="449">
        <v>957940.84</v>
      </c>
      <c r="AA241" s="446"/>
    </row>
    <row r="242" spans="2:27" s="443" customFormat="1" ht="12" customHeight="1">
      <c r="B242" s="238">
        <v>45730</v>
      </c>
      <c r="C242" s="448"/>
      <c r="D242" s="448">
        <v>192621.14</v>
      </c>
      <c r="E242" s="448">
        <v>954509.42999977991</v>
      </c>
      <c r="F242" s="448">
        <v>1147130.57</v>
      </c>
      <c r="G242" s="448"/>
      <c r="H242" s="448">
        <v>5113609.51</v>
      </c>
      <c r="I242" s="448">
        <v>-2680989.0299993865</v>
      </c>
      <c r="J242" s="449">
        <v>2432620.48</v>
      </c>
      <c r="K242" s="446"/>
      <c r="L242" s="448">
        <v>3023541.54</v>
      </c>
      <c r="M242" s="448">
        <v>0</v>
      </c>
      <c r="N242" s="449">
        <v>3023541.54</v>
      </c>
      <c r="O242" s="446"/>
      <c r="P242" s="448">
        <v>3458309.25</v>
      </c>
      <c r="Q242" s="448">
        <v>-3022406.4400000218</v>
      </c>
      <c r="R242" s="449">
        <v>435902.81</v>
      </c>
      <c r="S242" s="446"/>
      <c r="T242" s="448">
        <v>940069.98</v>
      </c>
      <c r="U242" s="448">
        <v>15939.029999770224</v>
      </c>
      <c r="V242" s="449">
        <v>956009.01</v>
      </c>
      <c r="W242" s="446"/>
      <c r="X242" s="448">
        <v>957940.84</v>
      </c>
      <c r="Y242" s="448">
        <v>0</v>
      </c>
      <c r="Z242" s="449">
        <v>957940.84</v>
      </c>
      <c r="AA242" s="446"/>
    </row>
    <row r="243" spans="2:27" s="443" customFormat="1" ht="12" customHeight="1">
      <c r="B243" s="238">
        <v>45731</v>
      </c>
      <c r="C243" s="448"/>
      <c r="D243" s="448">
        <v>1147130.57</v>
      </c>
      <c r="E243" s="448">
        <v>0</v>
      </c>
      <c r="F243" s="448">
        <v>1147130.57</v>
      </c>
      <c r="G243" s="448"/>
      <c r="H243" s="448">
        <v>2432620.48</v>
      </c>
      <c r="I243" s="448">
        <v>0</v>
      </c>
      <c r="J243" s="449">
        <v>2432620.48</v>
      </c>
      <c r="K243" s="446"/>
      <c r="L243" s="448">
        <v>3023541.54</v>
      </c>
      <c r="M243" s="448">
        <v>0</v>
      </c>
      <c r="N243" s="449">
        <v>3023541.54</v>
      </c>
      <c r="O243" s="446"/>
      <c r="P243" s="448">
        <v>435902.81</v>
      </c>
      <c r="Q243" s="448">
        <v>0</v>
      </c>
      <c r="R243" s="449">
        <v>435902.81</v>
      </c>
      <c r="S243" s="446"/>
      <c r="T243" s="448">
        <v>956009.01</v>
      </c>
      <c r="U243" s="448">
        <v>0</v>
      </c>
      <c r="V243" s="449">
        <v>956009.01</v>
      </c>
      <c r="W243" s="446"/>
      <c r="X243" s="448">
        <v>957940.84</v>
      </c>
      <c r="Y243" s="448">
        <v>0</v>
      </c>
      <c r="Z243" s="449">
        <v>957940.84</v>
      </c>
      <c r="AA243" s="446"/>
    </row>
    <row r="244" spans="2:27" s="443" customFormat="1" ht="12" customHeight="1">
      <c r="B244" s="238">
        <v>45732</v>
      </c>
      <c r="C244" s="448"/>
      <c r="D244" s="448">
        <v>1147130.57</v>
      </c>
      <c r="E244" s="448">
        <v>0</v>
      </c>
      <c r="F244" s="448">
        <v>1147130.57</v>
      </c>
      <c r="G244" s="448"/>
      <c r="H244" s="448">
        <v>2432620.48</v>
      </c>
      <c r="I244" s="448">
        <v>0</v>
      </c>
      <c r="J244" s="449">
        <v>2432620.48</v>
      </c>
      <c r="K244" s="446"/>
      <c r="L244" s="448">
        <v>3023541.54</v>
      </c>
      <c r="M244" s="448">
        <v>0</v>
      </c>
      <c r="N244" s="449">
        <v>3023541.54</v>
      </c>
      <c r="O244" s="446"/>
      <c r="P244" s="448">
        <v>435902.81</v>
      </c>
      <c r="Q244" s="448">
        <v>0</v>
      </c>
      <c r="R244" s="449">
        <v>435902.81</v>
      </c>
      <c r="S244" s="446"/>
      <c r="T244" s="448">
        <v>956009.01</v>
      </c>
      <c r="U244" s="448">
        <v>0</v>
      </c>
      <c r="V244" s="449">
        <v>956009.01</v>
      </c>
      <c r="W244" s="446"/>
      <c r="X244" s="448">
        <v>957940.84</v>
      </c>
      <c r="Y244" s="448">
        <v>0</v>
      </c>
      <c r="Z244" s="449">
        <v>957940.84</v>
      </c>
      <c r="AA244" s="446"/>
    </row>
    <row r="245" spans="2:27" s="443" customFormat="1" ht="12" customHeight="1">
      <c r="B245" s="238">
        <v>45733</v>
      </c>
      <c r="C245" s="448"/>
      <c r="D245" s="448">
        <v>1147130.57</v>
      </c>
      <c r="E245" s="448">
        <v>1343960.4699999094</v>
      </c>
      <c r="F245" s="448">
        <v>2491091.04</v>
      </c>
      <c r="G245" s="448"/>
      <c r="H245" s="448">
        <v>2432620.48</v>
      </c>
      <c r="I245" s="448">
        <v>928455.37999927998</v>
      </c>
      <c r="J245" s="449">
        <v>3361075.86</v>
      </c>
      <c r="K245" s="446"/>
      <c r="L245" s="448">
        <v>3023541.54</v>
      </c>
      <c r="M245" s="448">
        <v>-719933.68999999762</v>
      </c>
      <c r="N245" s="449">
        <v>2303607.85</v>
      </c>
      <c r="O245" s="446"/>
      <c r="P245" s="448">
        <v>435902.81</v>
      </c>
      <c r="Q245" s="448">
        <v>-141938.80999997258</v>
      </c>
      <c r="R245" s="449">
        <v>293964</v>
      </c>
      <c r="S245" s="446"/>
      <c r="T245" s="448">
        <v>956009.01</v>
      </c>
      <c r="U245" s="448">
        <v>-849461.93000027537</v>
      </c>
      <c r="V245" s="449">
        <v>106547.08</v>
      </c>
      <c r="W245" s="446"/>
      <c r="X245" s="448">
        <v>957940.84</v>
      </c>
      <c r="Y245" s="448">
        <v>-487190.98000001907</v>
      </c>
      <c r="Z245" s="449">
        <v>470749.86</v>
      </c>
      <c r="AA245" s="446"/>
    </row>
    <row r="246" spans="2:27" s="443" customFormat="1" ht="12" customHeight="1">
      <c r="B246" s="238">
        <v>45734</v>
      </c>
      <c r="C246" s="448"/>
      <c r="D246" s="448">
        <v>2491091.04</v>
      </c>
      <c r="E246" s="448">
        <v>1254611.9100002646</v>
      </c>
      <c r="F246" s="448">
        <v>3745702.95</v>
      </c>
      <c r="G246" s="448"/>
      <c r="H246" s="448">
        <v>3361075.86</v>
      </c>
      <c r="I246" s="448">
        <v>938716.19999992475</v>
      </c>
      <c r="J246" s="449">
        <v>4299792.0599999996</v>
      </c>
      <c r="K246" s="446"/>
      <c r="L246" s="448">
        <v>2303607.85</v>
      </c>
      <c r="M246" s="448">
        <v>1357276.2999998927</v>
      </c>
      <c r="N246" s="449">
        <v>3660884.15</v>
      </c>
      <c r="O246" s="446"/>
      <c r="P246" s="448">
        <v>293964</v>
      </c>
      <c r="Q246" s="448">
        <v>362018.14999996428</v>
      </c>
      <c r="R246" s="449">
        <v>655982.15</v>
      </c>
      <c r="S246" s="446"/>
      <c r="T246" s="448">
        <v>106547.08</v>
      </c>
      <c r="U246" s="448">
        <v>76494.860000554472</v>
      </c>
      <c r="V246" s="449">
        <v>183041.94</v>
      </c>
      <c r="W246" s="446"/>
      <c r="X246" s="448">
        <v>470749.86</v>
      </c>
      <c r="Y246" s="448">
        <v>1143626.1299999952</v>
      </c>
      <c r="Z246" s="449">
        <v>1614375.99</v>
      </c>
      <c r="AA246" s="446"/>
    </row>
    <row r="247" spans="2:27" s="443" customFormat="1" ht="12" customHeight="1">
      <c r="B247" s="238">
        <v>45735</v>
      </c>
      <c r="C247" s="448"/>
      <c r="D247" s="448">
        <v>3745702.95</v>
      </c>
      <c r="E247" s="448">
        <v>944804.05000001937</v>
      </c>
      <c r="F247" s="448">
        <v>4690507</v>
      </c>
      <c r="G247" s="448"/>
      <c r="H247" s="448">
        <v>4299792.0599999996</v>
      </c>
      <c r="I247" s="448">
        <v>1099854.0599992387</v>
      </c>
      <c r="J247" s="449">
        <v>5399646.1200000001</v>
      </c>
      <c r="K247" s="446"/>
      <c r="L247" s="448">
        <v>3660884.15</v>
      </c>
      <c r="M247" s="448">
        <v>0</v>
      </c>
      <c r="N247" s="449">
        <v>3660884.15</v>
      </c>
      <c r="O247" s="446"/>
      <c r="P247" s="448">
        <v>655982.15</v>
      </c>
      <c r="Q247" s="448">
        <v>-60170.740000132471</v>
      </c>
      <c r="R247" s="449">
        <v>595811.41</v>
      </c>
      <c r="S247" s="446"/>
      <c r="T247" s="448">
        <v>183041.94</v>
      </c>
      <c r="U247" s="448">
        <v>560841.83000003919</v>
      </c>
      <c r="V247" s="449">
        <v>743883.77</v>
      </c>
      <c r="W247" s="446"/>
      <c r="X247" s="448">
        <v>1614375.99</v>
      </c>
      <c r="Y247" s="448">
        <v>-652234.48999977112</v>
      </c>
      <c r="Z247" s="449">
        <v>962141.5</v>
      </c>
      <c r="AA247" s="446"/>
    </row>
    <row r="248" spans="2:27" s="443" customFormat="1" ht="12" customHeight="1">
      <c r="B248" s="238">
        <v>45736</v>
      </c>
      <c r="C248" s="448"/>
      <c r="D248" s="448">
        <v>4690507</v>
      </c>
      <c r="E248" s="448">
        <v>-4307666.8299993351</v>
      </c>
      <c r="F248" s="448">
        <v>382840.17</v>
      </c>
      <c r="G248" s="448"/>
      <c r="H248" s="448">
        <v>5399646.1200000001</v>
      </c>
      <c r="I248" s="448">
        <v>-2817190.1399993896</v>
      </c>
      <c r="J248" s="449">
        <v>2582455.98</v>
      </c>
      <c r="K248" s="446"/>
      <c r="L248" s="448">
        <v>3660884.15</v>
      </c>
      <c r="M248" s="448">
        <v>0</v>
      </c>
      <c r="N248" s="449">
        <v>3660884.15</v>
      </c>
      <c r="O248" s="446"/>
      <c r="P248" s="448">
        <v>595811.41</v>
      </c>
      <c r="Q248" s="448">
        <v>-143736.68999997852</v>
      </c>
      <c r="R248" s="449">
        <v>452074.72</v>
      </c>
      <c r="S248" s="446"/>
      <c r="T248" s="448">
        <v>743883.77</v>
      </c>
      <c r="U248" s="448">
        <v>-367718.60999988392</v>
      </c>
      <c r="V248" s="449">
        <v>376165.16</v>
      </c>
      <c r="W248" s="446"/>
      <c r="X248" s="448">
        <v>962141.5</v>
      </c>
      <c r="Y248" s="448">
        <v>0</v>
      </c>
      <c r="Z248" s="449">
        <v>962141.5</v>
      </c>
      <c r="AA248" s="446"/>
    </row>
    <row r="249" spans="2:27" s="443" customFormat="1" ht="12" customHeight="1">
      <c r="B249" s="238">
        <v>45737</v>
      </c>
      <c r="C249" s="448"/>
      <c r="D249" s="448">
        <v>382840.17</v>
      </c>
      <c r="E249" s="448">
        <v>0</v>
      </c>
      <c r="F249" s="448">
        <v>382840.17</v>
      </c>
      <c r="G249" s="448"/>
      <c r="H249" s="448">
        <v>2582455.98</v>
      </c>
      <c r="I249" s="448">
        <v>0</v>
      </c>
      <c r="J249" s="449">
        <v>2582455.98</v>
      </c>
      <c r="K249" s="446"/>
      <c r="L249" s="448">
        <v>3660884.15</v>
      </c>
      <c r="M249" s="448">
        <v>0</v>
      </c>
      <c r="N249" s="449">
        <v>3660884.15</v>
      </c>
      <c r="O249" s="446"/>
      <c r="P249" s="448">
        <v>452074.72</v>
      </c>
      <c r="Q249" s="448">
        <v>0</v>
      </c>
      <c r="R249" s="449">
        <v>452074.72</v>
      </c>
      <c r="S249" s="446"/>
      <c r="T249" s="448">
        <v>376165.16</v>
      </c>
      <c r="U249" s="448">
        <v>0</v>
      </c>
      <c r="V249" s="449">
        <v>376165.16</v>
      </c>
      <c r="W249" s="446"/>
      <c r="X249" s="448">
        <v>962141.5</v>
      </c>
      <c r="Y249" s="448">
        <v>0</v>
      </c>
      <c r="Z249" s="449">
        <v>962141.5</v>
      </c>
      <c r="AA249" s="446"/>
    </row>
    <row r="250" spans="2:27" s="443" customFormat="1" ht="12" customHeight="1">
      <c r="B250" s="238">
        <v>45738</v>
      </c>
      <c r="C250" s="448"/>
      <c r="D250" s="448">
        <v>382840.17</v>
      </c>
      <c r="E250" s="448">
        <v>0</v>
      </c>
      <c r="F250" s="448">
        <v>382840.17</v>
      </c>
      <c r="G250" s="448"/>
      <c r="H250" s="448">
        <v>2582455.98</v>
      </c>
      <c r="I250" s="448">
        <v>0</v>
      </c>
      <c r="J250" s="449">
        <v>2582455.98</v>
      </c>
      <c r="K250" s="446"/>
      <c r="L250" s="448">
        <v>3660884.15</v>
      </c>
      <c r="M250" s="448">
        <v>0</v>
      </c>
      <c r="N250" s="449">
        <v>3660884.15</v>
      </c>
      <c r="O250" s="446"/>
      <c r="P250" s="448">
        <v>452074.72</v>
      </c>
      <c r="Q250" s="448">
        <v>0</v>
      </c>
      <c r="R250" s="449">
        <v>452074.72</v>
      </c>
      <c r="S250" s="446"/>
      <c r="T250" s="448">
        <v>376165.16</v>
      </c>
      <c r="U250" s="448">
        <v>0</v>
      </c>
      <c r="V250" s="449">
        <v>376165.16</v>
      </c>
      <c r="W250" s="446"/>
      <c r="X250" s="448">
        <v>962141.5</v>
      </c>
      <c r="Y250" s="448">
        <v>0</v>
      </c>
      <c r="Z250" s="449">
        <v>962141.5</v>
      </c>
      <c r="AA250" s="446"/>
    </row>
    <row r="251" spans="2:27" s="443" customFormat="1" ht="12" customHeight="1">
      <c r="B251" s="238">
        <v>45739</v>
      </c>
      <c r="C251" s="448"/>
      <c r="D251" s="448">
        <v>382840.17</v>
      </c>
      <c r="E251" s="448">
        <v>0</v>
      </c>
      <c r="F251" s="448">
        <v>382840.17</v>
      </c>
      <c r="G251" s="448"/>
      <c r="H251" s="448">
        <v>2582455.98</v>
      </c>
      <c r="I251" s="448">
        <v>0</v>
      </c>
      <c r="J251" s="449">
        <v>2582455.98</v>
      </c>
      <c r="K251" s="446"/>
      <c r="L251" s="448">
        <v>3660884.15</v>
      </c>
      <c r="M251" s="448">
        <v>0</v>
      </c>
      <c r="N251" s="449">
        <v>3660884.15</v>
      </c>
      <c r="O251" s="446"/>
      <c r="P251" s="448">
        <v>452074.72</v>
      </c>
      <c r="Q251" s="448">
        <v>0</v>
      </c>
      <c r="R251" s="449">
        <v>452074.72</v>
      </c>
      <c r="S251" s="446"/>
      <c r="T251" s="448">
        <v>376165.16</v>
      </c>
      <c r="U251" s="448">
        <v>0</v>
      </c>
      <c r="V251" s="449">
        <v>376165.16</v>
      </c>
      <c r="W251" s="446"/>
      <c r="X251" s="448">
        <v>962141.5</v>
      </c>
      <c r="Y251" s="448">
        <v>0</v>
      </c>
      <c r="Z251" s="449">
        <v>962141.5</v>
      </c>
      <c r="AA251" s="446"/>
    </row>
    <row r="252" spans="2:27" s="443" customFormat="1" ht="12" customHeight="1">
      <c r="B252" s="238">
        <v>45740</v>
      </c>
      <c r="C252" s="448"/>
      <c r="D252" s="448">
        <v>382840.17</v>
      </c>
      <c r="E252" s="448">
        <v>0</v>
      </c>
      <c r="F252" s="448">
        <v>382840.17</v>
      </c>
      <c r="G252" s="448"/>
      <c r="H252" s="448">
        <v>2582455.98</v>
      </c>
      <c r="I252" s="448">
        <v>0</v>
      </c>
      <c r="J252" s="449">
        <v>2582455.98</v>
      </c>
      <c r="K252" s="446"/>
      <c r="L252" s="448">
        <v>3660884.15</v>
      </c>
      <c r="M252" s="448">
        <v>0</v>
      </c>
      <c r="N252" s="449">
        <v>3660884.15</v>
      </c>
      <c r="O252" s="446"/>
      <c r="P252" s="448">
        <v>452074.72</v>
      </c>
      <c r="Q252" s="448">
        <v>0</v>
      </c>
      <c r="R252" s="449">
        <v>452074.72</v>
      </c>
      <c r="S252" s="446"/>
      <c r="T252" s="448">
        <v>376165.16</v>
      </c>
      <c r="U252" s="448">
        <v>0</v>
      </c>
      <c r="V252" s="449">
        <v>376165.16</v>
      </c>
      <c r="W252" s="446"/>
      <c r="X252" s="448">
        <v>962141.5</v>
      </c>
      <c r="Y252" s="448">
        <v>0</v>
      </c>
      <c r="Z252" s="449">
        <v>962141.5</v>
      </c>
      <c r="AA252" s="446"/>
    </row>
    <row r="253" spans="2:27" s="443" customFormat="1" ht="12" customHeight="1">
      <c r="B253" s="238">
        <v>45741</v>
      </c>
      <c r="C253" s="448"/>
      <c r="D253" s="448">
        <v>382840.17</v>
      </c>
      <c r="E253" s="448">
        <v>0</v>
      </c>
      <c r="F253" s="448">
        <v>382840.17</v>
      </c>
      <c r="G253" s="448"/>
      <c r="H253" s="448">
        <v>2582455.98</v>
      </c>
      <c r="I253" s="448">
        <v>0</v>
      </c>
      <c r="J253" s="449">
        <v>2582455.98</v>
      </c>
      <c r="K253" s="446"/>
      <c r="L253" s="448">
        <v>3660884.15</v>
      </c>
      <c r="M253" s="448">
        <v>0</v>
      </c>
      <c r="N253" s="449">
        <v>3660884.15</v>
      </c>
      <c r="O253" s="446"/>
      <c r="P253" s="448">
        <v>452074.72</v>
      </c>
      <c r="Q253" s="448">
        <v>0</v>
      </c>
      <c r="R253" s="449">
        <v>452074.72</v>
      </c>
      <c r="S253" s="446"/>
      <c r="T253" s="448">
        <v>376165.16</v>
      </c>
      <c r="U253" s="448">
        <v>0</v>
      </c>
      <c r="V253" s="449">
        <v>376165.16</v>
      </c>
      <c r="W253" s="446"/>
      <c r="X253" s="448">
        <v>962141.5</v>
      </c>
      <c r="Y253" s="448">
        <v>0</v>
      </c>
      <c r="Z253" s="449">
        <v>962141.5</v>
      </c>
      <c r="AA253" s="446"/>
    </row>
    <row r="254" spans="2:27" s="443" customFormat="1" ht="12" customHeight="1">
      <c r="B254" s="238">
        <v>45742</v>
      </c>
      <c r="C254" s="448"/>
      <c r="D254" s="448">
        <v>382840.17</v>
      </c>
      <c r="E254" s="448">
        <v>0</v>
      </c>
      <c r="F254" s="448">
        <v>382840.17</v>
      </c>
      <c r="G254" s="448"/>
      <c r="H254" s="448">
        <v>2582455.98</v>
      </c>
      <c r="I254" s="448">
        <v>107563029.32000023</v>
      </c>
      <c r="J254" s="449">
        <v>110145485.3</v>
      </c>
      <c r="K254" s="446"/>
      <c r="L254" s="448">
        <v>3660884.15</v>
      </c>
      <c r="M254" s="448">
        <v>-1694930.7400000095</v>
      </c>
      <c r="N254" s="449">
        <v>1965953.41</v>
      </c>
      <c r="O254" s="446"/>
      <c r="P254" s="448">
        <v>452074.72</v>
      </c>
      <c r="Q254" s="448">
        <v>536491.52000067756</v>
      </c>
      <c r="R254" s="449">
        <v>988566.24</v>
      </c>
      <c r="S254" s="446"/>
      <c r="T254" s="448">
        <v>376165.16</v>
      </c>
      <c r="U254" s="448">
        <v>563145.30000030622</v>
      </c>
      <c r="V254" s="449">
        <v>939310.46</v>
      </c>
      <c r="W254" s="446"/>
      <c r="X254" s="448">
        <v>962141.5</v>
      </c>
      <c r="Y254" s="448">
        <v>-802388.81999994814</v>
      </c>
      <c r="Z254" s="449">
        <v>159752.68</v>
      </c>
      <c r="AA254" s="446"/>
    </row>
    <row r="255" spans="2:27" s="443" customFormat="1" ht="12" customHeight="1">
      <c r="B255" s="238">
        <v>45743</v>
      </c>
      <c r="C255" s="448"/>
      <c r="D255" s="448">
        <v>382840.17</v>
      </c>
      <c r="E255" s="448">
        <v>157499.30999958515</v>
      </c>
      <c r="F255" s="448">
        <v>540339.48</v>
      </c>
      <c r="G255" s="448"/>
      <c r="H255" s="448">
        <v>110145485.3</v>
      </c>
      <c r="I255" s="448">
        <v>-104355616.86999965</v>
      </c>
      <c r="J255" s="449">
        <v>5789868.4299999997</v>
      </c>
      <c r="K255" s="446"/>
      <c r="L255" s="448">
        <v>1965953.41</v>
      </c>
      <c r="M255" s="448">
        <v>169260.42000001669</v>
      </c>
      <c r="N255" s="449">
        <v>2135213.83</v>
      </c>
      <c r="O255" s="446"/>
      <c r="P255" s="448">
        <v>988566.24</v>
      </c>
      <c r="Q255" s="448">
        <v>-343292.64000011981</v>
      </c>
      <c r="R255" s="449">
        <v>645273.59999999998</v>
      </c>
      <c r="S255" s="446"/>
      <c r="T255" s="448">
        <v>939310.46</v>
      </c>
      <c r="U255" s="448">
        <v>-870192.06999957561</v>
      </c>
      <c r="V255" s="449">
        <v>69118.39</v>
      </c>
      <c r="W255" s="446"/>
      <c r="X255" s="448">
        <v>159752.68</v>
      </c>
      <c r="Y255" s="448">
        <v>893355.12000000477</v>
      </c>
      <c r="Z255" s="449">
        <v>1053107.8</v>
      </c>
      <c r="AA255" s="446"/>
    </row>
    <row r="256" spans="2:27" s="443" customFormat="1" ht="12" customHeight="1">
      <c r="B256" s="238">
        <v>45744</v>
      </c>
      <c r="C256" s="448"/>
      <c r="D256" s="448">
        <v>540339.48</v>
      </c>
      <c r="E256" s="448">
        <v>317787.11999996193</v>
      </c>
      <c r="F256" s="448">
        <v>858126.6</v>
      </c>
      <c r="G256" s="448"/>
      <c r="H256" s="448">
        <v>5789868.4299999997</v>
      </c>
      <c r="I256" s="448">
        <v>132495.62999931723</v>
      </c>
      <c r="J256" s="449">
        <v>5922364.0599999996</v>
      </c>
      <c r="K256" s="446"/>
      <c r="L256" s="448">
        <v>2135213.83</v>
      </c>
      <c r="M256" s="448">
        <v>0</v>
      </c>
      <c r="N256" s="449">
        <v>2135213.83</v>
      </c>
      <c r="O256" s="446"/>
      <c r="P256" s="448">
        <v>645273.59999999998</v>
      </c>
      <c r="Q256" s="448">
        <v>82359.029999985825</v>
      </c>
      <c r="R256" s="449">
        <v>727632.63</v>
      </c>
      <c r="S256" s="446"/>
      <c r="T256" s="448">
        <v>69118.39</v>
      </c>
      <c r="U256" s="448">
        <v>203612.18999885395</v>
      </c>
      <c r="V256" s="449">
        <v>272730.58</v>
      </c>
      <c r="W256" s="446"/>
      <c r="X256" s="448">
        <v>1053107.8</v>
      </c>
      <c r="Y256" s="448">
        <v>92760.689999997616</v>
      </c>
      <c r="Z256" s="449">
        <v>1145868.49</v>
      </c>
      <c r="AA256" s="446"/>
    </row>
    <row r="257" spans="2:27" s="443" customFormat="1" ht="12" customHeight="1">
      <c r="B257" s="238">
        <v>45745</v>
      </c>
      <c r="C257" s="448"/>
      <c r="D257" s="448">
        <v>858126.6</v>
      </c>
      <c r="E257" s="448">
        <v>0</v>
      </c>
      <c r="F257" s="448">
        <v>858126.6</v>
      </c>
      <c r="G257" s="448"/>
      <c r="H257" s="448">
        <v>5922364.0599999996</v>
      </c>
      <c r="I257" s="448">
        <v>0</v>
      </c>
      <c r="J257" s="449">
        <v>5922364.0599999996</v>
      </c>
      <c r="K257" s="446"/>
      <c r="L257" s="448">
        <v>2135213.83</v>
      </c>
      <c r="M257" s="448">
        <v>0</v>
      </c>
      <c r="N257" s="449">
        <v>2135213.83</v>
      </c>
      <c r="O257" s="446"/>
      <c r="P257" s="448">
        <v>727632.63</v>
      </c>
      <c r="Q257" s="448">
        <v>0</v>
      </c>
      <c r="R257" s="449">
        <v>727632.63</v>
      </c>
      <c r="S257" s="446"/>
      <c r="T257" s="448">
        <v>272730.58</v>
      </c>
      <c r="U257" s="448">
        <v>0</v>
      </c>
      <c r="V257" s="449">
        <v>272730.58</v>
      </c>
      <c r="W257" s="446"/>
      <c r="X257" s="448">
        <v>1145868.49</v>
      </c>
      <c r="Y257" s="448">
        <v>0</v>
      </c>
      <c r="Z257" s="449">
        <v>1145868.49</v>
      </c>
      <c r="AA257" s="446"/>
    </row>
    <row r="258" spans="2:27" s="443" customFormat="1" ht="12" customHeight="1">
      <c r="B258" s="238">
        <v>45746</v>
      </c>
      <c r="C258" s="448"/>
      <c r="D258" s="448">
        <v>858126.6</v>
      </c>
      <c r="E258" s="448">
        <v>0</v>
      </c>
      <c r="F258" s="448">
        <v>858126.6</v>
      </c>
      <c r="G258" s="448"/>
      <c r="H258" s="448">
        <v>5922364.0599999996</v>
      </c>
      <c r="I258" s="448">
        <v>0</v>
      </c>
      <c r="J258" s="449">
        <v>5922364.0599999996</v>
      </c>
      <c r="K258" s="446"/>
      <c r="L258" s="448">
        <v>2135213.83</v>
      </c>
      <c r="M258" s="448">
        <v>0</v>
      </c>
      <c r="N258" s="449">
        <v>2135213.83</v>
      </c>
      <c r="O258" s="446"/>
      <c r="P258" s="448">
        <v>727632.63</v>
      </c>
      <c r="Q258" s="448">
        <v>0</v>
      </c>
      <c r="R258" s="449">
        <v>727632.63</v>
      </c>
      <c r="S258" s="446"/>
      <c r="T258" s="448">
        <v>272730.58</v>
      </c>
      <c r="U258" s="448">
        <v>0</v>
      </c>
      <c r="V258" s="449">
        <v>272730.58</v>
      </c>
      <c r="W258" s="446"/>
      <c r="X258" s="448">
        <v>1145868.49</v>
      </c>
      <c r="Y258" s="448">
        <v>0</v>
      </c>
      <c r="Z258" s="449">
        <v>1145868.49</v>
      </c>
      <c r="AA258" s="446"/>
    </row>
    <row r="259" spans="2:27" s="443" customFormat="1" ht="12" customHeight="1">
      <c r="B259" s="238">
        <v>45747</v>
      </c>
      <c r="C259" s="448"/>
      <c r="D259" s="448">
        <v>858126.6</v>
      </c>
      <c r="E259" s="448">
        <v>1680885.0100001097</v>
      </c>
      <c r="F259" s="448">
        <v>2539011.61</v>
      </c>
      <c r="G259" s="448"/>
      <c r="H259" s="448">
        <v>5922364.0599999996</v>
      </c>
      <c r="I259" s="448">
        <v>2645079.9000008106</v>
      </c>
      <c r="J259" s="449">
        <v>8567443.9600000009</v>
      </c>
      <c r="K259" s="446"/>
      <c r="L259" s="448">
        <v>2135213.83</v>
      </c>
      <c r="M259" s="448">
        <v>97112.40000000596</v>
      </c>
      <c r="N259" s="449">
        <v>2232326.23</v>
      </c>
      <c r="O259" s="446"/>
      <c r="P259" s="448">
        <v>727632.63</v>
      </c>
      <c r="Q259" s="448">
        <v>-402044.87000003457</v>
      </c>
      <c r="R259" s="449">
        <v>325587.76</v>
      </c>
      <c r="S259" s="446"/>
      <c r="T259" s="448">
        <v>272730.58</v>
      </c>
      <c r="U259" s="448">
        <v>532608.27000063658</v>
      </c>
      <c r="V259" s="449">
        <v>805338.85</v>
      </c>
      <c r="W259" s="446"/>
      <c r="X259" s="448">
        <v>1145868.49</v>
      </c>
      <c r="Y259" s="448">
        <v>-511705.69999998808</v>
      </c>
      <c r="Z259" s="449">
        <v>634162.79</v>
      </c>
      <c r="AA259" s="446"/>
    </row>
    <row r="260" spans="2:27" s="443" customFormat="1" ht="12" customHeight="1">
      <c r="B260" s="238">
        <v>45748</v>
      </c>
      <c r="C260" s="448"/>
      <c r="D260" s="448">
        <v>2539011.61</v>
      </c>
      <c r="E260" s="448">
        <v>-2361546.8600001521</v>
      </c>
      <c r="F260" s="448">
        <v>177464.75</v>
      </c>
      <c r="G260" s="448"/>
      <c r="H260" s="448">
        <v>8567443.9600000009</v>
      </c>
      <c r="I260" s="448">
        <v>-5521406.2900005057</v>
      </c>
      <c r="J260" s="449">
        <v>3046037.67</v>
      </c>
      <c r="K260" s="446"/>
      <c r="L260" s="448">
        <v>2232326.23</v>
      </c>
      <c r="M260" s="448">
        <v>2050666.6599999815</v>
      </c>
      <c r="N260" s="449">
        <v>4282992.8899999997</v>
      </c>
      <c r="O260" s="446"/>
      <c r="P260" s="448">
        <v>325587.76</v>
      </c>
      <c r="Q260" s="448">
        <v>178889.71000000462</v>
      </c>
      <c r="R260" s="449">
        <v>504477.47</v>
      </c>
      <c r="S260" s="446"/>
      <c r="T260" s="448">
        <v>805338.85</v>
      </c>
      <c r="U260" s="448">
        <v>105340.34000015259</v>
      </c>
      <c r="V260" s="449">
        <v>910679.19</v>
      </c>
      <c r="W260" s="446"/>
      <c r="X260" s="448">
        <v>634162.79</v>
      </c>
      <c r="Y260" s="448">
        <v>151744.31999996211</v>
      </c>
      <c r="Z260" s="449">
        <v>785907.11</v>
      </c>
      <c r="AA260" s="446"/>
    </row>
    <row r="261" spans="2:27" s="443" customFormat="1" ht="12" customHeight="1">
      <c r="B261" s="238">
        <v>45749</v>
      </c>
      <c r="C261" s="448"/>
      <c r="D261" s="448">
        <v>177464.75</v>
      </c>
      <c r="E261" s="448">
        <v>445874.50000018254</v>
      </c>
      <c r="F261" s="448">
        <v>623339.25</v>
      </c>
      <c r="G261" s="448"/>
      <c r="H261" s="448">
        <v>3046037.67</v>
      </c>
      <c r="I261" s="448">
        <v>1089445.6800001524</v>
      </c>
      <c r="J261" s="449">
        <v>4135483.35</v>
      </c>
      <c r="K261" s="446"/>
      <c r="L261" s="448">
        <v>4282992.8899999997</v>
      </c>
      <c r="M261" s="448">
        <v>-2992080.8800000641</v>
      </c>
      <c r="N261" s="449">
        <v>1290912.01</v>
      </c>
      <c r="O261" s="446"/>
      <c r="P261" s="448">
        <v>504477.47</v>
      </c>
      <c r="Q261" s="448">
        <v>475225.31000068178</v>
      </c>
      <c r="R261" s="449">
        <v>979702.78</v>
      </c>
      <c r="S261" s="446"/>
      <c r="T261" s="448">
        <v>910679.19</v>
      </c>
      <c r="U261" s="448">
        <v>-261177.14000034332</v>
      </c>
      <c r="V261" s="449">
        <v>649502.05000000005</v>
      </c>
      <c r="W261" s="446"/>
      <c r="X261" s="448">
        <v>785907.11</v>
      </c>
      <c r="Y261" s="448">
        <v>-491146.36999956146</v>
      </c>
      <c r="Z261" s="449">
        <v>294760.74</v>
      </c>
      <c r="AA261" s="446"/>
    </row>
    <row r="262" spans="2:27" s="443" customFormat="1" ht="12" customHeight="1">
      <c r="B262" s="238">
        <v>45750</v>
      </c>
      <c r="C262" s="448"/>
      <c r="D262" s="448">
        <v>623339.25</v>
      </c>
      <c r="E262" s="448">
        <v>5734.5100010391325</v>
      </c>
      <c r="F262" s="448">
        <v>629073.76</v>
      </c>
      <c r="G262" s="448"/>
      <c r="H262" s="448">
        <v>4135483.35</v>
      </c>
      <c r="I262" s="448">
        <v>-1525238.3599999174</v>
      </c>
      <c r="J262" s="449">
        <v>2610244.9900000002</v>
      </c>
      <c r="K262" s="446"/>
      <c r="L262" s="448">
        <v>1290912.01</v>
      </c>
      <c r="M262" s="448">
        <v>782126.39000005089</v>
      </c>
      <c r="N262" s="449">
        <v>2073038.4</v>
      </c>
      <c r="O262" s="446"/>
      <c r="P262" s="448">
        <v>979702.78</v>
      </c>
      <c r="Q262" s="448">
        <v>-203929.64999973215</v>
      </c>
      <c r="R262" s="449">
        <v>775773.13</v>
      </c>
      <c r="S262" s="446"/>
      <c r="T262" s="448">
        <v>649502.05000000005</v>
      </c>
      <c r="U262" s="448">
        <v>-17467.699999734759</v>
      </c>
      <c r="V262" s="449">
        <v>632034.35</v>
      </c>
      <c r="W262" s="446"/>
      <c r="X262" s="448">
        <v>294760.74</v>
      </c>
      <c r="Y262" s="448">
        <v>0</v>
      </c>
      <c r="Z262" s="449">
        <v>294760.74</v>
      </c>
      <c r="AA262" s="446"/>
    </row>
    <row r="263" spans="2:27" s="443" customFormat="1" ht="12" customHeight="1">
      <c r="B263" s="238">
        <v>45751</v>
      </c>
      <c r="C263" s="448"/>
      <c r="D263" s="448">
        <v>629073.76</v>
      </c>
      <c r="E263" s="448">
        <v>310776.61999993399</v>
      </c>
      <c r="F263" s="448">
        <v>939850.38</v>
      </c>
      <c r="G263" s="448"/>
      <c r="H263" s="448">
        <v>2610244.9900000002</v>
      </c>
      <c r="I263" s="448">
        <v>665550.64999946579</v>
      </c>
      <c r="J263" s="449">
        <v>3275795.64</v>
      </c>
      <c r="K263" s="446"/>
      <c r="L263" s="448">
        <v>2073038.4</v>
      </c>
      <c r="M263" s="448">
        <v>760375.99000008591</v>
      </c>
      <c r="N263" s="449">
        <v>2833414.39</v>
      </c>
      <c r="O263" s="446"/>
      <c r="P263" s="448">
        <v>775773.13</v>
      </c>
      <c r="Q263" s="448">
        <v>-228893.66999997851</v>
      </c>
      <c r="R263" s="449">
        <v>546879.46</v>
      </c>
      <c r="S263" s="446"/>
      <c r="T263" s="448">
        <v>632034.35</v>
      </c>
      <c r="U263" s="448">
        <v>170526.31999992207</v>
      </c>
      <c r="V263" s="449">
        <v>802560.67</v>
      </c>
      <c r="W263" s="446"/>
      <c r="X263" s="448">
        <v>294760.74</v>
      </c>
      <c r="Y263" s="448">
        <v>0</v>
      </c>
      <c r="Z263" s="449">
        <v>294760.74</v>
      </c>
      <c r="AA263" s="446"/>
    </row>
    <row r="264" spans="2:27" s="443" customFormat="1" ht="12" customHeight="1">
      <c r="B264" s="238">
        <v>45752</v>
      </c>
      <c r="C264" s="448"/>
      <c r="D264" s="448">
        <v>939850.38</v>
      </c>
      <c r="E264" s="448">
        <v>0</v>
      </c>
      <c r="F264" s="448">
        <v>939850.38</v>
      </c>
      <c r="G264" s="448"/>
      <c r="H264" s="448">
        <v>3275795.64</v>
      </c>
      <c r="I264" s="448">
        <v>0</v>
      </c>
      <c r="J264" s="449">
        <v>3275795.64</v>
      </c>
      <c r="K264" s="446"/>
      <c r="L264" s="448">
        <v>2833414.39</v>
      </c>
      <c r="M264" s="448">
        <v>0</v>
      </c>
      <c r="N264" s="449">
        <v>2833414.39</v>
      </c>
      <c r="O264" s="446"/>
      <c r="P264" s="448">
        <v>546879.46</v>
      </c>
      <c r="Q264" s="448">
        <v>0</v>
      </c>
      <c r="R264" s="449">
        <v>546879.46</v>
      </c>
      <c r="S264" s="446"/>
      <c r="T264" s="448">
        <v>802560.67</v>
      </c>
      <c r="U264" s="448">
        <v>0</v>
      </c>
      <c r="V264" s="449">
        <v>802560.67</v>
      </c>
      <c r="W264" s="446"/>
      <c r="X264" s="448">
        <v>294760.74</v>
      </c>
      <c r="Y264" s="448">
        <v>0</v>
      </c>
      <c r="Z264" s="449">
        <v>294760.74</v>
      </c>
      <c r="AA264" s="446"/>
    </row>
    <row r="265" spans="2:27" s="443" customFormat="1" ht="12" customHeight="1">
      <c r="B265" s="238">
        <v>45753</v>
      </c>
      <c r="C265" s="448"/>
      <c r="D265" s="448">
        <v>939850.38</v>
      </c>
      <c r="E265" s="448">
        <v>0</v>
      </c>
      <c r="F265" s="448">
        <v>939850.38</v>
      </c>
      <c r="G265" s="448"/>
      <c r="H265" s="448">
        <v>3275795.64</v>
      </c>
      <c r="I265" s="448">
        <v>0</v>
      </c>
      <c r="J265" s="449">
        <v>3275795.64</v>
      </c>
      <c r="K265" s="446"/>
      <c r="L265" s="448">
        <v>2833414.39</v>
      </c>
      <c r="M265" s="448">
        <v>0</v>
      </c>
      <c r="N265" s="449">
        <v>2833414.39</v>
      </c>
      <c r="O265" s="446"/>
      <c r="P265" s="448">
        <v>546879.46</v>
      </c>
      <c r="Q265" s="448">
        <v>0</v>
      </c>
      <c r="R265" s="449">
        <v>546879.46</v>
      </c>
      <c r="S265" s="446"/>
      <c r="T265" s="448">
        <v>802560.67</v>
      </c>
      <c r="U265" s="448">
        <v>0</v>
      </c>
      <c r="V265" s="449">
        <v>802560.67</v>
      </c>
      <c r="W265" s="446"/>
      <c r="X265" s="448">
        <v>294760.74</v>
      </c>
      <c r="Y265" s="448">
        <v>0</v>
      </c>
      <c r="Z265" s="449">
        <v>294760.74</v>
      </c>
      <c r="AA265" s="446"/>
    </row>
    <row r="266" spans="2:27" s="443" customFormat="1" ht="12" customHeight="1">
      <c r="B266" s="238">
        <v>45754</v>
      </c>
      <c r="C266" s="448"/>
      <c r="D266" s="448">
        <v>939850.38</v>
      </c>
      <c r="E266" s="448">
        <v>-599157.01999988593</v>
      </c>
      <c r="F266" s="448">
        <v>340693.36</v>
      </c>
      <c r="G266" s="448"/>
      <c r="H266" s="448">
        <v>3275795.64</v>
      </c>
      <c r="I266" s="448">
        <v>15551805.659999847</v>
      </c>
      <c r="J266" s="449">
        <v>18827601.300000001</v>
      </c>
      <c r="K266" s="446"/>
      <c r="L266" s="448">
        <v>2833414.39</v>
      </c>
      <c r="M266" s="448">
        <v>533856.76999999955</v>
      </c>
      <c r="N266" s="449">
        <v>3367271.16</v>
      </c>
      <c r="O266" s="446"/>
      <c r="P266" s="448">
        <v>546879.46</v>
      </c>
      <c r="Q266" s="448">
        <v>-352757.17000002367</v>
      </c>
      <c r="R266" s="449">
        <v>194122.29</v>
      </c>
      <c r="S266" s="446"/>
      <c r="T266" s="448">
        <v>802560.67</v>
      </c>
      <c r="U266" s="448">
        <v>89929.83000041917</v>
      </c>
      <c r="V266" s="449">
        <v>892490.5</v>
      </c>
      <c r="W266" s="446"/>
      <c r="X266" s="448">
        <v>294760.74</v>
      </c>
      <c r="Y266" s="448">
        <v>0</v>
      </c>
      <c r="Z266" s="449">
        <v>294760.74</v>
      </c>
      <c r="AA266" s="446"/>
    </row>
    <row r="267" spans="2:27" s="443" customFormat="1" ht="12" customHeight="1">
      <c r="B267" s="238">
        <v>45755</v>
      </c>
      <c r="C267" s="448"/>
      <c r="D267" s="448">
        <v>340693.36</v>
      </c>
      <c r="E267" s="448">
        <v>-207908.18999999948</v>
      </c>
      <c r="F267" s="448">
        <v>132785.17000000001</v>
      </c>
      <c r="G267" s="448"/>
      <c r="H267" s="448">
        <v>18827601.300000001</v>
      </c>
      <c r="I267" s="448">
        <v>-15398780.15999959</v>
      </c>
      <c r="J267" s="449">
        <v>3428821.14</v>
      </c>
      <c r="K267" s="446"/>
      <c r="L267" s="448">
        <v>3367271.16</v>
      </c>
      <c r="M267" s="448">
        <v>-2646771.4699998852</v>
      </c>
      <c r="N267" s="449">
        <v>720499.69</v>
      </c>
      <c r="O267" s="446"/>
      <c r="P267" s="448">
        <v>194122.29</v>
      </c>
      <c r="Q267" s="448">
        <v>111797.41999996919</v>
      </c>
      <c r="R267" s="449">
        <v>305919.71000000002</v>
      </c>
      <c r="S267" s="446"/>
      <c r="T267" s="448">
        <v>892490.5</v>
      </c>
      <c r="U267" s="448">
        <v>-479292.24000011384</v>
      </c>
      <c r="V267" s="449">
        <v>413198.26</v>
      </c>
      <c r="W267" s="446"/>
      <c r="X267" s="448">
        <v>294760.74</v>
      </c>
      <c r="Y267" s="448">
        <v>0</v>
      </c>
      <c r="Z267" s="449">
        <v>294760.74</v>
      </c>
      <c r="AA267" s="446"/>
    </row>
    <row r="268" spans="2:27" s="443" customFormat="1" ht="12" customHeight="1">
      <c r="B268" s="238">
        <v>45756</v>
      </c>
      <c r="C268" s="448"/>
      <c r="D268" s="448">
        <v>132785.17000000001</v>
      </c>
      <c r="E268" s="448">
        <v>310411.39999990538</v>
      </c>
      <c r="F268" s="448">
        <v>443196.57</v>
      </c>
      <c r="G268" s="448"/>
      <c r="H268" s="448">
        <v>3428821.14</v>
      </c>
      <c r="I268" s="448">
        <v>1436574.7799992003</v>
      </c>
      <c r="J268" s="449">
        <v>4865395.92</v>
      </c>
      <c r="K268" s="446"/>
      <c r="L268" s="448">
        <v>720499.69</v>
      </c>
      <c r="M268" s="448">
        <v>393008.05999997072</v>
      </c>
      <c r="N268" s="449">
        <v>1113507.75</v>
      </c>
      <c r="O268" s="446"/>
      <c r="P268" s="448">
        <v>305919.71000000002</v>
      </c>
      <c r="Q268" s="448">
        <v>141466.19000041019</v>
      </c>
      <c r="R268" s="449">
        <v>447385.9</v>
      </c>
      <c r="S268" s="446"/>
      <c r="T268" s="448">
        <v>413198.26</v>
      </c>
      <c r="U268" s="448">
        <v>290664.7099994272</v>
      </c>
      <c r="V268" s="449">
        <v>703862.97</v>
      </c>
      <c r="W268" s="446"/>
      <c r="X268" s="448">
        <v>294760.74</v>
      </c>
      <c r="Y268" s="448">
        <v>94721.030000096187</v>
      </c>
      <c r="Z268" s="449">
        <v>389481.77</v>
      </c>
      <c r="AA268" s="446"/>
    </row>
    <row r="269" spans="2:27" s="443" customFormat="1" ht="12" customHeight="1">
      <c r="B269" s="238">
        <v>45757</v>
      </c>
      <c r="C269" s="448"/>
      <c r="D269" s="448">
        <v>443196.57</v>
      </c>
      <c r="E269" s="448">
        <v>1082386.6499976218</v>
      </c>
      <c r="F269" s="448">
        <v>1525583.22</v>
      </c>
      <c r="G269" s="448"/>
      <c r="H269" s="448">
        <v>4865395.92</v>
      </c>
      <c r="I269" s="448">
        <v>1299758.25000038</v>
      </c>
      <c r="J269" s="449">
        <v>6165154.1699999999</v>
      </c>
      <c r="K269" s="446"/>
      <c r="L269" s="448">
        <v>1113507.75</v>
      </c>
      <c r="M269" s="448">
        <v>702890.50000016205</v>
      </c>
      <c r="N269" s="449">
        <v>1816398.25</v>
      </c>
      <c r="O269" s="446"/>
      <c r="P269" s="448">
        <v>447385.9</v>
      </c>
      <c r="Q269" s="448">
        <v>1634534.9800000787</v>
      </c>
      <c r="R269" s="449">
        <v>2081920.88</v>
      </c>
      <c r="S269" s="446"/>
      <c r="T269" s="448">
        <v>703862.97</v>
      </c>
      <c r="U269" s="448">
        <v>-527173.42999916151</v>
      </c>
      <c r="V269" s="449">
        <v>176689.54</v>
      </c>
      <c r="W269" s="446"/>
      <c r="X269" s="448">
        <v>389481.77</v>
      </c>
      <c r="Y269" s="448">
        <v>64872.569999581203</v>
      </c>
      <c r="Z269" s="449">
        <v>454354.34</v>
      </c>
      <c r="AA269" s="446"/>
    </row>
    <row r="270" spans="2:27" s="443" customFormat="1" ht="12" customHeight="1">
      <c r="B270" s="238">
        <v>45758</v>
      </c>
      <c r="C270" s="448"/>
      <c r="D270" s="448">
        <v>1525583.22</v>
      </c>
      <c r="E270" s="448">
        <v>-1407195.3400000185</v>
      </c>
      <c r="F270" s="448">
        <v>118387.88</v>
      </c>
      <c r="G270" s="448"/>
      <c r="H270" s="448">
        <v>6165154.1699999999</v>
      </c>
      <c r="I270" s="448">
        <v>-4167704.9200007441</v>
      </c>
      <c r="J270" s="449">
        <v>1997449.25</v>
      </c>
      <c r="K270" s="446"/>
      <c r="L270" s="448">
        <v>1816398.25</v>
      </c>
      <c r="M270" s="448">
        <v>1058277.0900001153</v>
      </c>
      <c r="N270" s="449">
        <v>2874675.34</v>
      </c>
      <c r="O270" s="446"/>
      <c r="P270" s="448">
        <v>2081920.88</v>
      </c>
      <c r="Q270" s="448">
        <v>-2029214.3599998858</v>
      </c>
      <c r="R270" s="449">
        <v>52706.52</v>
      </c>
      <c r="S270" s="446"/>
      <c r="T270" s="448">
        <v>176689.54</v>
      </c>
      <c r="U270" s="448">
        <v>421053.61000068486</v>
      </c>
      <c r="V270" s="449">
        <v>597743.15</v>
      </c>
      <c r="W270" s="446"/>
      <c r="X270" s="448">
        <v>454354.34</v>
      </c>
      <c r="Y270" s="448">
        <v>0</v>
      </c>
      <c r="Z270" s="449">
        <v>454354.34</v>
      </c>
      <c r="AA270" s="446"/>
    </row>
    <row r="271" spans="2:27" s="443" customFormat="1" ht="12" customHeight="1">
      <c r="B271" s="238">
        <v>45759</v>
      </c>
      <c r="C271" s="448"/>
      <c r="D271" s="448">
        <v>118387.88</v>
      </c>
      <c r="E271" s="448">
        <v>0</v>
      </c>
      <c r="F271" s="448">
        <v>118387.88</v>
      </c>
      <c r="G271" s="448"/>
      <c r="H271" s="448">
        <v>1997449.25</v>
      </c>
      <c r="I271" s="448">
        <v>0</v>
      </c>
      <c r="J271" s="449">
        <v>1997449.25</v>
      </c>
      <c r="K271" s="446"/>
      <c r="L271" s="448">
        <v>2874675.34</v>
      </c>
      <c r="M271" s="448">
        <v>0</v>
      </c>
      <c r="N271" s="449">
        <v>2874675.34</v>
      </c>
      <c r="O271" s="446"/>
      <c r="P271" s="448">
        <v>52706.52</v>
      </c>
      <c r="Q271" s="448">
        <v>0</v>
      </c>
      <c r="R271" s="449">
        <v>52706.52</v>
      </c>
      <c r="S271" s="446"/>
      <c r="T271" s="448">
        <v>597743.15</v>
      </c>
      <c r="U271" s="448">
        <v>0</v>
      </c>
      <c r="V271" s="449">
        <v>597743.15</v>
      </c>
      <c r="W271" s="446"/>
      <c r="X271" s="448">
        <v>454354.34</v>
      </c>
      <c r="Y271" s="448">
        <v>0</v>
      </c>
      <c r="Z271" s="449">
        <v>454354.34</v>
      </c>
      <c r="AA271" s="446"/>
    </row>
    <row r="272" spans="2:27" s="443" customFormat="1" ht="12" customHeight="1">
      <c r="B272" s="238">
        <v>45760</v>
      </c>
      <c r="C272" s="448"/>
      <c r="D272" s="448">
        <v>118387.88</v>
      </c>
      <c r="E272" s="448">
        <v>0</v>
      </c>
      <c r="F272" s="448">
        <v>118387.88</v>
      </c>
      <c r="G272" s="448"/>
      <c r="H272" s="448">
        <v>1997449.25</v>
      </c>
      <c r="I272" s="448">
        <v>0</v>
      </c>
      <c r="J272" s="449">
        <v>1997449.25</v>
      </c>
      <c r="K272" s="446"/>
      <c r="L272" s="448">
        <v>2874675.34</v>
      </c>
      <c r="M272" s="448">
        <v>0</v>
      </c>
      <c r="N272" s="449">
        <v>2874675.34</v>
      </c>
      <c r="O272" s="446"/>
      <c r="P272" s="448">
        <v>52706.52</v>
      </c>
      <c r="Q272" s="448">
        <v>0</v>
      </c>
      <c r="R272" s="449">
        <v>52706.52</v>
      </c>
      <c r="S272" s="446"/>
      <c r="T272" s="448">
        <v>597743.15</v>
      </c>
      <c r="U272" s="448">
        <v>0</v>
      </c>
      <c r="V272" s="449">
        <v>597743.15</v>
      </c>
      <c r="W272" s="446"/>
      <c r="X272" s="448">
        <v>454354.34</v>
      </c>
      <c r="Y272" s="448">
        <v>0</v>
      </c>
      <c r="Z272" s="449">
        <v>454354.34</v>
      </c>
      <c r="AA272" s="446"/>
    </row>
    <row r="273" spans="2:27" s="443" customFormat="1" ht="12" customHeight="1">
      <c r="B273" s="238">
        <v>45761</v>
      </c>
      <c r="C273" s="448"/>
      <c r="D273" s="448">
        <v>118387.88</v>
      </c>
      <c r="E273" s="448">
        <v>13725.100000121631</v>
      </c>
      <c r="F273" s="448">
        <v>132112.98000000001</v>
      </c>
      <c r="G273" s="448"/>
      <c r="H273" s="448">
        <v>1997449.25</v>
      </c>
      <c r="I273" s="448">
        <v>2614533.4299995303</v>
      </c>
      <c r="J273" s="449">
        <v>4611982.68</v>
      </c>
      <c r="K273" s="446"/>
      <c r="L273" s="448">
        <v>2874675.34</v>
      </c>
      <c r="M273" s="448">
        <v>-681600.38000017405</v>
      </c>
      <c r="N273" s="449">
        <v>2193074.96</v>
      </c>
      <c r="O273" s="446"/>
      <c r="P273" s="448">
        <v>52706.52</v>
      </c>
      <c r="Q273" s="448">
        <v>1104815.5499999821</v>
      </c>
      <c r="R273" s="449">
        <v>1157522.07</v>
      </c>
      <c r="S273" s="446"/>
      <c r="T273" s="448">
        <v>597743.15</v>
      </c>
      <c r="U273" s="448">
        <v>308686.2300010419</v>
      </c>
      <c r="V273" s="449">
        <v>906429.38</v>
      </c>
      <c r="W273" s="446"/>
      <c r="X273" s="448">
        <v>454354.34</v>
      </c>
      <c r="Y273" s="448">
        <v>-511.51000000350177</v>
      </c>
      <c r="Z273" s="449">
        <v>453842.83</v>
      </c>
      <c r="AA273" s="446"/>
    </row>
    <row r="274" spans="2:27" s="443" customFormat="1" ht="12" customHeight="1">
      <c r="B274" s="238">
        <v>45762</v>
      </c>
      <c r="C274" s="448"/>
      <c r="D274" s="448">
        <v>132112.98000000001</v>
      </c>
      <c r="E274" s="448">
        <v>587282.79999980517</v>
      </c>
      <c r="F274" s="448">
        <v>719395.78</v>
      </c>
      <c r="G274" s="448"/>
      <c r="H274" s="448">
        <v>4611982.68</v>
      </c>
      <c r="I274" s="448">
        <v>-977570.26999992505</v>
      </c>
      <c r="J274" s="449">
        <v>3634412.41</v>
      </c>
      <c r="K274" s="446"/>
      <c r="L274" s="448">
        <v>2193074.96</v>
      </c>
      <c r="M274" s="448">
        <v>1892775.6900001764</v>
      </c>
      <c r="N274" s="449">
        <v>4085850.65</v>
      </c>
      <c r="O274" s="446"/>
      <c r="P274" s="448">
        <v>1157522.07</v>
      </c>
      <c r="Q274" s="448">
        <v>-776634.91999992356</v>
      </c>
      <c r="R274" s="449">
        <v>380887.15</v>
      </c>
      <c r="S274" s="446"/>
      <c r="T274" s="448">
        <v>906429.38</v>
      </c>
      <c r="U274" s="448">
        <v>-604031.6799993515</v>
      </c>
      <c r="V274" s="449">
        <v>302397.7</v>
      </c>
      <c r="W274" s="446"/>
      <c r="X274" s="448">
        <v>453842.83</v>
      </c>
      <c r="Y274" s="448">
        <v>0</v>
      </c>
      <c r="Z274" s="449">
        <v>453842.83</v>
      </c>
      <c r="AA274" s="446"/>
    </row>
    <row r="275" spans="2:27" s="443" customFormat="1" ht="12" customHeight="1">
      <c r="B275" s="238">
        <v>45763</v>
      </c>
      <c r="C275" s="448"/>
      <c r="D275" s="448">
        <v>719395.78</v>
      </c>
      <c r="E275" s="448">
        <v>-481200.8100002408</v>
      </c>
      <c r="F275" s="448">
        <v>238194.97</v>
      </c>
      <c r="G275" s="448"/>
      <c r="H275" s="448">
        <v>3634412.41</v>
      </c>
      <c r="I275" s="448">
        <v>2633956.4599996805</v>
      </c>
      <c r="J275" s="449">
        <v>6268368.8700000001</v>
      </c>
      <c r="K275" s="446"/>
      <c r="L275" s="448">
        <v>4085850.65</v>
      </c>
      <c r="M275" s="448">
        <v>-2545975.0999999046</v>
      </c>
      <c r="N275" s="449">
        <v>1539875.55</v>
      </c>
      <c r="O275" s="446"/>
      <c r="P275" s="448">
        <v>380887.15</v>
      </c>
      <c r="Q275" s="448">
        <v>-9723.3800002336502</v>
      </c>
      <c r="R275" s="449">
        <v>371163.77</v>
      </c>
      <c r="S275" s="446"/>
      <c r="T275" s="448">
        <v>302397.7</v>
      </c>
      <c r="U275" s="448">
        <v>245032.7300003469</v>
      </c>
      <c r="V275" s="449">
        <v>547430.43000000005</v>
      </c>
      <c r="W275" s="446"/>
      <c r="X275" s="448">
        <v>453842.83</v>
      </c>
      <c r="Y275" s="448">
        <v>284012.57999998331</v>
      </c>
      <c r="Z275" s="449">
        <v>737855.41</v>
      </c>
      <c r="AA275" s="446"/>
    </row>
    <row r="276" spans="2:27" s="443" customFormat="1" ht="12" customHeight="1">
      <c r="B276" s="238">
        <v>45764</v>
      </c>
      <c r="C276" s="448"/>
      <c r="D276" s="448">
        <v>238194.97</v>
      </c>
      <c r="E276" s="448">
        <v>871562.2399989143</v>
      </c>
      <c r="F276" s="448">
        <v>1109757.21</v>
      </c>
      <c r="G276" s="448"/>
      <c r="H276" s="448">
        <v>6268368.8700000001</v>
      </c>
      <c r="I276" s="448">
        <v>-1942826.9300005324</v>
      </c>
      <c r="J276" s="449">
        <v>4325541.9400000004</v>
      </c>
      <c r="K276" s="446"/>
      <c r="L276" s="448">
        <v>1539875.55</v>
      </c>
      <c r="M276" s="448">
        <v>0</v>
      </c>
      <c r="N276" s="449">
        <v>1539875.55</v>
      </c>
      <c r="O276" s="446"/>
      <c r="P276" s="448">
        <v>371163.77</v>
      </c>
      <c r="Q276" s="448">
        <v>708442.08000005689</v>
      </c>
      <c r="R276" s="449">
        <v>1079605.8500000001</v>
      </c>
      <c r="S276" s="446"/>
      <c r="T276" s="448">
        <v>547430.43000000005</v>
      </c>
      <c r="U276" s="448">
        <v>-201399.82000005618</v>
      </c>
      <c r="V276" s="449">
        <v>346030.61</v>
      </c>
      <c r="W276" s="446"/>
      <c r="X276" s="448">
        <v>737855.41</v>
      </c>
      <c r="Y276" s="448">
        <v>-215155.65000011399</v>
      </c>
      <c r="Z276" s="449">
        <v>522699.76</v>
      </c>
      <c r="AA276" s="446"/>
    </row>
    <row r="277" spans="2:27" s="443" customFormat="1" ht="12" customHeight="1">
      <c r="B277" s="238">
        <v>45765</v>
      </c>
      <c r="C277" s="448"/>
      <c r="D277" s="448">
        <v>1109757.21</v>
      </c>
      <c r="E277" s="448">
        <v>341264.57000017166</v>
      </c>
      <c r="F277" s="448">
        <v>1451021.78</v>
      </c>
      <c r="G277" s="448"/>
      <c r="H277" s="448">
        <v>4325541.9400000004</v>
      </c>
      <c r="I277" s="448">
        <v>0</v>
      </c>
      <c r="J277" s="449">
        <v>4325541.9400000004</v>
      </c>
      <c r="K277" s="446"/>
      <c r="L277" s="448">
        <v>1539875.55</v>
      </c>
      <c r="M277" s="448">
        <v>0</v>
      </c>
      <c r="N277" s="449">
        <v>1539875.55</v>
      </c>
      <c r="O277" s="446"/>
      <c r="P277" s="448">
        <v>1079605.8500000001</v>
      </c>
      <c r="Q277" s="448">
        <v>-1015891.770000428</v>
      </c>
      <c r="R277" s="449">
        <v>63714.080000000002</v>
      </c>
      <c r="S277" s="446"/>
      <c r="T277" s="448">
        <v>346030.61</v>
      </c>
      <c r="U277" s="448">
        <v>-12339.049999237061</v>
      </c>
      <c r="V277" s="449">
        <v>333691.56</v>
      </c>
      <c r="W277" s="446"/>
      <c r="X277" s="448">
        <v>522699.76</v>
      </c>
      <c r="Y277" s="448">
        <v>0</v>
      </c>
      <c r="Z277" s="449">
        <v>522699.76</v>
      </c>
      <c r="AA277" s="446"/>
    </row>
    <row r="278" spans="2:27" s="443" customFormat="1" ht="12" customHeight="1">
      <c r="B278" s="238">
        <v>45766</v>
      </c>
      <c r="C278" s="448"/>
      <c r="D278" s="448">
        <v>1451021.78</v>
      </c>
      <c r="E278" s="448">
        <v>0</v>
      </c>
      <c r="F278" s="448">
        <v>1451021.78</v>
      </c>
      <c r="G278" s="448"/>
      <c r="H278" s="448">
        <v>4325541.9400000004</v>
      </c>
      <c r="I278" s="448">
        <v>0</v>
      </c>
      <c r="J278" s="449">
        <v>4325541.9400000004</v>
      </c>
      <c r="K278" s="446"/>
      <c r="L278" s="448">
        <v>1539875.55</v>
      </c>
      <c r="M278" s="448">
        <v>0</v>
      </c>
      <c r="N278" s="449">
        <v>1539875.55</v>
      </c>
      <c r="O278" s="446"/>
      <c r="P278" s="448">
        <v>63714.080000000002</v>
      </c>
      <c r="Q278" s="448">
        <v>0</v>
      </c>
      <c r="R278" s="449">
        <v>63714.080000000002</v>
      </c>
      <c r="S278" s="446"/>
      <c r="T278" s="448">
        <v>333691.56</v>
      </c>
      <c r="U278" s="448">
        <v>0</v>
      </c>
      <c r="V278" s="449">
        <v>333691.56</v>
      </c>
      <c r="W278" s="446"/>
      <c r="X278" s="448">
        <v>522699.76</v>
      </c>
      <c r="Y278" s="448">
        <v>0</v>
      </c>
      <c r="Z278" s="449">
        <v>522699.76</v>
      </c>
      <c r="AA278" s="446"/>
    </row>
    <row r="279" spans="2:27" s="443" customFormat="1" ht="12" customHeight="1">
      <c r="B279" s="238">
        <v>45767</v>
      </c>
      <c r="C279" s="448"/>
      <c r="D279" s="448">
        <v>1451021.78</v>
      </c>
      <c r="E279" s="448">
        <v>0</v>
      </c>
      <c r="F279" s="448">
        <v>1451021.78</v>
      </c>
      <c r="G279" s="448"/>
      <c r="H279" s="448">
        <v>4325541.9400000004</v>
      </c>
      <c r="I279" s="448">
        <v>0</v>
      </c>
      <c r="J279" s="449">
        <v>4325541.9400000004</v>
      </c>
      <c r="K279" s="446"/>
      <c r="L279" s="448">
        <v>1539875.55</v>
      </c>
      <c r="M279" s="448">
        <v>0</v>
      </c>
      <c r="N279" s="449">
        <v>1539875.55</v>
      </c>
      <c r="O279" s="446"/>
      <c r="P279" s="448">
        <v>63714.080000000002</v>
      </c>
      <c r="Q279" s="448">
        <v>0</v>
      </c>
      <c r="R279" s="449">
        <v>63714.080000000002</v>
      </c>
      <c r="S279" s="446"/>
      <c r="T279" s="448">
        <v>333691.56</v>
      </c>
      <c r="U279" s="448">
        <v>0</v>
      </c>
      <c r="V279" s="449">
        <v>333691.56</v>
      </c>
      <c r="W279" s="446"/>
      <c r="X279" s="448">
        <v>522699.76</v>
      </c>
      <c r="Y279" s="448">
        <v>0</v>
      </c>
      <c r="Z279" s="449">
        <v>522699.76</v>
      </c>
      <c r="AA279" s="446"/>
    </row>
    <row r="280" spans="2:27" s="443" customFormat="1" ht="12" customHeight="1">
      <c r="B280" s="238">
        <v>45768</v>
      </c>
      <c r="C280" s="448"/>
      <c r="D280" s="448">
        <v>1451021.78</v>
      </c>
      <c r="E280" s="448">
        <v>-551742.2899999693</v>
      </c>
      <c r="F280" s="448">
        <v>899279.49</v>
      </c>
      <c r="G280" s="448"/>
      <c r="H280" s="448">
        <v>4325541.9400000004</v>
      </c>
      <c r="I280" s="448">
        <v>0</v>
      </c>
      <c r="J280" s="449">
        <v>4325541.9400000004</v>
      </c>
      <c r="K280" s="446"/>
      <c r="L280" s="448">
        <v>1539875.55</v>
      </c>
      <c r="M280" s="448">
        <v>0</v>
      </c>
      <c r="N280" s="449">
        <v>1539875.55</v>
      </c>
      <c r="O280" s="446"/>
      <c r="P280" s="448">
        <v>63714.080000000002</v>
      </c>
      <c r="Q280" s="448">
        <v>913879.8799996851</v>
      </c>
      <c r="R280" s="449">
        <v>977593.96</v>
      </c>
      <c r="S280" s="446"/>
      <c r="T280" s="448">
        <v>333691.56</v>
      </c>
      <c r="U280" s="448">
        <v>605095.15999919921</v>
      </c>
      <c r="V280" s="449">
        <v>938786.72</v>
      </c>
      <c r="W280" s="446"/>
      <c r="X280" s="448">
        <v>522699.76</v>
      </c>
      <c r="Y280" s="448">
        <v>468573.45999997854</v>
      </c>
      <c r="Z280" s="449">
        <v>991273.22</v>
      </c>
      <c r="AA280" s="446"/>
    </row>
    <row r="281" spans="2:27" s="443" customFormat="1" ht="12" customHeight="1">
      <c r="B281" s="238">
        <v>45769</v>
      </c>
      <c r="C281" s="448"/>
      <c r="D281" s="448">
        <v>899279.49</v>
      </c>
      <c r="E281" s="448">
        <v>-214008.09999986738</v>
      </c>
      <c r="F281" s="448">
        <v>685271.39</v>
      </c>
      <c r="G281" s="448"/>
      <c r="H281" s="448">
        <v>4325541.9400000004</v>
      </c>
      <c r="I281" s="448">
        <v>0</v>
      </c>
      <c r="J281" s="449">
        <v>4325541.9400000004</v>
      </c>
      <c r="K281" s="446"/>
      <c r="L281" s="448">
        <v>1539875.55</v>
      </c>
      <c r="M281" s="448">
        <v>0</v>
      </c>
      <c r="N281" s="449">
        <v>1539875.55</v>
      </c>
      <c r="O281" s="446"/>
      <c r="P281" s="448">
        <v>977593.96</v>
      </c>
      <c r="Q281" s="448">
        <v>-745613.1599998977</v>
      </c>
      <c r="R281" s="449">
        <v>231980.79999999999</v>
      </c>
      <c r="S281" s="446"/>
      <c r="T281" s="448">
        <v>938786.72</v>
      </c>
      <c r="U281" s="448">
        <v>-395455.72999976948</v>
      </c>
      <c r="V281" s="449">
        <v>543330.99</v>
      </c>
      <c r="W281" s="446"/>
      <c r="X281" s="448">
        <v>991273.22</v>
      </c>
      <c r="Y281" s="448">
        <v>0</v>
      </c>
      <c r="Z281" s="449">
        <v>991273.22</v>
      </c>
      <c r="AA281" s="446"/>
    </row>
    <row r="282" spans="2:27" s="443" customFormat="1" ht="12" customHeight="1">
      <c r="B282" s="238">
        <v>45770</v>
      </c>
      <c r="C282" s="448"/>
      <c r="D282" s="448">
        <v>685271.39</v>
      </c>
      <c r="E282" s="448">
        <v>-238680.15000000037</v>
      </c>
      <c r="F282" s="448">
        <v>446591.24</v>
      </c>
      <c r="G282" s="448"/>
      <c r="H282" s="448">
        <v>4325541.9400000004</v>
      </c>
      <c r="I282" s="448">
        <v>0</v>
      </c>
      <c r="J282" s="449">
        <v>4325541.9400000004</v>
      </c>
      <c r="K282" s="446"/>
      <c r="L282" s="448">
        <v>1539875.55</v>
      </c>
      <c r="M282" s="448">
        <v>3082627.5700000525</v>
      </c>
      <c r="N282" s="449">
        <v>4622503.12</v>
      </c>
      <c r="O282" s="446"/>
      <c r="P282" s="448">
        <v>231980.79999999999</v>
      </c>
      <c r="Q282" s="448">
        <v>114789.31000015326</v>
      </c>
      <c r="R282" s="449">
        <v>346770.11</v>
      </c>
      <c r="S282" s="446"/>
      <c r="T282" s="448">
        <v>543330.99</v>
      </c>
      <c r="U282" s="448">
        <v>309409.79000072554</v>
      </c>
      <c r="V282" s="449">
        <v>852740.78</v>
      </c>
      <c r="W282" s="446"/>
      <c r="X282" s="448">
        <v>991273.22</v>
      </c>
      <c r="Y282" s="448">
        <v>0</v>
      </c>
      <c r="Z282" s="449">
        <v>991273.22</v>
      </c>
      <c r="AA282" s="446"/>
    </row>
    <row r="283" spans="2:27" s="443" customFormat="1" ht="12" customHeight="1">
      <c r="B283" s="238">
        <v>45771</v>
      </c>
      <c r="C283" s="448"/>
      <c r="D283" s="448">
        <v>446591.24</v>
      </c>
      <c r="E283" s="448">
        <v>-89147.500000573695</v>
      </c>
      <c r="F283" s="448">
        <v>357443.74</v>
      </c>
      <c r="G283" s="448"/>
      <c r="H283" s="448">
        <v>4325541.9400000004</v>
      </c>
      <c r="I283" s="448">
        <v>-2655765.9300002302</v>
      </c>
      <c r="J283" s="449">
        <v>1669776.01</v>
      </c>
      <c r="K283" s="446"/>
      <c r="L283" s="448">
        <v>4622503.12</v>
      </c>
      <c r="M283" s="448">
        <v>-2788028.7599999905</v>
      </c>
      <c r="N283" s="449">
        <v>1834474.36</v>
      </c>
      <c r="O283" s="446"/>
      <c r="P283" s="448">
        <v>346770.11</v>
      </c>
      <c r="Q283" s="448">
        <v>775287.48999997973</v>
      </c>
      <c r="R283" s="449">
        <v>1122057.6000000001</v>
      </c>
      <c r="S283" s="446"/>
      <c r="T283" s="448">
        <v>852740.78</v>
      </c>
      <c r="U283" s="448">
        <v>-185972.33999969438</v>
      </c>
      <c r="V283" s="449">
        <v>666768.43999999994</v>
      </c>
      <c r="W283" s="446"/>
      <c r="X283" s="448">
        <v>991273.22</v>
      </c>
      <c r="Y283" s="448">
        <v>133864.45999974012</v>
      </c>
      <c r="Z283" s="449">
        <v>1125137.68</v>
      </c>
      <c r="AA283" s="446"/>
    </row>
    <row r="284" spans="2:27" s="443" customFormat="1" ht="12" customHeight="1">
      <c r="B284" s="238">
        <v>45772</v>
      </c>
      <c r="C284" s="448"/>
      <c r="D284" s="448">
        <v>357443.74</v>
      </c>
      <c r="E284" s="448">
        <v>44753.670000076294</v>
      </c>
      <c r="F284" s="448">
        <v>402197.41</v>
      </c>
      <c r="G284" s="448"/>
      <c r="H284" s="448">
        <v>1669776.01</v>
      </c>
      <c r="I284" s="448">
        <v>0</v>
      </c>
      <c r="J284" s="449">
        <v>1669776.01</v>
      </c>
      <c r="K284" s="446"/>
      <c r="L284" s="448">
        <v>1834474.36</v>
      </c>
      <c r="M284" s="448">
        <v>1009786.5099999905</v>
      </c>
      <c r="N284" s="449">
        <v>2844260.87</v>
      </c>
      <c r="O284" s="446"/>
      <c r="P284" s="448">
        <v>1122057.6000000001</v>
      </c>
      <c r="Q284" s="448">
        <v>-739945.22000000952</v>
      </c>
      <c r="R284" s="449">
        <v>382112.38</v>
      </c>
      <c r="S284" s="446"/>
      <c r="T284" s="448">
        <v>666768.43999999994</v>
      </c>
      <c r="U284" s="448">
        <v>149384.1200006865</v>
      </c>
      <c r="V284" s="449">
        <v>816152.56</v>
      </c>
      <c r="W284" s="446"/>
      <c r="X284" s="448">
        <v>1125137.68</v>
      </c>
      <c r="Y284" s="448">
        <v>-959447.77000000724</v>
      </c>
      <c r="Z284" s="449">
        <v>165689.91</v>
      </c>
      <c r="AA284" s="446"/>
    </row>
    <row r="285" spans="2:27" s="443" customFormat="1" ht="12" customHeight="1">
      <c r="B285" s="238">
        <v>45773</v>
      </c>
      <c r="C285" s="448"/>
      <c r="D285" s="448">
        <v>402197.41</v>
      </c>
      <c r="E285" s="448">
        <v>0</v>
      </c>
      <c r="F285" s="448">
        <v>402197.41</v>
      </c>
      <c r="G285" s="448"/>
      <c r="H285" s="448">
        <v>1669776.01</v>
      </c>
      <c r="I285" s="448">
        <v>0</v>
      </c>
      <c r="J285" s="449">
        <v>1669776.01</v>
      </c>
      <c r="K285" s="446"/>
      <c r="L285" s="448">
        <v>2844260.87</v>
      </c>
      <c r="M285" s="448">
        <v>0</v>
      </c>
      <c r="N285" s="449">
        <v>2844260.87</v>
      </c>
      <c r="O285" s="446"/>
      <c r="P285" s="448">
        <v>382112.38</v>
      </c>
      <c r="Q285" s="448">
        <v>0</v>
      </c>
      <c r="R285" s="449">
        <v>382112.38</v>
      </c>
      <c r="S285" s="446"/>
      <c r="T285" s="448">
        <v>816152.56</v>
      </c>
      <c r="U285" s="448">
        <v>0</v>
      </c>
      <c r="V285" s="449">
        <v>816152.56</v>
      </c>
      <c r="W285" s="446"/>
      <c r="X285" s="448">
        <v>165689.91</v>
      </c>
      <c r="Y285" s="448">
        <v>0</v>
      </c>
      <c r="Z285" s="449">
        <v>165689.91</v>
      </c>
      <c r="AA285" s="446"/>
    </row>
    <row r="286" spans="2:27" s="443" customFormat="1" ht="12" customHeight="1">
      <c r="B286" s="238">
        <v>45774</v>
      </c>
      <c r="C286" s="448"/>
      <c r="D286" s="448">
        <v>402197.41</v>
      </c>
      <c r="E286" s="448">
        <v>0</v>
      </c>
      <c r="F286" s="448">
        <v>402197.41</v>
      </c>
      <c r="G286" s="448"/>
      <c r="H286" s="448">
        <v>1669776.01</v>
      </c>
      <c r="I286" s="448">
        <v>0</v>
      </c>
      <c r="J286" s="449">
        <v>1669776.01</v>
      </c>
      <c r="K286" s="446"/>
      <c r="L286" s="448">
        <v>2844260.87</v>
      </c>
      <c r="M286" s="448">
        <v>0</v>
      </c>
      <c r="N286" s="449">
        <v>2844260.87</v>
      </c>
      <c r="O286" s="446"/>
      <c r="P286" s="448">
        <v>382112.38</v>
      </c>
      <c r="Q286" s="448">
        <v>0</v>
      </c>
      <c r="R286" s="449">
        <v>382112.38</v>
      </c>
      <c r="S286" s="446"/>
      <c r="T286" s="448">
        <v>816152.56</v>
      </c>
      <c r="U286" s="448">
        <v>0</v>
      </c>
      <c r="V286" s="449">
        <v>816152.56</v>
      </c>
      <c r="W286" s="446"/>
      <c r="X286" s="448">
        <v>165689.91</v>
      </c>
      <c r="Y286" s="448">
        <v>0</v>
      </c>
      <c r="Z286" s="449">
        <v>165689.91</v>
      </c>
      <c r="AA286" s="446"/>
    </row>
    <row r="287" spans="2:27" s="443" customFormat="1" ht="12" customHeight="1">
      <c r="B287" s="238">
        <v>45775</v>
      </c>
      <c r="C287" s="448"/>
      <c r="D287" s="448">
        <v>402197.41</v>
      </c>
      <c r="E287" s="448">
        <v>1208.0399997122586</v>
      </c>
      <c r="F287" s="448">
        <v>403405.45</v>
      </c>
      <c r="G287" s="448"/>
      <c r="H287" s="448">
        <v>1669776.01</v>
      </c>
      <c r="I287" s="448">
        <v>0</v>
      </c>
      <c r="J287" s="449">
        <v>1669776.01</v>
      </c>
      <c r="K287" s="446"/>
      <c r="L287" s="448">
        <v>2844260.87</v>
      </c>
      <c r="M287" s="448">
        <v>1248032.5300000012</v>
      </c>
      <c r="N287" s="449">
        <v>4092293.4</v>
      </c>
      <c r="O287" s="446"/>
      <c r="P287" s="448">
        <v>382112.38</v>
      </c>
      <c r="Q287" s="448">
        <v>-288796.25999951363</v>
      </c>
      <c r="R287" s="449">
        <v>93316.12</v>
      </c>
      <c r="S287" s="446"/>
      <c r="T287" s="448">
        <v>816152.56</v>
      </c>
      <c r="U287" s="448">
        <v>-128171.4800000377</v>
      </c>
      <c r="V287" s="449">
        <v>687981.08</v>
      </c>
      <c r="W287" s="446"/>
      <c r="X287" s="448">
        <v>165689.91</v>
      </c>
      <c r="Y287" s="448">
        <v>124134.54000014067</v>
      </c>
      <c r="Z287" s="449">
        <v>289824.45</v>
      </c>
      <c r="AA287" s="446"/>
    </row>
    <row r="288" spans="2:27" s="443" customFormat="1" ht="12" customHeight="1">
      <c r="B288" s="238">
        <v>45776</v>
      </c>
      <c r="C288" s="448"/>
      <c r="D288" s="448">
        <v>403405.45</v>
      </c>
      <c r="E288" s="448">
        <v>512201.56000009552</v>
      </c>
      <c r="F288" s="448">
        <v>915607.01</v>
      </c>
      <c r="G288" s="448"/>
      <c r="H288" s="448">
        <v>1669776.01</v>
      </c>
      <c r="I288" s="448">
        <v>0</v>
      </c>
      <c r="J288" s="449">
        <v>1669776.01</v>
      </c>
      <c r="K288" s="446"/>
      <c r="L288" s="448">
        <v>4092293.4</v>
      </c>
      <c r="M288" s="448">
        <v>996617.39999997616</v>
      </c>
      <c r="N288" s="449">
        <v>5088910.8</v>
      </c>
      <c r="O288" s="446"/>
      <c r="P288" s="448">
        <v>93316.12</v>
      </c>
      <c r="Q288" s="448">
        <v>3328573.8199998736</v>
      </c>
      <c r="R288" s="449">
        <v>3421889.94</v>
      </c>
      <c r="S288" s="446"/>
      <c r="T288" s="448">
        <v>687981.08</v>
      </c>
      <c r="U288" s="448">
        <v>-228023.5099998489</v>
      </c>
      <c r="V288" s="449">
        <v>459957.57</v>
      </c>
      <c r="W288" s="446"/>
      <c r="X288" s="448">
        <v>289824.45</v>
      </c>
      <c r="Y288" s="448">
        <v>0</v>
      </c>
      <c r="Z288" s="449">
        <v>289824.45</v>
      </c>
      <c r="AA288" s="446"/>
    </row>
    <row r="289" spans="2:27" s="443" customFormat="1" ht="12" customHeight="1">
      <c r="B289" s="238">
        <v>45777</v>
      </c>
      <c r="C289" s="448"/>
      <c r="D289" s="448">
        <v>915607.01</v>
      </c>
      <c r="E289" s="448">
        <v>-812470.85999995843</v>
      </c>
      <c r="F289" s="448">
        <v>103136.15</v>
      </c>
      <c r="G289" s="448"/>
      <c r="H289" s="448">
        <v>1669776.01</v>
      </c>
      <c r="I289" s="448">
        <v>0</v>
      </c>
      <c r="J289" s="449">
        <v>1669776.01</v>
      </c>
      <c r="K289" s="446"/>
      <c r="L289" s="448">
        <v>5088910.8</v>
      </c>
      <c r="M289" s="448">
        <v>3788730.2800002098</v>
      </c>
      <c r="N289" s="449">
        <v>8877641.0800000001</v>
      </c>
      <c r="O289" s="446"/>
      <c r="P289" s="448">
        <v>3421889.94</v>
      </c>
      <c r="Q289" s="448">
        <v>-3002625.9900000282</v>
      </c>
      <c r="R289" s="449">
        <v>419263.95</v>
      </c>
      <c r="S289" s="446"/>
      <c r="T289" s="448">
        <v>459957.57</v>
      </c>
      <c r="U289" s="448">
        <v>-207198.92000007629</v>
      </c>
      <c r="V289" s="449">
        <v>252758.65</v>
      </c>
      <c r="W289" s="446"/>
      <c r="X289" s="448">
        <v>289824.45</v>
      </c>
      <c r="Y289" s="448">
        <v>0</v>
      </c>
      <c r="Z289" s="449">
        <v>289824.45</v>
      </c>
      <c r="AA289" s="446"/>
    </row>
    <row r="290" spans="2:27" s="443" customFormat="1" ht="12" customHeight="1">
      <c r="B290" s="238">
        <v>45778</v>
      </c>
      <c r="C290" s="448"/>
      <c r="D290" s="448">
        <v>103136.15</v>
      </c>
      <c r="E290" s="448">
        <v>0</v>
      </c>
      <c r="F290" s="448">
        <v>103136.15</v>
      </c>
      <c r="G290" s="448"/>
      <c r="H290" s="448">
        <v>1669776.01</v>
      </c>
      <c r="I290" s="448">
        <v>0</v>
      </c>
      <c r="J290" s="449">
        <v>1669776.01</v>
      </c>
      <c r="K290" s="446"/>
      <c r="L290" s="448">
        <v>8877641.0800000001</v>
      </c>
      <c r="M290" s="448">
        <v>0</v>
      </c>
      <c r="N290" s="449">
        <v>8877641.0800000001</v>
      </c>
      <c r="O290" s="446"/>
      <c r="P290" s="448">
        <v>419263.95</v>
      </c>
      <c r="Q290" s="448">
        <v>0</v>
      </c>
      <c r="R290" s="449">
        <v>419263.95</v>
      </c>
      <c r="S290" s="446"/>
      <c r="T290" s="448">
        <v>252758.65</v>
      </c>
      <c r="U290" s="448">
        <v>0</v>
      </c>
      <c r="V290" s="449">
        <v>252758.65</v>
      </c>
      <c r="W290" s="446"/>
      <c r="X290" s="448">
        <v>289824.45</v>
      </c>
      <c r="Y290" s="448">
        <v>0</v>
      </c>
      <c r="Z290" s="449">
        <v>289824.45</v>
      </c>
      <c r="AA290" s="446"/>
    </row>
    <row r="291" spans="2:27" s="443" customFormat="1" ht="12" customHeight="1">
      <c r="B291" s="238">
        <v>45779</v>
      </c>
      <c r="C291" s="448"/>
      <c r="D291" s="448">
        <v>103136.15</v>
      </c>
      <c r="E291" s="448">
        <v>1113201.8199989349</v>
      </c>
      <c r="F291" s="448">
        <v>1216337.97</v>
      </c>
      <c r="G291" s="448"/>
      <c r="H291" s="448">
        <v>1669776.01</v>
      </c>
      <c r="I291" s="448">
        <v>150671.060000211</v>
      </c>
      <c r="J291" s="449">
        <v>1820447.07</v>
      </c>
      <c r="K291" s="446"/>
      <c r="L291" s="448">
        <v>8877641.0800000001</v>
      </c>
      <c r="M291" s="448">
        <v>0</v>
      </c>
      <c r="N291" s="449">
        <v>8877641.0800000001</v>
      </c>
      <c r="O291" s="446"/>
      <c r="P291" s="448">
        <v>419263.95</v>
      </c>
      <c r="Q291" s="448">
        <v>464312.95999997854</v>
      </c>
      <c r="R291" s="449">
        <v>883576.91</v>
      </c>
      <c r="S291" s="446"/>
      <c r="T291" s="448">
        <v>252758.65</v>
      </c>
      <c r="U291" s="448">
        <v>228959.63999969512</v>
      </c>
      <c r="V291" s="449">
        <v>481718.29</v>
      </c>
      <c r="W291" s="446"/>
      <c r="X291" s="448">
        <v>289824.45</v>
      </c>
      <c r="Y291" s="448">
        <v>-36152.239999961108</v>
      </c>
      <c r="Z291" s="449">
        <v>253672.21</v>
      </c>
      <c r="AA291" s="446"/>
    </row>
    <row r="292" spans="2:27" s="443" customFormat="1" ht="12" customHeight="1">
      <c r="B292" s="238">
        <v>45780</v>
      </c>
      <c r="C292" s="448"/>
      <c r="D292" s="448">
        <v>1216337.97</v>
      </c>
      <c r="E292" s="448">
        <v>0</v>
      </c>
      <c r="F292" s="448">
        <v>1216337.97</v>
      </c>
      <c r="G292" s="448"/>
      <c r="H292" s="448">
        <v>1820447.07</v>
      </c>
      <c r="I292" s="448">
        <v>0</v>
      </c>
      <c r="J292" s="449">
        <v>1820447.07</v>
      </c>
      <c r="K292" s="446"/>
      <c r="L292" s="448">
        <v>8877641.0800000001</v>
      </c>
      <c r="M292" s="448">
        <v>0</v>
      </c>
      <c r="N292" s="449">
        <v>8877641.0800000001</v>
      </c>
      <c r="O292" s="446"/>
      <c r="P292" s="448">
        <v>883576.91</v>
      </c>
      <c r="Q292" s="448">
        <v>0</v>
      </c>
      <c r="R292" s="449">
        <v>883576.91</v>
      </c>
      <c r="S292" s="446"/>
      <c r="T292" s="448">
        <v>481718.29</v>
      </c>
      <c r="U292" s="448">
        <v>0</v>
      </c>
      <c r="V292" s="449">
        <v>481718.29</v>
      </c>
      <c r="W292" s="446"/>
      <c r="X292" s="448">
        <v>253672.21</v>
      </c>
      <c r="Y292" s="448">
        <v>0</v>
      </c>
      <c r="Z292" s="449">
        <v>253672.21</v>
      </c>
      <c r="AA292" s="446"/>
    </row>
    <row r="293" spans="2:27" s="443" customFormat="1" ht="12" customHeight="1">
      <c r="B293" s="238">
        <v>45781</v>
      </c>
      <c r="C293" s="448"/>
      <c r="D293" s="448">
        <v>1216337.97</v>
      </c>
      <c r="E293" s="448">
        <v>0</v>
      </c>
      <c r="F293" s="448">
        <v>1216337.97</v>
      </c>
      <c r="G293" s="448"/>
      <c r="H293" s="448">
        <v>1820447.07</v>
      </c>
      <c r="I293" s="448">
        <v>0</v>
      </c>
      <c r="J293" s="449">
        <v>1820447.07</v>
      </c>
      <c r="K293" s="446"/>
      <c r="L293" s="448">
        <v>8877641.0800000001</v>
      </c>
      <c r="M293" s="448">
        <v>0</v>
      </c>
      <c r="N293" s="449">
        <v>8877641.0800000001</v>
      </c>
      <c r="O293" s="446"/>
      <c r="P293" s="448">
        <v>883576.91</v>
      </c>
      <c r="Q293" s="448">
        <v>0</v>
      </c>
      <c r="R293" s="449">
        <v>883576.91</v>
      </c>
      <c r="S293" s="446"/>
      <c r="T293" s="448">
        <v>481718.29</v>
      </c>
      <c r="U293" s="448">
        <v>0</v>
      </c>
      <c r="V293" s="449">
        <v>481718.29</v>
      </c>
      <c r="W293" s="446"/>
      <c r="X293" s="448">
        <v>253672.21</v>
      </c>
      <c r="Y293" s="448">
        <v>0</v>
      </c>
      <c r="Z293" s="449">
        <v>253672.21</v>
      </c>
      <c r="AA293" s="446"/>
    </row>
    <row r="294" spans="2:27" s="443" customFormat="1" ht="12" customHeight="1">
      <c r="B294" s="238">
        <v>45782</v>
      </c>
      <c r="C294" s="448"/>
      <c r="D294" s="448">
        <v>1216337.97</v>
      </c>
      <c r="E294" s="448">
        <v>-1025156.4899999425</v>
      </c>
      <c r="F294" s="448">
        <v>191181.48</v>
      </c>
      <c r="G294" s="448"/>
      <c r="H294" s="448">
        <v>1820447.07</v>
      </c>
      <c r="I294" s="448">
        <v>1111811.6599994004</v>
      </c>
      <c r="J294" s="449">
        <v>2932258.73</v>
      </c>
      <c r="K294" s="446"/>
      <c r="L294" s="448">
        <v>8877641.0800000001</v>
      </c>
      <c r="M294" s="448">
        <v>0</v>
      </c>
      <c r="N294" s="449">
        <v>8877641.0800000001</v>
      </c>
      <c r="O294" s="446"/>
      <c r="P294" s="448">
        <v>883576.91</v>
      </c>
      <c r="Q294" s="448">
        <v>-211961.65999996662</v>
      </c>
      <c r="R294" s="449">
        <v>671615.25</v>
      </c>
      <c r="S294" s="446"/>
      <c r="T294" s="448">
        <v>481718.29</v>
      </c>
      <c r="U294" s="448">
        <v>-300512.42000064999</v>
      </c>
      <c r="V294" s="449">
        <v>181205.87</v>
      </c>
      <c r="W294" s="446"/>
      <c r="X294" s="448">
        <v>253672.21</v>
      </c>
      <c r="Y294" s="448">
        <v>0</v>
      </c>
      <c r="Z294" s="449">
        <v>253672.21</v>
      </c>
      <c r="AA294" s="446"/>
    </row>
    <row r="295" spans="2:27" s="443" customFormat="1" ht="12" customHeight="1">
      <c r="B295" s="238">
        <v>45783</v>
      </c>
      <c r="C295" s="448"/>
      <c r="D295" s="448">
        <v>191181.48</v>
      </c>
      <c r="E295" s="448">
        <v>855936.94999988563</v>
      </c>
      <c r="F295" s="448">
        <v>1047118.43</v>
      </c>
      <c r="G295" s="588"/>
      <c r="H295" s="448">
        <v>2932258.73</v>
      </c>
      <c r="I295" s="448">
        <v>897270.56999986619</v>
      </c>
      <c r="J295" s="449">
        <v>3829529.3</v>
      </c>
      <c r="K295" s="446"/>
      <c r="L295" s="448">
        <v>8877641.0800000001</v>
      </c>
      <c r="M295" s="448">
        <v>0</v>
      </c>
      <c r="N295" s="449">
        <v>8877641.0800000001</v>
      </c>
      <c r="O295" s="446"/>
      <c r="P295" s="448">
        <v>671615.25</v>
      </c>
      <c r="Q295" s="448">
        <v>17456.659999866039</v>
      </c>
      <c r="R295" s="449">
        <v>689071.91</v>
      </c>
      <c r="S295" s="446"/>
      <c r="T295" s="448">
        <v>181205.87</v>
      </c>
      <c r="U295" s="448">
        <v>658084.67999988422</v>
      </c>
      <c r="V295" s="449">
        <v>839290.55</v>
      </c>
      <c r="W295" s="446"/>
      <c r="X295" s="448">
        <v>253672.21</v>
      </c>
      <c r="Y295" s="448">
        <v>0</v>
      </c>
      <c r="Z295" s="449">
        <v>253672.21</v>
      </c>
      <c r="AA295" s="446"/>
    </row>
    <row r="296" spans="2:27" s="443" customFormat="1" ht="12" customHeight="1">
      <c r="B296" s="238">
        <v>45784</v>
      </c>
      <c r="C296" s="448"/>
      <c r="D296" s="448">
        <v>1047118.43</v>
      </c>
      <c r="E296" s="448">
        <v>0</v>
      </c>
      <c r="F296" s="448">
        <v>1047118.43</v>
      </c>
      <c r="G296" s="588"/>
      <c r="H296" s="448">
        <v>3829529.3</v>
      </c>
      <c r="I296" s="448">
        <v>0</v>
      </c>
      <c r="J296" s="449">
        <v>3829529.3</v>
      </c>
      <c r="K296" s="446"/>
      <c r="L296" s="448">
        <v>8877641.0800000001</v>
      </c>
      <c r="M296" s="448">
        <v>0</v>
      </c>
      <c r="N296" s="449">
        <v>8877641.0800000001</v>
      </c>
      <c r="O296" s="446"/>
      <c r="P296" s="448">
        <v>689071.91</v>
      </c>
      <c r="Q296" s="448">
        <v>0</v>
      </c>
      <c r="R296" s="449">
        <v>689071.91</v>
      </c>
      <c r="S296" s="446"/>
      <c r="T296" s="448">
        <v>839290.55</v>
      </c>
      <c r="U296" s="448">
        <v>0</v>
      </c>
      <c r="V296" s="449">
        <v>839290.55</v>
      </c>
      <c r="W296" s="446"/>
      <c r="X296" s="448">
        <v>253672.21</v>
      </c>
      <c r="Y296" s="448">
        <v>0</v>
      </c>
      <c r="Z296" s="449">
        <v>253672.21</v>
      </c>
      <c r="AA296" s="446"/>
    </row>
    <row r="297" spans="2:27" s="443" customFormat="1" ht="12" customHeight="1">
      <c r="B297" s="238">
        <v>45785</v>
      </c>
      <c r="C297" s="448"/>
      <c r="D297" s="448">
        <v>1047118.43</v>
      </c>
      <c r="E297" s="448">
        <v>947538.85000023805</v>
      </c>
      <c r="F297" s="448">
        <v>1994657.28</v>
      </c>
      <c r="G297" s="588"/>
      <c r="H297" s="448">
        <v>3829529.3</v>
      </c>
      <c r="I297" s="448">
        <v>-1592305.1899990067</v>
      </c>
      <c r="J297" s="449">
        <v>2237224.11</v>
      </c>
      <c r="K297" s="446"/>
      <c r="L297" s="448">
        <v>8877641.0800000001</v>
      </c>
      <c r="M297" s="448">
        <v>-7606382.5299997088</v>
      </c>
      <c r="N297" s="449">
        <v>1271258.55</v>
      </c>
      <c r="O297" s="446"/>
      <c r="P297" s="448">
        <v>689071.91</v>
      </c>
      <c r="Q297" s="448">
        <v>221989.92000001669</v>
      </c>
      <c r="R297" s="449">
        <v>911061.83</v>
      </c>
      <c r="S297" s="446"/>
      <c r="T297" s="448">
        <v>839290.55</v>
      </c>
      <c r="U297" s="448">
        <v>121610.59000091627</v>
      </c>
      <c r="V297" s="449">
        <v>960901.14</v>
      </c>
      <c r="W297" s="446"/>
      <c r="X297" s="448">
        <v>253672.21</v>
      </c>
      <c r="Y297" s="448">
        <v>0</v>
      </c>
      <c r="Z297" s="449">
        <v>253672.21</v>
      </c>
      <c r="AA297" s="446"/>
    </row>
    <row r="298" spans="2:27" s="443" customFormat="1" ht="12" customHeight="1">
      <c r="B298" s="238">
        <v>45786</v>
      </c>
      <c r="C298" s="448"/>
      <c r="D298" s="448">
        <v>1994657.28</v>
      </c>
      <c r="E298" s="448">
        <v>0</v>
      </c>
      <c r="F298" s="448">
        <v>1994657.28</v>
      </c>
      <c r="G298" s="588"/>
      <c r="H298" s="448">
        <v>2237224.11</v>
      </c>
      <c r="I298" s="448">
        <v>0</v>
      </c>
      <c r="J298" s="449">
        <v>2237224.11</v>
      </c>
      <c r="K298" s="446"/>
      <c r="L298" s="448">
        <v>1271258.55</v>
      </c>
      <c r="M298" s="448">
        <v>0</v>
      </c>
      <c r="N298" s="449">
        <v>1271258.55</v>
      </c>
      <c r="O298" s="446"/>
      <c r="P298" s="448">
        <v>911061.83</v>
      </c>
      <c r="Q298" s="448">
        <v>0</v>
      </c>
      <c r="R298" s="449">
        <v>911061.83</v>
      </c>
      <c r="S298" s="446"/>
      <c r="T298" s="448">
        <v>960901.14</v>
      </c>
      <c r="U298" s="448">
        <v>0</v>
      </c>
      <c r="V298" s="449">
        <v>960901.14</v>
      </c>
      <c r="W298" s="446"/>
      <c r="X298" s="448">
        <v>253672.21</v>
      </c>
      <c r="Y298" s="448">
        <v>0</v>
      </c>
      <c r="Z298" s="449">
        <v>253672.21</v>
      </c>
      <c r="AA298" s="446"/>
    </row>
    <row r="299" spans="2:27" s="443" customFormat="1" ht="12" customHeight="1">
      <c r="B299" s="238">
        <v>45787</v>
      </c>
      <c r="C299" s="448"/>
      <c r="D299" s="448">
        <v>1994657.28</v>
      </c>
      <c r="E299" s="448">
        <v>0</v>
      </c>
      <c r="F299" s="448">
        <v>1994657.28</v>
      </c>
      <c r="G299" s="588"/>
      <c r="H299" s="448">
        <v>2237224.11</v>
      </c>
      <c r="I299" s="448">
        <v>0</v>
      </c>
      <c r="J299" s="449">
        <v>2237224.11</v>
      </c>
      <c r="K299" s="446"/>
      <c r="L299" s="448">
        <v>1271258.55</v>
      </c>
      <c r="M299" s="448">
        <v>0</v>
      </c>
      <c r="N299" s="449">
        <v>1271258.55</v>
      </c>
      <c r="O299" s="446"/>
      <c r="P299" s="448">
        <v>911061.83</v>
      </c>
      <c r="Q299" s="448">
        <v>0</v>
      </c>
      <c r="R299" s="449">
        <v>911061.83</v>
      </c>
      <c r="S299" s="446"/>
      <c r="T299" s="448">
        <v>960901.14</v>
      </c>
      <c r="U299" s="448">
        <v>0</v>
      </c>
      <c r="V299" s="449">
        <v>960901.14</v>
      </c>
      <c r="W299" s="446"/>
      <c r="X299" s="448">
        <v>253672.21</v>
      </c>
      <c r="Y299" s="448">
        <v>0</v>
      </c>
      <c r="Z299" s="449">
        <v>253672.21</v>
      </c>
      <c r="AA299" s="446"/>
    </row>
    <row r="300" spans="2:27" s="443" customFormat="1" ht="12" customHeight="1">
      <c r="B300" s="238">
        <v>45788</v>
      </c>
      <c r="C300" s="448"/>
      <c r="D300" s="448">
        <v>1994657.28</v>
      </c>
      <c r="E300" s="448">
        <v>0</v>
      </c>
      <c r="F300" s="448">
        <v>1994657.28</v>
      </c>
      <c r="G300" s="588"/>
      <c r="H300" s="448">
        <v>2237224.11</v>
      </c>
      <c r="I300" s="448">
        <v>0</v>
      </c>
      <c r="J300" s="449">
        <v>2237224.11</v>
      </c>
      <c r="K300" s="446"/>
      <c r="L300" s="448">
        <v>1271258.55</v>
      </c>
      <c r="M300" s="448">
        <v>0</v>
      </c>
      <c r="N300" s="449">
        <v>1271258.55</v>
      </c>
      <c r="O300" s="446"/>
      <c r="P300" s="448">
        <v>911061.83</v>
      </c>
      <c r="Q300" s="448">
        <v>0</v>
      </c>
      <c r="R300" s="449">
        <v>911061.83</v>
      </c>
      <c r="S300" s="446"/>
      <c r="T300" s="448">
        <v>960901.14</v>
      </c>
      <c r="U300" s="448">
        <v>0</v>
      </c>
      <c r="V300" s="449">
        <v>960901.14</v>
      </c>
      <c r="W300" s="446"/>
      <c r="X300" s="448">
        <v>253672.21</v>
      </c>
      <c r="Y300" s="448">
        <v>0</v>
      </c>
      <c r="Z300" s="449">
        <v>253672.21</v>
      </c>
      <c r="AA300" s="446"/>
    </row>
    <row r="301" spans="2:27" s="443" customFormat="1" ht="12" customHeight="1">
      <c r="B301" s="238">
        <v>45789</v>
      </c>
      <c r="C301" s="448"/>
      <c r="D301" s="448">
        <v>1994657.28</v>
      </c>
      <c r="E301" s="448">
        <v>335836.17999994755</v>
      </c>
      <c r="F301" s="448">
        <v>2330493.46</v>
      </c>
      <c r="G301" s="588"/>
      <c r="H301" s="448">
        <v>2237224.11</v>
      </c>
      <c r="I301" s="448">
        <v>466638.31999915838</v>
      </c>
      <c r="J301" s="449">
        <v>2703862.43</v>
      </c>
      <c r="K301" s="446"/>
      <c r="L301" s="448">
        <v>1271258.55</v>
      </c>
      <c r="M301" s="448">
        <v>783585.72000002861</v>
      </c>
      <c r="N301" s="449">
        <v>2054844.27</v>
      </c>
      <c r="O301" s="446"/>
      <c r="P301" s="448">
        <v>911061.83</v>
      </c>
      <c r="Q301" s="448">
        <v>133358.28999996174</v>
      </c>
      <c r="R301" s="449">
        <v>1044420.12</v>
      </c>
      <c r="S301" s="446"/>
      <c r="T301" s="448">
        <v>960901.14</v>
      </c>
      <c r="U301" s="448">
        <v>-831616.52999982238</v>
      </c>
      <c r="V301" s="449">
        <v>129284.61</v>
      </c>
      <c r="W301" s="446"/>
      <c r="X301" s="448">
        <v>253672.21</v>
      </c>
      <c r="Y301" s="448">
        <v>-67067.509999752045</v>
      </c>
      <c r="Z301" s="449">
        <v>186604.7</v>
      </c>
      <c r="AA301" s="446"/>
    </row>
    <row r="302" spans="2:27" s="443" customFormat="1" ht="12" customHeight="1">
      <c r="B302" s="238">
        <v>45790</v>
      </c>
      <c r="C302" s="448"/>
      <c r="D302" s="448">
        <v>2330493.46</v>
      </c>
      <c r="E302" s="448">
        <v>-2238069.4200000577</v>
      </c>
      <c r="F302" s="448">
        <v>92424.04</v>
      </c>
      <c r="G302" s="588"/>
      <c r="H302" s="448">
        <v>2703862.43</v>
      </c>
      <c r="I302" s="448">
        <v>944561.17999957874</v>
      </c>
      <c r="J302" s="449">
        <v>3648423.61</v>
      </c>
      <c r="K302" s="446"/>
      <c r="L302" s="448">
        <v>2054844.27</v>
      </c>
      <c r="M302" s="448">
        <v>0</v>
      </c>
      <c r="N302" s="449">
        <v>2054844.27</v>
      </c>
      <c r="O302" s="446"/>
      <c r="P302" s="448">
        <v>1044420.12</v>
      </c>
      <c r="Q302" s="448">
        <v>-873261.03000022192</v>
      </c>
      <c r="R302" s="449">
        <v>171159.09</v>
      </c>
      <c r="S302" s="446"/>
      <c r="T302" s="448">
        <v>129284.61</v>
      </c>
      <c r="U302" s="448">
        <v>721293.65999957919</v>
      </c>
      <c r="V302" s="449">
        <v>850578.27</v>
      </c>
      <c r="W302" s="446"/>
      <c r="X302" s="448">
        <v>186604.7</v>
      </c>
      <c r="Y302" s="448">
        <v>0</v>
      </c>
      <c r="Z302" s="449">
        <v>186604.7</v>
      </c>
      <c r="AA302" s="446"/>
    </row>
    <row r="303" spans="2:27" s="443" customFormat="1" ht="12" customHeight="1">
      <c r="B303" s="238">
        <v>45791</v>
      </c>
      <c r="C303" s="448"/>
      <c r="D303" s="448">
        <v>92424.04</v>
      </c>
      <c r="E303" s="448">
        <v>643755.74000001885</v>
      </c>
      <c r="F303" s="448">
        <v>736179.78</v>
      </c>
      <c r="G303" s="588"/>
      <c r="H303" s="448">
        <v>3648423.61</v>
      </c>
      <c r="I303" s="448">
        <v>158949.35999980941</v>
      </c>
      <c r="J303" s="449">
        <v>3807372.97</v>
      </c>
      <c r="K303" s="446"/>
      <c r="L303" s="448">
        <v>2054844.27</v>
      </c>
      <c r="M303" s="448">
        <v>0</v>
      </c>
      <c r="N303" s="449">
        <v>2054844.27</v>
      </c>
      <c r="O303" s="446"/>
      <c r="P303" s="448">
        <v>171159.09</v>
      </c>
      <c r="Q303" s="448">
        <v>776069.98999999557</v>
      </c>
      <c r="R303" s="449">
        <v>947229.08</v>
      </c>
      <c r="S303" s="446"/>
      <c r="T303" s="448">
        <v>850578.27</v>
      </c>
      <c r="U303" s="448">
        <v>-273761.06000028551</v>
      </c>
      <c r="V303" s="449">
        <v>576817.21</v>
      </c>
      <c r="W303" s="446"/>
      <c r="X303" s="448">
        <v>186604.7</v>
      </c>
      <c r="Y303" s="448">
        <v>0</v>
      </c>
      <c r="Z303" s="449">
        <v>186604.7</v>
      </c>
      <c r="AA303" s="446"/>
    </row>
    <row r="304" spans="2:27" s="443" customFormat="1" ht="12" customHeight="1">
      <c r="B304" s="238">
        <v>45792</v>
      </c>
      <c r="C304" s="448"/>
      <c r="D304" s="448">
        <v>736179.78</v>
      </c>
      <c r="E304" s="448">
        <v>-495822.06999996118</v>
      </c>
      <c r="F304" s="448">
        <v>240357.71</v>
      </c>
      <c r="G304" s="588"/>
      <c r="H304" s="448">
        <v>3807372.97</v>
      </c>
      <c r="I304" s="448">
        <v>-919404.58999908343</v>
      </c>
      <c r="J304" s="449">
        <v>2887968.38</v>
      </c>
      <c r="K304" s="446"/>
      <c r="L304" s="448">
        <v>2054844.27</v>
      </c>
      <c r="M304" s="448">
        <v>1045877.4499999452</v>
      </c>
      <c r="N304" s="449">
        <v>3100721.72</v>
      </c>
      <c r="O304" s="446"/>
      <c r="P304" s="448">
        <v>947229.08</v>
      </c>
      <c r="Q304" s="448">
        <v>-123590.18999995198</v>
      </c>
      <c r="R304" s="449">
        <v>823638.89</v>
      </c>
      <c r="S304" s="446"/>
      <c r="T304" s="448">
        <v>576817.21</v>
      </c>
      <c r="U304" s="448">
        <v>71648.189999695867</v>
      </c>
      <c r="V304" s="449">
        <v>648465.4</v>
      </c>
      <c r="W304" s="446"/>
      <c r="X304" s="448">
        <v>186604.7</v>
      </c>
      <c r="Y304" s="448">
        <v>0</v>
      </c>
      <c r="Z304" s="449">
        <v>186604.7</v>
      </c>
      <c r="AA304" s="446"/>
    </row>
    <row r="305" spans="2:27" s="443" customFormat="1" ht="12" customHeight="1">
      <c r="B305" s="238">
        <v>45793</v>
      </c>
      <c r="C305" s="448"/>
      <c r="D305" s="448">
        <v>240357.71</v>
      </c>
      <c r="E305" s="448">
        <v>298283.6100000795</v>
      </c>
      <c r="F305" s="448">
        <v>538641.31999999995</v>
      </c>
      <c r="G305" s="588"/>
      <c r="H305" s="448">
        <v>2887968.38</v>
      </c>
      <c r="I305" s="448">
        <v>0</v>
      </c>
      <c r="J305" s="449">
        <v>2887968.38</v>
      </c>
      <c r="K305" s="446"/>
      <c r="L305" s="448">
        <v>3100721.72</v>
      </c>
      <c r="M305" s="448">
        <v>0</v>
      </c>
      <c r="N305" s="449">
        <v>3100721.72</v>
      </c>
      <c r="O305" s="446"/>
      <c r="P305" s="448">
        <v>823638.89</v>
      </c>
      <c r="Q305" s="448">
        <v>-570426.3300000336</v>
      </c>
      <c r="R305" s="449">
        <v>253212.56</v>
      </c>
      <c r="S305" s="446"/>
      <c r="T305" s="448">
        <v>648465.4</v>
      </c>
      <c r="U305" s="448">
        <v>222930.74999940023</v>
      </c>
      <c r="V305" s="449">
        <v>871396.15</v>
      </c>
      <c r="W305" s="446"/>
      <c r="X305" s="448">
        <v>186604.7</v>
      </c>
      <c r="Y305" s="448">
        <v>0</v>
      </c>
      <c r="Z305" s="449">
        <v>186604.7</v>
      </c>
      <c r="AA305" s="446"/>
    </row>
    <row r="306" spans="2:27" s="443" customFormat="1" ht="12" customHeight="1">
      <c r="B306" s="238">
        <v>45794</v>
      </c>
      <c r="C306" s="448"/>
      <c r="D306" s="448">
        <v>538641.31999999995</v>
      </c>
      <c r="E306" s="448">
        <v>0</v>
      </c>
      <c r="F306" s="448">
        <v>538641.31999999995</v>
      </c>
      <c r="G306" s="588"/>
      <c r="H306" s="448">
        <v>2887968.38</v>
      </c>
      <c r="I306" s="448">
        <v>0</v>
      </c>
      <c r="J306" s="449">
        <v>2887968.38</v>
      </c>
      <c r="K306" s="446"/>
      <c r="L306" s="448">
        <v>3100721.72</v>
      </c>
      <c r="M306" s="448">
        <v>0</v>
      </c>
      <c r="N306" s="449">
        <v>3100721.72</v>
      </c>
      <c r="O306" s="446"/>
      <c r="P306" s="448">
        <v>253212.56</v>
      </c>
      <c r="Q306" s="448">
        <v>0</v>
      </c>
      <c r="R306" s="449">
        <v>253212.56</v>
      </c>
      <c r="S306" s="446"/>
      <c r="T306" s="448">
        <v>871396.15</v>
      </c>
      <c r="U306" s="448">
        <v>0</v>
      </c>
      <c r="V306" s="449">
        <v>871396.15</v>
      </c>
      <c r="W306" s="446"/>
      <c r="X306" s="448">
        <v>186604.7</v>
      </c>
      <c r="Y306" s="448">
        <v>0</v>
      </c>
      <c r="Z306" s="449">
        <v>186604.7</v>
      </c>
      <c r="AA306" s="446"/>
    </row>
    <row r="307" spans="2:27" s="443" customFormat="1" ht="12" customHeight="1">
      <c r="B307" s="238">
        <v>45795</v>
      </c>
      <c r="C307" s="448"/>
      <c r="D307" s="448">
        <v>538641.31999999995</v>
      </c>
      <c r="E307" s="448">
        <v>0</v>
      </c>
      <c r="F307" s="448">
        <v>538641.31999999995</v>
      </c>
      <c r="G307" s="588"/>
      <c r="H307" s="448">
        <v>2887968.38</v>
      </c>
      <c r="I307" s="448">
        <v>0</v>
      </c>
      <c r="J307" s="449">
        <f>ROUND((H307+I307),2)</f>
        <v>2887968.38</v>
      </c>
      <c r="K307" s="446"/>
      <c r="L307" s="448">
        <v>3100721.72</v>
      </c>
      <c r="M307" s="448">
        <v>0</v>
      </c>
      <c r="N307" s="449">
        <v>3100721.72</v>
      </c>
      <c r="O307" s="446"/>
      <c r="P307" s="448">
        <v>253212.56</v>
      </c>
      <c r="Q307" s="448">
        <v>0</v>
      </c>
      <c r="R307" s="449">
        <v>253212.56</v>
      </c>
      <c r="S307" s="446"/>
      <c r="T307" s="448">
        <v>871396.15</v>
      </c>
      <c r="U307" s="448">
        <v>0</v>
      </c>
      <c r="V307" s="449">
        <v>871396.15</v>
      </c>
      <c r="W307" s="446"/>
      <c r="X307" s="448">
        <v>186604.7</v>
      </c>
      <c r="Y307" s="448">
        <v>0</v>
      </c>
      <c r="Z307" s="449">
        <v>186604.7</v>
      </c>
      <c r="AA307" s="446"/>
    </row>
    <row r="308" spans="2:27" s="443" customFormat="1" ht="12" customHeight="1">
      <c r="B308" s="238">
        <v>45796</v>
      </c>
      <c r="C308" s="448"/>
      <c r="D308" s="448">
        <v>538641.31999999995</v>
      </c>
      <c r="E308" s="448">
        <v>-499958.71999835037</v>
      </c>
      <c r="F308" s="448">
        <v>38682.6</v>
      </c>
      <c r="G308" s="588"/>
      <c r="H308" s="448">
        <v>2887968.38</v>
      </c>
      <c r="I308" s="448">
        <v>365990.24000000209</v>
      </c>
      <c r="J308" s="449">
        <v>3253958.62</v>
      </c>
      <c r="K308" s="446"/>
      <c r="L308" s="448">
        <v>3100721.72</v>
      </c>
      <c r="M308" s="448">
        <v>1533696.4499999881</v>
      </c>
      <c r="N308" s="449">
        <v>4634418.17</v>
      </c>
      <c r="O308" s="446"/>
      <c r="P308" s="448">
        <v>253212.56</v>
      </c>
      <c r="Q308" s="448">
        <v>478191.16000008606</v>
      </c>
      <c r="R308" s="449">
        <v>731403.72</v>
      </c>
      <c r="S308" s="446"/>
      <c r="T308" s="448">
        <v>871396.15</v>
      </c>
      <c r="U308" s="448">
        <v>-589514.23999900743</v>
      </c>
      <c r="V308" s="449">
        <v>281881.90999999997</v>
      </c>
      <c r="W308" s="446"/>
      <c r="X308" s="448">
        <v>186604.7</v>
      </c>
      <c r="Y308" s="448">
        <v>1061534.7199997157</v>
      </c>
      <c r="Z308" s="449">
        <v>1248139.42</v>
      </c>
      <c r="AA308" s="446"/>
    </row>
    <row r="309" spans="2:27" s="443" customFormat="1" ht="12" customHeight="1">
      <c r="B309" s="238">
        <v>45797</v>
      </c>
      <c r="C309" s="448"/>
      <c r="D309" s="448">
        <v>38682.6</v>
      </c>
      <c r="E309" s="448">
        <v>11650671.099999905</v>
      </c>
      <c r="F309" s="448">
        <v>11689353.699999999</v>
      </c>
      <c r="G309" s="588"/>
      <c r="H309" s="448">
        <v>3253958.62</v>
      </c>
      <c r="I309" s="448">
        <v>0</v>
      </c>
      <c r="J309" s="449">
        <v>3253958.62</v>
      </c>
      <c r="K309" s="446"/>
      <c r="L309" s="448">
        <v>4634418.17</v>
      </c>
      <c r="M309" s="448">
        <v>0</v>
      </c>
      <c r="N309" s="449">
        <v>4634418.17</v>
      </c>
      <c r="O309" s="446"/>
      <c r="P309" s="448">
        <v>731403.72</v>
      </c>
      <c r="Q309" s="448">
        <v>-540863.46999987774</v>
      </c>
      <c r="R309" s="449">
        <v>190540.25</v>
      </c>
      <c r="S309" s="446"/>
      <c r="T309" s="448">
        <v>281881.90999999997</v>
      </c>
      <c r="U309" s="448">
        <v>144271.07000001892</v>
      </c>
      <c r="V309" s="449">
        <v>426152.98</v>
      </c>
      <c r="W309" s="446"/>
      <c r="X309" s="448">
        <v>1248139.42</v>
      </c>
      <c r="Y309" s="448">
        <v>0</v>
      </c>
      <c r="Z309" s="449">
        <v>1248139.42</v>
      </c>
      <c r="AA309" s="446"/>
    </row>
    <row r="310" spans="2:27" s="443" customFormat="1" ht="12" customHeight="1">
      <c r="B310" s="238">
        <v>45798</v>
      </c>
      <c r="C310" s="448"/>
      <c r="D310" s="448">
        <v>11689353.699999999</v>
      </c>
      <c r="E310" s="448">
        <v>-10784400.540000152</v>
      </c>
      <c r="F310" s="448">
        <v>904953.16</v>
      </c>
      <c r="G310" s="588"/>
      <c r="H310" s="448">
        <v>3253958.62</v>
      </c>
      <c r="I310" s="448">
        <v>0</v>
      </c>
      <c r="J310" s="449">
        <v>3253958.62</v>
      </c>
      <c r="K310" s="446"/>
      <c r="L310" s="448">
        <v>4634418.17</v>
      </c>
      <c r="M310" s="448">
        <v>0</v>
      </c>
      <c r="N310" s="449">
        <v>4634418.17</v>
      </c>
      <c r="O310" s="446"/>
      <c r="P310" s="448">
        <v>190540.25</v>
      </c>
      <c r="Q310" s="448">
        <v>328788.03999990458</v>
      </c>
      <c r="R310" s="449">
        <v>519328.29</v>
      </c>
      <c r="S310" s="446"/>
      <c r="T310" s="448">
        <v>426152.98</v>
      </c>
      <c r="U310" s="448">
        <v>-100934.29000019282</v>
      </c>
      <c r="V310" s="449">
        <v>325218.69</v>
      </c>
      <c r="W310" s="446"/>
      <c r="X310" s="448">
        <v>1248139.42</v>
      </c>
      <c r="Y310" s="448">
        <v>0</v>
      </c>
      <c r="Z310" s="449">
        <v>1248139.42</v>
      </c>
      <c r="AA310" s="446"/>
    </row>
    <row r="311" spans="2:27" s="443" customFormat="1" ht="12" customHeight="1">
      <c r="B311" s="238">
        <v>45799</v>
      </c>
      <c r="C311" s="448"/>
      <c r="D311" s="448">
        <v>904953.16</v>
      </c>
      <c r="E311" s="448">
        <v>440691.99000008591</v>
      </c>
      <c r="F311" s="448">
        <v>1345645.15</v>
      </c>
      <c r="G311" s="588"/>
      <c r="H311" s="448">
        <v>3253958.62</v>
      </c>
      <c r="I311" s="448">
        <v>2142399.6300001144</v>
      </c>
      <c r="J311" s="449">
        <v>5396358.25</v>
      </c>
      <c r="K311" s="446"/>
      <c r="L311" s="448">
        <v>4634418.17</v>
      </c>
      <c r="M311" s="448">
        <v>715646.27999994345</v>
      </c>
      <c r="N311" s="449">
        <v>5350064.45</v>
      </c>
      <c r="O311" s="446"/>
      <c r="P311" s="448">
        <v>519328.29</v>
      </c>
      <c r="Q311" s="448">
        <v>758887.82000015955</v>
      </c>
      <c r="R311" s="449">
        <v>1278216.1100000001</v>
      </c>
      <c r="S311" s="446"/>
      <c r="T311" s="448">
        <v>325218.69</v>
      </c>
      <c r="U311" s="448">
        <v>506930.77000045776</v>
      </c>
      <c r="V311" s="449">
        <v>832149.46</v>
      </c>
      <c r="W311" s="446"/>
      <c r="X311" s="448">
        <v>1248139.42</v>
      </c>
      <c r="Y311" s="448">
        <v>0</v>
      </c>
      <c r="Z311" s="449">
        <v>1248139.42</v>
      </c>
      <c r="AA311" s="446"/>
    </row>
    <row r="312" spans="2:27" s="443" customFormat="1" ht="12" customHeight="1">
      <c r="B312" s="238">
        <v>45800</v>
      </c>
      <c r="C312" s="448"/>
      <c r="D312" s="448">
        <v>1345645.15</v>
      </c>
      <c r="E312" s="448">
        <v>-781966.88000004739</v>
      </c>
      <c r="F312" s="448">
        <v>563678.27</v>
      </c>
      <c r="G312" s="588"/>
      <c r="H312" s="448">
        <v>5396358.25</v>
      </c>
      <c r="I312" s="448">
        <v>-2593035.3100006096</v>
      </c>
      <c r="J312" s="449">
        <v>2803322.94</v>
      </c>
      <c r="K312" s="446"/>
      <c r="L312" s="448">
        <v>5350064.45</v>
      </c>
      <c r="M312" s="448">
        <v>0</v>
      </c>
      <c r="N312" s="449">
        <v>5350064.45</v>
      </c>
      <c r="O312" s="446"/>
      <c r="P312" s="448">
        <v>1278216.1100000001</v>
      </c>
      <c r="Q312" s="448">
        <v>-699036.60000000289</v>
      </c>
      <c r="R312" s="449">
        <v>579179.51</v>
      </c>
      <c r="S312" s="446"/>
      <c r="T312" s="448">
        <v>832149.46</v>
      </c>
      <c r="U312" s="448">
        <v>-289808.21999958158</v>
      </c>
      <c r="V312" s="449">
        <v>542341.24</v>
      </c>
      <c r="W312" s="446"/>
      <c r="X312" s="448">
        <v>1248139.42</v>
      </c>
      <c r="Y312" s="448">
        <v>0</v>
      </c>
      <c r="Z312" s="449">
        <v>1248139.42</v>
      </c>
      <c r="AA312" s="446"/>
    </row>
    <row r="313" spans="2:27" s="443" customFormat="1" ht="12" customHeight="1">
      <c r="B313" s="238">
        <v>45801</v>
      </c>
      <c r="C313" s="448"/>
      <c r="D313" s="448">
        <v>563678.27</v>
      </c>
      <c r="E313" s="448">
        <v>0</v>
      </c>
      <c r="F313" s="448">
        <v>563678.27</v>
      </c>
      <c r="G313" s="588"/>
      <c r="H313" s="448">
        <v>2803322.94</v>
      </c>
      <c r="I313" s="448">
        <v>0</v>
      </c>
      <c r="J313" s="449">
        <v>2803322.94</v>
      </c>
      <c r="K313" s="446"/>
      <c r="L313" s="448">
        <v>5350064.45</v>
      </c>
      <c r="M313" s="448">
        <v>0</v>
      </c>
      <c r="N313" s="449">
        <v>5350064.45</v>
      </c>
      <c r="O313" s="446"/>
      <c r="P313" s="448">
        <v>579179.51</v>
      </c>
      <c r="Q313" s="448">
        <v>0</v>
      </c>
      <c r="R313" s="449">
        <v>579179.51</v>
      </c>
      <c r="S313" s="446"/>
      <c r="T313" s="448">
        <v>542341.24</v>
      </c>
      <c r="U313" s="448">
        <v>0</v>
      </c>
      <c r="V313" s="449">
        <v>542341.24</v>
      </c>
      <c r="W313" s="446"/>
      <c r="X313" s="448">
        <v>1248139.42</v>
      </c>
      <c r="Y313" s="448">
        <v>0</v>
      </c>
      <c r="Z313" s="449">
        <v>1248139.42</v>
      </c>
      <c r="AA313" s="446"/>
    </row>
    <row r="314" spans="2:27" s="443" customFormat="1" ht="12" customHeight="1">
      <c r="B314" s="238">
        <v>45802</v>
      </c>
      <c r="C314" s="448"/>
      <c r="D314" s="448">
        <v>563678.27</v>
      </c>
      <c r="E314" s="448">
        <v>0</v>
      </c>
      <c r="F314" s="448">
        <v>563678.27</v>
      </c>
      <c r="G314" s="588"/>
      <c r="H314" s="448">
        <v>2803322.94</v>
      </c>
      <c r="I314" s="448">
        <v>0</v>
      </c>
      <c r="J314" s="449">
        <v>2803322.94</v>
      </c>
      <c r="K314" s="446"/>
      <c r="L314" s="448">
        <v>5350064.45</v>
      </c>
      <c r="M314" s="448">
        <v>0</v>
      </c>
      <c r="N314" s="449">
        <v>5350064.45</v>
      </c>
      <c r="O314" s="446"/>
      <c r="P314" s="448">
        <v>579179.51</v>
      </c>
      <c r="Q314" s="448">
        <v>0</v>
      </c>
      <c r="R314" s="449">
        <v>579179.51</v>
      </c>
      <c r="S314" s="446"/>
      <c r="T314" s="448">
        <v>542341.24</v>
      </c>
      <c r="U314" s="448">
        <v>0</v>
      </c>
      <c r="V314" s="449">
        <v>542341.24</v>
      </c>
      <c r="W314" s="446"/>
      <c r="X314" s="448">
        <v>1248139.42</v>
      </c>
      <c r="Y314" s="448">
        <v>0</v>
      </c>
      <c r="Z314" s="449">
        <v>1248139.42</v>
      </c>
      <c r="AA314" s="446"/>
    </row>
    <row r="315" spans="2:27" s="443" customFormat="1" ht="12" customHeight="1">
      <c r="B315" s="238">
        <v>45803</v>
      </c>
      <c r="C315" s="448"/>
      <c r="D315" s="448">
        <v>563678.27</v>
      </c>
      <c r="E315" s="448">
        <v>318412.08999994397</v>
      </c>
      <c r="F315" s="448">
        <v>882090.36</v>
      </c>
      <c r="G315" s="588"/>
      <c r="H315" s="448">
        <v>2803322.94</v>
      </c>
      <c r="I315" s="448">
        <v>637282.53000034392</v>
      </c>
      <c r="J315" s="449">
        <v>3440605.47</v>
      </c>
      <c r="K315" s="446"/>
      <c r="L315" s="448">
        <v>5350064.45</v>
      </c>
      <c r="M315" s="448">
        <v>-4465967.7200000035</v>
      </c>
      <c r="N315" s="449">
        <v>884096.73</v>
      </c>
      <c r="O315" s="446"/>
      <c r="P315" s="448">
        <v>579179.51</v>
      </c>
      <c r="Q315" s="448">
        <v>340924.65000015218</v>
      </c>
      <c r="R315" s="449">
        <v>920104.16</v>
      </c>
      <c r="S315" s="446"/>
      <c r="T315" s="448">
        <v>542341.24</v>
      </c>
      <c r="U315" s="448">
        <v>132260.24999969453</v>
      </c>
      <c r="V315" s="449">
        <v>674601.49</v>
      </c>
      <c r="W315" s="446"/>
      <c r="X315" s="448">
        <v>1248139.42</v>
      </c>
      <c r="Y315" s="448">
        <v>-104838.8599999994</v>
      </c>
      <c r="Z315" s="449">
        <v>1143300.56</v>
      </c>
      <c r="AA315" s="446"/>
    </row>
    <row r="316" spans="2:27" s="443" customFormat="1" ht="12" customHeight="1">
      <c r="B316" s="238">
        <v>45804</v>
      </c>
      <c r="C316" s="448"/>
      <c r="D316" s="448">
        <v>882090.36</v>
      </c>
      <c r="E316" s="448">
        <v>965439.94000007585</v>
      </c>
      <c r="F316" s="448">
        <v>1847530.3</v>
      </c>
      <c r="G316" s="588"/>
      <c r="H316" s="448">
        <v>3440605.47</v>
      </c>
      <c r="I316" s="448">
        <v>1748958.8099997751</v>
      </c>
      <c r="J316" s="449">
        <v>5189564.28</v>
      </c>
      <c r="K316" s="446"/>
      <c r="L316" s="448">
        <v>884096.73</v>
      </c>
      <c r="M316" s="448">
        <v>0</v>
      </c>
      <c r="N316" s="449">
        <v>884096.73</v>
      </c>
      <c r="O316" s="446"/>
      <c r="P316" s="448">
        <v>920104.16</v>
      </c>
      <c r="Q316" s="448">
        <v>67847.529999529943</v>
      </c>
      <c r="R316" s="449">
        <v>987951.69</v>
      </c>
      <c r="S316" s="446"/>
      <c r="T316" s="448">
        <v>674601.49</v>
      </c>
      <c r="U316" s="448">
        <v>-45817.99999948591</v>
      </c>
      <c r="V316" s="449">
        <v>628783.49</v>
      </c>
      <c r="W316" s="446"/>
      <c r="X316" s="448">
        <v>1143300.56</v>
      </c>
      <c r="Y316" s="448">
        <v>0</v>
      </c>
      <c r="Z316" s="449">
        <v>1143300.56</v>
      </c>
      <c r="AA316" s="446"/>
    </row>
    <row r="317" spans="2:27" s="443" customFormat="1" ht="12" customHeight="1">
      <c r="B317" s="238">
        <v>45805</v>
      </c>
      <c r="C317" s="448"/>
      <c r="D317" s="448">
        <v>1847530.3</v>
      </c>
      <c r="E317" s="448">
        <v>-1169559.8200000003</v>
      </c>
      <c r="F317" s="448">
        <v>677970.48</v>
      </c>
      <c r="G317" s="588"/>
      <c r="H317" s="448">
        <v>5189564.28</v>
      </c>
      <c r="I317" s="448">
        <v>-3026661.0700002685</v>
      </c>
      <c r="J317" s="449">
        <v>2162903.21</v>
      </c>
      <c r="K317" s="446"/>
      <c r="L317" s="448">
        <v>884096.73</v>
      </c>
      <c r="M317" s="448">
        <v>0</v>
      </c>
      <c r="N317" s="449">
        <v>884096.73</v>
      </c>
      <c r="O317" s="446"/>
      <c r="P317" s="448">
        <v>987951.69</v>
      </c>
      <c r="Q317" s="448">
        <v>-142202.6199999908</v>
      </c>
      <c r="R317" s="449">
        <v>845749.07</v>
      </c>
      <c r="S317" s="446"/>
      <c r="T317" s="448">
        <v>628783.49</v>
      </c>
      <c r="U317" s="448">
        <v>2163.0199985615909</v>
      </c>
      <c r="V317" s="449">
        <v>630946.51</v>
      </c>
      <c r="W317" s="446"/>
      <c r="X317" s="448">
        <v>1143300.56</v>
      </c>
      <c r="Y317" s="448">
        <v>0</v>
      </c>
      <c r="Z317" s="449">
        <v>1143300.56</v>
      </c>
      <c r="AA317" s="446"/>
    </row>
    <row r="318" spans="2:27" s="443" customFormat="1" ht="12" customHeight="1">
      <c r="B318" s="238">
        <v>45806</v>
      </c>
      <c r="C318" s="448"/>
      <c r="D318" s="448">
        <v>677970.48</v>
      </c>
      <c r="E318" s="448">
        <v>-10047.740000009537</v>
      </c>
      <c r="F318" s="448">
        <v>667922.74</v>
      </c>
      <c r="G318" s="588"/>
      <c r="H318" s="448">
        <v>2162903.21</v>
      </c>
      <c r="I318" s="448">
        <v>1772155.5800002292</v>
      </c>
      <c r="J318" s="449">
        <v>3935058.79</v>
      </c>
      <c r="K318" s="446"/>
      <c r="L318" s="448">
        <v>884096.73</v>
      </c>
      <c r="M318" s="448">
        <v>626526.68000030983</v>
      </c>
      <c r="N318" s="449">
        <v>1510623.41</v>
      </c>
      <c r="O318" s="446"/>
      <c r="P318" s="448">
        <v>845749.07</v>
      </c>
      <c r="Q318" s="448">
        <v>-186436.34000001848</v>
      </c>
      <c r="R318" s="449">
        <v>659312.73</v>
      </c>
      <c r="S318" s="446"/>
      <c r="T318" s="448">
        <v>630946.51</v>
      </c>
      <c r="U318" s="448">
        <v>-143654.59000016004</v>
      </c>
      <c r="V318" s="449">
        <v>487291.92</v>
      </c>
      <c r="W318" s="446"/>
      <c r="X318" s="448">
        <v>1143300.56</v>
      </c>
      <c r="Y318" s="448">
        <v>0</v>
      </c>
      <c r="Z318" s="449">
        <v>1143300.56</v>
      </c>
      <c r="AA318" s="446"/>
    </row>
    <row r="319" spans="2:27" s="443" customFormat="1" ht="12" customHeight="1">
      <c r="B319" s="238">
        <v>45807</v>
      </c>
      <c r="C319" s="448"/>
      <c r="D319" s="448">
        <v>667922.74</v>
      </c>
      <c r="E319" s="448">
        <v>-602199.400000019</v>
      </c>
      <c r="F319" s="448">
        <v>65723.34</v>
      </c>
      <c r="G319" s="588"/>
      <c r="H319" s="448">
        <v>3935058.79</v>
      </c>
      <c r="I319" s="448">
        <v>2063440.129999809</v>
      </c>
      <c r="J319" s="449">
        <v>5998498.9199999999</v>
      </c>
      <c r="K319" s="446"/>
      <c r="L319" s="448">
        <v>1510623.41</v>
      </c>
      <c r="M319" s="448">
        <v>0</v>
      </c>
      <c r="N319" s="449">
        <v>1510623.41</v>
      </c>
      <c r="O319" s="446"/>
      <c r="P319" s="448">
        <v>659312.73</v>
      </c>
      <c r="Q319" s="448">
        <v>-6427.3899999570567</v>
      </c>
      <c r="R319" s="449">
        <v>652885.34</v>
      </c>
      <c r="S319" s="446"/>
      <c r="T319" s="448">
        <v>487291.92</v>
      </c>
      <c r="U319" s="448">
        <v>-136471.06999929249</v>
      </c>
      <c r="V319" s="449">
        <v>350820.85</v>
      </c>
      <c r="W319" s="446"/>
      <c r="X319" s="448">
        <v>1143300.56</v>
      </c>
      <c r="Y319" s="448">
        <v>0</v>
      </c>
      <c r="Z319" s="449">
        <v>1143300.56</v>
      </c>
      <c r="AA319" s="446"/>
    </row>
    <row r="320" spans="2:27" s="443" customFormat="1" ht="12" customHeight="1">
      <c r="B320" s="238">
        <v>45808</v>
      </c>
      <c r="C320" s="448"/>
      <c r="D320" s="448">
        <v>65723.34</v>
      </c>
      <c r="E320" s="448">
        <v>0</v>
      </c>
      <c r="F320" s="448">
        <v>65723.34</v>
      </c>
      <c r="G320" s="588"/>
      <c r="H320" s="448">
        <v>5998498.9199999999</v>
      </c>
      <c r="I320" s="448">
        <v>0</v>
      </c>
      <c r="J320" s="449">
        <v>5998498.9199999999</v>
      </c>
      <c r="K320" s="446"/>
      <c r="L320" s="448">
        <v>1510623.41</v>
      </c>
      <c r="M320" s="448">
        <v>0</v>
      </c>
      <c r="N320" s="449">
        <v>1510623.41</v>
      </c>
      <c r="O320" s="446"/>
      <c r="P320" s="448">
        <v>652885.34</v>
      </c>
      <c r="Q320" s="448">
        <v>0</v>
      </c>
      <c r="R320" s="449">
        <v>652885.34</v>
      </c>
      <c r="S320" s="446"/>
      <c r="T320" s="448">
        <v>350820.85</v>
      </c>
      <c r="U320" s="448">
        <v>0</v>
      </c>
      <c r="V320" s="449">
        <v>350820.85</v>
      </c>
      <c r="W320" s="446"/>
      <c r="X320" s="448">
        <v>1143300.56</v>
      </c>
      <c r="Y320" s="448">
        <v>0</v>
      </c>
      <c r="Z320" s="449">
        <v>1143300.56</v>
      </c>
      <c r="AA320" s="446"/>
    </row>
    <row r="321" spans="2:27" s="443" customFormat="1" ht="12" customHeight="1">
      <c r="B321" s="238">
        <v>45809</v>
      </c>
      <c r="C321" s="448"/>
      <c r="D321" s="448">
        <v>65723.34</v>
      </c>
      <c r="E321" s="448">
        <v>0</v>
      </c>
      <c r="F321" s="448">
        <v>65723.34</v>
      </c>
      <c r="G321" s="588"/>
      <c r="H321" s="448">
        <v>5998498.9199999999</v>
      </c>
      <c r="I321" s="448">
        <v>0</v>
      </c>
      <c r="J321" s="449">
        <v>5998498.9199999999</v>
      </c>
      <c r="K321" s="446"/>
      <c r="L321" s="448">
        <v>1510623.41</v>
      </c>
      <c r="M321" s="448">
        <v>0</v>
      </c>
      <c r="N321" s="449">
        <v>1510623.41</v>
      </c>
      <c r="O321" s="446"/>
      <c r="P321" s="448">
        <v>652885.34</v>
      </c>
      <c r="Q321" s="448">
        <v>0</v>
      </c>
      <c r="R321" s="449">
        <v>652885.34</v>
      </c>
      <c r="S321" s="446"/>
      <c r="T321" s="448">
        <v>350820.85</v>
      </c>
      <c r="U321" s="448">
        <v>0</v>
      </c>
      <c r="V321" s="449">
        <v>350820.85</v>
      </c>
      <c r="W321" s="446"/>
      <c r="X321" s="448">
        <v>1143300.56</v>
      </c>
      <c r="Y321" s="448">
        <v>0</v>
      </c>
      <c r="Z321" s="449">
        <v>1143300.56</v>
      </c>
      <c r="AA321" s="446"/>
    </row>
    <row r="322" spans="2:27" s="443" customFormat="1" ht="12" customHeight="1">
      <c r="B322" s="238">
        <v>45810</v>
      </c>
      <c r="C322" s="448"/>
      <c r="D322" s="448">
        <v>65723.34</v>
      </c>
      <c r="E322" s="448">
        <v>433142.93999982346</v>
      </c>
      <c r="F322" s="448">
        <v>498866.28</v>
      </c>
      <c r="G322" s="588"/>
      <c r="H322" s="448">
        <v>5998498.9199999999</v>
      </c>
      <c r="I322" s="448">
        <v>-4022154.6599999443</v>
      </c>
      <c r="J322" s="449">
        <v>1976344.26</v>
      </c>
      <c r="K322" s="446"/>
      <c r="L322" s="448">
        <v>1510623.41</v>
      </c>
      <c r="M322" s="448">
        <v>1554634.0399999917</v>
      </c>
      <c r="N322" s="449">
        <v>3065257.45</v>
      </c>
      <c r="O322" s="446"/>
      <c r="P322" s="448">
        <v>652885.34</v>
      </c>
      <c r="Q322" s="448">
        <v>-125433.97999988589</v>
      </c>
      <c r="R322" s="449">
        <v>527451.36</v>
      </c>
      <c r="S322" s="446"/>
      <c r="T322" s="448">
        <v>350820.85</v>
      </c>
      <c r="U322" s="448">
        <v>-328955.21000119299</v>
      </c>
      <c r="V322" s="449">
        <v>21865.64</v>
      </c>
      <c r="W322" s="446"/>
      <c r="X322" s="448">
        <v>1143300.56</v>
      </c>
      <c r="Y322" s="448">
        <v>-361368.68000011519</v>
      </c>
      <c r="Z322" s="449">
        <v>781931.88</v>
      </c>
      <c r="AA322" s="446"/>
    </row>
    <row r="323" spans="2:27" s="443" customFormat="1" ht="12" customHeight="1">
      <c r="B323" s="238">
        <v>45811</v>
      </c>
      <c r="C323" s="448"/>
      <c r="D323" s="448">
        <v>498866.28</v>
      </c>
      <c r="E323" s="448">
        <v>-258596.50000008568</v>
      </c>
      <c r="F323" s="448">
        <v>240269.78</v>
      </c>
      <c r="G323" s="588"/>
      <c r="H323" s="448">
        <v>1976344.26</v>
      </c>
      <c r="I323" s="448">
        <v>180233.94999990612</v>
      </c>
      <c r="J323" s="449">
        <v>2156578.21</v>
      </c>
      <c r="K323" s="446"/>
      <c r="L323" s="448">
        <v>3065257.45</v>
      </c>
      <c r="M323" s="448">
        <v>0</v>
      </c>
      <c r="N323" s="449">
        <v>3065257.45</v>
      </c>
      <c r="O323" s="446"/>
      <c r="P323" s="448">
        <v>527451.36</v>
      </c>
      <c r="Q323" s="448">
        <v>-9738.8599998857826</v>
      </c>
      <c r="R323" s="449">
        <v>517712.5</v>
      </c>
      <c r="S323" s="446"/>
      <c r="T323" s="448">
        <v>21865.64</v>
      </c>
      <c r="U323" s="448">
        <v>188250.91999910772</v>
      </c>
      <c r="V323" s="449">
        <v>210116.56</v>
      </c>
      <c r="W323" s="446"/>
      <c r="X323" s="448">
        <v>781931.88</v>
      </c>
      <c r="Y323" s="448">
        <v>0</v>
      </c>
      <c r="Z323" s="449">
        <v>781931.88</v>
      </c>
      <c r="AA323" s="446"/>
    </row>
    <row r="324" spans="2:27" s="443" customFormat="1" ht="12" customHeight="1">
      <c r="B324" s="238">
        <v>45812</v>
      </c>
      <c r="C324" s="448"/>
      <c r="D324" s="448">
        <v>240269.78</v>
      </c>
      <c r="E324" s="448">
        <v>902951.72999997064</v>
      </c>
      <c r="F324" s="448">
        <v>1143221.51</v>
      </c>
      <c r="G324" s="588"/>
      <c r="H324" s="448">
        <v>2156578.21</v>
      </c>
      <c r="I324" s="448">
        <v>243140.48000005633</v>
      </c>
      <c r="J324" s="449">
        <v>2399718.69</v>
      </c>
      <c r="K324" s="446"/>
      <c r="L324" s="448">
        <v>3065257.45</v>
      </c>
      <c r="M324" s="448">
        <v>0</v>
      </c>
      <c r="N324" s="449">
        <v>3065257.45</v>
      </c>
      <c r="O324" s="446"/>
      <c r="P324" s="448">
        <v>517712.5</v>
      </c>
      <c r="Q324" s="448">
        <v>52615.949999977951</v>
      </c>
      <c r="R324" s="449">
        <v>570328.44999999995</v>
      </c>
      <c r="S324" s="446"/>
      <c r="T324" s="448">
        <v>210116.56</v>
      </c>
      <c r="U324" s="448">
        <v>411009.45999483764</v>
      </c>
      <c r="V324" s="449">
        <v>621126.02</v>
      </c>
      <c r="W324" s="446"/>
      <c r="X324" s="448">
        <v>781931.88</v>
      </c>
      <c r="Y324" s="448">
        <v>0</v>
      </c>
      <c r="Z324" s="449">
        <v>781931.88</v>
      </c>
      <c r="AA324" s="446"/>
    </row>
    <row r="325" spans="2:27" s="443" customFormat="1" ht="12" customHeight="1">
      <c r="B325" s="238">
        <v>45813</v>
      </c>
      <c r="C325" s="448"/>
      <c r="D325" s="448">
        <v>1143221.51</v>
      </c>
      <c r="E325" s="448">
        <v>-432936.00000006147</v>
      </c>
      <c r="F325" s="448">
        <v>710285.51</v>
      </c>
      <c r="G325" s="588"/>
      <c r="H325" s="448">
        <v>2399718.69</v>
      </c>
      <c r="I325" s="448">
        <v>1285187.1299997717</v>
      </c>
      <c r="J325" s="449">
        <v>3684905.82</v>
      </c>
      <c r="K325" s="446"/>
      <c r="L325" s="448">
        <v>3065257.45</v>
      </c>
      <c r="M325" s="448">
        <v>797948.6299996376</v>
      </c>
      <c r="N325" s="449">
        <v>3863206.08</v>
      </c>
      <c r="O325" s="446"/>
      <c r="P325" s="448">
        <v>570328.44999999995</v>
      </c>
      <c r="Q325" s="448">
        <v>1055169.6299998499</v>
      </c>
      <c r="R325" s="449">
        <v>1625498.08</v>
      </c>
      <c r="S325" s="446"/>
      <c r="T325" s="448">
        <v>621126.02</v>
      </c>
      <c r="U325" s="448">
        <v>-325552.72999869287</v>
      </c>
      <c r="V325" s="449">
        <v>295573.28999999998</v>
      </c>
      <c r="W325" s="446"/>
      <c r="X325" s="448">
        <v>781931.88</v>
      </c>
      <c r="Y325" s="448">
        <v>0</v>
      </c>
      <c r="Z325" s="449">
        <v>781931.88</v>
      </c>
      <c r="AA325" s="446"/>
    </row>
    <row r="326" spans="2:27" s="443" customFormat="1" ht="12" customHeight="1">
      <c r="B326" s="238">
        <v>45814</v>
      </c>
      <c r="C326" s="448"/>
      <c r="D326" s="448">
        <v>710285.51</v>
      </c>
      <c r="E326" s="448">
        <v>0</v>
      </c>
      <c r="F326" s="448">
        <v>710285.51</v>
      </c>
      <c r="G326" s="588"/>
      <c r="H326" s="448">
        <v>3684905.82</v>
      </c>
      <c r="I326" s="448">
        <v>0</v>
      </c>
      <c r="J326" s="449">
        <v>3684905.82</v>
      </c>
      <c r="K326" s="446"/>
      <c r="L326" s="448">
        <v>3863206.08</v>
      </c>
      <c r="M326" s="448">
        <v>0</v>
      </c>
      <c r="N326" s="449">
        <v>3863206.08</v>
      </c>
      <c r="O326" s="446"/>
      <c r="P326" s="448">
        <v>1625498.08</v>
      </c>
      <c r="Q326" s="448">
        <v>0</v>
      </c>
      <c r="R326" s="449">
        <v>1625498.08</v>
      </c>
      <c r="S326" s="446"/>
      <c r="T326" s="448">
        <v>295573.28999999998</v>
      </c>
      <c r="U326" s="448">
        <v>0</v>
      </c>
      <c r="V326" s="449">
        <v>295573.28999999998</v>
      </c>
      <c r="W326" s="446"/>
      <c r="X326" s="448">
        <v>781931.88</v>
      </c>
      <c r="Y326" s="448">
        <v>0</v>
      </c>
      <c r="Z326" s="449">
        <v>781931.88</v>
      </c>
      <c r="AA326" s="446"/>
    </row>
    <row r="327" spans="2:27" s="443" customFormat="1" ht="12" customHeight="1">
      <c r="B327" s="238">
        <v>45815</v>
      </c>
      <c r="C327" s="448"/>
      <c r="D327" s="448">
        <v>710285.51</v>
      </c>
      <c r="E327" s="448">
        <v>0</v>
      </c>
      <c r="F327" s="448">
        <v>710285.51</v>
      </c>
      <c r="G327" s="588"/>
      <c r="H327" s="448">
        <v>3684905.82</v>
      </c>
      <c r="I327" s="448">
        <v>0</v>
      </c>
      <c r="J327" s="449">
        <v>3684905.82</v>
      </c>
      <c r="K327" s="446"/>
      <c r="L327" s="448">
        <v>3863206.08</v>
      </c>
      <c r="M327" s="448">
        <v>0</v>
      </c>
      <c r="N327" s="449">
        <v>3863206.08</v>
      </c>
      <c r="O327" s="446"/>
      <c r="P327" s="448">
        <v>1625498.08</v>
      </c>
      <c r="Q327" s="448">
        <v>0</v>
      </c>
      <c r="R327" s="449">
        <v>1625498.08</v>
      </c>
      <c r="S327" s="446"/>
      <c r="T327" s="448">
        <v>295573.28999999998</v>
      </c>
      <c r="U327" s="448">
        <v>0</v>
      </c>
      <c r="V327" s="449">
        <v>295573.28999999998</v>
      </c>
      <c r="W327" s="446"/>
      <c r="X327" s="448">
        <v>781931.88</v>
      </c>
      <c r="Y327" s="448">
        <v>0</v>
      </c>
      <c r="Z327" s="449">
        <v>781931.88</v>
      </c>
      <c r="AA327" s="446"/>
    </row>
    <row r="328" spans="2:27" s="443" customFormat="1" ht="12" customHeight="1">
      <c r="B328" s="238">
        <v>45816</v>
      </c>
      <c r="C328" s="448"/>
      <c r="D328" s="448">
        <v>710285.51</v>
      </c>
      <c r="E328" s="448">
        <v>0</v>
      </c>
      <c r="F328" s="448">
        <v>710285.51</v>
      </c>
      <c r="G328" s="588"/>
      <c r="H328" s="448">
        <v>3684905.82</v>
      </c>
      <c r="I328" s="448">
        <v>0</v>
      </c>
      <c r="J328" s="449">
        <v>3684905.82</v>
      </c>
      <c r="K328" s="446"/>
      <c r="L328" s="448">
        <v>3863206.08</v>
      </c>
      <c r="M328" s="448">
        <v>0</v>
      </c>
      <c r="N328" s="449">
        <v>3863206.08</v>
      </c>
      <c r="O328" s="446"/>
      <c r="P328" s="448">
        <v>1625498.08</v>
      </c>
      <c r="Q328" s="448">
        <v>0</v>
      </c>
      <c r="R328" s="449">
        <v>1625498.08</v>
      </c>
      <c r="S328" s="446"/>
      <c r="T328" s="448">
        <v>295573.28999999998</v>
      </c>
      <c r="U328" s="448">
        <v>0</v>
      </c>
      <c r="V328" s="449">
        <v>295573.28999999998</v>
      </c>
      <c r="W328" s="446"/>
      <c r="X328" s="448">
        <v>781931.88</v>
      </c>
      <c r="Y328" s="448">
        <v>0</v>
      </c>
      <c r="Z328" s="449">
        <v>781931.88</v>
      </c>
      <c r="AA328" s="446"/>
    </row>
    <row r="329" spans="2:27" s="443" customFormat="1" ht="12" customHeight="1">
      <c r="B329" s="238">
        <v>45817</v>
      </c>
      <c r="C329" s="448"/>
      <c r="D329" s="448">
        <v>710285.51</v>
      </c>
      <c r="E329" s="448">
        <v>1124454.5900033265</v>
      </c>
      <c r="F329" s="448">
        <v>1834740.1</v>
      </c>
      <c r="G329" s="588"/>
      <c r="H329" s="448">
        <v>3684905.82</v>
      </c>
      <c r="I329" s="448">
        <v>-2354117.6000001729</v>
      </c>
      <c r="J329" s="449">
        <v>1330788.22</v>
      </c>
      <c r="K329" s="446"/>
      <c r="L329" s="448">
        <v>3863206.08</v>
      </c>
      <c r="M329" s="448">
        <v>-3222415.7300002575</v>
      </c>
      <c r="N329" s="449">
        <v>640790.35</v>
      </c>
      <c r="O329" s="446"/>
      <c r="P329" s="448">
        <v>1625498.08</v>
      </c>
      <c r="Q329" s="448">
        <v>-1248996.1199999955</v>
      </c>
      <c r="R329" s="449">
        <v>376501.96</v>
      </c>
      <c r="S329" s="446"/>
      <c r="T329" s="448">
        <v>295573.28999999998</v>
      </c>
      <c r="U329" s="448">
        <v>429743.65999994427</v>
      </c>
      <c r="V329" s="449">
        <v>725316.95</v>
      </c>
      <c r="W329" s="446"/>
      <c r="X329" s="448">
        <v>781931.88</v>
      </c>
      <c r="Y329" s="448">
        <v>-281928.92999923602</v>
      </c>
      <c r="Z329" s="449">
        <v>500002.95</v>
      </c>
      <c r="AA329" s="446"/>
    </row>
    <row r="330" spans="2:27" s="443" customFormat="1" ht="12" customHeight="1">
      <c r="B330" s="238">
        <v>45818</v>
      </c>
      <c r="C330" s="448"/>
      <c r="D330" s="448">
        <v>1834740.1</v>
      </c>
      <c r="E330" s="448">
        <v>-952320.01000291482</v>
      </c>
      <c r="F330" s="448">
        <v>882420.09</v>
      </c>
      <c r="G330" s="588"/>
      <c r="H330" s="448">
        <v>1330788.22</v>
      </c>
      <c r="I330" s="448">
        <v>547537.25999988616</v>
      </c>
      <c r="J330" s="449">
        <v>1878325.48</v>
      </c>
      <c r="K330" s="446"/>
      <c r="L330" s="448">
        <v>640790.35</v>
      </c>
      <c r="M330" s="448">
        <v>365724.50000041723</v>
      </c>
      <c r="N330" s="449">
        <v>1006514.85</v>
      </c>
      <c r="O330" s="446"/>
      <c r="P330" s="448">
        <v>376501.96</v>
      </c>
      <c r="Q330" s="448">
        <v>287815.92000002414</v>
      </c>
      <c r="R330" s="449">
        <v>664317.88</v>
      </c>
      <c r="S330" s="446"/>
      <c r="T330" s="448">
        <v>725316.95</v>
      </c>
      <c r="U330" s="448">
        <v>-163024.8600005731</v>
      </c>
      <c r="V330" s="449">
        <v>562292.09</v>
      </c>
      <c r="W330" s="446"/>
      <c r="X330" s="448">
        <v>500002.95</v>
      </c>
      <c r="Y330" s="448">
        <v>0</v>
      </c>
      <c r="Z330" s="449">
        <v>500002.95</v>
      </c>
      <c r="AA330" s="446"/>
    </row>
    <row r="331" spans="2:27" s="443" customFormat="1" ht="12" customHeight="1">
      <c r="B331" s="238">
        <v>45819</v>
      </c>
      <c r="C331" s="448"/>
      <c r="D331" s="448">
        <v>882420.09</v>
      </c>
      <c r="E331" s="448">
        <v>-597229.72999981791</v>
      </c>
      <c r="F331" s="448">
        <v>285190.36</v>
      </c>
      <c r="G331" s="588"/>
      <c r="H331" s="448">
        <v>1878325.48</v>
      </c>
      <c r="I331" s="448">
        <v>1202792.2600001693</v>
      </c>
      <c r="J331" s="449">
        <v>3081117.74</v>
      </c>
      <c r="K331" s="446"/>
      <c r="L331" s="448">
        <v>1006514.85</v>
      </c>
      <c r="M331" s="448">
        <v>-259044.94000004232</v>
      </c>
      <c r="N331" s="449">
        <v>747469.91</v>
      </c>
      <c r="O331" s="446"/>
      <c r="P331" s="448">
        <v>664317.88</v>
      </c>
      <c r="Q331" s="448">
        <v>58057.779999930412</v>
      </c>
      <c r="R331" s="449">
        <v>722375.66</v>
      </c>
      <c r="S331" s="446"/>
      <c r="T331" s="448">
        <v>562292.09</v>
      </c>
      <c r="U331" s="448">
        <v>-198923.22999992222</v>
      </c>
      <c r="V331" s="449">
        <v>363368.86</v>
      </c>
      <c r="W331" s="446"/>
      <c r="X331" s="448">
        <v>500002.95</v>
      </c>
      <c r="Y331" s="448">
        <v>423093.45000000298</v>
      </c>
      <c r="Z331" s="449">
        <v>923096.4</v>
      </c>
      <c r="AA331" s="446"/>
    </row>
    <row r="332" spans="2:27" s="443" customFormat="1" ht="12" customHeight="1">
      <c r="B332" s="238">
        <v>45820</v>
      </c>
      <c r="C332" s="448"/>
      <c r="D332" s="448">
        <v>285190.36</v>
      </c>
      <c r="E332" s="448">
        <v>386638.97999994271</v>
      </c>
      <c r="F332" s="448">
        <v>671829.34</v>
      </c>
      <c r="G332" s="588"/>
      <c r="H332" s="448">
        <v>3081117.74</v>
      </c>
      <c r="I332" s="448">
        <v>-1267307.399999693</v>
      </c>
      <c r="J332" s="449">
        <v>1813810.34</v>
      </c>
      <c r="K332" s="446"/>
      <c r="L332" s="448">
        <v>747469.91</v>
      </c>
      <c r="M332" s="448">
        <v>2700807.1700002551</v>
      </c>
      <c r="N332" s="449">
        <v>3448277.08</v>
      </c>
      <c r="O332" s="446"/>
      <c r="P332" s="448">
        <v>722375.66</v>
      </c>
      <c r="Q332" s="448">
        <v>885200.05999944173</v>
      </c>
      <c r="R332" s="449">
        <v>1607575.72</v>
      </c>
      <c r="S332" s="446"/>
      <c r="T332" s="448">
        <v>363368.86</v>
      </c>
      <c r="U332" s="448">
        <v>142463.97999916226</v>
      </c>
      <c r="V332" s="449">
        <v>505832.84</v>
      </c>
      <c r="W332" s="446"/>
      <c r="X332" s="448">
        <v>923096.4</v>
      </c>
      <c r="Y332" s="448">
        <v>12209.769999995828</v>
      </c>
      <c r="Z332" s="449">
        <v>935306.17</v>
      </c>
      <c r="AA332" s="446"/>
    </row>
    <row r="333" spans="2:27" s="443" customFormat="1" ht="12" customHeight="1">
      <c r="B333" s="238">
        <v>45821</v>
      </c>
      <c r="C333" s="448"/>
      <c r="D333" s="448">
        <v>671829.34</v>
      </c>
      <c r="E333" s="448">
        <v>-105852.12999982759</v>
      </c>
      <c r="F333" s="448">
        <v>565977.21</v>
      </c>
      <c r="G333" s="588"/>
      <c r="H333" s="448">
        <v>1813810.34</v>
      </c>
      <c r="I333" s="448">
        <v>331933.45999984816</v>
      </c>
      <c r="J333" s="449">
        <v>2145743.7999999998</v>
      </c>
      <c r="K333" s="446"/>
      <c r="L333" s="448">
        <v>3448277.08</v>
      </c>
      <c r="M333" s="448">
        <v>2512594.2400000691</v>
      </c>
      <c r="N333" s="449">
        <v>5960871.3200000003</v>
      </c>
      <c r="O333" s="446"/>
      <c r="P333" s="448">
        <v>1607575.72</v>
      </c>
      <c r="Q333" s="448">
        <v>-740583.0199999474</v>
      </c>
      <c r="R333" s="449">
        <v>866992.7</v>
      </c>
      <c r="S333" s="446"/>
      <c r="T333" s="448">
        <v>505832.84</v>
      </c>
      <c r="U333" s="448">
        <v>-386212.73999953305</v>
      </c>
      <c r="V333" s="449">
        <v>119620.1</v>
      </c>
      <c r="W333" s="446"/>
      <c r="X333" s="448">
        <v>935306.17</v>
      </c>
      <c r="Y333" s="448">
        <v>56582.970000002533</v>
      </c>
      <c r="Z333" s="449">
        <v>991889.14</v>
      </c>
      <c r="AA333" s="446"/>
    </row>
    <row r="334" spans="2:27" s="443" customFormat="1" ht="12" customHeight="1">
      <c r="B334" s="238">
        <v>45822</v>
      </c>
      <c r="C334" s="448"/>
      <c r="D334" s="448">
        <v>565977.21</v>
      </c>
      <c r="E334" s="448">
        <v>0</v>
      </c>
      <c r="F334" s="448">
        <v>565977.21</v>
      </c>
      <c r="G334" s="588"/>
      <c r="H334" s="448">
        <v>2145743.7999999998</v>
      </c>
      <c r="I334" s="448">
        <v>0</v>
      </c>
      <c r="J334" s="449">
        <v>2145743.7999999998</v>
      </c>
      <c r="K334" s="446"/>
      <c r="L334" s="448">
        <v>5960871.3200000003</v>
      </c>
      <c r="M334" s="448">
        <v>0</v>
      </c>
      <c r="N334" s="449">
        <v>5960871.3200000003</v>
      </c>
      <c r="O334" s="446"/>
      <c r="P334" s="448">
        <v>866992.7</v>
      </c>
      <c r="Q334" s="448">
        <v>0</v>
      </c>
      <c r="R334" s="449">
        <v>866992.7</v>
      </c>
      <c r="S334" s="446"/>
      <c r="T334" s="448">
        <v>119620.1</v>
      </c>
      <c r="U334" s="448">
        <v>0</v>
      </c>
      <c r="V334" s="449">
        <v>119620.1</v>
      </c>
      <c r="W334" s="446"/>
      <c r="X334" s="448">
        <v>991889.14</v>
      </c>
      <c r="Y334" s="448">
        <v>0</v>
      </c>
      <c r="Z334" s="449">
        <v>991889.14</v>
      </c>
      <c r="AA334" s="446"/>
    </row>
    <row r="335" spans="2:27" s="443" customFormat="1" ht="12" customHeight="1">
      <c r="B335" s="238">
        <v>45823</v>
      </c>
      <c r="C335" s="448"/>
      <c r="D335" s="448">
        <v>565977.21</v>
      </c>
      <c r="E335" s="448">
        <v>0</v>
      </c>
      <c r="F335" s="448">
        <v>565977.21</v>
      </c>
      <c r="G335" s="588"/>
      <c r="H335" s="448">
        <v>2145743.7999999998</v>
      </c>
      <c r="I335" s="448">
        <v>0</v>
      </c>
      <c r="J335" s="449">
        <v>2145743.7999999998</v>
      </c>
      <c r="K335" s="446"/>
      <c r="L335" s="448">
        <v>5960871.3200000003</v>
      </c>
      <c r="M335" s="448">
        <v>0</v>
      </c>
      <c r="N335" s="449">
        <v>5960871.3200000003</v>
      </c>
      <c r="O335" s="446"/>
      <c r="P335" s="448">
        <v>866992.7</v>
      </c>
      <c r="Q335" s="448">
        <v>0</v>
      </c>
      <c r="R335" s="449">
        <v>866992.7</v>
      </c>
      <c r="S335" s="446"/>
      <c r="T335" s="448">
        <v>119620.1</v>
      </c>
      <c r="U335" s="448">
        <v>0</v>
      </c>
      <c r="V335" s="449">
        <v>119620.1</v>
      </c>
      <c r="W335" s="446"/>
      <c r="X335" s="448">
        <v>991889.14</v>
      </c>
      <c r="Y335" s="448">
        <v>0</v>
      </c>
      <c r="Z335" s="449">
        <v>991889.14</v>
      </c>
      <c r="AA335" s="446"/>
    </row>
    <row r="336" spans="2:27" s="443" customFormat="1" ht="12" customHeight="1">
      <c r="B336" s="238">
        <v>45824</v>
      </c>
      <c r="C336" s="448"/>
      <c r="D336" s="448">
        <v>565977.21</v>
      </c>
      <c r="E336" s="448">
        <v>-445952.95000005886</v>
      </c>
      <c r="F336" s="448">
        <v>120024.26</v>
      </c>
      <c r="G336" s="588"/>
      <c r="H336" s="448">
        <v>2145743.7999999998</v>
      </c>
      <c r="I336" s="448">
        <v>-570472.03000020981</v>
      </c>
      <c r="J336" s="449">
        <v>1575271.77</v>
      </c>
      <c r="K336" s="446"/>
      <c r="L336" s="448">
        <v>5960871.3200000003</v>
      </c>
      <c r="M336" s="448">
        <v>-2827160.3899999857</v>
      </c>
      <c r="N336" s="449">
        <v>3133710.93</v>
      </c>
      <c r="O336" s="446"/>
      <c r="P336" s="448">
        <v>866992.7</v>
      </c>
      <c r="Q336" s="448">
        <v>-787404.7600001283</v>
      </c>
      <c r="R336" s="449">
        <v>79587.94</v>
      </c>
      <c r="S336" s="446"/>
      <c r="T336" s="448">
        <v>119620.1</v>
      </c>
      <c r="U336" s="448">
        <v>211069.2099994272</v>
      </c>
      <c r="V336" s="449">
        <v>330689.31</v>
      </c>
      <c r="W336" s="446"/>
      <c r="X336" s="448">
        <v>991889.14</v>
      </c>
      <c r="Y336" s="448">
        <v>-36798.469999626279</v>
      </c>
      <c r="Z336" s="449">
        <v>955090.67</v>
      </c>
      <c r="AA336" s="446"/>
    </row>
    <row r="337" spans="2:27" s="443" customFormat="1" ht="12" customHeight="1">
      <c r="B337" s="238">
        <v>45825</v>
      </c>
      <c r="C337" s="448"/>
      <c r="D337" s="448">
        <v>120024.26</v>
      </c>
      <c r="E337" s="448">
        <v>918519.88000047579</v>
      </c>
      <c r="F337" s="448">
        <v>1038544.14</v>
      </c>
      <c r="G337" s="588"/>
      <c r="H337" s="448">
        <v>1575271.77</v>
      </c>
      <c r="I337" s="448">
        <v>902653.91000019014</v>
      </c>
      <c r="J337" s="449">
        <v>2477925.6800000002</v>
      </c>
      <c r="K337" s="446"/>
      <c r="L337" s="448">
        <v>3133710.93</v>
      </c>
      <c r="M337" s="448">
        <v>840334.60000019707</v>
      </c>
      <c r="N337" s="449">
        <v>3974045.53</v>
      </c>
      <c r="O337" s="446"/>
      <c r="P337" s="448">
        <v>79587.94</v>
      </c>
      <c r="Q337" s="448">
        <v>692706.07000002358</v>
      </c>
      <c r="R337" s="449">
        <v>772294.01</v>
      </c>
      <c r="S337" s="446"/>
      <c r="T337" s="448">
        <v>330689.31</v>
      </c>
      <c r="U337" s="448">
        <v>-287295.24999969453</v>
      </c>
      <c r="V337" s="449">
        <v>43394.06</v>
      </c>
      <c r="W337" s="446"/>
      <c r="X337" s="448">
        <v>955090.67</v>
      </c>
      <c r="Y337" s="448">
        <v>2345138.5899999738</v>
      </c>
      <c r="Z337" s="449">
        <v>3300229.26</v>
      </c>
      <c r="AA337" s="446"/>
    </row>
    <row r="338" spans="2:27" s="443" customFormat="1" ht="12" customHeight="1">
      <c r="B338" s="238">
        <v>45826</v>
      </c>
      <c r="C338" s="448"/>
      <c r="D338" s="448">
        <v>1038544.14</v>
      </c>
      <c r="E338" s="448">
        <v>-865599.22999970615</v>
      </c>
      <c r="F338" s="448">
        <v>172944.91</v>
      </c>
      <c r="G338" s="588"/>
      <c r="H338" s="448">
        <v>2477925.6800000002</v>
      </c>
      <c r="I338" s="448">
        <v>374425.4899995625</v>
      </c>
      <c r="J338" s="449">
        <v>2852351.17</v>
      </c>
      <c r="K338" s="446"/>
      <c r="L338" s="448">
        <v>3974045.53</v>
      </c>
      <c r="M338" s="448">
        <v>2326999.0400002003</v>
      </c>
      <c r="N338" s="449">
        <v>6301044.5700000003</v>
      </c>
      <c r="O338" s="446"/>
      <c r="P338" s="448">
        <v>772294.01</v>
      </c>
      <c r="Q338" s="448">
        <v>-636519.61000005016</v>
      </c>
      <c r="R338" s="449">
        <v>135774.39999999999</v>
      </c>
      <c r="S338" s="446"/>
      <c r="T338" s="448">
        <v>43394.06</v>
      </c>
      <c r="U338" s="448">
        <v>723740.51000043005</v>
      </c>
      <c r="V338" s="449">
        <v>767134.57</v>
      </c>
      <c r="W338" s="446"/>
      <c r="X338" s="448">
        <v>3300229.26</v>
      </c>
      <c r="Y338" s="448">
        <v>-2917127.8399999877</v>
      </c>
      <c r="Z338" s="449">
        <v>383101.42</v>
      </c>
      <c r="AA338" s="446"/>
    </row>
    <row r="339" spans="2:27" s="443" customFormat="1" ht="12" customHeight="1">
      <c r="B339" s="238">
        <v>45827</v>
      </c>
      <c r="C339" s="448"/>
      <c r="D339" s="448">
        <v>172944.91</v>
      </c>
      <c r="E339" s="448">
        <v>272379.76999988593</v>
      </c>
      <c r="F339" s="448">
        <v>445324.68</v>
      </c>
      <c r="G339" s="588"/>
      <c r="H339" s="448">
        <v>2852351.17</v>
      </c>
      <c r="I339" s="448">
        <v>1157069.5900005717</v>
      </c>
      <c r="J339" s="449">
        <v>4009420.76</v>
      </c>
      <c r="K339" s="446"/>
      <c r="L339" s="448">
        <v>6301044.5700000003</v>
      </c>
      <c r="M339" s="448">
        <v>-4240753.0499998927</v>
      </c>
      <c r="N339" s="449">
        <v>2060291.52</v>
      </c>
      <c r="O339" s="446"/>
      <c r="P339" s="448">
        <v>135774.39999999999</v>
      </c>
      <c r="Q339" s="448">
        <v>-74453.569999761879</v>
      </c>
      <c r="R339" s="449">
        <v>61320.83</v>
      </c>
      <c r="S339" s="446"/>
      <c r="T339" s="448">
        <v>767134.57</v>
      </c>
      <c r="U339" s="448">
        <v>-696926.17999952496</v>
      </c>
      <c r="V339" s="449">
        <v>70208.39</v>
      </c>
      <c r="W339" s="446"/>
      <c r="X339" s="448">
        <v>383101.42</v>
      </c>
      <c r="Y339" s="448">
        <v>91268.210000007413</v>
      </c>
      <c r="Z339" s="449">
        <v>474369.63</v>
      </c>
      <c r="AA339" s="446"/>
    </row>
    <row r="340" spans="2:27" s="443" customFormat="1" ht="12" customHeight="1">
      <c r="B340" s="238">
        <v>45828</v>
      </c>
      <c r="C340" s="448"/>
      <c r="D340" s="448">
        <v>445324.68</v>
      </c>
      <c r="E340" s="448">
        <v>165084.22999984026</v>
      </c>
      <c r="F340" s="448">
        <v>610408.91</v>
      </c>
      <c r="G340" s="588"/>
      <c r="H340" s="448">
        <v>4009420.76</v>
      </c>
      <c r="I340" s="448">
        <v>-985376.17000001669</v>
      </c>
      <c r="J340" s="449">
        <v>3024044.59</v>
      </c>
      <c r="K340" s="446"/>
      <c r="L340" s="448">
        <v>2060291.52</v>
      </c>
      <c r="M340" s="448">
        <v>2003695.7600002289</v>
      </c>
      <c r="N340" s="449">
        <v>4063987.28</v>
      </c>
      <c r="O340" s="446"/>
      <c r="P340" s="448">
        <v>61320.83</v>
      </c>
      <c r="Q340" s="448">
        <v>551107.98999953736</v>
      </c>
      <c r="R340" s="449">
        <v>612428.81999999995</v>
      </c>
      <c r="S340" s="446"/>
      <c r="T340" s="448">
        <v>70208.39</v>
      </c>
      <c r="U340" s="448">
        <v>155085.4600009704</v>
      </c>
      <c r="V340" s="449">
        <v>225293.85</v>
      </c>
      <c r="W340" s="446"/>
      <c r="X340" s="448">
        <v>474369.63</v>
      </c>
      <c r="Y340" s="448">
        <v>491457.4299999224</v>
      </c>
      <c r="Z340" s="449">
        <v>965827.06</v>
      </c>
      <c r="AA340" s="446"/>
    </row>
    <row r="341" spans="2:27" s="443" customFormat="1" ht="12" customHeight="1">
      <c r="B341" s="238">
        <v>45829</v>
      </c>
      <c r="C341" s="448"/>
      <c r="D341" s="448">
        <v>610408.91</v>
      </c>
      <c r="E341" s="448">
        <v>0</v>
      </c>
      <c r="F341" s="448">
        <v>610408.91</v>
      </c>
      <c r="G341" s="588"/>
      <c r="H341" s="448">
        <v>3024044.59</v>
      </c>
      <c r="I341" s="448">
        <v>0</v>
      </c>
      <c r="J341" s="449">
        <v>3024044.59</v>
      </c>
      <c r="K341" s="446"/>
      <c r="L341" s="448">
        <v>4063987.28</v>
      </c>
      <c r="M341" s="448">
        <v>0</v>
      </c>
      <c r="N341" s="449">
        <v>4063987.28</v>
      </c>
      <c r="O341" s="446"/>
      <c r="P341" s="448">
        <v>612428.81999999995</v>
      </c>
      <c r="Q341" s="448">
        <v>0</v>
      </c>
      <c r="R341" s="449">
        <v>612428.81999999995</v>
      </c>
      <c r="S341" s="446"/>
      <c r="T341" s="448">
        <v>225293.85</v>
      </c>
      <c r="U341" s="448">
        <v>0</v>
      </c>
      <c r="V341" s="449">
        <v>225293.85</v>
      </c>
      <c r="W341" s="446"/>
      <c r="X341" s="448">
        <v>965827.06</v>
      </c>
      <c r="Y341" s="448">
        <v>0</v>
      </c>
      <c r="Z341" s="449">
        <v>965827.06</v>
      </c>
      <c r="AA341" s="446"/>
    </row>
    <row r="342" spans="2:27" s="443" customFormat="1" ht="12" customHeight="1">
      <c r="B342" s="238">
        <v>45830</v>
      </c>
      <c r="C342" s="448"/>
      <c r="D342" s="448">
        <v>610408.91</v>
      </c>
      <c r="E342" s="448">
        <v>0</v>
      </c>
      <c r="F342" s="448">
        <v>610408.91</v>
      </c>
      <c r="G342" s="588"/>
      <c r="H342" s="448">
        <v>3024044.59</v>
      </c>
      <c r="I342" s="448">
        <v>0</v>
      </c>
      <c r="J342" s="449">
        <v>3024044.59</v>
      </c>
      <c r="K342" s="446"/>
      <c r="L342" s="448">
        <v>4063987.28</v>
      </c>
      <c r="M342" s="448">
        <v>0</v>
      </c>
      <c r="N342" s="449">
        <v>4063987.28</v>
      </c>
      <c r="O342" s="446"/>
      <c r="P342" s="448">
        <v>612428.81999999995</v>
      </c>
      <c r="Q342" s="448">
        <v>0</v>
      </c>
      <c r="R342" s="449">
        <v>612428.81999999995</v>
      </c>
      <c r="S342" s="446"/>
      <c r="T342" s="448">
        <v>225293.85</v>
      </c>
      <c r="U342" s="448">
        <v>0</v>
      </c>
      <c r="V342" s="449">
        <v>225293.85</v>
      </c>
      <c r="W342" s="446"/>
      <c r="X342" s="448">
        <v>965827.06</v>
      </c>
      <c r="Y342" s="448">
        <v>0</v>
      </c>
      <c r="Z342" s="449">
        <v>965827.06</v>
      </c>
      <c r="AA342" s="446"/>
    </row>
    <row r="343" spans="2:27" s="443" customFormat="1" ht="12" customHeight="1">
      <c r="B343" s="238">
        <v>45831</v>
      </c>
      <c r="C343" s="448"/>
      <c r="D343" s="448">
        <v>610408.91</v>
      </c>
      <c r="E343" s="448">
        <v>-331105.04999937117</v>
      </c>
      <c r="F343" s="448">
        <v>279303.86</v>
      </c>
      <c r="G343" s="588"/>
      <c r="H343" s="448">
        <v>3024044.59</v>
      </c>
      <c r="I343" s="448">
        <v>-1340364.2400003243</v>
      </c>
      <c r="J343" s="449">
        <v>1683680.35</v>
      </c>
      <c r="K343" s="446"/>
      <c r="L343" s="448">
        <v>4063987.28</v>
      </c>
      <c r="M343" s="448">
        <v>2427593.8299999237</v>
      </c>
      <c r="N343" s="449">
        <v>6491581.1100000003</v>
      </c>
      <c r="O343" s="446"/>
      <c r="P343" s="448">
        <v>612428.81999999995</v>
      </c>
      <c r="Q343" s="448">
        <v>-93513.230000095442</v>
      </c>
      <c r="R343" s="449">
        <v>518915.59</v>
      </c>
      <c r="S343" s="446"/>
      <c r="T343" s="448">
        <v>225293.85</v>
      </c>
      <c r="U343" s="448">
        <v>501090.56000034511</v>
      </c>
      <c r="V343" s="449">
        <v>726384.41</v>
      </c>
      <c r="W343" s="446"/>
      <c r="X343" s="448">
        <v>965827.06</v>
      </c>
      <c r="Y343" s="448">
        <v>-338788.03000034392</v>
      </c>
      <c r="Z343" s="449">
        <v>627039.03</v>
      </c>
      <c r="AA343" s="446"/>
    </row>
    <row r="344" spans="2:27" s="443" customFormat="1" ht="12" customHeight="1">
      <c r="B344" s="238">
        <v>45832</v>
      </c>
      <c r="C344" s="448"/>
      <c r="D344" s="448">
        <v>279303.86</v>
      </c>
      <c r="E344" s="448">
        <v>1136815.5199999046</v>
      </c>
      <c r="F344" s="448">
        <v>1416119.38</v>
      </c>
      <c r="G344" s="588"/>
      <c r="H344" s="448">
        <v>1683680.35</v>
      </c>
      <c r="I344" s="448">
        <v>1840372.5199997965</v>
      </c>
      <c r="J344" s="449">
        <v>3524052.87</v>
      </c>
      <c r="K344" s="446"/>
      <c r="L344" s="448">
        <v>6491581.1100000003</v>
      </c>
      <c r="M344" s="448">
        <v>643692.30000028573</v>
      </c>
      <c r="N344" s="449">
        <v>7135273.4100000001</v>
      </c>
      <c r="O344" s="446"/>
      <c r="P344" s="448">
        <v>518915.59</v>
      </c>
      <c r="Q344" s="448">
        <v>1206614.9500001715</v>
      </c>
      <c r="R344" s="449">
        <v>1725530.54</v>
      </c>
      <c r="S344" s="446"/>
      <c r="T344" s="448">
        <v>726384.41</v>
      </c>
      <c r="U344" s="448">
        <v>-623053.6400006318</v>
      </c>
      <c r="V344" s="449">
        <v>103330.77</v>
      </c>
      <c r="W344" s="446"/>
      <c r="X344" s="448">
        <v>627039.03</v>
      </c>
      <c r="Y344" s="448">
        <v>0</v>
      </c>
      <c r="Z344" s="449">
        <v>627039.03</v>
      </c>
      <c r="AA344" s="446"/>
    </row>
    <row r="345" spans="2:27" s="443" customFormat="1" ht="12" customHeight="1">
      <c r="B345" s="238">
        <v>45833</v>
      </c>
      <c r="C345" s="448"/>
      <c r="D345" s="448">
        <v>1416119.38</v>
      </c>
      <c r="E345" s="448">
        <v>-852301.05999981798</v>
      </c>
      <c r="F345" s="448">
        <v>563818.31999999995</v>
      </c>
      <c r="G345" s="588"/>
      <c r="H345" s="448">
        <v>3524052.87</v>
      </c>
      <c r="I345" s="448">
        <v>542263.46000034362</v>
      </c>
      <c r="J345" s="449">
        <v>4066316.33</v>
      </c>
      <c r="K345" s="446"/>
      <c r="L345" s="448">
        <v>7135273.4100000001</v>
      </c>
      <c r="M345" s="448">
        <v>-6313893.2200000286</v>
      </c>
      <c r="N345" s="449">
        <v>821380.19</v>
      </c>
      <c r="O345" s="446"/>
      <c r="P345" s="448">
        <v>1725530.54</v>
      </c>
      <c r="Q345" s="448">
        <v>-719902.31999977119</v>
      </c>
      <c r="R345" s="449">
        <v>1005628.22</v>
      </c>
      <c r="S345" s="446"/>
      <c r="T345" s="448">
        <v>103330.77</v>
      </c>
      <c r="U345" s="448">
        <v>884099.64999903366</v>
      </c>
      <c r="V345" s="449">
        <v>987430.42</v>
      </c>
      <c r="W345" s="446"/>
      <c r="X345" s="448">
        <v>627039.03</v>
      </c>
      <c r="Y345" s="448">
        <v>0</v>
      </c>
      <c r="Z345" s="449">
        <v>627039.03</v>
      </c>
      <c r="AA345" s="446"/>
    </row>
    <row r="346" spans="2:27" s="443" customFormat="1" ht="12" customHeight="1">
      <c r="B346" s="238">
        <v>45834</v>
      </c>
      <c r="C346" s="448"/>
      <c r="D346" s="448">
        <v>563818.31999999995</v>
      </c>
      <c r="E346" s="448">
        <v>75975.949999980628</v>
      </c>
      <c r="F346" s="448">
        <v>639794.27</v>
      </c>
      <c r="G346" s="588"/>
      <c r="H346" s="448">
        <v>4066316.33</v>
      </c>
      <c r="I346" s="448">
        <v>-2829498.9900003038</v>
      </c>
      <c r="J346" s="449">
        <v>1236817.3400000001</v>
      </c>
      <c r="K346" s="446"/>
      <c r="L346" s="448">
        <v>821380.19</v>
      </c>
      <c r="M346" s="448">
        <v>666293.16000007652</v>
      </c>
      <c r="N346" s="449">
        <v>1487673.35</v>
      </c>
      <c r="O346" s="446"/>
      <c r="P346" s="448">
        <v>1005628.22</v>
      </c>
      <c r="Q346" s="448">
        <v>53613.910000210628</v>
      </c>
      <c r="R346" s="449">
        <v>1059242.1299999999</v>
      </c>
      <c r="S346" s="446"/>
      <c r="T346" s="448">
        <v>987430.42</v>
      </c>
      <c r="U346" s="448">
        <v>-306137.14999993145</v>
      </c>
      <c r="V346" s="449">
        <v>681293.27</v>
      </c>
      <c r="W346" s="446"/>
      <c r="X346" s="448">
        <v>627039.03</v>
      </c>
      <c r="Y346" s="448">
        <v>0</v>
      </c>
      <c r="Z346" s="449">
        <v>627039.03</v>
      </c>
      <c r="AA346" s="446"/>
    </row>
    <row r="347" spans="2:27" s="443" customFormat="1" ht="12" customHeight="1">
      <c r="B347" s="238">
        <v>45835</v>
      </c>
      <c r="C347" s="448"/>
      <c r="D347" s="448">
        <v>639794.27</v>
      </c>
      <c r="E347" s="448">
        <v>176089.55999994278</v>
      </c>
      <c r="F347" s="448">
        <v>815883.83</v>
      </c>
      <c r="G347" s="588"/>
      <c r="H347" s="448">
        <v>1236817.3400000001</v>
      </c>
      <c r="I347" s="448">
        <v>765953.84999995306</v>
      </c>
      <c r="J347" s="449">
        <v>2002771.19</v>
      </c>
      <c r="K347" s="446"/>
      <c r="L347" s="448">
        <v>1487673.35</v>
      </c>
      <c r="M347" s="448">
        <v>875985.51000016928</v>
      </c>
      <c r="N347" s="449">
        <v>2363658.86</v>
      </c>
      <c r="O347" s="446"/>
      <c r="P347" s="448">
        <v>1059242.1299999999</v>
      </c>
      <c r="Q347" s="448">
        <v>-722560.71999999136</v>
      </c>
      <c r="R347" s="449">
        <v>336681.41</v>
      </c>
      <c r="S347" s="446"/>
      <c r="T347" s="448">
        <v>681293.27</v>
      </c>
      <c r="U347" s="448">
        <v>-448211.47000077367</v>
      </c>
      <c r="V347" s="449">
        <v>233081.8</v>
      </c>
      <c r="W347" s="446"/>
      <c r="X347" s="448">
        <v>627039.03</v>
      </c>
      <c r="Y347" s="448">
        <v>0</v>
      </c>
      <c r="Z347" s="449">
        <v>627039.03</v>
      </c>
      <c r="AA347" s="446"/>
    </row>
    <row r="348" spans="2:27" s="443" customFormat="1" ht="12" customHeight="1">
      <c r="B348" s="238">
        <v>45836</v>
      </c>
      <c r="C348" s="448"/>
      <c r="D348" s="448">
        <v>815883.83</v>
      </c>
      <c r="E348" s="448">
        <v>0</v>
      </c>
      <c r="F348" s="448">
        <v>815883.83</v>
      </c>
      <c r="G348" s="588"/>
      <c r="H348" s="448">
        <v>2002771.19</v>
      </c>
      <c r="I348" s="448">
        <v>0</v>
      </c>
      <c r="J348" s="449">
        <v>2002771.19</v>
      </c>
      <c r="K348" s="446"/>
      <c r="L348" s="448">
        <v>2363658.86</v>
      </c>
      <c r="M348" s="448">
        <v>0</v>
      </c>
      <c r="N348" s="449">
        <v>2363658.86</v>
      </c>
      <c r="O348" s="446"/>
      <c r="P348" s="448">
        <v>336681.41</v>
      </c>
      <c r="Q348" s="448">
        <v>0</v>
      </c>
      <c r="R348" s="449">
        <v>336681.41</v>
      </c>
      <c r="S348" s="446"/>
      <c r="T348" s="448">
        <v>233081.8</v>
      </c>
      <c r="U348" s="448">
        <v>0</v>
      </c>
      <c r="V348" s="449">
        <v>233081.8</v>
      </c>
      <c r="W348" s="446"/>
      <c r="X348" s="448">
        <v>627039.03</v>
      </c>
      <c r="Y348" s="448">
        <v>0</v>
      </c>
      <c r="Z348" s="449">
        <v>627039.03</v>
      </c>
      <c r="AA348" s="446"/>
    </row>
    <row r="349" spans="2:27" s="443" customFormat="1" ht="12" customHeight="1">
      <c r="B349" s="238">
        <v>45837</v>
      </c>
      <c r="C349" s="448"/>
      <c r="D349" s="448">
        <v>815883.83</v>
      </c>
      <c r="E349" s="448">
        <v>0</v>
      </c>
      <c r="F349" s="448">
        <v>815883.83</v>
      </c>
      <c r="G349" s="588"/>
      <c r="H349" s="448">
        <v>2002771.19</v>
      </c>
      <c r="I349" s="448">
        <v>0</v>
      </c>
      <c r="J349" s="449">
        <v>2002771.19</v>
      </c>
      <c r="K349" s="446"/>
      <c r="L349" s="448">
        <v>2363658.86</v>
      </c>
      <c r="M349" s="448">
        <v>0</v>
      </c>
      <c r="N349" s="449">
        <v>2363658.86</v>
      </c>
      <c r="O349" s="446"/>
      <c r="P349" s="448">
        <v>336681.41</v>
      </c>
      <c r="Q349" s="448">
        <v>0</v>
      </c>
      <c r="R349" s="449">
        <v>336681.41</v>
      </c>
      <c r="S349" s="446"/>
      <c r="T349" s="448">
        <v>233081.8</v>
      </c>
      <c r="U349" s="448">
        <v>0</v>
      </c>
      <c r="V349" s="449">
        <v>233081.8</v>
      </c>
      <c r="W349" s="446"/>
      <c r="X349" s="448">
        <v>627039.03</v>
      </c>
      <c r="Y349" s="448">
        <v>0</v>
      </c>
      <c r="Z349" s="449">
        <v>627039.03</v>
      </c>
      <c r="AA349" s="446"/>
    </row>
    <row r="350" spans="2:27" s="443" customFormat="1" ht="12" customHeight="1">
      <c r="B350" s="238">
        <v>45838</v>
      </c>
      <c r="C350" s="448"/>
      <c r="D350" s="448">
        <v>815883.83</v>
      </c>
      <c r="E350" s="448">
        <v>205674.74000066705</v>
      </c>
      <c r="F350" s="448">
        <v>1021558.57</v>
      </c>
      <c r="G350" s="588"/>
      <c r="H350" s="448">
        <v>2002771.19</v>
      </c>
      <c r="I350" s="448">
        <v>1599130.420000134</v>
      </c>
      <c r="J350" s="449">
        <v>3601901.61</v>
      </c>
      <c r="K350" s="446"/>
      <c r="L350" s="448">
        <v>2363658.86</v>
      </c>
      <c r="M350" s="448">
        <v>1001747.0900001815</v>
      </c>
      <c r="N350" s="449">
        <v>3365405.95</v>
      </c>
      <c r="O350" s="446"/>
      <c r="P350" s="448">
        <v>336681.41</v>
      </c>
      <c r="Q350" s="448">
        <v>449030.01999976113</v>
      </c>
      <c r="R350" s="449">
        <v>785711.43</v>
      </c>
      <c r="S350" s="446"/>
      <c r="T350" s="448">
        <v>233081.8</v>
      </c>
      <c r="U350" s="448">
        <v>375532.42999980971</v>
      </c>
      <c r="V350" s="449">
        <v>608614.23</v>
      </c>
      <c r="W350" s="446"/>
      <c r="X350" s="448">
        <v>627039.03</v>
      </c>
      <c r="Y350" s="448">
        <v>-244445.24000060931</v>
      </c>
      <c r="Z350" s="449">
        <v>382593.79</v>
      </c>
      <c r="AA350" s="446"/>
    </row>
    <row r="351" spans="2:27" s="443" customFormat="1" ht="12" customHeight="1">
      <c r="B351" s="238">
        <v>45839</v>
      </c>
      <c r="C351" s="448"/>
      <c r="D351" s="448">
        <v>1021558.57</v>
      </c>
      <c r="E351" s="448">
        <v>-128513.51999999024</v>
      </c>
      <c r="F351" s="448">
        <v>893045.05</v>
      </c>
      <c r="G351" s="588"/>
      <c r="H351" s="448">
        <v>3601901.61</v>
      </c>
      <c r="I351" s="448">
        <v>-2648825.6899996046</v>
      </c>
      <c r="J351" s="449">
        <v>953075.92</v>
      </c>
      <c r="K351" s="446"/>
      <c r="L351" s="448">
        <v>3365405.95</v>
      </c>
      <c r="M351" s="448">
        <v>664851.28999996185</v>
      </c>
      <c r="N351" s="449">
        <v>4030257.24</v>
      </c>
      <c r="O351" s="446"/>
      <c r="P351" s="448">
        <v>785711.43</v>
      </c>
      <c r="Q351" s="448">
        <v>171919.50999973342</v>
      </c>
      <c r="R351" s="449">
        <v>957630.94</v>
      </c>
      <c r="S351" s="446"/>
      <c r="T351" s="448">
        <v>608614.23</v>
      </c>
      <c r="U351" s="448">
        <v>-24316.110001754016</v>
      </c>
      <c r="V351" s="449">
        <v>584298.12</v>
      </c>
      <c r="W351" s="446"/>
      <c r="X351" s="448">
        <v>382593.79</v>
      </c>
      <c r="Y351" s="448">
        <v>0</v>
      </c>
      <c r="Z351" s="449">
        <v>382593.79</v>
      </c>
      <c r="AA351" s="446"/>
    </row>
    <row r="352" spans="2:27" s="443" customFormat="1" ht="12" customHeight="1">
      <c r="B352" s="238">
        <v>45840</v>
      </c>
      <c r="C352" s="448"/>
      <c r="D352" s="448">
        <v>893045.05</v>
      </c>
      <c r="E352" s="448">
        <v>-825311.19999999949</v>
      </c>
      <c r="F352" s="448">
        <v>67733.850000000006</v>
      </c>
      <c r="G352" s="588"/>
      <c r="H352" s="448">
        <v>953075.92</v>
      </c>
      <c r="I352" s="448">
        <v>294848.88999997079</v>
      </c>
      <c r="J352" s="449">
        <v>1247924.81</v>
      </c>
      <c r="K352" s="446"/>
      <c r="L352" s="448">
        <v>4030257.24</v>
      </c>
      <c r="M352" s="448">
        <v>805994.13999996148</v>
      </c>
      <c r="N352" s="449">
        <v>4836251.38</v>
      </c>
      <c r="O352" s="446"/>
      <c r="P352" s="448">
        <v>957630.94</v>
      </c>
      <c r="Q352" s="448">
        <v>-408152.54999998026</v>
      </c>
      <c r="R352" s="449">
        <v>549478.39</v>
      </c>
      <c r="S352" s="446"/>
      <c r="T352" s="448">
        <v>584298.12</v>
      </c>
      <c r="U352" s="448">
        <v>-171873.25000040233</v>
      </c>
      <c r="V352" s="449">
        <v>412424.87</v>
      </c>
      <c r="W352" s="446"/>
      <c r="X352" s="448">
        <v>382593.79</v>
      </c>
      <c r="Y352" s="448">
        <v>0</v>
      </c>
      <c r="Z352" s="449">
        <v>382593.79</v>
      </c>
      <c r="AA352" s="446"/>
    </row>
    <row r="353" spans="2:27" s="443" customFormat="1" ht="12" customHeight="1">
      <c r="B353" s="238">
        <v>45841</v>
      </c>
      <c r="C353" s="448"/>
      <c r="D353" s="448">
        <v>67733.850000000006</v>
      </c>
      <c r="E353" s="448">
        <v>372487.70000007562</v>
      </c>
      <c r="F353" s="448">
        <v>440221.55</v>
      </c>
      <c r="G353" s="588"/>
      <c r="H353" s="448">
        <v>1247924.81</v>
      </c>
      <c r="I353" s="448">
        <v>11720448.120000362</v>
      </c>
      <c r="J353" s="449">
        <v>12968371.960000001</v>
      </c>
      <c r="K353" s="446"/>
      <c r="L353" s="448">
        <v>4836251.38</v>
      </c>
      <c r="M353" s="448">
        <v>844605.20999990404</v>
      </c>
      <c r="N353" s="449">
        <v>5680856.5899999999</v>
      </c>
      <c r="O353" s="446"/>
      <c r="P353" s="448">
        <v>549478.39</v>
      </c>
      <c r="Q353" s="448">
        <v>99860.749999627471</v>
      </c>
      <c r="R353" s="449">
        <v>649338.98</v>
      </c>
      <c r="S353" s="446"/>
      <c r="T353" s="448">
        <v>412424.87</v>
      </c>
      <c r="U353" s="448">
        <v>1054784791.8000003</v>
      </c>
      <c r="V353" s="449">
        <v>1055197216.67</v>
      </c>
      <c r="W353" s="446"/>
      <c r="X353" s="448">
        <v>382593.79</v>
      </c>
      <c r="Y353" s="448">
        <v>0</v>
      </c>
      <c r="Z353" s="449">
        <v>382593.79</v>
      </c>
      <c r="AA353" s="446"/>
    </row>
    <row r="354" spans="2:27" s="443" customFormat="1" ht="12" customHeight="1">
      <c r="B354" s="238">
        <v>45842</v>
      </c>
      <c r="C354" s="448"/>
      <c r="D354" s="448">
        <v>440221.55</v>
      </c>
      <c r="E354" s="448">
        <v>-315944.07000017166</v>
      </c>
      <c r="F354" s="448">
        <v>124277.48</v>
      </c>
      <c r="G354" s="588"/>
      <c r="H354" s="448">
        <v>12968371.960000001</v>
      </c>
      <c r="I354" s="448">
        <v>-734007.29999995232</v>
      </c>
      <c r="J354" s="449">
        <v>12234364.66</v>
      </c>
      <c r="K354" s="446"/>
      <c r="L354" s="448">
        <v>5680856.5899999999</v>
      </c>
      <c r="M354" s="448">
        <v>189187.36999993306</v>
      </c>
      <c r="N354" s="449">
        <v>5870043.96</v>
      </c>
      <c r="O354" s="446"/>
      <c r="P354" s="448">
        <v>649338.98</v>
      </c>
      <c r="Q354" s="448">
        <v>-194258.3900000304</v>
      </c>
      <c r="R354" s="449">
        <v>455080.59</v>
      </c>
      <c r="S354" s="446"/>
      <c r="T354" s="448">
        <v>1055197216.67</v>
      </c>
      <c r="U354" s="448">
        <v>-1055175983.7499975</v>
      </c>
      <c r="V354" s="449">
        <v>21232.92</v>
      </c>
      <c r="W354" s="446"/>
      <c r="X354" s="448">
        <v>382593.79</v>
      </c>
      <c r="Y354" s="448">
        <v>0</v>
      </c>
      <c r="Z354" s="449">
        <v>382593.79</v>
      </c>
      <c r="AA354" s="446"/>
    </row>
    <row r="355" spans="2:27" s="443" customFormat="1" ht="12" customHeight="1">
      <c r="B355" s="238">
        <v>45843</v>
      </c>
      <c r="C355" s="448"/>
      <c r="D355" s="448">
        <v>124277.48</v>
      </c>
      <c r="E355" s="448">
        <v>0</v>
      </c>
      <c r="F355" s="448">
        <v>124277.48</v>
      </c>
      <c r="G355" s="588"/>
      <c r="H355" s="448">
        <v>12234364.66</v>
      </c>
      <c r="I355" s="448">
        <v>0</v>
      </c>
      <c r="J355" s="449">
        <v>12234364.66</v>
      </c>
      <c r="K355" s="446"/>
      <c r="L355" s="448">
        <v>5870043.96</v>
      </c>
      <c r="M355" s="448">
        <v>0</v>
      </c>
      <c r="N355" s="449">
        <v>5870043.96</v>
      </c>
      <c r="O355" s="446"/>
      <c r="P355" s="448">
        <v>455080.59</v>
      </c>
      <c r="Q355" s="448">
        <v>0</v>
      </c>
      <c r="R355" s="449">
        <v>455080.59</v>
      </c>
      <c r="S355" s="446"/>
      <c r="T355" s="448">
        <v>21232.92</v>
      </c>
      <c r="U355" s="448">
        <v>0</v>
      </c>
      <c r="V355" s="449">
        <v>21232.92</v>
      </c>
      <c r="W355" s="446"/>
      <c r="X355" s="448">
        <v>382593.79</v>
      </c>
      <c r="Y355" s="448">
        <v>0</v>
      </c>
      <c r="Z355" s="449">
        <v>382593.79</v>
      </c>
      <c r="AA355" s="446"/>
    </row>
    <row r="356" spans="2:27" s="443" customFormat="1" ht="12" customHeight="1">
      <c r="B356" s="238">
        <v>45844</v>
      </c>
      <c r="C356" s="448"/>
      <c r="D356" s="448">
        <v>124277.48</v>
      </c>
      <c r="E356" s="448">
        <v>0</v>
      </c>
      <c r="F356" s="448">
        <v>124277.48</v>
      </c>
      <c r="G356" s="588"/>
      <c r="H356" s="448">
        <v>12234364.66</v>
      </c>
      <c r="I356" s="448">
        <v>0</v>
      </c>
      <c r="J356" s="449">
        <v>12234364.66</v>
      </c>
      <c r="K356" s="446"/>
      <c r="L356" s="448">
        <v>5870043.96</v>
      </c>
      <c r="M356" s="448">
        <v>0</v>
      </c>
      <c r="N356" s="449">
        <v>5870043.96</v>
      </c>
      <c r="O356" s="446"/>
      <c r="P356" s="448">
        <v>455080.59</v>
      </c>
      <c r="Q356" s="448">
        <v>0</v>
      </c>
      <c r="R356" s="449">
        <v>455080.59</v>
      </c>
      <c r="S356" s="446"/>
      <c r="T356" s="448">
        <v>21232.92</v>
      </c>
      <c r="U356" s="448">
        <v>0</v>
      </c>
      <c r="V356" s="449">
        <v>21232.92</v>
      </c>
      <c r="W356" s="446"/>
      <c r="X356" s="448">
        <v>382593.79</v>
      </c>
      <c r="Y356" s="448">
        <v>0</v>
      </c>
      <c r="Z356" s="449">
        <v>382593.79</v>
      </c>
      <c r="AA356" s="446"/>
    </row>
    <row r="357" spans="2:27" s="443" customFormat="1" ht="12" customHeight="1">
      <c r="B357" s="238">
        <v>45845</v>
      </c>
      <c r="C357" s="448"/>
      <c r="D357" s="448">
        <v>124277.48</v>
      </c>
      <c r="E357" s="448">
        <v>0</v>
      </c>
      <c r="F357" s="448">
        <v>124277.48</v>
      </c>
      <c r="G357" s="588"/>
      <c r="H357" s="448">
        <v>12234364.66</v>
      </c>
      <c r="I357" s="448">
        <v>0</v>
      </c>
      <c r="J357" s="449">
        <v>12234364.66</v>
      </c>
      <c r="K357" s="446"/>
      <c r="L357" s="448">
        <v>5870043.96</v>
      </c>
      <c r="M357" s="448">
        <v>0</v>
      </c>
      <c r="N357" s="449">
        <v>5870043.96</v>
      </c>
      <c r="O357" s="446"/>
      <c r="P357" s="448">
        <v>455080.59</v>
      </c>
      <c r="Q357" s="448">
        <v>0</v>
      </c>
      <c r="R357" s="449">
        <v>455080.59</v>
      </c>
      <c r="S357" s="446"/>
      <c r="T357" s="448">
        <v>21232.92</v>
      </c>
      <c r="U357" s="448">
        <v>0</v>
      </c>
      <c r="V357" s="449">
        <v>21232.92</v>
      </c>
      <c r="W357" s="446"/>
      <c r="X357" s="448">
        <v>382593.79</v>
      </c>
      <c r="Y357" s="448">
        <v>0</v>
      </c>
      <c r="Z357" s="449">
        <v>382593.79</v>
      </c>
      <c r="AA357" s="446"/>
    </row>
    <row r="358" spans="2:27" s="443" customFormat="1" ht="12" customHeight="1">
      <c r="B358" s="238">
        <v>45846</v>
      </c>
      <c r="C358" s="448"/>
      <c r="D358" s="448">
        <v>124277.48</v>
      </c>
      <c r="E358" s="448">
        <v>1039704.9000007808</v>
      </c>
      <c r="F358" s="448">
        <v>1163982.3799999999</v>
      </c>
      <c r="G358" s="588"/>
      <c r="H358" s="448">
        <v>12234364.66</v>
      </c>
      <c r="I358" s="448">
        <v>603775.13000011444</v>
      </c>
      <c r="J358" s="449">
        <v>12838139.789999999</v>
      </c>
      <c r="K358" s="446"/>
      <c r="L358" s="448">
        <v>5870043.96</v>
      </c>
      <c r="M358" s="448">
        <v>289793.25999999046</v>
      </c>
      <c r="N358" s="449">
        <v>6159837.2199999997</v>
      </c>
      <c r="O358" s="446"/>
      <c r="P358" s="448">
        <v>455080.59</v>
      </c>
      <c r="Q358" s="448">
        <v>-234174.53000041097</v>
      </c>
      <c r="R358" s="449">
        <v>220906.06</v>
      </c>
      <c r="S358" s="446"/>
      <c r="T358" s="448">
        <v>21232.92</v>
      </c>
      <c r="U358" s="448">
        <v>624216.86999947578</v>
      </c>
      <c r="V358" s="449">
        <v>645449.79</v>
      </c>
      <c r="W358" s="446"/>
      <c r="X358" s="448">
        <v>382593.79</v>
      </c>
      <c r="Y358" s="448">
        <v>545996.13000068814</v>
      </c>
      <c r="Z358" s="449">
        <v>928589.92</v>
      </c>
      <c r="AA358" s="446"/>
    </row>
    <row r="359" spans="2:27" s="443" customFormat="1" ht="12" customHeight="1">
      <c r="B359" s="238">
        <v>45847</v>
      </c>
      <c r="C359" s="448"/>
      <c r="D359" s="448">
        <v>1163982.3799999999</v>
      </c>
      <c r="E359" s="448">
        <v>-601932.42999979109</v>
      </c>
      <c r="F359" s="448">
        <v>562049.94999999995</v>
      </c>
      <c r="G359" s="588"/>
      <c r="H359" s="448">
        <v>12838139.789999999</v>
      </c>
      <c r="I359" s="448">
        <v>-459073.92000007629</v>
      </c>
      <c r="J359" s="449">
        <v>12379065.869999999</v>
      </c>
      <c r="K359" s="446"/>
      <c r="L359" s="448">
        <v>6159837.2199999997</v>
      </c>
      <c r="M359" s="448">
        <v>79239.779999732971</v>
      </c>
      <c r="N359" s="449">
        <v>6239077</v>
      </c>
      <c r="O359" s="446"/>
      <c r="P359" s="448">
        <v>220906.06</v>
      </c>
      <c r="Q359" s="448">
        <v>458468.01999977045</v>
      </c>
      <c r="R359" s="449">
        <v>679374.08</v>
      </c>
      <c r="S359" s="446"/>
      <c r="T359" s="448">
        <v>645449.79</v>
      </c>
      <c r="U359" s="448">
        <v>-598470.14000043843</v>
      </c>
      <c r="V359" s="449">
        <v>46979.65</v>
      </c>
      <c r="W359" s="446"/>
      <c r="X359" s="448">
        <v>928589.92</v>
      </c>
      <c r="Y359" s="448">
        <v>0</v>
      </c>
      <c r="Z359" s="449">
        <v>928589.92</v>
      </c>
      <c r="AA359" s="446"/>
    </row>
    <row r="360" spans="2:27" s="443" customFormat="1" ht="12" customHeight="1">
      <c r="B360" s="238">
        <v>45848</v>
      </c>
      <c r="C360" s="448"/>
      <c r="D360" s="448">
        <v>562049.94999999995</v>
      </c>
      <c r="E360" s="448">
        <v>8405.2500000186265</v>
      </c>
      <c r="F360" s="448">
        <v>570455.19999999995</v>
      </c>
      <c r="G360" s="588"/>
      <c r="H360" s="448">
        <v>12379065.869999999</v>
      </c>
      <c r="I360" s="448">
        <v>669898.76999998093</v>
      </c>
      <c r="J360" s="449">
        <v>13048964.640000001</v>
      </c>
      <c r="K360" s="446"/>
      <c r="L360" s="448">
        <v>6239077</v>
      </c>
      <c r="M360" s="448">
        <v>-5604768.620000124</v>
      </c>
      <c r="N360" s="449">
        <v>634308.38</v>
      </c>
      <c r="O360" s="446"/>
      <c r="P360" s="448">
        <v>679374.08</v>
      </c>
      <c r="Q360" s="448">
        <v>1202080.6100001335</v>
      </c>
      <c r="R360" s="449">
        <v>1881454.69</v>
      </c>
      <c r="S360" s="446"/>
      <c r="T360" s="448">
        <v>46979.65</v>
      </c>
      <c r="U360" s="448">
        <v>728222.19999988377</v>
      </c>
      <c r="V360" s="449">
        <v>775201.85</v>
      </c>
      <c r="W360" s="446"/>
      <c r="X360" s="448">
        <v>928589.92</v>
      </c>
      <c r="Y360" s="448">
        <v>0</v>
      </c>
      <c r="Z360" s="449">
        <v>928589.92</v>
      </c>
      <c r="AA360" s="446"/>
    </row>
    <row r="361" spans="2:27" s="443" customFormat="1" ht="12" customHeight="1">
      <c r="B361" s="238">
        <v>45849</v>
      </c>
      <c r="C361" s="448"/>
      <c r="D361" s="448">
        <v>570455.19999999995</v>
      </c>
      <c r="E361" s="448">
        <v>-77952.610000133514</v>
      </c>
      <c r="F361" s="448">
        <v>492502.59</v>
      </c>
      <c r="G361" s="588"/>
      <c r="H361" s="448">
        <v>13048964.640000001</v>
      </c>
      <c r="I361" s="448">
        <v>-963407.15999984741</v>
      </c>
      <c r="J361" s="449">
        <v>12085557.48</v>
      </c>
      <c r="K361" s="446"/>
      <c r="L361" s="448">
        <v>634308.38</v>
      </c>
      <c r="M361" s="448">
        <v>596431.02000021935</v>
      </c>
      <c r="N361" s="449">
        <v>1230739.3999999999</v>
      </c>
      <c r="O361" s="446"/>
      <c r="P361" s="448">
        <v>1881454.69</v>
      </c>
      <c r="Q361" s="448">
        <v>-1168122.80999998</v>
      </c>
      <c r="R361" s="449">
        <v>713331.88</v>
      </c>
      <c r="S361" s="446"/>
      <c r="T361" s="448">
        <v>775201.85</v>
      </c>
      <c r="U361" s="448">
        <v>-429858.21000000089</v>
      </c>
      <c r="V361" s="449">
        <v>345343.64</v>
      </c>
      <c r="W361" s="446"/>
      <c r="X361" s="448">
        <v>928589.92</v>
      </c>
      <c r="Y361" s="448">
        <v>0</v>
      </c>
      <c r="Z361" s="449">
        <v>928589.92</v>
      </c>
      <c r="AA361" s="446"/>
    </row>
    <row r="362" spans="2:27" s="443" customFormat="1" ht="12" customHeight="1">
      <c r="B362" s="238">
        <v>45850</v>
      </c>
      <c r="C362" s="448"/>
      <c r="D362" s="448">
        <v>492502.59</v>
      </c>
      <c r="E362" s="448">
        <v>0</v>
      </c>
      <c r="F362" s="448">
        <v>492502.59</v>
      </c>
      <c r="G362" s="588"/>
      <c r="H362" s="448">
        <v>12085557.48</v>
      </c>
      <c r="I362" s="448">
        <v>0</v>
      </c>
      <c r="J362" s="449">
        <v>12085557.48</v>
      </c>
      <c r="K362" s="446"/>
      <c r="L362" s="448">
        <v>1230739.3999999999</v>
      </c>
      <c r="M362" s="448">
        <v>0</v>
      </c>
      <c r="N362" s="449">
        <v>1230739.3999999999</v>
      </c>
      <c r="O362" s="446"/>
      <c r="P362" s="448">
        <v>713331.88</v>
      </c>
      <c r="Q362" s="448">
        <v>0</v>
      </c>
      <c r="R362" s="449">
        <v>713331.88</v>
      </c>
      <c r="S362" s="446"/>
      <c r="T362" s="448">
        <v>345343.64</v>
      </c>
      <c r="U362" s="448">
        <v>0</v>
      </c>
      <c r="V362" s="449">
        <v>345343.64</v>
      </c>
      <c r="W362" s="446"/>
      <c r="X362" s="448">
        <v>928589.92</v>
      </c>
      <c r="Y362" s="448">
        <v>0</v>
      </c>
      <c r="Z362" s="449">
        <v>928589.92</v>
      </c>
      <c r="AA362" s="446"/>
    </row>
    <row r="363" spans="2:27" s="443" customFormat="1" ht="12" customHeight="1">
      <c r="B363" s="238">
        <v>45851</v>
      </c>
      <c r="C363" s="448"/>
      <c r="D363" s="448">
        <v>492502.59</v>
      </c>
      <c r="E363" s="448">
        <v>0</v>
      </c>
      <c r="F363" s="448">
        <v>492502.59</v>
      </c>
      <c r="G363" s="588"/>
      <c r="H363" s="448">
        <v>12085557.48</v>
      </c>
      <c r="I363" s="448">
        <v>0</v>
      </c>
      <c r="J363" s="449">
        <v>12085557.48</v>
      </c>
      <c r="K363" s="446"/>
      <c r="L363" s="448">
        <v>1230739.3999999999</v>
      </c>
      <c r="M363" s="448">
        <v>0</v>
      </c>
      <c r="N363" s="449">
        <v>1230739.3999999999</v>
      </c>
      <c r="O363" s="446"/>
      <c r="P363" s="448">
        <v>713331.88</v>
      </c>
      <c r="Q363" s="448">
        <v>0</v>
      </c>
      <c r="R363" s="449">
        <v>713331.88</v>
      </c>
      <c r="S363" s="446"/>
      <c r="T363" s="448">
        <v>345343.64</v>
      </c>
      <c r="U363" s="448">
        <v>0</v>
      </c>
      <c r="V363" s="449">
        <v>345343.64</v>
      </c>
      <c r="W363" s="446"/>
      <c r="X363" s="448">
        <v>928589.92</v>
      </c>
      <c r="Y363" s="448">
        <v>0</v>
      </c>
      <c r="Z363" s="449">
        <v>928589.92</v>
      </c>
      <c r="AA363" s="446"/>
    </row>
    <row r="364" spans="2:27" s="443" customFormat="1" ht="12" customHeight="1">
      <c r="B364" s="238">
        <v>45852</v>
      </c>
      <c r="C364" s="448"/>
      <c r="D364" s="448">
        <v>492502.59</v>
      </c>
      <c r="E364" s="448">
        <v>671118.4300000295</v>
      </c>
      <c r="F364" s="448">
        <v>1163621.02</v>
      </c>
      <c r="G364" s="588"/>
      <c r="H364" s="448">
        <v>12085557.48</v>
      </c>
      <c r="I364" s="448">
        <v>-120554.11000001431</v>
      </c>
      <c r="J364" s="449">
        <v>11965003.369999999</v>
      </c>
      <c r="K364" s="446"/>
      <c r="L364" s="448">
        <v>1230739.3999999999</v>
      </c>
      <c r="M364" s="448">
        <v>487833.55999999121</v>
      </c>
      <c r="N364" s="449">
        <v>1718572.96</v>
      </c>
      <c r="O364" s="446"/>
      <c r="P364" s="448">
        <v>713331.88</v>
      </c>
      <c r="Q364" s="448">
        <v>-438992.3900001049</v>
      </c>
      <c r="R364" s="449">
        <v>274339.49</v>
      </c>
      <c r="S364" s="446"/>
      <c r="T364" s="448">
        <v>345343.64</v>
      </c>
      <c r="U364" s="448">
        <v>-196334.67999959062</v>
      </c>
      <c r="V364" s="449">
        <v>149008.95999999999</v>
      </c>
      <c r="W364" s="446"/>
      <c r="X364" s="448">
        <v>928589.92</v>
      </c>
      <c r="Y364" s="448">
        <v>0</v>
      </c>
      <c r="Z364" s="449">
        <v>928589.92</v>
      </c>
      <c r="AA364" s="446"/>
    </row>
    <row r="365" spans="2:27" s="443" customFormat="1" ht="12" customHeight="1">
      <c r="B365" s="238">
        <v>45853</v>
      </c>
      <c r="C365" s="448"/>
      <c r="D365" s="448">
        <v>1163621.02</v>
      </c>
      <c r="E365" s="448">
        <v>-344390.99000111222</v>
      </c>
      <c r="F365" s="448">
        <v>819230.03</v>
      </c>
      <c r="G365" s="588"/>
      <c r="H365" s="448">
        <v>11965003.369999999</v>
      </c>
      <c r="I365" s="448">
        <v>825469.94000017643</v>
      </c>
      <c r="J365" s="449">
        <v>12790473.310000001</v>
      </c>
      <c r="K365" s="446"/>
      <c r="L365" s="448">
        <v>1718572.96</v>
      </c>
      <c r="M365" s="448">
        <v>828241.83000019193</v>
      </c>
      <c r="N365" s="449">
        <v>2546814.79</v>
      </c>
      <c r="O365" s="446"/>
      <c r="P365" s="448">
        <v>274339.49</v>
      </c>
      <c r="Q365" s="448">
        <v>605551.3499998562</v>
      </c>
      <c r="R365" s="449">
        <v>879890.84</v>
      </c>
      <c r="S365" s="446"/>
      <c r="T365" s="448">
        <v>149008.95999999999</v>
      </c>
      <c r="U365" s="448">
        <v>446440.79999999702</v>
      </c>
      <c r="V365" s="449">
        <v>595449.76</v>
      </c>
      <c r="W365" s="446"/>
      <c r="X365" s="448">
        <v>928589.92</v>
      </c>
      <c r="Y365" s="448">
        <v>2183979.5200002789</v>
      </c>
      <c r="Z365" s="449">
        <v>3112569.44</v>
      </c>
      <c r="AA365" s="446"/>
    </row>
    <row r="366" spans="2:27" s="443" customFormat="1" ht="12" customHeight="1">
      <c r="B366" s="238">
        <v>45854</v>
      </c>
      <c r="C366" s="448"/>
      <c r="D366" s="448">
        <v>819230.03</v>
      </c>
      <c r="E366" s="448">
        <v>-410843.22999991849</v>
      </c>
      <c r="F366" s="448">
        <v>408386.8</v>
      </c>
      <c r="G366" s="588"/>
      <c r="H366" s="448">
        <v>12790473.310000001</v>
      </c>
      <c r="I366" s="448">
        <v>-9658888.5699999519</v>
      </c>
      <c r="J366" s="449">
        <v>3131584.74</v>
      </c>
      <c r="K366" s="446"/>
      <c r="L366" s="448">
        <v>2546814.79</v>
      </c>
      <c r="M366" s="448">
        <v>158832.23999989778</v>
      </c>
      <c r="N366" s="449">
        <v>2705647.03</v>
      </c>
      <c r="O366" s="446"/>
      <c r="P366" s="448">
        <v>879890.84</v>
      </c>
      <c r="Q366" s="448">
        <v>-690442.02000011504</v>
      </c>
      <c r="R366" s="449">
        <v>189448.82</v>
      </c>
      <c r="S366" s="446"/>
      <c r="T366" s="448">
        <v>595449.76</v>
      </c>
      <c r="U366" s="448">
        <v>-445318.38999996276</v>
      </c>
      <c r="V366" s="449">
        <v>150131.37</v>
      </c>
      <c r="W366" s="446"/>
      <c r="X366" s="448">
        <v>3112569.44</v>
      </c>
      <c r="Y366" s="448">
        <v>-2782812.1400000071</v>
      </c>
      <c r="Z366" s="449">
        <v>329757.3</v>
      </c>
      <c r="AA366" s="446"/>
    </row>
    <row r="367" spans="2:27" s="443" customFormat="1" ht="12" customHeight="1">
      <c r="B367" s="238">
        <v>45855</v>
      </c>
      <c r="C367" s="448"/>
      <c r="D367" s="448">
        <v>408386.8</v>
      </c>
      <c r="E367" s="448">
        <v>-199429.30999981798</v>
      </c>
      <c r="F367" s="448">
        <v>208957.49</v>
      </c>
      <c r="G367" s="588"/>
      <c r="H367" s="448">
        <v>3131584.74</v>
      </c>
      <c r="I367" s="448">
        <v>0</v>
      </c>
      <c r="J367" s="449">
        <v>3131584.74</v>
      </c>
      <c r="K367" s="446"/>
      <c r="L367" s="448">
        <v>2705647.03</v>
      </c>
      <c r="M367" s="448">
        <v>590729.89999995381</v>
      </c>
      <c r="N367" s="449">
        <v>3296376.93</v>
      </c>
      <c r="O367" s="446"/>
      <c r="P367" s="448">
        <v>189448.82</v>
      </c>
      <c r="Q367" s="448">
        <v>762262.32000013441</v>
      </c>
      <c r="R367" s="449">
        <v>951711.14</v>
      </c>
      <c r="S367" s="446"/>
      <c r="T367" s="448">
        <v>150131.37</v>
      </c>
      <c r="U367" s="448">
        <v>278246.64000015333</v>
      </c>
      <c r="V367" s="449">
        <v>428378.01</v>
      </c>
      <c r="W367" s="446"/>
      <c r="X367" s="448">
        <v>329757.3</v>
      </c>
      <c r="Y367" s="448">
        <v>3634657.0099999756</v>
      </c>
      <c r="Z367" s="449">
        <v>3964414.31</v>
      </c>
      <c r="AA367" s="446"/>
    </row>
    <row r="368" spans="2:27" s="443" customFormat="1" ht="12" customHeight="1">
      <c r="B368" s="238">
        <v>45856</v>
      </c>
      <c r="C368" s="448"/>
      <c r="D368" s="448">
        <v>208957.49</v>
      </c>
      <c r="E368" s="448">
        <v>628886.19000011496</v>
      </c>
      <c r="F368" s="448">
        <v>837843.68</v>
      </c>
      <c r="G368" s="588"/>
      <c r="H368" s="448">
        <v>3131584.74</v>
      </c>
      <c r="I368" s="448">
        <v>0</v>
      </c>
      <c r="J368" s="449">
        <v>3131584.74</v>
      </c>
      <c r="K368" s="446"/>
      <c r="L368" s="448">
        <v>3296376.93</v>
      </c>
      <c r="M368" s="448">
        <v>899966.1799999997</v>
      </c>
      <c r="N368" s="449">
        <v>4196343.1100000003</v>
      </c>
      <c r="O368" s="446"/>
      <c r="P368" s="448">
        <v>951711.14</v>
      </c>
      <c r="Q368" s="448">
        <v>64752.150000028312</v>
      </c>
      <c r="R368" s="449">
        <v>1016463.29</v>
      </c>
      <c r="S368" s="446"/>
      <c r="T368" s="448">
        <v>428378.01</v>
      </c>
      <c r="U368" s="448">
        <v>-118950.84999930859</v>
      </c>
      <c r="V368" s="449">
        <v>309427.15999999997</v>
      </c>
      <c r="W368" s="446"/>
      <c r="X368" s="448">
        <v>3964414.31</v>
      </c>
      <c r="Y368" s="448">
        <v>-2960304.9299999932</v>
      </c>
      <c r="Z368" s="449">
        <v>1004109.38</v>
      </c>
      <c r="AA368" s="446"/>
    </row>
    <row r="369" spans="2:27" s="443" customFormat="1" ht="12" customHeight="1">
      <c r="B369" s="238">
        <v>45857</v>
      </c>
      <c r="C369" s="448"/>
      <c r="D369" s="448">
        <v>837843.68</v>
      </c>
      <c r="E369" s="448">
        <v>0</v>
      </c>
      <c r="F369" s="448">
        <v>837843.68</v>
      </c>
      <c r="G369" s="588"/>
      <c r="H369" s="448">
        <v>3131584.74</v>
      </c>
      <c r="I369" s="448">
        <v>0</v>
      </c>
      <c r="J369" s="449">
        <v>3131584.74</v>
      </c>
      <c r="K369" s="446"/>
      <c r="L369" s="448">
        <v>4196343.1100000003</v>
      </c>
      <c r="M369" s="448">
        <v>0</v>
      </c>
      <c r="N369" s="449">
        <v>4196343.1100000003</v>
      </c>
      <c r="O369" s="446"/>
      <c r="P369" s="448">
        <v>1016463.29</v>
      </c>
      <c r="Q369" s="448">
        <v>0</v>
      </c>
      <c r="R369" s="449">
        <v>1016463.29</v>
      </c>
      <c r="S369" s="446"/>
      <c r="T369" s="448">
        <v>309427.15999999997</v>
      </c>
      <c r="U369" s="448">
        <v>0</v>
      </c>
      <c r="V369" s="449">
        <v>309427.15999999997</v>
      </c>
      <c r="W369" s="446"/>
      <c r="X369" s="448">
        <v>1004109.38</v>
      </c>
      <c r="Y369" s="448">
        <v>0</v>
      </c>
      <c r="Z369" s="449">
        <v>1004109.38</v>
      </c>
      <c r="AA369" s="446"/>
    </row>
    <row r="370" spans="2:27" s="443" customFormat="1" ht="12" customHeight="1">
      <c r="B370" s="238">
        <v>45858</v>
      </c>
      <c r="C370" s="448"/>
      <c r="D370" s="448">
        <v>837843.68</v>
      </c>
      <c r="E370" s="448">
        <v>0</v>
      </c>
      <c r="F370" s="448">
        <v>837843.68</v>
      </c>
      <c r="G370" s="588"/>
      <c r="H370" s="448">
        <v>3131584.74</v>
      </c>
      <c r="I370" s="448">
        <v>0</v>
      </c>
      <c r="J370" s="449">
        <v>3131584.74</v>
      </c>
      <c r="K370" s="446"/>
      <c r="L370" s="448">
        <v>4196343.1100000003</v>
      </c>
      <c r="M370" s="448">
        <v>0</v>
      </c>
      <c r="N370" s="449">
        <v>4196343.1100000003</v>
      </c>
      <c r="O370" s="446"/>
      <c r="P370" s="448">
        <v>1016463.29</v>
      </c>
      <c r="Q370" s="448">
        <v>0</v>
      </c>
      <c r="R370" s="449">
        <v>1016463.29</v>
      </c>
      <c r="S370" s="446"/>
      <c r="T370" s="448">
        <v>309427.15999999997</v>
      </c>
      <c r="U370" s="448">
        <v>0</v>
      </c>
      <c r="V370" s="449">
        <v>309427.15999999997</v>
      </c>
      <c r="W370" s="446"/>
      <c r="X370" s="448">
        <v>1004109.38</v>
      </c>
      <c r="Y370" s="448">
        <v>0</v>
      </c>
      <c r="Z370" s="449">
        <v>1004109.38</v>
      </c>
      <c r="AA370" s="446"/>
    </row>
    <row r="371" spans="2:27" s="443" customFormat="1" ht="12" customHeight="1">
      <c r="B371" s="238">
        <v>45859</v>
      </c>
      <c r="C371" s="448"/>
      <c r="D371" s="448">
        <v>837843.68</v>
      </c>
      <c r="E371" s="448">
        <v>-554731.23000025749</v>
      </c>
      <c r="F371" s="448">
        <v>283112.45</v>
      </c>
      <c r="G371" s="588"/>
      <c r="H371" s="448">
        <v>3131584.74</v>
      </c>
      <c r="I371" s="448">
        <v>507004.25999999046</v>
      </c>
      <c r="J371" s="449">
        <v>3638589</v>
      </c>
      <c r="K371" s="446"/>
      <c r="L371" s="448">
        <v>4196343.1100000003</v>
      </c>
      <c r="M371" s="448">
        <v>-2619523.7700001895</v>
      </c>
      <c r="N371" s="449">
        <v>1576819.34</v>
      </c>
      <c r="O371" s="446"/>
      <c r="P371" s="448">
        <v>1016463.29</v>
      </c>
      <c r="Q371" s="448">
        <v>31649.440000008792</v>
      </c>
      <c r="R371" s="449">
        <v>1048112.73</v>
      </c>
      <c r="S371" s="446"/>
      <c r="T371" s="448">
        <v>309427.15999999997</v>
      </c>
      <c r="U371" s="448">
        <v>351785.69999995828</v>
      </c>
      <c r="V371" s="449">
        <v>661212.86</v>
      </c>
      <c r="W371" s="446"/>
      <c r="X371" s="448">
        <v>1004109.38</v>
      </c>
      <c r="Y371" s="448">
        <v>134624.44000001252</v>
      </c>
      <c r="Z371" s="449">
        <v>1138733.82</v>
      </c>
      <c r="AA371" s="446"/>
    </row>
    <row r="372" spans="2:27" s="443" customFormat="1" ht="12" customHeight="1">
      <c r="B372" s="238">
        <v>45860</v>
      </c>
      <c r="C372" s="448"/>
      <c r="D372" s="448">
        <v>283112.45</v>
      </c>
      <c r="E372" s="448">
        <v>315293.39999946579</v>
      </c>
      <c r="F372" s="448">
        <v>598405.85</v>
      </c>
      <c r="G372" s="588"/>
      <c r="H372" s="448">
        <v>3638589</v>
      </c>
      <c r="I372" s="448">
        <v>1108174.7999999821</v>
      </c>
      <c r="J372" s="449">
        <v>4746763.8</v>
      </c>
      <c r="K372" s="446"/>
      <c r="L372" s="448">
        <v>1576819.34</v>
      </c>
      <c r="M372" s="448">
        <v>1566005.189999938</v>
      </c>
      <c r="N372" s="449">
        <v>3142824.53</v>
      </c>
      <c r="O372" s="446"/>
      <c r="P372" s="448">
        <v>1048112.73</v>
      </c>
      <c r="Q372" s="448">
        <v>-220531.5199999325</v>
      </c>
      <c r="R372" s="449">
        <v>827581.21</v>
      </c>
      <c r="S372" s="446"/>
      <c r="T372" s="448">
        <v>661212.86</v>
      </c>
      <c r="U372" s="448">
        <v>-324166.68999986723</v>
      </c>
      <c r="V372" s="449">
        <v>337046.17</v>
      </c>
      <c r="W372" s="446"/>
      <c r="X372" s="448">
        <v>1138733.82</v>
      </c>
      <c r="Y372" s="448">
        <v>-575645.31000030413</v>
      </c>
      <c r="Z372" s="449">
        <v>563088.51</v>
      </c>
      <c r="AA372" s="446"/>
    </row>
    <row r="373" spans="2:27" s="443" customFormat="1" ht="12" customHeight="1">
      <c r="B373" s="238">
        <v>45861</v>
      </c>
      <c r="C373" s="448"/>
      <c r="D373" s="448">
        <v>598405.85</v>
      </c>
      <c r="E373" s="448">
        <v>341563.98000030592</v>
      </c>
      <c r="F373" s="448">
        <v>939969.83</v>
      </c>
      <c r="G373" s="588"/>
      <c r="H373" s="448">
        <v>4746763.8</v>
      </c>
      <c r="I373" s="448">
        <v>11545569.199999839</v>
      </c>
      <c r="J373" s="449">
        <v>16292333</v>
      </c>
      <c r="K373" s="446"/>
      <c r="L373" s="448">
        <v>3142824.53</v>
      </c>
      <c r="M373" s="448">
        <v>1638451.5000002086</v>
      </c>
      <c r="N373" s="449">
        <v>4781276.03</v>
      </c>
      <c r="O373" s="446"/>
      <c r="P373" s="448">
        <v>827581.21</v>
      </c>
      <c r="Q373" s="448">
        <v>-660219.13999999128</v>
      </c>
      <c r="R373" s="449">
        <v>167362.07</v>
      </c>
      <c r="S373" s="446"/>
      <c r="T373" s="448">
        <v>337046.17</v>
      </c>
      <c r="U373" s="448">
        <v>-97700.490000057966</v>
      </c>
      <c r="V373" s="449">
        <v>239345.68</v>
      </c>
      <c r="W373" s="446"/>
      <c r="X373" s="448">
        <v>563088.51</v>
      </c>
      <c r="Y373" s="448">
        <v>0</v>
      </c>
      <c r="Z373" s="449">
        <v>563088.51</v>
      </c>
      <c r="AA373" s="446"/>
    </row>
    <row r="374" spans="2:27" s="443" customFormat="1" ht="12" customHeight="1">
      <c r="B374" s="238">
        <v>45862</v>
      </c>
      <c r="C374" s="448"/>
      <c r="D374" s="448">
        <v>939969.83</v>
      </c>
      <c r="E374" s="448">
        <v>-104308.57000009529</v>
      </c>
      <c r="F374" s="448">
        <v>835661.26</v>
      </c>
      <c r="G374" s="588"/>
      <c r="H374" s="448">
        <v>16292333</v>
      </c>
      <c r="I374" s="448">
        <v>-3495949.4200000763</v>
      </c>
      <c r="J374" s="449">
        <v>12796383.58</v>
      </c>
      <c r="K374" s="446"/>
      <c r="L374" s="448">
        <v>4781276.03</v>
      </c>
      <c r="M374" s="448">
        <v>2054622.6799998879</v>
      </c>
      <c r="N374" s="449">
        <v>6835898.71</v>
      </c>
      <c r="O374" s="446"/>
      <c r="P374" s="448">
        <v>167362.07</v>
      </c>
      <c r="Q374" s="448">
        <v>444984.19999990426</v>
      </c>
      <c r="R374" s="449">
        <v>612346.27</v>
      </c>
      <c r="S374" s="446"/>
      <c r="T374" s="448">
        <v>239345.68</v>
      </c>
      <c r="U374" s="448">
        <v>153698.4600000754</v>
      </c>
      <c r="V374" s="449">
        <v>393044.14</v>
      </c>
      <c r="W374" s="446"/>
      <c r="X374" s="448">
        <v>563088.51</v>
      </c>
      <c r="Y374" s="448">
        <v>0</v>
      </c>
      <c r="Z374" s="449">
        <v>563088.51</v>
      </c>
      <c r="AA374" s="446"/>
    </row>
    <row r="375" spans="2:27" s="443" customFormat="1" ht="12" customHeight="1">
      <c r="B375" s="238">
        <v>45863</v>
      </c>
      <c r="C375" s="448"/>
      <c r="D375" s="448">
        <v>835661.26</v>
      </c>
      <c r="E375" s="448">
        <v>978183.09000011533</v>
      </c>
      <c r="F375" s="448">
        <v>1813844.35</v>
      </c>
      <c r="G375" s="588"/>
      <c r="H375" s="448">
        <v>12796383.58</v>
      </c>
      <c r="I375" s="448">
        <v>384748067.16000003</v>
      </c>
      <c r="J375" s="449">
        <v>397544450.74000001</v>
      </c>
      <c r="K375" s="446"/>
      <c r="L375" s="448">
        <v>6835898.71</v>
      </c>
      <c r="M375" s="448">
        <v>-4747265.8199999034</v>
      </c>
      <c r="N375" s="449">
        <v>2088632.89</v>
      </c>
      <c r="O375" s="446"/>
      <c r="P375" s="448">
        <v>612346.27</v>
      </c>
      <c r="Q375" s="448">
        <v>494840.82999998331</v>
      </c>
      <c r="R375" s="449">
        <v>1107187.1000000001</v>
      </c>
      <c r="S375" s="446"/>
      <c r="T375" s="448">
        <v>393044.14</v>
      </c>
      <c r="U375" s="448">
        <v>315014.93999982998</v>
      </c>
      <c r="V375" s="449">
        <v>708059.08</v>
      </c>
      <c r="W375" s="446"/>
      <c r="X375" s="448">
        <v>563088.51</v>
      </c>
      <c r="Y375" s="448">
        <v>0</v>
      </c>
      <c r="Z375" s="449">
        <v>563088.51</v>
      </c>
      <c r="AA375" s="446"/>
    </row>
    <row r="376" spans="2:27" s="443" customFormat="1" ht="12" customHeight="1">
      <c r="B376" s="238">
        <v>45864</v>
      </c>
      <c r="C376" s="448"/>
      <c r="D376" s="448">
        <v>1813844.35</v>
      </c>
      <c r="E376" s="448">
        <v>0</v>
      </c>
      <c r="F376" s="448">
        <v>1813844.35</v>
      </c>
      <c r="G376" s="588"/>
      <c r="H376" s="448">
        <v>397544450.74000001</v>
      </c>
      <c r="I376" s="448">
        <v>0</v>
      </c>
      <c r="J376" s="449">
        <v>397544450.74000001</v>
      </c>
      <c r="K376" s="446"/>
      <c r="L376" s="448">
        <v>2088632.89</v>
      </c>
      <c r="M376" s="448">
        <v>0</v>
      </c>
      <c r="N376" s="449">
        <v>2088632.89</v>
      </c>
      <c r="O376" s="446"/>
      <c r="P376" s="448">
        <v>1107187.1000000001</v>
      </c>
      <c r="Q376" s="448">
        <v>0</v>
      </c>
      <c r="R376" s="449">
        <v>1107187.1000000001</v>
      </c>
      <c r="S376" s="446"/>
      <c r="T376" s="448">
        <v>708059.08</v>
      </c>
      <c r="U376" s="448">
        <v>0</v>
      </c>
      <c r="V376" s="449">
        <v>708059.08</v>
      </c>
      <c r="W376" s="446"/>
      <c r="X376" s="448">
        <v>563088.51</v>
      </c>
      <c r="Y376" s="448">
        <v>0</v>
      </c>
      <c r="Z376" s="449">
        <v>563088.51</v>
      </c>
      <c r="AA376" s="446"/>
    </row>
    <row r="377" spans="2:27" s="443" customFormat="1" ht="12" customHeight="1">
      <c r="B377" s="238">
        <v>45865</v>
      </c>
      <c r="C377" s="448"/>
      <c r="D377" s="448">
        <v>1813844.35</v>
      </c>
      <c r="E377" s="448">
        <v>0</v>
      </c>
      <c r="F377" s="448">
        <v>1813844.35</v>
      </c>
      <c r="G377" s="588"/>
      <c r="H377" s="448">
        <v>397544450.74000001</v>
      </c>
      <c r="I377" s="448">
        <v>0</v>
      </c>
      <c r="J377" s="449">
        <v>397544450.74000001</v>
      </c>
      <c r="K377" s="446"/>
      <c r="L377" s="448">
        <v>2088632.89</v>
      </c>
      <c r="M377" s="448">
        <v>0</v>
      </c>
      <c r="N377" s="449">
        <v>2088632.89</v>
      </c>
      <c r="O377" s="446"/>
      <c r="P377" s="448">
        <v>1107187.1000000001</v>
      </c>
      <c r="Q377" s="448">
        <v>0</v>
      </c>
      <c r="R377" s="449">
        <v>1107187.1000000001</v>
      </c>
      <c r="S377" s="446"/>
      <c r="T377" s="448">
        <v>708059.08</v>
      </c>
      <c r="U377" s="448">
        <v>0</v>
      </c>
      <c r="V377" s="449">
        <v>708059.08</v>
      </c>
      <c r="W377" s="446"/>
      <c r="X377" s="448">
        <v>563088.51</v>
      </c>
      <c r="Y377" s="448">
        <v>0</v>
      </c>
      <c r="Z377" s="449">
        <v>563088.51</v>
      </c>
      <c r="AA377" s="446"/>
    </row>
    <row r="378" spans="2:27" s="443" customFormat="1" ht="12" customHeight="1">
      <c r="B378" s="238">
        <v>45866</v>
      </c>
      <c r="C378" s="448"/>
      <c r="D378" s="448">
        <v>1813844.35</v>
      </c>
      <c r="E378" s="448">
        <v>-970959.77999997139</v>
      </c>
      <c r="F378" s="448">
        <v>842884.57</v>
      </c>
      <c r="G378" s="588"/>
      <c r="H378" s="448">
        <v>397544450.74000001</v>
      </c>
      <c r="I378" s="448">
        <v>-388384253.63</v>
      </c>
      <c r="J378" s="449">
        <v>9160197.1099999994</v>
      </c>
      <c r="K378" s="446"/>
      <c r="L378" s="448">
        <v>2088632.89</v>
      </c>
      <c r="M378" s="448">
        <v>329301.58000010252</v>
      </c>
      <c r="N378" s="449">
        <v>2417934.4700000002</v>
      </c>
      <c r="O378" s="446"/>
      <c r="P378" s="448">
        <v>1107187.1000000001</v>
      </c>
      <c r="Q378" s="448">
        <v>-366203.9399998486</v>
      </c>
      <c r="R378" s="449">
        <v>740983.16</v>
      </c>
      <c r="S378" s="446"/>
      <c r="T378" s="448">
        <v>708059.08</v>
      </c>
      <c r="U378" s="448">
        <v>53704.339999973774</v>
      </c>
      <c r="V378" s="449">
        <v>761763.42</v>
      </c>
      <c r="W378" s="446"/>
      <c r="X378" s="448">
        <v>563088.51</v>
      </c>
      <c r="Y378" s="448">
        <v>1756935.3899999559</v>
      </c>
      <c r="Z378" s="449">
        <v>2320023.9</v>
      </c>
      <c r="AA378" s="446"/>
    </row>
    <row r="379" spans="2:27" s="443" customFormat="1" ht="12" customHeight="1">
      <c r="B379" s="238">
        <v>45867</v>
      </c>
      <c r="C379" s="448"/>
      <c r="D379" s="448">
        <v>842884.57</v>
      </c>
      <c r="E379" s="448">
        <v>24445.470000572503</v>
      </c>
      <c r="F379" s="448">
        <v>867330.04</v>
      </c>
      <c r="G379" s="588"/>
      <c r="H379" s="448">
        <v>9160197.1099999994</v>
      </c>
      <c r="I379" s="448">
        <v>555368.38999986649</v>
      </c>
      <c r="J379" s="449">
        <v>9715565.5</v>
      </c>
      <c r="K379" s="446"/>
      <c r="L379" s="448">
        <v>2417934.4700000002</v>
      </c>
      <c r="M379" s="448">
        <v>66946.350000291131</v>
      </c>
      <c r="N379" s="449">
        <v>2484880.8199999998</v>
      </c>
      <c r="O379" s="446"/>
      <c r="P379" s="448">
        <v>740983.16</v>
      </c>
      <c r="Q379" s="448">
        <v>-593155.09000047669</v>
      </c>
      <c r="R379" s="449">
        <v>147828.07</v>
      </c>
      <c r="S379" s="446"/>
      <c r="T379" s="448">
        <v>761763.42</v>
      </c>
      <c r="U379" s="448">
        <v>223540.79999965802</v>
      </c>
      <c r="V379" s="449">
        <v>985304.22</v>
      </c>
      <c r="W379" s="446"/>
      <c r="X379" s="448">
        <v>2320023.9</v>
      </c>
      <c r="Y379" s="448">
        <v>-1927571.5199997723</v>
      </c>
      <c r="Z379" s="449">
        <v>392452.38</v>
      </c>
      <c r="AA379" s="446"/>
    </row>
    <row r="380" spans="2:27" s="443" customFormat="1" ht="12" customHeight="1">
      <c r="B380" s="238">
        <v>45868</v>
      </c>
      <c r="C380" s="448"/>
      <c r="D380" s="448">
        <v>867330.04</v>
      </c>
      <c r="E380" s="448">
        <v>533674.23000024632</v>
      </c>
      <c r="F380" s="448">
        <v>1401004.27</v>
      </c>
      <c r="G380" s="588"/>
      <c r="H380" s="448">
        <v>9715565.5</v>
      </c>
      <c r="I380" s="448">
        <v>523226.09000015259</v>
      </c>
      <c r="J380" s="449">
        <v>10238791.59</v>
      </c>
      <c r="K380" s="446"/>
      <c r="L380" s="448">
        <v>2484880.8199999998</v>
      </c>
      <c r="M380" s="448">
        <v>626643.20999973267</v>
      </c>
      <c r="N380" s="449">
        <v>3111524.03</v>
      </c>
      <c r="O380" s="446"/>
      <c r="P380" s="448">
        <v>147828.07</v>
      </c>
      <c r="Q380" s="448">
        <v>236166.64999996126</v>
      </c>
      <c r="R380" s="449">
        <v>383994.72</v>
      </c>
      <c r="S380" s="446"/>
      <c r="T380" s="448">
        <v>985304.22</v>
      </c>
      <c r="U380" s="448">
        <v>-316973.37999971211</v>
      </c>
      <c r="V380" s="449">
        <v>668330.84</v>
      </c>
      <c r="W380" s="446"/>
      <c r="X380" s="448">
        <v>392452.38</v>
      </c>
      <c r="Y380" s="448">
        <v>738360.17000047863</v>
      </c>
      <c r="Z380" s="449">
        <v>1130812.55</v>
      </c>
      <c r="AA380" s="446"/>
    </row>
    <row r="381" spans="2:27" s="443" customFormat="1" ht="12" customHeight="1">
      <c r="B381" s="238">
        <v>45869</v>
      </c>
      <c r="C381" s="448"/>
      <c r="D381" s="448">
        <v>1401004.27</v>
      </c>
      <c r="E381" s="448">
        <v>-1099995.2199999429</v>
      </c>
      <c r="F381" s="448">
        <v>301009.05</v>
      </c>
      <c r="G381" s="588"/>
      <c r="H381" s="448">
        <v>10238791.59</v>
      </c>
      <c r="I381" s="448">
        <v>-7132945.4899996743</v>
      </c>
      <c r="J381" s="449">
        <v>3105846.1</v>
      </c>
      <c r="K381" s="446"/>
      <c r="L381" s="448">
        <v>3111524.03</v>
      </c>
      <c r="M381" s="448">
        <v>424260.54999991413</v>
      </c>
      <c r="N381" s="449">
        <v>3535784.58</v>
      </c>
      <c r="O381" s="446"/>
      <c r="P381" s="448">
        <v>383994.72</v>
      </c>
      <c r="Q381" s="448">
        <v>-178067.51999989524</v>
      </c>
      <c r="R381" s="449">
        <v>205927.2</v>
      </c>
      <c r="S381" s="446"/>
      <c r="T381" s="448">
        <v>668330.84</v>
      </c>
      <c r="U381" s="448">
        <v>53826.520000189543</v>
      </c>
      <c r="V381" s="449">
        <v>722157.36</v>
      </c>
      <c r="W381" s="446"/>
      <c r="X381" s="448">
        <v>1130812.55</v>
      </c>
      <c r="Y381" s="448">
        <v>0</v>
      </c>
      <c r="Z381" s="449">
        <v>1130812.55</v>
      </c>
      <c r="AA381" s="446"/>
    </row>
    <row r="382" spans="2:27" s="443" customFormat="1" ht="12" customHeight="1">
      <c r="B382" s="238">
        <v>45870</v>
      </c>
      <c r="C382" s="448"/>
      <c r="D382" s="448">
        <v>301009.05</v>
      </c>
      <c r="E382" s="448">
        <v>568723.71999995224</v>
      </c>
      <c r="F382" s="448">
        <v>869732.77</v>
      </c>
      <c r="G382" s="588"/>
      <c r="H382" s="448">
        <v>3105846.1</v>
      </c>
      <c r="I382" s="448">
        <v>-1029174.6300013028</v>
      </c>
      <c r="J382" s="449">
        <v>2076671.47</v>
      </c>
      <c r="K382" s="446"/>
      <c r="L382" s="448">
        <v>3535784.58</v>
      </c>
      <c r="M382" s="448">
        <v>664934.62999987602</v>
      </c>
      <c r="N382" s="449">
        <v>4200719.21</v>
      </c>
      <c r="O382" s="446"/>
      <c r="P382" s="448">
        <v>205927.2</v>
      </c>
      <c r="Q382" s="448">
        <v>272666.98999978974</v>
      </c>
      <c r="R382" s="449">
        <v>478594.19</v>
      </c>
      <c r="S382" s="446"/>
      <c r="T382" s="448">
        <v>722157.36</v>
      </c>
      <c r="U382" s="448">
        <v>-31205.199999656528</v>
      </c>
      <c r="V382" s="449">
        <v>690952.16</v>
      </c>
      <c r="W382" s="446"/>
      <c r="X382" s="448">
        <v>1130812.55</v>
      </c>
      <c r="Y382" s="448">
        <v>0</v>
      </c>
      <c r="Z382" s="449">
        <v>1130812.55</v>
      </c>
      <c r="AA382" s="446"/>
    </row>
    <row r="383" spans="2:27" s="443" customFormat="1" ht="12" customHeight="1">
      <c r="B383" s="238">
        <v>45871</v>
      </c>
      <c r="C383" s="448"/>
      <c r="D383" s="448">
        <v>869732.77</v>
      </c>
      <c r="E383" s="448">
        <v>0</v>
      </c>
      <c r="F383" s="448">
        <v>869732.77</v>
      </c>
      <c r="G383" s="588"/>
      <c r="H383" s="448">
        <v>2076671.47</v>
      </c>
      <c r="I383" s="448">
        <v>0</v>
      </c>
      <c r="J383" s="449">
        <v>2076671.47</v>
      </c>
      <c r="K383" s="446"/>
      <c r="L383" s="448">
        <v>4200719.21</v>
      </c>
      <c r="M383" s="448">
        <v>0</v>
      </c>
      <c r="N383" s="449">
        <v>4200719.21</v>
      </c>
      <c r="O383" s="446"/>
      <c r="P383" s="448">
        <v>478594.19</v>
      </c>
      <c r="Q383" s="448">
        <v>0</v>
      </c>
      <c r="R383" s="449">
        <v>478594.19</v>
      </c>
      <c r="S383" s="446"/>
      <c r="T383" s="448">
        <v>690952.16</v>
      </c>
      <c r="U383" s="448">
        <v>0</v>
      </c>
      <c r="V383" s="449">
        <v>690952.16</v>
      </c>
      <c r="W383" s="446"/>
      <c r="X383" s="448">
        <v>1130812.55</v>
      </c>
      <c r="Y383" s="448">
        <v>0</v>
      </c>
      <c r="Z383" s="449">
        <v>1130812.55</v>
      </c>
      <c r="AA383" s="446"/>
    </row>
    <row r="384" spans="2:27" s="443" customFormat="1" ht="12" customHeight="1">
      <c r="B384" s="238">
        <v>45872</v>
      </c>
      <c r="C384" s="448"/>
      <c r="D384" s="448">
        <v>869732.77</v>
      </c>
      <c r="E384" s="448">
        <v>0</v>
      </c>
      <c r="F384" s="448">
        <v>869732.77</v>
      </c>
      <c r="G384" s="588"/>
      <c r="H384" s="448">
        <v>2076671.47</v>
      </c>
      <c r="I384" s="448">
        <v>0</v>
      </c>
      <c r="J384" s="449">
        <v>2076671.47</v>
      </c>
      <c r="K384" s="446"/>
      <c r="L384" s="448">
        <v>4200719.21</v>
      </c>
      <c r="M384" s="448">
        <v>0</v>
      </c>
      <c r="N384" s="449">
        <v>4200719.21</v>
      </c>
      <c r="O384" s="446"/>
      <c r="P384" s="448">
        <v>478594.19</v>
      </c>
      <c r="Q384" s="448">
        <v>0</v>
      </c>
      <c r="R384" s="449">
        <v>478594.19</v>
      </c>
      <c r="S384" s="446"/>
      <c r="T384" s="448">
        <v>690952.16</v>
      </c>
      <c r="U384" s="448">
        <v>0</v>
      </c>
      <c r="V384" s="449">
        <v>690952.16</v>
      </c>
      <c r="W384" s="446"/>
      <c r="X384" s="448">
        <v>1130812.55</v>
      </c>
      <c r="Y384" s="448">
        <v>0</v>
      </c>
      <c r="Z384" s="449">
        <v>1130812.55</v>
      </c>
      <c r="AA384" s="446"/>
    </row>
    <row r="385" spans="2:27" s="443" customFormat="1" ht="12" customHeight="1">
      <c r="B385" s="238">
        <v>45873</v>
      </c>
      <c r="C385" s="448"/>
      <c r="D385" s="448">
        <v>869732.77</v>
      </c>
      <c r="E385" s="448">
        <v>384747.69000020064</v>
      </c>
      <c r="F385" s="448">
        <v>1254480.46</v>
      </c>
      <c r="G385" s="588"/>
      <c r="H385" s="448">
        <v>2076671.47</v>
      </c>
      <c r="I385" s="448">
        <v>1130673.7900001518</v>
      </c>
      <c r="J385" s="449">
        <v>3207345.26</v>
      </c>
      <c r="K385" s="446"/>
      <c r="L385" s="448">
        <v>4200719.21</v>
      </c>
      <c r="M385" s="448">
        <v>211456.10999977589</v>
      </c>
      <c r="N385" s="449">
        <v>4412175.32</v>
      </c>
      <c r="O385" s="446"/>
      <c r="P385" s="448">
        <v>478594.19</v>
      </c>
      <c r="Q385" s="448">
        <v>-63017.179999761283</v>
      </c>
      <c r="R385" s="449">
        <v>415577.01</v>
      </c>
      <c r="S385" s="446"/>
      <c r="T385" s="448">
        <v>690952.16</v>
      </c>
      <c r="U385" s="448">
        <v>43013.579999875277</v>
      </c>
      <c r="V385" s="449">
        <v>733965.74</v>
      </c>
      <c r="W385" s="446"/>
      <c r="X385" s="448">
        <v>1130812.55</v>
      </c>
      <c r="Y385" s="448">
        <v>0</v>
      </c>
      <c r="Z385" s="449">
        <v>1130812.55</v>
      </c>
      <c r="AA385" s="446"/>
    </row>
    <row r="386" spans="2:27" s="443" customFormat="1" ht="12" customHeight="1">
      <c r="B386" s="238">
        <v>45874</v>
      </c>
      <c r="C386" s="448"/>
      <c r="D386" s="448">
        <v>1254480.46</v>
      </c>
      <c r="E386" s="448">
        <v>1024389.1200000383</v>
      </c>
      <c r="F386" s="448">
        <v>2278869.58</v>
      </c>
      <c r="G386" s="588"/>
      <c r="H386" s="448">
        <v>3207345.26</v>
      </c>
      <c r="I386" s="448">
        <v>1053007.6300001889</v>
      </c>
      <c r="J386" s="449">
        <v>4260352.8899999997</v>
      </c>
      <c r="K386" s="446"/>
      <c r="L386" s="448">
        <v>4412175.32</v>
      </c>
      <c r="M386" s="448">
        <v>1024080.9799997807</v>
      </c>
      <c r="N386" s="449">
        <v>5436256.2999999998</v>
      </c>
      <c r="O386" s="446"/>
      <c r="P386" s="448">
        <v>415577.01</v>
      </c>
      <c r="Q386" s="448">
        <v>-31637.400000086054</v>
      </c>
      <c r="R386" s="449">
        <v>383939.61</v>
      </c>
      <c r="S386" s="446"/>
      <c r="T386" s="448">
        <v>733965.74</v>
      </c>
      <c r="U386" s="448">
        <v>-451494.80999977142</v>
      </c>
      <c r="V386" s="449">
        <v>282470.93</v>
      </c>
      <c r="W386" s="446"/>
      <c r="X386" s="448">
        <v>1130812.55</v>
      </c>
      <c r="Y386" s="448">
        <v>0</v>
      </c>
      <c r="Z386" s="449">
        <v>1130812.55</v>
      </c>
      <c r="AA386" s="446"/>
    </row>
    <row r="387" spans="2:27" s="443" customFormat="1" ht="12" customHeight="1">
      <c r="B387" s="238">
        <v>45875</v>
      </c>
      <c r="C387" s="448"/>
      <c r="D387" s="448">
        <v>2278869.58</v>
      </c>
      <c r="E387" s="448">
        <v>-1104434.5000008382</v>
      </c>
      <c r="F387" s="448">
        <v>1174435.08</v>
      </c>
      <c r="G387" s="588"/>
      <c r="H387" s="448">
        <v>4260352.8899999997</v>
      </c>
      <c r="I387" s="448">
        <v>-2796230.1599997319</v>
      </c>
      <c r="J387" s="449">
        <v>1464122.73</v>
      </c>
      <c r="K387" s="446"/>
      <c r="L387" s="448">
        <v>5436256.2999999998</v>
      </c>
      <c r="M387" s="448">
        <v>2910048.159999907</v>
      </c>
      <c r="N387" s="449">
        <v>8346304.46</v>
      </c>
      <c r="O387" s="446"/>
      <c r="P387" s="448">
        <v>383939.61</v>
      </c>
      <c r="Q387" s="448">
        <v>-129175.47999995202</v>
      </c>
      <c r="R387" s="449">
        <v>254764.13</v>
      </c>
      <c r="S387" s="446"/>
      <c r="T387" s="448">
        <v>282470.93</v>
      </c>
      <c r="U387" s="448">
        <v>258051.13000015169</v>
      </c>
      <c r="V387" s="449">
        <v>540522.06000000006</v>
      </c>
      <c r="W387" s="446"/>
      <c r="X387" s="448">
        <v>1130812.55</v>
      </c>
      <c r="Y387" s="448">
        <v>-853616.34999958053</v>
      </c>
      <c r="Z387" s="449">
        <v>277196.2</v>
      </c>
      <c r="AA387" s="446"/>
    </row>
    <row r="388" spans="2:27" s="443" customFormat="1" ht="12" customHeight="1">
      <c r="B388" s="238">
        <v>45876</v>
      </c>
      <c r="C388" s="448"/>
      <c r="D388" s="448">
        <v>1174435.08</v>
      </c>
      <c r="E388" s="448">
        <v>-232921.33999956027</v>
      </c>
      <c r="F388" s="448">
        <v>941513.74</v>
      </c>
      <c r="G388" s="588"/>
      <c r="H388" s="448">
        <v>1464122.73</v>
      </c>
      <c r="I388" s="448">
        <v>159033.97000038251</v>
      </c>
      <c r="J388" s="449">
        <v>1623156.7</v>
      </c>
      <c r="K388" s="446"/>
      <c r="L388" s="448">
        <v>8346304.46</v>
      </c>
      <c r="M388" s="448">
        <v>-7607630.6599998381</v>
      </c>
      <c r="N388" s="449">
        <v>738673.8</v>
      </c>
      <c r="O388" s="446"/>
      <c r="P388" s="448">
        <v>254764.13</v>
      </c>
      <c r="Q388" s="448">
        <v>546330.75000013411</v>
      </c>
      <c r="R388" s="449">
        <v>801094.88</v>
      </c>
      <c r="S388" s="446"/>
      <c r="T388" s="448">
        <v>540522.06000000006</v>
      </c>
      <c r="U388" s="448">
        <v>-290034.71000005677</v>
      </c>
      <c r="V388" s="449">
        <v>250487.35</v>
      </c>
      <c r="W388" s="446"/>
      <c r="X388" s="448">
        <v>277196.2</v>
      </c>
      <c r="Y388" s="448">
        <v>689687.89999984577</v>
      </c>
      <c r="Z388" s="449">
        <v>966884.1</v>
      </c>
      <c r="AA388" s="446"/>
    </row>
    <row r="389" spans="2:27" s="443" customFormat="1" ht="12" customHeight="1">
      <c r="B389" s="238">
        <v>45877</v>
      </c>
      <c r="C389" s="448"/>
      <c r="D389" s="448">
        <v>941513.74</v>
      </c>
      <c r="E389" s="448">
        <v>123221.08999961987</v>
      </c>
      <c r="F389" s="448">
        <v>1064734.83</v>
      </c>
      <c r="G389" s="588"/>
      <c r="H389" s="448">
        <v>1623156.7</v>
      </c>
      <c r="I389" s="448">
        <v>346004.23000023514</v>
      </c>
      <c r="J389" s="449">
        <v>1969160.93</v>
      </c>
      <c r="K389" s="446"/>
      <c r="L389" s="448">
        <v>738673.8</v>
      </c>
      <c r="M389" s="448">
        <v>954735.08999991417</v>
      </c>
      <c r="N389" s="449">
        <v>1693408.89</v>
      </c>
      <c r="O389" s="446"/>
      <c r="P389" s="448">
        <v>801094.88</v>
      </c>
      <c r="Q389" s="448">
        <v>-217614.19999998063</v>
      </c>
      <c r="R389" s="449">
        <v>583480.68000000005</v>
      </c>
      <c r="S389" s="446"/>
      <c r="T389" s="448">
        <v>250487.35</v>
      </c>
      <c r="U389" s="448">
        <v>727147.85000011325</v>
      </c>
      <c r="V389" s="449">
        <v>977635.2</v>
      </c>
      <c r="W389" s="446"/>
      <c r="X389" s="448">
        <v>966884.1</v>
      </c>
      <c r="Y389" s="448">
        <v>-698639.84000053257</v>
      </c>
      <c r="Z389" s="449">
        <v>268244.26</v>
      </c>
      <c r="AA389" s="446"/>
    </row>
    <row r="390" spans="2:27" s="443" customFormat="1" ht="12" customHeight="1">
      <c r="B390" s="238">
        <v>45878</v>
      </c>
      <c r="C390" s="448"/>
      <c r="D390" s="448">
        <v>1064734.83</v>
      </c>
      <c r="E390" s="448">
        <v>0</v>
      </c>
      <c r="F390" s="448">
        <v>1064734.83</v>
      </c>
      <c r="G390" s="588"/>
      <c r="H390" s="448">
        <v>1969160.93</v>
      </c>
      <c r="I390" s="448">
        <v>0</v>
      </c>
      <c r="J390" s="449">
        <v>1969160.93</v>
      </c>
      <c r="K390" s="446"/>
      <c r="L390" s="448">
        <v>1693408.89</v>
      </c>
      <c r="M390" s="448">
        <v>0</v>
      </c>
      <c r="N390" s="449">
        <v>1693408.89</v>
      </c>
      <c r="O390" s="446"/>
      <c r="P390" s="448">
        <v>583480.68000000005</v>
      </c>
      <c r="Q390" s="448">
        <v>0</v>
      </c>
      <c r="R390" s="449">
        <v>583480.68000000005</v>
      </c>
      <c r="S390" s="446"/>
      <c r="T390" s="448">
        <v>977635.2</v>
      </c>
      <c r="U390" s="448">
        <v>0</v>
      </c>
      <c r="V390" s="449">
        <v>977635.2</v>
      </c>
      <c r="W390" s="446"/>
      <c r="X390" s="448">
        <v>268244.26</v>
      </c>
      <c r="Y390" s="448">
        <v>0</v>
      </c>
      <c r="Z390" s="449">
        <v>268244.26</v>
      </c>
      <c r="AA390" s="446"/>
    </row>
    <row r="391" spans="2:27" s="443" customFormat="1" ht="12" customHeight="1">
      <c r="B391" s="238">
        <v>45879</v>
      </c>
      <c r="C391" s="448"/>
      <c r="D391" s="448">
        <v>1064734.83</v>
      </c>
      <c r="E391" s="448">
        <v>0</v>
      </c>
      <c r="F391" s="448">
        <v>1064734.83</v>
      </c>
      <c r="G391" s="588"/>
      <c r="H391" s="448">
        <v>1969160.93</v>
      </c>
      <c r="I391" s="448">
        <v>0</v>
      </c>
      <c r="J391" s="449">
        <v>1969160.93</v>
      </c>
      <c r="K391" s="446"/>
      <c r="L391" s="448">
        <v>1693408.89</v>
      </c>
      <c r="M391" s="448">
        <v>0</v>
      </c>
      <c r="N391" s="449">
        <v>1693408.89</v>
      </c>
      <c r="O391" s="446"/>
      <c r="P391" s="448">
        <v>583480.68000000005</v>
      </c>
      <c r="Q391" s="448">
        <v>0</v>
      </c>
      <c r="R391" s="449">
        <v>583480.68000000005</v>
      </c>
      <c r="S391" s="446"/>
      <c r="T391" s="448">
        <v>977635.2</v>
      </c>
      <c r="U391" s="448">
        <v>0</v>
      </c>
      <c r="V391" s="449">
        <v>977635.2</v>
      </c>
      <c r="W391" s="446"/>
      <c r="X391" s="448">
        <v>268244.26</v>
      </c>
      <c r="Y391" s="448">
        <v>0</v>
      </c>
      <c r="Z391" s="449">
        <v>268244.26</v>
      </c>
      <c r="AA391" s="446"/>
    </row>
    <row r="392" spans="2:27" s="443" customFormat="1" ht="12" customHeight="1">
      <c r="B392" s="238">
        <v>45880</v>
      </c>
      <c r="C392" s="588"/>
      <c r="D392" s="448">
        <v>1064734.83</v>
      </c>
      <c r="E392" s="448">
        <v>-212344.24999988452</v>
      </c>
      <c r="F392" s="448">
        <v>852390.58</v>
      </c>
      <c r="G392" s="588"/>
      <c r="H392" s="448">
        <v>1969160.93</v>
      </c>
      <c r="I392" s="448">
        <v>1922321.7300005332</v>
      </c>
      <c r="J392" s="449">
        <v>3891482.66</v>
      </c>
      <c r="K392" s="446"/>
      <c r="L392" s="448">
        <v>1693408.89</v>
      </c>
      <c r="M392" s="448">
        <v>901404.73999993317</v>
      </c>
      <c r="N392" s="449">
        <v>2594813.63</v>
      </c>
      <c r="O392" s="446"/>
      <c r="P392" s="448">
        <v>583480.68000000005</v>
      </c>
      <c r="Q392" s="448">
        <v>454647.27000010572</v>
      </c>
      <c r="R392" s="449">
        <v>1038127.95</v>
      </c>
      <c r="S392" s="446"/>
      <c r="T392" s="448">
        <v>977635.2</v>
      </c>
      <c r="U392" s="448">
        <v>-747316.87999999896</v>
      </c>
      <c r="V392" s="449">
        <v>230318.32</v>
      </c>
      <c r="W392" s="446"/>
      <c r="X392" s="448">
        <v>268244.26</v>
      </c>
      <c r="Y392" s="448">
        <v>237654.43000018969</v>
      </c>
      <c r="Z392" s="449">
        <v>505898.69</v>
      </c>
      <c r="AA392" s="446"/>
    </row>
    <row r="393" spans="2:27" s="443" customFormat="1" ht="12" customHeight="1">
      <c r="B393" s="238">
        <v>45881</v>
      </c>
      <c r="C393" s="588"/>
      <c r="D393" s="448">
        <v>852390.58</v>
      </c>
      <c r="E393" s="448">
        <v>-496540.56000188179</v>
      </c>
      <c r="F393" s="448">
        <v>355850.02</v>
      </c>
      <c r="G393" s="588"/>
      <c r="H393" s="448">
        <v>3891482.66</v>
      </c>
      <c r="I393" s="448">
        <v>-209855.70999952406</v>
      </c>
      <c r="J393" s="449">
        <v>3681626.95</v>
      </c>
      <c r="K393" s="446"/>
      <c r="L393" s="448">
        <v>2594813.63</v>
      </c>
      <c r="M393" s="448">
        <v>188271.06000001449</v>
      </c>
      <c r="N393" s="449">
        <v>2783084.69</v>
      </c>
      <c r="O393" s="446"/>
      <c r="P393" s="448">
        <v>1038127.95</v>
      </c>
      <c r="Q393" s="448">
        <v>-786316.10999991</v>
      </c>
      <c r="R393" s="449">
        <v>251811.84</v>
      </c>
      <c r="S393" s="446"/>
      <c r="T393" s="448">
        <v>230318.32</v>
      </c>
      <c r="U393" s="448">
        <v>637583.42000003904</v>
      </c>
      <c r="V393" s="449">
        <v>867901.74</v>
      </c>
      <c r="W393" s="446"/>
      <c r="X393" s="448">
        <v>505898.69</v>
      </c>
      <c r="Y393" s="448">
        <v>659117.72999988496</v>
      </c>
      <c r="Z393" s="449">
        <v>1165016.42</v>
      </c>
      <c r="AA393" s="446"/>
    </row>
    <row r="394" spans="2:27" s="443" customFormat="1" ht="12" customHeight="1">
      <c r="B394" s="238">
        <v>45882</v>
      </c>
      <c r="C394" s="588"/>
      <c r="D394" s="448">
        <v>355850.02</v>
      </c>
      <c r="E394" s="448">
        <v>393788.42999990471</v>
      </c>
      <c r="F394" s="448">
        <v>749638.45</v>
      </c>
      <c r="G394" s="588"/>
      <c r="H394" s="448">
        <v>3681626.95</v>
      </c>
      <c r="I394" s="448">
        <v>803736.15000038221</v>
      </c>
      <c r="J394" s="449">
        <v>4485363.0999999996</v>
      </c>
      <c r="K394" s="446"/>
      <c r="L394" s="448">
        <v>2783084.69</v>
      </c>
      <c r="M394" s="448">
        <v>734772.70000016689</v>
      </c>
      <c r="N394" s="449">
        <v>3517857.39</v>
      </c>
      <c r="O394" s="446"/>
      <c r="P394" s="448">
        <v>251811.84</v>
      </c>
      <c r="Q394" s="448">
        <v>417182.47000012547</v>
      </c>
      <c r="R394" s="449">
        <v>668994.31000000006</v>
      </c>
      <c r="S394" s="446"/>
      <c r="T394" s="448">
        <v>867901.74</v>
      </c>
      <c r="U394" s="448">
        <v>-789956.45999974012</v>
      </c>
      <c r="V394" s="449">
        <v>77945.279999999999</v>
      </c>
      <c r="W394" s="446"/>
      <c r="X394" s="448">
        <v>1165016.42</v>
      </c>
      <c r="Y394" s="448">
        <v>-159186.20000015199</v>
      </c>
      <c r="Z394" s="449">
        <v>1005830.22</v>
      </c>
      <c r="AA394" s="446"/>
    </row>
    <row r="395" spans="2:27" s="443" customFormat="1" ht="12" customHeight="1">
      <c r="B395" s="238">
        <v>45883</v>
      </c>
      <c r="C395" s="588"/>
      <c r="D395" s="448">
        <v>749638.45</v>
      </c>
      <c r="E395" s="448">
        <v>-178236.26999982819</v>
      </c>
      <c r="F395" s="448">
        <v>571402.18000000005</v>
      </c>
      <c r="G395" s="588"/>
      <c r="H395" s="448">
        <v>4485363.0999999996</v>
      </c>
      <c r="I395" s="448">
        <v>-67019.859999984503</v>
      </c>
      <c r="J395" s="449">
        <v>4418343.24</v>
      </c>
      <c r="K395" s="446"/>
      <c r="L395" s="448">
        <v>3517857.39</v>
      </c>
      <c r="M395" s="448">
        <v>511533.32999999076</v>
      </c>
      <c r="N395" s="449">
        <v>4029390.72</v>
      </c>
      <c r="O395" s="446"/>
      <c r="P395" s="448">
        <v>668994.31000000006</v>
      </c>
      <c r="Q395" s="448">
        <v>344921.41000013333</v>
      </c>
      <c r="R395" s="449">
        <v>1013915.72</v>
      </c>
      <c r="S395" s="446"/>
      <c r="T395" s="448">
        <v>77945.279999999999</v>
      </c>
      <c r="U395" s="448">
        <v>239561.52000021935</v>
      </c>
      <c r="V395" s="449">
        <v>317506.8</v>
      </c>
      <c r="W395" s="446"/>
      <c r="X395" s="448">
        <v>1005830.22</v>
      </c>
      <c r="Y395" s="448">
        <v>-72310.280000191182</v>
      </c>
      <c r="Z395" s="449">
        <v>933519.94</v>
      </c>
      <c r="AA395" s="446"/>
    </row>
    <row r="396" spans="2:27" s="443" customFormat="1" ht="12" customHeight="1">
      <c r="B396" s="238">
        <v>45884</v>
      </c>
      <c r="C396" s="588"/>
      <c r="D396" s="448">
        <v>571402.18000000005</v>
      </c>
      <c r="E396" s="448">
        <v>-308990.46999990381</v>
      </c>
      <c r="F396" s="448">
        <v>262411.71000000002</v>
      </c>
      <c r="G396" s="588"/>
      <c r="H396" s="448">
        <v>4418343.24</v>
      </c>
      <c r="I396" s="448">
        <v>-1436291.2899993509</v>
      </c>
      <c r="J396" s="449">
        <v>2982051.95</v>
      </c>
      <c r="K396" s="446"/>
      <c r="L396" s="448">
        <v>4029390.72</v>
      </c>
      <c r="M396" s="448">
        <v>304987.68000030518</v>
      </c>
      <c r="N396" s="449">
        <v>4334378.4000000004</v>
      </c>
      <c r="O396" s="446"/>
      <c r="P396" s="448">
        <v>1013915.72</v>
      </c>
      <c r="Q396" s="448">
        <v>-763715.82999995165</v>
      </c>
      <c r="R396" s="449">
        <v>250199.89</v>
      </c>
      <c r="S396" s="446"/>
      <c r="T396" s="448">
        <v>317506.8</v>
      </c>
      <c r="U396" s="448">
        <v>416466.47000022978</v>
      </c>
      <c r="V396" s="449">
        <v>733973.27</v>
      </c>
      <c r="W396" s="446"/>
      <c r="X396" s="448">
        <v>933519.94</v>
      </c>
      <c r="Y396" s="448">
        <v>-535127.18000053242</v>
      </c>
      <c r="Z396" s="449">
        <v>398392.76</v>
      </c>
      <c r="AA396" s="446"/>
    </row>
    <row r="397" spans="2:27" s="443" customFormat="1" ht="12" customHeight="1">
      <c r="B397" s="238">
        <v>45885</v>
      </c>
      <c r="C397" s="588"/>
      <c r="D397" s="448">
        <v>262411.71000000002</v>
      </c>
      <c r="E397" s="448">
        <v>0</v>
      </c>
      <c r="F397" s="448">
        <v>262411.71000000002</v>
      </c>
      <c r="G397" s="588"/>
      <c r="H397" s="448">
        <v>2982051.95</v>
      </c>
      <c r="I397" s="448">
        <v>0</v>
      </c>
      <c r="J397" s="449">
        <v>2982051.95</v>
      </c>
      <c r="K397" s="446"/>
      <c r="L397" s="448">
        <v>4334378.4000000004</v>
      </c>
      <c r="M397" s="448">
        <v>0</v>
      </c>
      <c r="N397" s="449">
        <v>4334378.4000000004</v>
      </c>
      <c r="O397" s="446"/>
      <c r="P397" s="448">
        <v>250199.89</v>
      </c>
      <c r="Q397" s="448">
        <v>0</v>
      </c>
      <c r="R397" s="449">
        <v>250199.89</v>
      </c>
      <c r="S397" s="446"/>
      <c r="T397" s="448">
        <v>733973.27</v>
      </c>
      <c r="U397" s="448">
        <v>0</v>
      </c>
      <c r="V397" s="449">
        <v>733973.27</v>
      </c>
      <c r="W397" s="446"/>
      <c r="X397" s="448">
        <v>398392.76</v>
      </c>
      <c r="Y397" s="448">
        <v>0</v>
      </c>
      <c r="Z397" s="449">
        <v>398392.76</v>
      </c>
      <c r="AA397" s="446"/>
    </row>
    <row r="398" spans="2:27" s="443" customFormat="1" ht="12" customHeight="1">
      <c r="B398" s="238">
        <v>45886</v>
      </c>
      <c r="C398" s="588"/>
      <c r="D398" s="448">
        <v>262411.71000000002</v>
      </c>
      <c r="E398" s="448">
        <v>0</v>
      </c>
      <c r="F398" s="448">
        <v>262411.71000000002</v>
      </c>
      <c r="G398" s="588"/>
      <c r="H398" s="448">
        <v>2982051.95</v>
      </c>
      <c r="I398" s="448">
        <v>0</v>
      </c>
      <c r="J398" s="449">
        <v>2982051.95</v>
      </c>
      <c r="K398" s="446"/>
      <c r="L398" s="448">
        <v>4334378.4000000004</v>
      </c>
      <c r="M398" s="448">
        <v>0</v>
      </c>
      <c r="N398" s="449">
        <v>4334378.4000000004</v>
      </c>
      <c r="O398" s="446"/>
      <c r="P398" s="448">
        <v>250199.89</v>
      </c>
      <c r="Q398" s="448">
        <v>0</v>
      </c>
      <c r="R398" s="449">
        <v>250199.89</v>
      </c>
      <c r="S398" s="446"/>
      <c r="T398" s="448">
        <v>733973.27</v>
      </c>
      <c r="U398" s="448">
        <v>0</v>
      </c>
      <c r="V398" s="449">
        <v>733973.27</v>
      </c>
      <c r="W398" s="446"/>
      <c r="X398" s="448">
        <v>398392.76</v>
      </c>
      <c r="Y398" s="448">
        <v>0</v>
      </c>
      <c r="Z398" s="449">
        <v>398392.76</v>
      </c>
      <c r="AA398" s="446"/>
    </row>
    <row r="399" spans="2:27" s="443" customFormat="1" ht="12" customHeight="1">
      <c r="B399" s="238">
        <v>45887</v>
      </c>
      <c r="C399" s="588"/>
      <c r="D399" s="448">
        <v>262411.71000000002</v>
      </c>
      <c r="E399" s="448">
        <v>-144208.73999977112</v>
      </c>
      <c r="F399" s="448">
        <v>118202.97</v>
      </c>
      <c r="G399" s="588"/>
      <c r="H399" s="448">
        <v>2982051.95</v>
      </c>
      <c r="I399" s="448">
        <v>72090.279999732971</v>
      </c>
      <c r="J399" s="449">
        <v>3054142.23</v>
      </c>
      <c r="K399" s="446"/>
      <c r="L399" s="448">
        <v>4334378.4000000004</v>
      </c>
      <c r="M399" s="448">
        <v>660385.42000000458</v>
      </c>
      <c r="N399" s="449">
        <v>4994763.82</v>
      </c>
      <c r="O399" s="446"/>
      <c r="P399" s="448">
        <v>250199.89</v>
      </c>
      <c r="Q399" s="448">
        <v>745846.98999999557</v>
      </c>
      <c r="R399" s="449">
        <v>996046.88</v>
      </c>
      <c r="S399" s="446"/>
      <c r="T399" s="448">
        <v>733973.27</v>
      </c>
      <c r="U399" s="448">
        <v>236400.389999751</v>
      </c>
      <c r="V399" s="449">
        <v>970373.66</v>
      </c>
      <c r="W399" s="446"/>
      <c r="X399" s="448">
        <v>398392.76</v>
      </c>
      <c r="Y399" s="448">
        <v>85970.350000619888</v>
      </c>
      <c r="Z399" s="449">
        <v>484363.11</v>
      </c>
      <c r="AA399" s="446"/>
    </row>
    <row r="400" spans="2:27" s="443" customFormat="1" ht="12" customHeight="1">
      <c r="B400" s="238">
        <v>45888</v>
      </c>
      <c r="C400" s="588"/>
      <c r="D400" s="448">
        <v>118202.97</v>
      </c>
      <c r="E400" s="448">
        <v>997561.350000076</v>
      </c>
      <c r="F400" s="448">
        <v>1115764.32</v>
      </c>
      <c r="G400" s="588"/>
      <c r="H400" s="448">
        <v>3054142.23</v>
      </c>
      <c r="I400" s="448">
        <v>605211.63999979198</v>
      </c>
      <c r="J400" s="449">
        <v>3659353.87</v>
      </c>
      <c r="K400" s="446"/>
      <c r="L400" s="448">
        <v>4994763.82</v>
      </c>
      <c r="M400" s="448">
        <v>283871.08999991417</v>
      </c>
      <c r="N400" s="449">
        <v>5278634.91</v>
      </c>
      <c r="O400" s="446"/>
      <c r="P400" s="448">
        <v>996046.88</v>
      </c>
      <c r="Q400" s="448">
        <v>-657101.25000008568</v>
      </c>
      <c r="R400" s="449">
        <v>338945.63</v>
      </c>
      <c r="S400" s="446"/>
      <c r="T400" s="448">
        <v>970373.66</v>
      </c>
      <c r="U400" s="448">
        <v>-778784.99999979138</v>
      </c>
      <c r="V400" s="449">
        <v>191588.66</v>
      </c>
      <c r="W400" s="446"/>
      <c r="X400" s="448">
        <v>484363.11</v>
      </c>
      <c r="Y400" s="448">
        <v>218601.19999971241</v>
      </c>
      <c r="Z400" s="449">
        <v>702964.31</v>
      </c>
      <c r="AA400" s="446"/>
    </row>
    <row r="401" spans="2:27" s="443" customFormat="1" ht="12" customHeight="1">
      <c r="B401" s="238">
        <v>45889</v>
      </c>
      <c r="C401" s="588"/>
      <c r="D401" s="448">
        <v>1115764.32</v>
      </c>
      <c r="E401" s="448">
        <v>-951350.30000034347</v>
      </c>
      <c r="F401" s="448">
        <v>164414.01999999999</v>
      </c>
      <c r="G401" s="588"/>
      <c r="H401" s="448">
        <v>3659353.87</v>
      </c>
      <c r="I401" s="448">
        <v>801479.7699996084</v>
      </c>
      <c r="J401" s="449">
        <v>4460833.6399999997</v>
      </c>
      <c r="K401" s="446"/>
      <c r="L401" s="448">
        <v>5278634.91</v>
      </c>
      <c r="M401" s="448">
        <v>904236.3599998951</v>
      </c>
      <c r="N401" s="449">
        <v>6182871.2699999996</v>
      </c>
      <c r="O401" s="446"/>
      <c r="P401" s="448">
        <v>338945.63</v>
      </c>
      <c r="Q401" s="448">
        <v>-96286.5</v>
      </c>
      <c r="R401" s="449">
        <v>242659.13</v>
      </c>
      <c r="S401" s="446"/>
      <c r="T401" s="448">
        <v>191588.66</v>
      </c>
      <c r="U401" s="448">
        <v>402521.59000015259</v>
      </c>
      <c r="V401" s="449">
        <v>594110.25</v>
      </c>
      <c r="W401" s="446"/>
      <c r="X401" s="448">
        <v>702964.31</v>
      </c>
      <c r="Y401" s="448">
        <v>-410066.29999976978</v>
      </c>
      <c r="Z401" s="449">
        <v>292898.01</v>
      </c>
      <c r="AA401" s="446"/>
    </row>
    <row r="402" spans="2:27" s="443" customFormat="1" ht="12" customHeight="1">
      <c r="B402" s="238">
        <f>B401+1</f>
        <v>45890</v>
      </c>
      <c r="C402" s="588"/>
      <c r="D402" s="448">
        <v>164414.01999999999</v>
      </c>
      <c r="E402" s="448">
        <v>190580.68999942765</v>
      </c>
      <c r="F402" s="448">
        <v>354994.71</v>
      </c>
      <c r="G402" s="588"/>
      <c r="H402" s="448">
        <v>4460833.6399999997</v>
      </c>
      <c r="I402" s="448">
        <v>-2323830.3999994844</v>
      </c>
      <c r="J402" s="449">
        <v>2137003.2400000002</v>
      </c>
      <c r="K402" s="446"/>
      <c r="L402" s="448">
        <v>6182871.2699999996</v>
      </c>
      <c r="M402" s="448">
        <v>527155.33000016212</v>
      </c>
      <c r="N402" s="449">
        <v>6710026.5999999996</v>
      </c>
      <c r="O402" s="446"/>
      <c r="P402" s="448">
        <v>242659.13</v>
      </c>
      <c r="Q402" s="448">
        <v>996492.35999999009</v>
      </c>
      <c r="R402" s="449">
        <v>1239151.49</v>
      </c>
      <c r="S402" s="446"/>
      <c r="T402" s="448">
        <v>594110.25</v>
      </c>
      <c r="U402" s="448">
        <v>-569938.74000037671</v>
      </c>
      <c r="V402" s="449">
        <v>24171.51</v>
      </c>
      <c r="W402" s="446"/>
      <c r="X402" s="448">
        <v>292898.01</v>
      </c>
      <c r="Y402" s="448">
        <v>133006.53999950364</v>
      </c>
      <c r="Z402" s="449">
        <v>425904.55</v>
      </c>
      <c r="AA402" s="446"/>
    </row>
    <row r="403" spans="2:27">
      <c r="B403" s="238">
        <v>45891</v>
      </c>
      <c r="C403" s="588"/>
      <c r="D403" s="448">
        <v>354994.71</v>
      </c>
      <c r="E403" s="448">
        <v>687701.25999992155</v>
      </c>
      <c r="F403" s="448">
        <v>1042695.97</v>
      </c>
      <c r="G403" s="588"/>
      <c r="H403" s="448">
        <v>2137003.2400000002</v>
      </c>
      <c r="I403" s="448">
        <v>0</v>
      </c>
      <c r="J403" s="449">
        <v>2137003.2400000002</v>
      </c>
      <c r="K403" s="446"/>
      <c r="L403" s="448">
        <v>6710026.5999999996</v>
      </c>
      <c r="M403" s="448">
        <v>56931.200000047684</v>
      </c>
      <c r="N403" s="449">
        <v>6766957.7999999998</v>
      </c>
      <c r="O403" s="446"/>
      <c r="P403" s="448">
        <v>1239151.49</v>
      </c>
      <c r="Q403" s="448">
        <v>-962203.37000002898</v>
      </c>
      <c r="R403" s="449">
        <v>276948.12</v>
      </c>
      <c r="S403" s="446"/>
      <c r="T403" s="448">
        <v>24171.51</v>
      </c>
      <c r="U403" s="448">
        <v>348883.86999995261</v>
      </c>
      <c r="V403" s="449">
        <v>373055.38</v>
      </c>
      <c r="W403" s="446"/>
      <c r="X403" s="448">
        <v>425904.55</v>
      </c>
      <c r="Y403" s="448">
        <v>146465.32999974862</v>
      </c>
      <c r="Z403" s="449">
        <v>572369.88</v>
      </c>
    </row>
    <row r="404" spans="2:27" s="443" customFormat="1">
      <c r="B404" s="238">
        <v>45892</v>
      </c>
      <c r="C404" s="588"/>
      <c r="D404" s="448">
        <v>1042695.97</v>
      </c>
      <c r="E404" s="448">
        <v>0</v>
      </c>
      <c r="F404" s="448">
        <v>1042695.97</v>
      </c>
      <c r="G404" s="588"/>
      <c r="H404" s="448">
        <v>2137003.2400000002</v>
      </c>
      <c r="I404" s="448">
        <v>0</v>
      </c>
      <c r="J404" s="449">
        <v>2137003.2400000002</v>
      </c>
      <c r="K404" s="446"/>
      <c r="L404" s="448">
        <v>6766957.7999999998</v>
      </c>
      <c r="M404" s="448">
        <v>0</v>
      </c>
      <c r="N404" s="449">
        <v>6766957.7999999998</v>
      </c>
      <c r="O404" s="446"/>
      <c r="P404" s="448">
        <v>276948.12</v>
      </c>
      <c r="Q404" s="448">
        <v>0</v>
      </c>
      <c r="R404" s="449">
        <v>276948.12</v>
      </c>
      <c r="S404" s="446"/>
      <c r="T404" s="448">
        <v>373055.38</v>
      </c>
      <c r="U404" s="448">
        <v>0</v>
      </c>
      <c r="V404" s="449">
        <v>373055.38</v>
      </c>
      <c r="W404" s="446"/>
      <c r="X404" s="448">
        <v>572369.88</v>
      </c>
      <c r="Y404" s="448">
        <v>0</v>
      </c>
      <c r="Z404" s="449">
        <v>572369.88</v>
      </c>
      <c r="AA404" s="446"/>
    </row>
    <row r="405" spans="2:27">
      <c r="B405" s="238">
        <v>45893</v>
      </c>
      <c r="C405" s="588"/>
      <c r="D405" s="448">
        <v>1042695.97</v>
      </c>
      <c r="E405" s="448">
        <v>0</v>
      </c>
      <c r="F405" s="448">
        <v>1042695.97</v>
      </c>
      <c r="G405" s="588"/>
      <c r="H405" s="448">
        <v>2137003.2400000002</v>
      </c>
      <c r="I405" s="448">
        <v>0</v>
      </c>
      <c r="J405" s="449">
        <v>2137003.2400000002</v>
      </c>
      <c r="K405" s="446"/>
      <c r="L405" s="448">
        <v>6766957.7999999998</v>
      </c>
      <c r="M405" s="448">
        <v>0</v>
      </c>
      <c r="N405" s="449">
        <v>6766957.7999999998</v>
      </c>
      <c r="O405" s="446"/>
      <c r="P405" s="448">
        <v>276948.12</v>
      </c>
      <c r="Q405" s="448">
        <v>0</v>
      </c>
      <c r="R405" s="449">
        <v>276948.12</v>
      </c>
      <c r="S405" s="446"/>
      <c r="T405" s="448">
        <v>373055.38</v>
      </c>
      <c r="U405" s="448">
        <v>0</v>
      </c>
      <c r="V405" s="449">
        <v>373055.38</v>
      </c>
      <c r="W405" s="446"/>
      <c r="X405" s="448">
        <v>572369.88</v>
      </c>
      <c r="Y405" s="448">
        <v>0</v>
      </c>
      <c r="Z405" s="449">
        <v>572369.88</v>
      </c>
      <c r="AA405" s="446"/>
    </row>
    <row r="406" spans="2:27">
      <c r="B406" s="238">
        <v>45894</v>
      </c>
      <c r="C406" s="588"/>
      <c r="D406" s="448">
        <v>1042695.97</v>
      </c>
      <c r="E406" s="448">
        <v>1637295.4199997336</v>
      </c>
      <c r="F406" s="448">
        <v>2679991.39</v>
      </c>
      <c r="G406" s="588"/>
      <c r="H406" s="448">
        <v>2137003.2400000002</v>
      </c>
      <c r="I406" s="448">
        <v>0</v>
      </c>
      <c r="J406" s="449">
        <v>2137003.2400000002</v>
      </c>
      <c r="K406" s="446"/>
      <c r="L406" s="448">
        <v>6766957.7999999998</v>
      </c>
      <c r="M406" s="448">
        <v>721909.15000014938</v>
      </c>
      <c r="N406" s="449">
        <v>7488866.9500000002</v>
      </c>
      <c r="O406" s="446"/>
      <c r="P406" s="448">
        <v>276948.12</v>
      </c>
      <c r="Q406" s="448">
        <v>-128493.09000009485</v>
      </c>
      <c r="R406" s="449">
        <v>148455.03</v>
      </c>
      <c r="S406" s="446"/>
      <c r="T406" s="448">
        <v>373055.38</v>
      </c>
      <c r="U406" s="448">
        <v>138695.94999988563</v>
      </c>
      <c r="V406" s="449">
        <v>511751.33</v>
      </c>
      <c r="W406" s="446"/>
      <c r="X406" s="448">
        <v>572369.88</v>
      </c>
      <c r="Y406" s="448">
        <v>-88136.880000725389</v>
      </c>
      <c r="Z406" s="449">
        <v>484233</v>
      </c>
    </row>
    <row r="407" spans="2:27" s="443" customFormat="1">
      <c r="B407" s="238">
        <v>45895</v>
      </c>
      <c r="C407" s="588"/>
      <c r="D407" s="448">
        <v>2679991.39</v>
      </c>
      <c r="E407" s="448">
        <v>-1700068.5900014192</v>
      </c>
      <c r="F407" s="448">
        <v>979922.8</v>
      </c>
      <c r="G407" s="588"/>
      <c r="H407" s="448">
        <v>2137003.2400000002</v>
      </c>
      <c r="I407" s="448">
        <v>0</v>
      </c>
      <c r="J407" s="449">
        <v>2137003.2400000002</v>
      </c>
      <c r="K407" s="446"/>
      <c r="L407" s="448">
        <v>7488866.9500000002</v>
      </c>
      <c r="M407" s="448">
        <v>-6943607.0700001419</v>
      </c>
      <c r="N407" s="449">
        <v>545259.88</v>
      </c>
      <c r="O407" s="446"/>
      <c r="P407" s="448">
        <v>148455.03</v>
      </c>
      <c r="Q407" s="448">
        <v>425048.2800001055</v>
      </c>
      <c r="R407" s="449">
        <v>573503.31000000006</v>
      </c>
      <c r="S407" s="446"/>
      <c r="T407" s="448">
        <v>511751.33</v>
      </c>
      <c r="U407" s="448">
        <v>-334521.02000005916</v>
      </c>
      <c r="V407" s="449">
        <v>177230.31</v>
      </c>
      <c r="W407" s="446"/>
      <c r="X407" s="448">
        <v>484233</v>
      </c>
      <c r="Y407" s="448">
        <v>366043.95000050589</v>
      </c>
      <c r="Z407" s="449">
        <v>850276.95</v>
      </c>
      <c r="AA407" s="446"/>
    </row>
    <row r="408" spans="2:27" s="443" customFormat="1">
      <c r="B408" s="238">
        <v>45896</v>
      </c>
      <c r="C408" s="588"/>
      <c r="D408" s="448">
        <v>979922.8</v>
      </c>
      <c r="E408" s="448">
        <v>517211.80999967642</v>
      </c>
      <c r="F408" s="448">
        <v>1497134.61</v>
      </c>
      <c r="G408" s="588"/>
      <c r="H408" s="448">
        <v>2137003.2400000002</v>
      </c>
      <c r="I408" s="448">
        <v>0</v>
      </c>
      <c r="J408" s="449">
        <v>2137003.2400000002</v>
      </c>
      <c r="K408" s="446"/>
      <c r="L408" s="448">
        <v>545259.88</v>
      </c>
      <c r="M408" s="448">
        <v>1019783.7099994421</v>
      </c>
      <c r="N408" s="449">
        <v>1565043.59</v>
      </c>
      <c r="O408" s="446"/>
      <c r="P408" s="448">
        <v>573503.31000000006</v>
      </c>
      <c r="Q408" s="448">
        <v>707444.15000003576</v>
      </c>
      <c r="R408" s="449">
        <v>1280947.46</v>
      </c>
      <c r="S408" s="446"/>
      <c r="T408" s="448">
        <v>177230.31</v>
      </c>
      <c r="U408" s="448">
        <v>694726.59000042826</v>
      </c>
      <c r="V408" s="449">
        <v>871956.9</v>
      </c>
      <c r="W408" s="446"/>
      <c r="X408" s="448">
        <v>850276.95</v>
      </c>
      <c r="Y408" s="448">
        <v>27532.530000153929</v>
      </c>
      <c r="Z408" s="449">
        <v>877809.48</v>
      </c>
      <c r="AA408" s="446"/>
    </row>
    <row r="409" spans="2:27" s="443" customFormat="1">
      <c r="B409" s="238">
        <v>45897</v>
      </c>
      <c r="C409" s="588"/>
      <c r="D409" s="448">
        <v>1497134.61</v>
      </c>
      <c r="E409" s="448">
        <v>-470358.98000013269</v>
      </c>
      <c r="F409" s="448">
        <v>1026775.63</v>
      </c>
      <c r="G409" s="588"/>
      <c r="H409" s="448">
        <v>2137003.2400000002</v>
      </c>
      <c r="I409" s="448">
        <v>815914.45999990404</v>
      </c>
      <c r="J409" s="449">
        <v>2952917.7</v>
      </c>
      <c r="K409" s="446"/>
      <c r="L409" s="448">
        <v>1565043.59</v>
      </c>
      <c r="M409" s="448">
        <v>2641051.8699999452</v>
      </c>
      <c r="N409" s="449">
        <v>4206095.46</v>
      </c>
      <c r="O409" s="446"/>
      <c r="P409" s="448">
        <v>1280947.46</v>
      </c>
      <c r="Q409" s="448">
        <v>-977544.400000019</v>
      </c>
      <c r="R409" s="449">
        <v>303403.06</v>
      </c>
      <c r="S409" s="446"/>
      <c r="T409" s="448">
        <v>871956.9</v>
      </c>
      <c r="U409" s="448">
        <v>-58355.439999809489</v>
      </c>
      <c r="V409" s="449">
        <v>813601.46</v>
      </c>
      <c r="W409" s="446"/>
      <c r="X409" s="448">
        <v>877809.48</v>
      </c>
      <c r="Y409" s="448">
        <v>371012.01999999955</v>
      </c>
      <c r="Z409" s="449">
        <v>1248821.5</v>
      </c>
      <c r="AA409" s="446"/>
    </row>
    <row r="410" spans="2:27" s="443" customFormat="1">
      <c r="B410" s="238">
        <v>45898</v>
      </c>
      <c r="C410" s="588"/>
      <c r="D410" s="448">
        <v>1026775.63</v>
      </c>
      <c r="E410" s="448">
        <v>-731339.12999991141</v>
      </c>
      <c r="F410" s="448">
        <v>295436.5</v>
      </c>
      <c r="G410" s="588"/>
      <c r="H410" s="448">
        <v>2952917.7</v>
      </c>
      <c r="I410" s="448">
        <v>827617.68999994919</v>
      </c>
      <c r="J410" s="449">
        <v>3780535.39</v>
      </c>
      <c r="K410" s="446"/>
      <c r="L410" s="448">
        <v>4206095.46</v>
      </c>
      <c r="M410" s="448">
        <v>2658836.6999999359</v>
      </c>
      <c r="N410" s="449">
        <v>6864932.1600000001</v>
      </c>
      <c r="O410" s="446"/>
      <c r="P410" s="448">
        <v>303403.06</v>
      </c>
      <c r="Q410" s="448">
        <v>60831.089999959804</v>
      </c>
      <c r="R410" s="449">
        <v>364234.15</v>
      </c>
      <c r="S410" s="446"/>
      <c r="T410" s="448">
        <v>813601.46</v>
      </c>
      <c r="U410" s="448">
        <v>188593.95999994315</v>
      </c>
      <c r="V410" s="449">
        <v>1002195.42</v>
      </c>
      <c r="W410" s="446"/>
      <c r="X410" s="448">
        <v>1248821.5</v>
      </c>
      <c r="Y410" s="448">
        <v>-657006.06999996305</v>
      </c>
      <c r="Z410" s="449">
        <v>591815.43000000005</v>
      </c>
      <c r="AA410" s="446"/>
    </row>
    <row r="411" spans="2:27" s="443" customFormat="1">
      <c r="B411" s="238">
        <v>45899</v>
      </c>
      <c r="C411" s="588"/>
      <c r="D411" s="448">
        <v>295436.5</v>
      </c>
      <c r="E411" s="448">
        <v>0</v>
      </c>
      <c r="F411" s="448">
        <v>295436.5</v>
      </c>
      <c r="G411" s="588"/>
      <c r="H411" s="448">
        <v>3780535.39</v>
      </c>
      <c r="I411" s="448">
        <v>0</v>
      </c>
      <c r="J411" s="449">
        <v>3780535.39</v>
      </c>
      <c r="K411" s="446"/>
      <c r="L411" s="448">
        <v>6864932.1600000001</v>
      </c>
      <c r="M411" s="448">
        <v>0</v>
      </c>
      <c r="N411" s="449">
        <v>6864932.1600000001</v>
      </c>
      <c r="O411" s="446"/>
      <c r="P411" s="448">
        <v>364234.15</v>
      </c>
      <c r="Q411" s="448">
        <v>0</v>
      </c>
      <c r="R411" s="449">
        <v>364234.15</v>
      </c>
      <c r="S411" s="446"/>
      <c r="T411" s="448">
        <v>1002195.42</v>
      </c>
      <c r="U411" s="448">
        <v>0</v>
      </c>
      <c r="V411" s="449">
        <v>1002195.42</v>
      </c>
      <c r="W411" s="446"/>
      <c r="X411" s="448">
        <v>591815.43000000005</v>
      </c>
      <c r="Y411" s="448">
        <v>0</v>
      </c>
      <c r="Z411" s="449">
        <v>591815.43000000005</v>
      </c>
      <c r="AA411" s="446"/>
    </row>
    <row r="412" spans="2:27" s="443" customFormat="1">
      <c r="B412" s="238">
        <v>45900</v>
      </c>
      <c r="C412" s="588"/>
      <c r="D412" s="448">
        <v>295436.5</v>
      </c>
      <c r="E412" s="448">
        <v>0</v>
      </c>
      <c r="F412" s="448">
        <v>295436.5</v>
      </c>
      <c r="G412" s="588"/>
      <c r="H412" s="448">
        <v>3780535.39</v>
      </c>
      <c r="I412" s="448">
        <v>0</v>
      </c>
      <c r="J412" s="449">
        <v>3780535.39</v>
      </c>
      <c r="K412" s="446"/>
      <c r="L412" s="448">
        <v>6864932.1600000001</v>
      </c>
      <c r="M412" s="448">
        <v>0</v>
      </c>
      <c r="N412" s="449">
        <v>6864932.1600000001</v>
      </c>
      <c r="O412" s="446"/>
      <c r="P412" s="448">
        <v>364234.15</v>
      </c>
      <c r="Q412" s="448">
        <v>0</v>
      </c>
      <c r="R412" s="449">
        <v>364234.15</v>
      </c>
      <c r="S412" s="446"/>
      <c r="T412" s="448">
        <v>1002195.42</v>
      </c>
      <c r="U412" s="448">
        <v>0</v>
      </c>
      <c r="V412" s="449">
        <v>1002195.42</v>
      </c>
      <c r="W412" s="446"/>
      <c r="X412" s="448">
        <v>591815.43000000005</v>
      </c>
      <c r="Y412" s="448">
        <v>0</v>
      </c>
      <c r="Z412" s="449">
        <v>591815.43000000005</v>
      </c>
      <c r="AA412" s="446"/>
    </row>
    <row r="413" spans="2:27" s="443" customFormat="1">
      <c r="B413" s="238">
        <v>45901</v>
      </c>
      <c r="C413" s="588"/>
      <c r="D413" s="448">
        <v>295436.5</v>
      </c>
      <c r="E413" s="448">
        <v>0</v>
      </c>
      <c r="F413" s="448">
        <v>295436.5</v>
      </c>
      <c r="G413" s="588"/>
      <c r="H413" s="448">
        <v>3780535.39</v>
      </c>
      <c r="I413" s="448">
        <v>0</v>
      </c>
      <c r="J413" s="449">
        <v>3780535.39</v>
      </c>
      <c r="K413" s="446"/>
      <c r="L413" s="448">
        <v>6864932.1600000001</v>
      </c>
      <c r="M413" s="448">
        <v>0</v>
      </c>
      <c r="N413" s="449">
        <v>6864932.1600000001</v>
      </c>
      <c r="O413" s="446"/>
      <c r="P413" s="448">
        <v>364234.15</v>
      </c>
      <c r="Q413" s="448">
        <v>0</v>
      </c>
      <c r="R413" s="449">
        <v>364234.15</v>
      </c>
      <c r="S413" s="446"/>
      <c r="T413" s="448">
        <v>1002195.42</v>
      </c>
      <c r="U413" s="448">
        <v>0</v>
      </c>
      <c r="V413" s="449">
        <v>1002195.42</v>
      </c>
      <c r="W413" s="446"/>
      <c r="X413" s="448">
        <v>591815.43000000005</v>
      </c>
      <c r="Y413" s="448">
        <v>0</v>
      </c>
      <c r="Z413" s="449">
        <v>591815.43000000005</v>
      </c>
      <c r="AA413" s="446"/>
    </row>
    <row r="414" spans="2:27" s="443" customFormat="1">
      <c r="B414" s="238">
        <v>45902</v>
      </c>
      <c r="C414" s="588"/>
      <c r="D414" s="448">
        <v>295436.5</v>
      </c>
      <c r="E414" s="448">
        <v>85056.77000006102</v>
      </c>
      <c r="F414" s="448">
        <v>380493.27</v>
      </c>
      <c r="G414" s="588"/>
      <c r="H414" s="448">
        <v>3780535.39</v>
      </c>
      <c r="I414" s="448">
        <v>154631.67999996245</v>
      </c>
      <c r="J414" s="449">
        <v>3935167.07</v>
      </c>
      <c r="K414" s="446"/>
      <c r="L414" s="448">
        <v>6864932.1600000001</v>
      </c>
      <c r="M414" s="448">
        <v>3014510.8400002122</v>
      </c>
      <c r="N414" s="449">
        <v>9879443</v>
      </c>
      <c r="O414" s="446"/>
      <c r="P414" s="448">
        <v>364234.15</v>
      </c>
      <c r="Q414" s="448">
        <v>-770.56000014301389</v>
      </c>
      <c r="R414" s="449">
        <v>363463.59</v>
      </c>
      <c r="S414" s="446"/>
      <c r="T414" s="448">
        <v>1002195.42</v>
      </c>
      <c r="U414" s="448">
        <v>-787379.76999983378</v>
      </c>
      <c r="V414" s="449">
        <v>214815.65</v>
      </c>
      <c r="W414" s="446"/>
      <c r="X414" s="448">
        <v>591815.43000000005</v>
      </c>
      <c r="Y414" s="448">
        <v>0</v>
      </c>
      <c r="Z414" s="449">
        <v>591815.43000000005</v>
      </c>
      <c r="AA414" s="446"/>
    </row>
    <row r="415" spans="2:27" s="443" customFormat="1">
      <c r="B415" s="238">
        <v>45903</v>
      </c>
      <c r="C415" s="588"/>
      <c r="D415" s="448">
        <v>380493.27</v>
      </c>
      <c r="E415" s="448">
        <v>100409.9700000491</v>
      </c>
      <c r="F415" s="448">
        <v>480903.24</v>
      </c>
      <c r="G415" s="588"/>
      <c r="H415" s="448">
        <v>3935167.07</v>
      </c>
      <c r="I415" s="448">
        <v>-890095.83000013232</v>
      </c>
      <c r="J415" s="449">
        <v>3045071.24</v>
      </c>
      <c r="K415" s="446"/>
      <c r="L415" s="448">
        <v>9879443</v>
      </c>
      <c r="M415" s="448">
        <v>3048961.0099999905</v>
      </c>
      <c r="N415" s="449">
        <v>12928404.01</v>
      </c>
      <c r="O415" s="446"/>
      <c r="P415" s="448">
        <v>363463.59</v>
      </c>
      <c r="Q415" s="448">
        <v>89700.180000161752</v>
      </c>
      <c r="R415" s="449">
        <v>453163.77</v>
      </c>
      <c r="S415" s="446"/>
      <c r="T415" s="448">
        <v>214815.65</v>
      </c>
      <c r="U415" s="448">
        <v>591330.32000000402</v>
      </c>
      <c r="V415" s="449">
        <v>806145.97</v>
      </c>
      <c r="W415" s="446"/>
      <c r="X415" s="448">
        <v>591815.43000000005</v>
      </c>
      <c r="Y415" s="448">
        <v>0</v>
      </c>
      <c r="Z415" s="449">
        <v>591815.43000000005</v>
      </c>
      <c r="AA415" s="446"/>
    </row>
    <row r="416" spans="2:27" s="443" customFormat="1">
      <c r="B416" s="238">
        <v>45904</v>
      </c>
      <c r="C416" s="588"/>
      <c r="D416" s="448">
        <v>480903.24</v>
      </c>
      <c r="E416" s="448">
        <v>-364146.92000018992</v>
      </c>
      <c r="F416" s="448">
        <v>116756.32</v>
      </c>
      <c r="G416" s="588"/>
      <c r="H416" s="448">
        <v>3045071.24</v>
      </c>
      <c r="I416" s="448">
        <v>1376842.9200000018</v>
      </c>
      <c r="J416" s="449">
        <v>4421914.16</v>
      </c>
      <c r="K416" s="446"/>
      <c r="L416" s="448">
        <v>12928404.01</v>
      </c>
      <c r="M416" s="448">
        <v>-9994776.2399998903</v>
      </c>
      <c r="N416" s="449">
        <v>2933627.77</v>
      </c>
      <c r="O416" s="446"/>
      <c r="P416" s="448">
        <v>453163.77</v>
      </c>
      <c r="Q416" s="448">
        <v>-356754.13999991398</v>
      </c>
      <c r="R416" s="449">
        <v>96409.63</v>
      </c>
      <c r="S416" s="446"/>
      <c r="T416" s="448">
        <v>806145.97</v>
      </c>
      <c r="U416" s="448">
        <v>-63803.599999694619</v>
      </c>
      <c r="V416" s="449">
        <v>742342.37</v>
      </c>
      <c r="W416" s="446"/>
      <c r="X416" s="448">
        <v>591815.43000000005</v>
      </c>
      <c r="Y416" s="448">
        <v>0</v>
      </c>
      <c r="Z416" s="449">
        <v>591815.43000000005</v>
      </c>
      <c r="AA416" s="446"/>
    </row>
    <row r="417" spans="2:27" s="443" customFormat="1">
      <c r="B417" s="238">
        <v>45905</v>
      </c>
      <c r="C417" s="588"/>
      <c r="D417" s="448">
        <v>116756.32</v>
      </c>
      <c r="E417" s="448">
        <v>469924.82000007667</v>
      </c>
      <c r="F417" s="448">
        <v>586681.14</v>
      </c>
      <c r="G417" s="588"/>
      <c r="H417" s="448">
        <v>4421914.16</v>
      </c>
      <c r="I417" s="448">
        <v>0</v>
      </c>
      <c r="J417" s="449">
        <v>4421914.16</v>
      </c>
      <c r="K417" s="446"/>
      <c r="L417" s="448">
        <v>2933627.77</v>
      </c>
      <c r="M417" s="448">
        <v>2858794.6100000143</v>
      </c>
      <c r="N417" s="449">
        <v>5792422.3799999999</v>
      </c>
      <c r="O417" s="446"/>
      <c r="P417" s="448">
        <v>96409.63</v>
      </c>
      <c r="Q417" s="448">
        <v>723496.77000011411</v>
      </c>
      <c r="R417" s="449">
        <v>819906.4</v>
      </c>
      <c r="S417" s="446"/>
      <c r="T417" s="448">
        <v>742342.37</v>
      </c>
      <c r="U417" s="448">
        <v>-212615.58999990486</v>
      </c>
      <c r="V417" s="449">
        <v>529726.78</v>
      </c>
      <c r="W417" s="446"/>
      <c r="X417" s="448">
        <v>591815.43000000005</v>
      </c>
      <c r="Y417" s="448">
        <v>313135.27000028268</v>
      </c>
      <c r="Z417" s="449">
        <v>904950.7</v>
      </c>
      <c r="AA417" s="446"/>
    </row>
    <row r="418" spans="2:27" s="443" customFormat="1">
      <c r="B418" s="238">
        <v>45906</v>
      </c>
      <c r="C418" s="588"/>
      <c r="D418" s="448">
        <v>586681.14</v>
      </c>
      <c r="E418" s="448">
        <v>0</v>
      </c>
      <c r="F418" s="448">
        <v>586681.14</v>
      </c>
      <c r="G418" s="588"/>
      <c r="H418" s="448">
        <v>4421914.16</v>
      </c>
      <c r="I418" s="448">
        <v>0</v>
      </c>
      <c r="J418" s="449">
        <v>4421914.16</v>
      </c>
      <c r="K418" s="446"/>
      <c r="L418" s="448">
        <v>5792422.3799999999</v>
      </c>
      <c r="M418" s="448">
        <v>0</v>
      </c>
      <c r="N418" s="449">
        <v>5792422.3799999999</v>
      </c>
      <c r="O418" s="446"/>
      <c r="P418" s="448">
        <v>819906.4</v>
      </c>
      <c r="Q418" s="448">
        <v>0</v>
      </c>
      <c r="R418" s="449">
        <v>819906.4</v>
      </c>
      <c r="S418" s="446"/>
      <c r="T418" s="448">
        <v>529726.78</v>
      </c>
      <c r="U418" s="448">
        <v>0</v>
      </c>
      <c r="V418" s="449">
        <v>529726.78</v>
      </c>
      <c r="W418" s="446"/>
      <c r="X418" s="448">
        <v>904950.7</v>
      </c>
      <c r="Y418" s="448">
        <v>0</v>
      </c>
      <c r="Z418" s="449">
        <v>904950.7</v>
      </c>
      <c r="AA418" s="446"/>
    </row>
    <row r="419" spans="2:27" s="443" customFormat="1">
      <c r="B419" s="238">
        <v>45907</v>
      </c>
      <c r="C419" s="588"/>
      <c r="D419" s="448">
        <v>586681.14</v>
      </c>
      <c r="E419" s="448">
        <v>0</v>
      </c>
      <c r="F419" s="448">
        <v>586681.14</v>
      </c>
      <c r="G419" s="588"/>
      <c r="H419" s="448">
        <v>4421914.16</v>
      </c>
      <c r="I419" s="448">
        <v>0</v>
      </c>
      <c r="J419" s="449">
        <v>4421914.16</v>
      </c>
      <c r="K419" s="446"/>
      <c r="L419" s="448">
        <v>5792422.3799999999</v>
      </c>
      <c r="M419" s="448">
        <v>0</v>
      </c>
      <c r="N419" s="449">
        <v>5792422.3799999999</v>
      </c>
      <c r="O419" s="446"/>
      <c r="P419" s="448">
        <v>819906.4</v>
      </c>
      <c r="Q419" s="448">
        <v>0</v>
      </c>
      <c r="R419" s="449">
        <v>819906.4</v>
      </c>
      <c r="S419" s="446"/>
      <c r="T419" s="448">
        <v>529726.78</v>
      </c>
      <c r="U419" s="448">
        <v>0</v>
      </c>
      <c r="V419" s="449">
        <v>529726.78</v>
      </c>
      <c r="W419" s="446"/>
      <c r="X419" s="448">
        <v>904950.7</v>
      </c>
      <c r="Y419" s="448">
        <v>0</v>
      </c>
      <c r="Z419" s="449">
        <v>904950.7</v>
      </c>
      <c r="AA419" s="446"/>
    </row>
    <row r="420" spans="2:27" s="443" customFormat="1">
      <c r="B420" s="238">
        <v>45908</v>
      </c>
      <c r="C420" s="588"/>
      <c r="D420" s="448">
        <v>586681.14</v>
      </c>
      <c r="E420" s="448">
        <v>220840.89000000991</v>
      </c>
      <c r="F420" s="448">
        <v>807522.03</v>
      </c>
      <c r="G420" s="588"/>
      <c r="H420" s="448">
        <v>4421914.16</v>
      </c>
      <c r="I420" s="448">
        <v>0</v>
      </c>
      <c r="J420" s="449">
        <v>4421914.16</v>
      </c>
      <c r="K420" s="446"/>
      <c r="L420" s="448">
        <v>5792422.3799999999</v>
      </c>
      <c r="M420" s="448">
        <v>2869141.9100000858</v>
      </c>
      <c r="N420" s="449">
        <v>8661564.2899999991</v>
      </c>
      <c r="O420" s="446"/>
      <c r="P420" s="448">
        <v>819906.4</v>
      </c>
      <c r="Q420" s="448">
        <v>-453466.14000021014</v>
      </c>
      <c r="R420" s="449">
        <v>366440.26</v>
      </c>
      <c r="S420" s="446"/>
      <c r="T420" s="448">
        <v>529726.78</v>
      </c>
      <c r="U420" s="448">
        <v>246051.73999986611</v>
      </c>
      <c r="V420" s="449">
        <v>775778.52</v>
      </c>
      <c r="W420" s="446"/>
      <c r="X420" s="448">
        <v>904950.7</v>
      </c>
      <c r="Y420" s="448">
        <v>0</v>
      </c>
      <c r="Z420" s="449">
        <v>904950.7</v>
      </c>
      <c r="AA420" s="446"/>
    </row>
    <row r="421" spans="2:27" s="443" customFormat="1">
      <c r="B421" s="238">
        <v>45909</v>
      </c>
      <c r="C421" s="588"/>
      <c r="D421" s="448">
        <v>807522.03</v>
      </c>
      <c r="E421" s="448">
        <v>-349163.59999822639</v>
      </c>
      <c r="F421" s="448">
        <v>458358.43</v>
      </c>
      <c r="G421" s="588"/>
      <c r="H421" s="448">
        <v>4421914.16</v>
      </c>
      <c r="I421" s="448">
        <v>0</v>
      </c>
      <c r="J421" s="449">
        <v>4421914.16</v>
      </c>
      <c r="K421" s="446"/>
      <c r="L421" s="448">
        <v>8661564.2899999991</v>
      </c>
      <c r="M421" s="448">
        <v>2728872.0999999046</v>
      </c>
      <c r="N421" s="449">
        <v>11390436.390000001</v>
      </c>
      <c r="O421" s="446"/>
      <c r="P421" s="448">
        <v>366440.26</v>
      </c>
      <c r="Q421" s="448">
        <v>538055.13999994285</v>
      </c>
      <c r="R421" s="449">
        <v>904495.4</v>
      </c>
      <c r="S421" s="446"/>
      <c r="T421" s="448">
        <v>775778.52</v>
      </c>
      <c r="U421" s="448">
        <v>-654210.04000017233</v>
      </c>
      <c r="V421" s="449">
        <v>121568.48</v>
      </c>
      <c r="W421" s="446"/>
      <c r="X421" s="448">
        <v>904950.7</v>
      </c>
      <c r="Y421" s="448">
        <v>0</v>
      </c>
      <c r="Z421" s="449">
        <v>904950.7</v>
      </c>
      <c r="AA421" s="446"/>
    </row>
    <row r="422" spans="2:27" s="443" customFormat="1">
      <c r="B422" s="238">
        <v>45910</v>
      </c>
      <c r="C422" s="588"/>
      <c r="D422" s="448">
        <v>458358.43</v>
      </c>
      <c r="E422" s="448">
        <v>286490780.17999983</v>
      </c>
      <c r="F422" s="448">
        <v>286949138.61000001</v>
      </c>
      <c r="G422" s="588"/>
      <c r="H422" s="448">
        <v>4421914.16</v>
      </c>
      <c r="I422" s="448">
        <v>428999999.99999994</v>
      </c>
      <c r="J422" s="449">
        <v>433421914.16000003</v>
      </c>
      <c r="K422" s="446"/>
      <c r="L422" s="448">
        <v>11390436.390000001</v>
      </c>
      <c r="M422" s="448">
        <v>289776177.51000005</v>
      </c>
      <c r="N422" s="449">
        <v>301166613.89999998</v>
      </c>
      <c r="O422" s="446"/>
      <c r="P422" s="448">
        <v>904495.4</v>
      </c>
      <c r="Q422" s="448">
        <v>243123133.45000008</v>
      </c>
      <c r="R422" s="449">
        <v>244027628.84999999</v>
      </c>
      <c r="S422" s="446"/>
      <c r="T422" s="448">
        <v>121568.48</v>
      </c>
      <c r="U422" s="448">
        <v>141865611.62000018</v>
      </c>
      <c r="V422" s="449">
        <v>141987180.09999999</v>
      </c>
      <c r="W422" s="446"/>
      <c r="X422" s="448">
        <v>904950.7</v>
      </c>
      <c r="Y422" s="448">
        <v>0</v>
      </c>
      <c r="Z422" s="449">
        <v>904950.7</v>
      </c>
      <c r="AA422" s="446"/>
    </row>
    <row r="423" spans="2:27">
      <c r="B423" s="238">
        <v>45911</v>
      </c>
      <c r="C423" s="589"/>
      <c r="D423" s="587">
        <v>286949138.61000001</v>
      </c>
      <c r="E423" s="587">
        <v>-286370405.46000004</v>
      </c>
      <c r="F423" s="587">
        <v>578733.15</v>
      </c>
      <c r="H423" s="587">
        <v>433421914.16000003</v>
      </c>
      <c r="I423" s="587">
        <v>-430275494.0599997</v>
      </c>
      <c r="J423" s="587">
        <v>3146420.1</v>
      </c>
      <c r="L423" s="587">
        <v>301166613.89999998</v>
      </c>
      <c r="M423" s="587">
        <v>-298930098.86000007</v>
      </c>
      <c r="N423" s="587">
        <v>2236515.04</v>
      </c>
      <c r="P423" s="587">
        <v>244027628.84999999</v>
      </c>
      <c r="Q423" s="587">
        <v>-243333754.29999986</v>
      </c>
      <c r="R423" s="587">
        <v>693874.55</v>
      </c>
      <c r="T423" s="587">
        <v>141987180.09999999</v>
      </c>
      <c r="U423" s="587">
        <v>-141036669.10000005</v>
      </c>
      <c r="V423" s="587">
        <v>950511</v>
      </c>
      <c r="X423" s="587">
        <v>904950.7</v>
      </c>
      <c r="Y423" s="587">
        <v>0</v>
      </c>
      <c r="Z423" s="587">
        <v>904950.7</v>
      </c>
    </row>
    <row r="424" spans="2:27">
      <c r="B424" s="238">
        <v>45912</v>
      </c>
      <c r="D424" s="587">
        <v>578733.15</v>
      </c>
      <c r="E424" s="587">
        <v>-51139.989999689162</v>
      </c>
      <c r="F424" s="587">
        <v>527593.16</v>
      </c>
      <c r="H424" s="587">
        <v>3146420.1</v>
      </c>
      <c r="I424" s="587">
        <v>-1432780.8000003807</v>
      </c>
      <c r="J424" s="587">
        <v>1713639.3</v>
      </c>
      <c r="L424" s="587">
        <v>2236515.04</v>
      </c>
      <c r="M424" s="587">
        <v>907025.11999974726</v>
      </c>
      <c r="N424" s="587">
        <v>3143540.16</v>
      </c>
      <c r="P424" s="587">
        <v>693874.55</v>
      </c>
      <c r="Q424" s="587">
        <v>-664153.02999975951</v>
      </c>
      <c r="R424" s="587">
        <v>29721.52</v>
      </c>
      <c r="T424" s="587">
        <v>950511</v>
      </c>
      <c r="U424" s="587">
        <v>-10120.799999764189</v>
      </c>
      <c r="V424" s="587">
        <v>940390.2</v>
      </c>
      <c r="X424" s="587">
        <v>904950.7</v>
      </c>
      <c r="Y424" s="587">
        <v>-486727.92000049725</v>
      </c>
      <c r="Z424" s="587">
        <v>418222.78</v>
      </c>
    </row>
    <row r="425" spans="2:27">
      <c r="B425" s="238">
        <v>45913</v>
      </c>
      <c r="D425" s="587">
        <v>527593.16</v>
      </c>
      <c r="E425" s="587">
        <v>0</v>
      </c>
      <c r="F425" s="587">
        <v>527593.16</v>
      </c>
      <c r="H425" s="587">
        <v>1713639.3</v>
      </c>
      <c r="I425" s="587">
        <v>0</v>
      </c>
      <c r="J425" s="587">
        <v>1713639.3</v>
      </c>
      <c r="L425" s="587">
        <v>3143540.16</v>
      </c>
      <c r="M425" s="587">
        <v>0</v>
      </c>
      <c r="N425" s="587">
        <v>3143540.16</v>
      </c>
      <c r="P425" s="587">
        <v>29721.52</v>
      </c>
      <c r="Q425" s="587">
        <v>0</v>
      </c>
      <c r="R425" s="587">
        <v>29721.52</v>
      </c>
      <c r="T425" s="587">
        <v>940390.2</v>
      </c>
      <c r="U425" s="587">
        <v>0</v>
      </c>
      <c r="V425" s="587">
        <v>940390.2</v>
      </c>
      <c r="X425" s="587">
        <v>418222.78</v>
      </c>
      <c r="Y425" s="587">
        <v>0</v>
      </c>
      <c r="Z425" s="587">
        <v>418222.78</v>
      </c>
    </row>
    <row r="426" spans="2:27">
      <c r="B426" s="238">
        <v>45914</v>
      </c>
      <c r="D426" s="587">
        <v>527593.16</v>
      </c>
      <c r="E426" s="587">
        <v>0</v>
      </c>
      <c r="F426" s="587">
        <v>527593.16</v>
      </c>
      <c r="H426" s="587">
        <v>1713639.3</v>
      </c>
      <c r="I426" s="587">
        <v>0</v>
      </c>
      <c r="J426" s="587">
        <v>1713639.3</v>
      </c>
      <c r="L426" s="587">
        <v>3143540.16</v>
      </c>
      <c r="M426" s="587">
        <v>0</v>
      </c>
      <c r="N426" s="587">
        <v>3143540.16</v>
      </c>
      <c r="P426" s="587">
        <v>29721.52</v>
      </c>
      <c r="Q426" s="587">
        <v>0</v>
      </c>
      <c r="R426" s="587">
        <v>29721.52</v>
      </c>
      <c r="T426" s="587">
        <v>940390.2</v>
      </c>
      <c r="U426" s="587">
        <v>0</v>
      </c>
      <c r="V426" s="587">
        <v>940390.2</v>
      </c>
      <c r="X426" s="587">
        <v>418222.78</v>
      </c>
      <c r="Y426" s="587">
        <v>0</v>
      </c>
      <c r="Z426" s="587">
        <v>418222.78</v>
      </c>
    </row>
    <row r="427" spans="2:27">
      <c r="B427" s="238">
        <v>45915</v>
      </c>
      <c r="D427" s="587">
        <v>527593.16</v>
      </c>
      <c r="E427" s="587">
        <v>-170302.45000022836</v>
      </c>
      <c r="F427" s="587">
        <v>357290.71</v>
      </c>
      <c r="H427" s="587">
        <v>1713639.3</v>
      </c>
      <c r="I427" s="587">
        <v>847459.68000003695</v>
      </c>
      <c r="J427" s="587">
        <v>2561098.98</v>
      </c>
      <c r="L427" s="587">
        <v>3143540.16</v>
      </c>
      <c r="M427" s="587">
        <v>836349.82999992371</v>
      </c>
      <c r="N427" s="587">
        <v>3979889.99</v>
      </c>
      <c r="P427" s="587">
        <v>29721.52</v>
      </c>
      <c r="Q427" s="587">
        <v>765183.21999983769</v>
      </c>
      <c r="R427" s="587">
        <v>794904.74</v>
      </c>
      <c r="T427" s="587">
        <v>940390.2</v>
      </c>
      <c r="U427" s="587">
        <v>-47829.869999933988</v>
      </c>
      <c r="V427" s="587">
        <v>892560.33</v>
      </c>
      <c r="X427" s="587">
        <v>418222.78</v>
      </c>
      <c r="Y427" s="587">
        <v>0</v>
      </c>
      <c r="Z427" s="587">
        <v>418222.78</v>
      </c>
    </row>
    <row r="428" spans="2:27" s="443" customFormat="1">
      <c r="B428" s="238">
        <v>45916</v>
      </c>
      <c r="C428" s="446"/>
      <c r="D428" s="587">
        <v>357290.71</v>
      </c>
      <c r="E428" s="587">
        <v>1536317.2399998084</v>
      </c>
      <c r="F428" s="587">
        <v>1893607.95</v>
      </c>
      <c r="G428" s="446"/>
      <c r="H428" s="587">
        <v>2561098.98</v>
      </c>
      <c r="I428" s="587">
        <v>1421374.739999637</v>
      </c>
      <c r="J428" s="587">
        <v>3982473.72</v>
      </c>
      <c r="K428" s="446"/>
      <c r="L428" s="587">
        <v>3979889.99</v>
      </c>
      <c r="M428" s="587">
        <v>4602107.7999999523</v>
      </c>
      <c r="N428" s="587">
        <v>8581997.7899999991</v>
      </c>
      <c r="O428" s="446"/>
      <c r="P428" s="587">
        <v>794904.74</v>
      </c>
      <c r="Q428" s="587">
        <v>-200097.61999994237</v>
      </c>
      <c r="R428" s="587">
        <v>594807.12</v>
      </c>
      <c r="S428" s="446"/>
      <c r="T428" s="587">
        <v>892560.33</v>
      </c>
      <c r="U428" s="587">
        <v>-389599.60000015236</v>
      </c>
      <c r="V428" s="587">
        <v>502960.73</v>
      </c>
      <c r="W428" s="446"/>
      <c r="X428" s="587">
        <v>418222.78</v>
      </c>
      <c r="Y428" s="587">
        <v>0</v>
      </c>
      <c r="Z428" s="587">
        <v>418222.78</v>
      </c>
      <c r="AA428" s="446"/>
    </row>
    <row r="429" spans="2:27" s="443" customFormat="1">
      <c r="B429" s="238">
        <v>45917</v>
      </c>
      <c r="C429" s="446"/>
      <c r="D429" s="587">
        <v>1893607.95</v>
      </c>
      <c r="E429" s="587">
        <v>-945787.11999959871</v>
      </c>
      <c r="F429" s="587">
        <v>947820.83</v>
      </c>
      <c r="G429" s="446"/>
      <c r="H429" s="587">
        <v>3982473.72</v>
      </c>
      <c r="I429" s="587">
        <v>755975.95999992266</v>
      </c>
      <c r="J429" s="587">
        <v>4738449.68</v>
      </c>
      <c r="K429" s="446"/>
      <c r="L429" s="587">
        <v>8581997.7899999991</v>
      </c>
      <c r="M429" s="587">
        <v>993652.27999986429</v>
      </c>
      <c r="N429" s="587">
        <v>9575650.0700000003</v>
      </c>
      <c r="O429" s="446"/>
      <c r="P429" s="587">
        <v>594807.12</v>
      </c>
      <c r="Q429" s="587">
        <v>-111853.28000014275</v>
      </c>
      <c r="R429" s="587">
        <v>482953.84</v>
      </c>
      <c r="S429" s="446"/>
      <c r="T429" s="587">
        <v>502960.73</v>
      </c>
      <c r="U429" s="587">
        <v>-14045.180000094697</v>
      </c>
      <c r="V429" s="587">
        <v>488915.55</v>
      </c>
      <c r="W429" s="446"/>
      <c r="X429" s="587">
        <v>418222.78</v>
      </c>
      <c r="Y429" s="587">
        <v>0</v>
      </c>
      <c r="Z429" s="587">
        <v>418222.78</v>
      </c>
      <c r="AA429" s="446"/>
    </row>
    <row r="430" spans="2:27" s="443" customFormat="1">
      <c r="B430" s="238">
        <v>45918</v>
      </c>
      <c r="C430" s="446"/>
      <c r="D430" s="587">
        <v>947820.83</v>
      </c>
      <c r="E430" s="587">
        <v>-5813.7100000195205</v>
      </c>
      <c r="F430" s="587">
        <v>942007.12</v>
      </c>
      <c r="G430" s="446"/>
      <c r="H430" s="587">
        <v>4738449.68</v>
      </c>
      <c r="I430" s="587">
        <v>-1927775.0500001907</v>
      </c>
      <c r="J430" s="587">
        <v>2810674.63</v>
      </c>
      <c r="K430" s="446"/>
      <c r="L430" s="587">
        <v>9575650.0700000003</v>
      </c>
      <c r="M430" s="587">
        <v>4560590.9599996805</v>
      </c>
      <c r="N430" s="587">
        <v>14136241.029999999</v>
      </c>
      <c r="O430" s="446"/>
      <c r="P430" s="587">
        <v>482953.84</v>
      </c>
      <c r="Q430" s="587">
        <v>214273.05000018142</v>
      </c>
      <c r="R430" s="587">
        <v>697226.89</v>
      </c>
      <c r="S430" s="446"/>
      <c r="T430" s="587">
        <v>488915.55</v>
      </c>
      <c r="U430" s="587">
        <v>-417811.29000013741</v>
      </c>
      <c r="V430" s="587">
        <v>71104.259999999995</v>
      </c>
      <c r="W430" s="446"/>
      <c r="X430" s="587">
        <v>418222.78</v>
      </c>
      <c r="Y430" s="587">
        <v>0</v>
      </c>
      <c r="Z430" s="587">
        <v>418222.78</v>
      </c>
      <c r="AA430" s="446"/>
    </row>
    <row r="431" spans="2:27" s="443" customFormat="1">
      <c r="B431" s="238">
        <v>45919</v>
      </c>
      <c r="C431" s="446"/>
      <c r="D431" s="587">
        <v>942007.12</v>
      </c>
      <c r="E431" s="587">
        <v>-366785.71000000089</v>
      </c>
      <c r="F431" s="587">
        <v>575221.41</v>
      </c>
      <c r="G431" s="446"/>
      <c r="H431" s="587">
        <v>2810674.63</v>
      </c>
      <c r="I431" s="587">
        <v>1625585.3599996008</v>
      </c>
      <c r="J431" s="587">
        <v>4436259.99</v>
      </c>
      <c r="K431" s="446"/>
      <c r="L431" s="587">
        <v>14136241.029999999</v>
      </c>
      <c r="M431" s="587">
        <v>-13289549.210000211</v>
      </c>
      <c r="N431" s="587">
        <v>846691.82</v>
      </c>
      <c r="O431" s="446"/>
      <c r="P431" s="587">
        <v>697226.89</v>
      </c>
      <c r="Q431" s="587">
        <v>237785.05000006687</v>
      </c>
      <c r="R431" s="587">
        <v>935011.94</v>
      </c>
      <c r="S431" s="446"/>
      <c r="T431" s="587">
        <v>71104.259999999995</v>
      </c>
      <c r="U431" s="587">
        <v>793639.92999999039</v>
      </c>
      <c r="V431" s="587">
        <v>864744.19</v>
      </c>
      <c r="W431" s="446"/>
      <c r="X431" s="587">
        <v>418222.78</v>
      </c>
      <c r="Y431" s="587">
        <v>91633.74000017345</v>
      </c>
      <c r="Z431" s="587">
        <v>509856.52</v>
      </c>
      <c r="AA431" s="446"/>
    </row>
    <row r="432" spans="2:27" s="443" customFormat="1">
      <c r="B432" s="238">
        <v>45920</v>
      </c>
      <c r="C432" s="446"/>
      <c r="D432" s="587">
        <v>575221.41</v>
      </c>
      <c r="E432" s="587">
        <v>0</v>
      </c>
      <c r="F432" s="587">
        <v>575221.41</v>
      </c>
      <c r="G432" s="446"/>
      <c r="H432" s="587">
        <v>4436259.99</v>
      </c>
      <c r="I432" s="587">
        <v>0</v>
      </c>
      <c r="J432" s="587">
        <v>4436259.99</v>
      </c>
      <c r="K432" s="446"/>
      <c r="L432" s="587">
        <v>846691.82</v>
      </c>
      <c r="M432" s="587">
        <v>0</v>
      </c>
      <c r="N432" s="587">
        <v>846691.82</v>
      </c>
      <c r="O432" s="446"/>
      <c r="P432" s="587">
        <v>935011.94</v>
      </c>
      <c r="Q432" s="587">
        <v>0</v>
      </c>
      <c r="R432" s="587">
        <v>935011.94</v>
      </c>
      <c r="S432" s="446"/>
      <c r="T432" s="587">
        <v>864744.19</v>
      </c>
      <c r="U432" s="587">
        <v>0</v>
      </c>
      <c r="V432" s="587">
        <v>864744.19</v>
      </c>
      <c r="W432" s="446"/>
      <c r="X432" s="587">
        <v>509856.52</v>
      </c>
      <c r="Y432" s="587">
        <v>0</v>
      </c>
      <c r="Z432" s="587">
        <v>509856.52</v>
      </c>
      <c r="AA432" s="446"/>
    </row>
    <row r="433" spans="2:27" s="443" customFormat="1">
      <c r="B433" s="238">
        <v>45921</v>
      </c>
      <c r="C433" s="446"/>
      <c r="D433" s="587">
        <v>575221.41</v>
      </c>
      <c r="E433" s="587">
        <v>0</v>
      </c>
      <c r="F433" s="587">
        <v>575221.41</v>
      </c>
      <c r="G433" s="446"/>
      <c r="H433" s="587">
        <v>4436259.99</v>
      </c>
      <c r="I433" s="587">
        <v>0</v>
      </c>
      <c r="J433" s="587">
        <v>4436259.99</v>
      </c>
      <c r="K433" s="446"/>
      <c r="L433" s="587">
        <v>846691.82</v>
      </c>
      <c r="M433" s="587">
        <v>0</v>
      </c>
      <c r="N433" s="587">
        <v>846691.82</v>
      </c>
      <c r="O433" s="446"/>
      <c r="P433" s="587">
        <v>935011.94</v>
      </c>
      <c r="Q433" s="587">
        <v>0</v>
      </c>
      <c r="R433" s="587">
        <v>935011.94</v>
      </c>
      <c r="S433" s="446"/>
      <c r="T433" s="587">
        <v>864744.19</v>
      </c>
      <c r="U433" s="587">
        <v>0</v>
      </c>
      <c r="V433" s="587">
        <v>864744.19</v>
      </c>
      <c r="W433" s="446"/>
      <c r="X433" s="587">
        <v>509856.52</v>
      </c>
      <c r="Y433" s="587">
        <v>0</v>
      </c>
      <c r="Z433" s="587">
        <v>509856.52</v>
      </c>
      <c r="AA433" s="446"/>
    </row>
    <row r="434" spans="2:27" s="443" customFormat="1">
      <c r="B434" s="238">
        <v>45922</v>
      </c>
      <c r="C434" s="446"/>
      <c r="D434" s="587">
        <v>575221.41</v>
      </c>
      <c r="E434" s="587">
        <v>278672.75000007637</v>
      </c>
      <c r="F434" s="587">
        <v>853894.16</v>
      </c>
      <c r="G434" s="446"/>
      <c r="H434" s="587">
        <v>4436259.99</v>
      </c>
      <c r="I434" s="587">
        <v>-2350464.4900004379</v>
      </c>
      <c r="J434" s="587">
        <v>2085795.5</v>
      </c>
      <c r="K434" s="446"/>
      <c r="L434" s="587">
        <v>846691.82</v>
      </c>
      <c r="M434" s="587">
        <v>78737.470000023954</v>
      </c>
      <c r="N434" s="587">
        <v>925429.29</v>
      </c>
      <c r="O434" s="446"/>
      <c r="P434" s="587">
        <v>935011.94</v>
      </c>
      <c r="Q434" s="587">
        <v>-631677.35000030138</v>
      </c>
      <c r="R434" s="587">
        <v>303334.59000000003</v>
      </c>
      <c r="S434" s="446"/>
      <c r="T434" s="587">
        <v>864744.19</v>
      </c>
      <c r="U434" s="587">
        <v>-467169.4999998752</v>
      </c>
      <c r="V434" s="587">
        <v>397574.69</v>
      </c>
      <c r="W434" s="446"/>
      <c r="X434" s="587">
        <v>509856.52</v>
      </c>
      <c r="Y434" s="587">
        <v>0</v>
      </c>
      <c r="Z434" s="587">
        <v>509856.52</v>
      </c>
      <c r="AA434" s="446"/>
    </row>
    <row r="435" spans="2:27" s="443" customFormat="1">
      <c r="B435" s="238">
        <v>45923</v>
      </c>
      <c r="C435" s="446"/>
      <c r="D435" s="587">
        <v>853894.16</v>
      </c>
      <c r="E435" s="587">
        <v>534909.17000246048</v>
      </c>
      <c r="F435" s="587">
        <v>1388803.33</v>
      </c>
      <c r="G435" s="446"/>
      <c r="H435" s="587">
        <v>2085795.5</v>
      </c>
      <c r="I435" s="587">
        <v>466832.78999923542</v>
      </c>
      <c r="J435" s="587">
        <v>2552628.29</v>
      </c>
      <c r="K435" s="446"/>
      <c r="L435" s="587">
        <v>925429.29</v>
      </c>
      <c r="M435" s="587">
        <v>-338296.19000017643</v>
      </c>
      <c r="N435" s="587">
        <v>587133.1</v>
      </c>
      <c r="O435" s="446"/>
      <c r="P435" s="587">
        <v>303334.59000000003</v>
      </c>
      <c r="Q435" s="587">
        <v>7469.9999997997656</v>
      </c>
      <c r="R435" s="587">
        <v>310804.59000000003</v>
      </c>
      <c r="S435" s="446"/>
      <c r="T435" s="587">
        <v>397574.69</v>
      </c>
      <c r="U435" s="587">
        <v>512323.52000015229</v>
      </c>
      <c r="V435" s="587">
        <v>909898.21</v>
      </c>
      <c r="W435" s="446"/>
      <c r="X435" s="587">
        <v>509856.52</v>
      </c>
      <c r="Y435" s="587">
        <v>0</v>
      </c>
      <c r="Z435" s="587">
        <v>509856.52</v>
      </c>
      <c r="AA435" s="446"/>
    </row>
    <row r="436" spans="2:27" s="443" customFormat="1">
      <c r="B436" s="238">
        <v>45924</v>
      </c>
      <c r="C436" s="446"/>
      <c r="D436" s="587">
        <v>1388803.33</v>
      </c>
      <c r="E436" s="587">
        <v>-780494.95999980904</v>
      </c>
      <c r="F436" s="587">
        <v>608308.37</v>
      </c>
      <c r="G436" s="446"/>
      <c r="H436" s="587">
        <v>2552628.29</v>
      </c>
      <c r="I436" s="587">
        <v>26169101.909999728</v>
      </c>
      <c r="J436" s="587">
        <v>28721730.199999999</v>
      </c>
      <c r="K436" s="446"/>
      <c r="L436" s="587">
        <v>587133.1</v>
      </c>
      <c r="M436" s="587">
        <v>3616962.469999671</v>
      </c>
      <c r="N436" s="587">
        <v>4204095.57</v>
      </c>
      <c r="O436" s="446"/>
      <c r="P436" s="587">
        <v>310804.59000000003</v>
      </c>
      <c r="Q436" s="587">
        <v>57262.29000000935</v>
      </c>
      <c r="R436" s="587">
        <v>368066.88</v>
      </c>
      <c r="S436" s="446"/>
      <c r="T436" s="587">
        <v>909898.21</v>
      </c>
      <c r="U436" s="587">
        <v>-555183.63999995217</v>
      </c>
      <c r="V436" s="587">
        <v>354714.57</v>
      </c>
      <c r="W436" s="446"/>
      <c r="X436" s="587">
        <v>509856.52</v>
      </c>
      <c r="Y436" s="587">
        <v>0</v>
      </c>
      <c r="Z436" s="587">
        <v>509856.52</v>
      </c>
      <c r="AA436" s="446"/>
    </row>
    <row r="437" spans="2:27" s="443" customFormat="1">
      <c r="B437" s="238">
        <v>45925</v>
      </c>
      <c r="C437" s="446"/>
      <c r="D437" s="587">
        <v>608308.37</v>
      </c>
      <c r="E437" s="587">
        <v>392450.94999993406</v>
      </c>
      <c r="F437" s="587">
        <v>1000759.32</v>
      </c>
      <c r="G437" s="446"/>
      <c r="H437" s="587">
        <v>28721730.199999999</v>
      </c>
      <c r="I437" s="587">
        <v>-25533565.809999857</v>
      </c>
      <c r="J437" s="587">
        <v>3188164.39</v>
      </c>
      <c r="K437" s="446"/>
      <c r="L437" s="587">
        <v>4204095.57</v>
      </c>
      <c r="M437" s="587">
        <v>3844501.9500001371</v>
      </c>
      <c r="N437" s="587">
        <v>8048597.5199999996</v>
      </c>
      <c r="O437" s="446"/>
      <c r="P437" s="587">
        <v>368066.88</v>
      </c>
      <c r="Q437" s="587">
        <v>606073.5899997605</v>
      </c>
      <c r="R437" s="587">
        <v>974140.47</v>
      </c>
      <c r="S437" s="446"/>
      <c r="T437" s="587">
        <v>354714.57</v>
      </c>
      <c r="U437" s="587">
        <v>-249198.26999981888</v>
      </c>
      <c r="V437" s="587">
        <v>105516.3</v>
      </c>
      <c r="W437" s="446"/>
      <c r="X437" s="587">
        <v>509856.52</v>
      </c>
      <c r="Y437" s="587">
        <v>0</v>
      </c>
      <c r="Z437" s="587">
        <v>509856.52</v>
      </c>
      <c r="AA437" s="446"/>
    </row>
    <row r="438" spans="2:27" s="443" customFormat="1">
      <c r="B438" s="238">
        <v>45926</v>
      </c>
      <c r="C438" s="446"/>
      <c r="D438" s="587">
        <v>1000759.32</v>
      </c>
      <c r="E438" s="587">
        <v>912964.39000012353</v>
      </c>
      <c r="F438" s="587">
        <v>1913723.71</v>
      </c>
      <c r="G438" s="446"/>
      <c r="H438" s="587">
        <v>3188164.39</v>
      </c>
      <c r="I438" s="587">
        <v>-1245952.0100000016</v>
      </c>
      <c r="J438" s="587">
        <v>1942212.38</v>
      </c>
      <c r="K438" s="446"/>
      <c r="L438" s="587">
        <v>8048597.5199999996</v>
      </c>
      <c r="M438" s="587">
        <v>4416900.0300008953</v>
      </c>
      <c r="N438" s="587">
        <v>12465497.550000001</v>
      </c>
      <c r="O438" s="446"/>
      <c r="P438" s="587">
        <v>974140.47</v>
      </c>
      <c r="Q438" s="587">
        <v>55734.219999980414</v>
      </c>
      <c r="R438" s="587">
        <v>1029874.69</v>
      </c>
      <c r="S438" s="446"/>
      <c r="T438" s="587">
        <v>105516.3</v>
      </c>
      <c r="U438" s="587">
        <v>287191.34000001848</v>
      </c>
      <c r="V438" s="587">
        <v>392707.64</v>
      </c>
      <c r="W438" s="446"/>
      <c r="X438" s="587">
        <v>509856.52</v>
      </c>
      <c r="Y438" s="587">
        <v>482982.84999978915</v>
      </c>
      <c r="Z438" s="587">
        <v>992839.37</v>
      </c>
      <c r="AA438" s="446"/>
    </row>
    <row r="439" spans="2:27" s="443" customFormat="1">
      <c r="B439" s="238">
        <v>45927</v>
      </c>
      <c r="C439" s="446"/>
      <c r="D439" s="587">
        <v>1913723.71</v>
      </c>
      <c r="E439" s="587">
        <v>0</v>
      </c>
      <c r="F439" s="587">
        <v>1913723.71</v>
      </c>
      <c r="G439" s="446"/>
      <c r="H439" s="587">
        <v>1942212.38</v>
      </c>
      <c r="I439" s="587">
        <v>0</v>
      </c>
      <c r="J439" s="587">
        <v>1942212.38</v>
      </c>
      <c r="K439" s="446"/>
      <c r="L439" s="587">
        <v>12465497.550000001</v>
      </c>
      <c r="M439" s="587">
        <v>0</v>
      </c>
      <c r="N439" s="587">
        <v>12465497.550000001</v>
      </c>
      <c r="O439" s="446"/>
      <c r="P439" s="587">
        <v>1029874.69</v>
      </c>
      <c r="Q439" s="587">
        <v>0</v>
      </c>
      <c r="R439" s="587">
        <v>1029874.69</v>
      </c>
      <c r="S439" s="446"/>
      <c r="T439" s="587">
        <v>392707.64</v>
      </c>
      <c r="U439" s="587">
        <v>0</v>
      </c>
      <c r="V439" s="587">
        <v>392707.64</v>
      </c>
      <c r="W439" s="446"/>
      <c r="X439" s="587">
        <v>992839.37</v>
      </c>
      <c r="Y439" s="587">
        <v>0</v>
      </c>
      <c r="Z439" s="587">
        <v>992839.37</v>
      </c>
      <c r="AA439" s="446"/>
    </row>
    <row r="440" spans="2:27" s="443" customFormat="1">
      <c r="B440" s="238">
        <v>45928</v>
      </c>
      <c r="C440" s="446"/>
      <c r="D440" s="587">
        <v>1913723.71</v>
      </c>
      <c r="E440" s="587">
        <v>0</v>
      </c>
      <c r="F440" s="587">
        <v>1913723.71</v>
      </c>
      <c r="G440" s="446"/>
      <c r="H440" s="587">
        <v>1942212.38</v>
      </c>
      <c r="I440" s="587">
        <v>0</v>
      </c>
      <c r="J440" s="587">
        <v>1942212.38</v>
      </c>
      <c r="K440" s="446"/>
      <c r="L440" s="587">
        <v>12465497.550000001</v>
      </c>
      <c r="M440" s="587">
        <v>0</v>
      </c>
      <c r="N440" s="587">
        <v>12465497.550000001</v>
      </c>
      <c r="O440" s="446"/>
      <c r="P440" s="587">
        <v>1029874.69</v>
      </c>
      <c r="Q440" s="587">
        <v>0</v>
      </c>
      <c r="R440" s="587">
        <v>1029874.69</v>
      </c>
      <c r="S440" s="446"/>
      <c r="T440" s="587">
        <v>392707.64</v>
      </c>
      <c r="U440" s="587">
        <v>0</v>
      </c>
      <c r="V440" s="587">
        <v>392707.64</v>
      </c>
      <c r="W440" s="446"/>
      <c r="X440" s="587">
        <v>992839.37</v>
      </c>
      <c r="Y440" s="587">
        <v>0</v>
      </c>
      <c r="Z440" s="587">
        <v>992839.37</v>
      </c>
      <c r="AA440" s="446"/>
    </row>
    <row r="441" spans="2:27" s="443" customFormat="1">
      <c r="B441" s="238">
        <v>45929</v>
      </c>
      <c r="C441" s="446"/>
      <c r="D441" s="587">
        <v>1913723.71</v>
      </c>
      <c r="E441" s="587">
        <v>-1394453.6999998856</v>
      </c>
      <c r="F441" s="587">
        <v>519270.01</v>
      </c>
      <c r="G441" s="446"/>
      <c r="H441" s="587">
        <v>1942212.38</v>
      </c>
      <c r="I441" s="587">
        <v>279701.02999982797</v>
      </c>
      <c r="J441" s="587">
        <v>2221913.41</v>
      </c>
      <c r="K441" s="446"/>
      <c r="L441" s="587">
        <v>12465497.550000001</v>
      </c>
      <c r="M441" s="587">
        <v>2813945.6100003719</v>
      </c>
      <c r="N441" s="587">
        <v>15279443.16</v>
      </c>
      <c r="O441" s="446"/>
      <c r="P441" s="587">
        <v>1029874.69</v>
      </c>
      <c r="Q441" s="587">
        <v>-10074.039999866858</v>
      </c>
      <c r="R441" s="587">
        <v>1019800.65</v>
      </c>
      <c r="S441" s="446"/>
      <c r="T441" s="587">
        <v>392707.64</v>
      </c>
      <c r="U441" s="587">
        <v>330527.41000018641</v>
      </c>
      <c r="V441" s="587">
        <v>723235.05</v>
      </c>
      <c r="W441" s="446"/>
      <c r="X441" s="587">
        <v>992839.37</v>
      </c>
      <c r="Y441" s="587">
        <v>0</v>
      </c>
      <c r="Z441" s="587">
        <v>992839.37</v>
      </c>
      <c r="AA441" s="446"/>
    </row>
    <row r="442" spans="2:27" s="443" customFormat="1">
      <c r="B442" s="238">
        <v>45930</v>
      </c>
      <c r="C442" s="446"/>
      <c r="D442" s="587">
        <v>519270.01</v>
      </c>
      <c r="E442" s="587">
        <v>1099116.2499991897</v>
      </c>
      <c r="F442" s="587">
        <v>1618386.26</v>
      </c>
      <c r="G442" s="446"/>
      <c r="H442" s="587">
        <v>2221913.41</v>
      </c>
      <c r="I442" s="587">
        <v>323344.64999980852</v>
      </c>
      <c r="J442" s="587">
        <v>2545258.06</v>
      </c>
      <c r="K442" s="446"/>
      <c r="L442" s="587">
        <v>15279443.16</v>
      </c>
      <c r="M442" s="587">
        <v>-12082861.519999981</v>
      </c>
      <c r="N442" s="587">
        <v>3196581.64</v>
      </c>
      <c r="O442" s="446"/>
      <c r="P442" s="587">
        <v>1019800.65</v>
      </c>
      <c r="Q442" s="587">
        <v>-767906.17000018992</v>
      </c>
      <c r="R442" s="587">
        <v>251894.48</v>
      </c>
      <c r="S442" s="446"/>
      <c r="T442" s="587">
        <v>723235.05</v>
      </c>
      <c r="U442" s="587">
        <v>-447908.87999979965</v>
      </c>
      <c r="V442" s="587">
        <v>275326.17</v>
      </c>
      <c r="W442" s="446"/>
      <c r="X442" s="587">
        <v>992839.37</v>
      </c>
      <c r="Y442" s="587">
        <v>0</v>
      </c>
      <c r="Z442" s="587">
        <v>992839.37</v>
      </c>
      <c r="AA442" s="446"/>
    </row>
    <row r="443" spans="2:27" s="443" customFormat="1">
      <c r="B443" s="238">
        <v>45931</v>
      </c>
      <c r="C443" s="446"/>
      <c r="D443" s="587">
        <v>1618386.26</v>
      </c>
      <c r="E443" s="587">
        <v>-1170283.2300000563</v>
      </c>
      <c r="F443" s="587">
        <v>448103.03</v>
      </c>
      <c r="G443" s="446"/>
      <c r="H443" s="587">
        <v>2545258.06</v>
      </c>
      <c r="I443" s="587">
        <v>938245.33999999985</v>
      </c>
      <c r="J443" s="587">
        <v>3483503.4</v>
      </c>
      <c r="K443" s="446"/>
      <c r="L443" s="587">
        <v>3196581.64</v>
      </c>
      <c r="M443" s="587">
        <v>2896078.4899998754</v>
      </c>
      <c r="N443" s="587">
        <v>6092660.1299999999</v>
      </c>
      <c r="O443" s="446"/>
      <c r="P443" s="587">
        <v>251894.48</v>
      </c>
      <c r="Q443" s="587">
        <v>42794.790000028908</v>
      </c>
      <c r="R443" s="587">
        <v>294689.27</v>
      </c>
      <c r="S443" s="446"/>
      <c r="T443" s="587">
        <v>275326.17</v>
      </c>
      <c r="U443" s="587">
        <v>566305.95000024699</v>
      </c>
      <c r="V443" s="587">
        <v>841632.12</v>
      </c>
      <c r="W443" s="446"/>
      <c r="X443" s="587">
        <v>992839.37</v>
      </c>
      <c r="Y443" s="587">
        <v>0</v>
      </c>
      <c r="Z443" s="587">
        <v>992839.37</v>
      </c>
      <c r="AA443" s="446"/>
    </row>
    <row r="444" spans="2:27" s="443" customFormat="1">
      <c r="B444" s="238">
        <v>45932</v>
      </c>
      <c r="C444" s="446"/>
      <c r="D444" s="587">
        <v>448103.03</v>
      </c>
      <c r="E444" s="587">
        <v>-158018.43999988586</v>
      </c>
      <c r="F444" s="587">
        <v>290084.59000000003</v>
      </c>
      <c r="G444" s="446"/>
      <c r="H444" s="587">
        <v>3483503.4</v>
      </c>
      <c r="I444" s="587">
        <v>347493.77999982983</v>
      </c>
      <c r="J444" s="587">
        <v>3830997.18</v>
      </c>
      <c r="K444" s="446"/>
      <c r="L444" s="587">
        <v>6092660.1299999999</v>
      </c>
      <c r="M444" s="587">
        <v>254124.78999880701</v>
      </c>
      <c r="N444" s="587">
        <v>6346784.9199999999</v>
      </c>
      <c r="O444" s="446"/>
      <c r="P444" s="587">
        <v>294689.27</v>
      </c>
      <c r="Q444" s="587">
        <v>712724.82999997213</v>
      </c>
      <c r="R444" s="587">
        <v>1007414.1</v>
      </c>
      <c r="S444" s="446"/>
      <c r="T444" s="587">
        <v>841632.12</v>
      </c>
      <c r="U444" s="587">
        <v>-249346.48999982886</v>
      </c>
      <c r="V444" s="587">
        <v>592285.63</v>
      </c>
      <c r="W444" s="446"/>
      <c r="X444" s="587">
        <v>992839.37</v>
      </c>
      <c r="Y444" s="587">
        <v>0</v>
      </c>
      <c r="Z444" s="587">
        <v>992839.37</v>
      </c>
      <c r="AA444" s="446"/>
    </row>
    <row r="445" spans="2:27" s="443" customFormat="1">
      <c r="B445" s="238">
        <v>45933</v>
      </c>
      <c r="C445" s="446"/>
      <c r="D445" s="587">
        <v>290084.59000000003</v>
      </c>
      <c r="E445" s="587">
        <v>717400.3300001435</v>
      </c>
      <c r="F445" s="587">
        <v>1007484.92</v>
      </c>
      <c r="G445" s="446"/>
      <c r="H445" s="587">
        <v>3830997.18</v>
      </c>
      <c r="I445" s="587">
        <v>0</v>
      </c>
      <c r="J445" s="587">
        <v>3830997.18</v>
      </c>
      <c r="K445" s="446"/>
      <c r="L445" s="587">
        <v>6346784.9199999999</v>
      </c>
      <c r="M445" s="587">
        <v>801171.95999991894</v>
      </c>
      <c r="N445" s="587">
        <v>7147956.8799999999</v>
      </c>
      <c r="O445" s="446"/>
      <c r="P445" s="587">
        <v>1007414.1</v>
      </c>
      <c r="Q445" s="587">
        <v>-586486.26000001933</v>
      </c>
      <c r="R445" s="587">
        <v>420927.84</v>
      </c>
      <c r="S445" s="446"/>
      <c r="T445" s="587">
        <v>592285.63</v>
      </c>
      <c r="U445" s="587">
        <v>237541.53000002913</v>
      </c>
      <c r="V445" s="587">
        <v>829827.16</v>
      </c>
      <c r="W445" s="446"/>
      <c r="X445" s="587">
        <v>992839.37</v>
      </c>
      <c r="Y445" s="587">
        <v>-271412.58999992535</v>
      </c>
      <c r="Z445" s="587">
        <v>721426.78</v>
      </c>
      <c r="AA445" s="446"/>
    </row>
    <row r="446" spans="2:27" s="443" customFormat="1">
      <c r="B446" s="238">
        <v>45934</v>
      </c>
      <c r="C446" s="446"/>
      <c r="D446" s="587">
        <v>1007484.92</v>
      </c>
      <c r="E446" s="587">
        <v>0</v>
      </c>
      <c r="F446" s="587">
        <v>1007484.92</v>
      </c>
      <c r="G446" s="446"/>
      <c r="H446" s="587">
        <v>3830997.18</v>
      </c>
      <c r="I446" s="587">
        <v>0</v>
      </c>
      <c r="J446" s="587">
        <v>3830997.18</v>
      </c>
      <c r="K446" s="446"/>
      <c r="L446" s="587">
        <v>7147956.8799999999</v>
      </c>
      <c r="M446" s="587">
        <v>0</v>
      </c>
      <c r="N446" s="587">
        <v>7147956.8799999999</v>
      </c>
      <c r="O446" s="446"/>
      <c r="P446" s="587">
        <v>420927.84</v>
      </c>
      <c r="Q446" s="587">
        <v>0</v>
      </c>
      <c r="R446" s="587">
        <v>420927.84</v>
      </c>
      <c r="S446" s="446"/>
      <c r="T446" s="587">
        <v>829827.16</v>
      </c>
      <c r="U446" s="587">
        <v>0</v>
      </c>
      <c r="V446" s="587">
        <v>829827.16</v>
      </c>
      <c r="W446" s="446"/>
      <c r="X446" s="587">
        <v>721426.78</v>
      </c>
      <c r="Y446" s="587">
        <v>0</v>
      </c>
      <c r="Z446" s="587">
        <v>721426.78</v>
      </c>
      <c r="AA446" s="446"/>
    </row>
    <row r="447" spans="2:27" s="443" customFormat="1">
      <c r="B447" s="238">
        <v>45935</v>
      </c>
      <c r="C447" s="446"/>
      <c r="D447" s="587">
        <v>1007484.92</v>
      </c>
      <c r="E447" s="587">
        <v>0</v>
      </c>
      <c r="F447" s="587">
        <v>1007484.92</v>
      </c>
      <c r="G447" s="446"/>
      <c r="H447" s="587">
        <v>3830997.18</v>
      </c>
      <c r="I447" s="587">
        <v>0</v>
      </c>
      <c r="J447" s="587">
        <v>3830997.18</v>
      </c>
      <c r="K447" s="446"/>
      <c r="L447" s="587">
        <v>7147956.8799999999</v>
      </c>
      <c r="M447" s="587">
        <v>0</v>
      </c>
      <c r="N447" s="587">
        <v>7147956.8799999999</v>
      </c>
      <c r="O447" s="446"/>
      <c r="P447" s="587">
        <v>420927.84</v>
      </c>
      <c r="Q447" s="587">
        <v>0</v>
      </c>
      <c r="R447" s="587">
        <v>420927.84</v>
      </c>
      <c r="S447" s="446"/>
      <c r="T447" s="587">
        <v>829827.16</v>
      </c>
      <c r="U447" s="587">
        <v>0</v>
      </c>
      <c r="V447" s="587">
        <v>829827.16</v>
      </c>
      <c r="W447" s="446"/>
      <c r="X447" s="587">
        <v>721426.78</v>
      </c>
      <c r="Y447" s="587">
        <v>0</v>
      </c>
      <c r="Z447" s="587">
        <v>721426.78</v>
      </c>
      <c r="AA447" s="446"/>
    </row>
    <row r="448" spans="2:27" s="443" customFormat="1">
      <c r="B448" s="238">
        <v>45936</v>
      </c>
      <c r="C448" s="446"/>
      <c r="D448" s="587">
        <v>1007484.92</v>
      </c>
      <c r="E448" s="587">
        <v>-320363.34000010416</v>
      </c>
      <c r="F448" s="587">
        <v>687121.58</v>
      </c>
      <c r="G448" s="446"/>
      <c r="H448" s="587">
        <v>3830997.18</v>
      </c>
      <c r="I448" s="587">
        <v>0</v>
      </c>
      <c r="J448" s="587">
        <v>3830997.18</v>
      </c>
      <c r="K448" s="446"/>
      <c r="L448" s="587">
        <v>7147956.8799999999</v>
      </c>
      <c r="M448" s="587">
        <v>969734.72999944724</v>
      </c>
      <c r="N448" s="587">
        <v>8117691.6100000003</v>
      </c>
      <c r="O448" s="446"/>
      <c r="P448" s="587">
        <v>420927.84</v>
      </c>
      <c r="Q448" s="587">
        <v>-201286.48000001349</v>
      </c>
      <c r="R448" s="587">
        <v>219641.36</v>
      </c>
      <c r="S448" s="446"/>
      <c r="T448" s="587">
        <v>829827.16</v>
      </c>
      <c r="U448" s="587">
        <v>-282816.24000000209</v>
      </c>
      <c r="V448" s="587">
        <v>547010.92000000004</v>
      </c>
      <c r="W448" s="446"/>
      <c r="X448" s="587">
        <v>721426.78</v>
      </c>
      <c r="Y448" s="587">
        <v>207712.33000087738</v>
      </c>
      <c r="Z448" s="587">
        <v>929139.11</v>
      </c>
      <c r="AA448" s="446"/>
    </row>
    <row r="449" spans="2:27" s="443" customFormat="1">
      <c r="B449" s="238">
        <v>45937</v>
      </c>
      <c r="C449" s="446"/>
      <c r="D449" s="587">
        <v>687121.58</v>
      </c>
      <c r="E449" s="587">
        <v>788740.21000029147</v>
      </c>
      <c r="F449" s="587">
        <v>1475861.79</v>
      </c>
      <c r="G449" s="446"/>
      <c r="H449" s="587">
        <v>3830997.18</v>
      </c>
      <c r="I449" s="587">
        <v>0</v>
      </c>
      <c r="J449" s="587">
        <v>3830997.18</v>
      </c>
      <c r="K449" s="446"/>
      <c r="L449" s="587">
        <v>8117691.6100000003</v>
      </c>
      <c r="M449" s="587">
        <v>222586.90000009537</v>
      </c>
      <c r="N449" s="587">
        <v>8340278.5099999998</v>
      </c>
      <c r="O449" s="446"/>
      <c r="P449" s="587">
        <v>219641.36</v>
      </c>
      <c r="Q449" s="587">
        <v>332638.0600000862</v>
      </c>
      <c r="R449" s="587">
        <v>552279.42000000004</v>
      </c>
      <c r="S449" s="446"/>
      <c r="T449" s="587">
        <v>547010.92000000004</v>
      </c>
      <c r="U449" s="587">
        <v>384969.55000033416</v>
      </c>
      <c r="V449" s="587">
        <v>931980.47</v>
      </c>
      <c r="W449" s="446"/>
      <c r="X449" s="587">
        <v>929139.11</v>
      </c>
      <c r="Y449" s="587">
        <v>-600568.4799994342</v>
      </c>
      <c r="Z449" s="587">
        <v>328570.63</v>
      </c>
      <c r="AA449" s="446"/>
    </row>
    <row r="450" spans="2:27" s="443" customFormat="1">
      <c r="B450" s="238">
        <v>45938</v>
      </c>
      <c r="C450" s="446"/>
      <c r="D450" s="587">
        <v>1475861.79</v>
      </c>
      <c r="E450" s="587">
        <v>-1224294.0399998389</v>
      </c>
      <c r="F450" s="587">
        <v>251567.75</v>
      </c>
      <c r="G450" s="446"/>
      <c r="H450" s="587">
        <v>3830997.18</v>
      </c>
      <c r="I450" s="587">
        <v>0</v>
      </c>
      <c r="J450" s="587">
        <v>3830997.18</v>
      </c>
      <c r="K450" s="446"/>
      <c r="L450" s="587">
        <v>8340278.5099999998</v>
      </c>
      <c r="M450" s="587">
        <v>389935.73999984749</v>
      </c>
      <c r="N450" s="587">
        <v>8730214.25</v>
      </c>
      <c r="O450" s="446"/>
      <c r="P450" s="587">
        <v>552279.42000000004</v>
      </c>
      <c r="Q450" s="587">
        <v>-435662.50999975204</v>
      </c>
      <c r="R450" s="587">
        <v>116616.91</v>
      </c>
      <c r="S450" s="446"/>
      <c r="T450" s="587">
        <v>931980.47</v>
      </c>
      <c r="U450" s="587">
        <v>-324591.10999973305</v>
      </c>
      <c r="V450" s="587">
        <v>607389.36</v>
      </c>
      <c r="W450" s="446"/>
      <c r="X450" s="587">
        <v>328570.63</v>
      </c>
      <c r="Y450" s="587">
        <v>395561.46999872103</v>
      </c>
      <c r="Z450" s="587">
        <v>724132.1</v>
      </c>
      <c r="AA450" s="446"/>
    </row>
    <row r="451" spans="2:27" s="443" customFormat="1">
      <c r="B451" s="238">
        <v>45939</v>
      </c>
      <c r="C451" s="446"/>
      <c r="D451" s="587">
        <v>251567.75</v>
      </c>
      <c r="E451" s="587">
        <v>391128.42000028677</v>
      </c>
      <c r="F451" s="587">
        <v>642696.17000000004</v>
      </c>
      <c r="G451" s="446"/>
      <c r="H451" s="587">
        <v>3830997.18</v>
      </c>
      <c r="I451" s="587">
        <v>-1478290.370000802</v>
      </c>
      <c r="J451" s="587">
        <v>2352706.81</v>
      </c>
      <c r="K451" s="446"/>
      <c r="L451" s="587">
        <v>8730214.25</v>
      </c>
      <c r="M451" s="587">
        <v>209285.93999989517</v>
      </c>
      <c r="N451" s="587">
        <v>8939500.1899999995</v>
      </c>
      <c r="O451" s="446"/>
      <c r="P451" s="587">
        <v>116616.91</v>
      </c>
      <c r="Q451" s="587">
        <v>-12135.67999994196</v>
      </c>
      <c r="R451" s="587">
        <v>104481.23</v>
      </c>
      <c r="S451" s="446"/>
      <c r="T451" s="587">
        <v>607389.36</v>
      </c>
      <c r="U451" s="587">
        <v>-157603.84999989346</v>
      </c>
      <c r="V451" s="587">
        <v>449785.51</v>
      </c>
      <c r="W451" s="446"/>
      <c r="X451" s="587">
        <v>724132.1</v>
      </c>
      <c r="Y451" s="587">
        <v>798014.83000036702</v>
      </c>
      <c r="Z451" s="587">
        <v>1522146.93</v>
      </c>
      <c r="AA451" s="446"/>
    </row>
    <row r="452" spans="2:27" s="443" customFormat="1">
      <c r="B452" s="238">
        <v>45940</v>
      </c>
      <c r="C452" s="446"/>
      <c r="D452" s="587">
        <v>642696.17000000004</v>
      </c>
      <c r="E452" s="587">
        <v>-262650.37999997102</v>
      </c>
      <c r="F452" s="587">
        <v>380045.79</v>
      </c>
      <c r="G452" s="446"/>
      <c r="H452" s="587">
        <v>2352706.81</v>
      </c>
      <c r="I452" s="587">
        <v>1978133.5500004105</v>
      </c>
      <c r="J452" s="587">
        <v>4330840.3600000003</v>
      </c>
      <c r="K452" s="446"/>
      <c r="L452" s="587">
        <v>8939500.1899999995</v>
      </c>
      <c r="M452" s="587">
        <v>125593.16999987327</v>
      </c>
      <c r="N452" s="587">
        <v>9065093.3599999994</v>
      </c>
      <c r="O452" s="446"/>
      <c r="P452" s="587">
        <v>104481.23</v>
      </c>
      <c r="Q452" s="587">
        <v>1088546.5499997884</v>
      </c>
      <c r="R452" s="587">
        <v>1193027.78</v>
      </c>
      <c r="S452" s="446"/>
      <c r="T452" s="587">
        <v>449785.51</v>
      </c>
      <c r="U452" s="587">
        <v>-166340.24000011384</v>
      </c>
      <c r="V452" s="587">
        <v>283445.27</v>
      </c>
      <c r="W452" s="446"/>
      <c r="X452" s="587">
        <v>1522146.93</v>
      </c>
      <c r="Y452" s="587">
        <v>-334688.78000009432</v>
      </c>
      <c r="Z452" s="587">
        <v>1187458.1499999999</v>
      </c>
      <c r="AA452" s="446"/>
    </row>
    <row r="453" spans="2:27" s="443" customFormat="1">
      <c r="B453" s="238">
        <v>45941</v>
      </c>
      <c r="C453" s="446"/>
      <c r="D453" s="587">
        <v>380045.79</v>
      </c>
      <c r="E453" s="587">
        <v>0</v>
      </c>
      <c r="F453" s="587">
        <v>380045.79</v>
      </c>
      <c r="G453" s="446"/>
      <c r="H453" s="587">
        <v>4330840.3600000003</v>
      </c>
      <c r="I453" s="587">
        <v>0</v>
      </c>
      <c r="J453" s="587">
        <v>4330840.3600000003</v>
      </c>
      <c r="K453" s="446"/>
      <c r="L453" s="587">
        <v>9065093.3599999994</v>
      </c>
      <c r="M453" s="587">
        <v>0</v>
      </c>
      <c r="N453" s="587">
        <v>9065093.3599999994</v>
      </c>
      <c r="O453" s="446"/>
      <c r="P453" s="587">
        <v>1193027.78</v>
      </c>
      <c r="Q453" s="587">
        <v>0</v>
      </c>
      <c r="R453" s="587">
        <v>1193027.78</v>
      </c>
      <c r="S453" s="446"/>
      <c r="T453" s="587">
        <v>283445.27</v>
      </c>
      <c r="U453" s="587">
        <v>0</v>
      </c>
      <c r="V453" s="587">
        <v>283445.27</v>
      </c>
      <c r="W453" s="446"/>
      <c r="X453" s="587">
        <v>1187458.1499999999</v>
      </c>
      <c r="Y453" s="587">
        <v>0</v>
      </c>
      <c r="Z453" s="587">
        <v>1187458.1499999999</v>
      </c>
      <c r="AA453" s="446"/>
    </row>
    <row r="454" spans="2:27" s="443" customFormat="1">
      <c r="B454" s="238">
        <v>45942</v>
      </c>
      <c r="C454" s="446"/>
      <c r="D454" s="587">
        <v>380045.79</v>
      </c>
      <c r="E454" s="587">
        <v>0</v>
      </c>
      <c r="F454" s="587">
        <v>380045.79</v>
      </c>
      <c r="G454" s="446"/>
      <c r="H454" s="587">
        <v>4330840.3600000003</v>
      </c>
      <c r="I454" s="587">
        <v>0</v>
      </c>
      <c r="J454" s="587">
        <v>4330840.3600000003</v>
      </c>
      <c r="K454" s="446"/>
      <c r="L454" s="587">
        <v>9065093.3599999994</v>
      </c>
      <c r="M454" s="587">
        <v>0</v>
      </c>
      <c r="N454" s="587">
        <v>9065093.3599999994</v>
      </c>
      <c r="O454" s="446"/>
      <c r="P454" s="587">
        <v>1193027.78</v>
      </c>
      <c r="Q454" s="587">
        <v>0</v>
      </c>
      <c r="R454" s="587">
        <v>1193027.78</v>
      </c>
      <c r="S454" s="446"/>
      <c r="T454" s="587">
        <v>283445.27</v>
      </c>
      <c r="U454" s="587">
        <v>0</v>
      </c>
      <c r="V454" s="587">
        <v>283445.27</v>
      </c>
      <c r="W454" s="446"/>
      <c r="X454" s="587">
        <v>1187458.1499999999</v>
      </c>
      <c r="Y454" s="587">
        <v>0</v>
      </c>
      <c r="Z454" s="587">
        <v>1187458.1499999999</v>
      </c>
      <c r="AA454" s="446"/>
    </row>
    <row r="455" spans="2:27" s="443" customFormat="1">
      <c r="B455" s="238">
        <v>45943</v>
      </c>
      <c r="C455" s="446"/>
      <c r="D455" s="587">
        <v>380045.79</v>
      </c>
      <c r="E455" s="587">
        <v>1027462.7799999025</v>
      </c>
      <c r="F455" s="587">
        <v>1407508.57</v>
      </c>
      <c r="G455" s="446"/>
      <c r="H455" s="587">
        <v>4330840.3600000003</v>
      </c>
      <c r="I455" s="587">
        <v>213838.00000024214</v>
      </c>
      <c r="J455" s="587">
        <v>4544678.3600000003</v>
      </c>
      <c r="K455" s="446"/>
      <c r="L455" s="587">
        <v>9065093.3599999994</v>
      </c>
      <c r="M455" s="587">
        <v>-7787122.1099992767</v>
      </c>
      <c r="N455" s="587">
        <v>1277971.25</v>
      </c>
      <c r="O455" s="446"/>
      <c r="P455" s="587">
        <v>1193027.78</v>
      </c>
      <c r="Q455" s="587">
        <v>-841416.3700003624</v>
      </c>
      <c r="R455" s="587">
        <v>351611.41</v>
      </c>
      <c r="S455" s="446"/>
      <c r="T455" s="587">
        <v>283445.27</v>
      </c>
      <c r="U455" s="587">
        <v>-93177.089999904856</v>
      </c>
      <c r="V455" s="587">
        <v>190268.18</v>
      </c>
      <c r="W455" s="446"/>
      <c r="X455" s="587">
        <v>1187458.1499999999</v>
      </c>
      <c r="Y455" s="587">
        <v>-558183.83000072464</v>
      </c>
      <c r="Z455" s="587">
        <v>629274.31999999995</v>
      </c>
      <c r="AA455" s="446"/>
    </row>
    <row r="456" spans="2:27" s="443" customFormat="1">
      <c r="B456" s="238">
        <v>45944</v>
      </c>
      <c r="C456" s="446"/>
      <c r="D456" s="587">
        <v>1407508.57</v>
      </c>
      <c r="E456" s="587">
        <v>-131513.24999655783</v>
      </c>
      <c r="F456" s="587">
        <v>1275995.32</v>
      </c>
      <c r="G456" s="446"/>
      <c r="H456" s="587">
        <v>4544678.3600000003</v>
      </c>
      <c r="I456" s="587">
        <v>-1930974.25000038</v>
      </c>
      <c r="J456" s="587">
        <v>2613704.11</v>
      </c>
      <c r="K456" s="446"/>
      <c r="L456" s="587">
        <v>1277971.25</v>
      </c>
      <c r="M456" s="587">
        <v>258222.73999980092</v>
      </c>
      <c r="N456" s="587">
        <v>1536193.99</v>
      </c>
      <c r="O456" s="446"/>
      <c r="P456" s="587">
        <v>351611.41</v>
      </c>
      <c r="Q456" s="587">
        <v>334362.99999989476</v>
      </c>
      <c r="R456" s="587">
        <v>685974.41</v>
      </c>
      <c r="S456" s="446"/>
      <c r="T456" s="587">
        <v>190268.18</v>
      </c>
      <c r="U456" s="587">
        <v>115345.53999996185</v>
      </c>
      <c r="V456" s="587">
        <v>305613.71999999997</v>
      </c>
      <c r="W456" s="446"/>
      <c r="X456" s="587">
        <v>629274.31999999995</v>
      </c>
      <c r="Y456" s="587">
        <v>-197425.9700008668</v>
      </c>
      <c r="Z456" s="587">
        <v>431848.35</v>
      </c>
      <c r="AA456" s="446"/>
    </row>
    <row r="457" spans="2:27" s="443" customFormat="1">
      <c r="B457" s="238">
        <v>45945</v>
      </c>
      <c r="C457" s="446"/>
      <c r="D457" s="587">
        <v>1275995.32</v>
      </c>
      <c r="E457" s="587">
        <v>117348.66999994218</v>
      </c>
      <c r="F457" s="587">
        <v>1393343.99</v>
      </c>
      <c r="G457" s="446"/>
      <c r="H457" s="587">
        <v>2613704.11</v>
      </c>
      <c r="I457" s="587">
        <v>209030.62999958172</v>
      </c>
      <c r="J457" s="587">
        <v>2822734.74</v>
      </c>
      <c r="K457" s="446"/>
      <c r="L457" s="587">
        <v>1536193.99</v>
      </c>
      <c r="M457" s="587">
        <v>329212.33999872208</v>
      </c>
      <c r="N457" s="587">
        <v>1865406.33</v>
      </c>
      <c r="O457" s="446"/>
      <c r="P457" s="587">
        <v>685974.41</v>
      </c>
      <c r="Q457" s="587">
        <v>-45570.749999951571</v>
      </c>
      <c r="R457" s="587">
        <v>640403.66</v>
      </c>
      <c r="S457" s="446"/>
      <c r="T457" s="587">
        <v>305613.71999999997</v>
      </c>
      <c r="U457" s="587">
        <v>-296232.15000009537</v>
      </c>
      <c r="V457" s="587">
        <v>9381.57</v>
      </c>
      <c r="W457" s="446"/>
      <c r="X457" s="587">
        <v>431848.35</v>
      </c>
      <c r="Y457" s="587">
        <v>-160475.19999950379</v>
      </c>
      <c r="Z457" s="587">
        <v>271373.15000000002</v>
      </c>
      <c r="AA457" s="446"/>
    </row>
    <row r="458" spans="2:27" s="443" customFormat="1">
      <c r="B458" s="238">
        <v>45946</v>
      </c>
      <c r="C458" s="446"/>
      <c r="D458" s="587">
        <v>1393343.99</v>
      </c>
      <c r="E458" s="587">
        <v>-572211.14000018314</v>
      </c>
      <c r="F458" s="587">
        <v>821132.85</v>
      </c>
      <c r="G458" s="446"/>
      <c r="H458" s="587">
        <v>2822734.74</v>
      </c>
      <c r="I458" s="587">
        <v>995925.82999992371</v>
      </c>
      <c r="J458" s="587">
        <v>3818660.57</v>
      </c>
      <c r="K458" s="446"/>
      <c r="L458" s="587">
        <v>1865406.33</v>
      </c>
      <c r="M458" s="587">
        <v>1141964.9900001734</v>
      </c>
      <c r="N458" s="587">
        <v>3007371.32</v>
      </c>
      <c r="O458" s="446"/>
      <c r="P458" s="587">
        <v>640403.66</v>
      </c>
      <c r="Q458" s="587">
        <v>52427.789999835193</v>
      </c>
      <c r="R458" s="587">
        <v>692831.45</v>
      </c>
      <c r="S458" s="446"/>
      <c r="T458" s="587">
        <v>9381.57</v>
      </c>
      <c r="U458" s="587">
        <v>373918.55000019073</v>
      </c>
      <c r="V458" s="587">
        <v>383300.12</v>
      </c>
      <c r="W458" s="446"/>
      <c r="X458" s="587">
        <v>271373.15000000002</v>
      </c>
      <c r="Y458" s="587">
        <v>-41619.739999465644</v>
      </c>
      <c r="Z458" s="587">
        <v>229753.41</v>
      </c>
      <c r="AA458" s="446"/>
    </row>
    <row r="459" spans="2:27" s="443" customFormat="1">
      <c r="B459" s="238">
        <v>45947</v>
      </c>
      <c r="C459" s="446"/>
      <c r="D459" s="587">
        <v>821132.85</v>
      </c>
      <c r="E459" s="587">
        <v>56330.579999942333</v>
      </c>
      <c r="F459" s="587">
        <v>877463.43</v>
      </c>
      <c r="G459" s="446"/>
      <c r="H459" s="587">
        <v>3818660.57</v>
      </c>
      <c r="I459" s="587">
        <v>1583152.9900000766</v>
      </c>
      <c r="J459" s="587">
        <v>5401813.5599999996</v>
      </c>
      <c r="K459" s="446"/>
      <c r="L459" s="587">
        <v>3007371.32</v>
      </c>
      <c r="M459" s="587">
        <v>413253.51999983191</v>
      </c>
      <c r="N459" s="587">
        <v>3420624.84</v>
      </c>
      <c r="O459" s="446"/>
      <c r="P459" s="587">
        <v>692831.45</v>
      </c>
      <c r="Q459" s="587">
        <v>-376628.60999987647</v>
      </c>
      <c r="R459" s="587">
        <v>316202.84000000003</v>
      </c>
      <c r="S459" s="446"/>
      <c r="T459" s="587">
        <v>383300.12</v>
      </c>
      <c r="U459" s="587">
        <v>-151295.73000025749</v>
      </c>
      <c r="V459" s="587">
        <v>232004.39</v>
      </c>
      <c r="W459" s="446"/>
      <c r="X459" s="587">
        <v>229753.41</v>
      </c>
      <c r="Y459" s="587">
        <v>189887.30999973416</v>
      </c>
      <c r="Z459" s="587">
        <v>419640.72</v>
      </c>
      <c r="AA459" s="446"/>
    </row>
    <row r="460" spans="2:27" s="443" customFormat="1">
      <c r="B460" s="238">
        <v>45948</v>
      </c>
      <c r="C460" s="446"/>
      <c r="D460" s="587">
        <v>877463.43</v>
      </c>
      <c r="E460" s="587">
        <v>0</v>
      </c>
      <c r="F460" s="587">
        <v>877463.43</v>
      </c>
      <c r="G460" s="446"/>
      <c r="H460" s="587">
        <v>5401813.5599999996</v>
      </c>
      <c r="I460" s="587">
        <v>0</v>
      </c>
      <c r="J460" s="587">
        <v>5401813.5599999996</v>
      </c>
      <c r="K460" s="446"/>
      <c r="L460" s="587">
        <v>3420624.84</v>
      </c>
      <c r="M460" s="587">
        <v>0</v>
      </c>
      <c r="N460" s="587">
        <v>3420624.84</v>
      </c>
      <c r="O460" s="446"/>
      <c r="P460" s="587">
        <v>316202.84000000003</v>
      </c>
      <c r="Q460" s="587">
        <v>0</v>
      </c>
      <c r="R460" s="587">
        <v>316202.84000000003</v>
      </c>
      <c r="S460" s="446"/>
      <c r="T460" s="587">
        <v>232004.39</v>
      </c>
      <c r="U460" s="587">
        <v>0</v>
      </c>
      <c r="V460" s="587">
        <v>232004.39</v>
      </c>
      <c r="W460" s="446"/>
      <c r="X460" s="587">
        <v>419640.72</v>
      </c>
      <c r="Y460" s="587">
        <v>0</v>
      </c>
      <c r="Z460" s="587">
        <v>419640.72</v>
      </c>
      <c r="AA460" s="446"/>
    </row>
    <row r="461" spans="2:27" s="443" customFormat="1">
      <c r="B461" s="238">
        <v>45949</v>
      </c>
      <c r="C461" s="446"/>
      <c r="D461" s="587">
        <v>877463.43</v>
      </c>
      <c r="E461" s="587">
        <v>0</v>
      </c>
      <c r="F461" s="587">
        <v>877463.43</v>
      </c>
      <c r="G461" s="446"/>
      <c r="H461" s="587">
        <v>5401813.5599999996</v>
      </c>
      <c r="I461" s="587">
        <v>0</v>
      </c>
      <c r="J461" s="587">
        <v>5401813.5599999996</v>
      </c>
      <c r="K461" s="446"/>
      <c r="L461" s="587">
        <v>3420624.84</v>
      </c>
      <c r="M461" s="587">
        <v>0</v>
      </c>
      <c r="N461" s="587">
        <v>3420624.84</v>
      </c>
      <c r="O461" s="446"/>
      <c r="P461" s="587">
        <v>316202.84000000003</v>
      </c>
      <c r="Q461" s="587">
        <v>0</v>
      </c>
      <c r="R461" s="587">
        <v>316202.84000000003</v>
      </c>
      <c r="S461" s="446"/>
      <c r="T461" s="587">
        <v>232004.39</v>
      </c>
      <c r="U461" s="587">
        <v>0</v>
      </c>
      <c r="V461" s="587">
        <v>232004.39</v>
      </c>
      <c r="W461" s="446"/>
      <c r="X461" s="587">
        <v>419640.72</v>
      </c>
      <c r="Y461" s="587">
        <v>0</v>
      </c>
      <c r="Z461" s="587">
        <v>419640.72</v>
      </c>
      <c r="AA461" s="446"/>
    </row>
    <row r="462" spans="2:27" s="443" customFormat="1">
      <c r="B462" s="238">
        <v>45950</v>
      </c>
      <c r="C462" s="446"/>
      <c r="D462" s="587">
        <v>877463.43</v>
      </c>
      <c r="E462" s="587">
        <v>-792301.55000005662</v>
      </c>
      <c r="F462" s="587">
        <v>85161.88</v>
      </c>
      <c r="G462" s="446"/>
      <c r="H462" s="587">
        <v>5401813.5599999996</v>
      </c>
      <c r="I462" s="587">
        <v>-3151076.3199996948</v>
      </c>
      <c r="J462" s="587">
        <v>2250737.2400000002</v>
      </c>
      <c r="K462" s="446"/>
      <c r="L462" s="587">
        <v>3420624.84</v>
      </c>
      <c r="M462" s="587">
        <v>524719.84000021499</v>
      </c>
      <c r="N462" s="587">
        <v>3945344.68</v>
      </c>
      <c r="O462" s="446"/>
      <c r="P462" s="587">
        <v>316202.84000000003</v>
      </c>
      <c r="Q462" s="587">
        <v>-143838.28000008315</v>
      </c>
      <c r="R462" s="587">
        <v>172364.56</v>
      </c>
      <c r="S462" s="446"/>
      <c r="T462" s="587">
        <v>232004.39</v>
      </c>
      <c r="U462" s="587">
        <v>502487.43000053614</v>
      </c>
      <c r="V462" s="587">
        <v>734491.82</v>
      </c>
      <c r="W462" s="446"/>
      <c r="X462" s="587">
        <v>419640.72</v>
      </c>
      <c r="Y462" s="587">
        <v>231776.74000173435</v>
      </c>
      <c r="Z462" s="587">
        <v>651417.46</v>
      </c>
      <c r="AA462" s="446"/>
    </row>
    <row r="463" spans="2:27" s="443" customFormat="1">
      <c r="B463" s="238">
        <f>B462+1</f>
        <v>45951</v>
      </c>
      <c r="C463" s="446"/>
      <c r="D463" s="587">
        <f>F462</f>
        <v>85161.88</v>
      </c>
      <c r="E463" s="587">
        <f>SUMIFS(Trades!$E:$E,Trades!$B:$B,$B463,Trades!$D:$D,"Halyk finance")</f>
        <v>12032089703.650002</v>
      </c>
      <c r="F463" s="587">
        <f>ROUND((D463+E463),2)</f>
        <v>12032174865.530001</v>
      </c>
      <c r="G463" s="446"/>
      <c r="H463" s="587">
        <f>J462</f>
        <v>2250737.2400000002</v>
      </c>
      <c r="I463" s="587">
        <f>SUMIFS(Trades!$E:$E,Trades!$B:$B,$B463,Trades!$D:$D,"BCC Invest")</f>
        <v>4160278628.0100002</v>
      </c>
      <c r="J463" s="587">
        <f>ROUND((H463+I463),2)</f>
        <v>4162529365.25</v>
      </c>
      <c r="K463" s="446"/>
      <c r="L463" s="587">
        <f>N462</f>
        <v>3945344.68</v>
      </c>
      <c r="M463" s="587">
        <f>SUMIFS(Trades!$E:$E,Trades!$B:$B,$B463,Trades!$D:$D,"Jusan invest")</f>
        <v>3257666582.2999997</v>
      </c>
      <c r="N463" s="587">
        <f>ROUND((L463+M463),2)</f>
        <v>3261611926.98</v>
      </c>
      <c r="O463" s="446"/>
      <c r="P463" s="587">
        <f>R462</f>
        <v>172364.56</v>
      </c>
      <c r="Q463" s="587">
        <f>SUMIFS(Trades!$E:$E,Trades!$B:$B,$B463,Trades!$D:$D,"Сентрас")</f>
        <v>1459441145.7300003</v>
      </c>
      <c r="R463" s="587">
        <f>ROUND((P463+Q463),2)</f>
        <v>1459613510.29</v>
      </c>
      <c r="S463" s="446"/>
      <c r="T463" s="587">
        <f>V462</f>
        <v>734491.82</v>
      </c>
      <c r="U463" s="587">
        <f>SUMIFS(Trades!$E:$E,Trades!$B:$B,$B463,Trades!$D:$D,"UD Capital")</f>
        <v>2251747715.9699998</v>
      </c>
      <c r="V463" s="587">
        <f>ROUND((T463+U463),2)</f>
        <v>2252482207.79</v>
      </c>
      <c r="W463" s="446"/>
      <c r="X463" s="587">
        <f>Z462</f>
        <v>651417.46</v>
      </c>
      <c r="Y463" s="587">
        <f>SUMIFS(Trades!$E:$E,Trades!$B:$B,$B463,Trades!$D:$D,"Tansar Capital")</f>
        <v>0</v>
      </c>
      <c r="Z463" s="587">
        <f>ROUND((X463+Y463),2)</f>
        <v>651417.46</v>
      </c>
      <c r="AA463" s="446"/>
    </row>
  </sheetData>
  <mergeCells count="7">
    <mergeCell ref="T2:V2"/>
    <mergeCell ref="X2:Z2"/>
    <mergeCell ref="B2:B3"/>
    <mergeCell ref="D2:F2"/>
    <mergeCell ref="H2:J2"/>
    <mergeCell ref="L2:N2"/>
    <mergeCell ref="P2:R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7">
    <tabColor rgb="FF00B050"/>
  </sheetPr>
  <dimension ref="A1:AA464"/>
  <sheetViews>
    <sheetView zoomScale="85" zoomScaleNormal="85" workbookViewId="0">
      <pane xSplit="2" ySplit="4" topLeftCell="C436" activePane="bottomRight" state="frozen"/>
      <selection activeCell="C37" sqref="C37:C38"/>
      <selection pane="topRight" activeCell="C37" sqref="C37:C38"/>
      <selection pane="bottomLeft" activeCell="C37" sqref="C37:C38"/>
      <selection pane="bottomRight" activeCell="A463" sqref="A463:XFD463"/>
    </sheetView>
  </sheetViews>
  <sheetFormatPr defaultColWidth="9.140625" defaultRowHeight="12.75"/>
  <cols>
    <col min="1" max="1" width="9.140625" style="16"/>
    <col min="2" max="2" width="10.140625" style="17" bestFit="1" customWidth="1"/>
    <col min="3" max="3" width="2.28515625" style="28" customWidth="1"/>
    <col min="4" max="6" width="17.7109375" style="27" customWidth="1"/>
    <col min="7" max="7" width="2.28515625" style="28" customWidth="1"/>
    <col min="8" max="10" width="17.7109375" style="27" customWidth="1"/>
    <col min="11" max="11" width="2.28515625" style="28" customWidth="1"/>
    <col min="12" max="14" width="17.7109375" style="279" customWidth="1"/>
    <col min="15" max="15" width="2.28515625" style="280" customWidth="1"/>
    <col min="16" max="18" width="17.7109375" style="279" customWidth="1"/>
    <col min="19" max="19" width="2.28515625" style="280" customWidth="1"/>
    <col min="20" max="22" width="17.7109375" style="279" customWidth="1"/>
    <col min="23" max="23" width="2.28515625" style="280" customWidth="1"/>
    <col min="24" max="26" width="17.7109375" style="279" customWidth="1"/>
    <col min="27" max="27" width="2.28515625" style="280" customWidth="1"/>
    <col min="28" max="16384" width="9.140625" style="16"/>
  </cols>
  <sheetData>
    <row r="1" spans="2:27">
      <c r="C1" s="43">
        <f t="shared" ref="C1:AA1" si="0">COLUMN()-1</f>
        <v>2</v>
      </c>
      <c r="D1" s="43">
        <f t="shared" si="0"/>
        <v>3</v>
      </c>
      <c r="E1" s="43">
        <f t="shared" si="0"/>
        <v>4</v>
      </c>
      <c r="F1" s="43">
        <f t="shared" si="0"/>
        <v>5</v>
      </c>
      <c r="G1" s="43">
        <f t="shared" si="0"/>
        <v>6</v>
      </c>
      <c r="H1" s="43">
        <f t="shared" si="0"/>
        <v>7</v>
      </c>
      <c r="I1" s="43">
        <f t="shared" si="0"/>
        <v>8</v>
      </c>
      <c r="J1" s="43">
        <f t="shared" si="0"/>
        <v>9</v>
      </c>
      <c r="K1" s="43">
        <f t="shared" si="0"/>
        <v>10</v>
      </c>
      <c r="L1" s="43">
        <f t="shared" si="0"/>
        <v>11</v>
      </c>
      <c r="M1" s="43">
        <f t="shared" si="0"/>
        <v>12</v>
      </c>
      <c r="N1" s="43">
        <f t="shared" si="0"/>
        <v>13</v>
      </c>
      <c r="O1" s="43">
        <f t="shared" si="0"/>
        <v>14</v>
      </c>
      <c r="P1" s="43">
        <f t="shared" si="0"/>
        <v>15</v>
      </c>
      <c r="Q1" s="43">
        <f t="shared" si="0"/>
        <v>16</v>
      </c>
      <c r="R1" s="43">
        <f t="shared" si="0"/>
        <v>17</v>
      </c>
      <c r="S1" s="43">
        <f t="shared" si="0"/>
        <v>18</v>
      </c>
      <c r="T1" s="43">
        <f t="shared" si="0"/>
        <v>19</v>
      </c>
      <c r="U1" s="43">
        <f t="shared" si="0"/>
        <v>20</v>
      </c>
      <c r="V1" s="43">
        <f t="shared" si="0"/>
        <v>21</v>
      </c>
      <c r="W1" s="43">
        <f t="shared" si="0"/>
        <v>22</v>
      </c>
      <c r="X1" s="43">
        <f t="shared" si="0"/>
        <v>23</v>
      </c>
      <c r="Y1" s="43">
        <f t="shared" si="0"/>
        <v>24</v>
      </c>
      <c r="Z1" s="43">
        <f t="shared" si="0"/>
        <v>25</v>
      </c>
      <c r="AA1" s="43">
        <f t="shared" si="0"/>
        <v>26</v>
      </c>
    </row>
    <row r="2" spans="2:27" s="22" customFormat="1">
      <c r="B2" s="23"/>
      <c r="C2" s="26"/>
      <c r="D2" s="380" t="s">
        <v>173</v>
      </c>
      <c r="E2" s="380" t="s">
        <v>759</v>
      </c>
      <c r="F2" s="380"/>
      <c r="G2" s="26"/>
      <c r="H2" s="381" t="s">
        <v>173</v>
      </c>
      <c r="I2" s="381" t="s">
        <v>762</v>
      </c>
      <c r="J2" s="381"/>
      <c r="K2" s="26"/>
      <c r="L2" s="383" t="s">
        <v>173</v>
      </c>
      <c r="M2" s="383" t="s">
        <v>760</v>
      </c>
      <c r="N2" s="383"/>
      <c r="O2" s="26"/>
      <c r="P2" s="384" t="s">
        <v>173</v>
      </c>
      <c r="Q2" s="384" t="s">
        <v>761</v>
      </c>
      <c r="R2" s="384"/>
      <c r="S2" s="26"/>
      <c r="T2" s="386" t="s">
        <v>173</v>
      </c>
      <c r="U2" s="386" t="s">
        <v>763</v>
      </c>
      <c r="V2" s="386"/>
      <c r="W2" s="26"/>
      <c r="X2" s="388" t="s">
        <v>173</v>
      </c>
      <c r="Y2" s="388" t="s">
        <v>764</v>
      </c>
      <c r="Z2" s="388"/>
      <c r="AA2" s="26"/>
    </row>
    <row r="3" spans="2:27">
      <c r="B3" s="105"/>
      <c r="C3" s="24"/>
      <c r="D3" s="668" t="s">
        <v>273</v>
      </c>
      <c r="E3" s="669"/>
      <c r="F3" s="670"/>
      <c r="G3" s="24"/>
      <c r="H3" s="671" t="s">
        <v>274</v>
      </c>
      <c r="I3" s="672"/>
      <c r="J3" s="673"/>
      <c r="K3" s="24"/>
      <c r="L3" s="659" t="s">
        <v>273</v>
      </c>
      <c r="M3" s="660"/>
      <c r="N3" s="661"/>
      <c r="O3" s="24"/>
      <c r="P3" s="674" t="s">
        <v>273</v>
      </c>
      <c r="Q3" s="675"/>
      <c r="R3" s="676"/>
      <c r="S3" s="24"/>
      <c r="T3" s="677" t="s">
        <v>273</v>
      </c>
      <c r="U3" s="678"/>
      <c r="V3" s="679"/>
      <c r="W3" s="24"/>
      <c r="X3" s="665" t="s">
        <v>273</v>
      </c>
      <c r="Y3" s="666"/>
      <c r="Z3" s="667"/>
      <c r="AA3" s="24"/>
    </row>
    <row r="4" spans="2:27">
      <c r="B4" s="106" t="s">
        <v>266</v>
      </c>
      <c r="C4" s="24"/>
      <c r="D4" s="375" t="s">
        <v>269</v>
      </c>
      <c r="E4" s="375" t="s">
        <v>312</v>
      </c>
      <c r="F4" s="375" t="s">
        <v>311</v>
      </c>
      <c r="G4" s="24"/>
      <c r="H4" s="382" t="s">
        <v>269</v>
      </c>
      <c r="I4" s="382" t="s">
        <v>312</v>
      </c>
      <c r="J4" s="382" t="s">
        <v>311</v>
      </c>
      <c r="K4" s="24"/>
      <c r="L4" s="25" t="s">
        <v>269</v>
      </c>
      <c r="M4" s="25" t="s">
        <v>312</v>
      </c>
      <c r="N4" s="25" t="s">
        <v>311</v>
      </c>
      <c r="O4" s="24"/>
      <c r="P4" s="385" t="s">
        <v>269</v>
      </c>
      <c r="Q4" s="385" t="s">
        <v>312</v>
      </c>
      <c r="R4" s="385" t="s">
        <v>311</v>
      </c>
      <c r="S4" s="24"/>
      <c r="T4" s="387" t="s">
        <v>269</v>
      </c>
      <c r="U4" s="387" t="s">
        <v>312</v>
      </c>
      <c r="V4" s="387" t="s">
        <v>311</v>
      </c>
      <c r="W4" s="24"/>
      <c r="X4" s="389" t="s">
        <v>269</v>
      </c>
      <c r="Y4" s="389" t="s">
        <v>312</v>
      </c>
      <c r="Z4" s="389" t="s">
        <v>311</v>
      </c>
      <c r="AA4" s="24"/>
    </row>
    <row r="5" spans="2:27" s="276" customFormat="1">
      <c r="B5" s="277">
        <v>45490</v>
      </c>
      <c r="C5" s="280"/>
      <c r="D5" s="279">
        <v>0</v>
      </c>
      <c r="E5" s="279">
        <v>0</v>
      </c>
      <c r="F5" s="281"/>
      <c r="G5" s="280"/>
      <c r="H5" s="279">
        <v>0</v>
      </c>
      <c r="I5" s="279">
        <v>0</v>
      </c>
      <c r="J5" s="281"/>
      <c r="K5" s="280"/>
      <c r="L5" s="279">
        <v>0</v>
      </c>
      <c r="M5" s="279">
        <v>0</v>
      </c>
      <c r="N5" s="281"/>
      <c r="O5" s="280"/>
      <c r="P5" s="279">
        <v>0</v>
      </c>
      <c r="Q5" s="279">
        <v>0</v>
      </c>
      <c r="R5" s="281"/>
      <c r="S5" s="280"/>
      <c r="T5" s="279">
        <v>0</v>
      </c>
      <c r="U5" s="279">
        <v>0</v>
      </c>
      <c r="V5" s="281"/>
      <c r="W5" s="280"/>
      <c r="X5" s="279">
        <v>0</v>
      </c>
      <c r="Y5" s="279">
        <v>0</v>
      </c>
      <c r="Z5" s="281"/>
      <c r="AA5" s="280"/>
    </row>
    <row r="6" spans="2:27" s="276" customFormat="1">
      <c r="B6" s="277">
        <v>45491</v>
      </c>
      <c r="C6" s="280"/>
      <c r="D6" s="279">
        <v>0</v>
      </c>
      <c r="E6" s="279">
        <v>36800202916.666702</v>
      </c>
      <c r="F6" s="281"/>
      <c r="G6" s="280"/>
      <c r="H6" s="279">
        <v>0</v>
      </c>
      <c r="I6" s="279">
        <v>35401795205.833328</v>
      </c>
      <c r="J6" s="281"/>
      <c r="K6" s="280"/>
      <c r="L6" s="279">
        <v>0</v>
      </c>
      <c r="M6" s="279">
        <v>22227322561.666698</v>
      </c>
      <c r="N6" s="281"/>
      <c r="O6" s="280"/>
      <c r="P6" s="279">
        <v>0</v>
      </c>
      <c r="Q6" s="279">
        <v>19136105516.666664</v>
      </c>
      <c r="R6" s="281"/>
      <c r="S6" s="280"/>
      <c r="T6" s="279">
        <v>0</v>
      </c>
      <c r="U6" s="279">
        <v>18620902675.833332</v>
      </c>
      <c r="V6" s="281"/>
      <c r="W6" s="280"/>
      <c r="X6" s="279">
        <v>0</v>
      </c>
      <c r="Y6" s="279">
        <v>15014482790</v>
      </c>
      <c r="Z6" s="281"/>
      <c r="AA6" s="280"/>
    </row>
    <row r="7" spans="2:27" s="276" customFormat="1">
      <c r="B7" s="277">
        <v>45492</v>
      </c>
      <c r="C7" s="280"/>
      <c r="D7" s="279">
        <v>13199797083.333328</v>
      </c>
      <c r="E7" s="279">
        <v>50503670694.441116</v>
      </c>
      <c r="F7" s="281">
        <v>1.0100734138888217</v>
      </c>
      <c r="G7" s="280"/>
      <c r="H7" s="279">
        <v>12698204794.166672</v>
      </c>
      <c r="I7" s="279">
        <v>48584531208.058891</v>
      </c>
      <c r="J7" s="281">
        <v>1.0100734138889582</v>
      </c>
      <c r="K7" s="280"/>
      <c r="L7" s="279">
        <v>0</v>
      </c>
      <c r="M7" s="279">
        <v>22531539661.111115</v>
      </c>
      <c r="N7" s="281">
        <v>1.0136866281847685</v>
      </c>
      <c r="O7" s="280"/>
      <c r="P7" s="279">
        <v>0</v>
      </c>
      <c r="Q7" s="279">
        <v>19398014277.777779</v>
      </c>
      <c r="R7" s="281">
        <v>1.0136866281847685</v>
      </c>
      <c r="S7" s="280"/>
      <c r="T7" s="279">
        <v>0</v>
      </c>
      <c r="U7" s="279">
        <v>18875760047.222221</v>
      </c>
      <c r="V7" s="281">
        <v>1.0136866281847683</v>
      </c>
      <c r="W7" s="280"/>
      <c r="X7" s="279">
        <v>0</v>
      </c>
      <c r="Y7" s="279">
        <v>15219980433.333332</v>
      </c>
      <c r="Z7" s="281">
        <v>1.0136866281847683</v>
      </c>
      <c r="AA7" s="280"/>
    </row>
    <row r="8" spans="2:27" s="276" customFormat="1">
      <c r="B8" s="277">
        <v>45495</v>
      </c>
      <c r="C8" s="280"/>
      <c r="D8" s="279">
        <v>0</v>
      </c>
      <c r="E8" s="279">
        <v>50635642055.444443</v>
      </c>
      <c r="F8" s="281">
        <v>1.0026131043385298</v>
      </c>
      <c r="G8" s="280"/>
      <c r="H8" s="279">
        <v>0</v>
      </c>
      <c r="I8" s="279">
        <v>48712362615.10556</v>
      </c>
      <c r="J8" s="281">
        <v>1.0026311133166901</v>
      </c>
      <c r="K8" s="280"/>
      <c r="L8" s="279">
        <v>7972677438.3333359</v>
      </c>
      <c r="M8" s="279">
        <v>30576184957.777782</v>
      </c>
      <c r="N8" s="281">
        <v>1.002359275706002</v>
      </c>
      <c r="O8" s="280"/>
      <c r="P8" s="279">
        <v>6863894483.3333359</v>
      </c>
      <c r="Q8" s="279">
        <v>26323867844.441113</v>
      </c>
      <c r="R8" s="281">
        <v>1.002359275705875</v>
      </c>
      <c r="S8" s="280"/>
      <c r="T8" s="279">
        <v>6679097324.1666679</v>
      </c>
      <c r="U8" s="279">
        <v>25615148325.558891</v>
      </c>
      <c r="V8" s="281">
        <v>1.0023592757061326</v>
      </c>
      <c r="W8" s="280"/>
      <c r="X8" s="279">
        <v>5385517210</v>
      </c>
      <c r="Y8" s="279">
        <v>20654111693.333332</v>
      </c>
      <c r="Z8" s="281">
        <v>1.002359275706002</v>
      </c>
      <c r="AA8" s="280"/>
    </row>
    <row r="9" spans="2:27" s="276" customFormat="1">
      <c r="B9" s="277">
        <v>45496</v>
      </c>
      <c r="C9" s="280"/>
      <c r="D9" s="279">
        <v>0</v>
      </c>
      <c r="E9" s="279">
        <v>50762447296.528885</v>
      </c>
      <c r="F9" s="281">
        <v>1.0025042684547298</v>
      </c>
      <c r="G9" s="280"/>
      <c r="H9" s="279">
        <v>0</v>
      </c>
      <c r="I9" s="279">
        <v>48834390651.111115</v>
      </c>
      <c r="J9" s="281">
        <v>1.0025050732392051</v>
      </c>
      <c r="K9" s="280"/>
      <c r="L9" s="279">
        <v>0</v>
      </c>
      <c r="M9" s="279">
        <v>30651986319.508896</v>
      </c>
      <c r="N9" s="281">
        <v>1.0024790980900915</v>
      </c>
      <c r="O9" s="280"/>
      <c r="P9" s="279">
        <v>0</v>
      </c>
      <c r="Q9" s="279">
        <v>26389827739.212219</v>
      </c>
      <c r="R9" s="281">
        <v>1.0025057068042162</v>
      </c>
      <c r="S9" s="280"/>
      <c r="T9" s="279">
        <v>0</v>
      </c>
      <c r="U9" s="279">
        <v>25679319306.537781</v>
      </c>
      <c r="V9" s="281">
        <v>1.0025051965408633</v>
      </c>
      <c r="W9" s="280"/>
      <c r="X9" s="279">
        <v>0</v>
      </c>
      <c r="Y9" s="279">
        <v>22767672907.74889</v>
      </c>
      <c r="Z9" s="281">
        <v>1.1023312571267718</v>
      </c>
      <c r="AA9" s="280"/>
    </row>
    <row r="10" spans="2:27" s="276" customFormat="1">
      <c r="B10" s="277">
        <v>45497</v>
      </c>
      <c r="C10" s="280"/>
      <c r="D10" s="279">
        <v>0</v>
      </c>
      <c r="E10" s="279">
        <v>50551980443.483322</v>
      </c>
      <c r="F10" s="281">
        <v>0.99585388679517128</v>
      </c>
      <c r="G10" s="280"/>
      <c r="H10" s="279">
        <v>0</v>
      </c>
      <c r="I10" s="279">
        <v>48631921319.246666</v>
      </c>
      <c r="J10" s="281">
        <v>0.99585396010547245</v>
      </c>
      <c r="K10" s="280"/>
      <c r="L10" s="279">
        <v>0</v>
      </c>
      <c r="M10" s="279">
        <v>30525689388.123329</v>
      </c>
      <c r="N10" s="281">
        <v>0.99587964936206486</v>
      </c>
      <c r="O10" s="280"/>
      <c r="P10" s="279">
        <v>0</v>
      </c>
      <c r="Q10" s="279">
        <v>26285301975.773331</v>
      </c>
      <c r="R10" s="281">
        <v>0.99603916461782827</v>
      </c>
      <c r="S10" s="280"/>
      <c r="T10" s="279">
        <v>0</v>
      </c>
      <c r="U10" s="279">
        <v>25572820559.396664</v>
      </c>
      <c r="V10" s="281">
        <v>0.99585274259532253</v>
      </c>
      <c r="W10" s="280"/>
      <c r="X10" s="279">
        <v>0</v>
      </c>
      <c r="Y10" s="279">
        <v>22662641583.493336</v>
      </c>
      <c r="Z10" s="281">
        <v>0.99538682215432706</v>
      </c>
      <c r="AA10" s="280"/>
    </row>
    <row r="11" spans="2:27" s="276" customFormat="1">
      <c r="B11" s="277">
        <v>45498</v>
      </c>
      <c r="C11" s="280"/>
      <c r="D11" s="279">
        <v>0</v>
      </c>
      <c r="E11" s="279">
        <v>50634032320.577774</v>
      </c>
      <c r="F11" s="281">
        <v>1.0016231189436027</v>
      </c>
      <c r="G11" s="280"/>
      <c r="H11" s="279">
        <v>0</v>
      </c>
      <c r="I11" s="279">
        <v>48640248045.982224</v>
      </c>
      <c r="J11" s="281">
        <v>1.0001712193659982</v>
      </c>
      <c r="K11" s="280"/>
      <c r="L11" s="279">
        <v>0</v>
      </c>
      <c r="M11" s="279">
        <v>30582840735.717781</v>
      </c>
      <c r="N11" s="281">
        <v>1.0018722377361504</v>
      </c>
      <c r="O11" s="280"/>
      <c r="P11" s="279">
        <v>0</v>
      </c>
      <c r="Q11" s="279">
        <v>26292000053.230408</v>
      </c>
      <c r="R11" s="281">
        <v>1.0002548221611931</v>
      </c>
      <c r="S11" s="280"/>
      <c r="T11" s="279">
        <v>0</v>
      </c>
      <c r="U11" s="279">
        <v>25577197950.735558</v>
      </c>
      <c r="V11" s="281">
        <v>1.0001711735836385</v>
      </c>
      <c r="W11" s="280"/>
      <c r="X11" s="279">
        <v>0</v>
      </c>
      <c r="Y11" s="279">
        <v>20664580112.630474</v>
      </c>
      <c r="Z11" s="281">
        <v>0.91183457305708882</v>
      </c>
      <c r="AA11" s="280"/>
    </row>
    <row r="12" spans="2:27" s="276" customFormat="1">
      <c r="B12" s="277">
        <v>45499</v>
      </c>
      <c r="C12" s="280"/>
      <c r="D12" s="279">
        <v>0</v>
      </c>
      <c r="E12" s="279">
        <v>50735868652.288872</v>
      </c>
      <c r="F12" s="281">
        <v>1.0020112230261722</v>
      </c>
      <c r="G12" s="280"/>
      <c r="H12" s="279">
        <v>0</v>
      </c>
      <c r="I12" s="279">
        <v>48728263382.787781</v>
      </c>
      <c r="J12" s="281">
        <v>1.0018095166110657</v>
      </c>
      <c r="K12" s="280"/>
      <c r="L12" s="279">
        <v>0</v>
      </c>
      <c r="M12" s="279">
        <v>30644874760.492218</v>
      </c>
      <c r="N12" s="281">
        <v>1.0020283931538769</v>
      </c>
      <c r="O12" s="280"/>
      <c r="P12" s="279">
        <v>0</v>
      </c>
      <c r="Q12" s="279">
        <v>26340341001.881298</v>
      </c>
      <c r="R12" s="281">
        <v>1.0018386181558276</v>
      </c>
      <c r="S12" s="280"/>
      <c r="T12" s="279">
        <v>0</v>
      </c>
      <c r="U12" s="279">
        <v>25623516751.964439</v>
      </c>
      <c r="V12" s="281">
        <v>1.0018109411874629</v>
      </c>
      <c r="W12" s="280"/>
      <c r="X12" s="279">
        <v>0</v>
      </c>
      <c r="Y12" s="279">
        <v>20706557836.397614</v>
      </c>
      <c r="Z12" s="281">
        <v>1.0020313852755944</v>
      </c>
      <c r="AA12" s="280"/>
    </row>
    <row r="13" spans="2:27" s="276" customFormat="1">
      <c r="B13" s="277">
        <v>45500</v>
      </c>
      <c r="C13" s="280"/>
      <c r="D13" s="279">
        <v>0</v>
      </c>
      <c r="E13" s="279">
        <v>50751455119.141258</v>
      </c>
      <c r="F13" s="281">
        <v>1.0003072080416955</v>
      </c>
      <c r="G13" s="280"/>
      <c r="H13" s="279">
        <v>0</v>
      </c>
      <c r="I13" s="279">
        <v>48743396872.471191</v>
      </c>
      <c r="J13" s="281">
        <v>1.0003105690339205</v>
      </c>
      <c r="K13" s="280"/>
      <c r="L13" s="279">
        <v>0</v>
      </c>
      <c r="M13" s="279">
        <v>30654138116.243328</v>
      </c>
      <c r="N13" s="281">
        <v>1.0003022807508111</v>
      </c>
      <c r="O13" s="280"/>
      <c r="P13" s="279">
        <v>0</v>
      </c>
      <c r="Q13" s="279">
        <v>26348446330.89864</v>
      </c>
      <c r="R13" s="281">
        <v>1.000307715417077</v>
      </c>
      <c r="S13" s="280"/>
      <c r="T13" s="279">
        <v>0</v>
      </c>
      <c r="U13" s="279">
        <v>25631575803.636215</v>
      </c>
      <c r="V13" s="281">
        <v>1.0003145177826209</v>
      </c>
      <c r="W13" s="280"/>
      <c r="X13" s="279">
        <v>0</v>
      </c>
      <c r="Y13" s="279">
        <v>20712784160.53709</v>
      </c>
      <c r="Z13" s="281">
        <v>1.0003006933450103</v>
      </c>
      <c r="AA13" s="280"/>
    </row>
    <row r="14" spans="2:27" s="276" customFormat="1">
      <c r="B14" s="277">
        <v>45501</v>
      </c>
      <c r="C14" s="280"/>
      <c r="D14" s="279">
        <v>0</v>
      </c>
      <c r="E14" s="279">
        <v>50767041585.993622</v>
      </c>
      <c r="F14" s="281">
        <v>1.0003071136938986</v>
      </c>
      <c r="G14" s="280"/>
      <c r="H14" s="279">
        <v>0</v>
      </c>
      <c r="I14" s="279">
        <v>48758530362.15461</v>
      </c>
      <c r="J14" s="281">
        <v>1.0003104726107417</v>
      </c>
      <c r="K14" s="280"/>
      <c r="L14" s="279">
        <v>0</v>
      </c>
      <c r="M14" s="279">
        <v>30663401471.994446</v>
      </c>
      <c r="N14" s="281">
        <v>1.000302189404771</v>
      </c>
      <c r="O14" s="280"/>
      <c r="P14" s="279">
        <v>0</v>
      </c>
      <c r="Q14" s="279">
        <v>26356551659.915989</v>
      </c>
      <c r="R14" s="281">
        <v>1.0003076207574275</v>
      </c>
      <c r="S14" s="280"/>
      <c r="T14" s="279">
        <v>0</v>
      </c>
      <c r="U14" s="279">
        <v>25639634855.307976</v>
      </c>
      <c r="V14" s="281">
        <v>1.0003144188922874</v>
      </c>
      <c r="W14" s="280"/>
      <c r="X14" s="279">
        <v>0</v>
      </c>
      <c r="Y14" s="279">
        <v>20557595484.676563</v>
      </c>
      <c r="Z14" s="281">
        <v>0.99250758977365294</v>
      </c>
      <c r="AA14" s="280"/>
    </row>
    <row r="15" spans="2:27" s="276" customFormat="1">
      <c r="B15" s="277">
        <v>45502</v>
      </c>
      <c r="C15" s="280"/>
      <c r="D15" s="279">
        <v>0</v>
      </c>
      <c r="E15" s="279">
        <v>50876437389.352219</v>
      </c>
      <c r="F15" s="281">
        <v>1.0021548587418334</v>
      </c>
      <c r="G15" s="280"/>
      <c r="H15" s="279">
        <v>0</v>
      </c>
      <c r="I15" s="279">
        <v>48853155114.574448</v>
      </c>
      <c r="J15" s="281">
        <v>1.0019406809786311</v>
      </c>
      <c r="K15" s="280"/>
      <c r="L15" s="279">
        <v>0</v>
      </c>
      <c r="M15" s="279">
        <v>30732193968.44556</v>
      </c>
      <c r="N15" s="281">
        <v>1.0022434724508285</v>
      </c>
      <c r="O15" s="280"/>
      <c r="P15" s="279">
        <v>0</v>
      </c>
      <c r="Q15" s="279">
        <v>26408927738.933331</v>
      </c>
      <c r="R15" s="281">
        <v>1.001987212883277</v>
      </c>
      <c r="S15" s="280"/>
      <c r="T15" s="279">
        <v>0</v>
      </c>
      <c r="U15" s="279">
        <v>25689505319.491104</v>
      </c>
      <c r="V15" s="281">
        <v>1.0019450536041001</v>
      </c>
      <c r="W15" s="280"/>
      <c r="X15" s="279">
        <v>0</v>
      </c>
      <c r="Y15" s="279">
        <v>20765260123.819038</v>
      </c>
      <c r="Z15" s="281">
        <v>1.0101016015855193</v>
      </c>
      <c r="AA15" s="280"/>
    </row>
    <row r="16" spans="2:27" s="276" customFormat="1">
      <c r="B16" s="277">
        <v>45503</v>
      </c>
      <c r="C16" s="280"/>
      <c r="D16" s="279">
        <v>0</v>
      </c>
      <c r="E16" s="279">
        <v>51086127666.473335</v>
      </c>
      <c r="F16" s="281">
        <v>1.0041215597608846</v>
      </c>
      <c r="G16" s="280"/>
      <c r="H16" s="279">
        <v>0</v>
      </c>
      <c r="I16" s="279">
        <v>49051681436.440002</v>
      </c>
      <c r="J16" s="281">
        <v>1.0040637359327143</v>
      </c>
      <c r="K16" s="280"/>
      <c r="L16" s="279">
        <v>0</v>
      </c>
      <c r="M16" s="279">
        <v>30863253775.530003</v>
      </c>
      <c r="N16" s="281">
        <v>1.0042645769846112</v>
      </c>
      <c r="O16" s="280"/>
      <c r="P16" s="279">
        <v>0</v>
      </c>
      <c r="Q16" s="279">
        <v>26508058089.148972</v>
      </c>
      <c r="R16" s="281">
        <v>1.0037536681229771</v>
      </c>
      <c r="S16" s="280"/>
      <c r="T16" s="279">
        <v>0</v>
      </c>
      <c r="U16" s="279">
        <v>19542563305.549992</v>
      </c>
      <c r="V16" s="281">
        <v>0.76072166678595743</v>
      </c>
      <c r="W16" s="280"/>
      <c r="X16" s="279">
        <v>0</v>
      </c>
      <c r="Y16" s="279">
        <v>20853591298.976181</v>
      </c>
      <c r="Z16" s="281">
        <v>1.0042537957449338</v>
      </c>
      <c r="AA16" s="280"/>
    </row>
    <row r="17" spans="2:27" s="276" customFormat="1">
      <c r="B17" s="277">
        <v>45504</v>
      </c>
      <c r="C17" s="280"/>
      <c r="D17" s="279">
        <v>0</v>
      </c>
      <c r="E17" s="279">
        <v>51245312994.043335</v>
      </c>
      <c r="F17" s="281">
        <v>1.0031160186696724</v>
      </c>
      <c r="G17" s="280"/>
      <c r="H17" s="279">
        <v>0</v>
      </c>
      <c r="I17" s="279">
        <v>49192231853.440002</v>
      </c>
      <c r="J17" s="281">
        <v>1.0028653537021381</v>
      </c>
      <c r="K17" s="280"/>
      <c r="L17" s="279">
        <v>0</v>
      </c>
      <c r="M17" s="279">
        <v>30961261926.540001</v>
      </c>
      <c r="N17" s="281">
        <v>1.0031755611939952</v>
      </c>
      <c r="O17" s="280"/>
      <c r="P17" s="279">
        <v>0</v>
      </c>
      <c r="Q17" s="279">
        <v>26583371916.319637</v>
      </c>
      <c r="R17" s="281">
        <v>1.00284116727515</v>
      </c>
      <c r="S17" s="280"/>
      <c r="T17" s="279">
        <v>0</v>
      </c>
      <c r="U17" s="279">
        <v>25854185863.815655</v>
      </c>
      <c r="V17" s="281">
        <v>1.3229679985978704</v>
      </c>
      <c r="W17" s="280"/>
      <c r="X17" s="279">
        <v>0</v>
      </c>
      <c r="Y17" s="279">
        <v>20919826083.040001</v>
      </c>
      <c r="Z17" s="281">
        <v>1.0031761811725481</v>
      </c>
      <c r="AA17" s="280"/>
    </row>
    <row r="18" spans="2:27" s="276" customFormat="1">
      <c r="B18" s="277">
        <v>45505</v>
      </c>
      <c r="C18" s="280"/>
      <c r="D18" s="279">
        <v>0</v>
      </c>
      <c r="E18" s="279">
        <v>51650459893.503014</v>
      </c>
      <c r="F18" s="281">
        <v>1.0079060283914505</v>
      </c>
      <c r="G18" s="280"/>
      <c r="H18" s="279">
        <v>0</v>
      </c>
      <c r="I18" s="279">
        <v>49537333500.135559</v>
      </c>
      <c r="J18" s="281">
        <v>1.0070153687623633</v>
      </c>
      <c r="K18" s="280"/>
      <c r="L18" s="279">
        <v>0</v>
      </c>
      <c r="M18" s="279">
        <v>31222682898.14444</v>
      </c>
      <c r="N18" s="281">
        <v>1.008443485676543</v>
      </c>
      <c r="O18" s="280"/>
      <c r="P18" s="279">
        <v>0</v>
      </c>
      <c r="Q18" s="279">
        <v>26775898053.605698</v>
      </c>
      <c r="R18" s="281">
        <v>1.0072423520196048</v>
      </c>
      <c r="S18" s="280"/>
      <c r="T18" s="279">
        <v>0</v>
      </c>
      <c r="U18" s="279">
        <v>26035352976.458668</v>
      </c>
      <c r="V18" s="281">
        <v>1.007007264262634</v>
      </c>
      <c r="W18" s="280"/>
      <c r="X18" s="279">
        <v>0</v>
      </c>
      <c r="Y18" s="279">
        <v>21095104053.762905</v>
      </c>
      <c r="Z18" s="281">
        <v>1.0083785577388238</v>
      </c>
      <c r="AA18" s="280"/>
    </row>
    <row r="19" spans="2:27" s="276" customFormat="1">
      <c r="B19" s="277">
        <v>45506</v>
      </c>
      <c r="C19" s="280"/>
      <c r="D19" s="279">
        <v>0</v>
      </c>
      <c r="E19" s="279">
        <v>51473160403.672691</v>
      </c>
      <c r="F19" s="281">
        <v>0.99656732020981242</v>
      </c>
      <c r="G19" s="280"/>
      <c r="H19" s="279">
        <v>0</v>
      </c>
      <c r="I19" s="279">
        <v>49394407940.011116</v>
      </c>
      <c r="J19" s="281">
        <v>0.99711479100658396</v>
      </c>
      <c r="K19" s="280"/>
      <c r="L19" s="279">
        <v>0</v>
      </c>
      <c r="M19" s="279">
        <v>31101713816.938889</v>
      </c>
      <c r="N19" s="281">
        <v>0.99612560260756</v>
      </c>
      <c r="O19" s="280"/>
      <c r="P19" s="279">
        <v>0</v>
      </c>
      <c r="Q19" s="279">
        <v>26691783940.896549</v>
      </c>
      <c r="R19" s="281">
        <v>0.99685858855076492</v>
      </c>
      <c r="S19" s="280"/>
      <c r="T19" s="279">
        <v>0</v>
      </c>
      <c r="U19" s="279">
        <v>25956655584.253075</v>
      </c>
      <c r="V19" s="281">
        <v>0.99697728729559565</v>
      </c>
      <c r="W19" s="280"/>
      <c r="X19" s="279">
        <v>0</v>
      </c>
      <c r="Y19" s="279">
        <v>21014634106.54081</v>
      </c>
      <c r="Z19" s="281">
        <v>0.99618537329718737</v>
      </c>
      <c r="AA19" s="280"/>
    </row>
    <row r="20" spans="2:27" s="276" customFormat="1">
      <c r="B20" s="277">
        <v>45507</v>
      </c>
      <c r="C20" s="280"/>
      <c r="D20" s="279">
        <v>0</v>
      </c>
      <c r="E20" s="279">
        <v>51488810267.00238</v>
      </c>
      <c r="F20" s="281">
        <v>1.0003040392936233</v>
      </c>
      <c r="G20" s="280"/>
      <c r="H20" s="279">
        <v>0</v>
      </c>
      <c r="I20" s="279">
        <v>49409241071.562042</v>
      </c>
      <c r="J20" s="281">
        <v>1.0003002998146864</v>
      </c>
      <c r="K20" s="280"/>
      <c r="L20" s="279">
        <v>0</v>
      </c>
      <c r="M20" s="279">
        <v>31110941662.383331</v>
      </c>
      <c r="N20" s="281">
        <v>1.000296698937517</v>
      </c>
      <c r="O20" s="280"/>
      <c r="P20" s="279">
        <v>0</v>
      </c>
      <c r="Q20" s="279">
        <v>26699926589.973934</v>
      </c>
      <c r="R20" s="281">
        <v>1.0003050620031773</v>
      </c>
      <c r="S20" s="280"/>
      <c r="T20" s="279">
        <v>0</v>
      </c>
      <c r="U20" s="279">
        <v>25964599984.18668</v>
      </c>
      <c r="V20" s="281">
        <v>1.0003060640808605</v>
      </c>
      <c r="W20" s="280"/>
      <c r="X20" s="279">
        <v>0</v>
      </c>
      <c r="Y20" s="279">
        <v>21020926736.932579</v>
      </c>
      <c r="Z20" s="281">
        <v>1.0002994403975756</v>
      </c>
      <c r="AA20" s="280"/>
    </row>
    <row r="21" spans="2:27" s="276" customFormat="1">
      <c r="B21" s="277">
        <v>45508</v>
      </c>
      <c r="C21" s="280"/>
      <c r="D21" s="279">
        <v>0</v>
      </c>
      <c r="E21" s="279">
        <v>51504460130.332062</v>
      </c>
      <c r="F21" s="281">
        <v>1.0003039468818278</v>
      </c>
      <c r="G21" s="280"/>
      <c r="H21" s="279">
        <v>0</v>
      </c>
      <c r="I21" s="279">
        <v>49424074203.112953</v>
      </c>
      <c r="J21" s="281">
        <v>1.0003002096617801</v>
      </c>
      <c r="K21" s="280"/>
      <c r="L21" s="279">
        <v>0</v>
      </c>
      <c r="M21" s="279">
        <v>31120169507.827778</v>
      </c>
      <c r="N21" s="281">
        <v>1.0002966109333684</v>
      </c>
      <c r="O21" s="280"/>
      <c r="P21" s="279">
        <v>0</v>
      </c>
      <c r="Q21" s="279">
        <v>26708069239.051323</v>
      </c>
      <c r="R21" s="281">
        <v>1.0003049689687329</v>
      </c>
      <c r="S21" s="280"/>
      <c r="T21" s="279">
        <v>0</v>
      </c>
      <c r="U21" s="279">
        <v>25972544384.120296</v>
      </c>
      <c r="V21" s="281">
        <v>1.0003059704343011</v>
      </c>
      <c r="W21" s="280"/>
      <c r="X21" s="279">
        <v>0</v>
      </c>
      <c r="Y21" s="279">
        <v>21027219367.324348</v>
      </c>
      <c r="Z21" s="281">
        <v>1.0002993507598652</v>
      </c>
      <c r="AA21" s="280"/>
    </row>
    <row r="22" spans="2:27" s="276" customFormat="1">
      <c r="B22" s="277">
        <v>45509</v>
      </c>
      <c r="C22" s="280"/>
      <c r="D22" s="279">
        <v>0</v>
      </c>
      <c r="E22" s="279">
        <v>51532074993.661736</v>
      </c>
      <c r="F22" s="281">
        <v>1.0005361645041961</v>
      </c>
      <c r="G22" s="280"/>
      <c r="H22" s="279">
        <v>0</v>
      </c>
      <c r="I22" s="279">
        <v>49450061434.657784</v>
      </c>
      <c r="J22" s="281">
        <v>1.0005258010790052</v>
      </c>
      <c r="K22" s="280"/>
      <c r="L22" s="279">
        <v>0</v>
      </c>
      <c r="M22" s="279">
        <v>31137360708.23222</v>
      </c>
      <c r="N22" s="281">
        <v>1.0005524134564923</v>
      </c>
      <c r="O22" s="280"/>
      <c r="P22" s="279">
        <v>0</v>
      </c>
      <c r="Q22" s="279">
        <v>26724582115.128693</v>
      </c>
      <c r="R22" s="281">
        <v>1.0006182729245447</v>
      </c>
      <c r="S22" s="280"/>
      <c r="T22" s="279">
        <v>0</v>
      </c>
      <c r="U22" s="279">
        <v>25986007873.571896</v>
      </c>
      <c r="V22" s="281">
        <v>1.0005183739125625</v>
      </c>
      <c r="W22" s="280"/>
      <c r="X22" s="279">
        <v>0</v>
      </c>
      <c r="Y22" s="279">
        <v>21038812553.676117</v>
      </c>
      <c r="Z22" s="281">
        <v>1.0005513418654768</v>
      </c>
      <c r="AA22" s="280"/>
    </row>
    <row r="23" spans="2:27" s="276" customFormat="1">
      <c r="B23" s="277">
        <v>45510</v>
      </c>
      <c r="C23" s="280"/>
      <c r="D23" s="279">
        <v>0</v>
      </c>
      <c r="E23" s="279">
        <v>51584906201.221436</v>
      </c>
      <c r="F23" s="281">
        <v>1.001025210173784</v>
      </c>
      <c r="G23" s="280"/>
      <c r="H23" s="279">
        <v>0</v>
      </c>
      <c r="I23" s="279">
        <v>49496828690.503326</v>
      </c>
      <c r="J23" s="281">
        <v>1.0009457471737895</v>
      </c>
      <c r="K23" s="280"/>
      <c r="L23" s="279">
        <v>0</v>
      </c>
      <c r="M23" s="279">
        <v>31170413979.056664</v>
      </c>
      <c r="N23" s="281">
        <v>1.0010615309092561</v>
      </c>
      <c r="O23" s="280"/>
      <c r="P23" s="279">
        <v>0</v>
      </c>
      <c r="Q23" s="279">
        <v>26750472804.924393</v>
      </c>
      <c r="R23" s="281">
        <v>1.0009687968060328</v>
      </c>
      <c r="S23" s="280"/>
      <c r="T23" s="279">
        <v>0</v>
      </c>
      <c r="U23" s="279">
        <v>26011364057.471912</v>
      </c>
      <c r="V23" s="281">
        <v>1.0009757629576417</v>
      </c>
      <c r="W23" s="280"/>
      <c r="X23" s="279">
        <v>0</v>
      </c>
      <c r="Y23" s="279">
        <v>21061109032.797886</v>
      </c>
      <c r="Z23" s="281">
        <v>1.0010597784007478</v>
      </c>
      <c r="AA23" s="280"/>
    </row>
    <row r="24" spans="2:27" s="276" customFormat="1">
      <c r="B24" s="277">
        <v>45511</v>
      </c>
      <c r="C24" s="280"/>
      <c r="D24" s="279">
        <v>0</v>
      </c>
      <c r="E24" s="279">
        <v>51448751467.53112</v>
      </c>
      <c r="F24" s="281">
        <v>0.99736057029629543</v>
      </c>
      <c r="G24" s="280"/>
      <c r="H24" s="279">
        <v>0</v>
      </c>
      <c r="I24" s="279">
        <v>49378522799.858887</v>
      </c>
      <c r="J24" s="281">
        <v>0.9976098288764278</v>
      </c>
      <c r="K24" s="280"/>
      <c r="L24" s="279">
        <v>0</v>
      </c>
      <c r="M24" s="279">
        <v>31086790674.631115</v>
      </c>
      <c r="N24" s="281">
        <v>0.9973172218860572</v>
      </c>
      <c r="O24" s="280"/>
      <c r="P24" s="279">
        <v>0</v>
      </c>
      <c r="Q24" s="279">
        <v>26687727160.087212</v>
      </c>
      <c r="R24" s="281">
        <v>0.99765440987549081</v>
      </c>
      <c r="S24" s="280"/>
      <c r="T24" s="279">
        <v>0</v>
      </c>
      <c r="U24" s="279">
        <v>25951983413.974922</v>
      </c>
      <c r="V24" s="281">
        <v>0.99771712689246939</v>
      </c>
      <c r="W24" s="280"/>
      <c r="X24" s="279">
        <v>0</v>
      </c>
      <c r="Y24" s="279">
        <v>21004630435.098206</v>
      </c>
      <c r="Z24" s="281">
        <v>0.99731834645498829</v>
      </c>
      <c r="AA24" s="280"/>
    </row>
    <row r="25" spans="2:27" s="276" customFormat="1">
      <c r="B25" s="277">
        <v>45512</v>
      </c>
      <c r="C25" s="280"/>
      <c r="D25" s="279">
        <v>0</v>
      </c>
      <c r="E25" s="279">
        <v>51518228059.138283</v>
      </c>
      <c r="F25" s="281">
        <v>1.0013504038412091</v>
      </c>
      <c r="G25" s="280"/>
      <c r="H25" s="279">
        <v>0</v>
      </c>
      <c r="I25" s="279">
        <v>49412352810.391602</v>
      </c>
      <c r="J25" s="281">
        <v>1.0006851158887404</v>
      </c>
      <c r="K25" s="280"/>
      <c r="L25" s="279">
        <v>0</v>
      </c>
      <c r="M25" s="279">
        <v>31154647183.917107</v>
      </c>
      <c r="N25" s="281">
        <v>1.002182808447363</v>
      </c>
      <c r="O25" s="280"/>
      <c r="P25" s="279">
        <v>0</v>
      </c>
      <c r="Q25" s="279">
        <v>26730647446.818729</v>
      </c>
      <c r="R25" s="281">
        <v>1.0016082406146487</v>
      </c>
      <c r="S25" s="280"/>
      <c r="T25" s="279">
        <v>0</v>
      </c>
      <c r="U25" s="279">
        <v>25972247588.326111</v>
      </c>
      <c r="V25" s="281">
        <v>1.0007808333578188</v>
      </c>
      <c r="W25" s="280"/>
      <c r="X25" s="279">
        <v>0</v>
      </c>
      <c r="Y25" s="279">
        <v>21022594446.045479</v>
      </c>
      <c r="Z25" s="281">
        <v>1.000855240514837</v>
      </c>
      <c r="AA25" s="280"/>
    </row>
    <row r="26" spans="2:27" s="276" customFormat="1">
      <c r="B26" s="277">
        <v>45513</v>
      </c>
      <c r="C26" s="280"/>
      <c r="D26" s="279">
        <v>0</v>
      </c>
      <c r="E26" s="279">
        <v>51553117495.115463</v>
      </c>
      <c r="F26" s="281">
        <v>1.0006772250772509</v>
      </c>
      <c r="G26" s="280"/>
      <c r="H26" s="279">
        <v>0</v>
      </c>
      <c r="I26" s="279">
        <v>49443968689.950813</v>
      </c>
      <c r="J26" s="281">
        <v>1.0006398375661352</v>
      </c>
      <c r="K26" s="280"/>
      <c r="L26" s="279">
        <v>0</v>
      </c>
      <c r="M26" s="279">
        <v>31176806857.586117</v>
      </c>
      <c r="N26" s="281">
        <v>1.0007112798786708</v>
      </c>
      <c r="O26" s="280"/>
      <c r="P26" s="279">
        <v>0</v>
      </c>
      <c r="Q26" s="279">
        <v>26748114707.715248</v>
      </c>
      <c r="R26" s="281">
        <v>1.0006534544638797</v>
      </c>
      <c r="S26" s="280"/>
      <c r="T26" s="279">
        <v>0</v>
      </c>
      <c r="U26" s="279">
        <v>25987898543.377659</v>
      </c>
      <c r="V26" s="281">
        <v>1.0006026030284181</v>
      </c>
      <c r="W26" s="280"/>
      <c r="X26" s="279">
        <v>0</v>
      </c>
      <c r="Y26" s="279">
        <v>21036908291.561844</v>
      </c>
      <c r="Z26" s="281">
        <v>1.0006808791157105</v>
      </c>
      <c r="AA26" s="280"/>
    </row>
    <row r="27" spans="2:27" s="276" customFormat="1">
      <c r="B27" s="277">
        <v>45514</v>
      </c>
      <c r="C27" s="280"/>
      <c r="D27" s="279">
        <v>0</v>
      </c>
      <c r="E27" s="279">
        <v>51568645532.119301</v>
      </c>
      <c r="F27" s="281">
        <v>1.0003012046168751</v>
      </c>
      <c r="G27" s="280"/>
      <c r="H27" s="279">
        <v>0</v>
      </c>
      <c r="I27" s="279">
        <v>49458809725.956543</v>
      </c>
      <c r="J27" s="281">
        <v>1.0003001586725127</v>
      </c>
      <c r="K27" s="280"/>
      <c r="L27" s="279">
        <v>0</v>
      </c>
      <c r="M27" s="279">
        <v>31185493844.197781</v>
      </c>
      <c r="N27" s="281">
        <v>1.0002786361878349</v>
      </c>
      <c r="O27" s="280"/>
      <c r="P27" s="279">
        <v>0</v>
      </c>
      <c r="Q27" s="279">
        <v>26756199606.298908</v>
      </c>
      <c r="R27" s="281">
        <v>1.0003022605021703</v>
      </c>
      <c r="S27" s="280"/>
      <c r="T27" s="279">
        <v>0</v>
      </c>
      <c r="U27" s="279">
        <v>25995823043.534611</v>
      </c>
      <c r="V27" s="281">
        <v>1.0003049303945728</v>
      </c>
      <c r="W27" s="280"/>
      <c r="X27" s="279">
        <v>0</v>
      </c>
      <c r="Y27" s="279">
        <v>21043162542.282162</v>
      </c>
      <c r="Z27" s="281">
        <v>1.0002972989487635</v>
      </c>
      <c r="AA27" s="280"/>
    </row>
    <row r="28" spans="2:27" s="276" customFormat="1">
      <c r="B28" s="277">
        <v>45515</v>
      </c>
      <c r="C28" s="280"/>
      <c r="D28" s="279">
        <v>0</v>
      </c>
      <c r="E28" s="279">
        <v>51584173569.123138</v>
      </c>
      <c r="F28" s="281">
        <v>1.0003011139199722</v>
      </c>
      <c r="G28" s="280"/>
      <c r="H28" s="279">
        <v>0</v>
      </c>
      <c r="I28" s="279">
        <v>49473650761.96228</v>
      </c>
      <c r="J28" s="281">
        <v>1.0003000686043189</v>
      </c>
      <c r="K28" s="280"/>
      <c r="L28" s="279">
        <v>0</v>
      </c>
      <c r="M28" s="279">
        <v>31194180830.809448</v>
      </c>
      <c r="N28" s="281">
        <v>1.0002785585713367</v>
      </c>
      <c r="O28" s="280"/>
      <c r="P28" s="279">
        <v>0</v>
      </c>
      <c r="Q28" s="279">
        <v>26764284504.882565</v>
      </c>
      <c r="R28" s="281">
        <v>1.0003021691683656</v>
      </c>
      <c r="S28" s="280"/>
      <c r="T28" s="279">
        <v>0</v>
      </c>
      <c r="U28" s="279">
        <v>26003747543.691551</v>
      </c>
      <c r="V28" s="281">
        <v>1.0003048374403714</v>
      </c>
      <c r="W28" s="280"/>
      <c r="X28" s="279">
        <v>0</v>
      </c>
      <c r="Y28" s="279">
        <v>21049416793.00248</v>
      </c>
      <c r="Z28" s="281">
        <v>1.0002972105883681</v>
      </c>
      <c r="AA28" s="280"/>
    </row>
    <row r="29" spans="2:27" s="276" customFormat="1">
      <c r="B29" s="277">
        <v>45516</v>
      </c>
      <c r="C29" s="280"/>
      <c r="D29" s="279">
        <v>0</v>
      </c>
      <c r="E29" s="279">
        <v>51677259856.126976</v>
      </c>
      <c r="F29" s="281">
        <v>1.0018045512908935</v>
      </c>
      <c r="G29" s="280"/>
      <c r="H29" s="279">
        <v>0</v>
      </c>
      <c r="I29" s="279">
        <v>49545732597.522125</v>
      </c>
      <c r="J29" s="281">
        <v>1.0014569742569972</v>
      </c>
      <c r="K29" s="280"/>
      <c r="L29" s="279">
        <v>0</v>
      </c>
      <c r="M29" s="279">
        <v>31270294519.623112</v>
      </c>
      <c r="N29" s="281">
        <v>1.0024399963963306</v>
      </c>
      <c r="O29" s="280"/>
      <c r="P29" s="279">
        <v>0</v>
      </c>
      <c r="Q29" s="279">
        <v>26817000168.777466</v>
      </c>
      <c r="R29" s="281">
        <v>1.0019696272428014</v>
      </c>
      <c r="S29" s="280"/>
      <c r="T29" s="279">
        <v>0</v>
      </c>
      <c r="U29" s="279">
        <v>26049730623.185131</v>
      </c>
      <c r="V29" s="281">
        <v>1.0017683251006924</v>
      </c>
      <c r="W29" s="280"/>
      <c r="X29" s="279">
        <v>0</v>
      </c>
      <c r="Y29" s="279">
        <v>21099276951.142796</v>
      </c>
      <c r="Z29" s="281">
        <v>1.0023687192206148</v>
      </c>
      <c r="AA29" s="280"/>
    </row>
    <row r="30" spans="2:27" s="276" customFormat="1">
      <c r="B30" s="277">
        <v>45517</v>
      </c>
      <c r="C30" s="280"/>
      <c r="D30" s="279">
        <v>0</v>
      </c>
      <c r="E30" s="279">
        <v>51719037550.594154</v>
      </c>
      <c r="F30" s="281">
        <v>1.0008084347851161</v>
      </c>
      <c r="G30" s="280"/>
      <c r="H30" s="279">
        <v>0</v>
      </c>
      <c r="I30" s="279">
        <v>49584510132.277092</v>
      </c>
      <c r="J30" s="281">
        <v>1.0007826614467481</v>
      </c>
      <c r="K30" s="280"/>
      <c r="L30" s="279">
        <v>0</v>
      </c>
      <c r="M30" s="279">
        <v>31294499432.834114</v>
      </c>
      <c r="N30" s="281">
        <v>1.0007740545326751</v>
      </c>
      <c r="O30" s="280"/>
      <c r="P30" s="279">
        <v>0</v>
      </c>
      <c r="Q30" s="279">
        <v>26836913123.051193</v>
      </c>
      <c r="R30" s="281">
        <v>1.0007425496568745</v>
      </c>
      <c r="S30" s="280"/>
      <c r="T30" s="279">
        <v>0</v>
      </c>
      <c r="U30" s="279">
        <v>26069375701.505516</v>
      </c>
      <c r="V30" s="281">
        <v>1.0007541374843585</v>
      </c>
      <c r="W30" s="280"/>
      <c r="X30" s="279">
        <v>0</v>
      </c>
      <c r="Y30" s="279">
        <v>21115035811.793118</v>
      </c>
      <c r="Z30" s="281">
        <v>1.000746891027916</v>
      </c>
      <c r="AA30" s="280"/>
    </row>
    <row r="31" spans="2:27" s="276" customFormat="1">
      <c r="B31" s="277">
        <v>45518</v>
      </c>
      <c r="C31" s="280"/>
      <c r="D31" s="279">
        <v>0</v>
      </c>
      <c r="E31" s="279">
        <v>51842061154.677773</v>
      </c>
      <c r="F31" s="281">
        <v>1.0023786909020354</v>
      </c>
      <c r="G31" s="280"/>
      <c r="H31" s="279">
        <v>0</v>
      </c>
      <c r="I31" s="279">
        <v>49688593714.499802</v>
      </c>
      <c r="J31" s="281">
        <v>1.0020991148635945</v>
      </c>
      <c r="K31" s="280"/>
      <c r="L31" s="279">
        <v>0</v>
      </c>
      <c r="M31" s="279">
        <v>31375948988.375111</v>
      </c>
      <c r="N31" s="281">
        <v>1.0026026796087859</v>
      </c>
      <c r="O31" s="280"/>
      <c r="P31" s="279">
        <v>0</v>
      </c>
      <c r="Q31" s="279">
        <v>26897790031.01318</v>
      </c>
      <c r="R31" s="281">
        <v>1.0022684020208605</v>
      </c>
      <c r="S31" s="280"/>
      <c r="T31" s="279">
        <v>0</v>
      </c>
      <c r="U31" s="279">
        <v>26124749331.829636</v>
      </c>
      <c r="V31" s="281">
        <v>1.0021240873183213</v>
      </c>
      <c r="W31" s="280"/>
      <c r="X31" s="279">
        <v>0</v>
      </c>
      <c r="Y31" s="279">
        <v>21167734849.767544</v>
      </c>
      <c r="Z31" s="281">
        <v>1.0024958062323055</v>
      </c>
      <c r="AA31" s="280"/>
    </row>
    <row r="32" spans="2:27" s="276" customFormat="1">
      <c r="B32" s="277">
        <v>45519</v>
      </c>
      <c r="C32" s="280"/>
      <c r="D32" s="279">
        <v>0</v>
      </c>
      <c r="E32" s="279">
        <v>51850672287.937302</v>
      </c>
      <c r="F32" s="281">
        <v>1.0001661032194271</v>
      </c>
      <c r="G32" s="280"/>
      <c r="H32" s="279">
        <v>0</v>
      </c>
      <c r="I32" s="279">
        <v>49698142828.018829</v>
      </c>
      <c r="J32" s="281">
        <v>1.0001921791865129</v>
      </c>
      <c r="K32" s="280"/>
      <c r="L32" s="279">
        <v>0</v>
      </c>
      <c r="M32" s="279">
        <v>31379847086.316109</v>
      </c>
      <c r="N32" s="281">
        <v>1.0001242384076556</v>
      </c>
      <c r="O32" s="280"/>
      <c r="P32" s="279">
        <v>0</v>
      </c>
      <c r="Q32" s="279">
        <v>26909877242.911587</v>
      </c>
      <c r="R32" s="281">
        <v>1.0004493756507309</v>
      </c>
      <c r="S32" s="280"/>
      <c r="T32" s="279">
        <v>0</v>
      </c>
      <c r="U32" s="279">
        <v>26129462981.060829</v>
      </c>
      <c r="V32" s="281">
        <v>1.0001804284960334</v>
      </c>
      <c r="W32" s="280"/>
      <c r="X32" s="279">
        <v>0</v>
      </c>
      <c r="Y32" s="279">
        <v>21170559272.323944</v>
      </c>
      <c r="Z32" s="281">
        <v>1.0001334305525105</v>
      </c>
      <c r="AA32" s="280"/>
    </row>
    <row r="33" spans="2:27" s="276" customFormat="1">
      <c r="B33" s="277">
        <v>45520</v>
      </c>
      <c r="C33" s="280"/>
      <c r="D33" s="279">
        <v>0</v>
      </c>
      <c r="E33" s="279">
        <v>51899618555.506828</v>
      </c>
      <c r="F33" s="281">
        <v>1.000943985206165</v>
      </c>
      <c r="G33" s="280"/>
      <c r="H33" s="279">
        <v>0</v>
      </c>
      <c r="I33" s="279">
        <v>49741057191.400887</v>
      </c>
      <c r="J33" s="281">
        <v>1.0008635003430724</v>
      </c>
      <c r="K33" s="280"/>
      <c r="L33" s="279">
        <v>0</v>
      </c>
      <c r="M33" s="279">
        <v>31412187044.985107</v>
      </c>
      <c r="N33" s="281">
        <v>1.0010305964391746</v>
      </c>
      <c r="O33" s="280"/>
      <c r="P33" s="279">
        <v>0</v>
      </c>
      <c r="Q33" s="279">
        <v>26934788207.022224</v>
      </c>
      <c r="R33" s="281">
        <v>1.000925718236682</v>
      </c>
      <c r="S33" s="280"/>
      <c r="T33" s="279">
        <v>0</v>
      </c>
      <c r="U33" s="279">
        <v>26151744121.538883</v>
      </c>
      <c r="V33" s="281">
        <v>1.0008527209493054</v>
      </c>
      <c r="W33" s="280"/>
      <c r="X33" s="279">
        <v>0</v>
      </c>
      <c r="Y33" s="279">
        <v>21191832911.710125</v>
      </c>
      <c r="Z33" s="281">
        <v>1.0010048690312112</v>
      </c>
      <c r="AA33" s="280"/>
    </row>
    <row r="34" spans="2:27" s="276" customFormat="1">
      <c r="B34" s="277">
        <v>45521</v>
      </c>
      <c r="C34" s="280"/>
      <c r="D34" s="279">
        <v>0</v>
      </c>
      <c r="E34" s="279">
        <v>51915180817.726349</v>
      </c>
      <c r="F34" s="281">
        <v>1.0002998531136194</v>
      </c>
      <c r="G34" s="280"/>
      <c r="H34" s="279">
        <v>0</v>
      </c>
      <c r="I34" s="279">
        <v>49755939635.374222</v>
      </c>
      <c r="J34" s="281">
        <v>1.0002991983848688</v>
      </c>
      <c r="K34" s="280"/>
      <c r="L34" s="279">
        <v>0</v>
      </c>
      <c r="M34" s="279">
        <v>31420890646.820107</v>
      </c>
      <c r="N34" s="281">
        <v>1.0002770772319207</v>
      </c>
      <c r="O34" s="280"/>
      <c r="P34" s="279">
        <v>0</v>
      </c>
      <c r="Q34" s="279">
        <v>26942788410.726433</v>
      </c>
      <c r="R34" s="281">
        <v>1.0002970212218756</v>
      </c>
      <c r="S34" s="280"/>
      <c r="T34" s="279">
        <v>0</v>
      </c>
      <c r="U34" s="279">
        <v>26159691357.089157</v>
      </c>
      <c r="V34" s="281">
        <v>1.0003038893128251</v>
      </c>
      <c r="W34" s="280"/>
      <c r="X34" s="279">
        <v>0</v>
      </c>
      <c r="Y34" s="279">
        <v>21198101421.614494</v>
      </c>
      <c r="Z34" s="281">
        <v>1.0002957983828245</v>
      </c>
      <c r="AA34" s="280"/>
    </row>
    <row r="35" spans="2:27" s="276" customFormat="1">
      <c r="B35" s="277">
        <v>45522</v>
      </c>
      <c r="C35" s="280"/>
      <c r="D35" s="279">
        <v>0</v>
      </c>
      <c r="E35" s="279">
        <v>51930743079.945877</v>
      </c>
      <c r="F35" s="281">
        <v>1.0002997632286819</v>
      </c>
      <c r="G35" s="280"/>
      <c r="H35" s="279">
        <v>0</v>
      </c>
      <c r="I35" s="279">
        <v>49770822079.347557</v>
      </c>
      <c r="J35" s="281">
        <v>1.0002991088919715</v>
      </c>
      <c r="K35" s="280"/>
      <c r="L35" s="279">
        <v>0</v>
      </c>
      <c r="M35" s="279">
        <v>31429594248.655109</v>
      </c>
      <c r="N35" s="281">
        <v>1.0002770004813941</v>
      </c>
      <c r="O35" s="280"/>
      <c r="P35" s="279">
        <v>0</v>
      </c>
      <c r="Q35" s="279">
        <v>26950788614.430634</v>
      </c>
      <c r="R35" s="281">
        <v>1.0002969330264648</v>
      </c>
      <c r="S35" s="280"/>
      <c r="T35" s="279">
        <v>0</v>
      </c>
      <c r="U35" s="279">
        <v>26167638592.639439</v>
      </c>
      <c r="V35" s="281">
        <v>1.0003037969921662</v>
      </c>
      <c r="W35" s="280"/>
      <c r="X35" s="279">
        <v>0</v>
      </c>
      <c r="Y35" s="279">
        <v>21204369931.518864</v>
      </c>
      <c r="Z35" s="281">
        <v>1.000295710912015</v>
      </c>
      <c r="AA35" s="280"/>
    </row>
    <row r="36" spans="2:27" s="276" customFormat="1">
      <c r="B36" s="277">
        <v>45523</v>
      </c>
      <c r="C36" s="280"/>
      <c r="D36" s="279">
        <v>0</v>
      </c>
      <c r="E36" s="279">
        <v>52013471842.165398</v>
      </c>
      <c r="F36" s="281">
        <v>1.0015930594733098</v>
      </c>
      <c r="G36" s="280"/>
      <c r="H36" s="279">
        <v>0</v>
      </c>
      <c r="I36" s="279">
        <v>49842867159.921669</v>
      </c>
      <c r="J36" s="281">
        <v>1.001447536479491</v>
      </c>
      <c r="K36" s="280"/>
      <c r="L36" s="279">
        <v>0</v>
      </c>
      <c r="M36" s="279">
        <v>31483947909.664108</v>
      </c>
      <c r="N36" s="281">
        <v>1.0017293783871017</v>
      </c>
      <c r="O36" s="280"/>
      <c r="P36" s="279">
        <v>0</v>
      </c>
      <c r="Q36" s="279">
        <v>26992203137.65984</v>
      </c>
      <c r="R36" s="281">
        <v>1.0015366720366405</v>
      </c>
      <c r="S36" s="280"/>
      <c r="T36" s="279">
        <v>0</v>
      </c>
      <c r="U36" s="279">
        <v>26205072837.747475</v>
      </c>
      <c r="V36" s="281">
        <v>1.0014305549572426</v>
      </c>
      <c r="W36" s="280"/>
      <c r="X36" s="279">
        <v>0</v>
      </c>
      <c r="Y36" s="279">
        <v>21239025366.343227</v>
      </c>
      <c r="Z36" s="281">
        <v>1.0016343534345178</v>
      </c>
      <c r="AA36" s="280"/>
    </row>
    <row r="37" spans="2:27" s="276" customFormat="1">
      <c r="B37" s="277">
        <v>45524</v>
      </c>
      <c r="C37" s="280"/>
      <c r="D37" s="279">
        <v>0</v>
      </c>
      <c r="E37" s="279">
        <v>52044757193.46492</v>
      </c>
      <c r="F37" s="281">
        <v>1.0006014855419469</v>
      </c>
      <c r="G37" s="280"/>
      <c r="H37" s="279">
        <v>0</v>
      </c>
      <c r="I37" s="279">
        <v>49870124628.381187</v>
      </c>
      <c r="J37" s="281">
        <v>1.0005468679875911</v>
      </c>
      <c r="K37" s="280"/>
      <c r="L37" s="279">
        <v>0</v>
      </c>
      <c r="M37" s="279">
        <v>31504939461.397106</v>
      </c>
      <c r="N37" s="281">
        <v>1.0006667382309622</v>
      </c>
      <c r="O37" s="280"/>
      <c r="P37" s="279">
        <v>0</v>
      </c>
      <c r="Q37" s="279">
        <v>27008410476.405476</v>
      </c>
      <c r="R37" s="281">
        <v>1.0006004451975623</v>
      </c>
      <c r="S37" s="280"/>
      <c r="T37" s="279">
        <v>0</v>
      </c>
      <c r="U37" s="279">
        <v>26221016753.015884</v>
      </c>
      <c r="V37" s="281">
        <v>1.0006084285804939</v>
      </c>
      <c r="W37" s="280"/>
      <c r="X37" s="279">
        <v>0</v>
      </c>
      <c r="Y37" s="279">
        <v>21252964511.287598</v>
      </c>
      <c r="Z37" s="281">
        <v>1.0006562987097543</v>
      </c>
      <c r="AA37" s="280"/>
    </row>
    <row r="38" spans="2:27" s="276" customFormat="1">
      <c r="B38" s="277">
        <v>45525</v>
      </c>
      <c r="C38" s="280"/>
      <c r="D38" s="279">
        <v>0</v>
      </c>
      <c r="E38" s="279">
        <v>51621636465.974442</v>
      </c>
      <c r="F38" s="281">
        <v>0.99187006049586091</v>
      </c>
      <c r="G38" s="280"/>
      <c r="H38" s="279">
        <v>0</v>
      </c>
      <c r="I38" s="279">
        <v>49519982952.335831</v>
      </c>
      <c r="J38" s="281">
        <v>0.99297892919549491</v>
      </c>
      <c r="K38" s="280"/>
      <c r="L38" s="279">
        <v>0</v>
      </c>
      <c r="M38" s="279">
        <v>31221455130.362114</v>
      </c>
      <c r="N38" s="281">
        <v>0.99100190840289204</v>
      </c>
      <c r="O38" s="280"/>
      <c r="P38" s="279">
        <v>0</v>
      </c>
      <c r="Q38" s="279">
        <v>26800166284.500397</v>
      </c>
      <c r="R38" s="281">
        <v>0.9922896539177305</v>
      </c>
      <c r="S38" s="280"/>
      <c r="T38" s="279">
        <v>0</v>
      </c>
      <c r="U38" s="279">
        <v>26036303597.193436</v>
      </c>
      <c r="V38" s="281">
        <v>0.99295553038380169</v>
      </c>
      <c r="W38" s="280"/>
      <c r="X38" s="279">
        <v>0</v>
      </c>
      <c r="Y38" s="279">
        <v>21071339683.477673</v>
      </c>
      <c r="Z38" s="281">
        <v>0.99145414148160538</v>
      </c>
      <c r="AA38" s="280"/>
    </row>
    <row r="39" spans="2:27" s="276" customFormat="1">
      <c r="B39" s="277">
        <v>45526</v>
      </c>
      <c r="C39" s="280"/>
      <c r="D39" s="279">
        <v>0</v>
      </c>
      <c r="E39" s="279">
        <v>51492009935.381111</v>
      </c>
      <c r="F39" s="281">
        <v>0.9974889108624293</v>
      </c>
      <c r="G39" s="280"/>
      <c r="H39" s="279">
        <v>0</v>
      </c>
      <c r="I39" s="279">
        <v>49419851168.384392</v>
      </c>
      <c r="J39" s="281">
        <v>0.99797795197046379</v>
      </c>
      <c r="K39" s="280"/>
      <c r="L39" s="279">
        <v>0</v>
      </c>
      <c r="M39" s="279">
        <v>31126729500.457111</v>
      </c>
      <c r="N39" s="281">
        <v>0.99696600848648842</v>
      </c>
      <c r="O39" s="280"/>
      <c r="P39" s="279">
        <v>0</v>
      </c>
      <c r="Q39" s="279">
        <v>26755472278.426392</v>
      </c>
      <c r="R39" s="281">
        <v>0.99833232355353507</v>
      </c>
      <c r="S39" s="280"/>
      <c r="T39" s="279">
        <v>0</v>
      </c>
      <c r="U39" s="279">
        <v>25979189784.802814</v>
      </c>
      <c r="V39" s="281">
        <v>0.99780637784555648</v>
      </c>
      <c r="W39" s="280"/>
      <c r="X39" s="279">
        <v>0</v>
      </c>
      <c r="Y39" s="279">
        <v>21010363692.781803</v>
      </c>
      <c r="Z39" s="281">
        <v>0.99710621196317761</v>
      </c>
      <c r="AA39" s="280"/>
    </row>
    <row r="40" spans="2:27" s="276" customFormat="1">
      <c r="B40" s="277">
        <v>45527</v>
      </c>
      <c r="C40" s="280"/>
      <c r="D40" s="279">
        <v>0</v>
      </c>
      <c r="E40" s="279">
        <v>51658496842.647766</v>
      </c>
      <c r="F40" s="281">
        <v>1.0032332571106777</v>
      </c>
      <c r="G40" s="280"/>
      <c r="H40" s="279">
        <v>0</v>
      </c>
      <c r="I40" s="279">
        <v>49562418777.140564</v>
      </c>
      <c r="J40" s="281">
        <v>1.0028848247290429</v>
      </c>
      <c r="K40" s="280"/>
      <c r="L40" s="279">
        <v>0</v>
      </c>
      <c r="M40" s="279">
        <v>31233547732.778114</v>
      </c>
      <c r="N40" s="281">
        <v>1.0034317203906511</v>
      </c>
      <c r="O40" s="280"/>
      <c r="P40" s="279">
        <v>0</v>
      </c>
      <c r="Q40" s="279">
        <v>26853446675.816498</v>
      </c>
      <c r="R40" s="281">
        <v>1.0036618451870538</v>
      </c>
      <c r="S40" s="280"/>
      <c r="T40" s="279">
        <v>0</v>
      </c>
      <c r="U40" s="279">
        <v>26051896220.964573</v>
      </c>
      <c r="V40" s="281">
        <v>1.0027986414035241</v>
      </c>
      <c r="W40" s="280"/>
      <c r="X40" s="279">
        <v>0</v>
      </c>
      <c r="Y40" s="279">
        <v>21079040391.899933</v>
      </c>
      <c r="Z40" s="281">
        <v>1.0032687058692717</v>
      </c>
      <c r="AA40" s="280"/>
    </row>
    <row r="41" spans="2:27" s="276" customFormat="1">
      <c r="B41" s="277">
        <v>45528</v>
      </c>
      <c r="C41" s="280"/>
      <c r="D41" s="279">
        <v>0</v>
      </c>
      <c r="E41" s="279">
        <v>51674061270.974449</v>
      </c>
      <c r="F41" s="281">
        <v>1.0003012946422754</v>
      </c>
      <c r="G41" s="280"/>
      <c r="H41" s="279">
        <v>0</v>
      </c>
      <c r="I41" s="279">
        <v>49577342927.007233</v>
      </c>
      <c r="J41" s="281">
        <v>1.0003011182713615</v>
      </c>
      <c r="K41" s="280"/>
      <c r="L41" s="279">
        <v>0</v>
      </c>
      <c r="M41" s="279">
        <v>31242723260.14978</v>
      </c>
      <c r="N41" s="281">
        <v>1.0002937715385447</v>
      </c>
      <c r="O41" s="280"/>
      <c r="P41" s="279">
        <v>0</v>
      </c>
      <c r="Q41" s="279">
        <v>26861363266.439545</v>
      </c>
      <c r="R41" s="281">
        <v>1.0002948072446201</v>
      </c>
      <c r="S41" s="280"/>
      <c r="T41" s="279">
        <v>0</v>
      </c>
      <c r="U41" s="279">
        <v>26059865984.39819</v>
      </c>
      <c r="V41" s="281">
        <v>1.0003059187464136</v>
      </c>
      <c r="W41" s="280"/>
      <c r="X41" s="279">
        <v>0</v>
      </c>
      <c r="Y41" s="279">
        <v>21085292025.097771</v>
      </c>
      <c r="Z41" s="281">
        <v>1.000296580540746</v>
      </c>
      <c r="AA41" s="280"/>
    </row>
    <row r="42" spans="2:27" s="276" customFormat="1">
      <c r="B42" s="277">
        <v>45529</v>
      </c>
      <c r="C42" s="280"/>
      <c r="D42" s="279">
        <v>0</v>
      </c>
      <c r="E42" s="279">
        <v>51689625699.301109</v>
      </c>
      <c r="F42" s="281">
        <v>1.0003012038911561</v>
      </c>
      <c r="G42" s="280"/>
      <c r="H42" s="279">
        <v>0</v>
      </c>
      <c r="I42" s="279">
        <v>49592267076.873901</v>
      </c>
      <c r="J42" s="281">
        <v>1.000301027626443</v>
      </c>
      <c r="K42" s="280"/>
      <c r="L42" s="279">
        <v>0</v>
      </c>
      <c r="M42" s="279">
        <v>31251898787.521446</v>
      </c>
      <c r="N42" s="281">
        <v>1.0002936852621733</v>
      </c>
      <c r="O42" s="280"/>
      <c r="P42" s="279">
        <v>0</v>
      </c>
      <c r="Q42" s="279">
        <v>26869279857.062607</v>
      </c>
      <c r="R42" s="281">
        <v>1.0002947203589236</v>
      </c>
      <c r="S42" s="280"/>
      <c r="T42" s="279">
        <v>0</v>
      </c>
      <c r="U42" s="279">
        <v>26067835747.831799</v>
      </c>
      <c r="V42" s="281">
        <v>1.0003058251887551</v>
      </c>
      <c r="W42" s="280"/>
      <c r="X42" s="279">
        <v>0</v>
      </c>
      <c r="Y42" s="279">
        <v>21091543658.295609</v>
      </c>
      <c r="Z42" s="281">
        <v>1.0002964926068083</v>
      </c>
      <c r="AA42" s="280"/>
    </row>
    <row r="43" spans="2:27" s="276" customFormat="1">
      <c r="B43" s="277">
        <v>45530</v>
      </c>
      <c r="C43" s="280"/>
      <c r="D43" s="279">
        <v>0</v>
      </c>
      <c r="E43" s="279">
        <v>52149833127.627785</v>
      </c>
      <c r="F43" s="281">
        <v>1.0089032842103343</v>
      </c>
      <c r="G43" s="280"/>
      <c r="H43" s="279">
        <v>0</v>
      </c>
      <c r="I43" s="279">
        <v>49966642353.140121</v>
      </c>
      <c r="J43" s="281">
        <v>1.0075490655768145</v>
      </c>
      <c r="K43" s="280"/>
      <c r="L43" s="279">
        <v>0</v>
      </c>
      <c r="M43" s="279">
        <v>31577100216.151112</v>
      </c>
      <c r="N43" s="281">
        <v>1.0104058134464302</v>
      </c>
      <c r="O43" s="280"/>
      <c r="P43" s="279">
        <v>0</v>
      </c>
      <c r="Q43" s="279">
        <v>27143644476.265663</v>
      </c>
      <c r="R43" s="281">
        <v>1.0102110894174539</v>
      </c>
      <c r="S43" s="280"/>
      <c r="T43" s="279">
        <v>0</v>
      </c>
      <c r="U43" s="279">
        <v>26276147215.823166</v>
      </c>
      <c r="V43" s="281">
        <v>1.0079911301423898</v>
      </c>
      <c r="W43" s="280"/>
      <c r="X43" s="279">
        <v>0</v>
      </c>
      <c r="Y43" s="279">
        <v>21302242407.034454</v>
      </c>
      <c r="Z43" s="281">
        <v>1.0099897263164981</v>
      </c>
      <c r="AA43" s="280"/>
    </row>
    <row r="44" spans="2:27" s="276" customFormat="1">
      <c r="B44" s="277">
        <v>45531</v>
      </c>
      <c r="C44" s="280"/>
      <c r="D44" s="279">
        <v>0</v>
      </c>
      <c r="E44" s="279">
        <v>52318293519.384445</v>
      </c>
      <c r="F44" s="281">
        <v>1.0032303150682071</v>
      </c>
      <c r="G44" s="280"/>
      <c r="H44" s="279">
        <v>0</v>
      </c>
      <c r="I44" s="279">
        <v>50110595684.462326</v>
      </c>
      <c r="J44" s="281">
        <v>1.0028809886865084</v>
      </c>
      <c r="K44" s="280"/>
      <c r="L44" s="279">
        <v>0</v>
      </c>
      <c r="M44" s="279">
        <v>31686554658.555538</v>
      </c>
      <c r="N44" s="281">
        <v>1.0034662600952966</v>
      </c>
      <c r="O44" s="280"/>
      <c r="P44" s="279">
        <v>0</v>
      </c>
      <c r="Q44" s="279">
        <v>27235280825.356331</v>
      </c>
      <c r="R44" s="281">
        <v>1.0033759780920648</v>
      </c>
      <c r="S44" s="280"/>
      <c r="T44" s="279">
        <v>0</v>
      </c>
      <c r="U44" s="279">
        <v>26351788519.398769</v>
      </c>
      <c r="V44" s="281">
        <v>1.0028787060353375</v>
      </c>
      <c r="W44" s="280"/>
      <c r="X44" s="279">
        <v>0</v>
      </c>
      <c r="Y44" s="279">
        <v>21372796589.870865</v>
      </c>
      <c r="Z44" s="281">
        <v>1.0033120542658509</v>
      </c>
      <c r="AA44" s="280"/>
    </row>
    <row r="45" spans="2:27" s="276" customFormat="1">
      <c r="B45" s="277">
        <v>45532</v>
      </c>
      <c r="C45" s="280"/>
      <c r="D45" s="279">
        <v>0</v>
      </c>
      <c r="E45" s="279">
        <v>51693982603.181114</v>
      </c>
      <c r="F45" s="281">
        <v>0.9880670627001239</v>
      </c>
      <c r="G45" s="280"/>
      <c r="H45" s="279">
        <v>0</v>
      </c>
      <c r="I45" s="279">
        <v>49591728591.243652</v>
      </c>
      <c r="J45" s="281">
        <v>0.98964556126041903</v>
      </c>
      <c r="K45" s="280"/>
      <c r="L45" s="279">
        <v>0</v>
      </c>
      <c r="M45" s="279">
        <v>31268586952.927967</v>
      </c>
      <c r="N45" s="281">
        <v>0.98680930413131185</v>
      </c>
      <c r="O45" s="280"/>
      <c r="P45" s="279">
        <v>0</v>
      </c>
      <c r="Q45" s="279">
        <v>26897178130.134468</v>
      </c>
      <c r="R45" s="281">
        <v>0.98758585610370919</v>
      </c>
      <c r="S45" s="280"/>
      <c r="T45" s="279">
        <v>0</v>
      </c>
      <c r="U45" s="279">
        <v>26078075045.864502</v>
      </c>
      <c r="V45" s="281">
        <v>0.98961309691246291</v>
      </c>
      <c r="W45" s="280"/>
      <c r="X45" s="279">
        <v>0</v>
      </c>
      <c r="Y45" s="279">
        <v>21104653338.08427</v>
      </c>
      <c r="Z45" s="281">
        <v>0.98745399317964433</v>
      </c>
      <c r="AA45" s="280"/>
    </row>
    <row r="46" spans="2:27" s="276" customFormat="1">
      <c r="B46" s="277">
        <v>45533</v>
      </c>
      <c r="C46" s="280"/>
      <c r="D46" s="279">
        <v>0</v>
      </c>
      <c r="E46" s="279">
        <v>51860101347.855545</v>
      </c>
      <c r="F46" s="281">
        <v>1.0032135025453468</v>
      </c>
      <c r="G46" s="280"/>
      <c r="H46" s="279">
        <v>0</v>
      </c>
      <c r="I46" s="279">
        <v>49697060123.69902</v>
      </c>
      <c r="J46" s="281">
        <v>1.0021239738046552</v>
      </c>
      <c r="K46" s="280"/>
      <c r="L46" s="279">
        <v>0</v>
      </c>
      <c r="M46" s="279">
        <v>31347390664.966393</v>
      </c>
      <c r="N46" s="281">
        <v>1.0025202198026109</v>
      </c>
      <c r="O46" s="280"/>
      <c r="P46" s="279">
        <v>0</v>
      </c>
      <c r="Q46" s="279">
        <v>26965166468.897129</v>
      </c>
      <c r="R46" s="281">
        <v>1.0025277127003331</v>
      </c>
      <c r="S46" s="280"/>
      <c r="T46" s="279">
        <v>0</v>
      </c>
      <c r="U46" s="279">
        <v>26131116294.591389</v>
      </c>
      <c r="V46" s="281">
        <v>1.0020339403362251</v>
      </c>
      <c r="W46" s="280"/>
      <c r="X46" s="279">
        <v>0</v>
      </c>
      <c r="Y46" s="279">
        <v>21155662574.827686</v>
      </c>
      <c r="Z46" s="281">
        <v>1.0024169663403741</v>
      </c>
      <c r="AA46" s="280"/>
    </row>
    <row r="47" spans="2:27" s="276" customFormat="1">
      <c r="B47" s="277">
        <v>45534</v>
      </c>
      <c r="C47" s="280"/>
      <c r="D47" s="279">
        <v>0</v>
      </c>
      <c r="E47" s="279">
        <v>51875672885.960236</v>
      </c>
      <c r="F47" s="281">
        <v>1.0003002604642102</v>
      </c>
      <c r="G47" s="280"/>
      <c r="H47" s="279">
        <v>0</v>
      </c>
      <c r="I47" s="279">
        <v>49711927973.865685</v>
      </c>
      <c r="J47" s="281">
        <v>1.0002991696114349</v>
      </c>
      <c r="K47" s="280"/>
      <c r="L47" s="279">
        <v>0</v>
      </c>
      <c r="M47" s="279">
        <v>31356593099.732826</v>
      </c>
      <c r="N47" s="281">
        <v>1.0002935630229892</v>
      </c>
      <c r="O47" s="280"/>
      <c r="P47" s="279">
        <v>0</v>
      </c>
      <c r="Q47" s="279">
        <v>26973136216.854782</v>
      </c>
      <c r="R47" s="281">
        <v>1.0002955571576704</v>
      </c>
      <c r="S47" s="280"/>
      <c r="T47" s="279">
        <v>0</v>
      </c>
      <c r="U47" s="279">
        <v>26139108718.544159</v>
      </c>
      <c r="V47" s="281">
        <v>1.0003058584969224</v>
      </c>
      <c r="W47" s="280"/>
      <c r="X47" s="279">
        <v>0</v>
      </c>
      <c r="Y47" s="279">
        <v>21161947800.054096</v>
      </c>
      <c r="Z47" s="281">
        <v>1.0002970942273341</v>
      </c>
      <c r="AA47" s="280"/>
    </row>
    <row r="48" spans="2:27" s="276" customFormat="1">
      <c r="B48" s="277">
        <v>45535</v>
      </c>
      <c r="C48" s="280"/>
      <c r="D48" s="279">
        <v>0</v>
      </c>
      <c r="E48" s="279">
        <v>51878478312.953804</v>
      </c>
      <c r="F48" s="281">
        <v>1.0000540798188726</v>
      </c>
      <c r="G48" s="280"/>
      <c r="H48" s="279">
        <v>0</v>
      </c>
      <c r="I48" s="279">
        <v>49715807032.365685</v>
      </c>
      <c r="J48" s="281">
        <v>1.0000780307394643</v>
      </c>
      <c r="K48" s="280"/>
      <c r="L48" s="279">
        <v>0</v>
      </c>
      <c r="M48" s="279">
        <v>31358220094.074253</v>
      </c>
      <c r="N48" s="281">
        <v>1.0000518868340145</v>
      </c>
      <c r="O48" s="280"/>
      <c r="P48" s="279">
        <v>0</v>
      </c>
      <c r="Q48" s="279">
        <v>26975241924.480492</v>
      </c>
      <c r="R48" s="281">
        <v>1.0000780668443143</v>
      </c>
      <c r="S48" s="280"/>
      <c r="T48" s="279">
        <v>0</v>
      </c>
      <c r="U48" s="279">
        <v>26141400050.05666</v>
      </c>
      <c r="V48" s="281">
        <v>1.0000876591293595</v>
      </c>
      <c r="W48" s="280"/>
      <c r="X48" s="279">
        <v>0</v>
      </c>
      <c r="Y48" s="279">
        <v>21163379549.03912</v>
      </c>
      <c r="Z48" s="281">
        <v>1.0000676567676354</v>
      </c>
      <c r="AA48" s="280"/>
    </row>
    <row r="49" spans="2:27" s="276" customFormat="1">
      <c r="B49" s="277">
        <v>45536</v>
      </c>
      <c r="C49" s="280"/>
      <c r="D49" s="279">
        <v>0</v>
      </c>
      <c r="E49" s="279">
        <v>51894049851.058495</v>
      </c>
      <c r="F49" s="281">
        <v>1.0003001541026466</v>
      </c>
      <c r="G49" s="280"/>
      <c r="H49" s="279">
        <v>0</v>
      </c>
      <c r="I49" s="279">
        <v>49730674882.532349</v>
      </c>
      <c r="J49" s="281">
        <v>1.0002990568001235</v>
      </c>
      <c r="K49" s="280"/>
      <c r="L49" s="279">
        <v>0</v>
      </c>
      <c r="M49" s="279">
        <v>31367422528.840683</v>
      </c>
      <c r="N49" s="281">
        <v>1.0002934616422368</v>
      </c>
      <c r="O49" s="280"/>
      <c r="P49" s="279">
        <v>0</v>
      </c>
      <c r="Q49" s="279">
        <v>26983211672.43816</v>
      </c>
      <c r="R49" s="281">
        <v>1.0002954467648513</v>
      </c>
      <c r="S49" s="280"/>
      <c r="T49" s="279">
        <v>0</v>
      </c>
      <c r="U49" s="279">
        <v>26149392474.009445</v>
      </c>
      <c r="V49" s="281">
        <v>1.0003057381753648</v>
      </c>
      <c r="W49" s="280"/>
      <c r="X49" s="279">
        <v>0</v>
      </c>
      <c r="Y49" s="279">
        <v>21169664774.265533</v>
      </c>
      <c r="Z49" s="281">
        <v>1.000296985895464</v>
      </c>
      <c r="AA49" s="280"/>
    </row>
    <row r="50" spans="2:27" s="276" customFormat="1">
      <c r="B50" s="277">
        <v>45537</v>
      </c>
      <c r="C50" s="280"/>
      <c r="D50" s="279">
        <v>0</v>
      </c>
      <c r="E50" s="279">
        <v>52459785639.163177</v>
      </c>
      <c r="F50" s="281">
        <v>1.0109017467268098</v>
      </c>
      <c r="G50" s="280"/>
      <c r="H50" s="279">
        <v>0</v>
      </c>
      <c r="I50" s="279">
        <v>50179176532.073784</v>
      </c>
      <c r="J50" s="281">
        <v>1.009018611764285</v>
      </c>
      <c r="K50" s="280"/>
      <c r="L50" s="279">
        <v>0</v>
      </c>
      <c r="M50" s="279">
        <v>31724084307.187107</v>
      </c>
      <c r="N50" s="281">
        <v>1.0113704521950597</v>
      </c>
      <c r="O50" s="280"/>
      <c r="P50" s="279">
        <v>0</v>
      </c>
      <c r="Q50" s="279">
        <v>27293959197.362823</v>
      </c>
      <c r="R50" s="281">
        <v>1.0115163283265525</v>
      </c>
      <c r="S50" s="280"/>
      <c r="T50" s="279">
        <v>0</v>
      </c>
      <c r="U50" s="279">
        <v>26386099524.821777</v>
      </c>
      <c r="V50" s="281">
        <v>1.0090521051702293</v>
      </c>
      <c r="W50" s="280"/>
      <c r="X50" s="279">
        <v>0</v>
      </c>
      <c r="Y50" s="279">
        <v>21399223908.973946</v>
      </c>
      <c r="Z50" s="281">
        <v>1.0108437775069292</v>
      </c>
      <c r="AA50" s="280"/>
    </row>
    <row r="51" spans="2:27" s="276" customFormat="1">
      <c r="B51" s="277">
        <v>45538</v>
      </c>
      <c r="C51" s="280"/>
      <c r="D51" s="279">
        <v>0</v>
      </c>
      <c r="E51" s="279">
        <v>52475366123.522865</v>
      </c>
      <c r="F51" s="281">
        <v>1.0002969986279939</v>
      </c>
      <c r="G51" s="280"/>
      <c r="H51" s="279">
        <v>0</v>
      </c>
      <c r="I51" s="279">
        <v>50193211524.402542</v>
      </c>
      <c r="J51" s="281">
        <v>1.0002796975418635</v>
      </c>
      <c r="K51" s="280"/>
      <c r="L51" s="279">
        <v>0</v>
      </c>
      <c r="M51" s="279">
        <v>31733992849.544109</v>
      </c>
      <c r="N51" s="281">
        <v>1.0003123350152854</v>
      </c>
      <c r="O51" s="280"/>
      <c r="P51" s="279">
        <v>0</v>
      </c>
      <c r="Q51" s="279">
        <v>27303353990.154331</v>
      </c>
      <c r="R51" s="281">
        <v>1.0003442077685971</v>
      </c>
      <c r="S51" s="280"/>
      <c r="T51" s="279">
        <v>0</v>
      </c>
      <c r="U51" s="279">
        <v>26395569705.863182</v>
      </c>
      <c r="V51" s="281">
        <v>1.0003589079557778</v>
      </c>
      <c r="W51" s="280"/>
      <c r="X51" s="279">
        <v>0</v>
      </c>
      <c r="Y51" s="279">
        <v>21406211281.34362</v>
      </c>
      <c r="Z51" s="281">
        <v>1.0003265245692741</v>
      </c>
      <c r="AA51" s="280"/>
    </row>
    <row r="52" spans="2:27" s="276" customFormat="1">
      <c r="B52" s="277">
        <v>45539</v>
      </c>
      <c r="C52" s="280"/>
      <c r="D52" s="279">
        <v>0</v>
      </c>
      <c r="E52" s="279">
        <v>51964893805.096985</v>
      </c>
      <c r="F52" s="281">
        <v>0.99027215327618168</v>
      </c>
      <c r="G52" s="280"/>
      <c r="H52" s="279">
        <v>0</v>
      </c>
      <c r="I52" s="279">
        <v>49788280455.187538</v>
      </c>
      <c r="J52" s="281">
        <v>0.99193255309001027</v>
      </c>
      <c r="K52" s="280"/>
      <c r="L52" s="279">
        <v>0</v>
      </c>
      <c r="M52" s="279">
        <v>31413393890.741776</v>
      </c>
      <c r="N52" s="281">
        <v>0.9898973015995074</v>
      </c>
      <c r="O52" s="280"/>
      <c r="P52" s="279">
        <v>0</v>
      </c>
      <c r="Q52" s="279">
        <v>27027296648.545773</v>
      </c>
      <c r="R52" s="281">
        <v>0.98988925163889729</v>
      </c>
      <c r="S52" s="280"/>
      <c r="T52" s="279">
        <v>0</v>
      </c>
      <c r="U52" s="279">
        <v>26184985315.127098</v>
      </c>
      <c r="V52" s="281">
        <v>0.99202197970785577</v>
      </c>
      <c r="W52" s="280"/>
      <c r="X52" s="279">
        <v>0</v>
      </c>
      <c r="Y52" s="279">
        <v>21200942273.313293</v>
      </c>
      <c r="Z52" s="281">
        <v>0.99041077352117757</v>
      </c>
      <c r="AA52" s="280"/>
    </row>
    <row r="53" spans="2:27" s="276" customFormat="1">
      <c r="B53" s="277">
        <v>45540</v>
      </c>
      <c r="C53" s="280"/>
      <c r="D53" s="279">
        <v>0</v>
      </c>
      <c r="E53" s="279">
        <v>52034231863.761108</v>
      </c>
      <c r="F53" s="281">
        <v>1.0013343250334388</v>
      </c>
      <c r="G53" s="280"/>
      <c r="H53" s="279">
        <v>0</v>
      </c>
      <c r="I53" s="279">
        <v>49853879561.450714</v>
      </c>
      <c r="J53" s="281">
        <v>1.0013175611943903</v>
      </c>
      <c r="K53" s="280"/>
      <c r="L53" s="279">
        <v>0</v>
      </c>
      <c r="M53" s="279">
        <v>31460274260.471439</v>
      </c>
      <c r="N53" s="281">
        <v>1.0014923688249897</v>
      </c>
      <c r="O53" s="280"/>
      <c r="P53" s="279">
        <v>0</v>
      </c>
      <c r="Q53" s="279">
        <v>27083575284.209591</v>
      </c>
      <c r="R53" s="281">
        <v>1.0020822887466567</v>
      </c>
      <c r="S53" s="280"/>
      <c r="T53" s="279">
        <v>0</v>
      </c>
      <c r="U53" s="279">
        <v>26211494476.591007</v>
      </c>
      <c r="V53" s="281">
        <v>1.0010123802303068</v>
      </c>
      <c r="W53" s="280"/>
      <c r="X53" s="279">
        <v>0</v>
      </c>
      <c r="Y53" s="279">
        <v>21224982262.690971</v>
      </c>
      <c r="Z53" s="281">
        <v>1.0011339113643047</v>
      </c>
      <c r="AA53" s="280"/>
    </row>
    <row r="54" spans="2:27" s="276" customFormat="1">
      <c r="B54" s="277">
        <v>45541</v>
      </c>
      <c r="C54" s="280"/>
      <c r="D54" s="279">
        <v>0</v>
      </c>
      <c r="E54" s="279">
        <v>52122150348.695244</v>
      </c>
      <c r="F54" s="281">
        <v>1.0016896278043332</v>
      </c>
      <c r="G54" s="280"/>
      <c r="H54" s="279">
        <v>0</v>
      </c>
      <c r="I54" s="279">
        <v>49930729540.117874</v>
      </c>
      <c r="J54" s="281">
        <v>1.0015415044795548</v>
      </c>
      <c r="K54" s="280"/>
      <c r="L54" s="279">
        <v>0</v>
      </c>
      <c r="M54" s="279">
        <v>31515400470.153111</v>
      </c>
      <c r="N54" s="281">
        <v>1.0017522482234344</v>
      </c>
      <c r="O54" s="280"/>
      <c r="P54" s="279">
        <v>0</v>
      </c>
      <c r="Q54" s="279">
        <v>27130826280.691402</v>
      </c>
      <c r="R54" s="281">
        <v>1.0017446365919553</v>
      </c>
      <c r="S54" s="280"/>
      <c r="T54" s="279">
        <v>0</v>
      </c>
      <c r="U54" s="279">
        <v>26247958472.152111</v>
      </c>
      <c r="V54" s="281">
        <v>1.0013911452318627</v>
      </c>
      <c r="W54" s="280"/>
      <c r="X54" s="279">
        <v>0</v>
      </c>
      <c r="Y54" s="279">
        <v>21259046733.461643</v>
      </c>
      <c r="Z54" s="281">
        <v>1.001604923403425</v>
      </c>
      <c r="AA54" s="280"/>
    </row>
    <row r="55" spans="2:27" s="276" customFormat="1">
      <c r="B55" s="277">
        <v>45542</v>
      </c>
      <c r="C55" s="280"/>
      <c r="D55" s="279">
        <v>0</v>
      </c>
      <c r="E55" s="279">
        <v>52137788696.606026</v>
      </c>
      <c r="F55" s="281">
        <v>1.0003000326695304</v>
      </c>
      <c r="G55" s="280"/>
      <c r="H55" s="279">
        <v>0</v>
      </c>
      <c r="I55" s="279">
        <v>49945670426.851212</v>
      </c>
      <c r="J55" s="281">
        <v>1.0002992322938389</v>
      </c>
      <c r="K55" s="280"/>
      <c r="L55" s="279">
        <v>0</v>
      </c>
      <c r="M55" s="279">
        <v>31524659713.201447</v>
      </c>
      <c r="N55" s="281">
        <v>1.0002938005835307</v>
      </c>
      <c r="O55" s="280"/>
      <c r="P55" s="279">
        <v>0</v>
      </c>
      <c r="Q55" s="279">
        <v>27138829518.252556</v>
      </c>
      <c r="R55" s="281">
        <v>1.0002949868713304</v>
      </c>
      <c r="S55" s="280"/>
      <c r="T55" s="279">
        <v>0</v>
      </c>
      <c r="U55" s="279">
        <v>26255922479.769054</v>
      </c>
      <c r="V55" s="281">
        <v>1.0003034143636502</v>
      </c>
      <c r="W55" s="280"/>
      <c r="X55" s="279">
        <v>0</v>
      </c>
      <c r="Y55" s="279">
        <v>21265330441.307316</v>
      </c>
      <c r="Z55" s="281">
        <v>1.0002955780625753</v>
      </c>
      <c r="AA55" s="280"/>
    </row>
    <row r="56" spans="2:27" s="276" customFormat="1">
      <c r="B56" s="277">
        <v>45543</v>
      </c>
      <c r="C56" s="280"/>
      <c r="D56" s="279">
        <v>0</v>
      </c>
      <c r="E56" s="279">
        <v>52153427044.516815</v>
      </c>
      <c r="F56" s="281">
        <v>1.0002999426769283</v>
      </c>
      <c r="G56" s="280"/>
      <c r="H56" s="279">
        <v>0</v>
      </c>
      <c r="I56" s="279">
        <v>49960611313.584549</v>
      </c>
      <c r="J56" s="281">
        <v>1.0002991427806585</v>
      </c>
      <c r="K56" s="280"/>
      <c r="L56" s="279">
        <v>0</v>
      </c>
      <c r="M56" s="279">
        <v>31533918956.249775</v>
      </c>
      <c r="N56" s="281">
        <v>1.0002937142901007</v>
      </c>
      <c r="O56" s="280"/>
      <c r="P56" s="279">
        <v>0</v>
      </c>
      <c r="Q56" s="279">
        <v>27146832755.813709</v>
      </c>
      <c r="R56" s="281">
        <v>1.0002948998797376</v>
      </c>
      <c r="S56" s="280"/>
      <c r="T56" s="279">
        <v>0</v>
      </c>
      <c r="U56" s="279">
        <v>26263886487.385998</v>
      </c>
      <c r="V56" s="281">
        <v>1.000303322331298</v>
      </c>
      <c r="W56" s="280"/>
      <c r="X56" s="279">
        <v>0</v>
      </c>
      <c r="Y56" s="279">
        <v>21271614149.152992</v>
      </c>
      <c r="Z56" s="281">
        <v>1.0002954907220003</v>
      </c>
      <c r="AA56" s="280"/>
    </row>
    <row r="57" spans="2:27" s="276" customFormat="1">
      <c r="B57" s="277">
        <v>45544</v>
      </c>
      <c r="C57" s="280"/>
      <c r="D57" s="279">
        <v>0</v>
      </c>
      <c r="E57" s="279">
        <v>52134563642.42762</v>
      </c>
      <c r="F57" s="281">
        <v>0.99963830944276977</v>
      </c>
      <c r="G57" s="280"/>
      <c r="H57" s="279">
        <v>0</v>
      </c>
      <c r="I57" s="279">
        <v>49956436666.709724</v>
      </c>
      <c r="J57" s="281">
        <v>0.99991644123710532</v>
      </c>
      <c r="K57" s="280"/>
      <c r="L57" s="279">
        <v>0</v>
      </c>
      <c r="M57" s="279">
        <v>31521171566.690109</v>
      </c>
      <c r="N57" s="281">
        <v>0.99959575625289865</v>
      </c>
      <c r="O57" s="280"/>
      <c r="P57" s="279">
        <v>0</v>
      </c>
      <c r="Q57" s="279">
        <v>27132200446.206856</v>
      </c>
      <c r="R57" s="281">
        <v>0.99946099385742448</v>
      </c>
      <c r="S57" s="280"/>
      <c r="T57" s="279">
        <v>0</v>
      </c>
      <c r="U57" s="279">
        <v>26257739400.217735</v>
      </c>
      <c r="V57" s="281">
        <v>0.99976594906579364</v>
      </c>
      <c r="W57" s="280"/>
      <c r="X57" s="279">
        <v>0</v>
      </c>
      <c r="Y57" s="279">
        <v>21262537547.679665</v>
      </c>
      <c r="Z57" s="281">
        <v>0.99957329982531251</v>
      </c>
      <c r="AA57" s="280"/>
    </row>
    <row r="58" spans="2:27" s="276" customFormat="1">
      <c r="B58" s="277">
        <v>45545</v>
      </c>
      <c r="C58" s="280"/>
      <c r="D58" s="279">
        <v>0</v>
      </c>
      <c r="E58" s="279">
        <v>52185243440.101746</v>
      </c>
      <c r="F58" s="281">
        <v>1.0009720959404536</v>
      </c>
      <c r="G58" s="280"/>
      <c r="H58" s="279">
        <v>0</v>
      </c>
      <c r="I58" s="279">
        <v>50005530348.842079</v>
      </c>
      <c r="J58" s="281">
        <v>1.0009827298624177</v>
      </c>
      <c r="K58" s="280"/>
      <c r="L58" s="279">
        <v>0</v>
      </c>
      <c r="M58" s="279">
        <v>31553414201.98978</v>
      </c>
      <c r="N58" s="281">
        <v>1.0010228882270906</v>
      </c>
      <c r="O58" s="280"/>
      <c r="P58" s="279">
        <v>0</v>
      </c>
      <c r="Q58" s="279">
        <v>27158774643.649673</v>
      </c>
      <c r="R58" s="281">
        <v>1.0009794339200577</v>
      </c>
      <c r="S58" s="280"/>
      <c r="T58" s="279">
        <v>0</v>
      </c>
      <c r="U58" s="279">
        <v>26279514292.8806</v>
      </c>
      <c r="V58" s="281">
        <v>1.0008292752217156</v>
      </c>
      <c r="W58" s="280"/>
      <c r="X58" s="279">
        <v>0</v>
      </c>
      <c r="Y58" s="279">
        <v>21280673324.300629</v>
      </c>
      <c r="Z58" s="281">
        <v>1.0008529450720685</v>
      </c>
      <c r="AA58" s="280"/>
    </row>
    <row r="59" spans="2:27" s="276" customFormat="1">
      <c r="B59" s="277">
        <v>45546</v>
      </c>
      <c r="C59" s="280"/>
      <c r="D59" s="279">
        <v>0</v>
      </c>
      <c r="E59" s="279">
        <v>52255656498.695869</v>
      </c>
      <c r="F59" s="281">
        <v>1.0013492906030983</v>
      </c>
      <c r="G59" s="280"/>
      <c r="H59" s="279">
        <v>0</v>
      </c>
      <c r="I59" s="279">
        <v>50069973817.766617</v>
      </c>
      <c r="J59" s="281">
        <v>1.0012887268363113</v>
      </c>
      <c r="K59" s="280"/>
      <c r="L59" s="279">
        <v>0</v>
      </c>
      <c r="M59" s="279">
        <v>31597560755.478996</v>
      </c>
      <c r="N59" s="281">
        <v>1.0013991054409077</v>
      </c>
      <c r="O59" s="280"/>
      <c r="P59" s="279">
        <v>0</v>
      </c>
      <c r="Q59" s="279">
        <v>27195774084.814495</v>
      </c>
      <c r="R59" s="281">
        <v>1.0013623383841979</v>
      </c>
      <c r="S59" s="280"/>
      <c r="T59" s="279">
        <v>0</v>
      </c>
      <c r="U59" s="279">
        <v>26309153332.77269</v>
      </c>
      <c r="V59" s="281">
        <v>1.0011278381922044</v>
      </c>
      <c r="W59" s="280"/>
      <c r="X59" s="279">
        <v>0</v>
      </c>
      <c r="Y59" s="279">
        <v>21307069206.15559</v>
      </c>
      <c r="Z59" s="281">
        <v>1.0012403687351763</v>
      </c>
      <c r="AA59" s="280"/>
    </row>
    <row r="60" spans="2:27" s="276" customFormat="1">
      <c r="B60" s="277">
        <v>45547</v>
      </c>
      <c r="C60" s="280"/>
      <c r="D60" s="279">
        <v>0</v>
      </c>
      <c r="E60" s="279">
        <v>52270788106.353668</v>
      </c>
      <c r="F60" s="281">
        <v>1.0002895687983209</v>
      </c>
      <c r="G60" s="280"/>
      <c r="H60" s="279">
        <v>0</v>
      </c>
      <c r="I60" s="279">
        <v>50050549084.062035</v>
      </c>
      <c r="J60" s="281">
        <v>0.99961204825520222</v>
      </c>
      <c r="K60" s="280"/>
      <c r="L60" s="279">
        <v>0</v>
      </c>
      <c r="M60" s="279">
        <v>31585777922.155277</v>
      </c>
      <c r="N60" s="281">
        <v>0.99962709674284977</v>
      </c>
      <c r="O60" s="280"/>
      <c r="P60" s="279">
        <v>0</v>
      </c>
      <c r="Q60" s="279">
        <v>27204323913.616699</v>
      </c>
      <c r="R60" s="281">
        <v>1.00031438078488</v>
      </c>
      <c r="S60" s="280"/>
      <c r="T60" s="279">
        <v>0</v>
      </c>
      <c r="U60" s="279">
        <v>26329691287.126614</v>
      </c>
      <c r="V60" s="281">
        <v>1.0007806391218352</v>
      </c>
      <c r="W60" s="280"/>
      <c r="X60" s="279">
        <v>0</v>
      </c>
      <c r="Y60" s="279">
        <v>21325808817.020546</v>
      </c>
      <c r="Z60" s="281">
        <v>1.0008795020414887</v>
      </c>
      <c r="AA60" s="280"/>
    </row>
    <row r="61" spans="2:27" s="276" customFormat="1">
      <c r="B61" s="277">
        <v>45548</v>
      </c>
      <c r="C61" s="280"/>
      <c r="D61" s="279">
        <v>0</v>
      </c>
      <c r="E61" s="279">
        <v>52463989337.507835</v>
      </c>
      <c r="F61" s="281">
        <v>1.0036961606693411</v>
      </c>
      <c r="G61" s="280"/>
      <c r="H61" s="279">
        <v>0</v>
      </c>
      <c r="I61" s="279">
        <v>50190642625.604118</v>
      </c>
      <c r="J61" s="281">
        <v>1.0027990410516134</v>
      </c>
      <c r="K61" s="280"/>
      <c r="L61" s="279">
        <v>0</v>
      </c>
      <c r="M61" s="279">
        <v>31699854480.103104</v>
      </c>
      <c r="N61" s="281">
        <v>1.003611643133469</v>
      </c>
      <c r="O61" s="280"/>
      <c r="P61" s="279">
        <v>0</v>
      </c>
      <c r="Q61" s="279">
        <v>27310533244.102345</v>
      </c>
      <c r="R61" s="281">
        <v>1.0039041341671602</v>
      </c>
      <c r="S61" s="280"/>
      <c r="T61" s="279">
        <v>0</v>
      </c>
      <c r="U61" s="279">
        <v>26417419448.471218</v>
      </c>
      <c r="V61" s="281">
        <v>1.0033319099866354</v>
      </c>
      <c r="W61" s="280"/>
      <c r="X61" s="279">
        <v>0</v>
      </c>
      <c r="Y61" s="279">
        <v>21411149056.498508</v>
      </c>
      <c r="Z61" s="281">
        <v>1.004001735184358</v>
      </c>
      <c r="AA61" s="280"/>
    </row>
    <row r="62" spans="2:27" s="276" customFormat="1">
      <c r="B62" s="277">
        <v>45549</v>
      </c>
      <c r="C62" s="280"/>
      <c r="D62" s="279">
        <v>0</v>
      </c>
      <c r="E62" s="279">
        <v>52479633421.775299</v>
      </c>
      <c r="F62" s="281">
        <v>1.0002981870891827</v>
      </c>
      <c r="G62" s="280"/>
      <c r="H62" s="279">
        <v>0</v>
      </c>
      <c r="I62" s="279">
        <v>50205627007.100792</v>
      </c>
      <c r="J62" s="281">
        <v>1.0002985493054641</v>
      </c>
      <c r="K62" s="280"/>
      <c r="L62" s="279">
        <v>0</v>
      </c>
      <c r="M62" s="279">
        <v>31709142790.090324</v>
      </c>
      <c r="N62" s="281">
        <v>1.0002930079692653</v>
      </c>
      <c r="O62" s="280"/>
      <c r="P62" s="279">
        <v>0</v>
      </c>
      <c r="Q62" s="279">
        <v>27318540652.307785</v>
      </c>
      <c r="R62" s="281">
        <v>1.000293198530174</v>
      </c>
      <c r="S62" s="280"/>
      <c r="T62" s="279">
        <v>0</v>
      </c>
      <c r="U62" s="279">
        <v>26425399765.068165</v>
      </c>
      <c r="V62" s="281">
        <v>1.000302085395302</v>
      </c>
      <c r="W62" s="280"/>
      <c r="X62" s="279">
        <v>0</v>
      </c>
      <c r="Y62" s="279">
        <v>21417432862.411804</v>
      </c>
      <c r="Z62" s="281">
        <v>1.0002934828904657</v>
      </c>
      <c r="AA62" s="280"/>
    </row>
    <row r="63" spans="2:27" s="276" customFormat="1">
      <c r="B63" s="277">
        <v>45550</v>
      </c>
      <c r="C63" s="280"/>
      <c r="D63" s="279">
        <v>0</v>
      </c>
      <c r="E63" s="279">
        <v>52538250303.349052</v>
      </c>
      <c r="F63" s="281">
        <v>1.0011169453319664</v>
      </c>
      <c r="G63" s="280"/>
      <c r="H63" s="279">
        <v>0</v>
      </c>
      <c r="I63" s="279">
        <v>50285070584.5569</v>
      </c>
      <c r="J63" s="281">
        <v>1.001582364013597</v>
      </c>
      <c r="K63" s="280"/>
      <c r="L63" s="279">
        <v>0</v>
      </c>
      <c r="M63" s="279">
        <v>31763552537.249161</v>
      </c>
      <c r="N63" s="281">
        <v>1.0017159009159919</v>
      </c>
      <c r="O63" s="280"/>
      <c r="P63" s="279">
        <v>0</v>
      </c>
      <c r="Q63" s="279">
        <v>27363074938.223568</v>
      </c>
      <c r="R63" s="281">
        <v>1.0016301853924989</v>
      </c>
      <c r="S63" s="280"/>
      <c r="T63" s="279">
        <v>0</v>
      </c>
      <c r="U63" s="279">
        <v>26433380081.665108</v>
      </c>
      <c r="V63" s="281">
        <v>1.0003019941672744</v>
      </c>
      <c r="W63" s="280"/>
      <c r="X63" s="279">
        <v>0</v>
      </c>
      <c r="Y63" s="279">
        <v>21423716668.325096</v>
      </c>
      <c r="Z63" s="281">
        <v>1.0002933967835295</v>
      </c>
      <c r="AA63" s="280"/>
    </row>
    <row r="64" spans="2:27" s="276" customFormat="1">
      <c r="B64" s="277">
        <v>45551</v>
      </c>
      <c r="C64" s="280"/>
      <c r="D64" s="279">
        <v>0</v>
      </c>
      <c r="E64" s="279">
        <v>52556037387.616508</v>
      </c>
      <c r="F64" s="281">
        <v>1.0003385549416808</v>
      </c>
      <c r="G64" s="280"/>
      <c r="H64" s="279">
        <v>0</v>
      </c>
      <c r="I64" s="279">
        <v>50301215953.960663</v>
      </c>
      <c r="J64" s="281">
        <v>1.0003210767970707</v>
      </c>
      <c r="K64" s="280"/>
      <c r="L64" s="279">
        <v>0</v>
      </c>
      <c r="M64" s="279">
        <v>31773920066.478745</v>
      </c>
      <c r="N64" s="281">
        <v>1.0003263970306038</v>
      </c>
      <c r="O64" s="280"/>
      <c r="P64" s="279">
        <v>0</v>
      </c>
      <c r="Q64" s="279">
        <v>27372408497.871006</v>
      </c>
      <c r="R64" s="281">
        <v>1.0003411005403635</v>
      </c>
      <c r="S64" s="280"/>
      <c r="T64" s="279">
        <v>0</v>
      </c>
      <c r="U64" s="279">
        <v>26443587410.734634</v>
      </c>
      <c r="V64" s="281">
        <v>1.0003861530019238</v>
      </c>
      <c r="W64" s="280"/>
      <c r="X64" s="279">
        <v>0</v>
      </c>
      <c r="Y64" s="279">
        <v>21432178360.56739</v>
      </c>
      <c r="Z64" s="281">
        <v>1.000394968453574</v>
      </c>
      <c r="AA64" s="280"/>
    </row>
    <row r="65" spans="1:27" s="276" customFormat="1">
      <c r="B65" s="277">
        <v>45552</v>
      </c>
      <c r="C65" s="280"/>
      <c r="D65" s="279">
        <v>0</v>
      </c>
      <c r="E65" s="279">
        <v>52573028937.570625</v>
      </c>
      <c r="F65" s="281">
        <v>1.0003233034832668</v>
      </c>
      <c r="G65" s="280"/>
      <c r="H65" s="279">
        <v>0</v>
      </c>
      <c r="I65" s="279">
        <v>50333411911.448906</v>
      </c>
      <c r="J65" s="281">
        <v>1.0006400632047883</v>
      </c>
      <c r="K65" s="280"/>
      <c r="L65" s="279">
        <v>0</v>
      </c>
      <c r="M65" s="279">
        <v>31794971072.77433</v>
      </c>
      <c r="N65" s="281">
        <v>1.0006625246822407</v>
      </c>
      <c r="O65" s="280"/>
      <c r="P65" s="279">
        <v>0</v>
      </c>
      <c r="Q65" s="279">
        <v>27381487751.652538</v>
      </c>
      <c r="R65" s="281">
        <v>1.0003316936389517</v>
      </c>
      <c r="S65" s="280"/>
      <c r="T65" s="279">
        <v>0</v>
      </c>
      <c r="U65" s="279">
        <v>26452225068.615273</v>
      </c>
      <c r="V65" s="281">
        <v>1.0003266447077122</v>
      </c>
      <c r="W65" s="280"/>
      <c r="X65" s="279">
        <v>0</v>
      </c>
      <c r="Y65" s="279">
        <v>21438192752.110207</v>
      </c>
      <c r="Z65" s="281">
        <v>1.0002806243696574</v>
      </c>
      <c r="AA65" s="280"/>
    </row>
    <row r="66" spans="1:27" s="276" customFormat="1">
      <c r="B66" s="277">
        <v>45553</v>
      </c>
      <c r="C66" s="280"/>
      <c r="D66" s="279">
        <v>0</v>
      </c>
      <c r="E66" s="279">
        <v>52219671396.734756</v>
      </c>
      <c r="F66" s="281">
        <v>0.99327872964566155</v>
      </c>
      <c r="G66" s="280"/>
      <c r="H66" s="279">
        <v>0</v>
      </c>
      <c r="I66" s="279">
        <v>50069626938.909248</v>
      </c>
      <c r="J66" s="281">
        <v>0.99475924713779129</v>
      </c>
      <c r="K66" s="280"/>
      <c r="L66" s="279">
        <v>0</v>
      </c>
      <c r="M66" s="279">
        <v>31571099097.827553</v>
      </c>
      <c r="N66" s="281">
        <v>0.99295888728961679</v>
      </c>
      <c r="O66" s="280"/>
      <c r="P66" s="279">
        <v>0</v>
      </c>
      <c r="Q66" s="279">
        <v>27174647275.010067</v>
      </c>
      <c r="R66" s="281">
        <v>0.99244597377182375</v>
      </c>
      <c r="S66" s="280"/>
      <c r="T66" s="279">
        <v>0</v>
      </c>
      <c r="U66" s="279">
        <v>26306418834.497368</v>
      </c>
      <c r="V66" s="281">
        <v>0.99448794066511637</v>
      </c>
      <c r="W66" s="280"/>
      <c r="X66" s="279">
        <v>0</v>
      </c>
      <c r="Y66" s="279">
        <v>21292078887.463451</v>
      </c>
      <c r="Z66" s="281">
        <v>0.99318441314824113</v>
      </c>
      <c r="AA66" s="280"/>
    </row>
    <row r="67" spans="1:27" s="276" customFormat="1">
      <c r="B67" s="277">
        <v>45554</v>
      </c>
      <c r="C67" s="280"/>
      <c r="D67" s="279">
        <v>0</v>
      </c>
      <c r="E67" s="279">
        <v>52131664646.028893</v>
      </c>
      <c r="F67" s="281">
        <v>0.99831468202782736</v>
      </c>
      <c r="G67" s="280"/>
      <c r="H67" s="279">
        <v>0</v>
      </c>
      <c r="I67" s="279">
        <v>50021673671.245956</v>
      </c>
      <c r="J67" s="281">
        <v>0.99904226832523035</v>
      </c>
      <c r="K67" s="280"/>
      <c r="L67" s="279">
        <v>0</v>
      </c>
      <c r="M67" s="279">
        <v>31515281772.182781</v>
      </c>
      <c r="N67" s="281">
        <v>0.99823201195904476</v>
      </c>
      <c r="O67" s="280"/>
      <c r="P67" s="279">
        <v>0</v>
      </c>
      <c r="Q67" s="279">
        <v>27118192817.662601</v>
      </c>
      <c r="R67" s="281">
        <v>0.99792253210221493</v>
      </c>
      <c r="S67" s="280"/>
      <c r="T67" s="279">
        <v>0</v>
      </c>
      <c r="U67" s="279">
        <v>26269104720.287655</v>
      </c>
      <c r="V67" s="281">
        <v>0.9985815585753246</v>
      </c>
      <c r="W67" s="280"/>
      <c r="X67" s="279">
        <v>0</v>
      </c>
      <c r="Y67" s="279">
        <v>21250769022.5877</v>
      </c>
      <c r="Z67" s="281">
        <v>0.99805984821425431</v>
      </c>
      <c r="AA67" s="280"/>
    </row>
    <row r="68" spans="1:27" s="276" customFormat="1">
      <c r="B68" s="277">
        <v>45555</v>
      </c>
      <c r="C68" s="280"/>
      <c r="D68" s="279">
        <v>0</v>
      </c>
      <c r="E68" s="279">
        <v>52161855793.143013</v>
      </c>
      <c r="F68" s="281">
        <v>1.0005791326119953</v>
      </c>
      <c r="G68" s="280"/>
      <c r="H68" s="279">
        <v>0</v>
      </c>
      <c r="I68" s="279">
        <v>50049303324.194527</v>
      </c>
      <c r="J68" s="281">
        <v>1.0005523536283523</v>
      </c>
      <c r="K68" s="280"/>
      <c r="L68" s="279">
        <v>0</v>
      </c>
      <c r="M68" s="279">
        <v>31533901436.518002</v>
      </c>
      <c r="N68" s="281">
        <v>1.0005908138302497</v>
      </c>
      <c r="O68" s="280"/>
      <c r="P68" s="279">
        <v>0</v>
      </c>
      <c r="Q68" s="279">
        <v>27134330142.872143</v>
      </c>
      <c r="R68" s="281">
        <v>1.0005950737690392</v>
      </c>
      <c r="S68" s="280"/>
      <c r="T68" s="279">
        <v>0</v>
      </c>
      <c r="U68" s="279">
        <v>26282417022.705868</v>
      </c>
      <c r="V68" s="281">
        <v>1.000506766506128</v>
      </c>
      <c r="W68" s="280"/>
      <c r="X68" s="279">
        <v>0</v>
      </c>
      <c r="Y68" s="279">
        <v>21262869785.946945</v>
      </c>
      <c r="Z68" s="281">
        <v>1.0005694270803274</v>
      </c>
      <c r="AA68" s="280"/>
    </row>
    <row r="69" spans="1:27" s="276" customFormat="1">
      <c r="B69" s="277">
        <v>45556</v>
      </c>
      <c r="C69" s="280"/>
      <c r="D69" s="279">
        <v>0</v>
      </c>
      <c r="E69" s="279">
        <v>52177507739.920486</v>
      </c>
      <c r="F69" s="281">
        <v>1.0003000649907769</v>
      </c>
      <c r="G69" s="280"/>
      <c r="H69" s="279">
        <v>0</v>
      </c>
      <c r="I69" s="279">
        <v>50064293130.911179</v>
      </c>
      <c r="J69" s="281">
        <v>1.0002995008066258</v>
      </c>
      <c r="K69" s="280"/>
      <c r="L69" s="279">
        <v>0</v>
      </c>
      <c r="M69" s="279">
        <v>31543192964.398556</v>
      </c>
      <c r="N69" s="281">
        <v>1.000294652023926</v>
      </c>
      <c r="O69" s="280"/>
      <c r="P69" s="279">
        <v>0</v>
      </c>
      <c r="Q69" s="279">
        <v>27142335548.94566</v>
      </c>
      <c r="R69" s="281">
        <v>1.0002950286972763</v>
      </c>
      <c r="S69" s="280"/>
      <c r="T69" s="279">
        <v>0</v>
      </c>
      <c r="U69" s="279">
        <v>26290396006.519485</v>
      </c>
      <c r="V69" s="281">
        <v>1.0003035863789362</v>
      </c>
      <c r="W69" s="280"/>
      <c r="X69" s="279">
        <v>0</v>
      </c>
      <c r="Y69" s="279">
        <v>21269171856.781193</v>
      </c>
      <c r="Z69" s="281">
        <v>1.0002963885353995</v>
      </c>
      <c r="AA69" s="280"/>
    </row>
    <row r="70" spans="1:27" s="276" customFormat="1">
      <c r="B70" s="277">
        <v>45557</v>
      </c>
      <c r="C70" s="280"/>
      <c r="D70" s="279">
        <v>0</v>
      </c>
      <c r="E70" s="279">
        <v>50205702722.385391</v>
      </c>
      <c r="F70" s="281">
        <v>0.96220967418828085</v>
      </c>
      <c r="G70" s="280"/>
      <c r="H70" s="279">
        <v>0</v>
      </c>
      <c r="I70" s="279">
        <v>43899805653.91452</v>
      </c>
      <c r="J70" s="281">
        <v>0.87686858054946704</v>
      </c>
      <c r="K70" s="280"/>
      <c r="L70" s="279">
        <v>0</v>
      </c>
      <c r="M70" s="279">
        <v>30296230071.709663</v>
      </c>
      <c r="N70" s="281">
        <v>0.96046808279376517</v>
      </c>
      <c r="O70" s="280"/>
      <c r="P70" s="279">
        <v>0</v>
      </c>
      <c r="Q70" s="279">
        <v>24865246456.36274</v>
      </c>
      <c r="R70" s="281">
        <v>0.91610563179146265</v>
      </c>
      <c r="S70" s="280"/>
      <c r="T70" s="279">
        <v>0</v>
      </c>
      <c r="U70" s="279">
        <v>19945129148.016705</v>
      </c>
      <c r="V70" s="281">
        <v>0.75864696534318909</v>
      </c>
      <c r="W70" s="280"/>
      <c r="X70" s="279">
        <v>0</v>
      </c>
      <c r="Y70" s="279">
        <v>18885413885.26968</v>
      </c>
      <c r="Z70" s="281">
        <v>0.88792426956898629</v>
      </c>
      <c r="AA70" s="280"/>
    </row>
    <row r="71" spans="1:27" s="276" customFormat="1">
      <c r="B71" s="277">
        <v>45558</v>
      </c>
      <c r="C71" s="280"/>
      <c r="D71" s="279">
        <v>0</v>
      </c>
      <c r="E71" s="279">
        <v>50165201289.36953</v>
      </c>
      <c r="F71" s="281">
        <v>0.99919329018777381</v>
      </c>
      <c r="G71" s="280"/>
      <c r="H71" s="279">
        <v>0</v>
      </c>
      <c r="I71" s="279">
        <v>43868213482.561264</v>
      </c>
      <c r="J71" s="281">
        <v>0.99928035737555843</v>
      </c>
      <c r="K71" s="280"/>
      <c r="L71" s="279">
        <v>0</v>
      </c>
      <c r="M71" s="279">
        <v>30271280691.128891</v>
      </c>
      <c r="N71" s="281">
        <v>0.99917648563792527</v>
      </c>
      <c r="O71" s="280"/>
      <c r="P71" s="279">
        <v>0</v>
      </c>
      <c r="Q71" s="279">
        <v>26542346626.15897</v>
      </c>
      <c r="R71" s="281">
        <v>1.067447558693595</v>
      </c>
      <c r="S71" s="280"/>
      <c r="T71" s="279">
        <v>0</v>
      </c>
      <c r="U71" s="279">
        <v>20943150092.540554</v>
      </c>
      <c r="V71" s="281">
        <v>1.0500383295148075</v>
      </c>
      <c r="W71" s="280"/>
      <c r="X71" s="279">
        <v>0</v>
      </c>
      <c r="Y71" s="279">
        <v>17329893374.703499</v>
      </c>
      <c r="Z71" s="281">
        <v>0.91763376116530537</v>
      </c>
      <c r="AA71" s="280"/>
    </row>
    <row r="72" spans="1:27" s="276" customFormat="1">
      <c r="B72" s="277">
        <v>45559</v>
      </c>
      <c r="C72" s="280"/>
      <c r="D72" s="279">
        <v>0</v>
      </c>
      <c r="E72" s="279">
        <v>50480771402.42366</v>
      </c>
      <c r="F72" s="281">
        <v>1.0062906178973312</v>
      </c>
      <c r="G72" s="280"/>
      <c r="H72" s="279">
        <v>0</v>
      </c>
      <c r="I72" s="279">
        <v>44106491279.196838</v>
      </c>
      <c r="J72" s="281">
        <v>1.0054316731345874</v>
      </c>
      <c r="K72" s="280"/>
      <c r="L72" s="279">
        <v>0</v>
      </c>
      <c r="M72" s="279">
        <v>30468142809.698112</v>
      </c>
      <c r="N72" s="281">
        <v>1.0065032636239573</v>
      </c>
      <c r="O72" s="280"/>
      <c r="P72" s="279">
        <v>0</v>
      </c>
      <c r="Q72" s="279">
        <v>25746403141.024227</v>
      </c>
      <c r="R72" s="281">
        <v>0.97001231668226739</v>
      </c>
      <c r="S72" s="280"/>
      <c r="T72" s="279">
        <v>0</v>
      </c>
      <c r="U72" s="279">
        <v>21071858383.493271</v>
      </c>
      <c r="V72" s="281">
        <v>1.0061456032346614</v>
      </c>
      <c r="W72" s="280"/>
      <c r="X72" s="279">
        <v>0</v>
      </c>
      <c r="Y72" s="279">
        <v>17458496018.770889</v>
      </c>
      <c r="Z72" s="281">
        <v>1.0074208560483766</v>
      </c>
      <c r="AA72" s="280"/>
    </row>
    <row r="73" spans="1:27" s="276" customFormat="1">
      <c r="B73" s="277">
        <v>45560</v>
      </c>
      <c r="C73" s="280"/>
      <c r="D73" s="279">
        <v>0</v>
      </c>
      <c r="E73" s="279">
        <v>46759135876.187775</v>
      </c>
      <c r="F73" s="281">
        <v>0.92627617560421815</v>
      </c>
      <c r="G73" s="280"/>
      <c r="H73" s="279">
        <v>0</v>
      </c>
      <c r="I73" s="279">
        <v>50310877399.716843</v>
      </c>
      <c r="J73" s="281">
        <v>1.140668322067286</v>
      </c>
      <c r="K73" s="280"/>
      <c r="L73" s="279">
        <v>0</v>
      </c>
      <c r="M73" s="279">
        <v>30490431005.865334</v>
      </c>
      <c r="N73" s="281">
        <v>1.0007315246060922</v>
      </c>
      <c r="O73" s="280"/>
      <c r="P73" s="279">
        <v>0</v>
      </c>
      <c r="Q73" s="279">
        <v>25764234611.700619</v>
      </c>
      <c r="R73" s="281">
        <v>1.0006925810404941</v>
      </c>
      <c r="S73" s="280"/>
      <c r="T73" s="279">
        <v>0</v>
      </c>
      <c r="U73" s="279">
        <v>21084791322.985996</v>
      </c>
      <c r="V73" s="281">
        <v>1.0006137541007232</v>
      </c>
      <c r="W73" s="280"/>
      <c r="X73" s="279">
        <v>0</v>
      </c>
      <c r="Y73" s="279">
        <v>17464223227.152279</v>
      </c>
      <c r="Z73" s="281">
        <v>1.0003280470651785</v>
      </c>
      <c r="AA73" s="280"/>
    </row>
    <row r="74" spans="1:27" s="276" customFormat="1">
      <c r="B74" s="277">
        <v>45561</v>
      </c>
      <c r="C74" s="280"/>
      <c r="D74" s="279">
        <v>0</v>
      </c>
      <c r="E74" s="279">
        <v>46701447155.523338</v>
      </c>
      <c r="F74" s="281">
        <v>0.99876625776795391</v>
      </c>
      <c r="G74" s="280"/>
      <c r="H74" s="279">
        <v>0</v>
      </c>
      <c r="I74" s="279">
        <v>44119012510.546532</v>
      </c>
      <c r="J74" s="281">
        <v>0.87692790885008176</v>
      </c>
      <c r="K74" s="280"/>
      <c r="L74" s="279">
        <v>0</v>
      </c>
      <c r="M74" s="279">
        <v>30449508511.074551</v>
      </c>
      <c r="N74" s="281">
        <v>0.99865785777895655</v>
      </c>
      <c r="O74" s="280"/>
      <c r="P74" s="279">
        <v>0</v>
      </c>
      <c r="Q74" s="279">
        <v>25713648310.723</v>
      </c>
      <c r="R74" s="281">
        <v>0.99803656884281566</v>
      </c>
      <c r="S74" s="280"/>
      <c r="T74" s="279">
        <v>0</v>
      </c>
      <c r="U74" s="279">
        <v>21065177234.898899</v>
      </c>
      <c r="V74" s="281">
        <v>0.99906975185162428</v>
      </c>
      <c r="W74" s="280"/>
      <c r="X74" s="279">
        <v>0</v>
      </c>
      <c r="Y74" s="279">
        <v>17435740890.828667</v>
      </c>
      <c r="Z74" s="281">
        <v>0.99836910374122279</v>
      </c>
      <c r="AA74" s="280"/>
    </row>
    <row r="75" spans="1:27" s="276" customFormat="1">
      <c r="B75" s="277">
        <v>45562</v>
      </c>
      <c r="C75" s="280"/>
      <c r="D75" s="279">
        <v>0</v>
      </c>
      <c r="E75" s="279">
        <v>52699283128.733337</v>
      </c>
      <c r="F75" s="281">
        <v>1.1284293386720168</v>
      </c>
      <c r="G75" s="280"/>
      <c r="H75" s="279">
        <v>0</v>
      </c>
      <c r="I75" s="279">
        <v>50529168181.901215</v>
      </c>
      <c r="J75" s="281">
        <v>1.1452923650506084</v>
      </c>
      <c r="K75" s="280"/>
      <c r="L75" s="279">
        <v>0</v>
      </c>
      <c r="M75" s="279">
        <v>31869620129.14455</v>
      </c>
      <c r="N75" s="281">
        <v>1.0466382443432052</v>
      </c>
      <c r="O75" s="280"/>
      <c r="P75" s="279">
        <v>0</v>
      </c>
      <c r="Q75" s="279">
        <v>27432127568.302334</v>
      </c>
      <c r="R75" s="281">
        <v>1.0668314055171511</v>
      </c>
      <c r="S75" s="280"/>
      <c r="T75" s="279">
        <v>0</v>
      </c>
      <c r="U75" s="279">
        <v>26535764601.516972</v>
      </c>
      <c r="V75" s="281">
        <v>1.2596981409467989</v>
      </c>
      <c r="W75" s="280"/>
      <c r="X75" s="279">
        <v>0</v>
      </c>
      <c r="Y75" s="279">
        <v>21485248003.498337</v>
      </c>
      <c r="Z75" s="281">
        <v>1.232253228470477</v>
      </c>
      <c r="AA75" s="280"/>
    </row>
    <row r="76" spans="1:27" s="276" customFormat="1">
      <c r="B76" s="277">
        <v>45563</v>
      </c>
      <c r="C76" s="280"/>
      <c r="D76" s="279">
        <v>0</v>
      </c>
      <c r="E76" s="279">
        <v>52714961452.778419</v>
      </c>
      <c r="F76" s="281">
        <v>1.0002975054519581</v>
      </c>
      <c r="G76" s="280"/>
      <c r="H76" s="279">
        <v>0</v>
      </c>
      <c r="I76" s="279">
        <v>50544189992.524551</v>
      </c>
      <c r="J76" s="281">
        <v>1.0002972898855025</v>
      </c>
      <c r="K76" s="280"/>
      <c r="L76" s="279">
        <v>0</v>
      </c>
      <c r="M76" s="279">
        <v>31878924052.811775</v>
      </c>
      <c r="N76" s="281">
        <v>1.0002919370745407</v>
      </c>
      <c r="O76" s="280"/>
      <c r="P76" s="279">
        <v>0</v>
      </c>
      <c r="Q76" s="279">
        <v>27440088002.618721</v>
      </c>
      <c r="R76" s="281">
        <v>1.0002901865448302</v>
      </c>
      <c r="S76" s="280"/>
      <c r="T76" s="279">
        <v>0</v>
      </c>
      <c r="U76" s="279">
        <v>26543812388.92503</v>
      </c>
      <c r="V76" s="281">
        <v>1.0003032807808221</v>
      </c>
      <c r="W76" s="280"/>
      <c r="X76" s="279">
        <v>0</v>
      </c>
      <c r="Y76" s="279">
        <v>21491553622.949722</v>
      </c>
      <c r="Z76" s="281">
        <v>1.0002934859979442</v>
      </c>
      <c r="AA76" s="280"/>
    </row>
    <row r="77" spans="1:27" s="276" customFormat="1">
      <c r="B77" s="277">
        <v>45564</v>
      </c>
      <c r="C77" s="280"/>
      <c r="D77" s="279">
        <v>0</v>
      </c>
      <c r="E77" s="279">
        <v>52730639776.823494</v>
      </c>
      <c r="F77" s="281">
        <v>1.0002974169687882</v>
      </c>
      <c r="G77" s="280"/>
      <c r="H77" s="279">
        <v>0</v>
      </c>
      <c r="I77" s="279">
        <v>50559211803.147888</v>
      </c>
      <c r="J77" s="281">
        <v>1.0002972015304936</v>
      </c>
      <c r="K77" s="280"/>
      <c r="L77" s="279">
        <v>0</v>
      </c>
      <c r="M77" s="279">
        <v>31888227976.478996</v>
      </c>
      <c r="N77" s="281">
        <v>1.0002918518721589</v>
      </c>
      <c r="O77" s="280"/>
      <c r="P77" s="279">
        <v>0</v>
      </c>
      <c r="Q77" s="279">
        <v>27448048436.93512</v>
      </c>
      <c r="R77" s="281">
        <v>1.0002901023610289</v>
      </c>
      <c r="S77" s="280"/>
      <c r="T77" s="279">
        <v>0</v>
      </c>
      <c r="U77" s="279">
        <v>26551860176.333076</v>
      </c>
      <c r="V77" s="281">
        <v>1.0003031888294767</v>
      </c>
      <c r="W77" s="280"/>
      <c r="X77" s="279">
        <v>0</v>
      </c>
      <c r="Y77" s="279">
        <v>21497859242.401112</v>
      </c>
      <c r="Z77" s="281">
        <v>1.0002933998891852</v>
      </c>
      <c r="AA77" s="280"/>
    </row>
    <row r="78" spans="1:27" s="276" customFormat="1">
      <c r="B78" s="277">
        <v>45565</v>
      </c>
      <c r="C78" s="280"/>
      <c r="D78" s="279">
        <v>0</v>
      </c>
      <c r="E78" s="279">
        <v>52758887350.868584</v>
      </c>
      <c r="F78" s="281">
        <v>1.0005356956442146</v>
      </c>
      <c r="G78" s="280"/>
      <c r="H78" s="279">
        <v>0</v>
      </c>
      <c r="I78" s="279">
        <v>50563925188.289391</v>
      </c>
      <c r="J78" s="281">
        <v>1.0000932250518433</v>
      </c>
      <c r="K78" s="280"/>
      <c r="L78" s="279">
        <v>0</v>
      </c>
      <c r="M78" s="279">
        <v>31906145495.810219</v>
      </c>
      <c r="N78" s="281">
        <v>1.0005618850738409</v>
      </c>
      <c r="O78" s="280"/>
      <c r="P78" s="279">
        <v>0</v>
      </c>
      <c r="Q78" s="279">
        <v>27381893271.495159</v>
      </c>
      <c r="R78" s="281">
        <v>0.99758980440478462</v>
      </c>
      <c r="S78" s="280"/>
      <c r="T78" s="279">
        <v>0</v>
      </c>
      <c r="U78" s="279">
        <v>26561613201.284534</v>
      </c>
      <c r="V78" s="281">
        <v>1.0003673198369789</v>
      </c>
      <c r="W78" s="280"/>
      <c r="X78" s="279">
        <v>0</v>
      </c>
      <c r="Y78" s="279">
        <v>21514690217.140499</v>
      </c>
      <c r="Z78" s="281">
        <v>1.0007829139892306</v>
      </c>
      <c r="AA78" s="280"/>
    </row>
    <row r="79" spans="1:27" s="276" customFormat="1">
      <c r="A79" s="443"/>
      <c r="B79" s="444">
        <v>45566</v>
      </c>
      <c r="C79" s="446"/>
      <c r="D79" s="445">
        <v>0</v>
      </c>
      <c r="E79" s="445">
        <v>53060829320.806992</v>
      </c>
      <c r="F79" s="447">
        <v>1.0057230541639435</v>
      </c>
      <c r="G79" s="446"/>
      <c r="H79" s="445">
        <v>0</v>
      </c>
      <c r="I79" s="445">
        <v>50837224867.105675</v>
      </c>
      <c r="J79" s="447">
        <v>1.0054050328924935</v>
      </c>
      <c r="K79" s="446"/>
      <c r="L79" s="445">
        <v>0</v>
      </c>
      <c r="M79" s="445">
        <v>32092414969.615448</v>
      </c>
      <c r="N79" s="447">
        <v>1.0058380437658849</v>
      </c>
      <c r="O79" s="446"/>
      <c r="P79" s="445">
        <v>0</v>
      </c>
      <c r="Q79" s="445">
        <v>27638814504.980255</v>
      </c>
      <c r="R79" s="447">
        <v>1.0093828878426223</v>
      </c>
      <c r="S79" s="446"/>
      <c r="T79" s="445">
        <v>0</v>
      </c>
      <c r="U79" s="445">
        <v>26694155389.274082</v>
      </c>
      <c r="V79" s="447">
        <v>1.004989990140476</v>
      </c>
      <c r="W79" s="446"/>
      <c r="X79" s="445">
        <v>0</v>
      </c>
      <c r="Y79" s="445">
        <v>21633658343.086937</v>
      </c>
      <c r="Z79" s="447">
        <v>1.0055296230038979</v>
      </c>
      <c r="AA79" s="446"/>
    </row>
    <row r="80" spans="1:27" s="276" customFormat="1" ht="12" customHeight="1">
      <c r="A80" s="443"/>
      <c r="B80" s="444">
        <v>45567</v>
      </c>
      <c r="C80" s="446"/>
      <c r="D80" s="445">
        <v>0</v>
      </c>
      <c r="E80" s="445">
        <v>53088659163.245392</v>
      </c>
      <c r="F80" s="447">
        <v>1.0005244893981988</v>
      </c>
      <c r="G80" s="446"/>
      <c r="H80" s="445">
        <v>0</v>
      </c>
      <c r="I80" s="445">
        <v>50863121398.685844</v>
      </c>
      <c r="J80" s="447">
        <v>1.0005094009684412</v>
      </c>
      <c r="K80" s="446"/>
      <c r="L80" s="445">
        <v>0</v>
      </c>
      <c r="M80" s="445">
        <v>32109492765.532665</v>
      </c>
      <c r="N80" s="447">
        <v>1.0005321443067898</v>
      </c>
      <c r="O80" s="446"/>
      <c r="P80" s="445">
        <v>0</v>
      </c>
      <c r="Q80" s="445">
        <v>27653580238.657635</v>
      </c>
      <c r="R80" s="447">
        <v>1.0005342390381728</v>
      </c>
      <c r="S80" s="446"/>
      <c r="T80" s="445">
        <v>0</v>
      </c>
      <c r="U80" s="445">
        <v>26707527280.224895</v>
      </c>
      <c r="V80" s="447">
        <v>1.0005009295389127</v>
      </c>
      <c r="W80" s="446"/>
      <c r="X80" s="445">
        <v>0</v>
      </c>
      <c r="Y80" s="445">
        <v>21644863945.265373</v>
      </c>
      <c r="Z80" s="447">
        <v>1.0005179707472831</v>
      </c>
      <c r="AA80" s="446"/>
    </row>
    <row r="81" spans="1:27" s="276" customFormat="1" ht="12" customHeight="1">
      <c r="A81" s="443"/>
      <c r="B81" s="444">
        <v>45568</v>
      </c>
      <c r="C81" s="446"/>
      <c r="D81" s="445">
        <v>0</v>
      </c>
      <c r="E81" s="445">
        <v>53116348221.423813</v>
      </c>
      <c r="F81" s="447">
        <v>0.96391455405689253</v>
      </c>
      <c r="G81" s="446"/>
      <c r="H81" s="445">
        <v>0</v>
      </c>
      <c r="I81" s="445">
        <v>50888715227.357269</v>
      </c>
      <c r="J81" s="447">
        <v>0.89141809668136718</v>
      </c>
      <c r="K81" s="446"/>
      <c r="L81" s="445">
        <v>0</v>
      </c>
      <c r="M81" s="445">
        <v>32126496802.271889</v>
      </c>
      <c r="N81" s="447">
        <v>0.96229589890864276</v>
      </c>
      <c r="O81" s="446"/>
      <c r="P81" s="445">
        <v>0</v>
      </c>
      <c r="Q81" s="445">
        <v>27668406893.728992</v>
      </c>
      <c r="R81" s="447">
        <v>0.97687306965589726</v>
      </c>
      <c r="S81" s="446"/>
      <c r="T81" s="445">
        <v>0</v>
      </c>
      <c r="U81" s="445">
        <v>26720763952.292965</v>
      </c>
      <c r="V81" s="447">
        <v>0.83263256692160814</v>
      </c>
      <c r="W81" s="446"/>
      <c r="X81" s="445">
        <v>0</v>
      </c>
      <c r="Y81" s="445">
        <v>21656055503.847805</v>
      </c>
      <c r="Z81" s="447">
        <v>1.0002898080385083</v>
      </c>
      <c r="AA81" s="446"/>
    </row>
    <row r="82" spans="1:27" s="276" customFormat="1" ht="12" customHeight="1">
      <c r="A82" s="443"/>
      <c r="B82" s="444">
        <v>45569</v>
      </c>
      <c r="C82" s="446"/>
      <c r="D82" s="445">
        <v>0</v>
      </c>
      <c r="E82" s="445">
        <v>53132024328.862228</v>
      </c>
      <c r="F82" s="447">
        <v>1.0002951277330487</v>
      </c>
      <c r="G82" s="446"/>
      <c r="H82" s="445">
        <v>0</v>
      </c>
      <c r="I82" s="445">
        <v>50903732731.197273</v>
      </c>
      <c r="J82" s="447">
        <v>1.0002951047943127</v>
      </c>
      <c r="K82" s="446"/>
      <c r="L82" s="445">
        <v>0</v>
      </c>
      <c r="M82" s="445">
        <v>32135795582.649113</v>
      </c>
      <c r="N82" s="447">
        <v>1.0002894427124891</v>
      </c>
      <c r="O82" s="446"/>
      <c r="P82" s="445">
        <v>0</v>
      </c>
      <c r="Q82" s="445">
        <v>27676401677.65237</v>
      </c>
      <c r="R82" s="447">
        <v>1.0002889499187317</v>
      </c>
      <c r="S82" s="446"/>
      <c r="T82" s="445">
        <v>0</v>
      </c>
      <c r="U82" s="445">
        <v>26728807482.007687</v>
      </c>
      <c r="V82" s="447">
        <v>1.0003010216971746</v>
      </c>
      <c r="W82" s="446"/>
      <c r="X82" s="445">
        <v>0</v>
      </c>
      <c r="Y82" s="445">
        <v>21662329784.478249</v>
      </c>
      <c r="Z82" s="447">
        <v>1.0002897240741431</v>
      </c>
      <c r="AA82" s="446"/>
    </row>
    <row r="83" spans="1:27" s="276" customFormat="1" ht="12" customHeight="1">
      <c r="A83" s="443"/>
      <c r="B83" s="444">
        <v>45570</v>
      </c>
      <c r="C83" s="446"/>
      <c r="D83" s="445">
        <v>0</v>
      </c>
      <c r="E83" s="445">
        <v>53157163480.88253</v>
      </c>
      <c r="F83" s="447">
        <v>1.0002955960087467</v>
      </c>
      <c r="G83" s="446"/>
      <c r="H83" s="445">
        <v>0</v>
      </c>
      <c r="I83" s="445">
        <v>50927177144.698669</v>
      </c>
      <c r="J83" s="447">
        <v>1.0002956580379434</v>
      </c>
      <c r="K83" s="446"/>
      <c r="L83" s="445">
        <v>0</v>
      </c>
      <c r="M83" s="445">
        <v>32151173201.15033</v>
      </c>
      <c r="N83" s="447">
        <v>1.0002895232500419</v>
      </c>
      <c r="O83" s="446"/>
      <c r="P83" s="445">
        <v>0</v>
      </c>
      <c r="Q83" s="445">
        <v>27689764093.975418</v>
      </c>
      <c r="R83" s="447">
        <v>1.0002888647678114</v>
      </c>
      <c r="S83" s="446"/>
      <c r="T83" s="445">
        <v>0</v>
      </c>
      <c r="U83" s="445">
        <v>26740967803.738415</v>
      </c>
      <c r="V83" s="447">
        <v>1.0003012422903608</v>
      </c>
      <c r="W83" s="446"/>
      <c r="X83" s="445">
        <v>0</v>
      </c>
      <c r="Y83" s="445">
        <v>21672492536.03968</v>
      </c>
      <c r="Z83" s="447">
        <v>1.0002895881762326</v>
      </c>
      <c r="AA83" s="446"/>
    </row>
    <row r="84" spans="1:27" s="443" customFormat="1" ht="12" customHeight="1">
      <c r="B84" s="444">
        <v>45571</v>
      </c>
      <c r="C84" s="446"/>
      <c r="D84" s="445">
        <v>0</v>
      </c>
      <c r="E84" s="445">
        <v>53172871882.902855</v>
      </c>
      <c r="F84" s="447">
        <v>1.0003359278192654</v>
      </c>
      <c r="G84" s="446"/>
      <c r="H84" s="445">
        <v>0</v>
      </c>
      <c r="I84" s="445">
        <v>50942229723.555336</v>
      </c>
      <c r="J84" s="447">
        <v>1.0003406347096269</v>
      </c>
      <c r="K84" s="446"/>
      <c r="L84" s="445">
        <v>0</v>
      </c>
      <c r="M84" s="445">
        <v>32160479019.057556</v>
      </c>
      <c r="N84" s="447">
        <v>1.0003041371704244</v>
      </c>
      <c r="O84" s="446"/>
      <c r="P84" s="445">
        <v>0</v>
      </c>
      <c r="Q84" s="445">
        <v>27697760381.405445</v>
      </c>
      <c r="R84" s="447">
        <v>1.0002975988501459</v>
      </c>
      <c r="S84" s="446"/>
      <c r="T84" s="445">
        <v>0</v>
      </c>
      <c r="U84" s="445">
        <v>26749020888.196472</v>
      </c>
      <c r="V84" s="447">
        <v>1.000374394530704</v>
      </c>
      <c r="W84" s="446"/>
      <c r="X84" s="445">
        <v>0</v>
      </c>
      <c r="Y84" s="445">
        <v>21678766816.67012</v>
      </c>
      <c r="Z84" s="447">
        <v>1.0002895043391988</v>
      </c>
      <c r="AA84" s="446"/>
    </row>
    <row r="85" spans="1:27" s="276" customFormat="1" ht="12" customHeight="1">
      <c r="A85" s="443"/>
      <c r="B85" s="444">
        <v>45572</v>
      </c>
      <c r="C85" s="446"/>
      <c r="D85" s="445">
        <v>0</v>
      </c>
      <c r="E85" s="445">
        <v>53159784534.92318</v>
      </c>
      <c r="F85" s="447">
        <v>0.99975387171096386</v>
      </c>
      <c r="G85" s="446"/>
      <c r="H85" s="445">
        <v>0</v>
      </c>
      <c r="I85" s="445">
        <v>50933849235.801651</v>
      </c>
      <c r="J85" s="447">
        <v>0.99983549036233466</v>
      </c>
      <c r="K85" s="446"/>
      <c r="L85" s="445">
        <v>0</v>
      </c>
      <c r="M85" s="445">
        <v>32151291644.06678</v>
      </c>
      <c r="N85" s="447">
        <v>0.99971432717201347</v>
      </c>
      <c r="O85" s="446"/>
      <c r="P85" s="445">
        <v>0</v>
      </c>
      <c r="Q85" s="445">
        <v>27688826997.03849</v>
      </c>
      <c r="R85" s="447">
        <v>0.99967746907172494</v>
      </c>
      <c r="S85" s="446"/>
      <c r="T85" s="445">
        <v>0</v>
      </c>
      <c r="U85" s="445">
        <v>26745585869.860252</v>
      </c>
      <c r="V85" s="447">
        <v>0.99987158339923632</v>
      </c>
      <c r="W85" s="446"/>
      <c r="X85" s="445">
        <v>0</v>
      </c>
      <c r="Y85" s="445">
        <v>21674425683.865551</v>
      </c>
      <c r="Z85" s="447">
        <v>0.99979975185667702</v>
      </c>
      <c r="AA85" s="446"/>
    </row>
    <row r="86" spans="1:27" s="276" customFormat="1" ht="12" customHeight="1">
      <c r="B86" s="277">
        <v>45573</v>
      </c>
      <c r="C86" s="280"/>
      <c r="D86" s="279">
        <v>0</v>
      </c>
      <c r="E86" s="279">
        <v>51159548276.210152</v>
      </c>
      <c r="F86" s="281">
        <v>0.96185211190364905</v>
      </c>
      <c r="G86" s="280"/>
      <c r="H86" s="279">
        <v>0</v>
      </c>
      <c r="I86" s="279">
        <v>50948955388.461655</v>
      </c>
      <c r="J86" s="281">
        <v>0.99983659030517114</v>
      </c>
      <c r="K86" s="280"/>
      <c r="L86" s="279">
        <v>0</v>
      </c>
      <c r="M86" s="279">
        <v>30889081587.354</v>
      </c>
      <c r="N86" s="281">
        <v>0.96018925037573821</v>
      </c>
      <c r="O86" s="280"/>
      <c r="P86" s="279">
        <v>0</v>
      </c>
      <c r="Q86" s="279">
        <v>27696845274.846161</v>
      </c>
      <c r="R86" s="281">
        <v>0.99967835587037568</v>
      </c>
      <c r="S86" s="280"/>
      <c r="T86" s="279">
        <v>0</v>
      </c>
      <c r="U86" s="279">
        <v>21362758706.864967</v>
      </c>
      <c r="V86" s="281">
        <v>0.99976808668201722</v>
      </c>
      <c r="W86" s="280"/>
      <c r="X86" s="279">
        <v>0</v>
      </c>
      <c r="Y86" s="279">
        <v>21680745542.02742</v>
      </c>
      <c r="Z86" s="281">
        <v>1.0004017191261214</v>
      </c>
      <c r="AA86" s="280"/>
    </row>
    <row r="87" spans="1:27" s="276" customFormat="1" ht="12" customHeight="1">
      <c r="A87" s="443"/>
      <c r="B87" s="444">
        <v>45574</v>
      </c>
      <c r="C87" s="446"/>
      <c r="D87" s="445">
        <v>0</v>
      </c>
      <c r="E87" s="445">
        <v>53234094565.787148</v>
      </c>
      <c r="F87" s="447">
        <v>1.0405505200784129</v>
      </c>
      <c r="G87" s="446"/>
      <c r="H87" s="445">
        <v>0</v>
      </c>
      <c r="I87" s="445">
        <v>51003170837.380676</v>
      </c>
      <c r="J87" s="447">
        <v>1.0010641130619</v>
      </c>
      <c r="K87" s="446"/>
      <c r="L87" s="445">
        <v>0</v>
      </c>
      <c r="M87" s="445">
        <v>32197751849.96722</v>
      </c>
      <c r="N87" s="447">
        <v>1.0423667585878951</v>
      </c>
      <c r="O87" s="446"/>
      <c r="P87" s="445">
        <v>0</v>
      </c>
      <c r="Q87" s="445">
        <v>27723428943.813076</v>
      </c>
      <c r="R87" s="447">
        <v>1.0009598085523139</v>
      </c>
      <c r="S87" s="446"/>
      <c r="T87" s="445">
        <v>0</v>
      </c>
      <c r="U87" s="445">
        <v>26780473404.895435</v>
      </c>
      <c r="V87" s="447">
        <v>1.2536055746531216</v>
      </c>
      <c r="W87" s="446"/>
      <c r="X87" s="445">
        <v>0</v>
      </c>
      <c r="Y87" s="445">
        <v>21703603667.147282</v>
      </c>
      <c r="Z87" s="447">
        <v>1.0010543053086229</v>
      </c>
      <c r="AA87" s="446"/>
    </row>
    <row r="88" spans="1:27" s="276" customFormat="1" ht="12" customHeight="1">
      <c r="A88" s="443"/>
      <c r="B88" s="444">
        <v>45575</v>
      </c>
      <c r="C88" s="446"/>
      <c r="D88" s="445">
        <v>0</v>
      </c>
      <c r="E88" s="445">
        <v>53307463010.784126</v>
      </c>
      <c r="F88" s="447">
        <v>1.0013782228399941</v>
      </c>
      <c r="G88" s="446"/>
      <c r="H88" s="445">
        <v>0</v>
      </c>
      <c r="I88" s="445">
        <v>51066791077.087463</v>
      </c>
      <c r="J88" s="447">
        <v>1.0012473781269333</v>
      </c>
      <c r="K88" s="446"/>
      <c r="L88" s="445">
        <v>0</v>
      </c>
      <c r="M88" s="445">
        <v>32243652572.776447</v>
      </c>
      <c r="N88" s="447">
        <v>1.0014255878181531</v>
      </c>
      <c r="O88" s="446"/>
      <c r="P88" s="445">
        <v>0</v>
      </c>
      <c r="Q88" s="445">
        <v>27764253795.60033</v>
      </c>
      <c r="R88" s="447">
        <v>1.0014725758444236</v>
      </c>
      <c r="S88" s="446"/>
      <c r="T88" s="445">
        <v>0</v>
      </c>
      <c r="U88" s="445">
        <v>26812665912.315216</v>
      </c>
      <c r="V88" s="447">
        <v>1.0012020888104949</v>
      </c>
      <c r="W88" s="446"/>
      <c r="X88" s="445">
        <v>0</v>
      </c>
      <c r="Y88" s="445">
        <v>21733127452.577148</v>
      </c>
      <c r="Z88" s="447">
        <v>1.0013603172027399</v>
      </c>
      <c r="AA88" s="446"/>
    </row>
    <row r="89" spans="1:27" s="276" customFormat="1" ht="12" customHeight="1">
      <c r="A89" s="443"/>
      <c r="B89" s="444">
        <v>45576</v>
      </c>
      <c r="C89" s="446"/>
      <c r="D89" s="445">
        <v>0</v>
      </c>
      <c r="E89" s="445">
        <v>53174416843.401108</v>
      </c>
      <c r="F89" s="447">
        <v>1</v>
      </c>
      <c r="G89" s="446"/>
      <c r="H89" s="445">
        <v>0</v>
      </c>
      <c r="I89" s="445">
        <v>50960484656.342377</v>
      </c>
      <c r="J89" s="447">
        <v>1</v>
      </c>
      <c r="K89" s="446"/>
      <c r="L89" s="445">
        <v>0</v>
      </c>
      <c r="M89" s="445">
        <v>32158860605.208397</v>
      </c>
      <c r="N89" s="447">
        <v>1</v>
      </c>
      <c r="O89" s="446"/>
      <c r="P89" s="445">
        <v>0</v>
      </c>
      <c r="Q89" s="445">
        <v>27686288498.640583</v>
      </c>
      <c r="R89" s="447">
        <v>1</v>
      </c>
      <c r="S89" s="446"/>
      <c r="T89" s="445">
        <v>0</v>
      </c>
      <c r="U89" s="445">
        <v>26759904893.92923</v>
      </c>
      <c r="V89" s="447">
        <v>1</v>
      </c>
      <c r="W89" s="446"/>
      <c r="X89" s="445">
        <v>0</v>
      </c>
      <c r="Y89" s="445">
        <v>21679564345.728012</v>
      </c>
      <c r="Z89" s="447">
        <v>1</v>
      </c>
      <c r="AA89" s="446"/>
    </row>
    <row r="90" spans="1:27" s="276" customFormat="1" ht="12" customHeight="1">
      <c r="A90" s="443"/>
      <c r="B90" s="444">
        <v>45577</v>
      </c>
      <c r="C90" s="446"/>
      <c r="D90" s="445">
        <v>0</v>
      </c>
      <c r="E90" s="445">
        <v>53190167116.096191</v>
      </c>
      <c r="F90" s="447">
        <v>1.0002962001960729</v>
      </c>
      <c r="G90" s="446"/>
      <c r="H90" s="445">
        <v>0</v>
      </c>
      <c r="I90" s="445">
        <v>50975577516.715706</v>
      </c>
      <c r="J90" s="447">
        <v>1.0002961679127487</v>
      </c>
      <c r="K90" s="446"/>
      <c r="L90" s="445">
        <v>0</v>
      </c>
      <c r="M90" s="445">
        <v>32168174190.185619</v>
      </c>
      <c r="N90" s="447">
        <v>1.0002896117835629</v>
      </c>
      <c r="O90" s="446"/>
      <c r="P90" s="445">
        <v>0</v>
      </c>
      <c r="Q90" s="445">
        <v>27694323048.083141</v>
      </c>
      <c r="R90" s="447">
        <v>1.0002901995853635</v>
      </c>
      <c r="S90" s="446"/>
      <c r="T90" s="445">
        <v>0</v>
      </c>
      <c r="U90" s="445">
        <v>26767953988.32729</v>
      </c>
      <c r="V90" s="447">
        <v>1.0003007893499609</v>
      </c>
      <c r="W90" s="446"/>
      <c r="X90" s="445">
        <v>0</v>
      </c>
      <c r="Y90" s="445">
        <v>21685884203.889877</v>
      </c>
      <c r="Z90" s="447">
        <v>1.0002915122306464</v>
      </c>
      <c r="AA90" s="446"/>
    </row>
    <row r="91" spans="1:27" s="443" customFormat="1" ht="12" customHeight="1">
      <c r="B91" s="444">
        <v>45578</v>
      </c>
      <c r="C91" s="446"/>
      <c r="D91" s="445">
        <v>0</v>
      </c>
      <c r="E91" s="445">
        <v>53205917388.791275</v>
      </c>
      <c r="F91" s="447">
        <v>1.0002961124874961</v>
      </c>
      <c r="G91" s="446"/>
      <c r="H91" s="445">
        <v>0</v>
      </c>
      <c r="I91" s="445">
        <v>50990670377.089035</v>
      </c>
      <c r="J91" s="447">
        <v>1.000296080223287</v>
      </c>
      <c r="K91" s="446"/>
      <c r="L91" s="445">
        <v>0</v>
      </c>
      <c r="M91" s="445">
        <v>32177487775.162846</v>
      </c>
      <c r="N91" s="447">
        <v>1.0002895279328619</v>
      </c>
      <c r="O91" s="446"/>
      <c r="P91" s="445">
        <v>0</v>
      </c>
      <c r="Q91" s="445">
        <v>27702357597.52573</v>
      </c>
      <c r="R91" s="447">
        <v>1.0002901153939976</v>
      </c>
      <c r="S91" s="446"/>
      <c r="T91" s="445">
        <v>0</v>
      </c>
      <c r="U91" s="445">
        <v>26776003082.725342</v>
      </c>
      <c r="V91" s="447">
        <v>1.000300698902933</v>
      </c>
      <c r="W91" s="446"/>
      <c r="X91" s="445">
        <v>0</v>
      </c>
      <c r="Y91" s="445">
        <v>21692204062.051746</v>
      </c>
      <c r="Z91" s="447">
        <v>1.0002914272760313</v>
      </c>
      <c r="AA91" s="446"/>
    </row>
    <row r="92" spans="1:27" s="443" customFormat="1" ht="12" customHeight="1">
      <c r="B92" s="444">
        <v>45579</v>
      </c>
      <c r="C92" s="446"/>
      <c r="D92" s="445">
        <v>0</v>
      </c>
      <c r="E92" s="445">
        <v>53265643411.486336</v>
      </c>
      <c r="F92" s="447">
        <v>1.0011225447398759</v>
      </c>
      <c r="G92" s="446"/>
      <c r="H92" s="445">
        <v>0</v>
      </c>
      <c r="I92" s="445">
        <v>51039287122.56852</v>
      </c>
      <c r="J92" s="447">
        <v>1.0009534439363112</v>
      </c>
      <c r="K92" s="446"/>
      <c r="L92" s="445">
        <v>0</v>
      </c>
      <c r="M92" s="445">
        <v>32214474818.395329</v>
      </c>
      <c r="N92" s="447">
        <v>1.0011494695760876</v>
      </c>
      <c r="O92" s="446"/>
      <c r="P92" s="445">
        <v>0</v>
      </c>
      <c r="Q92" s="445">
        <v>27737432539.651318</v>
      </c>
      <c r="R92" s="447">
        <v>1.0012661356349224</v>
      </c>
      <c r="S92" s="446"/>
      <c r="T92" s="445">
        <v>0</v>
      </c>
      <c r="U92" s="445">
        <v>26801448930.629742</v>
      </c>
      <c r="V92" s="447">
        <v>1.000950322862818</v>
      </c>
      <c r="W92" s="446"/>
      <c r="X92" s="445">
        <v>0</v>
      </c>
      <c r="Y92" s="445">
        <v>21717823119.504608</v>
      </c>
      <c r="Z92" s="447">
        <v>1.0011810260211262</v>
      </c>
      <c r="AA92" s="446"/>
    </row>
    <row r="93" spans="1:27" s="443" customFormat="1" ht="12" customHeight="1">
      <c r="B93" s="444">
        <v>45580</v>
      </c>
      <c r="C93" s="446"/>
      <c r="D93" s="445">
        <v>0</v>
      </c>
      <c r="E93" s="445">
        <v>53275456186.454765</v>
      </c>
      <c r="F93" s="447">
        <v>1.0001842233443539</v>
      </c>
      <c r="G93" s="446"/>
      <c r="H93" s="445">
        <v>0</v>
      </c>
      <c r="I93" s="445">
        <v>51049942047.171249</v>
      </c>
      <c r="J93" s="447">
        <v>1.0002087592755193</v>
      </c>
      <c r="K93" s="446"/>
      <c r="L93" s="445">
        <v>0</v>
      </c>
      <c r="M93" s="445">
        <v>32220747085.188553</v>
      </c>
      <c r="N93" s="447">
        <v>1.0001947033694816</v>
      </c>
      <c r="O93" s="446"/>
      <c r="P93" s="445">
        <v>0</v>
      </c>
      <c r="Q93" s="445">
        <v>27743146500.156124</v>
      </c>
      <c r="R93" s="447">
        <v>1.0002060017810459</v>
      </c>
      <c r="S93" s="446"/>
      <c r="T93" s="445">
        <v>0</v>
      </c>
      <c r="U93" s="445">
        <v>26806974528.261139</v>
      </c>
      <c r="V93" s="447">
        <v>1.0002061678697185</v>
      </c>
      <c r="W93" s="446"/>
      <c r="X93" s="445">
        <v>0</v>
      </c>
      <c r="Y93" s="445">
        <v>21721542953.958328</v>
      </c>
      <c r="Z93" s="447">
        <v>1.000171280262909</v>
      </c>
      <c r="AA93" s="446"/>
    </row>
    <row r="94" spans="1:27" s="443" customFormat="1" ht="12" customHeight="1">
      <c r="B94" s="444">
        <v>45581</v>
      </c>
      <c r="C94" s="446"/>
      <c r="D94" s="445">
        <v>0</v>
      </c>
      <c r="E94" s="445">
        <v>53063854720.28318</v>
      </c>
      <c r="F94" s="447">
        <v>1</v>
      </c>
      <c r="G94" s="446"/>
      <c r="H94" s="445">
        <v>0</v>
      </c>
      <c r="I94" s="445">
        <v>50878677654.653931</v>
      </c>
      <c r="J94" s="447">
        <v>1</v>
      </c>
      <c r="K94" s="446"/>
      <c r="L94" s="445">
        <v>0</v>
      </c>
      <c r="M94" s="445">
        <v>32086335366.511784</v>
      </c>
      <c r="N94" s="447">
        <v>1</v>
      </c>
      <c r="O94" s="446"/>
      <c r="P94" s="445">
        <v>0</v>
      </c>
      <c r="Q94" s="445">
        <v>27620743819.093948</v>
      </c>
      <c r="R94" s="447">
        <v>1</v>
      </c>
      <c r="S94" s="446"/>
      <c r="T94" s="445">
        <v>0</v>
      </c>
      <c r="U94" s="445">
        <v>26721097741.574474</v>
      </c>
      <c r="V94" s="447">
        <v>1</v>
      </c>
      <c r="W94" s="446"/>
      <c r="X94" s="445">
        <v>0</v>
      </c>
      <c r="Y94" s="445">
        <v>21636359803.389339</v>
      </c>
      <c r="Z94" s="447">
        <v>1</v>
      </c>
      <c r="AA94" s="446"/>
    </row>
    <row r="95" spans="1:27" s="443" customFormat="1" ht="12" customHeight="1">
      <c r="B95" s="444">
        <v>45582</v>
      </c>
      <c r="C95" s="446"/>
      <c r="D95" s="445">
        <v>0</v>
      </c>
      <c r="E95" s="445">
        <v>52982810193.551575</v>
      </c>
      <c r="F95" s="447">
        <v>1</v>
      </c>
      <c r="G95" s="446"/>
      <c r="H95" s="445">
        <v>0</v>
      </c>
      <c r="I95" s="445">
        <v>50806602309.971344</v>
      </c>
      <c r="J95" s="447">
        <v>1</v>
      </c>
      <c r="K95" s="446"/>
      <c r="L95" s="445">
        <v>0</v>
      </c>
      <c r="M95" s="445">
        <v>32034724853.056995</v>
      </c>
      <c r="N95" s="447">
        <v>1</v>
      </c>
      <c r="O95" s="446"/>
      <c r="P95" s="445">
        <v>0</v>
      </c>
      <c r="Q95" s="445">
        <v>27582036381.624344</v>
      </c>
      <c r="R95" s="447">
        <v>1</v>
      </c>
      <c r="S95" s="446"/>
      <c r="T95" s="445">
        <v>0</v>
      </c>
      <c r="U95" s="445">
        <v>26687124482.296585</v>
      </c>
      <c r="V95" s="447">
        <v>1</v>
      </c>
      <c r="W95" s="446"/>
      <c r="X95" s="445">
        <v>0</v>
      </c>
      <c r="Y95" s="445">
        <v>21605709260.925346</v>
      </c>
      <c r="Z95" s="447">
        <v>1</v>
      </c>
      <c r="AA95" s="446"/>
    </row>
    <row r="96" spans="1:27" s="443" customFormat="1" ht="12" customHeight="1">
      <c r="B96" s="444">
        <v>45583</v>
      </c>
      <c r="C96" s="446"/>
      <c r="D96" s="445">
        <v>0</v>
      </c>
      <c r="E96" s="445">
        <v>52994372827.460007</v>
      </c>
      <c r="F96" s="447">
        <v>0.99992074314955526</v>
      </c>
      <c r="G96" s="446"/>
      <c r="H96" s="445">
        <v>0</v>
      </c>
      <c r="I96" s="445">
        <v>50787531587.355621</v>
      </c>
      <c r="J96" s="447">
        <v>0.99932783882194443</v>
      </c>
      <c r="K96" s="446"/>
      <c r="L96" s="445">
        <v>0</v>
      </c>
      <c r="M96" s="445">
        <v>32041884961.728218</v>
      </c>
      <c r="N96" s="447">
        <v>0.99993261619158447</v>
      </c>
      <c r="O96" s="446"/>
      <c r="P96" s="445">
        <v>0</v>
      </c>
      <c r="Q96" s="445">
        <v>27605253123.615147</v>
      </c>
      <c r="R96" s="447">
        <v>1.0005496153852396</v>
      </c>
      <c r="S96" s="446"/>
      <c r="T96" s="445">
        <v>0</v>
      </c>
      <c r="U96" s="445">
        <v>26688203782.550819</v>
      </c>
      <c r="V96" s="447">
        <v>0.99973735441098099</v>
      </c>
      <c r="W96" s="446"/>
      <c r="X96" s="445">
        <v>0</v>
      </c>
      <c r="Y96" s="445">
        <v>21618339419.465355</v>
      </c>
      <c r="Z96" s="447">
        <v>1.0002913897091361</v>
      </c>
      <c r="AA96" s="446"/>
    </row>
    <row r="97" spans="2:27" s="443" customFormat="1" ht="12" customHeight="1">
      <c r="B97" s="444">
        <v>45584</v>
      </c>
      <c r="C97" s="446"/>
      <c r="D97" s="445">
        <v>0</v>
      </c>
      <c r="E97" s="445">
        <v>53010128931.84922</v>
      </c>
      <c r="F97" s="447">
        <v>1.0002973165554863</v>
      </c>
      <c r="G97" s="446"/>
      <c r="H97" s="445">
        <v>0</v>
      </c>
      <c r="I97" s="445">
        <v>50802655942.205612</v>
      </c>
      <c r="J97" s="447">
        <v>1.0002977966122251</v>
      </c>
      <c r="K97" s="446"/>
      <c r="L97" s="445">
        <v>0</v>
      </c>
      <c r="M97" s="445">
        <v>32051202220.55545</v>
      </c>
      <c r="N97" s="447">
        <v>1.0002907837300572</v>
      </c>
      <c r="O97" s="446"/>
      <c r="P97" s="445">
        <v>0</v>
      </c>
      <c r="Q97" s="445">
        <v>27613297006.879639</v>
      </c>
      <c r="R97" s="447">
        <v>1.0002913895854704</v>
      </c>
      <c r="S97" s="446"/>
      <c r="T97" s="445">
        <v>0</v>
      </c>
      <c r="U97" s="445">
        <v>26696296218.11554</v>
      </c>
      <c r="V97" s="447">
        <v>1.0003032214393541</v>
      </c>
      <c r="W97" s="446"/>
      <c r="X97" s="445">
        <v>0</v>
      </c>
      <c r="Y97" s="445">
        <v>21624672051.404362</v>
      </c>
      <c r="Z97" s="447">
        <v>1.0002929286942968</v>
      </c>
      <c r="AA97" s="446"/>
    </row>
    <row r="98" spans="2:27" s="443" customFormat="1" ht="12" customHeight="1">
      <c r="B98" s="444">
        <v>45585</v>
      </c>
      <c r="C98" s="446"/>
      <c r="D98" s="445">
        <v>0</v>
      </c>
      <c r="E98" s="445">
        <v>53025885036.238441</v>
      </c>
      <c r="F98" s="447">
        <v>1.0002972281846263</v>
      </c>
      <c r="G98" s="446"/>
      <c r="H98" s="445">
        <v>0</v>
      </c>
      <c r="I98" s="445">
        <v>50817780297.055618</v>
      </c>
      <c r="J98" s="447">
        <v>1.0002977079558049</v>
      </c>
      <c r="K98" s="446"/>
      <c r="L98" s="445">
        <v>0</v>
      </c>
      <c r="M98" s="445">
        <v>32060519479.382664</v>
      </c>
      <c r="N98" s="447">
        <v>1.0002906991994589</v>
      </c>
      <c r="O98" s="446"/>
      <c r="P98" s="445">
        <v>0</v>
      </c>
      <c r="Q98" s="445">
        <v>27621340890.144115</v>
      </c>
      <c r="R98" s="447">
        <v>1.0002913047023132</v>
      </c>
      <c r="S98" s="446"/>
      <c r="T98" s="445">
        <v>0</v>
      </c>
      <c r="U98" s="445">
        <v>26704388653.68026</v>
      </c>
      <c r="V98" s="447">
        <v>1.0003031295239835</v>
      </c>
      <c r="W98" s="446"/>
      <c r="X98" s="445">
        <v>0</v>
      </c>
      <c r="Y98" s="445">
        <v>21631004683.343372</v>
      </c>
      <c r="Z98" s="447">
        <v>1.0002928429122049</v>
      </c>
      <c r="AA98" s="446"/>
    </row>
    <row r="99" spans="2:27" s="443" customFormat="1" ht="12" customHeight="1">
      <c r="B99" s="444">
        <v>45586</v>
      </c>
      <c r="C99" s="446"/>
      <c r="D99" s="445">
        <v>0</v>
      </c>
      <c r="E99" s="445">
        <v>53076844640.62767</v>
      </c>
      <c r="F99" s="447">
        <v>1.0006636955275698</v>
      </c>
      <c r="G99" s="446"/>
      <c r="H99" s="445">
        <v>0</v>
      </c>
      <c r="I99" s="445">
        <v>50856096806.446205</v>
      </c>
      <c r="J99" s="447">
        <v>1.0004562429532486</v>
      </c>
      <c r="K99" s="446"/>
      <c r="L99" s="445">
        <v>0</v>
      </c>
      <c r="M99" s="445">
        <v>32091823318.985893</v>
      </c>
      <c r="N99" s="447">
        <v>1.0006855844311113</v>
      </c>
      <c r="O99" s="446"/>
      <c r="P99" s="445">
        <v>0</v>
      </c>
      <c r="Q99" s="445">
        <v>27652724497.971592</v>
      </c>
      <c r="R99" s="447">
        <v>1.0008447428255971</v>
      </c>
      <c r="S99" s="446"/>
      <c r="T99" s="445">
        <v>0</v>
      </c>
      <c r="U99" s="445">
        <v>26727105189.988396</v>
      </c>
      <c r="V99" s="447">
        <v>1.0005474632137146</v>
      </c>
      <c r="W99" s="446"/>
      <c r="X99" s="445">
        <v>0</v>
      </c>
      <c r="Y99" s="445">
        <v>21654435305.087379</v>
      </c>
      <c r="Z99" s="447">
        <v>1.0007902076653823</v>
      </c>
      <c r="AA99" s="446"/>
    </row>
    <row r="100" spans="2:27" s="443" customFormat="1" ht="12" customHeight="1">
      <c r="B100" s="444">
        <v>45587</v>
      </c>
      <c r="C100" s="446"/>
      <c r="D100" s="445">
        <v>0</v>
      </c>
      <c r="E100" s="445">
        <v>53157444721.840218</v>
      </c>
      <c r="F100" s="447">
        <v>1</v>
      </c>
      <c r="G100" s="446"/>
      <c r="H100" s="445">
        <v>0</v>
      </c>
      <c r="I100" s="445">
        <v>50929864452.118515</v>
      </c>
      <c r="J100" s="447">
        <v>1</v>
      </c>
      <c r="K100" s="446"/>
      <c r="L100" s="445">
        <v>0</v>
      </c>
      <c r="M100" s="445">
        <v>32142937148.459114</v>
      </c>
      <c r="N100" s="447">
        <v>1</v>
      </c>
      <c r="O100" s="446"/>
      <c r="P100" s="445">
        <v>0</v>
      </c>
      <c r="Q100" s="445">
        <v>27696967393.176418</v>
      </c>
      <c r="R100" s="447">
        <v>1</v>
      </c>
      <c r="S100" s="446"/>
      <c r="T100" s="445">
        <v>0</v>
      </c>
      <c r="U100" s="445">
        <v>26763312707.237785</v>
      </c>
      <c r="V100" s="447">
        <v>1.2538467144642531</v>
      </c>
      <c r="W100" s="446"/>
      <c r="X100" s="445">
        <v>0</v>
      </c>
      <c r="Y100" s="445">
        <v>21685029613.90839</v>
      </c>
      <c r="Z100" s="447">
        <v>1.0297974002999117</v>
      </c>
      <c r="AA100" s="446"/>
    </row>
    <row r="101" spans="2:27" s="443" customFormat="1" ht="12" customHeight="1">
      <c r="B101" s="444">
        <v>45588</v>
      </c>
      <c r="C101" s="446"/>
      <c r="D101" s="445">
        <v>0</v>
      </c>
      <c r="E101" s="445">
        <v>53065440842.732773</v>
      </c>
      <c r="F101" s="447">
        <v>1.037056021277051</v>
      </c>
      <c r="G101" s="446"/>
      <c r="H101" s="445">
        <v>0</v>
      </c>
      <c r="I101" s="445">
        <v>50867846588.353912</v>
      </c>
      <c r="J101" s="447">
        <v>0.99848654389608571</v>
      </c>
      <c r="K101" s="446"/>
      <c r="L101" s="445">
        <v>0</v>
      </c>
      <c r="M101" s="445">
        <v>32084363703.400333</v>
      </c>
      <c r="N101" s="447">
        <v>1.0392288892018562</v>
      </c>
      <c r="O101" s="446"/>
      <c r="P101" s="445">
        <v>0</v>
      </c>
      <c r="Q101" s="445">
        <v>27637307792.823246</v>
      </c>
      <c r="R101" s="447">
        <v>1.0300904891270468</v>
      </c>
      <c r="S101" s="446"/>
      <c r="T101" s="445">
        <v>0</v>
      </c>
      <c r="U101" s="445">
        <v>26727345861.329414</v>
      </c>
      <c r="V101" s="447">
        <v>1.2518534023742161</v>
      </c>
      <c r="W101" s="446"/>
      <c r="X101" s="445">
        <v>0</v>
      </c>
      <c r="Y101" s="445">
        <v>21644617360.081112</v>
      </c>
      <c r="Z101" s="447">
        <v>1.1881890808395199</v>
      </c>
      <c r="AA101" s="446"/>
    </row>
    <row r="102" spans="2:27" s="443" customFormat="1" ht="12" customHeight="1">
      <c r="B102" s="444">
        <v>45589</v>
      </c>
      <c r="C102" s="446"/>
      <c r="D102" s="445">
        <v>0</v>
      </c>
      <c r="E102" s="445">
        <v>53220628560.445335</v>
      </c>
      <c r="F102" s="447">
        <v>1.0029244592195603</v>
      </c>
      <c r="G102" s="446"/>
      <c r="H102" s="445">
        <v>0</v>
      </c>
      <c r="I102" s="445">
        <v>50985768045.92099</v>
      </c>
      <c r="J102" s="447">
        <v>1.0023181924432805</v>
      </c>
      <c r="K102" s="446"/>
      <c r="L102" s="445">
        <v>0</v>
      </c>
      <c r="M102" s="445">
        <v>32181701828.607552</v>
      </c>
      <c r="N102" s="447">
        <v>1.0030338181584977</v>
      </c>
      <c r="O102" s="446"/>
      <c r="P102" s="445">
        <v>0</v>
      </c>
      <c r="Q102" s="445">
        <v>27731789254.04533</v>
      </c>
      <c r="R102" s="447">
        <v>1.0034186202914677</v>
      </c>
      <c r="S102" s="446"/>
      <c r="T102" s="445">
        <v>0</v>
      </c>
      <c r="U102" s="445">
        <v>26792047713.316586</v>
      </c>
      <c r="V102" s="447">
        <v>1.0024208109672716</v>
      </c>
      <c r="W102" s="446"/>
      <c r="X102" s="445">
        <v>0</v>
      </c>
      <c r="Y102" s="445">
        <v>21711464076.456696</v>
      </c>
      <c r="Z102" s="447">
        <v>0.97998658066262101</v>
      </c>
      <c r="AA102" s="446"/>
    </row>
    <row r="103" spans="2:27" s="443" customFormat="1" ht="12" customHeight="1">
      <c r="B103" s="444">
        <v>45590</v>
      </c>
      <c r="C103" s="446"/>
      <c r="D103" s="445">
        <v>0</v>
      </c>
      <c r="E103" s="445">
        <v>53236394325.050392</v>
      </c>
      <c r="F103" s="447">
        <v>1.0002962340925221</v>
      </c>
      <c r="G103" s="446"/>
      <c r="H103" s="445">
        <v>0</v>
      </c>
      <c r="I103" s="445">
        <v>51000868995.515984</v>
      </c>
      <c r="J103" s="447">
        <v>1.0002961797021748</v>
      </c>
      <c r="K103" s="446"/>
      <c r="L103" s="445">
        <v>0</v>
      </c>
      <c r="M103" s="445">
        <v>32191018952.66478</v>
      </c>
      <c r="N103" s="447">
        <v>1.000289516201065</v>
      </c>
      <c r="O103" s="446"/>
      <c r="P103" s="445">
        <v>0</v>
      </c>
      <c r="Q103" s="445">
        <v>27739838007.561012</v>
      </c>
      <c r="R103" s="447">
        <v>1.0002902356368697</v>
      </c>
      <c r="S103" s="446"/>
      <c r="T103" s="445">
        <v>0</v>
      </c>
      <c r="U103" s="445">
        <v>26800150466.683811</v>
      </c>
      <c r="V103" s="447">
        <v>1.0003024312831152</v>
      </c>
      <c r="W103" s="446"/>
      <c r="X103" s="445">
        <v>0</v>
      </c>
      <c r="Y103" s="445">
        <v>21717611439.094269</v>
      </c>
      <c r="Z103" s="447">
        <v>1.000289813620159</v>
      </c>
      <c r="AA103" s="446"/>
    </row>
    <row r="104" spans="2:27" s="443" customFormat="1" ht="12" customHeight="1">
      <c r="B104" s="444">
        <v>45591</v>
      </c>
      <c r="C104" s="446"/>
      <c r="D104" s="445">
        <v>0</v>
      </c>
      <c r="E104" s="445">
        <v>53252160089.655441</v>
      </c>
      <c r="F104" s="447">
        <v>1.0002961463638727</v>
      </c>
      <c r="G104" s="446"/>
      <c r="H104" s="445">
        <v>0</v>
      </c>
      <c r="I104" s="445">
        <v>51015969945.110992</v>
      </c>
      <c r="J104" s="447">
        <v>1.0002960920057331</v>
      </c>
      <c r="K104" s="446"/>
      <c r="L104" s="445">
        <v>0</v>
      </c>
      <c r="M104" s="445">
        <v>32200336076.721996</v>
      </c>
      <c r="N104" s="447">
        <v>1.0002894324056941</v>
      </c>
      <c r="O104" s="446"/>
      <c r="P104" s="445">
        <v>0</v>
      </c>
      <c r="Q104" s="445">
        <v>27747886761.076694</v>
      </c>
      <c r="R104" s="447">
        <v>1.0002901514245861</v>
      </c>
      <c r="S104" s="446"/>
      <c r="T104" s="445">
        <v>0</v>
      </c>
      <c r="U104" s="445">
        <v>26808253220.051033</v>
      </c>
      <c r="V104" s="447">
        <v>1.0003023398460875</v>
      </c>
      <c r="W104" s="446"/>
      <c r="X104" s="445">
        <v>0</v>
      </c>
      <c r="Y104" s="445">
        <v>21723758801.73185</v>
      </c>
      <c r="Z104" s="447">
        <v>1.0002897296525599</v>
      </c>
      <c r="AA104" s="446"/>
    </row>
    <row r="105" spans="2:27" s="443" customFormat="1" ht="12" customHeight="1">
      <c r="B105" s="444">
        <v>45592</v>
      </c>
      <c r="C105" s="446"/>
      <c r="D105" s="445">
        <v>0</v>
      </c>
      <c r="E105" s="445">
        <v>53267925854.260506</v>
      </c>
      <c r="F105" s="447">
        <v>1.0002960586871692</v>
      </c>
      <c r="G105" s="446"/>
      <c r="H105" s="445">
        <v>0</v>
      </c>
      <c r="I105" s="445">
        <v>51031070894.705978</v>
      </c>
      <c r="J105" s="447">
        <v>1.0002960043612075</v>
      </c>
      <c r="K105" s="446"/>
      <c r="L105" s="445">
        <v>0</v>
      </c>
      <c r="M105" s="445">
        <v>32209653200.779217</v>
      </c>
      <c r="N105" s="447">
        <v>1.0002893486588158</v>
      </c>
      <c r="O105" s="446"/>
      <c r="P105" s="445">
        <v>0</v>
      </c>
      <c r="Q105" s="445">
        <v>27755935514.592361</v>
      </c>
      <c r="R105" s="447">
        <v>1.0002900672611565</v>
      </c>
      <c r="S105" s="446"/>
      <c r="T105" s="445">
        <v>0</v>
      </c>
      <c r="U105" s="445">
        <v>26816355973.418255</v>
      </c>
      <c r="V105" s="447">
        <v>1.0003022484643334</v>
      </c>
      <c r="W105" s="446"/>
      <c r="X105" s="445">
        <v>0</v>
      </c>
      <c r="Y105" s="445">
        <f ca="1">Report!$E$85</f>
        <v>22424813508.497272</v>
      </c>
      <c r="Z105" s="447">
        <v>1.0002896457336021</v>
      </c>
      <c r="AA105" s="446"/>
    </row>
    <row r="106" spans="2:27" s="443" customFormat="1" ht="12" customHeight="1">
      <c r="B106" s="444">
        <v>45593</v>
      </c>
      <c r="C106" s="446"/>
      <c r="D106" s="445">
        <v>0</v>
      </c>
      <c r="E106" s="445">
        <v>53411259868.865547</v>
      </c>
      <c r="F106" s="447">
        <v>1.0026908127603316</v>
      </c>
      <c r="G106" s="446"/>
      <c r="H106" s="445">
        <v>0</v>
      </c>
      <c r="I106" s="445">
        <v>51149846472.697227</v>
      </c>
      <c r="J106" s="447">
        <v>1.0023275149023685</v>
      </c>
      <c r="K106" s="446"/>
      <c r="L106" s="445">
        <v>0</v>
      </c>
      <c r="M106" s="445">
        <v>32299209232.072445</v>
      </c>
      <c r="N106" s="447">
        <v>1.0027804096720625</v>
      </c>
      <c r="O106" s="446"/>
      <c r="P106" s="445">
        <v>0</v>
      </c>
      <c r="Q106" s="445">
        <v>27838315753.552044</v>
      </c>
      <c r="R106" s="447">
        <v>1.0029680224223165</v>
      </c>
      <c r="S106" s="446"/>
      <c r="T106" s="445">
        <v>0</v>
      </c>
      <c r="U106" s="445">
        <v>26878002984.277283</v>
      </c>
      <c r="V106" s="447">
        <v>1.002298858611518</v>
      </c>
      <c r="W106" s="446"/>
      <c r="X106" s="445">
        <v>0</v>
      </c>
      <c r="Y106" s="445">
        <v>21788635603.89901</v>
      </c>
      <c r="Z106" s="447">
        <v>1</v>
      </c>
      <c r="AA106" s="446"/>
    </row>
    <row r="107" spans="2:27" s="443" customFormat="1" ht="12" customHeight="1">
      <c r="B107" s="444">
        <v>45594</v>
      </c>
      <c r="C107" s="446"/>
      <c r="D107" s="445">
        <v>0</v>
      </c>
      <c r="E107" s="445">
        <f ca="1">Report!$E$14</f>
        <v>54556648196.137566</v>
      </c>
      <c r="F107" s="447">
        <v>1.0037226331766695</v>
      </c>
      <c r="G107" s="446"/>
      <c r="H107" s="445">
        <v>0</v>
      </c>
      <c r="I107" s="445">
        <v>51314068667.898117</v>
      </c>
      <c r="J107" s="447">
        <v>1.0032106097383606</v>
      </c>
      <c r="K107" s="446"/>
      <c r="L107" s="445">
        <v>0</v>
      </c>
      <c r="M107" s="445">
        <v>32426090199.053661</v>
      </c>
      <c r="N107" s="447">
        <v>1.0039282994846581</v>
      </c>
      <c r="O107" s="446"/>
      <c r="P107" s="445">
        <v>0</v>
      </c>
      <c r="Q107" s="445">
        <v>27956146434.20871</v>
      </c>
      <c r="R107" s="447">
        <v>1.0042326799401158</v>
      </c>
      <c r="S107" s="446"/>
      <c r="T107" s="445">
        <v>0</v>
      </c>
      <c r="U107" s="445">
        <v>26964555030.131344</v>
      </c>
      <c r="V107" s="447">
        <v>1.003220181421391</v>
      </c>
      <c r="W107" s="446"/>
      <c r="X107" s="445">
        <v>0</v>
      </c>
      <c r="Y107" s="445">
        <v>21870002800.759586</v>
      </c>
      <c r="Z107" s="447">
        <v>1.0037343869684991</v>
      </c>
      <c r="AA107" s="446"/>
    </row>
    <row r="108" spans="2:27" s="443" customFormat="1" ht="12" customHeight="1">
      <c r="B108" s="444">
        <v>45595</v>
      </c>
      <c r="C108" s="446"/>
      <c r="D108" s="445">
        <v>0</v>
      </c>
      <c r="E108" s="445">
        <v>53621271469.920959</v>
      </c>
      <c r="F108" s="447">
        <v>1</v>
      </c>
      <c r="G108" s="446"/>
      <c r="H108" s="445">
        <v>0</v>
      </c>
      <c r="I108" s="445">
        <v>51324011602.938225</v>
      </c>
      <c r="J108" s="447">
        <v>1.000193766257446</v>
      </c>
      <c r="K108" s="446"/>
      <c r="L108" s="445">
        <v>0</v>
      </c>
      <c r="M108" s="445">
        <v>32431545491.920891</v>
      </c>
      <c r="N108" s="447">
        <v>1.0001682377626702</v>
      </c>
      <c r="O108" s="446"/>
      <c r="P108" s="445">
        <v>0</v>
      </c>
      <c r="Q108" s="445">
        <v>27960850754.568375</v>
      </c>
      <c r="R108" s="447">
        <v>1.0001682749935059</v>
      </c>
      <c r="S108" s="446"/>
      <c r="T108" s="445">
        <v>0</v>
      </c>
      <c r="U108" s="445">
        <v>26970558347.644073</v>
      </c>
      <c r="V108" s="447">
        <v>1.0002226373662024</v>
      </c>
      <c r="W108" s="446"/>
      <c r="X108" s="445">
        <v>0</v>
      </c>
      <c r="Y108" s="445">
        <v>21874832213.005169</v>
      </c>
      <c r="Z108" s="447">
        <v>1.0002208235769139</v>
      </c>
      <c r="AA108" s="446"/>
    </row>
    <row r="109" spans="2:27" s="443" customFormat="1" ht="12" customHeight="1">
      <c r="B109" s="444">
        <v>45596</v>
      </c>
      <c r="C109" s="446"/>
      <c r="D109" s="445">
        <v>0</v>
      </c>
      <c r="E109" s="445">
        <v>53760487277.178108</v>
      </c>
      <c r="F109" s="447">
        <v>1.0030096602119492</v>
      </c>
      <c r="G109" s="446"/>
      <c r="H109" s="445">
        <v>0</v>
      </c>
      <c r="I109" s="445">
        <v>51438018117.256966</v>
      </c>
      <c r="J109" s="447">
        <v>1.0028691349276819</v>
      </c>
      <c r="K109" s="446"/>
      <c r="L109" s="445">
        <v>0</v>
      </c>
      <c r="M109" s="445">
        <v>32518585674.236889</v>
      </c>
      <c r="N109" s="447">
        <v>1.0034014562254974</v>
      </c>
      <c r="O109" s="446"/>
      <c r="P109" s="445">
        <v>0</v>
      </c>
      <c r="Q109" s="445">
        <v>28041895258.588669</v>
      </c>
      <c r="R109" s="447">
        <v>1.0035723377981971</v>
      </c>
      <c r="S109" s="446"/>
      <c r="T109" s="445">
        <v>0</v>
      </c>
      <c r="U109" s="445">
        <v>27029761432.123161</v>
      </c>
      <c r="V109" s="447">
        <v>1.0026028387323773</v>
      </c>
      <c r="W109" s="446"/>
      <c r="X109" s="445">
        <v>0</v>
      </c>
      <c r="Y109" s="445">
        <v>21931628150.556171</v>
      </c>
      <c r="Z109" s="447">
        <v>1.0025964056317302</v>
      </c>
      <c r="AA109" s="446"/>
    </row>
    <row r="110" spans="2:27" s="443" customFormat="1" ht="12" customHeight="1">
      <c r="B110" s="444">
        <v>45597</v>
      </c>
      <c r="C110" s="446"/>
      <c r="D110" s="445">
        <v>0</v>
      </c>
      <c r="E110" s="445">
        <v>54131533795.580788</v>
      </c>
      <c r="F110" s="447">
        <v>1</v>
      </c>
      <c r="G110" s="446"/>
      <c r="H110" s="445">
        <v>0</v>
      </c>
      <c r="I110" s="445">
        <v>51774849626.782852</v>
      </c>
      <c r="J110" s="447">
        <v>1</v>
      </c>
      <c r="K110" s="446"/>
      <c r="L110" s="445">
        <v>0</v>
      </c>
      <c r="M110" s="445">
        <v>32755075815.622112</v>
      </c>
      <c r="N110" s="447">
        <v>1</v>
      </c>
      <c r="O110" s="446"/>
      <c r="P110" s="445">
        <v>0</v>
      </c>
      <c r="Q110" s="445">
        <v>28243922644.851921</v>
      </c>
      <c r="R110" s="447">
        <v>1</v>
      </c>
      <c r="S110" s="446"/>
      <c r="T110" s="445">
        <v>0</v>
      </c>
      <c r="U110" s="445">
        <v>27187889280.707268</v>
      </c>
      <c r="V110" s="447">
        <v>1</v>
      </c>
      <c r="W110" s="446"/>
      <c r="X110" s="445">
        <v>0</v>
      </c>
      <c r="Y110" s="445">
        <v>22073341950.163891</v>
      </c>
      <c r="Z110" s="447">
        <v>1.006461617834977</v>
      </c>
      <c r="AA110" s="446"/>
    </row>
    <row r="111" spans="2:27" s="443" customFormat="1" ht="12" customHeight="1">
      <c r="B111" s="444">
        <v>45598</v>
      </c>
      <c r="C111" s="446"/>
      <c r="D111" s="445">
        <v>0</v>
      </c>
      <c r="E111" s="445">
        <v>54147302142.513481</v>
      </c>
      <c r="F111" s="447">
        <v>1.0000137432902039</v>
      </c>
      <c r="G111" s="446"/>
      <c r="H111" s="445">
        <v>0</v>
      </c>
      <c r="I111" s="445">
        <v>51789974716.719994</v>
      </c>
      <c r="J111" s="447">
        <v>1</v>
      </c>
      <c r="K111" s="446"/>
      <c r="L111" s="445">
        <v>0</v>
      </c>
      <c r="M111" s="445">
        <v>32764386344.892666</v>
      </c>
      <c r="N111" s="447">
        <v>1.0000145622617866</v>
      </c>
      <c r="O111" s="446"/>
      <c r="P111" s="445">
        <v>0</v>
      </c>
      <c r="Q111" s="445">
        <v>28251969725.839504</v>
      </c>
      <c r="R111" s="447">
        <v>1.0000067180366621</v>
      </c>
      <c r="S111" s="446"/>
      <c r="T111" s="445">
        <v>0</v>
      </c>
      <c r="U111" s="445">
        <v>27196002243.211994</v>
      </c>
      <c r="V111" s="447">
        <v>1.0000741977575673</v>
      </c>
      <c r="W111" s="446"/>
      <c r="X111" s="445">
        <v>0</v>
      </c>
      <c r="Y111" s="445">
        <v>22079492435.208611</v>
      </c>
      <c r="Z111" s="447">
        <v>1</v>
      </c>
      <c r="AA111" s="446"/>
    </row>
    <row r="112" spans="2:27" s="443" customFormat="1" ht="12" customHeight="1">
      <c r="B112" s="444">
        <v>45599</v>
      </c>
      <c r="C112" s="446"/>
      <c r="D112" s="445">
        <v>0</v>
      </c>
      <c r="E112" s="445">
        <v>54163070489.44619</v>
      </c>
      <c r="F112" s="447">
        <v>1.0002912120513632</v>
      </c>
      <c r="G112" s="446"/>
      <c r="H112" s="445">
        <v>0</v>
      </c>
      <c r="I112" s="445">
        <v>51805099806.657135</v>
      </c>
      <c r="J112" s="447">
        <v>1.0002920466754401</v>
      </c>
      <c r="K112" s="446"/>
      <c r="L112" s="445">
        <v>0</v>
      </c>
      <c r="M112" s="445">
        <v>32773696874.163219</v>
      </c>
      <c r="N112" s="447">
        <v>1.0002841661422419</v>
      </c>
      <c r="O112" s="446"/>
      <c r="P112" s="445">
        <v>0</v>
      </c>
      <c r="Q112" s="445">
        <v>28260016806.82708</v>
      </c>
      <c r="R112" s="447">
        <v>1.0002848325644429</v>
      </c>
      <c r="S112" s="446"/>
      <c r="T112" s="445">
        <v>0</v>
      </c>
      <c r="U112" s="445">
        <v>27204115205.716713</v>
      </c>
      <c r="V112" s="447">
        <v>1.0002983145255013</v>
      </c>
      <c r="W112" s="446"/>
      <c r="X112" s="445">
        <v>0</v>
      </c>
      <c r="Y112" s="445">
        <v>22085642920.253338</v>
      </c>
      <c r="Z112" s="447">
        <v>1.0002785609797316</v>
      </c>
      <c r="AA112" s="446"/>
    </row>
    <row r="113" spans="2:27" s="443" customFormat="1" ht="12" customHeight="1">
      <c r="B113" s="444">
        <v>45600</v>
      </c>
      <c r="C113" s="446"/>
      <c r="D113" s="445">
        <v>0</v>
      </c>
      <c r="E113" s="445">
        <v>54187921086.378883</v>
      </c>
      <c r="F113" s="447">
        <v>1.0004588107119505</v>
      </c>
      <c r="G113" s="446"/>
      <c r="H113" s="445">
        <v>0</v>
      </c>
      <c r="I113" s="445">
        <v>51841963660.194748</v>
      </c>
      <c r="J113" s="447">
        <v>1.0007115873470989</v>
      </c>
      <c r="K113" s="446"/>
      <c r="L113" s="445">
        <v>0</v>
      </c>
      <c r="M113" s="445">
        <v>32786049479.887783</v>
      </c>
      <c r="N113" s="447">
        <v>1.0003769060833141</v>
      </c>
      <c r="O113" s="446"/>
      <c r="P113" s="445">
        <v>0</v>
      </c>
      <c r="Q113" s="445">
        <v>28261722152.027664</v>
      </c>
      <c r="R113" s="447">
        <v>1.0000603448048966</v>
      </c>
      <c r="S113" s="446"/>
      <c r="T113" s="445">
        <v>0</v>
      </c>
      <c r="U113" s="445">
        <v>27217399960.65295</v>
      </c>
      <c r="V113" s="447">
        <v>1.0004883362254489</v>
      </c>
      <c r="W113" s="446"/>
      <c r="X113" s="445">
        <v>0</v>
      </c>
      <c r="Y113" s="445">
        <v>22095300557.291058</v>
      </c>
      <c r="Z113" s="447">
        <v>1.0004372812271116</v>
      </c>
      <c r="AA113" s="446"/>
    </row>
    <row r="114" spans="2:27" s="443" customFormat="1" ht="12" customHeight="1">
      <c r="B114" s="444">
        <v>45601</v>
      </c>
      <c r="C114" s="446"/>
      <c r="D114" s="445">
        <v>0</v>
      </c>
      <c r="E114" s="445">
        <v>54174452262.484444</v>
      </c>
      <c r="F114" s="447">
        <v>0.99946229123031116</v>
      </c>
      <c r="G114" s="446"/>
      <c r="H114" s="445">
        <v>0</v>
      </c>
      <c r="I114" s="445">
        <v>51832869432.872322</v>
      </c>
      <c r="J114" s="447">
        <v>0.99953538896260341</v>
      </c>
      <c r="K114" s="446"/>
      <c r="L114" s="445">
        <v>0</v>
      </c>
      <c r="M114" s="445">
        <v>32777424724.186996</v>
      </c>
      <c r="N114" s="447">
        <v>0.99945583047822983</v>
      </c>
      <c r="O114" s="446"/>
      <c r="P114" s="445">
        <v>0</v>
      </c>
      <c r="Q114" s="445">
        <v>28253897973.560913</v>
      </c>
      <c r="R114" s="447">
        <v>0.99944106630888219</v>
      </c>
      <c r="S114" s="446"/>
      <c r="T114" s="445">
        <v>0</v>
      </c>
      <c r="U114" s="445">
        <v>27214158255.238365</v>
      </c>
      <c r="V114" s="447">
        <v>0.99958422807798042</v>
      </c>
      <c r="W114" s="446"/>
      <c r="X114" s="445">
        <v>0</v>
      </c>
      <c r="Y114" s="445">
        <v>22089767278.589775</v>
      </c>
      <c r="Z114" s="447">
        <v>0.99947135761703509</v>
      </c>
      <c r="AA114" s="446"/>
    </row>
    <row r="115" spans="2:27" s="443" customFormat="1" ht="12" customHeight="1">
      <c r="B115" s="444">
        <v>45602</v>
      </c>
      <c r="C115" s="446"/>
      <c r="D115" s="445">
        <v>0</v>
      </c>
      <c r="E115" s="445">
        <v>54079595646.94001</v>
      </c>
      <c r="F115" s="447">
        <v>0.99824905261460073</v>
      </c>
      <c r="G115" s="446"/>
      <c r="H115" s="445">
        <v>0</v>
      </c>
      <c r="I115" s="445">
        <v>51776384129.353508</v>
      </c>
      <c r="J115" s="447">
        <v>0.99886428279484663</v>
      </c>
      <c r="K115" s="446"/>
      <c r="L115" s="445">
        <v>0</v>
      </c>
      <c r="M115" s="445">
        <v>32714352618.956219</v>
      </c>
      <c r="N115" s="447">
        <v>0.99807574555470691</v>
      </c>
      <c r="O115" s="446"/>
      <c r="P115" s="445">
        <v>0</v>
      </c>
      <c r="Q115" s="445">
        <v>28183121011.635143</v>
      </c>
      <c r="R115" s="447">
        <v>0.99749496646473346</v>
      </c>
      <c r="S115" s="446"/>
      <c r="T115" s="445">
        <v>0</v>
      </c>
      <c r="U115" s="445">
        <v>27180526118.480129</v>
      </c>
      <c r="V115" s="447">
        <v>0.9987641676643898</v>
      </c>
      <c r="W115" s="446"/>
      <c r="X115" s="445">
        <v>0</v>
      </c>
      <c r="Y115" s="445">
        <v>22050825151.304501</v>
      </c>
      <c r="Z115" s="447">
        <v>0.99823709653460135</v>
      </c>
      <c r="AA115" s="446"/>
    </row>
    <row r="116" spans="2:27" s="443" customFormat="1" ht="12" customHeight="1">
      <c r="B116" s="444">
        <v>45603</v>
      </c>
      <c r="C116" s="446"/>
      <c r="D116" s="445">
        <v>0</v>
      </c>
      <c r="E116" s="445">
        <v>54097518049.405563</v>
      </c>
      <c r="F116" s="447">
        <v>1</v>
      </c>
      <c r="G116" s="446"/>
      <c r="H116" s="445">
        <v>0</v>
      </c>
      <c r="I116" s="445">
        <v>51793747286.593872</v>
      </c>
      <c r="J116" s="447">
        <v>1</v>
      </c>
      <c r="K116" s="446"/>
      <c r="L116" s="445">
        <v>0</v>
      </c>
      <c r="M116" s="445">
        <v>32725129516.279449</v>
      </c>
      <c r="N116" s="447">
        <v>1.0408406943315731</v>
      </c>
      <c r="O116" s="446"/>
      <c r="P116" s="445">
        <v>0</v>
      </c>
      <c r="Q116" s="445">
        <v>28192431614.966682</v>
      </c>
      <c r="R116" s="447">
        <v>1</v>
      </c>
      <c r="S116" s="446"/>
      <c r="T116" s="445">
        <v>0</v>
      </c>
      <c r="U116" s="445">
        <v>27189702980.396053</v>
      </c>
      <c r="V116" s="447">
        <v>1.2507786189008026</v>
      </c>
      <c r="W116" s="446"/>
      <c r="X116" s="445">
        <v>0</v>
      </c>
      <c r="Y116" s="445">
        <v>22058175181.387653</v>
      </c>
      <c r="Z116" s="447">
        <v>1</v>
      </c>
      <c r="AA116" s="446"/>
    </row>
    <row r="117" spans="2:27" s="443" customFormat="1" ht="12" customHeight="1">
      <c r="B117" s="444">
        <v>45604</v>
      </c>
      <c r="C117" s="446"/>
      <c r="D117" s="445">
        <v>0</v>
      </c>
      <c r="E117" s="445">
        <v>54113280874.451111</v>
      </c>
      <c r="F117" s="447">
        <v>1.0002913779710032</v>
      </c>
      <c r="G117" s="446"/>
      <c r="H117" s="445">
        <v>0</v>
      </c>
      <c r="I117" s="445">
        <v>51808887839.682457</v>
      </c>
      <c r="J117" s="447">
        <v>1.000292323955724</v>
      </c>
      <c r="K117" s="446"/>
      <c r="L117" s="445">
        <v>0</v>
      </c>
      <c r="M117" s="445">
        <v>32734443918.076664</v>
      </c>
      <c r="N117" s="447">
        <v>1.0002846253608433</v>
      </c>
      <c r="O117" s="446"/>
      <c r="P117" s="445">
        <v>0</v>
      </c>
      <c r="Q117" s="445">
        <v>28200478703.821648</v>
      </c>
      <c r="R117" s="447">
        <v>1.0002854343663883</v>
      </c>
      <c r="S117" s="446"/>
      <c r="T117" s="445">
        <v>0</v>
      </c>
      <c r="U117" s="445">
        <v>27197838806.270771</v>
      </c>
      <c r="V117" s="447">
        <v>1.0002992245218929</v>
      </c>
      <c r="W117" s="446"/>
      <c r="X117" s="445">
        <v>0</v>
      </c>
      <c r="Y117" s="445">
        <v>22064335394.053799</v>
      </c>
      <c r="Z117" s="447">
        <v>1.0002792711824748</v>
      </c>
      <c r="AA117" s="446"/>
    </row>
    <row r="118" spans="2:27" s="443" customFormat="1" ht="12" customHeight="1">
      <c r="B118" s="444">
        <v>45605</v>
      </c>
      <c r="C118" s="446"/>
      <c r="D118" s="445">
        <v>0</v>
      </c>
      <c r="E118" s="445">
        <v>54009724159.426674</v>
      </c>
      <c r="F118" s="447">
        <v>0.99808629760844292</v>
      </c>
      <c r="G118" s="446"/>
      <c r="H118" s="445">
        <v>0</v>
      </c>
      <c r="I118" s="445">
        <v>51727225112.61573</v>
      </c>
      <c r="J118" s="447">
        <v>0.99842376992690085</v>
      </c>
      <c r="K118" s="446"/>
      <c r="L118" s="445">
        <v>0</v>
      </c>
      <c r="M118" s="445">
        <v>32669633186.699005</v>
      </c>
      <c r="N118" s="447">
        <v>0.99802010593062596</v>
      </c>
      <c r="O118" s="446"/>
      <c r="P118" s="445">
        <v>0</v>
      </c>
      <c r="Q118" s="445">
        <v>28141313201.469593</v>
      </c>
      <c r="R118" s="447">
        <v>0.99790196815545418</v>
      </c>
      <c r="S118" s="446"/>
      <c r="T118" s="445">
        <v>0</v>
      </c>
      <c r="U118" s="445">
        <v>27154902458.109409</v>
      </c>
      <c r="V118" s="447">
        <v>0.99842133235411845</v>
      </c>
      <c r="W118" s="446"/>
      <c r="X118" s="445">
        <v>0</v>
      </c>
      <c r="Y118" s="445">
        <v>22022159550.116955</v>
      </c>
      <c r="Z118" s="447">
        <v>0.9980885060354816</v>
      </c>
      <c r="AA118" s="446"/>
    </row>
    <row r="119" spans="2:27" s="443" customFormat="1" ht="12" customHeight="1">
      <c r="B119" s="444">
        <v>45606</v>
      </c>
      <c r="C119" s="446"/>
      <c r="D119" s="445">
        <v>0</v>
      </c>
      <c r="E119" s="445">
        <v>54010469697.450005</v>
      </c>
      <c r="F119" s="447">
        <v>1.0000138037739488</v>
      </c>
      <c r="G119" s="446"/>
      <c r="H119" s="445">
        <v>0</v>
      </c>
      <c r="I119" s="445">
        <v>51727225112.61573</v>
      </c>
      <c r="J119" s="447">
        <v>1</v>
      </c>
      <c r="K119" s="446"/>
      <c r="L119" s="445">
        <v>0</v>
      </c>
      <c r="M119" s="445">
        <v>32670110120.225674</v>
      </c>
      <c r="N119" s="447">
        <v>1.0000145986801854</v>
      </c>
      <c r="O119" s="446"/>
      <c r="P119" s="445">
        <v>0</v>
      </c>
      <c r="Q119" s="445">
        <v>28141496845.936256</v>
      </c>
      <c r="R119" s="447">
        <v>1.0000065257959125</v>
      </c>
      <c r="S119" s="446"/>
      <c r="T119" s="445">
        <v>0</v>
      </c>
      <c r="U119" s="445">
        <v>27156914244.729408</v>
      </c>
      <c r="V119" s="447">
        <v>1.0000740855771109</v>
      </c>
      <c r="W119" s="446"/>
      <c r="X119" s="445">
        <v>0</v>
      </c>
      <c r="Y119" s="445">
        <v>22022159550.116955</v>
      </c>
      <c r="Z119" s="447">
        <v>1</v>
      </c>
      <c r="AA119" s="446"/>
    </row>
    <row r="120" spans="2:27" s="443" customFormat="1" ht="12" customHeight="1">
      <c r="B120" s="444">
        <v>45607</v>
      </c>
      <c r="C120" s="446"/>
      <c r="D120" s="445">
        <v>0</v>
      </c>
      <c r="E120" s="445">
        <v>54041987343.447777</v>
      </c>
      <c r="F120" s="447">
        <v>1.0005835469710656</v>
      </c>
      <c r="G120" s="446"/>
      <c r="H120" s="445">
        <v>0</v>
      </c>
      <c r="I120" s="445">
        <v>51757506218.792877</v>
      </c>
      <c r="J120" s="447">
        <v>1.0005853997795402</v>
      </c>
      <c r="K120" s="446"/>
      <c r="L120" s="445">
        <v>0</v>
      </c>
      <c r="M120" s="445">
        <v>32688730812.573448</v>
      </c>
      <c r="N120" s="447">
        <v>1.0005699611136678</v>
      </c>
      <c r="O120" s="446"/>
      <c r="P120" s="445">
        <v>0</v>
      </c>
      <c r="Q120" s="445">
        <v>28157586896.659527</v>
      </c>
      <c r="R120" s="447">
        <v>1.0005717553267104</v>
      </c>
      <c r="S120" s="446"/>
      <c r="T120" s="445">
        <v>0</v>
      </c>
      <c r="U120" s="445">
        <v>27173128277.638851</v>
      </c>
      <c r="V120" s="447">
        <v>1.0005970498990913</v>
      </c>
      <c r="W120" s="446"/>
      <c r="X120" s="445">
        <v>0</v>
      </c>
      <c r="Y120" s="445">
        <v>22034479975.449257</v>
      </c>
      <c r="Z120" s="447">
        <v>1.0005594558201372</v>
      </c>
      <c r="AA120" s="446"/>
    </row>
    <row r="121" spans="2:27" s="443" customFormat="1" ht="12" customHeight="1">
      <c r="B121" s="444">
        <v>45608</v>
      </c>
      <c r="C121" s="446"/>
      <c r="D121" s="445">
        <v>0</v>
      </c>
      <c r="E121" s="445">
        <v>52090816713.503342</v>
      </c>
      <c r="F121" s="447">
        <v>0.96389528354047471</v>
      </c>
      <c r="G121" s="446"/>
      <c r="H121" s="445">
        <v>0</v>
      </c>
      <c r="I121" s="445">
        <v>45493485221.915443</v>
      </c>
      <c r="J121" s="447">
        <v>0.87897367059383169</v>
      </c>
      <c r="K121" s="446"/>
      <c r="L121" s="445">
        <v>0</v>
      </c>
      <c r="M121" s="445">
        <v>31432121848.185551</v>
      </c>
      <c r="N121" s="447">
        <v>0.96155834340608437</v>
      </c>
      <c r="O121" s="446"/>
      <c r="P121" s="445">
        <v>0</v>
      </c>
      <c r="Q121" s="445">
        <v>27689845157.103477</v>
      </c>
      <c r="R121" s="447">
        <v>0.98338842951021699</v>
      </c>
      <c r="S121" s="446"/>
      <c r="T121" s="445">
        <v>0</v>
      </c>
      <c r="U121" s="445">
        <v>21735572508.333778</v>
      </c>
      <c r="V121" s="447">
        <v>0.79989216869889379</v>
      </c>
      <c r="W121" s="446"/>
      <c r="X121" s="445">
        <v>0</v>
      </c>
      <c r="Y121" s="445">
        <v>22056786977.557404</v>
      </c>
      <c r="Z121" s="447">
        <v>1.0010123679856753</v>
      </c>
      <c r="AA121" s="446"/>
    </row>
    <row r="122" spans="2:27" s="443" customFormat="1" ht="12" customHeight="1">
      <c r="B122" s="444">
        <v>45609</v>
      </c>
      <c r="C122" s="446"/>
      <c r="D122" s="445">
        <v>0</v>
      </c>
      <c r="E122" s="445">
        <v>54121336737.716034</v>
      </c>
      <c r="F122" s="447">
        <v>1.038980383728296</v>
      </c>
      <c r="G122" s="446"/>
      <c r="H122" s="445">
        <v>0</v>
      </c>
      <c r="I122" s="445">
        <v>51828680470.361305</v>
      </c>
      <c r="J122" s="447">
        <v>1.139254999205777</v>
      </c>
      <c r="K122" s="446"/>
      <c r="L122" s="445">
        <v>0</v>
      </c>
      <c r="M122" s="445">
        <v>32737889220.206776</v>
      </c>
      <c r="N122" s="447">
        <v>1.0415424506919377</v>
      </c>
      <c r="O122" s="446"/>
      <c r="P122" s="445">
        <v>0</v>
      </c>
      <c r="Q122" s="445">
        <v>28201611773.602448</v>
      </c>
      <c r="R122" s="447">
        <v>1.0184821046703356</v>
      </c>
      <c r="S122" s="446"/>
      <c r="T122" s="445">
        <v>0</v>
      </c>
      <c r="U122" s="445">
        <v>27209750371.272289</v>
      </c>
      <c r="V122" s="447">
        <v>1.2518534011855276</v>
      </c>
      <c r="W122" s="446"/>
      <c r="X122" s="445">
        <v>0</v>
      </c>
      <c r="Y122" s="445">
        <v>22067817335.951553</v>
      </c>
      <c r="Z122" s="447">
        <v>1.0005000890839346</v>
      </c>
      <c r="AA122" s="446"/>
    </row>
    <row r="123" spans="2:27" s="443" customFormat="1" ht="12" customHeight="1">
      <c r="B123" s="444">
        <v>45610</v>
      </c>
      <c r="C123" s="446"/>
      <c r="D123" s="445">
        <v>0</v>
      </c>
      <c r="E123" s="445">
        <v>54346035300.480148</v>
      </c>
      <c r="F123" s="447">
        <v>1.0041517555978532</v>
      </c>
      <c r="G123" s="446"/>
      <c r="H123" s="445">
        <v>0</v>
      </c>
      <c r="I123" s="445">
        <v>51998033327.750107</v>
      </c>
      <c r="J123" s="447">
        <v>1.0032675510132976</v>
      </c>
      <c r="K123" s="446"/>
      <c r="L123" s="445">
        <v>0</v>
      </c>
      <c r="M123" s="445">
        <v>32880731893.115997</v>
      </c>
      <c r="N123" s="447">
        <v>1.0043632218298624</v>
      </c>
      <c r="O123" s="446"/>
      <c r="P123" s="445">
        <v>0</v>
      </c>
      <c r="Q123" s="445">
        <v>28343334458.326694</v>
      </c>
      <c r="R123" s="447">
        <v>1.0050253398941156</v>
      </c>
      <c r="S123" s="446"/>
      <c r="T123" s="445">
        <v>0</v>
      </c>
      <c r="U123" s="445">
        <v>27300927384.356796</v>
      </c>
      <c r="V123" s="447">
        <v>1.0033508948755654</v>
      </c>
      <c r="W123" s="446"/>
      <c r="X123" s="445">
        <v>0</v>
      </c>
      <c r="Y123" s="445">
        <v>22158666478.541275</v>
      </c>
      <c r="Z123" s="447">
        <v>1.0041168159590352</v>
      </c>
      <c r="AA123" s="446"/>
    </row>
    <row r="124" spans="2:27" s="443" customFormat="1" ht="12" customHeight="1">
      <c r="B124" s="444">
        <v>45611</v>
      </c>
      <c r="C124" s="446"/>
      <c r="D124" s="445">
        <v>0</v>
      </c>
      <c r="E124" s="445">
        <v>54425156648.244293</v>
      </c>
      <c r="F124" s="447">
        <v>1.0014558807708176</v>
      </c>
      <c r="G124" s="446"/>
      <c r="H124" s="445">
        <v>0</v>
      </c>
      <c r="I124" s="445">
        <v>52055206811.458885</v>
      </c>
      <c r="J124" s="447">
        <v>1.0010995316562918</v>
      </c>
      <c r="K124" s="446"/>
      <c r="L124" s="445">
        <v>0</v>
      </c>
      <c r="M124" s="445">
        <v>32932028278.771217</v>
      </c>
      <c r="N124" s="447">
        <v>1.001560074326264</v>
      </c>
      <c r="O124" s="446"/>
      <c r="P124" s="445">
        <v>0</v>
      </c>
      <c r="Q124" s="445">
        <v>28396447415.33036</v>
      </c>
      <c r="R124" s="447">
        <v>1.0018739134974313</v>
      </c>
      <c r="S124" s="446"/>
      <c r="T124" s="445">
        <v>0</v>
      </c>
      <c r="U124" s="445">
        <v>27334175622.426231</v>
      </c>
      <c r="V124" s="447">
        <v>1.0012178428080976</v>
      </c>
      <c r="W124" s="446"/>
      <c r="X124" s="445">
        <v>0</v>
      </c>
      <c r="Y124" s="445">
        <v>22193287797.182568</v>
      </c>
      <c r="Z124" s="447">
        <v>1.0015624278958672</v>
      </c>
      <c r="AA124" s="446"/>
    </row>
    <row r="125" spans="2:27" s="443" customFormat="1" ht="12" customHeight="1">
      <c r="B125" s="444">
        <v>45612</v>
      </c>
      <c r="C125" s="446"/>
      <c r="D125" s="445">
        <v>0</v>
      </c>
      <c r="E125" s="445">
        <v>54440931148.53508</v>
      </c>
      <c r="F125" s="447">
        <v>1.0002898383994141</v>
      </c>
      <c r="G125" s="446"/>
      <c r="H125" s="445">
        <v>0</v>
      </c>
      <c r="I125" s="445">
        <v>52070377221.948883</v>
      </c>
      <c r="J125" s="447">
        <v>1.0002914292617249</v>
      </c>
      <c r="K125" s="446"/>
      <c r="L125" s="445">
        <v>0</v>
      </c>
      <c r="M125" s="445">
        <v>32941348908.115112</v>
      </c>
      <c r="N125" s="447">
        <v>1.0002830262765778</v>
      </c>
      <c r="O125" s="446"/>
      <c r="P125" s="445">
        <v>0</v>
      </c>
      <c r="Q125" s="445">
        <v>28404502677.187706</v>
      </c>
      <c r="R125" s="447">
        <v>1.0002836714656425</v>
      </c>
      <c r="S125" s="446"/>
      <c r="T125" s="445">
        <v>0</v>
      </c>
      <c r="U125" s="445">
        <v>27342305522.107624</v>
      </c>
      <c r="V125" s="447">
        <v>1.000297426188874</v>
      </c>
      <c r="W125" s="446"/>
      <c r="X125" s="445">
        <v>0</v>
      </c>
      <c r="Y125" s="445">
        <v>22199448488.851578</v>
      </c>
      <c r="Z125" s="447">
        <v>1.0002775925642613</v>
      </c>
      <c r="AA125" s="446"/>
    </row>
    <row r="126" spans="2:27" s="443" customFormat="1" ht="12" customHeight="1">
      <c r="B126" s="444">
        <v>45613</v>
      </c>
      <c r="C126" s="446"/>
      <c r="D126" s="445">
        <v>0</v>
      </c>
      <c r="E126" s="445">
        <v>54456705648.825867</v>
      </c>
      <c r="F126" s="447">
        <v>1.0002897544174574</v>
      </c>
      <c r="G126" s="446"/>
      <c r="H126" s="445">
        <v>0</v>
      </c>
      <c r="I126" s="445">
        <v>52085547632.438889</v>
      </c>
      <c r="J126" s="447">
        <v>1.0002913443554546</v>
      </c>
      <c r="K126" s="446"/>
      <c r="L126" s="445">
        <v>0</v>
      </c>
      <c r="M126" s="445">
        <v>32950669537.458996</v>
      </c>
      <c r="N126" s="447">
        <v>1.0002829461953693</v>
      </c>
      <c r="O126" s="446"/>
      <c r="P126" s="445">
        <v>0</v>
      </c>
      <c r="Q126" s="445">
        <v>28412557939.045052</v>
      </c>
      <c r="R126" s="447">
        <v>1.0002835910189625</v>
      </c>
      <c r="S126" s="446"/>
      <c r="T126" s="445">
        <v>0</v>
      </c>
      <c r="U126" s="445">
        <v>27350435421.789013</v>
      </c>
      <c r="V126" s="447">
        <v>1.0002973377528392</v>
      </c>
      <c r="W126" s="446"/>
      <c r="X126" s="445">
        <v>0</v>
      </c>
      <c r="Y126" s="445">
        <v>22205609180.520584</v>
      </c>
      <c r="Z126" s="447">
        <v>1.0002775155280141</v>
      </c>
      <c r="AA126" s="446"/>
    </row>
    <row r="127" spans="2:27" s="443" customFormat="1" ht="12" customHeight="1">
      <c r="B127" s="444">
        <v>45614</v>
      </c>
      <c r="C127" s="446"/>
      <c r="D127" s="445">
        <v>0</v>
      </c>
      <c r="E127" s="445">
        <v>54438997899.116669</v>
      </c>
      <c r="F127" s="447">
        <v>0.99967482884801384</v>
      </c>
      <c r="G127" s="446"/>
      <c r="H127" s="445">
        <v>0</v>
      </c>
      <c r="I127" s="445">
        <v>52076054349.128891</v>
      </c>
      <c r="J127" s="447">
        <v>0.99981773670928853</v>
      </c>
      <c r="K127" s="446"/>
      <c r="L127" s="445">
        <v>0</v>
      </c>
      <c r="M127" s="445">
        <v>32939245931.958893</v>
      </c>
      <c r="N127" s="447">
        <v>0.99965331188529827</v>
      </c>
      <c r="O127" s="446"/>
      <c r="P127" s="445">
        <v>0</v>
      </c>
      <c r="Q127" s="445">
        <v>28400517083.903378</v>
      </c>
      <c r="R127" s="447">
        <v>0.9995762136176719</v>
      </c>
      <c r="S127" s="446"/>
      <c r="T127" s="445">
        <v>0</v>
      </c>
      <c r="U127" s="445">
        <v>27345120438.749847</v>
      </c>
      <c r="V127" s="447">
        <v>0.99980567098997875</v>
      </c>
      <c r="W127" s="446"/>
      <c r="X127" s="445">
        <v>0</v>
      </c>
      <c r="Y127" s="445">
        <v>22198711431.126595</v>
      </c>
      <c r="Z127" s="447">
        <v>0.99968936905365147</v>
      </c>
      <c r="AA127" s="446"/>
    </row>
    <row r="128" spans="2:27" s="443" customFormat="1" ht="12" customHeight="1">
      <c r="B128" s="444">
        <v>45615</v>
      </c>
      <c r="C128" s="446"/>
      <c r="D128" s="445">
        <v>0</v>
      </c>
      <c r="E128" s="445">
        <v>54261639563.467934</v>
      </c>
      <c r="F128" s="447">
        <v>0.99674207199813991</v>
      </c>
      <c r="G128" s="446"/>
      <c r="H128" s="445">
        <v>0</v>
      </c>
      <c r="I128" s="445">
        <v>51956444206.468887</v>
      </c>
      <c r="J128" s="447">
        <v>0.99770316426321182</v>
      </c>
      <c r="K128" s="446"/>
      <c r="L128" s="445">
        <v>0</v>
      </c>
      <c r="M128" s="445">
        <v>32823716133.858112</v>
      </c>
      <c r="N128" s="447">
        <v>0.99649263986372294</v>
      </c>
      <c r="O128" s="446"/>
      <c r="P128" s="445">
        <v>0</v>
      </c>
      <c r="Q128" s="445">
        <v>28499558365.099064</v>
      </c>
      <c r="R128" s="447">
        <v>1.0034873055621871</v>
      </c>
      <c r="S128" s="446"/>
      <c r="T128" s="445">
        <v>0</v>
      </c>
      <c r="U128" s="445">
        <v>27277155641.862125</v>
      </c>
      <c r="V128" s="447">
        <v>0.99751455485303286</v>
      </c>
      <c r="W128" s="446"/>
      <c r="X128" s="445">
        <v>0</v>
      </c>
      <c r="Y128" s="445">
        <v>22125090051.237602</v>
      </c>
      <c r="Z128" s="447">
        <v>0.99668352912657077</v>
      </c>
      <c r="AA128" s="446"/>
    </row>
    <row r="129" spans="2:27" s="443" customFormat="1" ht="12" customHeight="1">
      <c r="B129" s="444">
        <v>45616</v>
      </c>
      <c r="C129" s="446"/>
      <c r="D129" s="445">
        <v>0</v>
      </c>
      <c r="E129" s="445">
        <v>54031325955.479202</v>
      </c>
      <c r="F129" s="447">
        <v>0.99575549854664192</v>
      </c>
      <c r="G129" s="446"/>
      <c r="H129" s="445">
        <v>0</v>
      </c>
      <c r="I129" s="445">
        <v>51769282641.368889</v>
      </c>
      <c r="J129" s="447">
        <v>0.99639772182337494</v>
      </c>
      <c r="K129" s="446"/>
      <c r="L129" s="445">
        <v>0</v>
      </c>
      <c r="M129" s="445">
        <v>32680080460.345329</v>
      </c>
      <c r="N129" s="447">
        <v>0.99562402767172908</v>
      </c>
      <c r="O129" s="446"/>
      <c r="P129" s="445">
        <v>0</v>
      </c>
      <c r="Q129" s="445">
        <v>28148557696.651901</v>
      </c>
      <c r="R129" s="447">
        <v>0.98768399622370984</v>
      </c>
      <c r="S129" s="446"/>
      <c r="T129" s="445">
        <v>0</v>
      </c>
      <c r="U129" s="445">
        <v>27182891932.407101</v>
      </c>
      <c r="V129" s="447">
        <v>0.99654422511303342</v>
      </c>
      <c r="W129" s="446"/>
      <c r="X129" s="445">
        <v>0</v>
      </c>
      <c r="Y129" s="445">
        <v>22030578157.277611</v>
      </c>
      <c r="Z129" s="447">
        <v>0.9957282933655357</v>
      </c>
      <c r="AA129" s="446"/>
    </row>
    <row r="130" spans="2:27" s="443" customFormat="1" ht="12" customHeight="1">
      <c r="B130" s="444">
        <v>45617</v>
      </c>
      <c r="C130" s="446"/>
      <c r="D130" s="445">
        <v>0</v>
      </c>
      <c r="E130" s="445">
        <v>54031325955.479202</v>
      </c>
      <c r="F130" s="447">
        <v>1</v>
      </c>
      <c r="G130" s="446"/>
      <c r="H130" s="445">
        <v>0</v>
      </c>
      <c r="I130" s="445">
        <v>51769282641.368889</v>
      </c>
      <c r="J130" s="447">
        <v>1</v>
      </c>
      <c r="K130" s="446"/>
      <c r="L130" s="445">
        <v>0</v>
      </c>
      <c r="M130" s="445">
        <v>32680080460.345329</v>
      </c>
      <c r="N130" s="447">
        <v>1</v>
      </c>
      <c r="O130" s="446"/>
      <c r="P130" s="445">
        <v>0</v>
      </c>
      <c r="Q130" s="445">
        <v>28148491807.497734</v>
      </c>
      <c r="R130" s="447">
        <v>0.99999765923515949</v>
      </c>
      <c r="S130" s="446"/>
      <c r="T130" s="445">
        <v>0</v>
      </c>
      <c r="U130" s="445">
        <v>27182891932.407101</v>
      </c>
      <c r="V130" s="447">
        <v>1</v>
      </c>
      <c r="W130" s="446"/>
      <c r="X130" s="445">
        <v>0</v>
      </c>
      <c r="Y130" s="445">
        <v>22030578157.277615</v>
      </c>
      <c r="Z130" s="447">
        <v>1.0000000000000002</v>
      </c>
      <c r="AA130" s="446"/>
    </row>
    <row r="131" spans="2:27" s="443" customFormat="1" ht="12" customHeight="1">
      <c r="B131" s="444">
        <v>45618</v>
      </c>
      <c r="C131" s="446"/>
      <c r="D131" s="445">
        <v>0</v>
      </c>
      <c r="E131" s="445">
        <v>54047075813.860474</v>
      </c>
      <c r="F131" s="447">
        <v>1.0002914949448816</v>
      </c>
      <c r="G131" s="446"/>
      <c r="H131" s="445">
        <v>0</v>
      </c>
      <c r="I131" s="445">
        <v>51784419375.083168</v>
      </c>
      <c r="J131" s="447">
        <v>1.0002923883226109</v>
      </c>
      <c r="K131" s="446"/>
      <c r="L131" s="445">
        <v>0</v>
      </c>
      <c r="M131" s="445">
        <v>32689396287.762554</v>
      </c>
      <c r="N131" s="447">
        <v>1.0002850613366308</v>
      </c>
      <c r="O131" s="446"/>
      <c r="P131" s="445">
        <v>0</v>
      </c>
      <c r="Q131" s="445">
        <v>28170656016.34375</v>
      </c>
      <c r="R131" s="447">
        <v>1.0007874030693222</v>
      </c>
      <c r="S131" s="446"/>
      <c r="T131" s="445">
        <v>0</v>
      </c>
      <c r="U131" s="445">
        <v>27191015173.321827</v>
      </c>
      <c r="V131" s="447">
        <v>1.0002988365231678</v>
      </c>
      <c r="W131" s="446"/>
      <c r="X131" s="445">
        <v>0</v>
      </c>
      <c r="Y131" s="445">
        <v>22036737745.120903</v>
      </c>
      <c r="Z131" s="447">
        <v>1.0002795926552319</v>
      </c>
      <c r="AA131" s="446"/>
    </row>
    <row r="132" spans="2:27" s="443" customFormat="1" ht="12" customHeight="1">
      <c r="B132" s="444">
        <v>45619</v>
      </c>
      <c r="C132" s="446"/>
      <c r="D132" s="445">
        <v>0</v>
      </c>
      <c r="E132" s="445">
        <v>54006372289.151749</v>
      </c>
      <c r="F132" s="447">
        <v>0.99924688756799884</v>
      </c>
      <c r="G132" s="446"/>
      <c r="H132" s="445">
        <v>0</v>
      </c>
      <c r="I132" s="445">
        <v>51759694609.34745</v>
      </c>
      <c r="J132" s="447">
        <v>0.99952254430900089</v>
      </c>
      <c r="K132" s="446"/>
      <c r="L132" s="445">
        <v>0</v>
      </c>
      <c r="M132" s="445">
        <v>32663490246.343781</v>
      </c>
      <c r="N132" s="447">
        <v>0.99920750933450331</v>
      </c>
      <c r="O132" s="446"/>
      <c r="P132" s="445">
        <v>0</v>
      </c>
      <c r="Q132" s="445">
        <v>28142126459.605438</v>
      </c>
      <c r="R132" s="447">
        <v>0.99898725976698022</v>
      </c>
      <c r="S132" s="446"/>
      <c r="T132" s="445">
        <v>0</v>
      </c>
      <c r="U132" s="445">
        <v>27177813816.616386</v>
      </c>
      <c r="V132" s="447">
        <v>0.99951449562948302</v>
      </c>
      <c r="W132" s="446"/>
      <c r="X132" s="445">
        <v>0</v>
      </c>
      <c r="Y132" s="445">
        <v>22021227925.440201</v>
      </c>
      <c r="Z132" s="447">
        <v>0.99929618349775318</v>
      </c>
      <c r="AA132" s="446"/>
    </row>
    <row r="133" spans="2:27" s="443" customFormat="1" ht="12" customHeight="1">
      <c r="B133" s="444">
        <v>45620</v>
      </c>
      <c r="C133" s="446"/>
      <c r="D133" s="445">
        <v>0</v>
      </c>
      <c r="E133" s="445">
        <v>54196215379.239677</v>
      </c>
      <c r="F133" s="447">
        <v>1.0035151979672232</v>
      </c>
      <c r="G133" s="446"/>
      <c r="H133" s="445">
        <v>0</v>
      </c>
      <c r="I133" s="445">
        <v>51913779096.44352</v>
      </c>
      <c r="J133" s="447">
        <v>1.0029769203288197</v>
      </c>
      <c r="K133" s="446"/>
      <c r="L133" s="445">
        <v>0</v>
      </c>
      <c r="M133" s="445">
        <v>32781124023.353661</v>
      </c>
      <c r="N133" s="447">
        <v>1.0036013841791769</v>
      </c>
      <c r="O133" s="446"/>
      <c r="P133" s="445">
        <v>0</v>
      </c>
      <c r="Q133" s="445">
        <v>28252837616.980812</v>
      </c>
      <c r="R133" s="447">
        <v>1.0039340011329381</v>
      </c>
      <c r="S133" s="446"/>
      <c r="T133" s="445">
        <v>0</v>
      </c>
      <c r="U133" s="445">
        <v>27257122098.27375</v>
      </c>
      <c r="V133" s="447">
        <v>1.0029181258725408</v>
      </c>
      <c r="W133" s="446"/>
      <c r="X133" s="445">
        <v>0</v>
      </c>
      <c r="Y133" s="445">
        <v>22097983206.301491</v>
      </c>
      <c r="Z133" s="447">
        <v>1.0034855132112146</v>
      </c>
      <c r="AA133" s="446"/>
    </row>
    <row r="134" spans="2:27" s="443" customFormat="1" ht="12" customHeight="1">
      <c r="B134" s="444">
        <v>45621</v>
      </c>
      <c r="C134" s="446"/>
      <c r="D134" s="445">
        <v>0</v>
      </c>
      <c r="E134" s="445">
        <v>54211987719.327621</v>
      </c>
      <c r="F134" s="447">
        <v>1.0002910229058908</v>
      </c>
      <c r="G134" s="446"/>
      <c r="H134" s="445">
        <v>0</v>
      </c>
      <c r="I134" s="445">
        <v>51928915830.157799</v>
      </c>
      <c r="J134" s="447">
        <v>1.0002915744909682</v>
      </c>
      <c r="K134" s="446"/>
      <c r="L134" s="445">
        <v>0</v>
      </c>
      <c r="M134" s="445">
        <v>32790444551.767555</v>
      </c>
      <c r="N134" s="447">
        <v>1.0002843260776311</v>
      </c>
      <c r="O134" s="446"/>
      <c r="P134" s="445">
        <v>0</v>
      </c>
      <c r="Q134" s="445">
        <v>28260879127.875179</v>
      </c>
      <c r="R134" s="447">
        <v>1.000284626663112</v>
      </c>
      <c r="S134" s="446"/>
      <c r="T134" s="445">
        <v>0</v>
      </c>
      <c r="U134" s="445">
        <v>27265276555.50848</v>
      </c>
      <c r="V134" s="447">
        <v>1.0002991679460997</v>
      </c>
      <c r="W134" s="446"/>
      <c r="X134" s="445">
        <v>0</v>
      </c>
      <c r="Y134" s="445">
        <v>22104142794.144791</v>
      </c>
      <c r="Z134" s="447">
        <v>1.0002787398191859</v>
      </c>
      <c r="AA134" s="446"/>
    </row>
    <row r="135" spans="2:27" s="443" customFormat="1" ht="12" customHeight="1">
      <c r="B135" s="444">
        <v>45622</v>
      </c>
      <c r="C135" s="446"/>
      <c r="D135" s="445">
        <v>0</v>
      </c>
      <c r="E135" s="445">
        <v>54272408959.16111</v>
      </c>
      <c r="F135" s="447">
        <v>1.0011145365144387</v>
      </c>
      <c r="G135" s="446"/>
      <c r="H135" s="445">
        <v>0</v>
      </c>
      <c r="I135" s="445">
        <v>51984287389.915405</v>
      </c>
      <c r="J135" s="447">
        <v>1.001066295316827</v>
      </c>
      <c r="K135" s="446"/>
      <c r="L135" s="445">
        <v>0</v>
      </c>
      <c r="M135" s="445">
        <v>31533785479.460659</v>
      </c>
      <c r="N135" s="447">
        <v>0.96167605869682682</v>
      </c>
      <c r="O135" s="446"/>
      <c r="P135" s="445">
        <v>0</v>
      </c>
      <c r="Q135" s="445">
        <v>28294145595.42524</v>
      </c>
      <c r="R135" s="447">
        <v>1.0011771207611602</v>
      </c>
      <c r="S135" s="446"/>
      <c r="T135" s="445">
        <v>0</v>
      </c>
      <c r="U135" s="445">
        <v>21804328524.930634</v>
      </c>
      <c r="V135" s="447">
        <v>0.79971052120230357</v>
      </c>
      <c r="W135" s="446"/>
      <c r="X135" s="445">
        <v>0</v>
      </c>
      <c r="Y135" s="445">
        <v>22129413550.187374</v>
      </c>
      <c r="Z135" s="447">
        <v>1.0011432588125189</v>
      </c>
      <c r="AA135" s="446"/>
    </row>
    <row r="136" spans="2:27" s="443" customFormat="1" ht="12.75" customHeight="1">
      <c r="B136" s="444">
        <v>45623</v>
      </c>
      <c r="C136" s="446"/>
      <c r="D136" s="445">
        <v>0</v>
      </c>
      <c r="E136" s="445">
        <v>54314065679.459534</v>
      </c>
      <c r="F136" s="447">
        <v>1.0007675487618353</v>
      </c>
      <c r="G136" s="446"/>
      <c r="H136" s="445">
        <v>0</v>
      </c>
      <c r="I136" s="445">
        <v>52020834202.318886</v>
      </c>
      <c r="J136" s="447">
        <v>1.0007030357486553</v>
      </c>
      <c r="K136" s="446"/>
      <c r="L136" s="445">
        <v>0</v>
      </c>
      <c r="M136" s="445">
        <v>32853264262.473888</v>
      </c>
      <c r="N136" s="447">
        <v>1.0418433360584844</v>
      </c>
      <c r="O136" s="446"/>
      <c r="P136" s="445">
        <v>0</v>
      </c>
      <c r="Q136" s="445">
        <v>28317272446.747932</v>
      </c>
      <c r="R136" s="447">
        <v>1.000817372316287</v>
      </c>
      <c r="S136" s="446"/>
      <c r="T136" s="445">
        <v>0</v>
      </c>
      <c r="U136" s="445">
        <v>27312888694.54623</v>
      </c>
      <c r="V136" s="447">
        <v>1.2526360838545072</v>
      </c>
      <c r="W136" s="446"/>
      <c r="X136" s="445">
        <v>0</v>
      </c>
      <c r="Y136" s="445">
        <v>22146473728.252666</v>
      </c>
      <c r="Z136" s="447">
        <v>1.0007709277078944</v>
      </c>
      <c r="AA136" s="446"/>
    </row>
    <row r="137" spans="2:27" s="443" customFormat="1" ht="12.75" customHeight="1">
      <c r="B137" s="444">
        <v>45624</v>
      </c>
      <c r="C137" s="446"/>
      <c r="D137" s="445">
        <v>0</v>
      </c>
      <c r="E137" s="445">
        <v>54272667327.937935</v>
      </c>
      <c r="F137" s="447">
        <v>0.99923779685789105</v>
      </c>
      <c r="G137" s="446"/>
      <c r="H137" s="445">
        <v>0</v>
      </c>
      <c r="I137" s="445">
        <v>51990844640.373611</v>
      </c>
      <c r="J137" s="447">
        <v>0.99942350863062601</v>
      </c>
      <c r="K137" s="446"/>
      <c r="L137" s="445">
        <v>0</v>
      </c>
      <c r="M137" s="445">
        <v>32827007516.591415</v>
      </c>
      <c r="N137" s="447">
        <v>0.99920078730464346</v>
      </c>
      <c r="O137" s="446"/>
      <c r="P137" s="445">
        <v>0</v>
      </c>
      <c r="Q137" s="445">
        <v>28291103136.061916</v>
      </c>
      <c r="R137" s="447">
        <v>0.99907585341295746</v>
      </c>
      <c r="S137" s="446"/>
      <c r="T137" s="445">
        <v>0</v>
      </c>
      <c r="U137" s="445">
        <v>27298536229.171242</v>
      </c>
      <c r="V137" s="447">
        <v>0.99936187292450018</v>
      </c>
      <c r="W137" s="446"/>
      <c r="X137" s="445">
        <v>0</v>
      </c>
      <c r="Y137" s="445">
        <v>22129533726.280388</v>
      </c>
      <c r="Z137" s="447">
        <v>0.99923509258493515</v>
      </c>
      <c r="AA137" s="446"/>
    </row>
    <row r="138" spans="2:27" s="443" customFormat="1" ht="12.75" customHeight="1">
      <c r="B138" s="444">
        <f>B137+1</f>
        <v>45625</v>
      </c>
      <c r="C138" s="446"/>
      <c r="D138" s="445">
        <f>SUMIFS(Trades!$E:$E,Trades!$G:$G,"пополнение фондом",Trades!$B:$B,B138,Trades!$D:$D,MV!$E$2)</f>
        <v>0</v>
      </c>
      <c r="E138" s="445">
        <f ca="1">Report!$E$14</f>
        <v>54556648196.137566</v>
      </c>
      <c r="F138" s="447">
        <f ca="1">E138/E137</f>
        <v>1.0052324840878688</v>
      </c>
      <c r="G138" s="446"/>
      <c r="H138" s="445">
        <f>SUMIFS(Trades!$E:$E,Trades!$G:$G,"пополнение фондом",Trades!$B:$B,$B138,Trades!$D:$D,MV!$I$2)</f>
        <v>0</v>
      </c>
      <c r="I138" s="445">
        <f ca="1">Report!$E$28</f>
        <v>52878283312.882324</v>
      </c>
      <c r="J138" s="447">
        <f ca="1">I138/I137</f>
        <v>1.0170691335877926</v>
      </c>
      <c r="K138" s="446"/>
      <c r="L138" s="445">
        <f>SUMIFS(Trades!$E:$E,Trades!$G:$G,"пополнение фондом",Trades!$B:$B,$B138,Trades!$D:$D,MV!$M$2)</f>
        <v>0</v>
      </c>
      <c r="M138" s="445">
        <f ca="1">Report!$E$43</f>
        <v>32741897863.273666</v>
      </c>
      <c r="N138" s="447">
        <f ca="1">M138/M137</f>
        <v>0.99740732830201673</v>
      </c>
      <c r="O138" s="446"/>
      <c r="P138" s="445">
        <f>SUMIFS(Trades!$E:$E,Trades!$G:$G,"пополнение фондом",Trades!$B:$B,$B138,Trades!$D:$D,MV!$Q$2)</f>
        <v>0</v>
      </c>
      <c r="Q138" s="445">
        <f ca="1">Report!$E$57</f>
        <v>28082790098.217461</v>
      </c>
      <c r="R138" s="447">
        <f ca="1">Q138/Q137</f>
        <v>0.99263680045127245</v>
      </c>
      <c r="S138" s="446"/>
      <c r="T138" s="445">
        <f>SUMIFS(Trades!$E:$E,Trades!$G:$G,"пополнение фондом",Trades!$B:$B,$B138,Trades!$D:$D,MV!$U$2)</f>
        <v>0</v>
      </c>
      <c r="U138" s="445">
        <f ca="1">Report!$E$71</f>
        <v>28036371813.93092</v>
      </c>
      <c r="V138" s="447">
        <f ca="1">U138/U137</f>
        <v>1.0270283937045397</v>
      </c>
      <c r="W138" s="446"/>
      <c r="X138" s="445">
        <f>SUMIFS(Trades!$E:$E,Trades!$G:$G,"пополнение фондом",Trades!$B:$B,$B138,Trades!$D:$D,MV!$Y$2)</f>
        <v>0</v>
      </c>
      <c r="Y138" s="445">
        <f ca="1">Report!$E$85</f>
        <v>22424813508.497272</v>
      </c>
      <c r="Z138" s="447">
        <f ca="1">Y138/Y137</f>
        <v>1.0133432446371982</v>
      </c>
      <c r="AA138" s="446"/>
    </row>
    <row r="139" spans="2:27" s="443" customFormat="1" ht="12.75" customHeight="1">
      <c r="B139" s="444">
        <v>45626</v>
      </c>
      <c r="C139" s="446"/>
      <c r="D139" s="445">
        <v>0</v>
      </c>
      <c r="E139" s="445">
        <v>54417429469.338097</v>
      </c>
      <c r="F139" s="447">
        <v>1</v>
      </c>
      <c r="G139" s="446"/>
      <c r="H139" s="445">
        <v>0</v>
      </c>
      <c r="I139" s="445">
        <v>52115603535.093231</v>
      </c>
      <c r="J139" s="447">
        <v>1</v>
      </c>
      <c r="K139" s="446"/>
      <c r="L139" s="445">
        <v>0</v>
      </c>
      <c r="M139" s="445">
        <v>32916022893.393353</v>
      </c>
      <c r="N139" s="447">
        <v>1</v>
      </c>
      <c r="O139" s="446"/>
      <c r="P139" s="445">
        <v>0</v>
      </c>
      <c r="Q139" s="445">
        <v>28371374000.955223</v>
      </c>
      <c r="R139" s="447">
        <v>1</v>
      </c>
      <c r="S139" s="446"/>
      <c r="T139" s="445">
        <v>0</v>
      </c>
      <c r="U139" s="445">
        <v>27362522165.155384</v>
      </c>
      <c r="V139" s="447">
        <v>1</v>
      </c>
      <c r="W139" s="446"/>
      <c r="X139" s="445">
        <v>0</v>
      </c>
      <c r="Y139" s="445">
        <v>22188692778.228165</v>
      </c>
      <c r="Z139" s="447">
        <v>1</v>
      </c>
      <c r="AA139" s="446"/>
    </row>
    <row r="140" spans="2:27" s="443" customFormat="1" ht="12.75" customHeight="1">
      <c r="B140" s="444">
        <v>45627</v>
      </c>
      <c r="C140" s="446"/>
      <c r="D140" s="445">
        <v>0</v>
      </c>
      <c r="E140" s="445">
        <v>54433292413.319832</v>
      </c>
      <c r="F140" s="447">
        <v>1.0002915048383656</v>
      </c>
      <c r="G140" s="446"/>
      <c r="H140" s="445">
        <v>0</v>
      </c>
      <c r="I140" s="445">
        <v>52130796668.335602</v>
      </c>
      <c r="J140" s="447">
        <v>1.0002915275313302</v>
      </c>
      <c r="K140" s="446"/>
      <c r="L140" s="445">
        <v>0</v>
      </c>
      <c r="M140" s="445">
        <v>32925363482.530579</v>
      </c>
      <c r="N140" s="447">
        <v>1.0002837702831682</v>
      </c>
      <c r="O140" s="446"/>
      <c r="P140" s="445">
        <v>0</v>
      </c>
      <c r="Q140" s="445">
        <v>28379450435.000534</v>
      </c>
      <c r="R140" s="447">
        <v>1.0002846684141924</v>
      </c>
      <c r="S140" s="446"/>
      <c r="T140" s="445">
        <v>0</v>
      </c>
      <c r="U140" s="445">
        <v>27370869842.060101</v>
      </c>
      <c r="V140" s="447">
        <v>1.0003050770266839</v>
      </c>
      <c r="W140" s="446"/>
      <c r="X140" s="445">
        <v>0</v>
      </c>
      <c r="Y140" s="445">
        <v>22194933447.462883</v>
      </c>
      <c r="Z140" s="447">
        <v>1.0002812544793465</v>
      </c>
      <c r="AA140" s="446"/>
    </row>
    <row r="141" spans="2:27" s="443" customFormat="1" ht="12.75" customHeight="1">
      <c r="B141" s="444">
        <v>45628</v>
      </c>
      <c r="C141" s="446"/>
      <c r="D141" s="445">
        <v>0</v>
      </c>
      <c r="E141" s="445">
        <v>54635110607.301575</v>
      </c>
      <c r="F141" s="447">
        <v>1</v>
      </c>
      <c r="G141" s="446"/>
      <c r="H141" s="445">
        <v>0</v>
      </c>
      <c r="I141" s="445">
        <v>52305032060.419731</v>
      </c>
      <c r="J141" s="447">
        <v>1</v>
      </c>
      <c r="K141" s="446"/>
      <c r="L141" s="445">
        <v>0</v>
      </c>
      <c r="M141" s="445">
        <v>33053465180.157536</v>
      </c>
      <c r="N141" s="447">
        <v>1.0000849827244691</v>
      </c>
      <c r="O141" s="446"/>
      <c r="P141" s="445">
        <v>0</v>
      </c>
      <c r="Q141" s="445">
        <v>28495438716.896919</v>
      </c>
      <c r="R141" s="447">
        <v>1.000029571236813</v>
      </c>
      <c r="S141" s="446"/>
      <c r="T141" s="445">
        <v>0</v>
      </c>
      <c r="U141" s="445">
        <v>27456917662.62674</v>
      </c>
      <c r="V141" s="447">
        <v>1</v>
      </c>
      <c r="W141" s="446"/>
      <c r="X141" s="445">
        <v>0</v>
      </c>
      <c r="Y141" s="445">
        <v>22281105486.106812</v>
      </c>
      <c r="Z141" s="447">
        <v>1.0001260749356902</v>
      </c>
      <c r="AA141" s="446"/>
    </row>
    <row r="142" spans="2:27" s="443" customFormat="1" ht="12.75" customHeight="1">
      <c r="B142" s="444">
        <v>45629</v>
      </c>
      <c r="C142" s="446"/>
      <c r="D142" s="445">
        <v>0</v>
      </c>
      <c r="E142" s="445">
        <v>54366788677.450012</v>
      </c>
      <c r="F142" s="447">
        <v>0.99508883707072238</v>
      </c>
      <c r="G142" s="446"/>
      <c r="H142" s="445">
        <v>0</v>
      </c>
      <c r="I142" s="445">
        <v>52085066374.963493</v>
      </c>
      <c r="J142" s="447">
        <v>0.9957945597815111</v>
      </c>
      <c r="K142" s="446"/>
      <c r="L142" s="445">
        <v>0</v>
      </c>
      <c r="M142" s="445">
        <v>32884942982.878532</v>
      </c>
      <c r="N142" s="447">
        <v>0.99490152707558877</v>
      </c>
      <c r="O142" s="446"/>
      <c r="P142" s="445">
        <v>0</v>
      </c>
      <c r="Q142" s="445">
        <v>28328265104.909237</v>
      </c>
      <c r="R142" s="447">
        <v>0.99413332029562496</v>
      </c>
      <c r="S142" s="446"/>
      <c r="T142" s="445">
        <v>0</v>
      </c>
      <c r="U142" s="445">
        <v>27345153878.100224</v>
      </c>
      <c r="V142" s="447">
        <v>1</v>
      </c>
      <c r="W142" s="446"/>
      <c r="X142" s="445">
        <v>0</v>
      </c>
      <c r="Y142" s="445">
        <v>22169131634.647739</v>
      </c>
      <c r="Z142" s="447">
        <v>0.99497449300579399</v>
      </c>
      <c r="AA142" s="446"/>
    </row>
    <row r="143" spans="2:27" s="443" customFormat="1" ht="12.75" customHeight="1">
      <c r="B143" s="444">
        <v>45630</v>
      </c>
      <c r="C143" s="446"/>
      <c r="D143" s="445">
        <v>0</v>
      </c>
      <c r="E143" s="445">
        <v>54053383246.901276</v>
      </c>
      <c r="F143" s="447">
        <v>0.99423535143103403</v>
      </c>
      <c r="G143" s="446"/>
      <c r="H143" s="445">
        <v>0</v>
      </c>
      <c r="I143" s="445">
        <v>51821255910.093987</v>
      </c>
      <c r="J143" s="447">
        <v>0.99493500760908471</v>
      </c>
      <c r="K143" s="446"/>
      <c r="L143" s="445">
        <v>0</v>
      </c>
      <c r="M143" s="445">
        <v>32688428464.31271</v>
      </c>
      <c r="N143" s="447">
        <v>0.99402417943469945</v>
      </c>
      <c r="O143" s="446"/>
      <c r="P143" s="445">
        <v>0</v>
      </c>
      <c r="Q143" s="445">
        <v>28153665155.222015</v>
      </c>
      <c r="R143" s="447">
        <v>0.99383654632429419</v>
      </c>
      <c r="S143" s="446"/>
      <c r="T143" s="445">
        <v>0</v>
      </c>
      <c r="U143" s="445">
        <v>27216315887.31398</v>
      </c>
      <c r="V143" s="447">
        <v>0.99528845252213316</v>
      </c>
      <c r="W143" s="446"/>
      <c r="X143" s="445">
        <v>0</v>
      </c>
      <c r="Y143" s="445">
        <v>22039100509.994839</v>
      </c>
      <c r="Z143" s="447">
        <v>0.9941345864693375</v>
      </c>
      <c r="AA143" s="446"/>
    </row>
    <row r="144" spans="2:27" s="443" customFormat="1" ht="12.75" customHeight="1">
      <c r="B144" s="444">
        <v>45631</v>
      </c>
      <c r="C144" s="446"/>
      <c r="D144" s="445">
        <v>0</v>
      </c>
      <c r="E144" s="445">
        <v>54114151987.032532</v>
      </c>
      <c r="F144" s="447">
        <v>1.0011242356441166</v>
      </c>
      <c r="G144" s="446"/>
      <c r="H144" s="445">
        <v>0</v>
      </c>
      <c r="I144" s="445">
        <v>51886841132.893723</v>
      </c>
      <c r="J144" s="447">
        <v>1.0012656046567749</v>
      </c>
      <c r="K144" s="446"/>
      <c r="L144" s="445">
        <v>0</v>
      </c>
      <c r="M144" s="445">
        <v>32725681687.570644</v>
      </c>
      <c r="N144" s="447">
        <v>1.001139645587386</v>
      </c>
      <c r="O144" s="446"/>
      <c r="P144" s="445">
        <v>0</v>
      </c>
      <c r="Q144" s="445">
        <v>28177239034.518211</v>
      </c>
      <c r="R144" s="447">
        <v>1.0008373289646739</v>
      </c>
      <c r="S144" s="446"/>
      <c r="T144" s="445">
        <v>0</v>
      </c>
      <c r="U144" s="445">
        <v>27247518490.255814</v>
      </c>
      <c r="V144" s="447">
        <v>1.0011464668131802</v>
      </c>
      <c r="W144" s="446"/>
      <c r="X144" s="445">
        <v>0</v>
      </c>
      <c r="Y144" s="445">
        <v>22065554752.832844</v>
      </c>
      <c r="Z144" s="447">
        <v>1.0012003322379699</v>
      </c>
      <c r="AA144" s="446"/>
    </row>
    <row r="145" spans="2:27" s="443" customFormat="1" ht="12.75" customHeight="1">
      <c r="B145" s="444">
        <v>45632</v>
      </c>
      <c r="C145" s="446"/>
      <c r="D145" s="445">
        <v>0</v>
      </c>
      <c r="E145" s="445">
        <v>54287735013.983818</v>
      </c>
      <c r="F145" s="447">
        <v>1.0032077196182041</v>
      </c>
      <c r="G145" s="446"/>
      <c r="H145" s="445">
        <v>0</v>
      </c>
      <c r="I145" s="445">
        <v>52026944297.792297</v>
      </c>
      <c r="J145" s="447">
        <v>1.0027001675538454</v>
      </c>
      <c r="K145" s="446"/>
      <c r="L145" s="445">
        <v>0</v>
      </c>
      <c r="M145" s="445">
        <v>32833869897.478985</v>
      </c>
      <c r="N145" s="447">
        <v>1.0033059115755389</v>
      </c>
      <c r="O145" s="446"/>
      <c r="P145" s="445">
        <v>0</v>
      </c>
      <c r="Q145" s="445">
        <v>28280073398.214668</v>
      </c>
      <c r="R145" s="447">
        <v>1.0036495542934665</v>
      </c>
      <c r="S145" s="446"/>
      <c r="T145" s="445">
        <v>0</v>
      </c>
      <c r="U145" s="445">
        <v>27318391429.08308</v>
      </c>
      <c r="V145" s="447">
        <v>1.002601078657956</v>
      </c>
      <c r="W145" s="446"/>
      <c r="X145" s="445">
        <v>0</v>
      </c>
      <c r="Y145" s="445">
        <v>22136667770.724976</v>
      </c>
      <c r="Z145" s="447">
        <v>1.0032228067088593</v>
      </c>
      <c r="AA145" s="446"/>
    </row>
    <row r="146" spans="2:27" s="443" customFormat="1" ht="12.75" customHeight="1">
      <c r="B146" s="444">
        <v>45633</v>
      </c>
      <c r="C146" s="446"/>
      <c r="D146" s="445">
        <v>0</v>
      </c>
      <c r="E146" s="445">
        <v>54303710381.668411</v>
      </c>
      <c r="F146" s="447">
        <v>1.0002942721349579</v>
      </c>
      <c r="G146" s="446"/>
      <c r="H146" s="445">
        <v>0</v>
      </c>
      <c r="I146" s="445">
        <v>52042230391.748962</v>
      </c>
      <c r="J146" s="447">
        <v>1.0002938111042841</v>
      </c>
      <c r="K146" s="446"/>
      <c r="L146" s="445">
        <v>0</v>
      </c>
      <c r="M146" s="445">
        <v>32843207262.666214</v>
      </c>
      <c r="N146" s="447">
        <v>1.0002843821095833</v>
      </c>
      <c r="O146" s="446"/>
      <c r="P146" s="445">
        <v>0</v>
      </c>
      <c r="Q146" s="445">
        <v>28288232467.473003</v>
      </c>
      <c r="R146" s="447">
        <v>1.0002885094795706</v>
      </c>
      <c r="S146" s="446"/>
      <c r="T146" s="445">
        <v>0</v>
      </c>
      <c r="U146" s="445">
        <v>27326692994.561134</v>
      </c>
      <c r="V146" s="447">
        <v>1.0003038819287586</v>
      </c>
      <c r="W146" s="446"/>
      <c r="X146" s="445">
        <v>0</v>
      </c>
      <c r="Y146" s="445">
        <v>22142898124.104465</v>
      </c>
      <c r="Z146" s="447">
        <v>1.0002814494685479</v>
      </c>
      <c r="AA146" s="446"/>
    </row>
    <row r="147" spans="2:27" s="443" customFormat="1" ht="12.75" customHeight="1">
      <c r="B147" s="444">
        <v>45634</v>
      </c>
      <c r="C147" s="446"/>
      <c r="D147" s="445">
        <v>0</v>
      </c>
      <c r="E147" s="445">
        <v>54319685749.353012</v>
      </c>
      <c r="F147" s="447">
        <v>1.0002941855643439</v>
      </c>
      <c r="G147" s="446"/>
      <c r="H147" s="445">
        <v>0</v>
      </c>
      <c r="I147" s="445">
        <v>52057516485.705635</v>
      </c>
      <c r="J147" s="447">
        <v>1.000293724804675</v>
      </c>
      <c r="K147" s="446"/>
      <c r="L147" s="445">
        <v>0</v>
      </c>
      <c r="M147" s="445">
        <v>32852544627.853428</v>
      </c>
      <c r="N147" s="447">
        <v>1.0002843012593909</v>
      </c>
      <c r="O147" s="446"/>
      <c r="P147" s="445">
        <v>0</v>
      </c>
      <c r="Q147" s="445">
        <v>28296391536.731335</v>
      </c>
      <c r="R147" s="447">
        <v>1.0002884262658585</v>
      </c>
      <c r="S147" s="446"/>
      <c r="T147" s="445">
        <v>0</v>
      </c>
      <c r="U147" s="445">
        <v>27334994560.039188</v>
      </c>
      <c r="V147" s="447">
        <v>1.0003037896125853</v>
      </c>
      <c r="W147" s="446"/>
      <c r="X147" s="445">
        <v>0</v>
      </c>
      <c r="Y147" s="445">
        <v>22149128477.483944</v>
      </c>
      <c r="Z147" s="447">
        <v>1.0002813702770323</v>
      </c>
      <c r="AA147" s="446"/>
    </row>
    <row r="148" spans="2:27" s="443" customFormat="1" ht="12.75" customHeight="1">
      <c r="B148" s="444">
        <v>45635</v>
      </c>
      <c r="C148" s="446"/>
      <c r="D148" s="445">
        <v>0</v>
      </c>
      <c r="E148" s="445">
        <v>54471132117.037613</v>
      </c>
      <c r="F148" s="447">
        <v>1.0027880567715988</v>
      </c>
      <c r="G148" s="446"/>
      <c r="H148" s="445">
        <v>0</v>
      </c>
      <c r="I148" s="445">
        <v>52189797244.570801</v>
      </c>
      <c r="J148" s="447">
        <v>1.0025410501267669</v>
      </c>
      <c r="K148" s="446"/>
      <c r="L148" s="445">
        <v>0</v>
      </c>
      <c r="M148" s="445">
        <v>32946701335.124001</v>
      </c>
      <c r="N148" s="447">
        <v>1.0028660400080769</v>
      </c>
      <c r="O148" s="446"/>
      <c r="P148" s="445">
        <v>0</v>
      </c>
      <c r="Q148" s="445">
        <v>28378519750.314274</v>
      </c>
      <c r="R148" s="447">
        <v>1.0029024270983926</v>
      </c>
      <c r="S148" s="446"/>
      <c r="T148" s="445">
        <v>0</v>
      </c>
      <c r="U148" s="445">
        <v>27401177899.674644</v>
      </c>
      <c r="V148" s="447">
        <v>1.0024211945420398</v>
      </c>
      <c r="W148" s="446"/>
      <c r="X148" s="445">
        <v>0</v>
      </c>
      <c r="Y148" s="445">
        <v>22212541457.324772</v>
      </c>
      <c r="Z148" s="447">
        <v>1.0028630011291546</v>
      </c>
      <c r="AA148" s="446"/>
    </row>
    <row r="149" spans="2:27" s="443" customFormat="1" ht="12.75" customHeight="1">
      <c r="B149" s="444">
        <v>45636</v>
      </c>
      <c r="C149" s="446"/>
      <c r="D149" s="445">
        <v>0</v>
      </c>
      <c r="E149" s="445">
        <v>54567403998.588898</v>
      </c>
      <c r="F149" s="447">
        <v>1</v>
      </c>
      <c r="G149" s="446"/>
      <c r="H149" s="445">
        <v>0</v>
      </c>
      <c r="I149" s="445">
        <v>52276900044.877113</v>
      </c>
      <c r="J149" s="447">
        <v>1</v>
      </c>
      <c r="K149" s="446"/>
      <c r="L149" s="445">
        <v>0</v>
      </c>
      <c r="M149" s="445">
        <v>33006544855.090038</v>
      </c>
      <c r="N149" s="447">
        <v>1</v>
      </c>
      <c r="O149" s="446"/>
      <c r="P149" s="445">
        <v>0</v>
      </c>
      <c r="Q149" s="445">
        <v>28428885653.315357</v>
      </c>
      <c r="R149" s="447">
        <v>1</v>
      </c>
      <c r="S149" s="446"/>
      <c r="T149" s="445">
        <v>0</v>
      </c>
      <c r="U149" s="445">
        <v>27444003474.784969</v>
      </c>
      <c r="V149" s="447">
        <v>1</v>
      </c>
      <c r="W149" s="446"/>
      <c r="X149" s="445">
        <v>0</v>
      </c>
      <c r="Y149" s="445">
        <v>22252800126.469719</v>
      </c>
      <c r="Z149" s="447">
        <v>0.91651432785292408</v>
      </c>
      <c r="AA149" s="446"/>
    </row>
    <row r="150" spans="2:27" s="443" customFormat="1" ht="12.75" customHeight="1">
      <c r="B150" s="444">
        <v>45637</v>
      </c>
      <c r="C150" s="446"/>
      <c r="D150" s="445">
        <v>0</v>
      </c>
      <c r="E150" s="445">
        <v>54687864674.653015</v>
      </c>
      <c r="F150" s="447">
        <v>0.96470854917726712</v>
      </c>
      <c r="G150" s="446"/>
      <c r="H150" s="445">
        <v>0</v>
      </c>
      <c r="I150" s="445">
        <v>52387508871.344315</v>
      </c>
      <c r="J150" s="447">
        <v>0.9197112224231021</v>
      </c>
      <c r="K150" s="446"/>
      <c r="L150" s="445">
        <v>0</v>
      </c>
      <c r="M150" s="445">
        <v>33081623657.503296</v>
      </c>
      <c r="N150" s="447">
        <v>0.99112946367877464</v>
      </c>
      <c r="O150" s="446"/>
      <c r="P150" s="445">
        <v>0</v>
      </c>
      <c r="Q150" s="445">
        <v>28491269499.530518</v>
      </c>
      <c r="R150" s="447">
        <v>0.95926245038649027</v>
      </c>
      <c r="S150" s="446"/>
      <c r="T150" s="445">
        <v>0</v>
      </c>
      <c r="U150" s="445">
        <v>27496690022.264759</v>
      </c>
      <c r="V150" s="447">
        <v>0.83273426765915226</v>
      </c>
      <c r="W150" s="446"/>
      <c r="X150" s="445">
        <v>0</v>
      </c>
      <c r="Y150" s="445">
        <v>22303197887.413074</v>
      </c>
      <c r="Z150" s="447">
        <v>1</v>
      </c>
      <c r="AA150" s="446"/>
    </row>
    <row r="151" spans="2:27" s="443" customFormat="1" ht="12.75" customHeight="1">
      <c r="B151" s="444">
        <v>45638</v>
      </c>
      <c r="C151" s="446"/>
      <c r="D151" s="445">
        <v>0</v>
      </c>
      <c r="E151" s="445">
        <v>55545499157.681267</v>
      </c>
      <c r="F151" s="447">
        <v>1.01568235454301</v>
      </c>
      <c r="G151" s="446"/>
      <c r="H151" s="445">
        <v>0</v>
      </c>
      <c r="I151" s="445">
        <v>53077782293.398621</v>
      </c>
      <c r="J151" s="447">
        <v>1.01317629787951</v>
      </c>
      <c r="K151" s="446"/>
      <c r="L151" s="445">
        <v>0</v>
      </c>
      <c r="M151" s="445">
        <v>33614993824.634876</v>
      </c>
      <c r="N151" s="447">
        <v>1.0161228533597264</v>
      </c>
      <c r="O151" s="446"/>
      <c r="P151" s="445">
        <v>0</v>
      </c>
      <c r="Q151" s="445">
        <v>29027695544.262386</v>
      </c>
      <c r="R151" s="447">
        <v>1.0175323843237931</v>
      </c>
      <c r="S151" s="446"/>
      <c r="T151" s="445">
        <v>0</v>
      </c>
      <c r="U151" s="445">
        <v>27854312738.678791</v>
      </c>
      <c r="V151" s="447">
        <v>1.0130060278573332</v>
      </c>
      <c r="W151" s="446"/>
      <c r="X151" s="445">
        <v>0</v>
      </c>
      <c r="Y151" s="445">
        <v>22656018026.646652</v>
      </c>
      <c r="Z151" s="447">
        <v>1.0158192623772886</v>
      </c>
      <c r="AA151" s="446"/>
    </row>
    <row r="152" spans="2:27" s="443" customFormat="1" ht="12.75" customHeight="1">
      <c r="B152" s="444">
        <v>45639</v>
      </c>
      <c r="C152" s="446"/>
      <c r="D152" s="445">
        <v>0</v>
      </c>
      <c r="E152" s="445">
        <v>55561492324.732895</v>
      </c>
      <c r="F152" s="447">
        <v>1.0002879291264668</v>
      </c>
      <c r="G152" s="446"/>
      <c r="H152" s="445">
        <v>0</v>
      </c>
      <c r="I152" s="445">
        <v>53093111691.792908</v>
      </c>
      <c r="J152" s="447">
        <v>1.0002888100770593</v>
      </c>
      <c r="K152" s="446"/>
      <c r="L152" s="445">
        <v>0</v>
      </c>
      <c r="M152" s="445">
        <v>33624334472.952927</v>
      </c>
      <c r="N152" s="447">
        <v>1.0002778714869556</v>
      </c>
      <c r="O152" s="446"/>
      <c r="P152" s="445">
        <v>0</v>
      </c>
      <c r="Q152" s="445">
        <v>29035835142.870316</v>
      </c>
      <c r="R152" s="447">
        <v>1.0002804080191456</v>
      </c>
      <c r="S152" s="446"/>
      <c r="T152" s="445">
        <v>0</v>
      </c>
      <c r="U152" s="445">
        <v>27862644069.721016</v>
      </c>
      <c r="V152" s="447">
        <v>1.0002991038091797</v>
      </c>
      <c r="W152" s="446"/>
      <c r="X152" s="445">
        <v>0</v>
      </c>
      <c r="Y152" s="445">
        <v>22662262497.292206</v>
      </c>
      <c r="Z152" s="447">
        <v>1.0002756208367336</v>
      </c>
      <c r="AA152" s="446"/>
    </row>
    <row r="153" spans="2:27" s="443" customFormat="1" ht="12.75" customHeight="1">
      <c r="B153" s="444">
        <v>45640</v>
      </c>
      <c r="C153" s="446"/>
      <c r="D153" s="445">
        <v>0</v>
      </c>
      <c r="E153" s="445">
        <v>55577485491.784531</v>
      </c>
      <c r="F153" s="447">
        <v>1.0002878462471483</v>
      </c>
      <c r="G153" s="446"/>
      <c r="H153" s="445">
        <v>0</v>
      </c>
      <c r="I153" s="445">
        <v>53108441090.187195</v>
      </c>
      <c r="J153" s="447">
        <v>1.0002887266898817</v>
      </c>
      <c r="K153" s="446"/>
      <c r="L153" s="445">
        <v>0</v>
      </c>
      <c r="M153" s="445">
        <v>33633675121.270985</v>
      </c>
      <c r="N153" s="447">
        <v>1.0002777942958416</v>
      </c>
      <c r="O153" s="446"/>
      <c r="P153" s="445">
        <v>0</v>
      </c>
      <c r="Q153" s="445">
        <v>29043974741.478249</v>
      </c>
      <c r="R153" s="447">
        <v>1.0002803294125304</v>
      </c>
      <c r="S153" s="446"/>
      <c r="T153" s="445">
        <v>0</v>
      </c>
      <c r="U153" s="445">
        <v>27870975400.763241</v>
      </c>
      <c r="V153" s="447">
        <v>1.0002990143728419</v>
      </c>
      <c r="W153" s="446"/>
      <c r="X153" s="445">
        <v>0</v>
      </c>
      <c r="Y153" s="445">
        <v>22668506967.937763</v>
      </c>
      <c r="Z153" s="447">
        <v>1.0002755448908203</v>
      </c>
      <c r="AA153" s="446"/>
    </row>
    <row r="154" spans="2:27" s="443" customFormat="1" ht="12.75" customHeight="1">
      <c r="B154" s="444">
        <v>45641</v>
      </c>
      <c r="C154" s="446"/>
      <c r="D154" s="445">
        <v>0</v>
      </c>
      <c r="E154" s="445">
        <v>55593478658.836151</v>
      </c>
      <c r="F154" s="447">
        <v>1.0002877634155289</v>
      </c>
      <c r="G154" s="446"/>
      <c r="H154" s="445">
        <v>0</v>
      </c>
      <c r="I154" s="445">
        <v>53123770488.581482</v>
      </c>
      <c r="J154" s="447">
        <v>1.0002886433508424</v>
      </c>
      <c r="K154" s="446"/>
      <c r="L154" s="445">
        <v>0</v>
      </c>
      <c r="M154" s="445">
        <v>33643015769.589043</v>
      </c>
      <c r="N154" s="447">
        <v>1.0002777171476023</v>
      </c>
      <c r="O154" s="446"/>
      <c r="P154" s="445">
        <v>0</v>
      </c>
      <c r="Q154" s="445">
        <v>29052114340.086193</v>
      </c>
      <c r="R154" s="447">
        <v>1.0002802508499749</v>
      </c>
      <c r="S154" s="446"/>
      <c r="T154" s="445">
        <v>0</v>
      </c>
      <c r="U154" s="445">
        <v>27879306731.805462</v>
      </c>
      <c r="V154" s="447">
        <v>1.0002989249899734</v>
      </c>
      <c r="W154" s="446"/>
      <c r="X154" s="445">
        <v>0</v>
      </c>
      <c r="Y154" s="445">
        <v>22674751438.583313</v>
      </c>
      <c r="Z154" s="447">
        <v>1.0002754689867481</v>
      </c>
      <c r="AA154" s="446"/>
    </row>
    <row r="155" spans="2:27" s="443" customFormat="1" ht="12.75" customHeight="1">
      <c r="B155" s="444">
        <v>45642</v>
      </c>
      <c r="C155" s="446"/>
      <c r="D155" s="445">
        <v>0</v>
      </c>
      <c r="E155" s="445">
        <v>55669389325.887772</v>
      </c>
      <c r="F155" s="447">
        <v>1.0013654599223314</v>
      </c>
      <c r="G155" s="446"/>
      <c r="H155" s="445">
        <v>0</v>
      </c>
      <c r="I155" s="445">
        <v>53190342548.577042</v>
      </c>
      <c r="J155" s="447">
        <v>1.0012531501319144</v>
      </c>
      <c r="K155" s="446"/>
      <c r="L155" s="445">
        <v>0</v>
      </c>
      <c r="M155" s="445">
        <v>33690404184.395023</v>
      </c>
      <c r="N155" s="447">
        <v>1.0014085661978263</v>
      </c>
      <c r="O155" s="446"/>
      <c r="P155" s="445">
        <v>0</v>
      </c>
      <c r="Q155" s="445">
        <v>29095328179.437511</v>
      </c>
      <c r="R155" s="447">
        <v>1.0014874593582228</v>
      </c>
      <c r="S155" s="446"/>
      <c r="T155" s="445">
        <v>0</v>
      </c>
      <c r="U155" s="445">
        <v>22376877878.814255</v>
      </c>
      <c r="V155" s="447">
        <v>0.80263394258961651</v>
      </c>
      <c r="W155" s="446"/>
      <c r="X155" s="445">
        <v>0</v>
      </c>
      <c r="Y155" s="445">
        <v>22706780625.1008</v>
      </c>
      <c r="Z155" s="447">
        <v>1.0014125485169811</v>
      </c>
      <c r="AA155" s="446"/>
    </row>
    <row r="156" spans="2:27" s="443" customFormat="1" ht="12.75" customHeight="1">
      <c r="B156" s="444">
        <v>45643</v>
      </c>
      <c r="C156" s="446"/>
      <c r="D156" s="445">
        <v>0</v>
      </c>
      <c r="E156" s="445">
        <v>51283325185.707619</v>
      </c>
      <c r="F156" s="447">
        <v>0.92121228213041462</v>
      </c>
      <c r="G156" s="446"/>
      <c r="H156" s="445">
        <v>0</v>
      </c>
      <c r="I156" s="445">
        <v>52806801081.885834</v>
      </c>
      <c r="J156" s="447">
        <v>0.99278926496213238</v>
      </c>
      <c r="K156" s="446"/>
      <c r="L156" s="445">
        <v>0</v>
      </c>
      <c r="M156" s="445">
        <v>33401385959.553955</v>
      </c>
      <c r="N156" s="447">
        <v>0.99142134884285726</v>
      </c>
      <c r="O156" s="446"/>
      <c r="P156" s="445">
        <v>0</v>
      </c>
      <c r="Q156" s="445">
        <v>28214711070.288174</v>
      </c>
      <c r="R156" s="447">
        <v>0.9697333845585665</v>
      </c>
      <c r="S156" s="446"/>
      <c r="T156" s="445">
        <v>0</v>
      </c>
      <c r="U156" s="445">
        <v>27721503402.488293</v>
      </c>
      <c r="V156" s="447">
        <v>1.2388458994422169</v>
      </c>
      <c r="W156" s="446"/>
      <c r="X156" s="445">
        <v>0</v>
      </c>
      <c r="Y156" s="445">
        <v>22515369361.047092</v>
      </c>
      <c r="Z156" s="447">
        <v>0.99157030372495358</v>
      </c>
      <c r="AA156" s="446"/>
    </row>
    <row r="157" spans="2:27" s="443" customFormat="1" ht="12.75" customHeight="1">
      <c r="B157" s="444">
        <v>45644</v>
      </c>
      <c r="C157" s="446"/>
      <c r="D157" s="445">
        <v>0</v>
      </c>
      <c r="E157" s="445">
        <v>51297696700.127464</v>
      </c>
      <c r="F157" s="447">
        <v>1.0002802375697715</v>
      </c>
      <c r="G157" s="446"/>
      <c r="H157" s="445">
        <v>0</v>
      </c>
      <c r="I157" s="445">
        <v>52822130480.280121</v>
      </c>
      <c r="J157" s="447">
        <v>1.0002902921229884</v>
      </c>
      <c r="K157" s="446"/>
      <c r="L157" s="445">
        <v>0</v>
      </c>
      <c r="M157" s="445">
        <v>33410724110.674515</v>
      </c>
      <c r="N157" s="447">
        <v>1.0002795737617556</v>
      </c>
      <c r="O157" s="446"/>
      <c r="P157" s="445">
        <v>0</v>
      </c>
      <c r="Q157" s="445">
        <v>28773378657.394917</v>
      </c>
      <c r="R157" s="447">
        <v>1.0198005779933381</v>
      </c>
      <c r="S157" s="446"/>
      <c r="T157" s="445">
        <v>0</v>
      </c>
      <c r="U157" s="445">
        <v>27729830461.163013</v>
      </c>
      <c r="V157" s="447">
        <v>1.0003003826507466</v>
      </c>
      <c r="W157" s="446"/>
      <c r="X157" s="445">
        <v>0</v>
      </c>
      <c r="Y157" s="445">
        <v>22521608200.238007</v>
      </c>
      <c r="Z157" s="447">
        <v>1.0002770924647457</v>
      </c>
      <c r="AA157" s="446"/>
    </row>
    <row r="158" spans="2:27" s="443" customFormat="1" ht="12.75" customHeight="1">
      <c r="B158" s="444">
        <v>45645</v>
      </c>
      <c r="C158" s="446"/>
      <c r="D158" s="445">
        <v>0</v>
      </c>
      <c r="E158" s="445">
        <v>55731874094.10302</v>
      </c>
      <c r="F158" s="447">
        <v>1.0864400875520117</v>
      </c>
      <c r="G158" s="446"/>
      <c r="H158" s="445">
        <v>0</v>
      </c>
      <c r="I158" s="445">
        <v>53252043299.484344</v>
      </c>
      <c r="J158" s="447">
        <v>1.0081388769308486</v>
      </c>
      <c r="K158" s="446"/>
      <c r="L158" s="445">
        <v>0</v>
      </c>
      <c r="M158" s="445">
        <v>33727444066.931702</v>
      </c>
      <c r="N158" s="447">
        <v>1.0094795897032354</v>
      </c>
      <c r="O158" s="446"/>
      <c r="P158" s="445">
        <v>0</v>
      </c>
      <c r="Q158" s="445">
        <v>29011908799.486477</v>
      </c>
      <c r="R158" s="447">
        <v>1.0082899594424326</v>
      </c>
      <c r="S158" s="446"/>
      <c r="T158" s="445">
        <v>0</v>
      </c>
      <c r="U158" s="445">
        <v>27945598559.497993</v>
      </c>
      <c r="V158" s="447">
        <v>1.0077810824929916</v>
      </c>
      <c r="W158" s="446"/>
      <c r="X158" s="445">
        <v>0</v>
      </c>
      <c r="Y158" s="445">
        <v>22732565293.185555</v>
      </c>
      <c r="Z158" s="447">
        <v>1.0093668751836877</v>
      </c>
      <c r="AA158" s="446"/>
    </row>
    <row r="159" spans="2:27" s="443" customFormat="1" ht="12.75" customHeight="1">
      <c r="B159" s="444">
        <v>45646</v>
      </c>
      <c r="C159" s="446"/>
      <c r="D159" s="445">
        <v>0</v>
      </c>
      <c r="E159" s="445">
        <v>55747866492.064774</v>
      </c>
      <c r="F159" s="447">
        <v>1.0002869524526441</v>
      </c>
      <c r="G159" s="446"/>
      <c r="H159" s="445">
        <v>0</v>
      </c>
      <c r="I159" s="445">
        <v>53267372419.104332</v>
      </c>
      <c r="J159" s="447">
        <v>1.0002878597452829</v>
      </c>
      <c r="K159" s="446"/>
      <c r="L159" s="445">
        <v>0</v>
      </c>
      <c r="M159" s="445">
        <v>33736786745.912254</v>
      </c>
      <c r="N159" s="447">
        <v>1.0002770052471812</v>
      </c>
      <c r="O159" s="446"/>
      <c r="P159" s="445">
        <v>0</v>
      </c>
      <c r="Q159" s="445">
        <v>29020263161.200047</v>
      </c>
      <c r="R159" s="447">
        <v>1.0002879631868178</v>
      </c>
      <c r="S159" s="446"/>
      <c r="T159" s="445">
        <v>0</v>
      </c>
      <c r="U159" s="445">
        <v>27953921338.75605</v>
      </c>
      <c r="V159" s="447">
        <v>1.0002978207548618</v>
      </c>
      <c r="W159" s="446"/>
      <c r="X159" s="445">
        <v>0</v>
      </c>
      <c r="Y159" s="445">
        <v>22738804132.376461</v>
      </c>
      <c r="Z159" s="447">
        <v>1.0002744450135936</v>
      </c>
      <c r="AA159" s="446"/>
    </row>
    <row r="160" spans="2:27" s="443" customFormat="1" ht="12.75" customHeight="1">
      <c r="B160" s="444">
        <v>45647</v>
      </c>
      <c r="C160" s="446"/>
      <c r="D160" s="445">
        <v>0</v>
      </c>
      <c r="E160" s="445">
        <v>55763858890.026512</v>
      </c>
      <c r="F160" s="447">
        <v>1.0002868701345551</v>
      </c>
      <c r="G160" s="446"/>
      <c r="H160" s="445">
        <v>0</v>
      </c>
      <c r="I160" s="445">
        <v>53282701538.724319</v>
      </c>
      <c r="J160" s="447">
        <v>1.0002877769058962</v>
      </c>
      <c r="K160" s="446"/>
      <c r="L160" s="445">
        <v>0</v>
      </c>
      <c r="M160" s="445">
        <v>33746129424.892818</v>
      </c>
      <c r="N160" s="447">
        <v>1.0002769285365238</v>
      </c>
      <c r="O160" s="446"/>
      <c r="P160" s="445">
        <v>0</v>
      </c>
      <c r="Q160" s="445">
        <v>29028617522.913624</v>
      </c>
      <c r="R160" s="447">
        <v>1.0002878802878929</v>
      </c>
      <c r="S160" s="446"/>
      <c r="T160" s="445">
        <v>0</v>
      </c>
      <c r="U160" s="445">
        <v>27962244118.014107</v>
      </c>
      <c r="V160" s="447">
        <v>1.0002977320840678</v>
      </c>
      <c r="W160" s="446"/>
      <c r="X160" s="445">
        <v>0</v>
      </c>
      <c r="Y160" s="445">
        <v>22745042971.567383</v>
      </c>
      <c r="Z160" s="447">
        <v>1.0002743697141943</v>
      </c>
      <c r="AA160" s="446"/>
    </row>
    <row r="161" spans="2:27" s="443" customFormat="1" ht="12.75" customHeight="1">
      <c r="B161" s="444">
        <v>45648</v>
      </c>
      <c r="C161" s="446"/>
      <c r="D161" s="445">
        <v>0</v>
      </c>
      <c r="E161" s="445">
        <v>55740378037.988251</v>
      </c>
      <c r="F161" s="447">
        <v>0.99957892347291522</v>
      </c>
      <c r="G161" s="446"/>
      <c r="H161" s="445">
        <v>0</v>
      </c>
      <c r="I161" s="445">
        <v>53272387770.666779</v>
      </c>
      <c r="J161" s="447">
        <v>0.99980643308691763</v>
      </c>
      <c r="K161" s="446"/>
      <c r="L161" s="445">
        <v>0</v>
      </c>
      <c r="M161" s="445">
        <v>33732495515.556282</v>
      </c>
      <c r="N161" s="447">
        <v>0.99959598598212929</v>
      </c>
      <c r="O161" s="446"/>
      <c r="P161" s="445">
        <v>0</v>
      </c>
      <c r="Q161" s="445">
        <v>29033818778.086391</v>
      </c>
      <c r="R161" s="447">
        <v>1.0001791768129731</v>
      </c>
      <c r="S161" s="446"/>
      <c r="T161" s="445">
        <v>0</v>
      </c>
      <c r="U161" s="445">
        <v>27955967659.866196</v>
      </c>
      <c r="V161" s="447">
        <v>0.99977553811055286</v>
      </c>
      <c r="W161" s="446"/>
      <c r="X161" s="445">
        <v>0</v>
      </c>
      <c r="Y161" s="445">
        <v>22735112281.007393</v>
      </c>
      <c r="Z161" s="447">
        <v>0.99956339099590163</v>
      </c>
      <c r="AA161" s="446"/>
    </row>
    <row r="162" spans="2:27" s="443" customFormat="1" ht="12.75" customHeight="1">
      <c r="B162" s="444">
        <v>45649</v>
      </c>
      <c r="C162" s="446"/>
      <c r="D162" s="445">
        <v>0</v>
      </c>
      <c r="E162" s="445">
        <v>55792434176.666672</v>
      </c>
      <c r="F162" s="447">
        <v>1.0009339035814027</v>
      </c>
      <c r="G162" s="446"/>
      <c r="H162" s="445">
        <v>0</v>
      </c>
      <c r="I162" s="445">
        <v>53316786956.557808</v>
      </c>
      <c r="J162" s="447">
        <v>1.0008334371284833</v>
      </c>
      <c r="K162" s="446"/>
      <c r="L162" s="445">
        <v>0</v>
      </c>
      <c r="M162" s="445">
        <v>33764322815.982113</v>
      </c>
      <c r="N162" s="447">
        <v>1.0009435204819386</v>
      </c>
      <c r="O162" s="446"/>
      <c r="P162" s="445">
        <v>0</v>
      </c>
      <c r="Q162" s="445">
        <v>29061482072.55817</v>
      </c>
      <c r="R162" s="447">
        <v>1.0009527955892821</v>
      </c>
      <c r="S162" s="446"/>
      <c r="T162" s="445">
        <v>0</v>
      </c>
      <c r="U162" s="445">
        <v>27979386293.383953</v>
      </c>
      <c r="V162" s="447">
        <v>1.0008376971172197</v>
      </c>
      <c r="W162" s="446"/>
      <c r="X162" s="445">
        <v>0</v>
      </c>
      <c r="Y162" s="445">
        <v>22756400182.153915</v>
      </c>
      <c r="Z162" s="447">
        <v>1.0009363446673762</v>
      </c>
      <c r="AA162" s="446"/>
    </row>
    <row r="163" spans="2:27" s="443" customFormat="1" ht="12.75" customHeight="1">
      <c r="B163" s="444">
        <v>45650</v>
      </c>
      <c r="C163" s="446"/>
      <c r="D163" s="445">
        <v>0</v>
      </c>
      <c r="E163" s="445">
        <v>55863032329.976509</v>
      </c>
      <c r="F163" s="447">
        <v>1.0012653714495821</v>
      </c>
      <c r="G163" s="446"/>
      <c r="H163" s="445">
        <v>0</v>
      </c>
      <c r="I163" s="445">
        <v>53372886337.577255</v>
      </c>
      <c r="J163" s="447">
        <v>1.0010521898302904</v>
      </c>
      <c r="K163" s="446"/>
      <c r="L163" s="445">
        <v>0</v>
      </c>
      <c r="M163" s="445">
        <v>33807850535.45665</v>
      </c>
      <c r="N163" s="447">
        <v>1.001289163111956</v>
      </c>
      <c r="O163" s="446"/>
      <c r="P163" s="445">
        <v>0</v>
      </c>
      <c r="Q163" s="445">
        <v>28864684835.574909</v>
      </c>
      <c r="R163" s="447">
        <v>0.99322824498448103</v>
      </c>
      <c r="S163" s="446"/>
      <c r="T163" s="445">
        <v>0</v>
      </c>
      <c r="U163" s="445">
        <v>28009064110.538311</v>
      </c>
      <c r="V163" s="447">
        <v>1.0010607029347665</v>
      </c>
      <c r="W163" s="446"/>
      <c r="X163" s="445">
        <v>0</v>
      </c>
      <c r="Y163" s="445">
        <v>22785045519.797195</v>
      </c>
      <c r="Z163" s="447">
        <v>1.0012587815917275</v>
      </c>
      <c r="AA163" s="446"/>
    </row>
    <row r="164" spans="2:27" s="443" customFormat="1" ht="12.75" customHeight="1">
      <c r="B164" s="444">
        <v>45651</v>
      </c>
      <c r="C164" s="446"/>
      <c r="D164" s="445">
        <v>0</v>
      </c>
      <c r="E164" s="445">
        <v>55879776807.276344</v>
      </c>
      <c r="F164" s="447">
        <v>1.0002997416466928</v>
      </c>
      <c r="G164" s="446"/>
      <c r="H164" s="445">
        <v>0</v>
      </c>
      <c r="I164" s="445">
        <v>53395925493.502655</v>
      </c>
      <c r="J164" s="447">
        <v>1.0004316640434185</v>
      </c>
      <c r="K164" s="446"/>
      <c r="L164" s="445">
        <v>0</v>
      </c>
      <c r="M164" s="445">
        <v>33816528688.93219</v>
      </c>
      <c r="N164" s="447">
        <v>1.0002566904827752</v>
      </c>
      <c r="O164" s="446"/>
      <c r="P164" s="445">
        <v>0</v>
      </c>
      <c r="Q164" s="445" t="e">
        <v>#DIV/0!</v>
      </c>
      <c r="R164" s="447" t="e">
        <v>#DIV/0!</v>
      </c>
      <c r="S164" s="446"/>
      <c r="T164" s="445">
        <v>0</v>
      </c>
      <c r="U164" s="445">
        <v>28016312932.656395</v>
      </c>
      <c r="V164" s="447">
        <v>1.0002588027250563</v>
      </c>
      <c r="W164" s="446"/>
      <c r="X164" s="445">
        <v>0</v>
      </c>
      <c r="Y164" s="445">
        <v>22789972013.687134</v>
      </c>
      <c r="Z164" s="447">
        <v>1.000216216109187</v>
      </c>
      <c r="AA164" s="446"/>
    </row>
    <row r="165" spans="2:27" s="443" customFormat="1" ht="12.75" customHeight="1">
      <c r="B165" s="444">
        <v>45652</v>
      </c>
      <c r="C165" s="446"/>
      <c r="D165" s="445">
        <v>0</v>
      </c>
      <c r="E165" s="445">
        <v>55903519113.666191</v>
      </c>
      <c r="F165" s="447">
        <v>1.0004248819116035</v>
      </c>
      <c r="G165" s="446"/>
      <c r="H165" s="445">
        <v>0</v>
      </c>
      <c r="I165" s="445">
        <v>53423523584.465691</v>
      </c>
      <c r="J165" s="447">
        <v>1.0005168576199019</v>
      </c>
      <c r="K165" s="446"/>
      <c r="L165" s="445">
        <v>0</v>
      </c>
      <c r="M165" s="445">
        <v>33838436452.535229</v>
      </c>
      <c r="N165" s="447">
        <v>1.0006478418824285</v>
      </c>
      <c r="O165" s="446"/>
      <c r="P165" s="445">
        <v>0</v>
      </c>
      <c r="Q165" s="445">
        <v>29157323442.191315</v>
      </c>
      <c r="R165" s="447" t="e">
        <v>#DIV/0!</v>
      </c>
      <c r="S165" s="446"/>
      <c r="T165" s="445">
        <v>0</v>
      </c>
      <c r="U165" s="445">
        <v>28029751355.118584</v>
      </c>
      <c r="V165" s="447">
        <v>1.0004796642047258</v>
      </c>
      <c r="W165" s="446"/>
      <c r="X165" s="445">
        <v>0</v>
      </c>
      <c r="Y165" s="445">
        <v>22807983962.072002</v>
      </c>
      <c r="Z165" s="447">
        <v>1.0007903453490006</v>
      </c>
      <c r="AA165" s="446"/>
    </row>
    <row r="166" spans="2:27" s="443" customFormat="1" ht="12.75" customHeight="1">
      <c r="B166" s="444">
        <v>45653</v>
      </c>
      <c r="C166" s="446"/>
      <c r="D166" s="445">
        <v>0</v>
      </c>
      <c r="E166" s="445">
        <v>55919537913.696037</v>
      </c>
      <c r="F166" s="447">
        <v>1.0002865436788921</v>
      </c>
      <c r="G166" s="446"/>
      <c r="H166" s="445">
        <v>0</v>
      </c>
      <c r="I166" s="445">
        <v>53438872644.859024</v>
      </c>
      <c r="J166" s="447">
        <v>1.0002873090235065</v>
      </c>
      <c r="K166" s="446"/>
      <c r="L166" s="445">
        <v>0</v>
      </c>
      <c r="M166" s="445">
        <v>33847780284.27578</v>
      </c>
      <c r="N166" s="447">
        <v>1.0002761307176133</v>
      </c>
      <c r="O166" s="446"/>
      <c r="P166" s="445">
        <v>0</v>
      </c>
      <c r="Q166" s="445">
        <v>29165631300.192188</v>
      </c>
      <c r="R166" s="447">
        <v>1.0002849321206504</v>
      </c>
      <c r="S166" s="446"/>
      <c r="T166" s="445">
        <v>0</v>
      </c>
      <c r="U166" s="445">
        <v>28038124430.073311</v>
      </c>
      <c r="V166" s="447">
        <v>1.0002987209857357</v>
      </c>
      <c r="W166" s="446"/>
      <c r="X166" s="445">
        <v>0</v>
      </c>
      <c r="Y166" s="445">
        <v>22814228333.703384</v>
      </c>
      <c r="Z166" s="447">
        <v>1.0002737800781414</v>
      </c>
      <c r="AA166" s="446"/>
    </row>
    <row r="167" spans="2:27" s="443" customFormat="1" ht="12.75" customHeight="1">
      <c r="B167" s="444">
        <v>45654</v>
      </c>
      <c r="C167" s="446"/>
      <c r="D167" s="445">
        <v>0</v>
      </c>
      <c r="E167" s="445">
        <v>55935556713.725883</v>
      </c>
      <c r="F167" s="447">
        <v>1.0002864615951328</v>
      </c>
      <c r="G167" s="446"/>
      <c r="H167" s="445">
        <v>0</v>
      </c>
      <c r="I167" s="445">
        <v>53454221705.252365</v>
      </c>
      <c r="J167" s="447">
        <v>1.0002872265007412</v>
      </c>
      <c r="K167" s="446"/>
      <c r="L167" s="445">
        <v>0</v>
      </c>
      <c r="M167" s="445">
        <v>33857124116.016331</v>
      </c>
      <c r="N167" s="447">
        <v>1.0002760544904887</v>
      </c>
      <c r="O167" s="446"/>
      <c r="P167" s="445">
        <v>0</v>
      </c>
      <c r="Q167" s="445">
        <v>29173939158.193069</v>
      </c>
      <c r="R167" s="447">
        <v>1.0002848509574633</v>
      </c>
      <c r="S167" s="446"/>
      <c r="T167" s="445">
        <v>0</v>
      </c>
      <c r="U167" s="445">
        <v>28046497505.028027</v>
      </c>
      <c r="V167" s="447">
        <v>1.0002986317781561</v>
      </c>
      <c r="W167" s="446"/>
      <c r="X167" s="445">
        <v>0</v>
      </c>
      <c r="Y167" s="445">
        <v>22820472705.334782</v>
      </c>
      <c r="Z167" s="447">
        <v>1.0002737051431265</v>
      </c>
      <c r="AA167" s="446"/>
    </row>
    <row r="168" spans="2:27" s="443" customFormat="1" ht="12.75" customHeight="1">
      <c r="B168" s="444">
        <v>45655</v>
      </c>
      <c r="C168" s="446"/>
      <c r="D168" s="445">
        <v>0</v>
      </c>
      <c r="E168" s="445">
        <v>55881740763.755722</v>
      </c>
      <c r="F168" s="447">
        <v>0.99903789372749807</v>
      </c>
      <c r="G168" s="446"/>
      <c r="H168" s="445">
        <v>0</v>
      </c>
      <c r="I168" s="445">
        <v>53415782228.89566</v>
      </c>
      <c r="J168" s="447">
        <v>0.99928088979447383</v>
      </c>
      <c r="K168" s="446"/>
      <c r="L168" s="445">
        <v>0</v>
      </c>
      <c r="M168" s="445">
        <v>33823272714.851753</v>
      </c>
      <c r="N168" s="447">
        <v>0.99900016903241451</v>
      </c>
      <c r="O168" s="446"/>
      <c r="P168" s="445">
        <v>0</v>
      </c>
      <c r="Q168" s="445">
        <v>29177177150.124172</v>
      </c>
      <c r="R168" s="447">
        <v>1.0001109891918794</v>
      </c>
      <c r="S168" s="446"/>
      <c r="T168" s="445">
        <v>0</v>
      </c>
      <c r="U168" s="445">
        <v>28027052922.528965</v>
      </c>
      <c r="V168" s="447">
        <v>0.9993067019332601</v>
      </c>
      <c r="W168" s="446"/>
      <c r="X168" s="445">
        <v>0</v>
      </c>
      <c r="Y168" s="445">
        <v>22798951683.900166</v>
      </c>
      <c r="Z168" s="447">
        <v>0.99905694234679088</v>
      </c>
      <c r="AA168" s="446"/>
    </row>
    <row r="169" spans="2:27" s="443" customFormat="1" ht="12.75" customHeight="1">
      <c r="B169" s="444">
        <v>45656</v>
      </c>
      <c r="C169" s="446"/>
      <c r="D169" s="445">
        <v>0</v>
      </c>
      <c r="E169" s="445">
        <v>55921381243.960007</v>
      </c>
      <c r="F169" s="447">
        <v>1.0007093637324553</v>
      </c>
      <c r="G169" s="446"/>
      <c r="H169" s="445">
        <v>0</v>
      </c>
      <c r="I169" s="445">
        <v>53449792485.145798</v>
      </c>
      <c r="J169" s="447">
        <v>1.0006367080070904</v>
      </c>
      <c r="K169" s="446"/>
      <c r="L169" s="445">
        <v>0</v>
      </c>
      <c r="M169" s="445">
        <v>33846256867.521889</v>
      </c>
      <c r="N169" s="447">
        <v>1.0006795366274548</v>
      </c>
      <c r="O169" s="446"/>
      <c r="P169" s="445">
        <v>0</v>
      </c>
      <c r="Q169" s="445">
        <v>28914591035.377716</v>
      </c>
      <c r="R169" s="447">
        <v>0.9910002906245734</v>
      </c>
      <c r="S169" s="446"/>
      <c r="T169" s="445">
        <v>0</v>
      </c>
      <c r="U169" s="445">
        <v>28045133368.816994</v>
      </c>
      <c r="V169" s="447">
        <v>1.0006451069378577</v>
      </c>
      <c r="W169" s="446"/>
      <c r="X169" s="445">
        <v>0</v>
      </c>
      <c r="Y169" s="445">
        <v>22815135804.638504</v>
      </c>
      <c r="Z169" s="447">
        <v>1.0007098624955535</v>
      </c>
      <c r="AA169" s="446"/>
    </row>
    <row r="170" spans="2:27" s="443" customFormat="1" ht="12.75" customHeight="1">
      <c r="B170" s="444">
        <v>45657</v>
      </c>
      <c r="C170" s="446"/>
      <c r="D170" s="445">
        <v>0</v>
      </c>
      <c r="E170" s="445">
        <v>55937353883.580551</v>
      </c>
      <c r="F170" s="447">
        <v>1.0002856267006508</v>
      </c>
      <c r="G170" s="446"/>
      <c r="H170" s="445">
        <v>0</v>
      </c>
      <c r="I170" s="445">
        <v>53465141545.539131</v>
      </c>
      <c r="J170" s="447">
        <v>1.0002871678201108</v>
      </c>
      <c r="K170" s="446"/>
      <c r="L170" s="445">
        <v>0</v>
      </c>
      <c r="M170" s="445">
        <v>33855599414.206448</v>
      </c>
      <c r="N170" s="447">
        <v>1.0002760289482269</v>
      </c>
      <c r="O170" s="446"/>
      <c r="P170" s="445">
        <v>0</v>
      </c>
      <c r="Q170" s="445">
        <v>29220980133.234375</v>
      </c>
      <c r="R170" s="447">
        <v>1.0105963490018512</v>
      </c>
      <c r="S170" s="446"/>
      <c r="T170" s="445">
        <v>0</v>
      </c>
      <c r="U170" s="445">
        <v>28053501470.455711</v>
      </c>
      <c r="V170" s="447">
        <v>1.0002983798125924</v>
      </c>
      <c r="W170" s="446"/>
      <c r="X170" s="445">
        <v>0</v>
      </c>
      <c r="Y170" s="445">
        <v>22821380176.26989</v>
      </c>
      <c r="Z170" s="447">
        <v>1.0002736942565171</v>
      </c>
      <c r="AA170" s="446"/>
    </row>
    <row r="171" spans="2:27" s="443" customFormat="1" ht="12.75" customHeight="1">
      <c r="B171" s="444">
        <v>45658</v>
      </c>
      <c r="C171" s="446"/>
      <c r="D171" s="445">
        <v>0</v>
      </c>
      <c r="E171" s="445">
        <v>55953326523.201103</v>
      </c>
      <c r="F171" s="447">
        <v>1.0002855451413342</v>
      </c>
      <c r="G171" s="446"/>
      <c r="H171" s="445">
        <v>0</v>
      </c>
      <c r="I171" s="445">
        <v>53480490605.932472</v>
      </c>
      <c r="J171" s="447">
        <v>1.0002870853784287</v>
      </c>
      <c r="K171" s="446"/>
      <c r="L171" s="445">
        <v>0</v>
      </c>
      <c r="M171" s="445">
        <v>33864941960.890995</v>
      </c>
      <c r="N171" s="447">
        <v>1.0002759527772718</v>
      </c>
      <c r="O171" s="446"/>
      <c r="P171" s="445">
        <v>0</v>
      </c>
      <c r="Q171" s="445">
        <v>29229246368.331036</v>
      </c>
      <c r="R171" s="447">
        <v>1.0002828869893812</v>
      </c>
      <c r="S171" s="446"/>
      <c r="T171" s="445">
        <v>0</v>
      </c>
      <c r="U171" s="445">
        <v>28061869572.094429</v>
      </c>
      <c r="V171" s="447">
        <v>1.0002982908086369</v>
      </c>
      <c r="W171" s="446"/>
      <c r="X171" s="445">
        <v>0</v>
      </c>
      <c r="Y171" s="445">
        <v>22827624547.901279</v>
      </c>
      <c r="Z171" s="447">
        <v>1.0002736193684676</v>
      </c>
      <c r="AA171" s="446"/>
    </row>
    <row r="172" spans="2:27" s="443" customFormat="1" ht="12.75" customHeight="1">
      <c r="B172" s="444">
        <v>45659</v>
      </c>
      <c r="C172" s="446"/>
      <c r="D172" s="445">
        <v>0</v>
      </c>
      <c r="E172" s="445">
        <v>55969299162.821671</v>
      </c>
      <c r="F172" s="447">
        <v>1.0002854636285823</v>
      </c>
      <c r="G172" s="446"/>
      <c r="H172" s="445">
        <v>0</v>
      </c>
      <c r="I172" s="445">
        <v>53495839666.325806</v>
      </c>
      <c r="J172" s="447">
        <v>1.0002870029840683</v>
      </c>
      <c r="K172" s="446"/>
      <c r="L172" s="445">
        <v>0</v>
      </c>
      <c r="M172" s="445">
        <v>33874284507.575558</v>
      </c>
      <c r="N172" s="447">
        <v>1.0002758766483448</v>
      </c>
      <c r="O172" s="446"/>
      <c r="P172" s="445">
        <v>0</v>
      </c>
      <c r="Q172" s="445">
        <v>29237512603.427685</v>
      </c>
      <c r="R172" s="447">
        <v>1.0002828069869638</v>
      </c>
      <c r="S172" s="446"/>
      <c r="T172" s="445">
        <v>0</v>
      </c>
      <c r="U172" s="445">
        <v>28070237673.733154</v>
      </c>
      <c r="V172" s="447">
        <v>1.0002982018577637</v>
      </c>
      <c r="W172" s="446"/>
      <c r="X172" s="445">
        <v>0</v>
      </c>
      <c r="Y172" s="445">
        <v>22833868919.532669</v>
      </c>
      <c r="Z172" s="447">
        <v>1.0002735445213884</v>
      </c>
      <c r="AA172" s="446"/>
    </row>
    <row r="173" spans="2:27" s="443" customFormat="1" ht="12.75" customHeight="1">
      <c r="B173" s="444">
        <v>45660</v>
      </c>
      <c r="C173" s="446"/>
      <c r="D173" s="445">
        <v>0</v>
      </c>
      <c r="E173" s="445">
        <v>55969299162.821671</v>
      </c>
      <c r="F173" s="447">
        <v>1</v>
      </c>
      <c r="G173" s="446"/>
      <c r="H173" s="445">
        <v>0</v>
      </c>
      <c r="I173" s="445">
        <v>53495839666.325806</v>
      </c>
      <c r="J173" s="447">
        <v>1</v>
      </c>
      <c r="K173" s="446"/>
      <c r="L173" s="445">
        <v>0</v>
      </c>
      <c r="M173" s="445">
        <v>33874284507.575558</v>
      </c>
      <c r="N173" s="447">
        <v>1</v>
      </c>
      <c r="O173" s="446"/>
      <c r="P173" s="445">
        <v>0</v>
      </c>
      <c r="Q173" s="445">
        <v>29237512603.427685</v>
      </c>
      <c r="R173" s="447">
        <v>1</v>
      </c>
      <c r="S173" s="446"/>
      <c r="T173" s="445">
        <v>0</v>
      </c>
      <c r="U173" s="445">
        <v>28070237673.733154</v>
      </c>
      <c r="V173" s="447">
        <v>1</v>
      </c>
      <c r="W173" s="446"/>
      <c r="X173" s="445">
        <v>0</v>
      </c>
      <c r="Y173" s="445">
        <v>22833868919.532669</v>
      </c>
      <c r="Z173" s="447">
        <v>1</v>
      </c>
      <c r="AA173" s="446"/>
    </row>
    <row r="174" spans="2:27" s="443" customFormat="1" ht="12.75" customHeight="1">
      <c r="B174" s="444">
        <v>45661</v>
      </c>
      <c r="C174" s="446"/>
      <c r="D174" s="445">
        <v>0</v>
      </c>
      <c r="E174" s="445">
        <v>55985271802.442215</v>
      </c>
      <c r="F174" s="447">
        <v>1.0002853821623543</v>
      </c>
      <c r="G174" s="446"/>
      <c r="H174" s="445">
        <v>0</v>
      </c>
      <c r="I174" s="445">
        <v>53511188726.719139</v>
      </c>
      <c r="J174" s="447">
        <v>1.0002869206369891</v>
      </c>
      <c r="K174" s="446"/>
      <c r="L174" s="445">
        <v>0</v>
      </c>
      <c r="M174" s="445">
        <v>33883627054.260117</v>
      </c>
      <c r="N174" s="447">
        <v>1.0002758005614103</v>
      </c>
      <c r="O174" s="446"/>
      <c r="P174" s="445">
        <v>0</v>
      </c>
      <c r="Q174" s="445">
        <v>29245778838.524349</v>
      </c>
      <c r="R174" s="447">
        <v>1.0002827270297849</v>
      </c>
      <c r="S174" s="446"/>
      <c r="T174" s="445">
        <v>0</v>
      </c>
      <c r="U174" s="445">
        <v>28078605775.37188</v>
      </c>
      <c r="V174" s="447">
        <v>1.0002981129599253</v>
      </c>
      <c r="W174" s="446"/>
      <c r="X174" s="445">
        <v>0</v>
      </c>
      <c r="Y174" s="445">
        <v>22840113291.164059</v>
      </c>
      <c r="Z174" s="447">
        <v>1.000273469715246</v>
      </c>
      <c r="AA174" s="446"/>
    </row>
    <row r="175" spans="2:27" s="443" customFormat="1" ht="12.75" customHeight="1">
      <c r="B175" s="444">
        <v>45662</v>
      </c>
      <c r="C175" s="446"/>
      <c r="D175" s="445">
        <v>0</v>
      </c>
      <c r="E175" s="445">
        <v>56048371692.062767</v>
      </c>
      <c r="F175" s="447">
        <v>1</v>
      </c>
      <c r="G175" s="446"/>
      <c r="H175" s="445">
        <v>0</v>
      </c>
      <c r="I175" s="445">
        <v>53567969822.433304</v>
      </c>
      <c r="J175" s="447">
        <v>1</v>
      </c>
      <c r="K175" s="446"/>
      <c r="L175" s="445">
        <v>0</v>
      </c>
      <c r="M175" s="445">
        <v>33922389689.69767</v>
      </c>
      <c r="N175" s="447">
        <v>1.0088991371590772</v>
      </c>
      <c r="O175" s="446"/>
      <c r="P175" s="445">
        <v>0</v>
      </c>
      <c r="Q175" s="445">
        <v>29280557550.517006</v>
      </c>
      <c r="R175" s="447">
        <v>1.0102729653296096</v>
      </c>
      <c r="S175" s="446"/>
      <c r="T175" s="445">
        <v>0</v>
      </c>
      <c r="U175" s="445">
        <v>28106302235.574127</v>
      </c>
      <c r="V175" s="447">
        <v>1.2476347716612246</v>
      </c>
      <c r="W175" s="446"/>
      <c r="X175" s="445">
        <v>0</v>
      </c>
      <c r="Y175" s="445">
        <v>22866179151.615448</v>
      </c>
      <c r="Z175" s="447">
        <v>1</v>
      </c>
      <c r="AA175" s="446"/>
    </row>
    <row r="176" spans="2:27" s="443" customFormat="1" ht="12.75" customHeight="1">
      <c r="B176" s="444">
        <v>45663</v>
      </c>
      <c r="C176" s="446"/>
      <c r="D176" s="445">
        <v>0</v>
      </c>
      <c r="E176" s="445">
        <v>56031324132.363335</v>
      </c>
      <c r="F176" s="447">
        <v>0.99941122995395182</v>
      </c>
      <c r="G176" s="446"/>
      <c r="H176" s="445">
        <v>0</v>
      </c>
      <c r="I176" s="445">
        <v>53557296978.336098</v>
      </c>
      <c r="J176" s="447">
        <v>0.99951436557060913</v>
      </c>
      <c r="K176" s="446"/>
      <c r="L176" s="445">
        <v>0</v>
      </c>
      <c r="M176" s="445">
        <v>33911068185.41222</v>
      </c>
      <c r="N176" s="447">
        <v>0.99939106916899345</v>
      </c>
      <c r="O176" s="446"/>
      <c r="P176" s="445">
        <v>0</v>
      </c>
      <c r="Q176" s="445">
        <v>29269987894.701366</v>
      </c>
      <c r="R176" s="447">
        <v>0.99935718023946163</v>
      </c>
      <c r="S176" s="446"/>
      <c r="T176" s="445">
        <v>0</v>
      </c>
      <c r="U176" s="445">
        <v>28100758854.667053</v>
      </c>
      <c r="V176" s="447">
        <v>0.99950729777379277</v>
      </c>
      <c r="W176" s="446"/>
      <c r="X176" s="445">
        <v>0</v>
      </c>
      <c r="Y176" s="445">
        <v>22858969910.237839</v>
      </c>
      <c r="Z176" s="447">
        <v>0.99941179766126131</v>
      </c>
      <c r="AA176" s="446"/>
    </row>
    <row r="177" spans="2:27" s="443" customFormat="1" ht="12.75" customHeight="1">
      <c r="B177" s="444">
        <v>45664</v>
      </c>
      <c r="C177" s="446"/>
      <c r="D177" s="445">
        <v>0</v>
      </c>
      <c r="E177" s="445">
        <v>56047307438.84388</v>
      </c>
      <c r="F177" s="447">
        <v>1.0002852566261469</v>
      </c>
      <c r="G177" s="446"/>
      <c r="H177" s="445">
        <v>0</v>
      </c>
      <c r="I177" s="445">
        <v>53572646038.729431</v>
      </c>
      <c r="J177" s="447">
        <v>1.0002865913938774</v>
      </c>
      <c r="K177" s="446"/>
      <c r="L177" s="445">
        <v>0</v>
      </c>
      <c r="M177" s="445">
        <v>33920404669.28278</v>
      </c>
      <c r="N177" s="447">
        <v>1.0002753226120602</v>
      </c>
      <c r="O177" s="446"/>
      <c r="P177" s="445">
        <v>0</v>
      </c>
      <c r="Q177" s="445">
        <v>29278231961.55373</v>
      </c>
      <c r="R177" s="447">
        <v>1.0002816559706831</v>
      </c>
      <c r="S177" s="446"/>
      <c r="T177" s="445">
        <v>0</v>
      </c>
      <c r="U177" s="445">
        <v>28109063240.716774</v>
      </c>
      <c r="V177" s="447">
        <v>1.0002955217719447</v>
      </c>
      <c r="W177" s="446"/>
      <c r="X177" s="445">
        <v>0</v>
      </c>
      <c r="Y177" s="445">
        <v>22865214281.869221</v>
      </c>
      <c r="Z177" s="447">
        <v>1.000273169423465</v>
      </c>
      <c r="AA177" s="446"/>
    </row>
    <row r="178" spans="2:27" s="443" customFormat="1" ht="12.75" customHeight="1">
      <c r="B178" s="444">
        <v>45665</v>
      </c>
      <c r="C178" s="446"/>
      <c r="D178" s="445">
        <v>0</v>
      </c>
      <c r="E178" s="445">
        <v>56046600995.32444</v>
      </c>
      <c r="F178" s="447">
        <v>0.99970230520224335</v>
      </c>
      <c r="G178" s="446"/>
      <c r="H178" s="445">
        <v>0</v>
      </c>
      <c r="I178" s="445">
        <v>53575254423.862343</v>
      </c>
      <c r="J178" s="447">
        <v>0.99976224758480192</v>
      </c>
      <c r="K178" s="446"/>
      <c r="L178" s="445">
        <v>0</v>
      </c>
      <c r="M178" s="445">
        <v>33919539706.659332</v>
      </c>
      <c r="N178" s="447">
        <v>0.99969933615326001</v>
      </c>
      <c r="O178" s="446"/>
      <c r="P178" s="445">
        <v>0</v>
      </c>
      <c r="Q178" s="445">
        <v>29277137438.938084</v>
      </c>
      <c r="R178" s="447">
        <v>0.99968112962928879</v>
      </c>
      <c r="S178" s="446"/>
      <c r="T178" s="445">
        <v>0</v>
      </c>
      <c r="U178" s="445">
        <v>28110763696.90749</v>
      </c>
      <c r="V178" s="447">
        <v>0.99976512986753718</v>
      </c>
      <c r="W178" s="446"/>
      <c r="X178" s="445">
        <v>0</v>
      </c>
      <c r="Y178" s="445">
        <v>22865103091.731613</v>
      </c>
      <c r="Z178" s="447">
        <v>0.99972211821444001</v>
      </c>
      <c r="AA178" s="446"/>
    </row>
    <row r="179" spans="2:27" s="443" customFormat="1" ht="12.75" customHeight="1">
      <c r="B179" s="444">
        <v>45666</v>
      </c>
      <c r="C179" s="446"/>
      <c r="D179" s="445">
        <v>0</v>
      </c>
      <c r="E179" s="445">
        <v>55346446064.534294</v>
      </c>
      <c r="F179" s="447">
        <v>0.98750762903804723</v>
      </c>
      <c r="G179" s="446"/>
      <c r="H179" s="445">
        <v>0</v>
      </c>
      <c r="I179" s="445">
        <v>52961565070.632668</v>
      </c>
      <c r="J179" s="447">
        <v>0.98854528345540926</v>
      </c>
      <c r="K179" s="446"/>
      <c r="L179" s="445">
        <v>0</v>
      </c>
      <c r="M179" s="445">
        <v>33478600226.17263</v>
      </c>
      <c r="N179" s="447">
        <v>0.98700042853470282</v>
      </c>
      <c r="O179" s="446"/>
      <c r="P179" s="445">
        <v>0</v>
      </c>
      <c r="Q179" s="445">
        <v>28906394993.176666</v>
      </c>
      <c r="R179" s="447">
        <v>0.98733679320477774</v>
      </c>
      <c r="S179" s="446"/>
      <c r="T179" s="445">
        <v>0</v>
      </c>
      <c r="U179" s="445">
        <v>27816774279.69957</v>
      </c>
      <c r="V179" s="447">
        <v>0.98954174918982152</v>
      </c>
      <c r="W179" s="446"/>
      <c r="X179" s="445">
        <v>0</v>
      </c>
      <c r="Y179" s="445">
        <v>22568356672.118694</v>
      </c>
      <c r="Z179" s="447">
        <v>0.98702186391102575</v>
      </c>
      <c r="AA179" s="446"/>
    </row>
    <row r="180" spans="2:27" s="443" customFormat="1" ht="12.75" customHeight="1">
      <c r="B180" s="444">
        <v>45667</v>
      </c>
      <c r="C180" s="446"/>
      <c r="D180" s="445">
        <v>0</v>
      </c>
      <c r="E180" s="445">
        <v>55228876661.034134</v>
      </c>
      <c r="F180" s="447">
        <v>1</v>
      </c>
      <c r="G180" s="446"/>
      <c r="H180" s="445">
        <v>0</v>
      </c>
      <c r="I180" s="445">
        <v>52854149050.565254</v>
      </c>
      <c r="J180" s="447">
        <v>0.99988465899949996</v>
      </c>
      <c r="K180" s="446"/>
      <c r="L180" s="445">
        <v>0</v>
      </c>
      <c r="M180" s="445">
        <v>33404886465.724449</v>
      </c>
      <c r="N180" s="447">
        <v>0.99992747924577841</v>
      </c>
      <c r="O180" s="446"/>
      <c r="P180" s="445">
        <v>0</v>
      </c>
      <c r="Q180" s="445">
        <v>28848058649.639805</v>
      </c>
      <c r="R180" s="447">
        <v>0.99997485173122092</v>
      </c>
      <c r="S180" s="446"/>
      <c r="T180" s="445">
        <v>0</v>
      </c>
      <c r="U180" s="445">
        <v>27767465507.191803</v>
      </c>
      <c r="V180" s="447">
        <v>0.99996869415537082</v>
      </c>
      <c r="W180" s="446"/>
      <c r="X180" s="445">
        <v>0</v>
      </c>
      <c r="Y180" s="445">
        <v>22518688682.588299</v>
      </c>
      <c r="Z180" s="447">
        <v>0.99989261969856669</v>
      </c>
      <c r="AA180" s="446"/>
    </row>
    <row r="181" spans="2:27" s="443" customFormat="1" ht="12.75" customHeight="1">
      <c r="B181" s="444">
        <v>45668</v>
      </c>
      <c r="C181" s="446"/>
      <c r="D181" s="445">
        <v>0</v>
      </c>
      <c r="E181" s="445">
        <v>55244936435.557297</v>
      </c>
      <c r="F181" s="447">
        <v>1.0002907858260766</v>
      </c>
      <c r="G181" s="446"/>
      <c r="H181" s="445">
        <v>0</v>
      </c>
      <c r="I181" s="445">
        <v>52869618191.865257</v>
      </c>
      <c r="J181" s="447">
        <v>1.0002926760070474</v>
      </c>
      <c r="K181" s="446"/>
      <c r="L181" s="445">
        <v>0</v>
      </c>
      <c r="M181" s="445">
        <v>33414228298.924999</v>
      </c>
      <c r="N181" s="447">
        <v>1.0002796546909427</v>
      </c>
      <c r="O181" s="446"/>
      <c r="P181" s="445">
        <v>0</v>
      </c>
      <c r="Q181" s="445">
        <v>28856329661.897167</v>
      </c>
      <c r="R181" s="447">
        <v>1.0002867094925803</v>
      </c>
      <c r="S181" s="446"/>
      <c r="T181" s="445">
        <v>0</v>
      </c>
      <c r="U181" s="445">
        <v>27775971856.549862</v>
      </c>
      <c r="V181" s="447">
        <v>1.0003063423039404</v>
      </c>
      <c r="W181" s="446"/>
      <c r="X181" s="445">
        <v>0</v>
      </c>
      <c r="Y181" s="445">
        <v>22524918012.160633</v>
      </c>
      <c r="Z181" s="447">
        <v>1.0002766293215444</v>
      </c>
      <c r="AA181" s="446"/>
    </row>
    <row r="182" spans="2:27" s="443" customFormat="1" ht="12.75" customHeight="1">
      <c r="B182" s="444">
        <v>45669</v>
      </c>
      <c r="C182" s="446"/>
      <c r="D182" s="445">
        <v>0</v>
      </c>
      <c r="E182" s="445">
        <v>55260996210.080482</v>
      </c>
      <c r="F182" s="447">
        <v>1.000290701294261</v>
      </c>
      <c r="G182" s="446"/>
      <c r="H182" s="445">
        <v>0</v>
      </c>
      <c r="I182" s="445">
        <v>52885087333.16526</v>
      </c>
      <c r="J182" s="447">
        <v>1.0002925903728652</v>
      </c>
      <c r="K182" s="446"/>
      <c r="L182" s="445">
        <v>0</v>
      </c>
      <c r="M182" s="445">
        <v>33423570132.125553</v>
      </c>
      <c r="N182" s="447">
        <v>1.0002795765060615</v>
      </c>
      <c r="O182" s="446"/>
      <c r="P182" s="445">
        <v>0</v>
      </c>
      <c r="Q182" s="445">
        <v>28864600674.15453</v>
      </c>
      <c r="R182" s="447">
        <v>1.0002866273138085</v>
      </c>
      <c r="S182" s="446"/>
      <c r="T182" s="445">
        <v>0</v>
      </c>
      <c r="U182" s="445">
        <v>27784478205.907917</v>
      </c>
      <c r="V182" s="447">
        <v>1.0003062484870731</v>
      </c>
      <c r="W182" s="446"/>
      <c r="X182" s="445">
        <v>0</v>
      </c>
      <c r="Y182" s="445">
        <v>22531147341.732983</v>
      </c>
      <c r="Z182" s="447">
        <v>1.0002765528189264</v>
      </c>
      <c r="AA182" s="446"/>
    </row>
    <row r="183" spans="2:27" s="443" customFormat="1" ht="12.75" customHeight="1">
      <c r="B183" s="444">
        <v>45670</v>
      </c>
      <c r="C183" s="446"/>
      <c r="D183" s="445">
        <v>0</v>
      </c>
      <c r="E183" s="445">
        <v>55046714234.603653</v>
      </c>
      <c r="F183" s="447">
        <v>0.99612236495588657</v>
      </c>
      <c r="G183" s="446"/>
      <c r="H183" s="445">
        <v>0</v>
      </c>
      <c r="I183" s="445">
        <v>52738688100.626053</v>
      </c>
      <c r="J183" s="447">
        <v>0.99723174830709982</v>
      </c>
      <c r="K183" s="446"/>
      <c r="L183" s="445">
        <v>0</v>
      </c>
      <c r="M183" s="445">
        <v>33288573671.241016</v>
      </c>
      <c r="N183" s="447">
        <v>0.99596104005793251</v>
      </c>
      <c r="O183" s="446"/>
      <c r="P183" s="445">
        <v>0</v>
      </c>
      <c r="Q183" s="445">
        <v>28727248320.669552</v>
      </c>
      <c r="R183" s="447">
        <v>0.9952414947625462</v>
      </c>
      <c r="S183" s="446"/>
      <c r="T183" s="445">
        <v>0</v>
      </c>
      <c r="U183" s="445">
        <v>27701432950.645401</v>
      </c>
      <c r="V183" s="447">
        <v>0.99701109178127889</v>
      </c>
      <c r="W183" s="446"/>
      <c r="X183" s="445">
        <v>0</v>
      </c>
      <c r="Y183" s="445">
        <v>22446088374.680214</v>
      </c>
      <c r="Z183" s="447">
        <v>0.99622482753484909</v>
      </c>
      <c r="AA183" s="446"/>
    </row>
    <row r="184" spans="2:27" s="443" customFormat="1" ht="12.75" customHeight="1">
      <c r="B184" s="444">
        <v>45671</v>
      </c>
      <c r="C184" s="446"/>
      <c r="D184" s="445">
        <v>0</v>
      </c>
      <c r="E184" s="445">
        <v>55128489997.103485</v>
      </c>
      <c r="F184" s="447">
        <v>1</v>
      </c>
      <c r="G184" s="446"/>
      <c r="H184" s="445">
        <v>0</v>
      </c>
      <c r="I184" s="445">
        <v>52802079508.938622</v>
      </c>
      <c r="J184" s="447">
        <v>1.0000384777024796</v>
      </c>
      <c r="K184" s="446"/>
      <c r="L184" s="445">
        <v>0</v>
      </c>
      <c r="M184" s="445">
        <v>33339680023.459686</v>
      </c>
      <c r="N184" s="447">
        <v>1.0000357630040764</v>
      </c>
      <c r="O184" s="446"/>
      <c r="P184" s="445">
        <v>0</v>
      </c>
      <c r="Q184" s="445">
        <v>28777388262.368904</v>
      </c>
      <c r="R184" s="447">
        <v>1.000012486881213</v>
      </c>
      <c r="S184" s="446"/>
      <c r="T184" s="445">
        <v>0</v>
      </c>
      <c r="U184" s="445">
        <v>27736437894.390427</v>
      </c>
      <c r="V184" s="447">
        <v>1.0000001412557815</v>
      </c>
      <c r="W184" s="446"/>
      <c r="X184" s="445">
        <v>0</v>
      </c>
      <c r="Y184" s="445">
        <v>22478941226.657681</v>
      </c>
      <c r="Z184" s="447">
        <v>1.0000532875764863</v>
      </c>
      <c r="AA184" s="446"/>
    </row>
    <row r="185" spans="2:27" s="443" customFormat="1" ht="12.75" customHeight="1">
      <c r="B185" s="444">
        <v>45672</v>
      </c>
      <c r="C185" s="446"/>
      <c r="D185" s="445">
        <v>0</v>
      </c>
      <c r="E185" s="445">
        <v>54634472355.233337</v>
      </c>
      <c r="F185" s="447">
        <v>0.99103879605815248</v>
      </c>
      <c r="G185" s="446"/>
      <c r="H185" s="445">
        <v>0</v>
      </c>
      <c r="I185" s="445">
        <v>52396737414.638077</v>
      </c>
      <c r="J185" s="447">
        <v>0.99232336873717397</v>
      </c>
      <c r="K185" s="446"/>
      <c r="L185" s="445">
        <v>0</v>
      </c>
      <c r="M185" s="445">
        <v>33030647596.25333</v>
      </c>
      <c r="N185" s="447">
        <v>0.99073079204752701</v>
      </c>
      <c r="O185" s="446"/>
      <c r="P185" s="445">
        <v>0</v>
      </c>
      <c r="Q185" s="445">
        <v>28502642243.966145</v>
      </c>
      <c r="R185" s="447">
        <v>0.99045271183410222</v>
      </c>
      <c r="S185" s="446"/>
      <c r="T185" s="445">
        <v>0</v>
      </c>
      <c r="U185" s="445">
        <v>27532340200.285492</v>
      </c>
      <c r="V185" s="447">
        <v>0.99264153187651349</v>
      </c>
      <c r="W185" s="446"/>
      <c r="X185" s="445">
        <v>0</v>
      </c>
      <c r="Y185" s="445">
        <v>22275076367.329109</v>
      </c>
      <c r="Z185" s="447">
        <v>0.99093085135669967</v>
      </c>
      <c r="AA185" s="446"/>
    </row>
    <row r="186" spans="2:27" s="443" customFormat="1" ht="12.75" customHeight="1">
      <c r="B186" s="444">
        <v>45673</v>
      </c>
      <c r="C186" s="446"/>
      <c r="D186" s="445">
        <v>0</v>
      </c>
      <c r="E186" s="445">
        <v>54401475736.83461</v>
      </c>
      <c r="F186" s="447">
        <v>0.99573535520058132</v>
      </c>
      <c r="G186" s="446"/>
      <c r="H186" s="445">
        <v>0</v>
      </c>
      <c r="I186" s="445">
        <v>52229589115.178871</v>
      </c>
      <c r="J186" s="447">
        <v>0.99680994833444514</v>
      </c>
      <c r="K186" s="446"/>
      <c r="L186" s="445">
        <v>0</v>
      </c>
      <c r="M186" s="445">
        <v>32882493733.396622</v>
      </c>
      <c r="N186" s="447">
        <v>0.99551465461205446</v>
      </c>
      <c r="O186" s="446"/>
      <c r="P186" s="445">
        <v>0</v>
      </c>
      <c r="Q186" s="445">
        <v>28383627901.470707</v>
      </c>
      <c r="R186" s="447">
        <v>0.99582444527504699</v>
      </c>
      <c r="S186" s="446"/>
      <c r="T186" s="445">
        <v>0</v>
      </c>
      <c r="U186" s="445">
        <v>27439848572.603748</v>
      </c>
      <c r="V186" s="447">
        <v>0.99664061874112742</v>
      </c>
      <c r="W186" s="446"/>
      <c r="X186" s="445">
        <v>0</v>
      </c>
      <c r="Y186" s="445">
        <v>22180035921.737324</v>
      </c>
      <c r="Z186" s="447">
        <v>0.99573332795701741</v>
      </c>
      <c r="AA186" s="446"/>
    </row>
    <row r="187" spans="2:27" s="443" customFormat="1" ht="12.75" customHeight="1">
      <c r="B187" s="444">
        <v>45674</v>
      </c>
      <c r="C187" s="446"/>
      <c r="D187" s="445">
        <v>0</v>
      </c>
      <c r="E187" s="445">
        <v>54244765783.505867</v>
      </c>
      <c r="F187" s="447">
        <v>0.99711938047256621</v>
      </c>
      <c r="G187" s="446"/>
      <c r="H187" s="445">
        <v>0</v>
      </c>
      <c r="I187" s="445">
        <v>52112043870.301285</v>
      </c>
      <c r="J187" s="447">
        <v>0.99774945108952762</v>
      </c>
      <c r="K187" s="446"/>
      <c r="L187" s="445">
        <v>0</v>
      </c>
      <c r="M187" s="445">
        <v>32784863769.467911</v>
      </c>
      <c r="N187" s="447">
        <v>0.99703094404213166</v>
      </c>
      <c r="O187" s="446"/>
      <c r="P187" s="445">
        <v>0</v>
      </c>
      <c r="Q187" s="445">
        <v>28286971342.66452</v>
      </c>
      <c r="R187" s="447">
        <v>0.99659463691034444</v>
      </c>
      <c r="S187" s="446"/>
      <c r="T187" s="445">
        <v>0</v>
      </c>
      <c r="U187" s="445">
        <v>27379583433.326889</v>
      </c>
      <c r="V187" s="447">
        <v>0.99780373644856668</v>
      </c>
      <c r="W187" s="446"/>
      <c r="X187" s="445">
        <v>0</v>
      </c>
      <c r="Y187" s="445">
        <v>22117161569.820797</v>
      </c>
      <c r="Z187" s="447">
        <v>0.99716527276428313</v>
      </c>
      <c r="AA187" s="446"/>
    </row>
    <row r="188" spans="2:27" s="443" customFormat="1" ht="12.75" customHeight="1">
      <c r="B188" s="444">
        <v>45675</v>
      </c>
      <c r="C188" s="446"/>
      <c r="D188" s="445">
        <v>0</v>
      </c>
      <c r="E188" s="445">
        <v>54260796403.417145</v>
      </c>
      <c r="F188" s="447">
        <v>1.0002955238110025</v>
      </c>
      <c r="G188" s="446"/>
      <c r="H188" s="445">
        <v>0</v>
      </c>
      <c r="I188" s="445">
        <v>52127350355.534126</v>
      </c>
      <c r="J188" s="447">
        <v>1.0002937226041437</v>
      </c>
      <c r="K188" s="446"/>
      <c r="L188" s="445">
        <v>0</v>
      </c>
      <c r="M188" s="445">
        <v>32794208038.868462</v>
      </c>
      <c r="N188" s="447">
        <v>1.0002850177894975</v>
      </c>
      <c r="O188" s="446"/>
      <c r="P188" s="445">
        <v>0</v>
      </c>
      <c r="Q188" s="445">
        <v>28295175835.419792</v>
      </c>
      <c r="R188" s="447">
        <v>1.0002900449346763</v>
      </c>
      <c r="S188" s="446"/>
      <c r="T188" s="445">
        <v>0</v>
      </c>
      <c r="U188" s="445">
        <v>27387987834.798279</v>
      </c>
      <c r="V188" s="447">
        <v>1.0003069587048998</v>
      </c>
      <c r="W188" s="446"/>
      <c r="X188" s="445">
        <v>0</v>
      </c>
      <c r="Y188" s="445">
        <v>22123409553.030281</v>
      </c>
      <c r="Z188" s="447">
        <v>1.0002824948034024</v>
      </c>
      <c r="AA188" s="446"/>
    </row>
    <row r="189" spans="2:27" s="443" customFormat="1" ht="12.75" customHeight="1">
      <c r="B189" s="444">
        <v>45676</v>
      </c>
      <c r="C189" s="446"/>
      <c r="D189" s="445">
        <v>0</v>
      </c>
      <c r="E189" s="445">
        <v>54276827023.328415</v>
      </c>
      <c r="F189" s="447">
        <v>1.0002954365024812</v>
      </c>
      <c r="G189" s="446"/>
      <c r="H189" s="445">
        <v>0</v>
      </c>
      <c r="I189" s="445">
        <v>52142656840.766991</v>
      </c>
      <c r="J189" s="447">
        <v>1.0002936363565089</v>
      </c>
      <c r="K189" s="446"/>
      <c r="L189" s="445">
        <v>0</v>
      </c>
      <c r="M189" s="445">
        <v>32803552308.269028</v>
      </c>
      <c r="N189" s="447">
        <v>1.0002849365775046</v>
      </c>
      <c r="O189" s="446"/>
      <c r="P189" s="445">
        <v>0</v>
      </c>
      <c r="Q189" s="445">
        <v>28303380328.175076</v>
      </c>
      <c r="R189" s="447">
        <v>1.0002899608330058</v>
      </c>
      <c r="S189" s="446"/>
      <c r="T189" s="445">
        <v>0</v>
      </c>
      <c r="U189" s="445">
        <v>27396392236.269665</v>
      </c>
      <c r="V189" s="447">
        <v>1.0003068645101669</v>
      </c>
      <c r="W189" s="446"/>
      <c r="X189" s="445">
        <v>0</v>
      </c>
      <c r="Y189" s="445">
        <v>22129657536.239769</v>
      </c>
      <c r="Z189" s="447">
        <v>1.0002824150226262</v>
      </c>
      <c r="AA189" s="446"/>
    </row>
    <row r="190" spans="2:27" s="443" customFormat="1" ht="12.75" customHeight="1">
      <c r="B190" s="444">
        <v>45677</v>
      </c>
      <c r="C190" s="446"/>
      <c r="D190" s="445">
        <v>0</v>
      </c>
      <c r="E190" s="445">
        <v>54212922393.239677</v>
      </c>
      <c r="F190" s="447">
        <v>0.99882261669310057</v>
      </c>
      <c r="G190" s="446"/>
      <c r="H190" s="445">
        <v>0</v>
      </c>
      <c r="I190" s="445">
        <v>52067819925.401543</v>
      </c>
      <c r="J190" s="447">
        <v>0.99856476597281985</v>
      </c>
      <c r="K190" s="446"/>
      <c r="L190" s="445">
        <v>0</v>
      </c>
      <c r="M190" s="445">
        <v>32763953556.674004</v>
      </c>
      <c r="N190" s="447">
        <v>0.99879285172462728</v>
      </c>
      <c r="O190" s="446"/>
      <c r="P190" s="445">
        <v>0</v>
      </c>
      <c r="Q190" s="445">
        <v>28291867162.24017</v>
      </c>
      <c r="R190" s="447">
        <v>0.9995932229365746</v>
      </c>
      <c r="S190" s="446"/>
      <c r="T190" s="445">
        <v>0</v>
      </c>
      <c r="U190" s="445">
        <v>27367557457.583649</v>
      </c>
      <c r="V190" s="447">
        <v>0.99894749723111931</v>
      </c>
      <c r="W190" s="446"/>
      <c r="X190" s="445">
        <v>0</v>
      </c>
      <c r="Y190" s="445">
        <v>22101351575.751419</v>
      </c>
      <c r="Z190" s="447">
        <v>0.99872090381688028</v>
      </c>
      <c r="AA190" s="446"/>
    </row>
    <row r="191" spans="2:27" s="443" customFormat="1" ht="12.75" customHeight="1">
      <c r="B191" s="444">
        <v>45678</v>
      </c>
      <c r="C191" s="446"/>
      <c r="D191" s="445">
        <v>0</v>
      </c>
      <c r="E191" s="445">
        <v>54850958222.980904</v>
      </c>
      <c r="F191" s="447">
        <v>1.0117690727888309</v>
      </c>
      <c r="G191" s="446"/>
      <c r="H191" s="445">
        <v>0</v>
      </c>
      <c r="I191" s="445">
        <v>52613626603.501709</v>
      </c>
      <c r="J191" s="447">
        <v>1.0104826105429832</v>
      </c>
      <c r="K191" s="446"/>
      <c r="L191" s="445">
        <v>0</v>
      </c>
      <c r="M191" s="445">
        <v>33158797803.380096</v>
      </c>
      <c r="N191" s="447">
        <v>1.0120511783177542</v>
      </c>
      <c r="O191" s="446"/>
      <c r="P191" s="445">
        <v>0</v>
      </c>
      <c r="Q191" s="445">
        <v>28643333883.870335</v>
      </c>
      <c r="R191" s="447">
        <v>1.0124228888681921</v>
      </c>
      <c r="S191" s="446"/>
      <c r="T191" s="445">
        <v>0</v>
      </c>
      <c r="U191" s="445">
        <v>27641087290.231609</v>
      </c>
      <c r="V191" s="447">
        <v>1.0099946746461352</v>
      </c>
      <c r="W191" s="446"/>
      <c r="X191" s="445">
        <v>0</v>
      </c>
      <c r="Y191" s="445">
        <v>22364252697.604664</v>
      </c>
      <c r="Z191" s="447">
        <v>1.0118952508832848</v>
      </c>
      <c r="AA191" s="446"/>
    </row>
    <row r="192" spans="2:27" s="443" customFormat="1" ht="12.75" customHeight="1">
      <c r="B192" s="444">
        <v>45679</v>
      </c>
      <c r="C192" s="446"/>
      <c r="D192" s="445">
        <v>0</v>
      </c>
      <c r="E192" s="445">
        <v>54252698294.51223</v>
      </c>
      <c r="F192" s="447">
        <v>0.98909299038976461</v>
      </c>
      <c r="G192" s="446"/>
      <c r="H192" s="445">
        <v>0</v>
      </c>
      <c r="I192" s="445">
        <v>52133777644.519012</v>
      </c>
      <c r="J192" s="447">
        <v>0.99087975891495073</v>
      </c>
      <c r="K192" s="446"/>
      <c r="L192" s="445">
        <v>0</v>
      </c>
      <c r="M192" s="445">
        <v>32787686751.160122</v>
      </c>
      <c r="N192" s="447">
        <v>0.98880806673328359</v>
      </c>
      <c r="O192" s="446"/>
      <c r="P192" s="445">
        <v>0</v>
      </c>
      <c r="Q192" s="445">
        <v>28292556163.681477</v>
      </c>
      <c r="R192" s="447">
        <v>0.98775360013568847</v>
      </c>
      <c r="S192" s="446"/>
      <c r="T192" s="445">
        <v>0</v>
      </c>
      <c r="U192" s="445">
        <v>27395084027.982738</v>
      </c>
      <c r="V192" s="447">
        <v>0.99110008735670074</v>
      </c>
      <c r="W192" s="446"/>
      <c r="X192" s="445">
        <v>0</v>
      </c>
      <c r="Y192" s="445">
        <v>22119835464.855762</v>
      </c>
      <c r="Z192" s="447">
        <v>0.98907107534270167</v>
      </c>
      <c r="AA192" s="446"/>
    </row>
    <row r="193" spans="2:27" s="443" customFormat="1" ht="12.75" customHeight="1">
      <c r="B193" s="444">
        <v>45680</v>
      </c>
      <c r="C193" s="446"/>
      <c r="D193" s="445">
        <v>0</v>
      </c>
      <c r="E193" s="445">
        <v>54395565294.369194</v>
      </c>
      <c r="F193" s="447">
        <v>1.0026333621063677</v>
      </c>
      <c r="G193" s="446"/>
      <c r="H193" s="445">
        <v>0</v>
      </c>
      <c r="I193" s="445">
        <v>52255208881.038055</v>
      </c>
      <c r="J193" s="447">
        <v>1.0023292238162183</v>
      </c>
      <c r="K193" s="446"/>
      <c r="L193" s="445">
        <v>0</v>
      </c>
      <c r="M193" s="445">
        <v>32875517009.24511</v>
      </c>
      <c r="N193" s="447">
        <v>1.0026787573869291</v>
      </c>
      <c r="O193" s="446"/>
      <c r="P193" s="445">
        <v>0</v>
      </c>
      <c r="Q193" s="445">
        <v>28380536038.402191</v>
      </c>
      <c r="R193" s="447">
        <v>1.0031096474355914</v>
      </c>
      <c r="S193" s="446"/>
      <c r="T193" s="445">
        <v>0</v>
      </c>
      <c r="U193" s="445">
        <v>27458349228.254444</v>
      </c>
      <c r="V193" s="447">
        <v>1.0023093632495188</v>
      </c>
      <c r="W193" s="446"/>
      <c r="X193" s="445">
        <v>0</v>
      </c>
      <c r="Y193" s="445">
        <v>22177934842.944878</v>
      </c>
      <c r="Z193" s="447">
        <v>1.0026265737003976</v>
      </c>
      <c r="AA193" s="446"/>
    </row>
    <row r="194" spans="2:27" s="443" customFormat="1" ht="12.75" customHeight="1">
      <c r="B194" s="444">
        <v>45681</v>
      </c>
      <c r="C194" s="446"/>
      <c r="D194" s="445">
        <v>0</v>
      </c>
      <c r="E194" s="445">
        <v>54338319663.336197</v>
      </c>
      <c r="F194" s="447">
        <v>0.99894760481441447</v>
      </c>
      <c r="G194" s="446"/>
      <c r="H194" s="445">
        <v>0</v>
      </c>
      <c r="I194" s="445">
        <v>52212445158.763443</v>
      </c>
      <c r="J194" s="447">
        <v>0.9991816371383766</v>
      </c>
      <c r="K194" s="446"/>
      <c r="L194" s="445">
        <v>0</v>
      </c>
      <c r="M194" s="445">
        <v>32839571426.59436</v>
      </c>
      <c r="N194" s="447">
        <v>0.99890661544149584</v>
      </c>
      <c r="O194" s="446"/>
      <c r="P194" s="445">
        <v>0</v>
      </c>
      <c r="Q194" s="445">
        <v>28333649013.680714</v>
      </c>
      <c r="R194" s="447">
        <v>0.99834791616838969</v>
      </c>
      <c r="S194" s="446"/>
      <c r="T194" s="445">
        <v>0</v>
      </c>
      <c r="U194" s="445">
        <v>27436929022.124481</v>
      </c>
      <c r="V194" s="447">
        <v>0.99921990189752841</v>
      </c>
      <c r="W194" s="446"/>
      <c r="X194" s="445">
        <v>0</v>
      </c>
      <c r="Y194" s="445">
        <v>22154502685.747581</v>
      </c>
      <c r="Z194" s="447">
        <v>0.99894344728834161</v>
      </c>
      <c r="AA194" s="446"/>
    </row>
    <row r="195" spans="2:27" s="443" customFormat="1" ht="12.75" customHeight="1">
      <c r="B195" s="444">
        <v>45682</v>
      </c>
      <c r="C195" s="446"/>
      <c r="D195" s="445">
        <v>0</v>
      </c>
      <c r="E195" s="445">
        <v>54354460231.473175</v>
      </c>
      <c r="F195" s="447">
        <v>1.0002970384111429</v>
      </c>
      <c r="G195" s="446"/>
      <c r="H195" s="445">
        <v>0</v>
      </c>
      <c r="I195" s="445">
        <v>52227914431.073441</v>
      </c>
      <c r="J195" s="447">
        <v>1.0002962755768852</v>
      </c>
      <c r="K195" s="446"/>
      <c r="L195" s="445">
        <v>0</v>
      </c>
      <c r="M195" s="445">
        <v>32848982970.568256</v>
      </c>
      <c r="N195" s="447">
        <v>1.0002865915590566</v>
      </c>
      <c r="O195" s="446"/>
      <c r="P195" s="445">
        <v>0</v>
      </c>
      <c r="Q195" s="445">
        <v>28341934812.765991</v>
      </c>
      <c r="R195" s="447">
        <v>1.0002924367094854</v>
      </c>
      <c r="S195" s="446"/>
      <c r="T195" s="445">
        <v>0</v>
      </c>
      <c r="U195" s="445">
        <v>27445418903.195866</v>
      </c>
      <c r="V195" s="447">
        <v>1.0003094326287223</v>
      </c>
      <c r="W195" s="446"/>
      <c r="X195" s="445">
        <v>0</v>
      </c>
      <c r="Y195" s="445">
        <v>22160800653.132782</v>
      </c>
      <c r="Z195" s="447">
        <v>1.0002842748255076</v>
      </c>
      <c r="AA195" s="446"/>
    </row>
    <row r="196" spans="2:27" s="443" customFormat="1" ht="12.75" customHeight="1">
      <c r="B196" s="444">
        <v>45683</v>
      </c>
      <c r="C196" s="446"/>
      <c r="D196" s="445">
        <v>0</v>
      </c>
      <c r="E196" s="445">
        <v>54370600799.610153</v>
      </c>
      <c r="F196" s="447">
        <v>1.0002969502055257</v>
      </c>
      <c r="G196" s="446"/>
      <c r="H196" s="445">
        <v>0</v>
      </c>
      <c r="I196" s="445">
        <v>52243383703.383446</v>
      </c>
      <c r="J196" s="447">
        <v>1.0002961878236669</v>
      </c>
      <c r="K196" s="446"/>
      <c r="L196" s="445">
        <v>0</v>
      </c>
      <c r="M196" s="445">
        <v>32858394514.542137</v>
      </c>
      <c r="N196" s="447">
        <v>1.0002865094478668</v>
      </c>
      <c r="O196" s="446"/>
      <c r="P196" s="445">
        <v>0</v>
      </c>
      <c r="Q196" s="445">
        <v>28350220611.851273</v>
      </c>
      <c r="R196" s="447">
        <v>1.0002923512152582</v>
      </c>
      <c r="S196" s="446"/>
      <c r="T196" s="445">
        <v>0</v>
      </c>
      <c r="U196" s="445">
        <v>27453908784.267254</v>
      </c>
      <c r="V196" s="447">
        <v>1.0003093369097893</v>
      </c>
      <c r="W196" s="446"/>
      <c r="X196" s="445">
        <v>0</v>
      </c>
      <c r="Y196" s="445">
        <v>22167098620.517979</v>
      </c>
      <c r="Z196" s="447">
        <v>1.0002841940362974</v>
      </c>
      <c r="AA196" s="446"/>
    </row>
    <row r="197" spans="2:27" s="443" customFormat="1" ht="12.75" customHeight="1">
      <c r="B197" s="444">
        <v>45684</v>
      </c>
      <c r="C197" s="446"/>
      <c r="D197" s="445">
        <v>0</v>
      </c>
      <c r="E197" s="445">
        <v>54613224867.747147</v>
      </c>
      <c r="F197" s="447">
        <v>1.0044624128585817</v>
      </c>
      <c r="G197" s="446"/>
      <c r="H197" s="445">
        <v>0</v>
      </c>
      <c r="I197" s="445">
        <v>52446709438.007393</v>
      </c>
      <c r="J197" s="447">
        <v>1.0038918944411861</v>
      </c>
      <c r="K197" s="446"/>
      <c r="L197" s="445">
        <v>0</v>
      </c>
      <c r="M197" s="445">
        <v>33012666879.720417</v>
      </c>
      <c r="N197" s="447">
        <v>1.004695067043218</v>
      </c>
      <c r="O197" s="446"/>
      <c r="P197" s="445">
        <v>0</v>
      </c>
      <c r="Q197" s="445">
        <v>28493156377.173069</v>
      </c>
      <c r="R197" s="447">
        <v>1.0050417867034884</v>
      </c>
      <c r="S197" s="446"/>
      <c r="T197" s="445">
        <v>0</v>
      </c>
      <c r="U197" s="445">
        <v>27555435848.478336</v>
      </c>
      <c r="V197" s="447">
        <v>1.0036980914087272</v>
      </c>
      <c r="W197" s="446"/>
      <c r="X197" s="445">
        <v>0</v>
      </c>
      <c r="Y197" s="445">
        <v>22266609504.347912</v>
      </c>
      <c r="Z197" s="447">
        <v>1.0044891253263892</v>
      </c>
      <c r="AA197" s="446"/>
    </row>
    <row r="198" spans="2:27" s="443" customFormat="1" ht="12.75" customHeight="1">
      <c r="B198" s="444">
        <v>45685</v>
      </c>
      <c r="C198" s="446"/>
      <c r="D198" s="445">
        <v>0</v>
      </c>
      <c r="E198" s="445">
        <v>55279967506.654129</v>
      </c>
      <c r="F198" s="447">
        <v>1.0122084465900263</v>
      </c>
      <c r="G198" s="446"/>
      <c r="H198" s="445">
        <v>0</v>
      </c>
      <c r="I198" s="445">
        <v>52992689695.424484</v>
      </c>
      <c r="J198" s="447">
        <v>1.0104101909017276</v>
      </c>
      <c r="K198" s="446"/>
      <c r="L198" s="445">
        <v>0</v>
      </c>
      <c r="M198" s="445">
        <v>33428101340.133347</v>
      </c>
      <c r="N198" s="447">
        <v>1.0125840927037655</v>
      </c>
      <c r="O198" s="446"/>
      <c r="P198" s="445">
        <v>0</v>
      </c>
      <c r="Q198" s="445">
        <v>28884064933.105663</v>
      </c>
      <c r="R198" s="447">
        <v>1.0137193840779875</v>
      </c>
      <c r="S198" s="446"/>
      <c r="T198" s="445">
        <v>0</v>
      </c>
      <c r="U198" s="445">
        <v>27834232563.551052</v>
      </c>
      <c r="V198" s="447">
        <v>1.0101176666776661</v>
      </c>
      <c r="W198" s="446"/>
      <c r="X198" s="445">
        <v>0</v>
      </c>
      <c r="Y198" s="445">
        <v>22540115410.586479</v>
      </c>
      <c r="Z198" s="447">
        <v>1.0122832309151135</v>
      </c>
      <c r="AA198" s="446"/>
    </row>
    <row r="199" spans="2:27" s="443" customFormat="1" ht="12.75" customHeight="1">
      <c r="B199" s="444">
        <v>45686</v>
      </c>
      <c r="C199" s="446"/>
      <c r="D199" s="445">
        <v>0</v>
      </c>
      <c r="E199" s="445">
        <v>54918311815.641113</v>
      </c>
      <c r="F199" s="447">
        <v>0.99345774414629529</v>
      </c>
      <c r="G199" s="446"/>
      <c r="H199" s="445">
        <v>0</v>
      </c>
      <c r="I199" s="445">
        <v>52707457254.109497</v>
      </c>
      <c r="J199" s="447">
        <v>0.99461751341639082</v>
      </c>
      <c r="K199" s="446"/>
      <c r="L199" s="445">
        <v>0</v>
      </c>
      <c r="M199" s="445">
        <v>33202627898.913567</v>
      </c>
      <c r="N199" s="447">
        <v>0.99325497314592981</v>
      </c>
      <c r="O199" s="446"/>
      <c r="P199" s="445">
        <v>0</v>
      </c>
      <c r="Q199" s="445">
        <v>28665861344.791668</v>
      </c>
      <c r="R199" s="447">
        <v>0.99244553739858477</v>
      </c>
      <c r="S199" s="446"/>
      <c r="T199" s="445">
        <v>0</v>
      </c>
      <c r="U199" s="445">
        <v>27686558295.970779</v>
      </c>
      <c r="V199" s="447">
        <v>0.99469450909978918</v>
      </c>
      <c r="W199" s="446"/>
      <c r="X199" s="445">
        <v>0</v>
      </c>
      <c r="Y199" s="445">
        <v>22393410279.960777</v>
      </c>
      <c r="Z199" s="447">
        <v>0.99349137624393891</v>
      </c>
      <c r="AA199" s="446"/>
    </row>
    <row r="200" spans="2:27" s="443" customFormat="1" ht="12.75" customHeight="1">
      <c r="B200" s="444">
        <v>45687</v>
      </c>
      <c r="C200" s="446"/>
      <c r="D200" s="445">
        <v>0</v>
      </c>
      <c r="E200" s="445">
        <v>55255532101.766685</v>
      </c>
      <c r="F200" s="447">
        <v>1.0061403978923753</v>
      </c>
      <c r="G200" s="446"/>
      <c r="H200" s="445">
        <v>0</v>
      </c>
      <c r="I200" s="445">
        <v>52981646516.208237</v>
      </c>
      <c r="J200" s="447">
        <v>1.0052020961811312</v>
      </c>
      <c r="K200" s="446"/>
      <c r="L200" s="445">
        <v>0</v>
      </c>
      <c r="M200" s="445">
        <v>33412798231.024307</v>
      </c>
      <c r="N200" s="447">
        <v>1.0063299306533993</v>
      </c>
      <c r="O200" s="446"/>
      <c r="P200" s="445">
        <v>0</v>
      </c>
      <c r="Q200" s="445">
        <v>28866068777.784168</v>
      </c>
      <c r="R200" s="447">
        <v>1.0069841764245078</v>
      </c>
      <c r="S200" s="446"/>
      <c r="T200" s="445">
        <v>0</v>
      </c>
      <c r="U200" s="445">
        <v>27827977183.805496</v>
      </c>
      <c r="V200" s="447">
        <v>1.0051078536495197</v>
      </c>
      <c r="W200" s="446"/>
      <c r="X200" s="445">
        <v>0</v>
      </c>
      <c r="Y200" s="445">
        <v>22531405289.6703</v>
      </c>
      <c r="Z200" s="447">
        <v>1.0061623043558046</v>
      </c>
      <c r="AA200" s="446"/>
    </row>
    <row r="201" spans="2:27" s="443" customFormat="1" ht="12.75" customHeight="1">
      <c r="B201" s="444">
        <v>45688</v>
      </c>
      <c r="C201" s="446"/>
      <c r="D201" s="445">
        <v>0</v>
      </c>
      <c r="E201" s="445">
        <v>55279371439.526672</v>
      </c>
      <c r="F201" s="447">
        <v>1.0004314380271659</v>
      </c>
      <c r="G201" s="446"/>
      <c r="H201" s="445">
        <v>0</v>
      </c>
      <c r="I201" s="445">
        <v>53003760488.719437</v>
      </c>
      <c r="J201" s="447">
        <v>1.0004173893030002</v>
      </c>
      <c r="K201" s="446"/>
      <c r="L201" s="445">
        <v>0</v>
      </c>
      <c r="M201" s="445">
        <v>33426131805.022636</v>
      </c>
      <c r="N201" s="447">
        <v>1.0003990558918812</v>
      </c>
      <c r="O201" s="446"/>
      <c r="P201" s="445">
        <v>0</v>
      </c>
      <c r="Q201" s="445">
        <v>28877285743.584042</v>
      </c>
      <c r="R201" s="447">
        <v>1.0003885865403503</v>
      </c>
      <c r="S201" s="446"/>
      <c r="T201" s="445">
        <v>0</v>
      </c>
      <c r="U201" s="445">
        <v>27839509922.406502</v>
      </c>
      <c r="V201" s="447">
        <v>1.0004144296412503</v>
      </c>
      <c r="W201" s="446"/>
      <c r="X201" s="445">
        <v>0</v>
      </c>
      <c r="Y201" s="445">
        <v>22541468868.975914</v>
      </c>
      <c r="Z201" s="447">
        <v>1.0004466467659798</v>
      </c>
      <c r="AA201" s="446"/>
    </row>
    <row r="202" spans="2:27" s="443" customFormat="1" ht="12.75" customHeight="1">
      <c r="B202" s="444">
        <v>45689</v>
      </c>
      <c r="C202" s="446"/>
      <c r="D202" s="445">
        <v>0</v>
      </c>
      <c r="E202" s="445">
        <v>55295622531.615555</v>
      </c>
      <c r="F202" s="447">
        <v>1.0002939811301339</v>
      </c>
      <c r="G202" s="446"/>
      <c r="H202" s="445">
        <v>0</v>
      </c>
      <c r="I202" s="445">
        <v>53019317920.640625</v>
      </c>
      <c r="J202" s="447">
        <v>1.0002935156256414</v>
      </c>
      <c r="K202" s="446"/>
      <c r="L202" s="445">
        <v>0</v>
      </c>
      <c r="M202" s="445">
        <v>33435617334.201771</v>
      </c>
      <c r="N202" s="447">
        <v>1.0002837758564007</v>
      </c>
      <c r="O202" s="446"/>
      <c r="P202" s="445">
        <v>0</v>
      </c>
      <c r="Q202" s="445">
        <v>28885623349.237892</v>
      </c>
      <c r="R202" s="447">
        <v>1.0002887253922645</v>
      </c>
      <c r="S202" s="446"/>
      <c r="T202" s="445">
        <v>0</v>
      </c>
      <c r="U202" s="445">
        <v>27847987576.127892</v>
      </c>
      <c r="V202" s="447">
        <v>1.0003045187844548</v>
      </c>
      <c r="W202" s="446"/>
      <c r="X202" s="445">
        <v>0</v>
      </c>
      <c r="Y202" s="445">
        <v>22547815401.526825</v>
      </c>
      <c r="Z202" s="447">
        <v>1.0002815492010659</v>
      </c>
      <c r="AA202" s="446"/>
    </row>
    <row r="203" spans="2:27" s="443" customFormat="1" ht="12.75" customHeight="1">
      <c r="B203" s="444">
        <v>45690</v>
      </c>
      <c r="C203" s="446"/>
      <c r="D203" s="445">
        <v>0</v>
      </c>
      <c r="E203" s="445">
        <v>55311873623.704437</v>
      </c>
      <c r="F203" s="447">
        <v>1.0002938947306288</v>
      </c>
      <c r="G203" s="446"/>
      <c r="H203" s="445">
        <v>0</v>
      </c>
      <c r="I203" s="445">
        <v>53034875352.561829</v>
      </c>
      <c r="J203" s="447">
        <v>1.0002934294994985</v>
      </c>
      <c r="K203" s="446"/>
      <c r="L203" s="445">
        <v>0</v>
      </c>
      <c r="M203" s="445">
        <v>33445102863.380898</v>
      </c>
      <c r="N203" s="447">
        <v>1.0002836953505094</v>
      </c>
      <c r="O203" s="446"/>
      <c r="P203" s="445">
        <v>0</v>
      </c>
      <c r="Q203" s="445">
        <v>28893960954.891743</v>
      </c>
      <c r="R203" s="447">
        <v>1.0002886420539743</v>
      </c>
      <c r="S203" s="446"/>
      <c r="T203" s="445">
        <v>0</v>
      </c>
      <c r="U203" s="445">
        <v>27856465229.849281</v>
      </c>
      <c r="V203" s="447">
        <v>1.0003044260809948</v>
      </c>
      <c r="W203" s="446"/>
      <c r="X203" s="445">
        <v>0</v>
      </c>
      <c r="Y203" s="445">
        <v>22554161934.077747</v>
      </c>
      <c r="Z203" s="447">
        <v>1.0002814699534259</v>
      </c>
      <c r="AA203" s="446"/>
    </row>
    <row r="204" spans="2:27" s="443" customFormat="1" ht="12.75" customHeight="1">
      <c r="B204" s="444">
        <v>45691</v>
      </c>
      <c r="C204" s="446"/>
      <c r="D204" s="445">
        <v>0</v>
      </c>
      <c r="E204" s="445">
        <v>55110560465.793335</v>
      </c>
      <c r="F204" s="447">
        <v>0.99636039886696537</v>
      </c>
      <c r="G204" s="446"/>
      <c r="H204" s="445">
        <v>0</v>
      </c>
      <c r="I204" s="445">
        <v>52875741559.419197</v>
      </c>
      <c r="J204" s="447">
        <v>0.9969994500395305</v>
      </c>
      <c r="K204" s="446"/>
      <c r="L204" s="445">
        <v>0</v>
      </c>
      <c r="M204" s="445">
        <v>33319288617.699844</v>
      </c>
      <c r="N204" s="447">
        <v>0.99623818631400274</v>
      </c>
      <c r="O204" s="446"/>
      <c r="P204" s="445">
        <v>0</v>
      </c>
      <c r="Q204" s="445">
        <v>28773342074.87233</v>
      </c>
      <c r="R204" s="447">
        <v>0.99582546400586203</v>
      </c>
      <c r="S204" s="446"/>
      <c r="T204" s="445">
        <v>0</v>
      </c>
      <c r="U204" s="445">
        <v>27775072695.80167</v>
      </c>
      <c r="V204" s="447">
        <v>0.99707814565214847</v>
      </c>
      <c r="W204" s="446"/>
      <c r="X204" s="445">
        <v>0</v>
      </c>
      <c r="Y204" s="445">
        <v>22472275152.582489</v>
      </c>
      <c r="Z204" s="447">
        <v>0.99636932723394467</v>
      </c>
      <c r="AA204" s="446"/>
    </row>
    <row r="205" spans="2:27" s="443" customFormat="1" ht="12.75" customHeight="1">
      <c r="B205" s="444">
        <v>45692</v>
      </c>
      <c r="C205" s="446"/>
      <c r="D205" s="445">
        <v>0</v>
      </c>
      <c r="E205" s="445">
        <v>55394949798.618896</v>
      </c>
      <c r="F205" s="447">
        <v>1</v>
      </c>
      <c r="G205" s="446"/>
      <c r="H205" s="445">
        <v>0</v>
      </c>
      <c r="I205" s="445">
        <v>53112981488.0578</v>
      </c>
      <c r="J205" s="447">
        <v>1</v>
      </c>
      <c r="K205" s="446"/>
      <c r="L205" s="445">
        <v>0</v>
      </c>
      <c r="M205" s="445">
        <v>33496109989.622921</v>
      </c>
      <c r="N205" s="447">
        <v>1</v>
      </c>
      <c r="O205" s="446"/>
      <c r="P205" s="445">
        <v>0</v>
      </c>
      <c r="Q205" s="445">
        <v>28937115899.914169</v>
      </c>
      <c r="R205" s="447">
        <v>1.0050057330108453</v>
      </c>
      <c r="S205" s="446"/>
      <c r="T205" s="445">
        <v>0</v>
      </c>
      <c r="U205" s="445">
        <v>27895434706.067394</v>
      </c>
      <c r="V205" s="447">
        <v>1</v>
      </c>
      <c r="W205" s="446"/>
      <c r="X205" s="445">
        <v>0</v>
      </c>
      <c r="Y205" s="445">
        <v>22589308875.855347</v>
      </c>
      <c r="Z205" s="447">
        <v>1</v>
      </c>
      <c r="AA205" s="446"/>
    </row>
    <row r="206" spans="2:27" s="443" customFormat="1" ht="12.75" customHeight="1">
      <c r="B206" s="444">
        <v>45693</v>
      </c>
      <c r="C206" s="446"/>
      <c r="D206" s="445">
        <v>0</v>
      </c>
      <c r="E206" s="445">
        <v>55066271724.194435</v>
      </c>
      <c r="F206" s="447">
        <v>0.99406664189390315</v>
      </c>
      <c r="G206" s="446"/>
      <c r="H206" s="445">
        <v>0</v>
      </c>
      <c r="I206" s="445">
        <v>52754803717.381783</v>
      </c>
      <c r="J206" s="447">
        <v>0.99325630456733915</v>
      </c>
      <c r="K206" s="446"/>
      <c r="L206" s="445">
        <v>0</v>
      </c>
      <c r="M206" s="445">
        <v>33288387818.460438</v>
      </c>
      <c r="N206" s="447">
        <v>0.99379861807156611</v>
      </c>
      <c r="O206" s="446"/>
      <c r="P206" s="445">
        <v>0</v>
      </c>
      <c r="Q206" s="445">
        <v>28820279683.128479</v>
      </c>
      <c r="R206" s="447">
        <v>0.99596240975811845</v>
      </c>
      <c r="S206" s="446"/>
      <c r="T206" s="445">
        <v>0</v>
      </c>
      <c r="U206" s="445">
        <v>27744122250.26239</v>
      </c>
      <c r="V206" s="447">
        <v>0.99457572691017815</v>
      </c>
      <c r="W206" s="446"/>
      <c r="X206" s="445">
        <v>0</v>
      </c>
      <c r="Y206" s="445">
        <v>22453028455.891109</v>
      </c>
      <c r="Z206" s="447">
        <v>0.99396703897789895</v>
      </c>
      <c r="AA206" s="446"/>
    </row>
    <row r="207" spans="2:27" s="443" customFormat="1" ht="12.75" customHeight="1">
      <c r="B207" s="444">
        <v>45694</v>
      </c>
      <c r="C207" s="446"/>
      <c r="D207" s="445">
        <v>0</v>
      </c>
      <c r="E207" s="445">
        <v>54370007914.935402</v>
      </c>
      <c r="F207" s="447">
        <v>0.98735589340883023</v>
      </c>
      <c r="G207" s="446"/>
      <c r="H207" s="445">
        <v>0</v>
      </c>
      <c r="I207" s="445">
        <v>52178164538.736404</v>
      </c>
      <c r="J207" s="447">
        <v>0.9890694469884761</v>
      </c>
      <c r="K207" s="446"/>
      <c r="L207" s="445">
        <v>0</v>
      </c>
      <c r="M207" s="445">
        <v>32831717426.873512</v>
      </c>
      <c r="N207" s="447">
        <v>0.98628139055344477</v>
      </c>
      <c r="O207" s="446"/>
      <c r="P207" s="445">
        <v>0</v>
      </c>
      <c r="Q207" s="445">
        <v>28379558202.470688</v>
      </c>
      <c r="R207" s="447">
        <v>0.98470793880200302</v>
      </c>
      <c r="S207" s="446"/>
      <c r="T207" s="445">
        <v>0</v>
      </c>
      <c r="U207" s="445">
        <v>27453032999.040276</v>
      </c>
      <c r="V207" s="447">
        <v>0.98950807495020454</v>
      </c>
      <c r="W207" s="446"/>
      <c r="X207" s="445">
        <v>0</v>
      </c>
      <c r="Y207" s="445">
        <v>22181470833.145737</v>
      </c>
      <c r="Z207" s="447">
        <v>0.98790552360102124</v>
      </c>
      <c r="AA207" s="446"/>
    </row>
    <row r="208" spans="2:27" s="443" customFormat="1" ht="12.75" customHeight="1">
      <c r="B208" s="444">
        <v>45695</v>
      </c>
      <c r="C208" s="446"/>
      <c r="D208" s="445">
        <v>0</v>
      </c>
      <c r="E208" s="445">
        <v>54694900819.72168</v>
      </c>
      <c r="F208" s="447">
        <v>1.0059755905368746</v>
      </c>
      <c r="G208" s="446"/>
      <c r="H208" s="445">
        <v>0</v>
      </c>
      <c r="I208" s="445">
        <v>52466370925.886597</v>
      </c>
      <c r="J208" s="447">
        <v>1.0055235056598479</v>
      </c>
      <c r="K208" s="446"/>
      <c r="L208" s="445">
        <v>0</v>
      </c>
      <c r="M208" s="445">
        <v>33037820067.17009</v>
      </c>
      <c r="N208" s="447">
        <v>1.0062775467276615</v>
      </c>
      <c r="O208" s="446"/>
      <c r="P208" s="445">
        <v>0</v>
      </c>
      <c r="Q208" s="445">
        <v>28555827734.269451</v>
      </c>
      <c r="R208" s="447">
        <v>1.0062111443223036</v>
      </c>
      <c r="S208" s="446"/>
      <c r="T208" s="445">
        <v>0</v>
      </c>
      <c r="U208" s="445">
        <v>27591911930.612965</v>
      </c>
      <c r="V208" s="447">
        <v>1.0050587828156381</v>
      </c>
      <c r="W208" s="446"/>
      <c r="X208" s="445">
        <v>0</v>
      </c>
      <c r="Y208" s="445">
        <v>22315379998.829365</v>
      </c>
      <c r="Z208" s="447">
        <v>1.0060369831509788</v>
      </c>
      <c r="AA208" s="446"/>
    </row>
    <row r="209" spans="2:27" s="443" customFormat="1" ht="12.75" customHeight="1">
      <c r="B209" s="444">
        <v>45696</v>
      </c>
      <c r="C209" s="446"/>
      <c r="D209" s="445">
        <v>0</v>
      </c>
      <c r="E209" s="445">
        <v>54711191045.746758</v>
      </c>
      <c r="F209" s="447">
        <v>1.0002978381125285</v>
      </c>
      <c r="G209" s="446"/>
      <c r="H209" s="445">
        <v>0</v>
      </c>
      <c r="I209" s="445">
        <v>52481928357.8078</v>
      </c>
      <c r="J209" s="447">
        <v>1.0002965219748701</v>
      </c>
      <c r="K209" s="446"/>
      <c r="L209" s="445">
        <v>0</v>
      </c>
      <c r="M209" s="445">
        <v>33047305268.34922</v>
      </c>
      <c r="N209" s="447">
        <v>1.0002871013026842</v>
      </c>
      <c r="O209" s="446"/>
      <c r="P209" s="445">
        <v>0</v>
      </c>
      <c r="Q209" s="445">
        <v>28564247122.060925</v>
      </c>
      <c r="R209" s="447">
        <v>1.0002948395637423</v>
      </c>
      <c r="S209" s="446"/>
      <c r="T209" s="445">
        <v>0</v>
      </c>
      <c r="U209" s="445">
        <v>27600445756.407681</v>
      </c>
      <c r="V209" s="447">
        <v>1.000309287222146</v>
      </c>
      <c r="W209" s="446"/>
      <c r="X209" s="445">
        <v>0</v>
      </c>
      <c r="Y209" s="445">
        <v>22321731028.195992</v>
      </c>
      <c r="Z209" s="447">
        <v>1.0002846032362864</v>
      </c>
      <c r="AA209" s="446"/>
    </row>
    <row r="210" spans="2:27" s="443" customFormat="1" ht="12.75" customHeight="1">
      <c r="B210" s="444">
        <v>45697</v>
      </c>
      <c r="C210" s="446"/>
      <c r="D210" s="445">
        <v>0</v>
      </c>
      <c r="E210" s="445">
        <v>54727481271.771851</v>
      </c>
      <c r="F210" s="447">
        <v>1.0002977494314</v>
      </c>
      <c r="G210" s="446"/>
      <c r="H210" s="445">
        <v>0</v>
      </c>
      <c r="I210" s="445">
        <v>52497485789.728996</v>
      </c>
      <c r="J210" s="447">
        <v>1.0002964340756524</v>
      </c>
      <c r="K210" s="446"/>
      <c r="L210" s="445">
        <v>0</v>
      </c>
      <c r="M210" s="445">
        <v>33056790469.528343</v>
      </c>
      <c r="N210" s="447">
        <v>1.0002870188991841</v>
      </c>
      <c r="O210" s="446"/>
      <c r="P210" s="445">
        <v>0</v>
      </c>
      <c r="Q210" s="445">
        <v>28572666509.852386</v>
      </c>
      <c r="R210" s="447">
        <v>1.0002947526589965</v>
      </c>
      <c r="S210" s="446"/>
      <c r="T210" s="445">
        <v>0</v>
      </c>
      <c r="U210" s="445">
        <v>27608979582.202412</v>
      </c>
      <c r="V210" s="447">
        <v>1.0003091915931377</v>
      </c>
      <c r="W210" s="446"/>
      <c r="X210" s="445">
        <v>0</v>
      </c>
      <c r="Y210" s="445">
        <v>22328082057.562618</v>
      </c>
      <c r="Z210" s="447">
        <v>1.0002845222603303</v>
      </c>
      <c r="AA210" s="446"/>
    </row>
    <row r="211" spans="2:27" s="443" customFormat="1" ht="12.75" customHeight="1">
      <c r="B211" s="444">
        <v>45698</v>
      </c>
      <c r="C211" s="446"/>
      <c r="D211" s="445">
        <v>0</v>
      </c>
      <c r="E211" s="445">
        <v>54864266760.084396</v>
      </c>
      <c r="F211" s="447">
        <v>1.0024993930861403</v>
      </c>
      <c r="G211" s="446"/>
      <c r="H211" s="445">
        <v>0</v>
      </c>
      <c r="I211" s="445">
        <v>52619129724.929314</v>
      </c>
      <c r="J211" s="447">
        <v>1.0023171383042522</v>
      </c>
      <c r="K211" s="446"/>
      <c r="L211" s="445">
        <v>0</v>
      </c>
      <c r="M211" s="445">
        <v>33141213707.569946</v>
      </c>
      <c r="N211" s="447">
        <v>1.0025538849005751</v>
      </c>
      <c r="O211" s="446"/>
      <c r="P211" s="445">
        <v>0</v>
      </c>
      <c r="Q211" s="445">
        <v>28645458922.694798</v>
      </c>
      <c r="R211" s="447">
        <v>1.0025476240664242</v>
      </c>
      <c r="S211" s="446"/>
      <c r="T211" s="445">
        <v>0</v>
      </c>
      <c r="U211" s="445">
        <v>27671038756.177689</v>
      </c>
      <c r="V211" s="447">
        <v>1.002247789484233</v>
      </c>
      <c r="W211" s="446"/>
      <c r="X211" s="445">
        <v>0</v>
      </c>
      <c r="Y211" s="445">
        <v>22385259193.373867</v>
      </c>
      <c r="Z211" s="447">
        <v>1.0025607723790984</v>
      </c>
      <c r="AA211" s="446"/>
    </row>
    <row r="212" spans="2:27" s="443" customFormat="1" ht="12.75" customHeight="1">
      <c r="B212" s="444">
        <v>45699</v>
      </c>
      <c r="C212" s="446"/>
      <c r="D212" s="445">
        <v>0</v>
      </c>
      <c r="E212" s="445">
        <v>55409314632.81604</v>
      </c>
      <c r="F212" s="447">
        <v>1.009934478394017</v>
      </c>
      <c r="G212" s="446"/>
      <c r="H212" s="445">
        <v>0</v>
      </c>
      <c r="I212" s="445">
        <v>53070114883.051758</v>
      </c>
      <c r="J212" s="447">
        <v>1.008570745287503</v>
      </c>
      <c r="K212" s="446"/>
      <c r="L212" s="445">
        <v>0</v>
      </c>
      <c r="M212" s="445">
        <v>33481497591.546371</v>
      </c>
      <c r="N212" s="447">
        <v>1.0102676952926049</v>
      </c>
      <c r="O212" s="446"/>
      <c r="P212" s="445">
        <v>0</v>
      </c>
      <c r="Q212" s="445">
        <v>28963120174.064713</v>
      </c>
      <c r="R212" s="447">
        <v>1.0110894104446777</v>
      </c>
      <c r="S212" s="446"/>
      <c r="T212" s="445">
        <v>0</v>
      </c>
      <c r="U212" s="445">
        <v>27898309772.966461</v>
      </c>
      <c r="V212" s="447">
        <v>1.0082133171360628</v>
      </c>
      <c r="W212" s="446"/>
      <c r="X212" s="445">
        <v>0</v>
      </c>
      <c r="Y212" s="445">
        <v>22608673843.913887</v>
      </c>
      <c r="Z212" s="447">
        <v>1.0099804361705202</v>
      </c>
      <c r="AA212" s="446"/>
    </row>
    <row r="213" spans="2:27" s="443" customFormat="1" ht="12.75" customHeight="1">
      <c r="B213" s="444">
        <v>45700</v>
      </c>
      <c r="C213" s="446"/>
      <c r="D213" s="445">
        <v>0</v>
      </c>
      <c r="E213" s="445">
        <v>54836692072.153107</v>
      </c>
      <c r="F213" s="447">
        <v>0.98966559026298084</v>
      </c>
      <c r="G213" s="446"/>
      <c r="H213" s="445">
        <v>0</v>
      </c>
      <c r="I213" s="445">
        <v>52600109624.172981</v>
      </c>
      <c r="J213" s="447">
        <v>0.99114369245451028</v>
      </c>
      <c r="K213" s="446"/>
      <c r="L213" s="445">
        <v>0</v>
      </c>
      <c r="M213" s="445">
        <v>33123940629.365139</v>
      </c>
      <c r="N213" s="447">
        <v>0.98932075958658694</v>
      </c>
      <c r="O213" s="446"/>
      <c r="P213" s="445">
        <v>0</v>
      </c>
      <c r="Q213" s="445">
        <v>28630222925.586292</v>
      </c>
      <c r="R213" s="447">
        <v>0.98850616762014076</v>
      </c>
      <c r="S213" s="446"/>
      <c r="T213" s="445">
        <v>0</v>
      </c>
      <c r="U213" s="445">
        <v>27661815196.943779</v>
      </c>
      <c r="V213" s="447">
        <v>0.99152297834717407</v>
      </c>
      <c r="W213" s="446"/>
      <c r="X213" s="445">
        <v>0</v>
      </c>
      <c r="Y213" s="445">
        <v>22372743958.792877</v>
      </c>
      <c r="Z213" s="447">
        <v>0.98956462963065295</v>
      </c>
      <c r="AA213" s="446"/>
    </row>
    <row r="214" spans="2:27" s="443" customFormat="1" ht="12.75" customHeight="1">
      <c r="B214" s="444">
        <v>45701</v>
      </c>
      <c r="C214" s="446"/>
      <c r="D214" s="445">
        <v>0</v>
      </c>
      <c r="E214" s="445">
        <v>54634173043.687469</v>
      </c>
      <c r="F214" s="447">
        <v>0.99630687007525609</v>
      </c>
      <c r="G214" s="446"/>
      <c r="H214" s="445">
        <v>0</v>
      </c>
      <c r="I214" s="445">
        <v>52470157323.024597</v>
      </c>
      <c r="J214" s="447">
        <v>0.99752942908148112</v>
      </c>
      <c r="K214" s="446"/>
      <c r="L214" s="445">
        <v>0</v>
      </c>
      <c r="M214" s="445">
        <v>33014385293.109352</v>
      </c>
      <c r="N214" s="447">
        <v>0.99669256331903144</v>
      </c>
      <c r="O214" s="446"/>
      <c r="P214" s="445">
        <v>0</v>
      </c>
      <c r="Q214" s="445">
        <v>28509194120.223701</v>
      </c>
      <c r="R214" s="447">
        <v>0.99577269077935016</v>
      </c>
      <c r="S214" s="446"/>
      <c r="T214" s="445">
        <v>0</v>
      </c>
      <c r="U214" s="445">
        <v>27585523216.720264</v>
      </c>
      <c r="V214" s="447">
        <v>0.99724197491450439</v>
      </c>
      <c r="W214" s="446"/>
      <c r="X214" s="445">
        <v>0</v>
      </c>
      <c r="Y214" s="445">
        <v>22272750460.938267</v>
      </c>
      <c r="Z214" s="447">
        <v>0.99553056620865177</v>
      </c>
      <c r="AA214" s="446"/>
    </row>
    <row r="215" spans="2:27" s="443" customFormat="1" ht="12.75" customHeight="1">
      <c r="B215" s="444">
        <v>45702</v>
      </c>
      <c r="C215" s="446"/>
      <c r="D215" s="445">
        <v>0</v>
      </c>
      <c r="E215" s="445">
        <v>54865922890.511581</v>
      </c>
      <c r="F215" s="447">
        <v>1.0042418478017192</v>
      </c>
      <c r="G215" s="446"/>
      <c r="H215" s="445">
        <v>0</v>
      </c>
      <c r="I215" s="445">
        <v>52665246080.777107</v>
      </c>
      <c r="J215" s="447">
        <v>1.0037180898191609</v>
      </c>
      <c r="K215" s="446"/>
      <c r="L215" s="445">
        <v>0</v>
      </c>
      <c r="M215" s="445">
        <v>33158074230.939552</v>
      </c>
      <c r="N215" s="447">
        <v>1.0043523129858241</v>
      </c>
      <c r="O215" s="446"/>
      <c r="P215" s="445">
        <v>0</v>
      </c>
      <c r="Q215" s="445">
        <v>28649260104.651661</v>
      </c>
      <c r="R215" s="447">
        <v>1.0049130110040045</v>
      </c>
      <c r="S215" s="446"/>
      <c r="T215" s="445">
        <v>0</v>
      </c>
      <c r="U215" s="445">
        <v>27683979774.129528</v>
      </c>
      <c r="V215" s="447">
        <v>1.0035691386614551</v>
      </c>
      <c r="W215" s="446"/>
      <c r="X215" s="445">
        <v>0</v>
      </c>
      <c r="Y215" s="445">
        <v>22368129476.9664</v>
      </c>
      <c r="Z215" s="447">
        <v>1.0042823187102736</v>
      </c>
      <c r="AA215" s="446"/>
    </row>
    <row r="216" spans="2:27" s="443" customFormat="1" ht="12.75" customHeight="1">
      <c r="B216" s="444">
        <v>45703</v>
      </c>
      <c r="C216" s="446"/>
      <c r="D216" s="445">
        <v>0</v>
      </c>
      <c r="E216" s="445">
        <v>54882232139.642387</v>
      </c>
      <c r="F216" s="447">
        <v>1.0002972564439196</v>
      </c>
      <c r="G216" s="446"/>
      <c r="H216" s="445">
        <v>0</v>
      </c>
      <c r="I216" s="445">
        <v>52680856980.677589</v>
      </c>
      <c r="J216" s="447">
        <v>1.0002964174870945</v>
      </c>
      <c r="K216" s="446"/>
      <c r="L216" s="445">
        <v>0</v>
      </c>
      <c r="M216" s="445">
        <v>33167561986.004395</v>
      </c>
      <c r="N216" s="447">
        <v>1.0002861370958627</v>
      </c>
      <c r="O216" s="446"/>
      <c r="P216" s="445">
        <v>0</v>
      </c>
      <c r="Q216" s="445">
        <v>28657780322.414082</v>
      </c>
      <c r="R216" s="447">
        <v>1.0002973974801199</v>
      </c>
      <c r="S216" s="446"/>
      <c r="T216" s="445">
        <v>0</v>
      </c>
      <c r="U216" s="445">
        <v>27692495706.777592</v>
      </c>
      <c r="V216" s="447">
        <v>1.000307612298432</v>
      </c>
      <c r="W216" s="446"/>
      <c r="X216" s="445">
        <v>0</v>
      </c>
      <c r="Y216" s="445">
        <v>22374483428.650173</v>
      </c>
      <c r="Z216" s="447">
        <v>1.0002840627192504</v>
      </c>
      <c r="AA216" s="446"/>
    </row>
    <row r="217" spans="2:27" s="443" customFormat="1" ht="12.75" customHeight="1">
      <c r="B217" s="444">
        <v>45704</v>
      </c>
      <c r="C217" s="446"/>
      <c r="D217" s="445">
        <v>0</v>
      </c>
      <c r="E217" s="445">
        <v>54898541388.77317</v>
      </c>
      <c r="F217" s="447">
        <v>1.000297168108784</v>
      </c>
      <c r="G217" s="446"/>
      <c r="H217" s="445">
        <v>0</v>
      </c>
      <c r="I217" s="445">
        <v>52696467880.578056</v>
      </c>
      <c r="J217" s="447">
        <v>1.0002963296498042</v>
      </c>
      <c r="K217" s="446"/>
      <c r="L217" s="445">
        <v>0</v>
      </c>
      <c r="M217" s="445">
        <v>33177049741.069237</v>
      </c>
      <c r="N217" s="447">
        <v>1.0002860552448458</v>
      </c>
      <c r="O217" s="446"/>
      <c r="P217" s="445">
        <v>0</v>
      </c>
      <c r="Q217" s="445">
        <v>28666300540.176502</v>
      </c>
      <c r="R217" s="447">
        <v>1.0002973090611542</v>
      </c>
      <c r="S217" s="446"/>
      <c r="T217" s="445">
        <v>0</v>
      </c>
      <c r="U217" s="445">
        <v>27701011639.425644</v>
      </c>
      <c r="V217" s="447">
        <v>1.0003075177022043</v>
      </c>
      <c r="W217" s="446"/>
      <c r="X217" s="445">
        <v>0</v>
      </c>
      <c r="Y217" s="445">
        <v>22380837380.333946</v>
      </c>
      <c r="Z217" s="447">
        <v>1.0002839820505369</v>
      </c>
      <c r="AA217" s="446"/>
    </row>
    <row r="218" spans="2:27" s="443" customFormat="1" ht="12.75" customHeight="1">
      <c r="B218" s="444">
        <v>45705</v>
      </c>
      <c r="C218" s="446"/>
      <c r="D218" s="445">
        <v>0</v>
      </c>
      <c r="E218" s="445">
        <v>55097839637.903961</v>
      </c>
      <c r="F218" s="447">
        <v>1.0036303013538999</v>
      </c>
      <c r="G218" s="446"/>
      <c r="H218" s="445">
        <v>0</v>
      </c>
      <c r="I218" s="445">
        <v>52861854365.785858</v>
      </c>
      <c r="J218" s="447">
        <v>1.0031384738267963</v>
      </c>
      <c r="K218" s="446"/>
      <c r="L218" s="445">
        <v>0</v>
      </c>
      <c r="M218" s="445">
        <v>33301465018.90826</v>
      </c>
      <c r="N218" s="447">
        <v>1.0037500404288513</v>
      </c>
      <c r="O218" s="446"/>
      <c r="P218" s="445">
        <v>0</v>
      </c>
      <c r="Q218" s="445">
        <v>28783188260.127979</v>
      </c>
      <c r="R218" s="447">
        <v>1.0040775306805862</v>
      </c>
      <c r="S218" s="446"/>
      <c r="T218" s="445">
        <v>0</v>
      </c>
      <c r="U218" s="445">
        <v>27785146330.128922</v>
      </c>
      <c r="V218" s="447">
        <v>1.0030372425310103</v>
      </c>
      <c r="W218" s="446"/>
      <c r="X218" s="445">
        <v>0</v>
      </c>
      <c r="Y218" s="445">
        <v>22463205984.194897</v>
      </c>
      <c r="Z218" s="447">
        <v>1.0036803182321197</v>
      </c>
      <c r="AA218" s="446"/>
    </row>
    <row r="219" spans="2:27" s="443" customFormat="1" ht="12.75" customHeight="1">
      <c r="B219" s="444">
        <v>45706</v>
      </c>
      <c r="C219" s="446"/>
      <c r="D219" s="445">
        <v>0</v>
      </c>
      <c r="E219" s="445">
        <v>55194585137.298103</v>
      </c>
      <c r="F219" s="447">
        <v>1.0017558855307203</v>
      </c>
      <c r="G219" s="446"/>
      <c r="H219" s="445">
        <v>0</v>
      </c>
      <c r="I219" s="445">
        <v>52944403116.480911</v>
      </c>
      <c r="J219" s="447">
        <v>1.0015615939260065</v>
      </c>
      <c r="K219" s="446"/>
      <c r="L219" s="445">
        <v>0</v>
      </c>
      <c r="M219" s="445">
        <v>33361306838.278389</v>
      </c>
      <c r="N219" s="447">
        <v>1.0017969725757156</v>
      </c>
      <c r="O219" s="446"/>
      <c r="P219" s="445">
        <v>0</v>
      </c>
      <c r="Q219" s="445">
        <v>28838173223.92971</v>
      </c>
      <c r="R219" s="447">
        <v>1.001910315261284</v>
      </c>
      <c r="S219" s="446"/>
      <c r="T219" s="445">
        <v>0</v>
      </c>
      <c r="U219" s="445">
        <v>27828117648.606762</v>
      </c>
      <c r="V219" s="447">
        <v>1.0015465572132418</v>
      </c>
      <c r="W219" s="446"/>
      <c r="X219" s="445">
        <v>0</v>
      </c>
      <c r="Y219" s="445">
        <v>22503008327.384949</v>
      </c>
      <c r="Z219" s="447">
        <v>1.0017718905848993</v>
      </c>
      <c r="AA219" s="446"/>
    </row>
    <row r="220" spans="2:27" s="443" customFormat="1" ht="12.75" customHeight="1">
      <c r="B220" s="444">
        <v>45707</v>
      </c>
      <c r="C220" s="446"/>
      <c r="D220" s="445">
        <v>0</v>
      </c>
      <c r="E220" s="445">
        <v>54563725844.392227</v>
      </c>
      <c r="F220" s="447">
        <v>0.98857026841787843</v>
      </c>
      <c r="G220" s="446"/>
      <c r="H220" s="445">
        <v>0</v>
      </c>
      <c r="I220" s="445">
        <v>52447094324.445</v>
      </c>
      <c r="J220" s="447">
        <v>0.99060696196835385</v>
      </c>
      <c r="K220" s="446"/>
      <c r="L220" s="445">
        <v>0</v>
      </c>
      <c r="M220" s="445">
        <v>32967459220.683357</v>
      </c>
      <c r="N220" s="447">
        <v>0.98819447872638089</v>
      </c>
      <c r="O220" s="446"/>
      <c r="P220" s="445">
        <v>0</v>
      </c>
      <c r="Q220" s="445">
        <v>28455722683.964798</v>
      </c>
      <c r="R220" s="447">
        <v>0.9867380455414021</v>
      </c>
      <c r="S220" s="446"/>
      <c r="T220" s="445">
        <v>0</v>
      </c>
      <c r="U220" s="445">
        <v>27569550888.719341</v>
      </c>
      <c r="V220" s="447">
        <v>0.990708435146336</v>
      </c>
      <c r="W220" s="446"/>
      <c r="X220" s="445">
        <v>0</v>
      </c>
      <c r="Y220" s="445">
        <v>22245714064.79813</v>
      </c>
      <c r="Z220" s="447">
        <v>0.98856622817520334</v>
      </c>
      <c r="AA220" s="446"/>
    </row>
    <row r="221" spans="2:27" s="443" customFormat="1" ht="12.75" customHeight="1">
      <c r="B221" s="444">
        <v>45708</v>
      </c>
      <c r="C221" s="446"/>
      <c r="D221" s="445">
        <v>0</v>
      </c>
      <c r="E221" s="445">
        <v>54669258464.757767</v>
      </c>
      <c r="F221" s="447">
        <v>1.0019341168282112</v>
      </c>
      <c r="G221" s="446"/>
      <c r="H221" s="445">
        <v>0</v>
      </c>
      <c r="I221" s="445">
        <v>52544261594.60408</v>
      </c>
      <c r="J221" s="447">
        <v>1.0018526721339029</v>
      </c>
      <c r="K221" s="446"/>
      <c r="L221" s="445">
        <v>0</v>
      </c>
      <c r="M221" s="445">
        <v>33032565766.156006</v>
      </c>
      <c r="N221" s="447">
        <v>1.0019748730114999</v>
      </c>
      <c r="O221" s="446"/>
      <c r="P221" s="445">
        <v>0</v>
      </c>
      <c r="Q221" s="445">
        <v>28509618011.210701</v>
      </c>
      <c r="R221" s="447">
        <v>1.0018940066237108</v>
      </c>
      <c r="S221" s="446"/>
      <c r="T221" s="445">
        <v>0</v>
      </c>
      <c r="U221" s="445">
        <v>27616487994.904629</v>
      </c>
      <c r="V221" s="447">
        <v>1.0017024980339631</v>
      </c>
      <c r="W221" s="446"/>
      <c r="X221" s="445">
        <v>0</v>
      </c>
      <c r="Y221" s="445">
        <v>22289837694.135864</v>
      </c>
      <c r="Z221" s="447">
        <v>1.001983466532439</v>
      </c>
      <c r="AA221" s="446"/>
    </row>
    <row r="222" spans="2:27" s="443" customFormat="1" ht="12.75" customHeight="1">
      <c r="B222" s="444">
        <v>45709</v>
      </c>
      <c r="C222" s="446"/>
      <c r="D222" s="445">
        <v>0</v>
      </c>
      <c r="E222" s="445">
        <v>54900687071.87191</v>
      </c>
      <c r="F222" s="447">
        <v>1.0042332494277992</v>
      </c>
      <c r="G222" s="446"/>
      <c r="H222" s="445">
        <v>0</v>
      </c>
      <c r="I222" s="445">
        <v>52729735940.810402</v>
      </c>
      <c r="J222" s="447">
        <v>1.0035298687349974</v>
      </c>
      <c r="K222" s="446"/>
      <c r="L222" s="445">
        <v>0</v>
      </c>
      <c r="M222" s="445">
        <v>33176276123.396942</v>
      </c>
      <c r="N222" s="447">
        <v>1.0043505659917031</v>
      </c>
      <c r="O222" s="446"/>
      <c r="P222" s="445">
        <v>0</v>
      </c>
      <c r="Q222" s="445">
        <v>28648573475.153275</v>
      </c>
      <c r="R222" s="447">
        <v>1.0048739854700239</v>
      </c>
      <c r="S222" s="446"/>
      <c r="T222" s="445">
        <v>0</v>
      </c>
      <c r="U222" s="445">
        <v>27713695201.338882</v>
      </c>
      <c r="V222" s="447">
        <v>1.0035198974776296</v>
      </c>
      <c r="W222" s="446"/>
      <c r="X222" s="445">
        <v>0</v>
      </c>
      <c r="Y222" s="445">
        <v>22384129070.489864</v>
      </c>
      <c r="Z222" s="447">
        <v>1.0042302405987822</v>
      </c>
      <c r="AA222" s="446"/>
    </row>
    <row r="223" spans="2:27" s="443" customFormat="1" ht="12.75" customHeight="1">
      <c r="B223" s="444">
        <v>45710</v>
      </c>
      <c r="C223" s="446"/>
      <c r="D223" s="445">
        <v>0</v>
      </c>
      <c r="E223" s="445">
        <v>54916982391.536034</v>
      </c>
      <c r="F223" s="447">
        <v>1.0002968144941937</v>
      </c>
      <c r="G223" s="446"/>
      <c r="H223" s="445">
        <v>0</v>
      </c>
      <c r="I223" s="445">
        <v>52745323357.053726</v>
      </c>
      <c r="J223" s="447">
        <v>1.0002956096017781</v>
      </c>
      <c r="K223" s="446"/>
      <c r="L223" s="445">
        <v>0</v>
      </c>
      <c r="M223" s="445">
        <v>33185762136.924168</v>
      </c>
      <c r="N223" s="447">
        <v>1.0002859276156233</v>
      </c>
      <c r="O223" s="446"/>
      <c r="P223" s="445">
        <v>0</v>
      </c>
      <c r="Q223" s="445">
        <v>28657110948.824745</v>
      </c>
      <c r="R223" s="447">
        <v>1.0002980069384213</v>
      </c>
      <c r="S223" s="446"/>
      <c r="T223" s="445">
        <v>0</v>
      </c>
      <c r="U223" s="445">
        <v>27722217589.296936</v>
      </c>
      <c r="V223" s="447">
        <v>1.0003075153961296</v>
      </c>
      <c r="W223" s="446"/>
      <c r="X223" s="445">
        <v>0</v>
      </c>
      <c r="Y223" s="445">
        <v>22390498329.246494</v>
      </c>
      <c r="Z223" s="447">
        <v>1.0002845435145844</v>
      </c>
      <c r="AA223" s="446"/>
    </row>
    <row r="224" spans="2:27" s="443" customFormat="1" ht="12.75" customHeight="1">
      <c r="B224" s="444">
        <v>45711</v>
      </c>
      <c r="C224" s="446"/>
      <c r="D224" s="445">
        <v>0</v>
      </c>
      <c r="E224" s="445">
        <v>54933277711.200157</v>
      </c>
      <c r="F224" s="447">
        <v>1.000296726421491</v>
      </c>
      <c r="G224" s="446"/>
      <c r="H224" s="445">
        <v>0</v>
      </c>
      <c r="I224" s="445">
        <v>52760910773.297066</v>
      </c>
      <c r="J224" s="447">
        <v>1.0002955222425658</v>
      </c>
      <c r="K224" s="446"/>
      <c r="L224" s="445">
        <v>0</v>
      </c>
      <c r="M224" s="445">
        <v>33195248150.451385</v>
      </c>
      <c r="N224" s="447">
        <v>1.0002858458843911</v>
      </c>
      <c r="O224" s="446"/>
      <c r="P224" s="445">
        <v>0</v>
      </c>
      <c r="Q224" s="445">
        <v>28665648422.496208</v>
      </c>
      <c r="R224" s="447">
        <v>1.0002979181567433</v>
      </c>
      <c r="S224" s="446"/>
      <c r="T224" s="445">
        <v>0</v>
      </c>
      <c r="U224" s="445">
        <v>27730739977.25499</v>
      </c>
      <c r="V224" s="447">
        <v>1.0003074208594822</v>
      </c>
      <c r="W224" s="446"/>
      <c r="X224" s="445">
        <v>0</v>
      </c>
      <c r="Y224" s="445">
        <v>22396867588.003117</v>
      </c>
      <c r="Z224" s="447">
        <v>1.0002844625726039</v>
      </c>
      <c r="AA224" s="446"/>
    </row>
    <row r="225" spans="2:27" s="443" customFormat="1" ht="12.75" customHeight="1">
      <c r="B225" s="444">
        <v>45712</v>
      </c>
      <c r="C225" s="446"/>
      <c r="D225" s="445">
        <v>0</v>
      </c>
      <c r="E225" s="445">
        <v>54850017780.864296</v>
      </c>
      <c r="F225" s="447">
        <v>0.99848434439369194</v>
      </c>
      <c r="G225" s="446"/>
      <c r="H225" s="445">
        <v>0</v>
      </c>
      <c r="I225" s="445">
        <v>52697478351.806076</v>
      </c>
      <c r="J225" s="447">
        <v>0.99879773831495167</v>
      </c>
      <c r="K225" s="446"/>
      <c r="L225" s="445">
        <v>0</v>
      </c>
      <c r="M225" s="445">
        <v>33141267232.980888</v>
      </c>
      <c r="N225" s="447">
        <v>0.99837383600129037</v>
      </c>
      <c r="O225" s="446"/>
      <c r="P225" s="445">
        <v>0</v>
      </c>
      <c r="Q225" s="445">
        <v>28611974397.076561</v>
      </c>
      <c r="R225" s="447">
        <v>0.99812758376756183</v>
      </c>
      <c r="S225" s="446"/>
      <c r="T225" s="445">
        <v>0</v>
      </c>
      <c r="U225" s="445">
        <v>27698791583.110657</v>
      </c>
      <c r="V225" s="447">
        <v>0.99884790690149139</v>
      </c>
      <c r="W225" s="446"/>
      <c r="X225" s="445">
        <v>0</v>
      </c>
      <c r="Y225" s="445">
        <v>22361605859.71603</v>
      </c>
      <c r="Z225" s="447">
        <v>0.99842559553703059</v>
      </c>
      <c r="AA225" s="446"/>
    </row>
    <row r="226" spans="2:27" s="443" customFormat="1" ht="12.75" customHeight="1">
      <c r="B226" s="444">
        <v>45713</v>
      </c>
      <c r="C226" s="446"/>
      <c r="D226" s="445">
        <v>0</v>
      </c>
      <c r="E226" s="445">
        <v>54988494027.288414</v>
      </c>
      <c r="F226" s="447">
        <v>1.0025246344855776</v>
      </c>
      <c r="G226" s="446"/>
      <c r="H226" s="445">
        <v>0</v>
      </c>
      <c r="I226" s="445">
        <v>52812780637.405983</v>
      </c>
      <c r="J226" s="447">
        <v>1.0021880038515345</v>
      </c>
      <c r="K226" s="446"/>
      <c r="L226" s="445">
        <v>0</v>
      </c>
      <c r="M226" s="445">
        <v>33229996904.159966</v>
      </c>
      <c r="N226" s="447">
        <v>1.0026773167892258</v>
      </c>
      <c r="O226" s="446"/>
      <c r="P226" s="445">
        <v>0</v>
      </c>
      <c r="Q226" s="445">
        <v>28697195640.415359</v>
      </c>
      <c r="R226" s="447">
        <v>1.0029785166922107</v>
      </c>
      <c r="S226" s="446"/>
      <c r="T226" s="445">
        <v>0</v>
      </c>
      <c r="U226" s="445">
        <v>27757222834.830345</v>
      </c>
      <c r="V226" s="447">
        <v>1.0021095234983217</v>
      </c>
      <c r="W226" s="446"/>
      <c r="X226" s="445">
        <v>0</v>
      </c>
      <c r="Y226" s="445">
        <v>22420645043.322739</v>
      </c>
      <c r="Z226" s="447">
        <v>1.0026402032115711</v>
      </c>
      <c r="AA226" s="446"/>
    </row>
    <row r="227" spans="2:27" s="443" customFormat="1" ht="12.75" customHeight="1">
      <c r="B227" s="444">
        <v>45714</v>
      </c>
      <c r="C227" s="446"/>
      <c r="D227" s="445">
        <v>0</v>
      </c>
      <c r="E227" s="445">
        <v>54499317917.874634</v>
      </c>
      <c r="F227" s="447">
        <v>0.99110402788679708</v>
      </c>
      <c r="G227" s="446"/>
      <c r="H227" s="445">
        <v>0</v>
      </c>
      <c r="I227" s="445">
        <v>52364534919.026428</v>
      </c>
      <c r="J227" s="447">
        <v>0.99151255220858281</v>
      </c>
      <c r="K227" s="446"/>
      <c r="L227" s="445">
        <v>0</v>
      </c>
      <c r="M227" s="445">
        <v>32906583541.018566</v>
      </c>
      <c r="N227" s="447">
        <v>0.99026742722624472</v>
      </c>
      <c r="O227" s="446"/>
      <c r="P227" s="445">
        <v>0</v>
      </c>
      <c r="Q227" s="445">
        <v>28407634259.019558</v>
      </c>
      <c r="R227" s="447">
        <v>0.98990976731579994</v>
      </c>
      <c r="S227" s="446"/>
      <c r="T227" s="445">
        <v>0</v>
      </c>
      <c r="U227" s="445">
        <v>27549845768.560787</v>
      </c>
      <c r="V227" s="447">
        <v>0.99252889716296344</v>
      </c>
      <c r="W227" s="446"/>
      <c r="X227" s="445">
        <v>0</v>
      </c>
      <c r="Y227" s="445">
        <v>22233702637.411282</v>
      </c>
      <c r="Z227" s="447">
        <v>0.99166204158933724</v>
      </c>
      <c r="AA227" s="446"/>
    </row>
    <row r="228" spans="2:27" s="443" customFormat="1" ht="12.75" customHeight="1">
      <c r="B228" s="444">
        <v>45715</v>
      </c>
      <c r="C228" s="446"/>
      <c r="D228" s="445">
        <v>0</v>
      </c>
      <c r="E228" s="445">
        <v>54983447159.476845</v>
      </c>
      <c r="F228" s="447">
        <v>1.0088832165263379</v>
      </c>
      <c r="G228" s="446"/>
      <c r="H228" s="445">
        <v>0</v>
      </c>
      <c r="I228" s="445">
        <v>52761998345.85199</v>
      </c>
      <c r="J228" s="447">
        <v>1.0075903171381198</v>
      </c>
      <c r="K228" s="446"/>
      <c r="L228" s="445">
        <v>0</v>
      </c>
      <c r="M228" s="445">
        <v>33208259243.921906</v>
      </c>
      <c r="N228" s="447">
        <v>1.0091676397377229</v>
      </c>
      <c r="O228" s="446"/>
      <c r="P228" s="445">
        <v>0</v>
      </c>
      <c r="Q228" s="445">
        <v>28690897589.410946</v>
      </c>
      <c r="R228" s="447">
        <v>1.0099713805031636</v>
      </c>
      <c r="S228" s="446"/>
      <c r="T228" s="445">
        <v>0</v>
      </c>
      <c r="U228" s="445">
        <v>27751599743.138027</v>
      </c>
      <c r="V228" s="447">
        <v>1.007323234266795</v>
      </c>
      <c r="W228" s="446"/>
      <c r="X228" s="445">
        <v>0</v>
      </c>
      <c r="Y228" s="445">
        <v>22432595883.838215</v>
      </c>
      <c r="Z228" s="447">
        <v>1.0089455746382192</v>
      </c>
      <c r="AA228" s="446"/>
    </row>
    <row r="229" spans="2:27" s="443" customFormat="1" ht="12.75" customHeight="1">
      <c r="B229" s="444">
        <v>45716</v>
      </c>
      <c r="C229" s="446"/>
      <c r="D229" s="445">
        <v>0</v>
      </c>
      <c r="E229" s="445">
        <v>55236156859.734764</v>
      </c>
      <c r="F229" s="447">
        <v>1.0045961050700394</v>
      </c>
      <c r="G229" s="446"/>
      <c r="H229" s="445">
        <v>0</v>
      </c>
      <c r="I229" s="445">
        <v>52998999446.436996</v>
      </c>
      <c r="J229" s="447">
        <v>1.0044918901485018</v>
      </c>
      <c r="K229" s="446"/>
      <c r="L229" s="445">
        <v>0</v>
      </c>
      <c r="M229" s="445">
        <v>33383867076.835938</v>
      </c>
      <c r="N229" s="447">
        <v>1.005288077029999</v>
      </c>
      <c r="O229" s="446"/>
      <c r="P229" s="445">
        <v>0</v>
      </c>
      <c r="Q229" s="445">
        <v>28850342535.809464</v>
      </c>
      <c r="R229" s="447">
        <v>1.0055573355940375</v>
      </c>
      <c r="S229" s="446"/>
      <c r="T229" s="445">
        <v>0</v>
      </c>
      <c r="U229" s="445">
        <v>27861979646.990456</v>
      </c>
      <c r="V229" s="447">
        <v>1.0039774249006932</v>
      </c>
      <c r="W229" s="446"/>
      <c r="X229" s="445">
        <v>0</v>
      </c>
      <c r="Y229" s="445">
        <v>22519125627.697498</v>
      </c>
      <c r="Z229" s="447">
        <v>1.0038573219215179</v>
      </c>
      <c r="AA229" s="446"/>
    </row>
    <row r="230" spans="2:27" s="443" customFormat="1" ht="12.75" customHeight="1">
      <c r="B230" s="444">
        <v>45717</v>
      </c>
      <c r="C230" s="446"/>
      <c r="D230" s="445">
        <v>0</v>
      </c>
      <c r="E230" s="445">
        <v>55252506779.315079</v>
      </c>
      <c r="F230" s="447">
        <v>1.0002960003104819</v>
      </c>
      <c r="G230" s="446"/>
      <c r="H230" s="445">
        <v>0</v>
      </c>
      <c r="I230" s="445">
        <v>53014620329.797455</v>
      </c>
      <c r="J230" s="447">
        <v>1.0002947392125061</v>
      </c>
      <c r="K230" s="446"/>
      <c r="L230" s="445">
        <v>0</v>
      </c>
      <c r="M230" s="445">
        <v>33393358212.017925</v>
      </c>
      <c r="N230" s="447">
        <v>1.0002843030485398</v>
      </c>
      <c r="O230" s="446"/>
      <c r="P230" s="445">
        <v>0</v>
      </c>
      <c r="Q230" s="445">
        <v>28859041852.698395</v>
      </c>
      <c r="R230" s="447">
        <v>1.0003015325339077</v>
      </c>
      <c r="S230" s="446"/>
      <c r="T230" s="445">
        <v>0</v>
      </c>
      <c r="U230" s="445">
        <v>27870532440.995174</v>
      </c>
      <c r="V230" s="447">
        <v>1.0003069700758196</v>
      </c>
      <c r="W230" s="446"/>
      <c r="X230" s="445">
        <v>0</v>
      </c>
      <c r="Y230" s="445">
        <v>22525498449.872696</v>
      </c>
      <c r="Z230" s="447">
        <v>1.0002829959866364</v>
      </c>
      <c r="AA230" s="446"/>
    </row>
    <row r="231" spans="2:27" s="443" customFormat="1" ht="12.75" customHeight="1">
      <c r="B231" s="444">
        <v>45718</v>
      </c>
      <c r="C231" s="446"/>
      <c r="D231" s="445">
        <v>0</v>
      </c>
      <c r="E231" s="445">
        <v>55268856698.895393</v>
      </c>
      <c r="F231" s="447">
        <v>1.0002959127202249</v>
      </c>
      <c r="G231" s="446"/>
      <c r="H231" s="445">
        <v>0</v>
      </c>
      <c r="I231" s="445">
        <v>53030241213.157951</v>
      </c>
      <c r="J231" s="447">
        <v>1.0002946523669003</v>
      </c>
      <c r="K231" s="446"/>
      <c r="L231" s="445">
        <v>0</v>
      </c>
      <c r="M231" s="445">
        <v>33402849347.199905</v>
      </c>
      <c r="N231" s="447">
        <v>1.0002842222432893</v>
      </c>
      <c r="O231" s="446"/>
      <c r="P231" s="445">
        <v>0</v>
      </c>
      <c r="Q231" s="445">
        <v>28867741169.587322</v>
      </c>
      <c r="R231" s="447">
        <v>1.0003014416394462</v>
      </c>
      <c r="S231" s="446"/>
      <c r="T231" s="445">
        <v>0</v>
      </c>
      <c r="U231" s="445">
        <v>27879085234.999897</v>
      </c>
      <c r="V231" s="447">
        <v>1.0003068758741094</v>
      </c>
      <c r="W231" s="446"/>
      <c r="X231" s="445">
        <v>0</v>
      </c>
      <c r="Y231" s="445">
        <v>22531871272.047894</v>
      </c>
      <c r="Z231" s="447">
        <v>1.0002829159225657</v>
      </c>
      <c r="AA231" s="446"/>
    </row>
    <row r="232" spans="2:27" s="443" customFormat="1" ht="12.75" customHeight="1">
      <c r="B232" s="444">
        <v>45719</v>
      </c>
      <c r="C232" s="446"/>
      <c r="D232" s="445">
        <v>0</v>
      </c>
      <c r="E232" s="445">
        <v>55478040118.475723</v>
      </c>
      <c r="F232" s="447">
        <v>1.0037848334862427</v>
      </c>
      <c r="G232" s="446"/>
      <c r="H232" s="445">
        <v>0</v>
      </c>
      <c r="I232" s="445">
        <v>53207260303.507446</v>
      </c>
      <c r="J232" s="447">
        <v>1.0033380781663421</v>
      </c>
      <c r="K232" s="446"/>
      <c r="L232" s="445">
        <v>0</v>
      </c>
      <c r="M232" s="445">
        <v>33533331280.665886</v>
      </c>
      <c r="N232" s="447">
        <v>1.0039063114679143</v>
      </c>
      <c r="O232" s="446"/>
      <c r="P232" s="445">
        <v>0</v>
      </c>
      <c r="Q232" s="445">
        <v>28987394964.479248</v>
      </c>
      <c r="R232" s="447">
        <v>1.0041448963460287</v>
      </c>
      <c r="S232" s="446"/>
      <c r="T232" s="445">
        <v>0</v>
      </c>
      <c r="U232" s="445">
        <v>27969283553.785286</v>
      </c>
      <c r="V232" s="447">
        <v>1.0032353399699123</v>
      </c>
      <c r="W232" s="446"/>
      <c r="X232" s="445">
        <v>0</v>
      </c>
      <c r="Y232" s="445">
        <v>22618743658.288097</v>
      </c>
      <c r="Z232" s="447">
        <v>1.0038555335769193</v>
      </c>
      <c r="AA232" s="446"/>
    </row>
    <row r="233" spans="2:27" s="443" customFormat="1" ht="12.75" customHeight="1">
      <c r="B233" s="444">
        <v>45720</v>
      </c>
      <c r="C233" s="446"/>
      <c r="D233" s="445">
        <v>0</v>
      </c>
      <c r="E233" s="445">
        <v>55443843180.352699</v>
      </c>
      <c r="F233" s="447">
        <v>0.9993835950576121</v>
      </c>
      <c r="G233" s="446"/>
      <c r="H233" s="445">
        <v>0</v>
      </c>
      <c r="I233" s="445">
        <v>53180918563.727722</v>
      </c>
      <c r="J233" s="447">
        <v>0.99950492207962804</v>
      </c>
      <c r="K233" s="446"/>
      <c r="L233" s="445">
        <v>0</v>
      </c>
      <c r="M233" s="445">
        <v>33511798574.863693</v>
      </c>
      <c r="N233" s="447">
        <v>0.99935787155704958</v>
      </c>
      <c r="O233" s="446"/>
      <c r="P233" s="445">
        <v>0</v>
      </c>
      <c r="Q233" s="445">
        <v>28967783719.788513</v>
      </c>
      <c r="R233" s="447">
        <v>0.99932345611895212</v>
      </c>
      <c r="S233" s="446"/>
      <c r="T233" s="445">
        <v>0</v>
      </c>
      <c r="U233" s="445">
        <v>27957608465.108727</v>
      </c>
      <c r="V233" s="447">
        <v>0.99958257462497713</v>
      </c>
      <c r="W233" s="446"/>
      <c r="X233" s="445">
        <v>0</v>
      </c>
      <c r="Y233" s="445">
        <v>22604757980.745293</v>
      </c>
      <c r="Z233" s="447">
        <v>0.99938167752576834</v>
      </c>
      <c r="AA233" s="446"/>
    </row>
    <row r="234" spans="2:27" s="443" customFormat="1" ht="12.75" customHeight="1">
      <c r="B234" s="444">
        <v>45721</v>
      </c>
      <c r="C234" s="446"/>
      <c r="D234" s="445">
        <v>0</v>
      </c>
      <c r="E234" s="445">
        <v>55092310704.029678</v>
      </c>
      <c r="F234" s="447">
        <v>0.99365966613859136</v>
      </c>
      <c r="G234" s="446"/>
      <c r="H234" s="445">
        <v>0</v>
      </c>
      <c r="I234" s="445">
        <v>52887741971.470551</v>
      </c>
      <c r="J234" s="447">
        <v>0.99448718449821716</v>
      </c>
      <c r="K234" s="446"/>
      <c r="L234" s="445">
        <v>0</v>
      </c>
      <c r="M234" s="445">
        <v>33294030199.367496</v>
      </c>
      <c r="N234" s="447">
        <v>0.99350174014057424</v>
      </c>
      <c r="O234" s="446"/>
      <c r="P234" s="445">
        <v>0</v>
      </c>
      <c r="Q234" s="445">
        <v>28774046256.367783</v>
      </c>
      <c r="R234" s="447">
        <v>0.99331196803680966</v>
      </c>
      <c r="S234" s="446"/>
      <c r="T234" s="445">
        <v>0</v>
      </c>
      <c r="U234" s="445">
        <v>27810103646.448467</v>
      </c>
      <c r="V234" s="447">
        <v>0.99472398295997511</v>
      </c>
      <c r="W234" s="446"/>
      <c r="X234" s="445">
        <v>0</v>
      </c>
      <c r="Y234" s="445">
        <v>22460847859.138489</v>
      </c>
      <c r="Z234" s="447">
        <v>0.99363363581554887</v>
      </c>
      <c r="AA234" s="446"/>
    </row>
    <row r="235" spans="2:27" s="443" customFormat="1" ht="12.75" customHeight="1">
      <c r="B235" s="444">
        <v>45722</v>
      </c>
      <c r="C235" s="446"/>
      <c r="D235" s="445">
        <v>0</v>
      </c>
      <c r="E235" s="445">
        <v>54813446256.576668</v>
      </c>
      <c r="F235" s="447">
        <v>0.99493823286971672</v>
      </c>
      <c r="G235" s="446"/>
      <c r="H235" s="445">
        <v>0</v>
      </c>
      <c r="I235" s="445">
        <v>52613269870.65802</v>
      </c>
      <c r="J235" s="447">
        <v>0.9948102889141951</v>
      </c>
      <c r="K235" s="446"/>
      <c r="L235" s="445">
        <v>0</v>
      </c>
      <c r="M235" s="445">
        <v>33109320252.109459</v>
      </c>
      <c r="N235" s="447">
        <v>0.99445216015748228</v>
      </c>
      <c r="O235" s="446"/>
      <c r="P235" s="445">
        <v>0</v>
      </c>
      <c r="Q235" s="445">
        <v>28644128980.429443</v>
      </c>
      <c r="R235" s="447">
        <v>0.99548491460739252</v>
      </c>
      <c r="S235" s="446"/>
      <c r="T235" s="445">
        <v>0</v>
      </c>
      <c r="U235" s="445">
        <v>27693792095.809029</v>
      </c>
      <c r="V235" s="447">
        <v>0.99581765130694533</v>
      </c>
      <c r="W235" s="446"/>
      <c r="X235" s="445">
        <v>0</v>
      </c>
      <c r="Y235" s="445">
        <v>22340519123.415203</v>
      </c>
      <c r="Z235" s="447">
        <v>0.99464273403756087</v>
      </c>
      <c r="AA235" s="446"/>
    </row>
    <row r="236" spans="2:27" s="443" customFormat="1" ht="12.75" customHeight="1">
      <c r="B236" s="444">
        <v>45723</v>
      </c>
      <c r="C236" s="446"/>
      <c r="D236" s="445">
        <v>0</v>
      </c>
      <c r="E236" s="445">
        <v>54928995873.910416</v>
      </c>
      <c r="F236" s="447">
        <v>1.0021080524073029</v>
      </c>
      <c r="G236" s="446"/>
      <c r="H236" s="445">
        <v>0</v>
      </c>
      <c r="I236" s="445">
        <v>52652998122.357925</v>
      </c>
      <c r="J236" s="447">
        <v>1.0007550994606031</v>
      </c>
      <c r="K236" s="446"/>
      <c r="L236" s="445">
        <v>0</v>
      </c>
      <c r="M236" s="445">
        <v>33159836832.093769</v>
      </c>
      <c r="N236" s="447">
        <v>1.0015257510453146</v>
      </c>
      <c r="O236" s="446"/>
      <c r="P236" s="445">
        <v>0</v>
      </c>
      <c r="Q236" s="445">
        <v>28723149884.483757</v>
      </c>
      <c r="R236" s="447">
        <v>1.0027587120595745</v>
      </c>
      <c r="S236" s="446"/>
      <c r="T236" s="445">
        <v>0</v>
      </c>
      <c r="U236" s="445">
        <v>27740018140.93523</v>
      </c>
      <c r="V236" s="447">
        <v>1.0016691843777219</v>
      </c>
      <c r="W236" s="446"/>
      <c r="X236" s="445">
        <v>0</v>
      </c>
      <c r="Y236" s="445">
        <v>22409575442.772232</v>
      </c>
      <c r="Z236" s="447">
        <v>1.0030910794407033</v>
      </c>
      <c r="AA236" s="446"/>
    </row>
    <row r="237" spans="2:27" s="443" customFormat="1" ht="12.75" customHeight="1">
      <c r="B237" s="444">
        <v>45724</v>
      </c>
      <c r="C237" s="446"/>
      <c r="D237" s="445">
        <v>0</v>
      </c>
      <c r="E237" s="445">
        <v>54945518059.233818</v>
      </c>
      <c r="F237" s="447">
        <v>1.0003007916868047</v>
      </c>
      <c r="G237" s="446"/>
      <c r="H237" s="445">
        <v>0</v>
      </c>
      <c r="I237" s="445">
        <v>52668696642.621254</v>
      </c>
      <c r="J237" s="447">
        <v>1.0002981505483666</v>
      </c>
      <c r="K237" s="446"/>
      <c r="L237" s="445">
        <v>0</v>
      </c>
      <c r="M237" s="445">
        <v>33169379734.430573</v>
      </c>
      <c r="N237" s="447">
        <v>1.0002877849606173</v>
      </c>
      <c r="O237" s="446"/>
      <c r="P237" s="445">
        <v>0</v>
      </c>
      <c r="Q237" s="445">
        <v>28731903469.136734</v>
      </c>
      <c r="R237" s="447">
        <v>1.0003047571275498</v>
      </c>
      <c r="S237" s="446"/>
      <c r="T237" s="445">
        <v>0</v>
      </c>
      <c r="U237" s="445">
        <v>27748562231.149956</v>
      </c>
      <c r="V237" s="447">
        <v>1.0003080059346507</v>
      </c>
      <c r="W237" s="446"/>
      <c r="X237" s="445">
        <v>0</v>
      </c>
      <c r="Y237" s="445">
        <v>22415889998.285294</v>
      </c>
      <c r="Z237" s="447">
        <v>1.0002817793460295</v>
      </c>
      <c r="AA237" s="446"/>
    </row>
    <row r="238" spans="2:27" s="443" customFormat="1" ht="12.75" customHeight="1">
      <c r="B238" s="444">
        <v>45725</v>
      </c>
      <c r="C238" s="446"/>
      <c r="D238" s="445">
        <v>0</v>
      </c>
      <c r="E238" s="445">
        <v>54962040244.557243</v>
      </c>
      <c r="F238" s="447">
        <v>1.0003007012383724</v>
      </c>
      <c r="G238" s="446"/>
      <c r="H238" s="445">
        <v>0</v>
      </c>
      <c r="I238" s="445">
        <v>52684395162.884583</v>
      </c>
      <c r="J238" s="447">
        <v>1.000298061681113</v>
      </c>
      <c r="K238" s="446"/>
      <c r="L238" s="445">
        <v>0</v>
      </c>
      <c r="M238" s="445">
        <v>33178922636.767376</v>
      </c>
      <c r="N238" s="447">
        <v>1.0002877021642613</v>
      </c>
      <c r="O238" s="446"/>
      <c r="P238" s="445">
        <v>0</v>
      </c>
      <c r="Q238" s="445">
        <v>28740657053.789703</v>
      </c>
      <c r="R238" s="447">
        <v>1.000304664278939</v>
      </c>
      <c r="S238" s="446"/>
      <c r="T238" s="445">
        <v>0</v>
      </c>
      <c r="U238" s="445">
        <v>27757106321.364677</v>
      </c>
      <c r="V238" s="447">
        <v>1.0003079110962056</v>
      </c>
      <c r="W238" s="446"/>
      <c r="X238" s="445">
        <v>0</v>
      </c>
      <c r="Y238" s="445">
        <v>22422204553.798347</v>
      </c>
      <c r="Z238" s="447">
        <v>1.000281699968796</v>
      </c>
      <c r="AA238" s="446"/>
    </row>
    <row r="239" spans="2:27" s="443" customFormat="1" ht="12.75" customHeight="1">
      <c r="B239" s="444">
        <v>45726</v>
      </c>
      <c r="C239" s="446"/>
      <c r="D239" s="445">
        <v>0</v>
      </c>
      <c r="E239" s="380">
        <v>54978562429.8806</v>
      </c>
      <c r="F239" s="447">
        <v>1.000300610844318</v>
      </c>
      <c r="G239" s="446"/>
      <c r="H239" s="445">
        <v>0</v>
      </c>
      <c r="I239" s="445">
        <v>52772572880.696785</v>
      </c>
      <c r="J239" s="447">
        <v>1.0016736970698741</v>
      </c>
      <c r="K239" s="446"/>
      <c r="L239" s="445">
        <v>0</v>
      </c>
      <c r="M239" s="445">
        <v>33229229885.389263</v>
      </c>
      <c r="N239" s="447">
        <v>1.0015162411743332</v>
      </c>
      <c r="O239" s="446"/>
      <c r="P239" s="445">
        <v>0</v>
      </c>
      <c r="Q239" s="445">
        <v>28772458352.693695</v>
      </c>
      <c r="R239" s="447">
        <v>1.001106491714663</v>
      </c>
      <c r="S239" s="446"/>
      <c r="T239" s="445">
        <v>0</v>
      </c>
      <c r="U239" s="445">
        <v>27795748968.387276</v>
      </c>
      <c r="V239" s="447">
        <v>1.0013921713083203</v>
      </c>
      <c r="W239" s="446"/>
      <c r="X239" s="445">
        <v>0</v>
      </c>
      <c r="Y239" s="445">
        <v>22453353108.911026</v>
      </c>
      <c r="Z239" s="447">
        <v>1.0013891834336781</v>
      </c>
      <c r="AA239" s="446"/>
    </row>
    <row r="240" spans="2:27" s="443" customFormat="1" ht="12.75" customHeight="1">
      <c r="B240" s="444">
        <v>45727</v>
      </c>
      <c r="C240" s="446"/>
      <c r="D240" s="445">
        <v>0</v>
      </c>
      <c r="E240" s="380">
        <v>55046054106.437202</v>
      </c>
      <c r="F240" s="447">
        <v>1.0012275998784559</v>
      </c>
      <c r="G240" s="446"/>
      <c r="H240" s="445">
        <v>0</v>
      </c>
      <c r="I240" s="445">
        <v>52852278396.472496</v>
      </c>
      <c r="J240" s="447">
        <v>1.0015103587228142</v>
      </c>
      <c r="K240" s="446"/>
      <c r="L240" s="445">
        <v>0</v>
      </c>
      <c r="M240" s="445">
        <v>33278072232.75425</v>
      </c>
      <c r="N240" s="447">
        <v>1.0014698609487325</v>
      </c>
      <c r="O240" s="446"/>
      <c r="P240" s="445">
        <v>0</v>
      </c>
      <c r="Q240" s="445">
        <v>28767793375.201889</v>
      </c>
      <c r="R240" s="447">
        <v>0.99983786656549734</v>
      </c>
      <c r="S240" s="446"/>
      <c r="T240" s="445">
        <v>0</v>
      </c>
      <c r="U240" s="445">
        <v>27827696564.240562</v>
      </c>
      <c r="V240" s="447">
        <v>1.00114936985111</v>
      </c>
      <c r="W240" s="446"/>
      <c r="X240" s="445">
        <v>0</v>
      </c>
      <c r="Y240" s="445">
        <v>22476967518.707901</v>
      </c>
      <c r="Z240" s="447">
        <v>1.0010517097238141</v>
      </c>
      <c r="AA240" s="446"/>
    </row>
    <row r="241" spans="2:27" s="443" customFormat="1" ht="12.75" customHeight="1">
      <c r="B241" s="444">
        <v>45728</v>
      </c>
      <c r="C241" s="446"/>
      <c r="D241" s="445">
        <v>0</v>
      </c>
      <c r="E241" s="380">
        <v>55122699416.425003</v>
      </c>
      <c r="F241" s="447">
        <v>1.0013923851805908</v>
      </c>
      <c r="G241" s="446"/>
      <c r="H241" s="445">
        <v>0</v>
      </c>
      <c r="I241" s="445">
        <v>51527642438.536667</v>
      </c>
      <c r="J241" s="447">
        <v>0.97493701315960224</v>
      </c>
      <c r="K241" s="446"/>
      <c r="L241" s="445">
        <v>0</v>
      </c>
      <c r="M241" s="445">
        <v>32281981105.77179</v>
      </c>
      <c r="N241" s="447">
        <v>0.97006764334136975</v>
      </c>
      <c r="O241" s="446"/>
      <c r="P241" s="445">
        <v>0</v>
      </c>
      <c r="Q241" s="445">
        <v>27906291741.139168</v>
      </c>
      <c r="R241" s="447">
        <v>0.97005325980944568</v>
      </c>
      <c r="S241" s="446"/>
      <c r="T241" s="445">
        <v>0</v>
      </c>
      <c r="U241" s="445">
        <v>27189809341.62767</v>
      </c>
      <c r="V241" s="447">
        <v>0.97707725390995548</v>
      </c>
      <c r="W241" s="446"/>
      <c r="X241" s="445">
        <v>0</v>
      </c>
      <c r="Y241" s="445">
        <v>21836431617.352856</v>
      </c>
      <c r="Z241" s="447">
        <v>0.97150256586784145</v>
      </c>
      <c r="AA241" s="446"/>
    </row>
    <row r="242" spans="2:27" s="443" customFormat="1" ht="12.75" customHeight="1">
      <c r="B242" s="444">
        <v>45729</v>
      </c>
      <c r="C242" s="446"/>
      <c r="D242" s="445">
        <v>0</v>
      </c>
      <c r="E242" s="380">
        <v>53544186513.980301</v>
      </c>
      <c r="F242" s="447">
        <v>0.97136365019935234</v>
      </c>
      <c r="G242" s="446"/>
      <c r="H242" s="445">
        <v>0</v>
      </c>
      <c r="I242" s="445">
        <v>51649010072.812042</v>
      </c>
      <c r="J242" s="447">
        <v>1.0023553888462906</v>
      </c>
      <c r="K242" s="446"/>
      <c r="L242" s="445">
        <v>0</v>
      </c>
      <c r="M242" s="445">
        <v>32362198592.888733</v>
      </c>
      <c r="N242" s="447">
        <v>1.0024848997604612</v>
      </c>
      <c r="O242" s="446"/>
      <c r="P242" s="445">
        <v>0</v>
      </c>
      <c r="Q242" s="445">
        <v>27969803474.702763</v>
      </c>
      <c r="R242" s="447">
        <v>1.0022758929833004</v>
      </c>
      <c r="S242" s="446"/>
      <c r="T242" s="445">
        <v>0</v>
      </c>
      <c r="U242" s="445">
        <v>27237133581.61982</v>
      </c>
      <c r="V242" s="447">
        <v>1.0017405138593487</v>
      </c>
      <c r="W242" s="446"/>
      <c r="X242" s="445">
        <v>0</v>
      </c>
      <c r="Y242" s="445">
        <v>21857415818.595596</v>
      </c>
      <c r="Z242" s="447">
        <v>1.0009609720860282</v>
      </c>
      <c r="AA242" s="446"/>
    </row>
    <row r="243" spans="2:27" s="443" customFormat="1" ht="12.75" customHeight="1">
      <c r="B243" s="444">
        <v>45730</v>
      </c>
      <c r="C243" s="446"/>
      <c r="D243" s="445">
        <v>0</v>
      </c>
      <c r="E243" s="380">
        <v>53644365873.624702</v>
      </c>
      <c r="F243" s="447">
        <v>1.0018709661340779</v>
      </c>
      <c r="G243" s="446"/>
      <c r="H243" s="445">
        <v>0</v>
      </c>
      <c r="I243" s="445">
        <v>51664680173.620934</v>
      </c>
      <c r="J243" s="447">
        <v>1.0003033959564143</v>
      </c>
      <c r="K243" s="446"/>
      <c r="L243" s="445">
        <v>0</v>
      </c>
      <c r="M243" s="445">
        <v>32371768609.812141</v>
      </c>
      <c r="N243" s="447">
        <v>1.0002957159074326</v>
      </c>
      <c r="O243" s="446"/>
      <c r="P243" s="445">
        <v>0</v>
      </c>
      <c r="Q243" s="445">
        <v>27978664695.020096</v>
      </c>
      <c r="R243" s="447">
        <v>1.0003168138212106</v>
      </c>
      <c r="S243" s="446"/>
      <c r="T243" s="445">
        <v>0</v>
      </c>
      <c r="U243" s="445">
        <v>27245404231.477882</v>
      </c>
      <c r="V243" s="447">
        <v>1.0003036534602028</v>
      </c>
      <c r="W243" s="446"/>
      <c r="X243" s="445">
        <v>0</v>
      </c>
      <c r="Y243" s="445">
        <v>21863916134.993656</v>
      </c>
      <c r="Z243" s="447">
        <v>1.0002973963826287</v>
      </c>
      <c r="AA243" s="446"/>
    </row>
    <row r="244" spans="2:27" s="443" customFormat="1" ht="12.75" customHeight="1">
      <c r="B244" s="444">
        <v>45731</v>
      </c>
      <c r="C244" s="446"/>
      <c r="D244" s="445">
        <v>0</v>
      </c>
      <c r="E244" s="380">
        <v>53661137914.063599</v>
      </c>
      <c r="F244" s="447">
        <v>1.0003126524130868</v>
      </c>
      <c r="G244" s="446"/>
      <c r="H244" s="445">
        <v>0</v>
      </c>
      <c r="I244" s="445">
        <v>51680350274.429825</v>
      </c>
      <c r="J244" s="447">
        <v>1.0003033039352267</v>
      </c>
      <c r="K244" s="446"/>
      <c r="L244" s="445">
        <v>0</v>
      </c>
      <c r="M244" s="445">
        <v>32381338626.735561</v>
      </c>
      <c r="N244" s="447">
        <v>1.000295628485387</v>
      </c>
      <c r="O244" s="446"/>
      <c r="P244" s="445">
        <v>0</v>
      </c>
      <c r="Q244" s="445">
        <v>27987525915.337444</v>
      </c>
      <c r="R244" s="447">
        <v>1.0003167134820028</v>
      </c>
      <c r="S244" s="446"/>
      <c r="T244" s="445">
        <v>0</v>
      </c>
      <c r="U244" s="445">
        <v>27253674881.335938</v>
      </c>
      <c r="V244" s="447">
        <v>1.0003035612827686</v>
      </c>
      <c r="W244" s="446"/>
      <c r="X244" s="445">
        <v>0</v>
      </c>
      <c r="Y244" s="445">
        <v>21870416451.391712</v>
      </c>
      <c r="Z244" s="447">
        <v>1.0002973079643154</v>
      </c>
      <c r="AA244" s="446"/>
    </row>
    <row r="245" spans="2:27" s="443" customFormat="1" ht="12.75" customHeight="1">
      <c r="B245" s="444">
        <v>45732</v>
      </c>
      <c r="C245" s="446"/>
      <c r="D245" s="445">
        <v>0</v>
      </c>
      <c r="E245" s="380">
        <v>53677909954.502502</v>
      </c>
      <c r="F245" s="447">
        <v>1.0003125546921081</v>
      </c>
      <c r="G245" s="446"/>
      <c r="H245" s="445">
        <v>0</v>
      </c>
      <c r="I245" s="445">
        <v>51540867922.691032</v>
      </c>
      <c r="J245" s="447">
        <v>0.997301056378331</v>
      </c>
      <c r="K245" s="446"/>
      <c r="L245" s="445">
        <v>0</v>
      </c>
      <c r="M245" s="445">
        <v>32276565237.740665</v>
      </c>
      <c r="N245" s="447">
        <v>0.99676438981715254</v>
      </c>
      <c r="O245" s="446"/>
      <c r="P245" s="445">
        <v>0</v>
      </c>
      <c r="Q245" s="445">
        <v>27893958196.701336</v>
      </c>
      <c r="R245" s="447">
        <v>0.99665680636012088</v>
      </c>
      <c r="S245" s="446"/>
      <c r="T245" s="445">
        <v>0</v>
      </c>
      <c r="U245" s="445">
        <v>27196844229.381969</v>
      </c>
      <c r="V245" s="447">
        <v>0.99791475270027208</v>
      </c>
      <c r="W245" s="446"/>
      <c r="X245" s="445">
        <v>0</v>
      </c>
      <c r="Y245" s="445">
        <v>21838933770.736187</v>
      </c>
      <c r="Z245" s="447">
        <v>0.99856049011570047</v>
      </c>
      <c r="AA245" s="446"/>
    </row>
    <row r="246" spans="2:27" s="443" customFormat="1" ht="12.75" customHeight="1">
      <c r="B246" s="444">
        <v>45733</v>
      </c>
      <c r="C246" s="446"/>
      <c r="D246" s="445">
        <v>0</v>
      </c>
      <c r="E246" s="380">
        <v>53544687207.687401</v>
      </c>
      <c r="F246" s="447">
        <v>0.99751810853052925</v>
      </c>
      <c r="G246" s="446"/>
      <c r="H246" s="445">
        <v>0</v>
      </c>
      <c r="I246" s="445">
        <v>51689810113.966576</v>
      </c>
      <c r="J246" s="447">
        <v>1.0028897881870935</v>
      </c>
      <c r="K246" s="446"/>
      <c r="L246" s="445">
        <v>0</v>
      </c>
      <c r="M246" s="445">
        <v>32375690167.983185</v>
      </c>
      <c r="N246" s="447">
        <v>1.00307111148638</v>
      </c>
      <c r="O246" s="446"/>
      <c r="P246" s="445">
        <v>0</v>
      </c>
      <c r="Q246" s="445">
        <v>27965090905.555153</v>
      </c>
      <c r="R246" s="447">
        <v>1.0025501116891409</v>
      </c>
      <c r="S246" s="446"/>
      <c r="T246" s="445">
        <v>0</v>
      </c>
      <c r="U246" s="445">
        <v>27260599652.536922</v>
      </c>
      <c r="V246" s="447">
        <v>1.002344221359553</v>
      </c>
      <c r="W246" s="446"/>
      <c r="X246" s="445">
        <v>0</v>
      </c>
      <c r="Y246" s="445">
        <v>21902365167.933708</v>
      </c>
      <c r="Z246" s="447">
        <v>1.0029045098017797</v>
      </c>
      <c r="AA246" s="446"/>
    </row>
    <row r="247" spans="2:27" s="443" customFormat="1" ht="12.75" customHeight="1">
      <c r="B247" s="444">
        <v>45734</v>
      </c>
      <c r="C247" s="446"/>
      <c r="D247" s="445">
        <v>0</v>
      </c>
      <c r="E247" s="380">
        <v>53676519845.139801</v>
      </c>
      <c r="F247" s="447">
        <v>1.0024621049132485</v>
      </c>
      <c r="G247" s="446"/>
      <c r="H247" s="445">
        <v>0</v>
      </c>
      <c r="I247" s="445">
        <v>50949246641.762138</v>
      </c>
      <c r="J247" s="447">
        <v>0.98567293107535836</v>
      </c>
      <c r="K247" s="446"/>
      <c r="L247" s="445">
        <v>0</v>
      </c>
      <c r="M247" s="445">
        <v>31779642344.720745</v>
      </c>
      <c r="N247" s="447">
        <v>0.98158964889490197</v>
      </c>
      <c r="O247" s="446"/>
      <c r="P247" s="445">
        <v>0</v>
      </c>
      <c r="Q247" s="445">
        <v>27377028821.446712</v>
      </c>
      <c r="R247" s="447">
        <v>0.97897156543869401</v>
      </c>
      <c r="S247" s="446"/>
      <c r="T247" s="445">
        <v>0</v>
      </c>
      <c r="U247" s="445">
        <v>26867975124.554985</v>
      </c>
      <c r="V247" s="447">
        <v>0.98559736275113818</v>
      </c>
      <c r="W247" s="446"/>
      <c r="X247" s="445">
        <v>0</v>
      </c>
      <c r="Y247" s="445">
        <v>21512388797.349762</v>
      </c>
      <c r="Z247" s="447">
        <v>0.98219478272808214</v>
      </c>
      <c r="AA247" s="446"/>
    </row>
    <row r="248" spans="2:27" s="443" customFormat="1" ht="12.75" customHeight="1">
      <c r="B248" s="444">
        <v>45735</v>
      </c>
      <c r="C248" s="446"/>
      <c r="D248" s="445">
        <v>0</v>
      </c>
      <c r="E248" s="380">
        <v>52736164332.192497</v>
      </c>
      <c r="F248" s="447">
        <v>0.98248106405444524</v>
      </c>
      <c r="G248" s="446"/>
      <c r="H248" s="445">
        <v>0</v>
      </c>
      <c r="I248" s="445">
        <v>49988299626.679039</v>
      </c>
      <c r="J248" s="447">
        <v>0.9811391320103362</v>
      </c>
      <c r="K248" s="446"/>
      <c r="L248" s="445">
        <v>0</v>
      </c>
      <c r="M248" s="445">
        <v>31690776950.152504</v>
      </c>
      <c r="N248" s="447">
        <v>0.99720370060794583</v>
      </c>
      <c r="O248" s="446"/>
      <c r="P248" s="445">
        <v>0</v>
      </c>
      <c r="Q248" s="445">
        <v>27297230394.358932</v>
      </c>
      <c r="R248" s="447">
        <v>0.99708520498669795</v>
      </c>
      <c r="S248" s="446"/>
      <c r="T248" s="445">
        <v>0</v>
      </c>
      <c r="U248" s="445">
        <v>26809625100.439217</v>
      </c>
      <c r="V248" s="447">
        <v>0.99782826864156049</v>
      </c>
      <c r="W248" s="446"/>
      <c r="X248" s="445">
        <v>0</v>
      </c>
      <c r="Y248" s="445">
        <v>21456999406.859707</v>
      </c>
      <c r="Z248" s="447">
        <v>0.99742523291988483</v>
      </c>
      <c r="AA248" s="446"/>
    </row>
    <row r="249" spans="2:27" s="443" customFormat="1" ht="12.75" customHeight="1">
      <c r="B249" s="444">
        <v>45736</v>
      </c>
      <c r="C249" s="446"/>
      <c r="D249" s="445">
        <v>0</v>
      </c>
      <c r="E249" s="380">
        <v>52597810313.422798</v>
      </c>
      <c r="F249" s="447">
        <v>0.99737648688482183</v>
      </c>
      <c r="G249" s="446"/>
      <c r="H249" s="445">
        <v>0</v>
      </c>
      <c r="I249" s="445">
        <v>50861497827.99791</v>
      </c>
      <c r="J249" s="447">
        <v>1.0174680516808945</v>
      </c>
      <c r="K249" s="446"/>
      <c r="L249" s="445">
        <v>0</v>
      </c>
      <c r="M249" s="445">
        <v>31700445653.618053</v>
      </c>
      <c r="N249" s="447">
        <v>1.0003050951852888</v>
      </c>
      <c r="O249" s="446"/>
      <c r="P249" s="445">
        <v>0</v>
      </c>
      <c r="Q249" s="445">
        <v>27306207277.835163</v>
      </c>
      <c r="R249" s="447">
        <v>1.0003288569333424</v>
      </c>
      <c r="S249" s="446"/>
      <c r="T249" s="445">
        <v>0</v>
      </c>
      <c r="U249" s="445">
        <v>26817947815.443943</v>
      </c>
      <c r="V249" s="447">
        <v>1.0003104375750704</v>
      </c>
      <c r="W249" s="446"/>
      <c r="X249" s="445">
        <v>0</v>
      </c>
      <c r="Y249" s="445">
        <v>21463594542.504902</v>
      </c>
      <c r="Z249" s="447">
        <v>1.000307365234073</v>
      </c>
      <c r="AA249" s="446"/>
    </row>
    <row r="250" spans="2:27" s="443" customFormat="1" ht="12.75" customHeight="1">
      <c r="B250" s="444">
        <v>45737</v>
      </c>
      <c r="C250" s="446"/>
      <c r="D250" s="445">
        <v>0</v>
      </c>
      <c r="E250" s="380">
        <v>52614765337.894096</v>
      </c>
      <c r="F250" s="447">
        <v>1.0003223522874862</v>
      </c>
      <c r="G250" s="446"/>
      <c r="H250" s="445">
        <v>0</v>
      </c>
      <c r="I250" s="445">
        <v>50877164918.205688</v>
      </c>
      <c r="J250" s="447">
        <v>1.0003080343850816</v>
      </c>
      <c r="K250" s="446"/>
      <c r="L250" s="445">
        <v>0</v>
      </c>
      <c r="M250" s="445">
        <v>31710114357.083614</v>
      </c>
      <c r="N250" s="447">
        <v>1.0003050021306075</v>
      </c>
      <c r="O250" s="446"/>
      <c r="P250" s="445">
        <v>0</v>
      </c>
      <c r="Q250" s="445">
        <v>27315184161.31139</v>
      </c>
      <c r="R250" s="447">
        <v>1.0003287488220129</v>
      </c>
      <c r="S250" s="446"/>
      <c r="T250" s="445">
        <v>0</v>
      </c>
      <c r="U250" s="445">
        <v>26826270530.448662</v>
      </c>
      <c r="V250" s="447">
        <v>1.0003103412334902</v>
      </c>
      <c r="W250" s="446"/>
      <c r="X250" s="445">
        <v>0</v>
      </c>
      <c r="Y250" s="445">
        <v>21470189678.150105</v>
      </c>
      <c r="Z250" s="447">
        <v>1.0003072707897152</v>
      </c>
      <c r="AA250" s="446"/>
    </row>
    <row r="251" spans="2:27" s="443" customFormat="1" ht="12.75" customHeight="1">
      <c r="B251" s="444">
        <v>45738</v>
      </c>
      <c r="C251" s="446"/>
      <c r="D251" s="445">
        <v>0</v>
      </c>
      <c r="E251" s="380">
        <v>52631720362.365303</v>
      </c>
      <c r="F251" s="447">
        <v>1.0003222484099723</v>
      </c>
      <c r="G251" s="446"/>
      <c r="H251" s="445">
        <v>0</v>
      </c>
      <c r="I251" s="445">
        <v>50892832008.413467</v>
      </c>
      <c r="J251" s="447">
        <v>1.0003079395291181</v>
      </c>
      <c r="K251" s="446"/>
      <c r="L251" s="445">
        <v>0</v>
      </c>
      <c r="M251" s="445">
        <v>31719783060.549171</v>
      </c>
      <c r="N251" s="447">
        <v>1.0003049091326723</v>
      </c>
      <c r="O251" s="446"/>
      <c r="P251" s="445">
        <v>0</v>
      </c>
      <c r="Q251" s="445">
        <v>27324161044.787628</v>
      </c>
      <c r="R251" s="447">
        <v>1.0003286407817433</v>
      </c>
      <c r="S251" s="446"/>
      <c r="T251" s="445">
        <v>0</v>
      </c>
      <c r="U251" s="445">
        <v>26834593245.453384</v>
      </c>
      <c r="V251" s="447">
        <v>1.0003102449516892</v>
      </c>
      <c r="W251" s="446"/>
      <c r="X251" s="445">
        <v>0</v>
      </c>
      <c r="Y251" s="445">
        <v>21476784813.795296</v>
      </c>
      <c r="Z251" s="447">
        <v>1.0003071764033786</v>
      </c>
      <c r="AA251" s="446"/>
    </row>
    <row r="252" spans="2:27" s="443" customFormat="1" ht="12.75" customHeight="1">
      <c r="B252" s="444">
        <v>45739</v>
      </c>
      <c r="C252" s="446"/>
      <c r="D252" s="445">
        <v>0</v>
      </c>
      <c r="E252" s="380">
        <v>52648675386.836601</v>
      </c>
      <c r="F252" s="447">
        <v>1.0003221445993893</v>
      </c>
      <c r="G252" s="446"/>
      <c r="H252" s="445">
        <v>0</v>
      </c>
      <c r="I252" s="445">
        <v>50908499098.621246</v>
      </c>
      <c r="J252" s="447">
        <v>1.0003078447315565</v>
      </c>
      <c r="K252" s="446"/>
      <c r="L252" s="445">
        <v>0</v>
      </c>
      <c r="M252" s="445">
        <v>31729451764.014717</v>
      </c>
      <c r="N252" s="447">
        <v>1.0003048161914314</v>
      </c>
      <c r="O252" s="446"/>
      <c r="P252" s="445">
        <v>0</v>
      </c>
      <c r="Q252" s="445">
        <v>27333137928.263855</v>
      </c>
      <c r="R252" s="447">
        <v>1.0003285328124627</v>
      </c>
      <c r="S252" s="446"/>
      <c r="T252" s="445">
        <v>0</v>
      </c>
      <c r="U252" s="445">
        <v>26842915960.458111</v>
      </c>
      <c r="V252" s="447">
        <v>1.0003101487296118</v>
      </c>
      <c r="W252" s="446"/>
      <c r="X252" s="445">
        <v>0</v>
      </c>
      <c r="Y252" s="445">
        <v>21483379949.440498</v>
      </c>
      <c r="Z252" s="447">
        <v>1.0003070820750117</v>
      </c>
      <c r="AA252" s="446"/>
    </row>
    <row r="253" spans="2:27" s="443" customFormat="1" ht="12.75" customHeight="1">
      <c r="B253" s="444">
        <v>45740</v>
      </c>
      <c r="C253" s="446"/>
      <c r="D253" s="445">
        <v>0</v>
      </c>
      <c r="E253" s="380">
        <v>52665630411.307899</v>
      </c>
      <c r="F253" s="447">
        <v>1.0003220408556668</v>
      </c>
      <c r="G253" s="446"/>
      <c r="H253" s="445">
        <v>0</v>
      </c>
      <c r="I253" s="445">
        <v>50924166188.829025</v>
      </c>
      <c r="J253" s="447">
        <v>1.0003077499923427</v>
      </c>
      <c r="K253" s="446"/>
      <c r="L253" s="445">
        <v>0</v>
      </c>
      <c r="M253" s="445">
        <v>31739120467.480278</v>
      </c>
      <c r="N253" s="447">
        <v>1.0003047233068341</v>
      </c>
      <c r="O253" s="446"/>
      <c r="P253" s="445">
        <v>0</v>
      </c>
      <c r="Q253" s="445">
        <v>27342114811.740089</v>
      </c>
      <c r="R253" s="447">
        <v>1.0003284249141022</v>
      </c>
      <c r="S253" s="446"/>
      <c r="T253" s="445">
        <v>0</v>
      </c>
      <c r="U253" s="445">
        <v>26851238675.462833</v>
      </c>
      <c r="V253" s="447">
        <v>1.0003100525672017</v>
      </c>
      <c r="W253" s="446"/>
      <c r="X253" s="445">
        <v>0</v>
      </c>
      <c r="Y253" s="445">
        <v>21489975085.085697</v>
      </c>
      <c r="Z253" s="447">
        <v>1.0003069878045596</v>
      </c>
      <c r="AA253" s="446"/>
    </row>
    <row r="254" spans="2:27" s="443" customFormat="1" ht="12.75" customHeight="1">
      <c r="B254" s="444">
        <v>45741</v>
      </c>
      <c r="C254" s="446"/>
      <c r="D254" s="445">
        <v>0</v>
      </c>
      <c r="E254" s="380">
        <v>52682585435.779198</v>
      </c>
      <c r="F254" s="447">
        <v>1.0003219371787422</v>
      </c>
      <c r="G254" s="446"/>
      <c r="H254" s="445">
        <v>0</v>
      </c>
      <c r="I254" s="445">
        <v>51106256084.106583</v>
      </c>
      <c r="J254" s="447">
        <v>1.0035757069561504</v>
      </c>
      <c r="K254" s="446"/>
      <c r="L254" s="445">
        <v>0</v>
      </c>
      <c r="M254" s="445">
        <v>31867394811.904266</v>
      </c>
      <c r="N254" s="447">
        <v>1.0040415217099483</v>
      </c>
      <c r="O254" s="446"/>
      <c r="P254" s="445">
        <v>0</v>
      </c>
      <c r="Q254" s="445">
        <v>27454155872.715523</v>
      </c>
      <c r="R254" s="447">
        <v>1.0040977467085803</v>
      </c>
      <c r="S254" s="446"/>
      <c r="T254" s="445">
        <v>0</v>
      </c>
      <c r="U254" s="445">
        <v>26944480912.550098</v>
      </c>
      <c r="V254" s="447">
        <v>1.0034725488166203</v>
      </c>
      <c r="W254" s="446"/>
      <c r="X254" s="445">
        <v>0</v>
      </c>
      <c r="Y254" s="445">
        <v>21575807206.373924</v>
      </c>
      <c r="Z254" s="447">
        <v>1.0039940540158092</v>
      </c>
      <c r="AA254" s="446"/>
    </row>
    <row r="255" spans="2:27" s="443" customFormat="1" ht="12.75" customHeight="1">
      <c r="B255" s="444">
        <v>45742</v>
      </c>
      <c r="C255" s="446"/>
      <c r="D255" s="445">
        <v>0</v>
      </c>
      <c r="E255" s="380">
        <v>52887258936.067596</v>
      </c>
      <c r="F255" s="447">
        <v>1.003885031431077</v>
      </c>
      <c r="G255" s="446"/>
      <c r="H255" s="445">
        <v>0</v>
      </c>
      <c r="I255" s="445">
        <v>51120988143.889801</v>
      </c>
      <c r="J255" s="447">
        <v>1.0002882633343162</v>
      </c>
      <c r="K255" s="446"/>
      <c r="L255" s="445">
        <v>0</v>
      </c>
      <c r="M255" s="445">
        <v>31874225644.962666</v>
      </c>
      <c r="N255" s="447">
        <v>1.0002143517880491</v>
      </c>
      <c r="O255" s="446"/>
      <c r="P255" s="445">
        <v>0</v>
      </c>
      <c r="Q255" s="445">
        <v>27457589421.826157</v>
      </c>
      <c r="R255" s="447">
        <v>1.0001250648217541</v>
      </c>
      <c r="S255" s="446"/>
      <c r="T255" s="445">
        <v>0</v>
      </c>
      <c r="U255" s="445">
        <v>26952141892.332325</v>
      </c>
      <c r="V255" s="447">
        <v>1.0002843246380249</v>
      </c>
      <c r="W255" s="446"/>
      <c r="X255" s="445">
        <v>0</v>
      </c>
      <c r="Y255" s="445">
        <v>21577544814.910713</v>
      </c>
      <c r="Z255" s="447">
        <v>1.000080535041872</v>
      </c>
      <c r="AA255" s="446"/>
    </row>
    <row r="256" spans="2:27" s="443" customFormat="1" ht="12.75" customHeight="1">
      <c r="B256" s="444">
        <v>45743</v>
      </c>
      <c r="C256" s="446"/>
      <c r="D256" s="445">
        <v>0</v>
      </c>
      <c r="E256" s="380">
        <v>52897330190.819603</v>
      </c>
      <c r="F256" s="447">
        <v>1.0001904287526828</v>
      </c>
      <c r="G256" s="446"/>
      <c r="H256" s="445">
        <v>0</v>
      </c>
      <c r="I256" s="445">
        <v>51136867465.590904</v>
      </c>
      <c r="J256" s="447">
        <v>1.0003106223544898</v>
      </c>
      <c r="K256" s="446"/>
      <c r="L256" s="445">
        <v>0</v>
      </c>
      <c r="M256" s="445">
        <v>31884019837.450363</v>
      </c>
      <c r="N256" s="447">
        <v>1.0003072762487406</v>
      </c>
      <c r="O256" s="446"/>
      <c r="P256" s="445">
        <v>0</v>
      </c>
      <c r="Q256" s="445">
        <v>27466623177.510643</v>
      </c>
      <c r="R256" s="447">
        <v>1.0003290076031695</v>
      </c>
      <c r="S256" s="446"/>
      <c r="T256" s="445">
        <v>0</v>
      </c>
      <c r="U256" s="445">
        <v>26960551324.95039</v>
      </c>
      <c r="V256" s="447">
        <v>1.0003120135183192</v>
      </c>
      <c r="W256" s="446"/>
      <c r="X256" s="445">
        <v>0</v>
      </c>
      <c r="Y256" s="445">
        <v>21584192356.493053</v>
      </c>
      <c r="Z256" s="447">
        <v>1.0003080768289145</v>
      </c>
      <c r="AA256" s="446"/>
    </row>
    <row r="257" spans="2:27" s="443" customFormat="1" ht="12.75" customHeight="1">
      <c r="B257" s="444">
        <v>45744</v>
      </c>
      <c r="C257" s="446"/>
      <c r="D257" s="445">
        <v>0</v>
      </c>
      <c r="E257" s="380">
        <v>52857361814.322998</v>
      </c>
      <c r="F257" s="447">
        <v>0.99924441599694303</v>
      </c>
      <c r="G257" s="446"/>
      <c r="H257" s="445">
        <v>0</v>
      </c>
      <c r="I257" s="445">
        <v>51103202439.872322</v>
      </c>
      <c r="J257" s="447">
        <v>0.99934166820560066</v>
      </c>
      <c r="K257" s="446"/>
      <c r="L257" s="445">
        <v>0</v>
      </c>
      <c r="M257" s="445">
        <v>31857733195.303768</v>
      </c>
      <c r="N257" s="447">
        <v>0.99917555432845018</v>
      </c>
      <c r="O257" s="446"/>
      <c r="P257" s="445">
        <v>0</v>
      </c>
      <c r="Q257" s="445">
        <v>27443487727.02314</v>
      </c>
      <c r="R257" s="447">
        <v>0.99915768857576759</v>
      </c>
      <c r="S257" s="446"/>
      <c r="T257" s="445">
        <v>0</v>
      </c>
      <c r="U257" s="445">
        <v>26944291026.846325</v>
      </c>
      <c r="V257" s="447">
        <v>0.99939688554925743</v>
      </c>
      <c r="W257" s="446"/>
      <c r="X257" s="445">
        <v>0</v>
      </c>
      <c r="Y257" s="445">
        <v>21568331549.583683</v>
      </c>
      <c r="Z257" s="447">
        <v>0.99926516560604139</v>
      </c>
      <c r="AA257" s="446"/>
    </row>
    <row r="258" spans="2:27" s="443" customFormat="1" ht="12.75" customHeight="1">
      <c r="B258" s="444">
        <v>45745</v>
      </c>
      <c r="C258" s="446"/>
      <c r="D258" s="445">
        <v>0</v>
      </c>
      <c r="E258" s="380">
        <v>52874491064.350502</v>
      </c>
      <c r="F258" s="447">
        <v>1.0003240655499923</v>
      </c>
      <c r="G258" s="446"/>
      <c r="H258" s="445">
        <v>0</v>
      </c>
      <c r="I258" s="445">
        <v>51119087930.350082</v>
      </c>
      <c r="J258" s="447">
        <v>1.0003108511740815</v>
      </c>
      <c r="K258" s="446"/>
      <c r="L258" s="445">
        <v>0</v>
      </c>
      <c r="M258" s="445">
        <v>31867527387.791458</v>
      </c>
      <c r="N258" s="447">
        <v>1.0003074353227723</v>
      </c>
      <c r="O258" s="446"/>
      <c r="P258" s="445">
        <v>0</v>
      </c>
      <c r="Q258" s="445">
        <v>27452524995.077625</v>
      </c>
      <c r="R258" s="447">
        <v>1.0003293046475863</v>
      </c>
      <c r="S258" s="446"/>
      <c r="T258" s="445">
        <v>0</v>
      </c>
      <c r="U258" s="445">
        <v>26952699998.164387</v>
      </c>
      <c r="V258" s="447">
        <v>1.0003120873104319</v>
      </c>
      <c r="W258" s="446"/>
      <c r="X258" s="445">
        <v>0</v>
      </c>
      <c r="Y258" s="445">
        <v>21574979154.562695</v>
      </c>
      <c r="Z258" s="447">
        <v>1.0003082113683077</v>
      </c>
      <c r="AA258" s="446"/>
    </row>
    <row r="259" spans="2:27" s="443" customFormat="1" ht="12.75" customHeight="1">
      <c r="B259" s="444">
        <v>45746</v>
      </c>
      <c r="C259" s="446"/>
      <c r="D259" s="445">
        <v>0</v>
      </c>
      <c r="E259" s="380">
        <v>52891620314.377899</v>
      </c>
      <c r="F259" s="447">
        <v>1.0003239605655314</v>
      </c>
      <c r="G259" s="446"/>
      <c r="H259" s="445">
        <v>0</v>
      </c>
      <c r="I259" s="445">
        <v>50737791679.398293</v>
      </c>
      <c r="J259" s="447">
        <v>0.99254102006922917</v>
      </c>
      <c r="K259" s="446"/>
      <c r="L259" s="445">
        <v>0</v>
      </c>
      <c r="M259" s="445">
        <v>31620910169.364136</v>
      </c>
      <c r="N259" s="447">
        <v>0.99226117497519428</v>
      </c>
      <c r="O259" s="446"/>
      <c r="P259" s="445">
        <v>0</v>
      </c>
      <c r="Q259" s="445">
        <v>27302178506.324249</v>
      </c>
      <c r="R259" s="447">
        <v>0.99452340035095732</v>
      </c>
      <c r="S259" s="446"/>
      <c r="T259" s="445">
        <v>0</v>
      </c>
      <c r="U259" s="445">
        <v>26749208403.182903</v>
      </c>
      <c r="V259" s="447">
        <v>0.99245004786179702</v>
      </c>
      <c r="W259" s="446"/>
      <c r="X259" s="445">
        <v>0</v>
      </c>
      <c r="Y259" s="445">
        <v>21409661922.357365</v>
      </c>
      <c r="Z259" s="447">
        <v>0.99233754846199385</v>
      </c>
      <c r="AA259" s="446"/>
    </row>
    <row r="260" spans="2:27" s="443" customFormat="1" ht="12.75" customHeight="1">
      <c r="B260" s="444">
        <v>45747</v>
      </c>
      <c r="C260" s="446"/>
      <c r="D260" s="445">
        <v>0</v>
      </c>
      <c r="E260" s="445">
        <v>53315696654.681137</v>
      </c>
      <c r="F260" s="447">
        <v>1.0080178360538514</v>
      </c>
      <c r="G260" s="446"/>
      <c r="H260" s="445">
        <v>0</v>
      </c>
      <c r="I260" s="445">
        <v>51505415883.689713</v>
      </c>
      <c r="J260" s="447">
        <v>1.0151292395447931</v>
      </c>
      <c r="K260" s="446"/>
      <c r="L260" s="445">
        <v>0</v>
      </c>
      <c r="M260" s="445">
        <v>32133585275.65934</v>
      </c>
      <c r="N260" s="447">
        <v>1.0162131672854853</v>
      </c>
      <c r="O260" s="446"/>
      <c r="P260" s="445">
        <v>0</v>
      </c>
      <c r="Q260" s="445">
        <v>27685344071.769741</v>
      </c>
      <c r="R260" s="447">
        <v>1.0140342487818961</v>
      </c>
      <c r="S260" s="446"/>
      <c r="T260" s="445">
        <v>0</v>
      </c>
      <c r="U260" s="445">
        <v>27142286396.195366</v>
      </c>
      <c r="V260" s="447">
        <v>1.014694939270266</v>
      </c>
      <c r="W260" s="446"/>
      <c r="X260" s="445">
        <v>0</v>
      </c>
      <c r="Y260" s="445">
        <v>21750998418.790047</v>
      </c>
      <c r="Z260" s="447">
        <v>1.0159431053918808</v>
      </c>
      <c r="AA260" s="446"/>
    </row>
    <row r="261" spans="2:27" s="443" customFormat="1" ht="12.75" customHeight="1">
      <c r="B261" s="444">
        <v>45748</v>
      </c>
      <c r="C261" s="446"/>
      <c r="D261" s="445">
        <v>0</v>
      </c>
      <c r="E261" s="445">
        <v>53333056719.605255</v>
      </c>
      <c r="F261" s="447">
        <v>1.000325608892191</v>
      </c>
      <c r="G261" s="446"/>
      <c r="H261" s="445">
        <v>0</v>
      </c>
      <c r="I261" s="445">
        <v>51521536163.78083</v>
      </c>
      <c r="J261" s="447">
        <v>1.0003129822333154</v>
      </c>
      <c r="K261" s="446"/>
      <c r="L261" s="445">
        <v>0</v>
      </c>
      <c r="M261" s="445">
        <v>32143491856.167042</v>
      </c>
      <c r="N261" s="447">
        <v>1.0003082936567058</v>
      </c>
      <c r="O261" s="446"/>
      <c r="P261" s="445">
        <v>0</v>
      </c>
      <c r="Q261" s="445">
        <v>27694464032.514225</v>
      </c>
      <c r="R261" s="447">
        <v>1.000329414751749</v>
      </c>
      <c r="S261" s="446"/>
      <c r="T261" s="445">
        <v>0</v>
      </c>
      <c r="U261" s="445">
        <v>27150816159.853424</v>
      </c>
      <c r="V261" s="447">
        <v>1.0003142610586873</v>
      </c>
      <c r="W261" s="446"/>
      <c r="X261" s="445">
        <v>0</v>
      </c>
      <c r="Y261" s="445">
        <v>21757726851.89238</v>
      </c>
      <c r="Z261" s="447">
        <v>1.0003093390460882</v>
      </c>
      <c r="AA261" s="446"/>
    </row>
    <row r="262" spans="2:27" s="443" customFormat="1" ht="12.75" customHeight="1">
      <c r="B262" s="444">
        <v>45749</v>
      </c>
      <c r="C262" s="446"/>
      <c r="D262" s="445">
        <v>0</v>
      </c>
      <c r="E262" s="445">
        <v>53465320189.357742</v>
      </c>
      <c r="F262" s="447">
        <v>1.0024799529201533</v>
      </c>
      <c r="G262" s="446"/>
      <c r="H262" s="445">
        <v>0</v>
      </c>
      <c r="I262" s="445">
        <v>51595781031.654152</v>
      </c>
      <c r="J262" s="447">
        <v>1.0014410453065161</v>
      </c>
      <c r="K262" s="446"/>
      <c r="L262" s="445">
        <v>0</v>
      </c>
      <c r="M262" s="445">
        <v>32215835157.242672</v>
      </c>
      <c r="N262" s="447">
        <v>1.0022506360354173</v>
      </c>
      <c r="O262" s="446"/>
      <c r="P262" s="445">
        <v>0</v>
      </c>
      <c r="Q262" s="445">
        <v>27800230989.273464</v>
      </c>
      <c r="R262" s="447">
        <v>1.0038190649450758</v>
      </c>
      <c r="S262" s="446"/>
      <c r="T262" s="445">
        <v>0</v>
      </c>
      <c r="U262" s="445">
        <v>21975755966.498768</v>
      </c>
      <c r="V262" s="447">
        <v>0.80939577790642026</v>
      </c>
      <c r="W262" s="446"/>
      <c r="X262" s="445">
        <v>0</v>
      </c>
      <c r="Y262" s="445">
        <v>21805103005.722733</v>
      </c>
      <c r="Z262" s="447">
        <v>1.0021774404170458</v>
      </c>
      <c r="AA262" s="446"/>
    </row>
    <row r="263" spans="2:27" s="443" customFormat="1" ht="12.75" customHeight="1">
      <c r="B263" s="444">
        <v>45750</v>
      </c>
      <c r="C263" s="446"/>
      <c r="D263" s="445">
        <v>0</v>
      </c>
      <c r="E263" s="445">
        <v>53512882689.547173</v>
      </c>
      <c r="F263" s="447">
        <v>1.0008895953493027</v>
      </c>
      <c r="G263" s="446"/>
      <c r="H263" s="445">
        <v>0</v>
      </c>
      <c r="I263" s="445">
        <v>51617525499.464211</v>
      </c>
      <c r="J263" s="447">
        <v>1.0004214388730102</v>
      </c>
      <c r="K263" s="446"/>
      <c r="L263" s="445">
        <v>0</v>
      </c>
      <c r="M263" s="445">
        <v>32240682097.890793</v>
      </c>
      <c r="N263" s="447">
        <v>1.000771264830691</v>
      </c>
      <c r="O263" s="446"/>
      <c r="P263" s="445">
        <v>0</v>
      </c>
      <c r="Q263" s="445">
        <v>27838123569.378231</v>
      </c>
      <c r="R263" s="447">
        <v>1.0013630311244315</v>
      </c>
      <c r="S263" s="446"/>
      <c r="T263" s="445">
        <v>0</v>
      </c>
      <c r="U263" s="445">
        <v>27214369759.827072</v>
      </c>
      <c r="V263" s="447">
        <v>1.2383815055697915</v>
      </c>
      <c r="W263" s="446"/>
      <c r="X263" s="445">
        <v>0</v>
      </c>
      <c r="Y263" s="445">
        <v>21822231912.143482</v>
      </c>
      <c r="Z263" s="447">
        <v>1.00078554576955</v>
      </c>
      <c r="AA263" s="446"/>
    </row>
    <row r="264" spans="2:27" s="443" customFormat="1" ht="12.75" customHeight="1">
      <c r="B264" s="444">
        <v>45751</v>
      </c>
      <c r="C264" s="446"/>
      <c r="D264" s="445">
        <v>0</v>
      </c>
      <c r="E264" s="445">
        <v>53530191411.402245</v>
      </c>
      <c r="F264" s="447">
        <v>1.0003234496253077</v>
      </c>
      <c r="G264" s="446"/>
      <c r="H264" s="445">
        <v>0</v>
      </c>
      <c r="I264" s="445">
        <v>51633449743.688637</v>
      </c>
      <c r="J264" s="447">
        <v>1.0003085046032396</v>
      </c>
      <c r="K264" s="446"/>
      <c r="L264" s="445">
        <v>0</v>
      </c>
      <c r="M264" s="445">
        <v>32250579625.824684</v>
      </c>
      <c r="N264" s="447">
        <v>1.0003069887883835</v>
      </c>
      <c r="O264" s="446"/>
      <c r="P264" s="445">
        <v>0</v>
      </c>
      <c r="Q264" s="445">
        <v>27847217290.983673</v>
      </c>
      <c r="R264" s="447">
        <v>1.0003266643163926</v>
      </c>
      <c r="S264" s="446"/>
      <c r="T264" s="445">
        <v>0</v>
      </c>
      <c r="U264" s="445">
        <v>27222888150.56179</v>
      </c>
      <c r="V264" s="447">
        <v>1.0003130107663669</v>
      </c>
      <c r="W264" s="446"/>
      <c r="X264" s="445">
        <v>0</v>
      </c>
      <c r="Y264" s="445">
        <v>21828980044.667252</v>
      </c>
      <c r="Z264" s="447">
        <v>1.0003092320048168</v>
      </c>
      <c r="AA264" s="446"/>
    </row>
    <row r="265" spans="2:27" s="443" customFormat="1" ht="12.75" customHeight="1">
      <c r="B265" s="444">
        <v>45752</v>
      </c>
      <c r="C265" s="446"/>
      <c r="D265" s="445">
        <v>0</v>
      </c>
      <c r="E265" s="445">
        <v>53547500133.257332</v>
      </c>
      <c r="F265" s="447">
        <v>1.0003233450394762</v>
      </c>
      <c r="G265" s="446"/>
      <c r="H265" s="445">
        <v>0</v>
      </c>
      <c r="I265" s="445">
        <v>51649373987.913094</v>
      </c>
      <c r="J265" s="447">
        <v>1.000308409457503</v>
      </c>
      <c r="K265" s="446"/>
      <c r="L265" s="445">
        <v>0</v>
      </c>
      <c r="M265" s="445">
        <v>32260477153.758572</v>
      </c>
      <c r="N265" s="447">
        <v>1.0003068945751896</v>
      </c>
      <c r="O265" s="446"/>
      <c r="P265" s="445">
        <v>0</v>
      </c>
      <c r="Q265" s="445">
        <v>27856311012.589108</v>
      </c>
      <c r="R265" s="447">
        <v>1.0003265576416636</v>
      </c>
      <c r="S265" s="446"/>
      <c r="T265" s="445">
        <v>0</v>
      </c>
      <c r="U265" s="445">
        <v>27231406541.296513</v>
      </c>
      <c r="V265" s="447">
        <v>1.0003129128212851</v>
      </c>
      <c r="W265" s="446"/>
      <c r="X265" s="445">
        <v>0</v>
      </c>
      <c r="Y265" s="445">
        <v>21835728177.191021</v>
      </c>
      <c r="Z265" s="447">
        <v>1.000309136409945</v>
      </c>
      <c r="AA265" s="446"/>
    </row>
    <row r="266" spans="2:27" s="443" customFormat="1" ht="12.75" customHeight="1">
      <c r="B266" s="444">
        <v>45753</v>
      </c>
      <c r="C266" s="446"/>
      <c r="D266" s="445">
        <v>0</v>
      </c>
      <c r="E266" s="445">
        <v>53476461646.31382</v>
      </c>
      <c r="F266" s="447">
        <v>0.99867335567922444</v>
      </c>
      <c r="G266" s="446"/>
      <c r="H266" s="445">
        <v>0</v>
      </c>
      <c r="I266" s="445">
        <v>51588645772.626205</v>
      </c>
      <c r="J266" s="447">
        <v>0.9988242216585026</v>
      </c>
      <c r="K266" s="446"/>
      <c r="L266" s="445">
        <v>0</v>
      </c>
      <c r="M266" s="445">
        <v>32215626730.460308</v>
      </c>
      <c r="N266" s="447">
        <v>0.99860974085769105</v>
      </c>
      <c r="O266" s="446"/>
      <c r="P266" s="445">
        <v>0</v>
      </c>
      <c r="Q266" s="445">
        <v>27817105777.282143</v>
      </c>
      <c r="R266" s="447">
        <v>0.99859259055194904</v>
      </c>
      <c r="S266" s="446"/>
      <c r="T266" s="445">
        <v>0</v>
      </c>
      <c r="U266" s="445">
        <v>27202356806.985458</v>
      </c>
      <c r="V266" s="447">
        <v>0.99893322681415664</v>
      </c>
      <c r="W266" s="446"/>
      <c r="X266" s="445">
        <v>0</v>
      </c>
      <c r="Y266" s="445">
        <v>21806604596.735806</v>
      </c>
      <c r="Z266" s="447">
        <v>0.99866624184827335</v>
      </c>
      <c r="AA266" s="446"/>
    </row>
    <row r="267" spans="2:27" s="443" customFormat="1" ht="12.75" customHeight="1">
      <c r="B267" s="444">
        <v>45754</v>
      </c>
      <c r="C267" s="446"/>
      <c r="D267" s="445">
        <v>0</v>
      </c>
      <c r="E267" s="445">
        <v>53493788295.032219</v>
      </c>
      <c r="F267" s="447">
        <v>1.0003240051451607</v>
      </c>
      <c r="G267" s="446"/>
      <c r="H267" s="445">
        <v>0</v>
      </c>
      <c r="I267" s="445">
        <v>51621694694.759537</v>
      </c>
      <c r="J267" s="447">
        <v>1.0006406239520027</v>
      </c>
      <c r="K267" s="446"/>
      <c r="L267" s="445">
        <v>0</v>
      </c>
      <c r="M267" s="445">
        <v>32225537760.670864</v>
      </c>
      <c r="N267" s="447">
        <v>1.0003076466676708</v>
      </c>
      <c r="O267" s="446"/>
      <c r="P267" s="445">
        <v>0</v>
      </c>
      <c r="Q267" s="445">
        <v>27826204122.250912</v>
      </c>
      <c r="R267" s="447">
        <v>1.0003270773401667</v>
      </c>
      <c r="S267" s="446"/>
      <c r="T267" s="445">
        <v>0</v>
      </c>
      <c r="U267" s="445">
        <v>27210892370.153503</v>
      </c>
      <c r="V267" s="447">
        <v>1.0003137802811943</v>
      </c>
      <c r="W267" s="446"/>
      <c r="X267" s="445">
        <v>0</v>
      </c>
      <c r="Y267" s="445">
        <v>21813352729.259575</v>
      </c>
      <c r="Z267" s="447">
        <v>1.0003094536104342</v>
      </c>
      <c r="AA267" s="446"/>
    </row>
    <row r="268" spans="2:27" s="443" customFormat="1" ht="12.75" customHeight="1">
      <c r="B268" s="444">
        <v>45755</v>
      </c>
      <c r="C268" s="446"/>
      <c r="D268" s="445">
        <v>0</v>
      </c>
      <c r="E268" s="445">
        <v>53375548150.540169</v>
      </c>
      <c r="F268" s="447">
        <v>0.99778964720464502</v>
      </c>
      <c r="G268" s="446"/>
      <c r="H268" s="445">
        <v>0</v>
      </c>
      <c r="I268" s="445">
        <v>51569128618.859467</v>
      </c>
      <c r="J268" s="447">
        <v>0.99898170573029621</v>
      </c>
      <c r="K268" s="446"/>
      <c r="L268" s="445">
        <v>0</v>
      </c>
      <c r="M268" s="445">
        <v>32160281506.783344</v>
      </c>
      <c r="N268" s="447">
        <v>0.99797501427680868</v>
      </c>
      <c r="O268" s="446"/>
      <c r="P268" s="445">
        <v>0</v>
      </c>
      <c r="Q268" s="445">
        <v>27731605027.220631</v>
      </c>
      <c r="R268" s="447">
        <v>0.99660035933702373</v>
      </c>
      <c r="S268" s="446"/>
      <c r="T268" s="445">
        <v>0</v>
      </c>
      <c r="U268" s="445">
        <v>27174074196.92207</v>
      </c>
      <c r="V268" s="447">
        <v>0.9986469325323627</v>
      </c>
      <c r="W268" s="446"/>
      <c r="X268" s="445">
        <v>0</v>
      </c>
      <c r="Y268" s="445">
        <v>21771046114.599892</v>
      </c>
      <c r="Z268" s="447">
        <v>0.99806051755616021</v>
      </c>
      <c r="AA268" s="446"/>
    </row>
    <row r="269" spans="2:27" s="443" customFormat="1" ht="12.75" customHeight="1">
      <c r="B269" s="444">
        <v>45756</v>
      </c>
      <c r="C269" s="446"/>
      <c r="D269" s="445">
        <v>0</v>
      </c>
      <c r="E269" s="445">
        <v>53464907986.094215</v>
      </c>
      <c r="F269" s="447">
        <v>1.0016741717631079</v>
      </c>
      <c r="G269" s="446"/>
      <c r="H269" s="445">
        <v>0</v>
      </c>
      <c r="I269" s="445">
        <v>51634452199.131561</v>
      </c>
      <c r="J269" s="447">
        <v>1.0012667187137267</v>
      </c>
      <c r="K269" s="446"/>
      <c r="L269" s="445">
        <v>0</v>
      </c>
      <c r="M269" s="445">
        <v>32216156361.678558</v>
      </c>
      <c r="N269" s="447">
        <v>1.0017373869965482</v>
      </c>
      <c r="O269" s="446"/>
      <c r="P269" s="445">
        <v>0</v>
      </c>
      <c r="Q269" s="445">
        <v>27795143387.396076</v>
      </c>
      <c r="R269" s="447">
        <v>1.0022911894249567</v>
      </c>
      <c r="S269" s="446"/>
      <c r="T269" s="445">
        <v>0</v>
      </c>
      <c r="U269" s="445">
        <v>27208940908.988766</v>
      </c>
      <c r="V269" s="447">
        <v>1.0012830873947729</v>
      </c>
      <c r="W269" s="446"/>
      <c r="X269" s="445">
        <v>0</v>
      </c>
      <c r="Y269" s="445">
        <v>21807738357.346375</v>
      </c>
      <c r="Z269" s="447">
        <v>1.001685368840493</v>
      </c>
      <c r="AA269" s="446"/>
    </row>
    <row r="270" spans="2:27" s="443" customFormat="1" ht="12.75" customHeight="1">
      <c r="B270" s="444">
        <v>45757</v>
      </c>
      <c r="C270" s="446"/>
      <c r="D270" s="445">
        <v>0</v>
      </c>
      <c r="E270" s="445">
        <v>53472629286.709885</v>
      </c>
      <c r="F270" s="447">
        <v>1.0001444181035097</v>
      </c>
      <c r="G270" s="446"/>
      <c r="H270" s="445">
        <v>0</v>
      </c>
      <c r="I270" s="445">
        <v>51608986631.205086</v>
      </c>
      <c r="J270" s="447">
        <v>0.99950681053362844</v>
      </c>
      <c r="K270" s="446"/>
      <c r="L270" s="445">
        <v>0</v>
      </c>
      <c r="M270" s="445">
        <v>32212993736.553844</v>
      </c>
      <c r="N270" s="447">
        <v>0.99990183108471387</v>
      </c>
      <c r="O270" s="446"/>
      <c r="P270" s="445">
        <v>0</v>
      </c>
      <c r="Q270" s="445">
        <v>27815474481.263565</v>
      </c>
      <c r="R270" s="447">
        <v>1.0007314620969614</v>
      </c>
      <c r="S270" s="446"/>
      <c r="T270" s="445">
        <v>0</v>
      </c>
      <c r="U270" s="445">
        <v>27206254018.221123</v>
      </c>
      <c r="V270" s="447">
        <v>0.99990124971138605</v>
      </c>
      <c r="W270" s="446"/>
      <c r="X270" s="445">
        <v>0</v>
      </c>
      <c r="Y270" s="445">
        <v>21805884464.675526</v>
      </c>
      <c r="Z270" s="447">
        <v>0.99991498922811384</v>
      </c>
      <c r="AA270" s="446"/>
    </row>
    <row r="271" spans="2:27" s="443" customFormat="1" ht="12.75" customHeight="1">
      <c r="B271" s="444">
        <v>45758</v>
      </c>
      <c r="C271" s="446"/>
      <c r="D271" s="445">
        <v>0</v>
      </c>
      <c r="E271" s="445">
        <v>53100001469.223061</v>
      </c>
      <c r="F271" s="447">
        <v>0.993031428929951</v>
      </c>
      <c r="G271" s="446"/>
      <c r="H271" s="445">
        <v>0</v>
      </c>
      <c r="I271" s="445">
        <v>51249845767.153976</v>
      </c>
      <c r="J271" s="447">
        <v>0.99304111769104264</v>
      </c>
      <c r="K271" s="446"/>
      <c r="L271" s="445">
        <v>0</v>
      </c>
      <c r="M271" s="445">
        <v>31987339780.457729</v>
      </c>
      <c r="N271" s="447">
        <v>0.99299493993195509</v>
      </c>
      <c r="O271" s="446"/>
      <c r="P271" s="445">
        <v>0</v>
      </c>
      <c r="Q271" s="445">
        <v>27621813497.303455</v>
      </c>
      <c r="R271" s="447">
        <v>0.99303765304846559</v>
      </c>
      <c r="S271" s="446"/>
      <c r="T271" s="445">
        <v>0</v>
      </c>
      <c r="U271" s="445">
        <v>27017453682.542515</v>
      </c>
      <c r="V271" s="447">
        <v>0.99306040678910956</v>
      </c>
      <c r="W271" s="446"/>
      <c r="X271" s="445">
        <v>0</v>
      </c>
      <c r="Y271" s="445">
        <v>21653509077.723587</v>
      </c>
      <c r="Z271" s="447">
        <v>0.9930121895675097</v>
      </c>
      <c r="AA271" s="446"/>
    </row>
    <row r="272" spans="2:27" s="443" customFormat="1" ht="12.75" customHeight="1">
      <c r="B272" s="444">
        <v>45759</v>
      </c>
      <c r="C272" s="446"/>
      <c r="D272" s="445">
        <v>0</v>
      </c>
      <c r="E272" s="445">
        <v>53507373651.736229</v>
      </c>
      <c r="F272" s="447">
        <v>1.0076717923021017</v>
      </c>
      <c r="G272" s="446"/>
      <c r="H272" s="445">
        <v>0</v>
      </c>
      <c r="I272" s="445">
        <v>51641064903.102859</v>
      </c>
      <c r="J272" s="447">
        <v>1.0076335670886958</v>
      </c>
      <c r="K272" s="446"/>
      <c r="L272" s="445">
        <v>0</v>
      </c>
      <c r="M272" s="445">
        <v>32232805824.361618</v>
      </c>
      <c r="N272" s="447">
        <v>1.0076738498915079</v>
      </c>
      <c r="O272" s="446"/>
      <c r="P272" s="445">
        <v>0</v>
      </c>
      <c r="Q272" s="445">
        <v>27833752513.343338</v>
      </c>
      <c r="R272" s="447">
        <v>1.0076728856365849</v>
      </c>
      <c r="S272" s="446"/>
      <c r="T272" s="445">
        <v>0</v>
      </c>
      <c r="U272" s="445">
        <v>27223333346.863903</v>
      </c>
      <c r="V272" s="447">
        <v>1.0076202467760469</v>
      </c>
      <c r="W272" s="446"/>
      <c r="X272" s="445">
        <v>0</v>
      </c>
      <c r="Y272" s="445">
        <v>21819373690.771641</v>
      </c>
      <c r="Z272" s="447">
        <v>1.0076599415112208</v>
      </c>
      <c r="AA272" s="446"/>
    </row>
    <row r="273" spans="2:27" s="443" customFormat="1" ht="12.75" customHeight="1">
      <c r="B273" s="444">
        <v>45760</v>
      </c>
      <c r="C273" s="446"/>
      <c r="D273" s="445">
        <v>0</v>
      </c>
      <c r="E273" s="445">
        <v>51547843737.767853</v>
      </c>
      <c r="F273" s="447">
        <v>0.96337832002889212</v>
      </c>
      <c r="G273" s="446"/>
      <c r="H273" s="445">
        <v>0</v>
      </c>
      <c r="I273" s="445">
        <v>52050726051.665024</v>
      </c>
      <c r="J273" s="447">
        <v>1.0079328563291798</v>
      </c>
      <c r="K273" s="446"/>
      <c r="L273" s="445">
        <v>0</v>
      </c>
      <c r="M273" s="445">
        <v>30681589274.965061</v>
      </c>
      <c r="N273" s="447">
        <v>0.95187460384773126</v>
      </c>
      <c r="O273" s="446"/>
      <c r="P273" s="445">
        <v>0</v>
      </c>
      <c r="Q273" s="445">
        <v>28046786995.782837</v>
      </c>
      <c r="R273" s="447">
        <v>1.0076538182315651</v>
      </c>
      <c r="S273" s="446"/>
      <c r="T273" s="445">
        <v>0</v>
      </c>
      <c r="U273" s="445">
        <v>22197270255.763599</v>
      </c>
      <c r="V273" s="447">
        <v>0.81537664667801235</v>
      </c>
      <c r="W273" s="446"/>
      <c r="X273" s="445">
        <v>0</v>
      </c>
      <c r="Y273" s="445">
        <v>21832299052.520832</v>
      </c>
      <c r="Z273" s="447">
        <v>1.000592380053267</v>
      </c>
      <c r="AA273" s="446"/>
    </row>
    <row r="274" spans="2:27" s="443" customFormat="1" ht="12.75" customHeight="1">
      <c r="B274" s="444">
        <v>45761</v>
      </c>
      <c r="C274" s="446"/>
      <c r="D274" s="445">
        <v>0</v>
      </c>
      <c r="E274" s="445">
        <v>53590523343.47068</v>
      </c>
      <c r="F274" s="447">
        <v>1.039626868120697</v>
      </c>
      <c r="G274" s="446"/>
      <c r="H274" s="445">
        <v>0</v>
      </c>
      <c r="I274" s="445">
        <v>51707804129.969475</v>
      </c>
      <c r="J274" s="447">
        <v>0.99341177448024132</v>
      </c>
      <c r="K274" s="446"/>
      <c r="L274" s="445">
        <v>0</v>
      </c>
      <c r="M274" s="445">
        <v>32282777380.065174</v>
      </c>
      <c r="N274" s="447">
        <v>1.0521872609254508</v>
      </c>
      <c r="O274" s="446"/>
      <c r="P274" s="445">
        <v>0</v>
      </c>
      <c r="Q274" s="445">
        <v>27886236245.00758</v>
      </c>
      <c r="R274" s="447">
        <v>0.99427560986577901</v>
      </c>
      <c r="S274" s="446"/>
      <c r="T274" s="445">
        <v>0</v>
      </c>
      <c r="U274" s="445">
        <v>27261013222.545841</v>
      </c>
      <c r="V274" s="447">
        <v>1.2281245805649199</v>
      </c>
      <c r="W274" s="446"/>
      <c r="X274" s="445">
        <v>0</v>
      </c>
      <c r="Y274" s="445">
        <v>21851960160.730099</v>
      </c>
      <c r="Z274" s="447">
        <v>1.0009005514335421</v>
      </c>
      <c r="AA274" s="446"/>
    </row>
    <row r="275" spans="2:27" s="443" customFormat="1" ht="12.75" customHeight="1">
      <c r="B275" s="444">
        <v>45762</v>
      </c>
      <c r="C275" s="446"/>
      <c r="D275" s="445">
        <v>0</v>
      </c>
      <c r="E275" s="445">
        <v>53319229681.787209</v>
      </c>
      <c r="F275" s="447">
        <v>0.99493765604891171</v>
      </c>
      <c r="G275" s="446"/>
      <c r="H275" s="445">
        <v>0</v>
      </c>
      <c r="I275" s="445">
        <v>51456457838.51992</v>
      </c>
      <c r="J275" s="447">
        <v>0.99513910335821287</v>
      </c>
      <c r="K275" s="446"/>
      <c r="L275" s="445">
        <v>0</v>
      </c>
      <c r="M275" s="445">
        <v>32107065482.395279</v>
      </c>
      <c r="N275" s="447">
        <v>0.99455710097055039</v>
      </c>
      <c r="O275" s="446"/>
      <c r="P275" s="445">
        <v>0</v>
      </c>
      <c r="Q275" s="445">
        <v>27737473374.854816</v>
      </c>
      <c r="R275" s="447">
        <v>0.99466536577952869</v>
      </c>
      <c r="S275" s="446"/>
      <c r="T275" s="445">
        <v>0</v>
      </c>
      <c r="U275" s="445">
        <v>27141806422.329315</v>
      </c>
      <c r="V275" s="447">
        <v>0.9956272058106066</v>
      </c>
      <c r="W275" s="446"/>
      <c r="X275" s="445">
        <v>0</v>
      </c>
      <c r="Y275" s="445">
        <v>21738554416.628948</v>
      </c>
      <c r="Z275" s="447">
        <v>0.99481027133186195</v>
      </c>
      <c r="AA275" s="446"/>
    </row>
    <row r="276" spans="2:27" s="443" customFormat="1" ht="12.75" customHeight="1">
      <c r="B276" s="444">
        <v>45763</v>
      </c>
      <c r="C276" s="446"/>
      <c r="D276" s="445">
        <v>0</v>
      </c>
      <c r="E276" s="445">
        <v>53335129440.011917</v>
      </c>
      <c r="F276" s="447">
        <v>1.0002981993235762</v>
      </c>
      <c r="G276" s="446"/>
      <c r="H276" s="445">
        <v>0</v>
      </c>
      <c r="I276" s="445">
        <v>51475561523.99044</v>
      </c>
      <c r="J276" s="447">
        <v>1.0003712592407832</v>
      </c>
      <c r="K276" s="446"/>
      <c r="L276" s="445">
        <v>0</v>
      </c>
      <c r="M276" s="445">
        <v>32116994057.980892</v>
      </c>
      <c r="N276" s="447">
        <v>1.000309233355227</v>
      </c>
      <c r="O276" s="446"/>
      <c r="P276" s="445">
        <v>0</v>
      </c>
      <c r="Q276" s="445">
        <v>27331664578.299454</v>
      </c>
      <c r="R276" s="447">
        <v>0.98536965530093146</v>
      </c>
      <c r="S276" s="446"/>
      <c r="T276" s="445">
        <v>0</v>
      </c>
      <c r="U276" s="445">
        <v>27151194203.377979</v>
      </c>
      <c r="V276" s="447">
        <v>1.0003458790068203</v>
      </c>
      <c r="W276" s="446"/>
      <c r="X276" s="445">
        <v>0</v>
      </c>
      <c r="Y276" s="445">
        <v>21745527488.338913</v>
      </c>
      <c r="Z276" s="447">
        <v>1.0003207697980427</v>
      </c>
      <c r="AA276" s="446"/>
    </row>
    <row r="277" spans="2:27" s="443" customFormat="1" ht="12.75" customHeight="1">
      <c r="B277" s="444">
        <v>45764</v>
      </c>
      <c r="C277" s="446"/>
      <c r="D277" s="445">
        <v>0</v>
      </c>
      <c r="E277" s="445">
        <v>53325333345.753464</v>
      </c>
      <c r="F277" s="447">
        <v>0.99981632941812826</v>
      </c>
      <c r="G277" s="446"/>
      <c r="H277" s="445">
        <v>0</v>
      </c>
      <c r="I277" s="445">
        <v>51459887468.108398</v>
      </c>
      <c r="J277" s="447">
        <v>0.99969550490722214</v>
      </c>
      <c r="K277" s="446"/>
      <c r="L277" s="445">
        <v>0</v>
      </c>
      <c r="M277" s="445">
        <v>32108416971.836296</v>
      </c>
      <c r="N277" s="447">
        <v>0.99973294243760447</v>
      </c>
      <c r="O277" s="446"/>
      <c r="P277" s="445">
        <v>0</v>
      </c>
      <c r="Q277" s="445">
        <v>27746808768.591839</v>
      </c>
      <c r="R277" s="447">
        <v>1.0151891294108006</v>
      </c>
      <c r="S277" s="446"/>
      <c r="T277" s="445">
        <v>0</v>
      </c>
      <c r="U277" s="445">
        <v>27146565310.004784</v>
      </c>
      <c r="V277" s="447">
        <v>0.99982951418863852</v>
      </c>
      <c r="W277" s="446"/>
      <c r="X277" s="445">
        <v>0</v>
      </c>
      <c r="Y277" s="445">
        <v>21741037453.799423</v>
      </c>
      <c r="Z277" s="447">
        <v>0.99979351917115378</v>
      </c>
      <c r="AA277" s="446"/>
    </row>
    <row r="278" spans="2:27" s="443" customFormat="1" ht="12.75" customHeight="1">
      <c r="B278" s="444">
        <v>45765</v>
      </c>
      <c r="C278" s="446"/>
      <c r="D278" s="445">
        <v>0</v>
      </c>
      <c r="E278" s="445">
        <v>53342958689.867104</v>
      </c>
      <c r="F278" s="447">
        <v>1.0003305247807708</v>
      </c>
      <c r="G278" s="446"/>
      <c r="H278" s="445">
        <v>0</v>
      </c>
      <c r="I278" s="445">
        <v>51476171027.195381</v>
      </c>
      <c r="J278" s="447">
        <v>1.0003164320772577</v>
      </c>
      <c r="K278" s="446"/>
      <c r="L278" s="445">
        <v>0</v>
      </c>
      <c r="M278" s="445">
        <v>32118516655.881142</v>
      </c>
      <c r="N278" s="447">
        <v>1.000314549423402</v>
      </c>
      <c r="O278" s="446"/>
      <c r="P278" s="445">
        <v>0</v>
      </c>
      <c r="Q278" s="445">
        <v>27755959717.781162</v>
      </c>
      <c r="R278" s="447">
        <v>1.0003298018617435</v>
      </c>
      <c r="S278" s="446"/>
      <c r="T278" s="445">
        <v>0</v>
      </c>
      <c r="U278" s="445">
        <v>27155251082.699509</v>
      </c>
      <c r="V278" s="447">
        <v>1.0003199584402496</v>
      </c>
      <c r="W278" s="446"/>
      <c r="X278" s="445">
        <v>0</v>
      </c>
      <c r="Y278" s="445">
        <v>21747900369.10891</v>
      </c>
      <c r="Z278" s="447">
        <v>1.0003156664130712</v>
      </c>
      <c r="AA278" s="446"/>
    </row>
    <row r="279" spans="2:27" s="443" customFormat="1" ht="12.75" customHeight="1">
      <c r="B279" s="444">
        <v>45766</v>
      </c>
      <c r="C279" s="446"/>
      <c r="D279" s="445">
        <v>0</v>
      </c>
      <c r="E279" s="445">
        <v>53360584033.980751</v>
      </c>
      <c r="F279" s="447">
        <v>1.0003304155702371</v>
      </c>
      <c r="G279" s="446"/>
      <c r="H279" s="445">
        <v>0</v>
      </c>
      <c r="I279" s="445">
        <v>51492454586.282372</v>
      </c>
      <c r="J279" s="447">
        <v>1.0003163319796724</v>
      </c>
      <c r="K279" s="446"/>
      <c r="L279" s="445">
        <v>0</v>
      </c>
      <c r="M279" s="445">
        <v>32128616339.925983</v>
      </c>
      <c r="N279" s="447">
        <v>1.0003144505131745</v>
      </c>
      <c r="O279" s="446"/>
      <c r="P279" s="445">
        <v>0</v>
      </c>
      <c r="Q279" s="445">
        <v>27765110666.97049</v>
      </c>
      <c r="R279" s="447">
        <v>1.0003296931283361</v>
      </c>
      <c r="S279" s="446"/>
      <c r="T279" s="445">
        <v>0</v>
      </c>
      <c r="U279" s="445">
        <v>27163936855.39423</v>
      </c>
      <c r="V279" s="447">
        <v>1.0003198560995907</v>
      </c>
      <c r="W279" s="446"/>
      <c r="X279" s="445">
        <v>0</v>
      </c>
      <c r="Y279" s="445">
        <v>21754763284.418388</v>
      </c>
      <c r="Z279" s="447">
        <v>1.0003155667992312</v>
      </c>
      <c r="AA279" s="446"/>
    </row>
    <row r="280" spans="2:27" s="443" customFormat="1" ht="12.75" customHeight="1">
      <c r="B280" s="444">
        <v>45767</v>
      </c>
      <c r="C280" s="446"/>
      <c r="D280" s="445">
        <v>0</v>
      </c>
      <c r="E280" s="445">
        <v>53393718180.438194</v>
      </c>
      <c r="F280" s="447">
        <v>1.0006209479723149</v>
      </c>
      <c r="G280" s="446"/>
      <c r="H280" s="445">
        <v>0</v>
      </c>
      <c r="I280" s="445">
        <v>51531112766.441635</v>
      </c>
      <c r="J280" s="447">
        <v>1.0007507542701133</v>
      </c>
      <c r="K280" s="446"/>
      <c r="L280" s="445">
        <v>0</v>
      </c>
      <c r="M280" s="445">
        <v>32150236389.299984</v>
      </c>
      <c r="N280" s="447">
        <v>1.000672921894465</v>
      </c>
      <c r="O280" s="446"/>
      <c r="P280" s="445">
        <v>0</v>
      </c>
      <c r="Q280" s="445">
        <v>27779435137.85257</v>
      </c>
      <c r="R280" s="447">
        <v>1.0005159162177992</v>
      </c>
      <c r="S280" s="446"/>
      <c r="T280" s="445">
        <v>0</v>
      </c>
      <c r="U280" s="445">
        <v>27182531851.266499</v>
      </c>
      <c r="V280" s="447">
        <v>1.000684547161601</v>
      </c>
      <c r="W280" s="446"/>
      <c r="X280" s="445">
        <v>0</v>
      </c>
      <c r="Y280" s="445">
        <v>21769829469.412849</v>
      </c>
      <c r="Z280" s="447">
        <v>1.0006925464918872</v>
      </c>
      <c r="AA280" s="446"/>
    </row>
    <row r="281" spans="2:27" s="443" customFormat="1" ht="12.75" customHeight="1">
      <c r="B281" s="444">
        <v>45768</v>
      </c>
      <c r="C281" s="446"/>
      <c r="D281" s="445">
        <v>0</v>
      </c>
      <c r="E281" s="445">
        <v>53365442815.09166</v>
      </c>
      <c r="F281" s="447">
        <v>0.99947043647998102</v>
      </c>
      <c r="G281" s="446"/>
      <c r="H281" s="445">
        <v>0</v>
      </c>
      <c r="I281" s="445">
        <v>51525669025.806297</v>
      </c>
      <c r="J281" s="447">
        <v>0.99989436011871102</v>
      </c>
      <c r="K281" s="446"/>
      <c r="L281" s="445">
        <v>0</v>
      </c>
      <c r="M281" s="445">
        <v>32135557914.577148</v>
      </c>
      <c r="N281" s="447">
        <v>0.99954344115716298</v>
      </c>
      <c r="O281" s="446"/>
      <c r="P281" s="445">
        <v>0</v>
      </c>
      <c r="Q281" s="445">
        <v>27754567772.864365</v>
      </c>
      <c r="R281" s="447">
        <v>0.99910482827081248</v>
      </c>
      <c r="S281" s="446"/>
      <c r="T281" s="445">
        <v>0</v>
      </c>
      <c r="U281" s="445">
        <v>27175932938.192875</v>
      </c>
      <c r="V281" s="447">
        <v>0.99975723699654873</v>
      </c>
      <c r="W281" s="446"/>
      <c r="X281" s="445">
        <v>0</v>
      </c>
      <c r="Y281" s="445">
        <v>21759825305.965683</v>
      </c>
      <c r="Z281" s="447">
        <v>0.999540457427045</v>
      </c>
      <c r="AA281" s="446"/>
    </row>
    <row r="282" spans="2:27" s="443" customFormat="1" ht="12.75" customHeight="1">
      <c r="B282" s="444">
        <v>45769</v>
      </c>
      <c r="C282" s="446"/>
      <c r="D282" s="445">
        <v>0</v>
      </c>
      <c r="E282" s="445">
        <v>53287248233.336929</v>
      </c>
      <c r="F282" s="447">
        <v>0.99853473375971658</v>
      </c>
      <c r="G282" s="446"/>
      <c r="H282" s="445">
        <v>0</v>
      </c>
      <c r="I282" s="445">
        <v>51464293944.941765</v>
      </c>
      <c r="J282" s="447">
        <v>0.9988088445618476</v>
      </c>
      <c r="K282" s="446"/>
      <c r="L282" s="445">
        <v>0</v>
      </c>
      <c r="M282" s="445">
        <v>32087151717.666641</v>
      </c>
      <c r="N282" s="447">
        <v>0.99849368736527988</v>
      </c>
      <c r="O282" s="446"/>
      <c r="P282" s="445">
        <v>0</v>
      </c>
      <c r="Q282" s="445">
        <v>27706742511.120075</v>
      </c>
      <c r="R282" s="447">
        <v>0.99827685078234052</v>
      </c>
      <c r="S282" s="446"/>
      <c r="T282" s="445">
        <v>0</v>
      </c>
      <c r="U282" s="445">
        <v>27144687776.038658</v>
      </c>
      <c r="V282" s="447">
        <v>0.99885026349508299</v>
      </c>
      <c r="W282" s="446"/>
      <c r="X282" s="445">
        <v>0</v>
      </c>
      <c r="Y282" s="445">
        <v>21728368562.134636</v>
      </c>
      <c r="Z282" s="447">
        <v>0.99855436597542802</v>
      </c>
      <c r="AA282" s="446"/>
    </row>
    <row r="283" spans="2:27" s="443" customFormat="1" ht="12.75" customHeight="1">
      <c r="B283" s="444">
        <v>45770</v>
      </c>
      <c r="C283" s="446"/>
      <c r="D283" s="445">
        <v>0</v>
      </c>
      <c r="E283" s="445">
        <v>53275184243.605621</v>
      </c>
      <c r="F283" s="447">
        <v>0.99977360456523334</v>
      </c>
      <c r="G283" s="446"/>
      <c r="H283" s="445">
        <v>0</v>
      </c>
      <c r="I283" s="445">
        <v>51453567767.192451</v>
      </c>
      <c r="J283" s="447">
        <v>0.99979158020197867</v>
      </c>
      <c r="K283" s="446"/>
      <c r="L283" s="445">
        <v>0</v>
      </c>
      <c r="M283" s="445">
        <v>31924326681.708</v>
      </c>
      <c r="N283" s="447">
        <v>0.9949255378791072</v>
      </c>
      <c r="O283" s="446"/>
      <c r="P283" s="445">
        <v>0</v>
      </c>
      <c r="Q283" s="445">
        <v>27712765198.48848</v>
      </c>
      <c r="R283" s="447">
        <v>1.00021737262567</v>
      </c>
      <c r="S283" s="446"/>
      <c r="T283" s="445">
        <v>0</v>
      </c>
      <c r="U283" s="445">
        <v>27140730035.252125</v>
      </c>
      <c r="V283" s="447">
        <v>0.99985419833084144</v>
      </c>
      <c r="W283" s="446"/>
      <c r="X283" s="445">
        <v>0</v>
      </c>
      <c r="Y283" s="445">
        <v>21722864568.690804</v>
      </c>
      <c r="Z283" s="447">
        <v>0.99974669090189205</v>
      </c>
      <c r="AA283" s="446"/>
    </row>
    <row r="284" spans="2:27" s="443" customFormat="1" ht="12.75" customHeight="1">
      <c r="B284" s="444">
        <v>45771</v>
      </c>
      <c r="C284" s="446"/>
      <c r="D284" s="445">
        <v>0</v>
      </c>
      <c r="E284" s="445">
        <v>53155758692.83342</v>
      </c>
      <c r="F284" s="447">
        <v>0.99775832683701071</v>
      </c>
      <c r="G284" s="446"/>
      <c r="H284" s="445">
        <v>0</v>
      </c>
      <c r="I284" s="445">
        <v>51297810446.096268</v>
      </c>
      <c r="J284" s="447">
        <v>0.99697285673559266</v>
      </c>
      <c r="K284" s="446"/>
      <c r="L284" s="445">
        <v>0</v>
      </c>
      <c r="M284" s="445">
        <v>31966006310.621998</v>
      </c>
      <c r="N284" s="447">
        <v>1.0013055758177627</v>
      </c>
      <c r="O284" s="446"/>
      <c r="P284" s="445">
        <v>0</v>
      </c>
      <c r="Q284" s="445">
        <v>27616781700.967793</v>
      </c>
      <c r="R284" s="447">
        <v>0.99653648790248028</v>
      </c>
      <c r="S284" s="446"/>
      <c r="T284" s="445">
        <v>0</v>
      </c>
      <c r="U284" s="445">
        <v>27085539846.713238</v>
      </c>
      <c r="V284" s="447">
        <v>0.99796651790621682</v>
      </c>
      <c r="W284" s="446"/>
      <c r="X284" s="445">
        <v>0</v>
      </c>
      <c r="Y284" s="445">
        <v>21710442320.418922</v>
      </c>
      <c r="Z284" s="447">
        <v>0.99942814870328911</v>
      </c>
      <c r="AA284" s="446"/>
    </row>
    <row r="285" spans="2:27" s="443" customFormat="1" ht="12.75" customHeight="1">
      <c r="B285" s="444">
        <v>45772</v>
      </c>
      <c r="C285" s="446"/>
      <c r="D285" s="445">
        <v>0</v>
      </c>
      <c r="E285" s="445">
        <v>53173435897.472305</v>
      </c>
      <c r="F285" s="447">
        <v>1.0003325548364579</v>
      </c>
      <c r="G285" s="446"/>
      <c r="H285" s="445">
        <v>0</v>
      </c>
      <c r="I285" s="445">
        <v>51314114386.349335</v>
      </c>
      <c r="J285" s="447">
        <v>1.0003178291648569</v>
      </c>
      <c r="K285" s="446"/>
      <c r="L285" s="445">
        <v>0</v>
      </c>
      <c r="M285" s="445">
        <v>31976179709.192558</v>
      </c>
      <c r="N285" s="447">
        <v>1.0003182567904074</v>
      </c>
      <c r="O285" s="446"/>
      <c r="P285" s="445">
        <v>0</v>
      </c>
      <c r="Q285" s="445">
        <v>27625944463.526791</v>
      </c>
      <c r="R285" s="447">
        <v>1.0003317824161486</v>
      </c>
      <c r="S285" s="446"/>
      <c r="T285" s="445">
        <v>0</v>
      </c>
      <c r="U285" s="445">
        <v>27094248189.087959</v>
      </c>
      <c r="V285" s="447">
        <v>1.0003215126013365</v>
      </c>
      <c r="W285" s="446"/>
      <c r="X285" s="445">
        <v>0</v>
      </c>
      <c r="Y285" s="445">
        <v>21717356658.823902</v>
      </c>
      <c r="Z285" s="447">
        <v>1.000318479849601</v>
      </c>
      <c r="AA285" s="446"/>
    </row>
    <row r="286" spans="2:27" s="443" customFormat="1" ht="12.75" customHeight="1">
      <c r="B286" s="444">
        <v>45773</v>
      </c>
      <c r="C286" s="446"/>
      <c r="D286" s="445">
        <v>0</v>
      </c>
      <c r="E286" s="445">
        <v>53191113102.111214</v>
      </c>
      <c r="F286" s="447">
        <v>1.0003324442805048</v>
      </c>
      <c r="G286" s="446"/>
      <c r="H286" s="445">
        <v>0</v>
      </c>
      <c r="I286" s="445">
        <v>51330418326.602356</v>
      </c>
      <c r="J286" s="447">
        <v>1.0003177281815734</v>
      </c>
      <c r="K286" s="446"/>
      <c r="L286" s="445">
        <v>0</v>
      </c>
      <c r="M286" s="445">
        <v>31986353107.763111</v>
      </c>
      <c r="N286" s="447">
        <v>1.0003181555352476</v>
      </c>
      <c r="O286" s="446"/>
      <c r="P286" s="445">
        <v>0</v>
      </c>
      <c r="Q286" s="445">
        <v>27635107226.0858</v>
      </c>
      <c r="R286" s="447">
        <v>1.0003316723730877</v>
      </c>
      <c r="S286" s="446"/>
      <c r="T286" s="445">
        <v>0</v>
      </c>
      <c r="U286" s="445">
        <v>27102956531.462685</v>
      </c>
      <c r="V286" s="447">
        <v>1.0003214092642081</v>
      </c>
      <c r="W286" s="446"/>
      <c r="X286" s="445">
        <v>0</v>
      </c>
      <c r="Y286" s="445">
        <v>21724270997.228882</v>
      </c>
      <c r="Z286" s="447">
        <v>1.0003183784524794</v>
      </c>
      <c r="AA286" s="446"/>
    </row>
    <row r="287" spans="2:27" s="443" customFormat="1" ht="12.75" customHeight="1">
      <c r="B287" s="444">
        <v>45774</v>
      </c>
      <c r="C287" s="446"/>
      <c r="D287" s="445">
        <v>0</v>
      </c>
      <c r="E287" s="445">
        <v>53453665892.924461</v>
      </c>
      <c r="F287" s="447">
        <v>1.0049360273831687</v>
      </c>
      <c r="G287" s="446"/>
      <c r="H287" s="445">
        <v>0</v>
      </c>
      <c r="I287" s="445">
        <v>51609015502.312889</v>
      </c>
      <c r="J287" s="447">
        <v>1.0054275259152943</v>
      </c>
      <c r="K287" s="446"/>
      <c r="L287" s="445">
        <v>0</v>
      </c>
      <c r="M287" s="445">
        <v>32185785966.775322</v>
      </c>
      <c r="N287" s="447">
        <v>1.0062349358284239</v>
      </c>
      <c r="O287" s="446"/>
      <c r="P287" s="445">
        <v>0</v>
      </c>
      <c r="Q287" s="445">
        <v>27815498190.903049</v>
      </c>
      <c r="R287" s="447">
        <v>1.0065276014072047</v>
      </c>
      <c r="S287" s="446"/>
      <c r="T287" s="445">
        <v>0</v>
      </c>
      <c r="U287" s="445">
        <v>27223003962.64595</v>
      </c>
      <c r="V287" s="447">
        <v>1.0044293112835829</v>
      </c>
      <c r="W287" s="446"/>
      <c r="X287" s="445">
        <v>0</v>
      </c>
      <c r="Y287" s="445">
        <v>21810064657.542751</v>
      </c>
      <c r="Z287" s="447">
        <v>1.0039492077927408</v>
      </c>
      <c r="AA287" s="446"/>
    </row>
    <row r="288" spans="2:27" s="443" customFormat="1" ht="12.75" customHeight="1">
      <c r="B288" s="444">
        <v>45775</v>
      </c>
      <c r="C288" s="446"/>
      <c r="D288" s="445">
        <v>0</v>
      </c>
      <c r="E288" s="445">
        <v>53471336749.650017</v>
      </c>
      <c r="F288" s="447">
        <v>1.0003305826912032</v>
      </c>
      <c r="G288" s="446"/>
      <c r="H288" s="445">
        <v>0</v>
      </c>
      <c r="I288" s="445">
        <v>51625319442.565941</v>
      </c>
      <c r="J288" s="447">
        <v>1.0003159126384096</v>
      </c>
      <c r="K288" s="446"/>
      <c r="L288" s="445">
        <v>0</v>
      </c>
      <c r="M288" s="445">
        <v>32195958699.335876</v>
      </c>
      <c r="N288" s="447">
        <v>1.0003160628909624</v>
      </c>
      <c r="O288" s="446"/>
      <c r="P288" s="445">
        <v>0</v>
      </c>
      <c r="Q288" s="445">
        <v>27824635994.770634</v>
      </c>
      <c r="R288" s="447">
        <v>1.000328514837479</v>
      </c>
      <c r="S288" s="446"/>
      <c r="T288" s="445">
        <v>0</v>
      </c>
      <c r="U288" s="445">
        <v>27231717004.223999</v>
      </c>
      <c r="V288" s="447">
        <v>1.000320061723901</v>
      </c>
      <c r="W288" s="446"/>
      <c r="X288" s="445">
        <v>0</v>
      </c>
      <c r="Y288" s="445">
        <v>21817154268.437012</v>
      </c>
      <c r="Z288" s="447">
        <v>1.000325061434048</v>
      </c>
      <c r="AA288" s="446"/>
    </row>
    <row r="289" spans="2:27" s="443" customFormat="1" ht="12.75" customHeight="1">
      <c r="B289" s="444">
        <v>45776</v>
      </c>
      <c r="C289" s="446"/>
      <c r="D289" s="445">
        <v>0</v>
      </c>
      <c r="E289" s="445">
        <v>53613968499.46286</v>
      </c>
      <c r="F289" s="447">
        <v>1.0026674431290288</v>
      </c>
      <c r="G289" s="446"/>
      <c r="H289" s="445">
        <v>0</v>
      </c>
      <c r="I289" s="445">
        <v>51751944309.898514</v>
      </c>
      <c r="J289" s="447">
        <v>1.0024527667566967</v>
      </c>
      <c r="K289" s="446"/>
      <c r="L289" s="445">
        <v>0</v>
      </c>
      <c r="M289" s="445">
        <v>32286374886.779442</v>
      </c>
      <c r="N289" s="447">
        <v>1.002808308592017</v>
      </c>
      <c r="O289" s="446"/>
      <c r="P289" s="445">
        <v>0</v>
      </c>
      <c r="Q289" s="445">
        <v>27909900269.81538</v>
      </c>
      <c r="R289" s="447">
        <v>1.0030643446714189</v>
      </c>
      <c r="S289" s="446"/>
      <c r="T289" s="445">
        <v>0</v>
      </c>
      <c r="U289" s="445">
        <v>27295418380.941429</v>
      </c>
      <c r="V289" s="447">
        <v>1.002339234676519</v>
      </c>
      <c r="W289" s="446"/>
      <c r="X289" s="445">
        <v>0</v>
      </c>
      <c r="Y289" s="445">
        <v>21870413789.664833</v>
      </c>
      <c r="Z289" s="447">
        <v>1.0024411763593235</v>
      </c>
      <c r="AA289" s="446"/>
    </row>
    <row r="290" spans="2:27" s="443" customFormat="1" ht="12.75" customHeight="1">
      <c r="B290" s="444">
        <v>45777</v>
      </c>
      <c r="C290" s="446"/>
      <c r="D290" s="445">
        <v>0</v>
      </c>
      <c r="E290" s="445">
        <v>53631636540.793411</v>
      </c>
      <c r="F290" s="447">
        <v>1.0003295417560953</v>
      </c>
      <c r="G290" s="446"/>
      <c r="H290" s="445">
        <v>0</v>
      </c>
      <c r="I290" s="445">
        <v>51768248250.151566</v>
      </c>
      <c r="J290" s="447">
        <v>1.0003150401491279</v>
      </c>
      <c r="K290" s="446"/>
      <c r="L290" s="445">
        <v>0</v>
      </c>
      <c r="M290" s="445">
        <v>32296540228.737499</v>
      </c>
      <c r="N290" s="447">
        <v>1.0003148492822036</v>
      </c>
      <c r="O290" s="446"/>
      <c r="P290" s="445">
        <v>0</v>
      </c>
      <c r="Q290" s="445">
        <v>27919054820.74081</v>
      </c>
      <c r="R290" s="447">
        <v>1.0003280037132676</v>
      </c>
      <c r="S290" s="446"/>
      <c r="T290" s="445">
        <v>0</v>
      </c>
      <c r="U290" s="445">
        <v>27304132086.569481</v>
      </c>
      <c r="V290" s="447">
        <v>1.0003192369322369</v>
      </c>
      <c r="W290" s="446"/>
      <c r="X290" s="445">
        <v>0</v>
      </c>
      <c r="Y290" s="445">
        <v>21877503400.559093</v>
      </c>
      <c r="Z290" s="447">
        <v>1.0003241644608303</v>
      </c>
      <c r="AA290" s="446"/>
    </row>
    <row r="291" spans="2:27" s="443" customFormat="1" ht="12.75" customHeight="1">
      <c r="B291" s="444">
        <v>45778</v>
      </c>
      <c r="C291" s="446"/>
      <c r="D291" s="445">
        <v>0</v>
      </c>
      <c r="E291" s="445">
        <v>53347488097.70388</v>
      </c>
      <c r="F291" s="447">
        <v>0.99470185022466351</v>
      </c>
      <c r="G291" s="446"/>
      <c r="H291" s="445">
        <v>0</v>
      </c>
      <c r="I291" s="445">
        <v>51416261821.39679</v>
      </c>
      <c r="J291" s="447">
        <v>0.99320072746031651</v>
      </c>
      <c r="K291" s="446"/>
      <c r="L291" s="445">
        <v>0</v>
      </c>
      <c r="M291" s="445">
        <v>32096944093.523666</v>
      </c>
      <c r="N291" s="447">
        <v>0.9938198911152647</v>
      </c>
      <c r="O291" s="446"/>
      <c r="P291" s="445">
        <v>0</v>
      </c>
      <c r="Q291" s="445">
        <v>27755433317.126926</v>
      </c>
      <c r="R291" s="447">
        <v>0.99413943256086412</v>
      </c>
      <c r="S291" s="446"/>
      <c r="T291" s="445">
        <v>0</v>
      </c>
      <c r="U291" s="445">
        <v>27180473267.158974</v>
      </c>
      <c r="V291" s="447">
        <v>0.99547105840909211</v>
      </c>
      <c r="W291" s="446"/>
      <c r="X291" s="445">
        <v>0</v>
      </c>
      <c r="Y291" s="445">
        <v>21787053280.581142</v>
      </c>
      <c r="Z291" s="447">
        <v>0.99586561051679967</v>
      </c>
      <c r="AA291" s="446"/>
    </row>
    <row r="292" spans="2:27" s="443" customFormat="1" ht="12.75" customHeight="1">
      <c r="B292" s="444">
        <v>45779</v>
      </c>
      <c r="C292" s="446"/>
      <c r="D292" s="445">
        <v>0</v>
      </c>
      <c r="E292" s="445">
        <v>53365130773.139107</v>
      </c>
      <c r="F292" s="447">
        <v>1.0003307123927356</v>
      </c>
      <c r="G292" s="446"/>
      <c r="H292" s="445">
        <v>0</v>
      </c>
      <c r="I292" s="445">
        <v>51432490543.659012</v>
      </c>
      <c r="J292" s="447">
        <v>1.0003156340365349</v>
      </c>
      <c r="K292" s="446"/>
      <c r="L292" s="445">
        <v>0</v>
      </c>
      <c r="M292" s="445">
        <v>32107109435.481716</v>
      </c>
      <c r="N292" s="447">
        <v>1.000316707469983</v>
      </c>
      <c r="O292" s="446"/>
      <c r="P292" s="445">
        <v>0</v>
      </c>
      <c r="Q292" s="445">
        <v>27764582999.730705</v>
      </c>
      <c r="R292" s="447">
        <v>1.0003296537474027</v>
      </c>
      <c r="S292" s="446"/>
      <c r="T292" s="445">
        <v>0</v>
      </c>
      <c r="U292" s="445">
        <v>27189158104.923698</v>
      </c>
      <c r="V292" s="447">
        <v>1.0003195248912469</v>
      </c>
      <c r="W292" s="446"/>
      <c r="X292" s="445">
        <v>0</v>
      </c>
      <c r="Y292" s="445">
        <v>21794132178.753159</v>
      </c>
      <c r="Z292" s="447">
        <v>1.0003249130610208</v>
      </c>
      <c r="AA292" s="446"/>
    </row>
    <row r="293" spans="2:27" s="443" customFormat="1" ht="12.75" customHeight="1">
      <c r="B293" s="444">
        <v>45780</v>
      </c>
      <c r="C293" s="446"/>
      <c r="D293" s="445">
        <v>0</v>
      </c>
      <c r="E293" s="445">
        <v>53382773448.574326</v>
      </c>
      <c r="F293" s="447">
        <v>1.0003306030582071</v>
      </c>
      <c r="G293" s="446"/>
      <c r="H293" s="445">
        <v>0</v>
      </c>
      <c r="I293" s="445">
        <v>51448719265.921234</v>
      </c>
      <c r="J293" s="447">
        <v>1.0003155344431249</v>
      </c>
      <c r="K293" s="446"/>
      <c r="L293" s="445">
        <v>0</v>
      </c>
      <c r="M293" s="445">
        <v>32117274777.439774</v>
      </c>
      <c r="N293" s="447">
        <v>1.0003166071981187</v>
      </c>
      <c r="O293" s="446"/>
      <c r="P293" s="445">
        <v>0</v>
      </c>
      <c r="Q293" s="445">
        <v>27773732682.334473</v>
      </c>
      <c r="R293" s="447">
        <v>1.0003295451116214</v>
      </c>
      <c r="S293" s="446"/>
      <c r="T293" s="445">
        <v>0</v>
      </c>
      <c r="U293" s="445">
        <v>27197842942.688419</v>
      </c>
      <c r="V293" s="447">
        <v>1.0003194228277024</v>
      </c>
      <c r="W293" s="446"/>
      <c r="X293" s="445">
        <v>0</v>
      </c>
      <c r="Y293" s="445">
        <v>21801211076.925171</v>
      </c>
      <c r="Z293" s="447">
        <v>1.0003248075268127</v>
      </c>
      <c r="AA293" s="446"/>
    </row>
    <row r="294" spans="2:27" s="443" customFormat="1" ht="12.75" customHeight="1">
      <c r="B294" s="444">
        <v>45781</v>
      </c>
      <c r="C294" s="446"/>
      <c r="D294" s="445">
        <v>0</v>
      </c>
      <c r="E294" s="445">
        <v>53401800219.875267</v>
      </c>
      <c r="F294" s="447">
        <v>1.000356421558338</v>
      </c>
      <c r="G294" s="446"/>
      <c r="H294" s="445">
        <v>0</v>
      </c>
      <c r="I294" s="445">
        <v>51467284158.299667</v>
      </c>
      <c r="J294" s="447">
        <v>1.0003608426534871</v>
      </c>
      <c r="K294" s="446"/>
      <c r="L294" s="445">
        <v>0</v>
      </c>
      <c r="M294" s="445">
        <v>32128955820.905327</v>
      </c>
      <c r="N294" s="447">
        <v>1.0003636997082255</v>
      </c>
      <c r="O294" s="446"/>
      <c r="P294" s="445">
        <v>0</v>
      </c>
      <c r="Q294" s="445">
        <v>27284044604.610157</v>
      </c>
      <c r="R294" s="447">
        <v>0.9823686616658559</v>
      </c>
      <c r="S294" s="446"/>
      <c r="T294" s="445">
        <v>0</v>
      </c>
      <c r="U294" s="445">
        <v>27208433426.941093</v>
      </c>
      <c r="V294" s="447">
        <v>1.000389386918477</v>
      </c>
      <c r="W294" s="446"/>
      <c r="X294" s="445">
        <v>0</v>
      </c>
      <c r="Y294" s="445">
        <v>21809507680.827812</v>
      </c>
      <c r="Z294" s="447">
        <v>1.0003805570192117</v>
      </c>
      <c r="AA294" s="446"/>
    </row>
    <row r="295" spans="2:27" s="443" customFormat="1" ht="12.75" customHeight="1">
      <c r="B295" s="444">
        <v>45782</v>
      </c>
      <c r="C295" s="446"/>
      <c r="D295" s="445">
        <v>0</v>
      </c>
      <c r="E295" s="445">
        <v>53140245022.232979</v>
      </c>
      <c r="F295" s="447">
        <v>0.99510212770795425</v>
      </c>
      <c r="G295" s="446"/>
      <c r="H295" s="445">
        <v>0</v>
      </c>
      <c r="I295" s="445">
        <v>51181081216.304245</v>
      </c>
      <c r="J295" s="447">
        <v>0.99443912872660745</v>
      </c>
      <c r="K295" s="446"/>
      <c r="L295" s="445">
        <v>0</v>
      </c>
      <c r="M295" s="445">
        <v>31944343487.070934</v>
      </c>
      <c r="N295" s="447">
        <v>0.9942540201162009</v>
      </c>
      <c r="O295" s="446"/>
      <c r="P295" s="445">
        <v>0</v>
      </c>
      <c r="Q295" s="445">
        <v>27629729112.51981</v>
      </c>
      <c r="R295" s="447">
        <v>1.0126698410341715</v>
      </c>
      <c r="S295" s="446"/>
      <c r="T295" s="445">
        <v>0</v>
      </c>
      <c r="U295" s="445">
        <v>27090866173.43856</v>
      </c>
      <c r="V295" s="447">
        <v>0.99567901423585381</v>
      </c>
      <c r="W295" s="446"/>
      <c r="X295" s="445">
        <v>0</v>
      </c>
      <c r="Y295" s="445">
        <v>21722987650.810883</v>
      </c>
      <c r="Z295" s="447">
        <v>0.99603292145411482</v>
      </c>
      <c r="AA295" s="446"/>
    </row>
    <row r="296" spans="2:27" s="443" customFormat="1" ht="12.75" customHeight="1">
      <c r="B296" s="444">
        <v>45783</v>
      </c>
      <c r="C296" s="446"/>
      <c r="D296" s="445">
        <v>0</v>
      </c>
      <c r="E296" s="445">
        <v>53157897509.116531</v>
      </c>
      <c r="F296" s="447">
        <v>1.0003321867800228</v>
      </c>
      <c r="G296" s="446"/>
      <c r="H296" s="445">
        <v>0</v>
      </c>
      <c r="I296" s="445">
        <v>51197341736.039803</v>
      </c>
      <c r="J296" s="447">
        <v>1.0003177056707113</v>
      </c>
      <c r="K296" s="446"/>
      <c r="L296" s="445">
        <v>0</v>
      </c>
      <c r="M296" s="445">
        <v>31954508829.028988</v>
      </c>
      <c r="N296" s="447">
        <v>1.0003182204061314</v>
      </c>
      <c r="O296" s="446"/>
      <c r="P296" s="445">
        <v>0</v>
      </c>
      <c r="Q296" s="445">
        <v>27639148113.84103</v>
      </c>
      <c r="R296" s="447">
        <v>1.0003409009651474</v>
      </c>
      <c r="S296" s="446"/>
      <c r="T296" s="445">
        <v>0</v>
      </c>
      <c r="U296" s="445">
        <v>27099554943.721611</v>
      </c>
      <c r="V296" s="447">
        <v>1.0003207269279404</v>
      </c>
      <c r="W296" s="446"/>
      <c r="X296" s="445">
        <v>0</v>
      </c>
      <c r="Y296" s="445">
        <v>21730066548.982895</v>
      </c>
      <c r="Z296" s="447">
        <v>1.0003258712975307</v>
      </c>
      <c r="AA296" s="446"/>
    </row>
    <row r="297" spans="2:27" s="443" customFormat="1" ht="12.75" customHeight="1">
      <c r="B297" s="444">
        <v>45784</v>
      </c>
      <c r="C297" s="446"/>
      <c r="D297" s="445">
        <v>0</v>
      </c>
      <c r="E297" s="445">
        <v>53175549996.000069</v>
      </c>
      <c r="F297" s="447">
        <v>1.0003320764686097</v>
      </c>
      <c r="G297" s="446"/>
      <c r="H297" s="445">
        <v>0</v>
      </c>
      <c r="I297" s="445">
        <v>51213602255.77536</v>
      </c>
      <c r="J297" s="447">
        <v>1.0003176047658762</v>
      </c>
      <c r="K297" s="446"/>
      <c r="L297" s="445">
        <v>0</v>
      </c>
      <c r="M297" s="445">
        <v>31964674170.987041</v>
      </c>
      <c r="N297" s="447">
        <v>1.0003181191741186</v>
      </c>
      <c r="O297" s="446"/>
      <c r="P297" s="445">
        <v>0</v>
      </c>
      <c r="Q297" s="445">
        <v>27648331004.051155</v>
      </c>
      <c r="R297" s="447">
        <v>1.0003322421578371</v>
      </c>
      <c r="S297" s="446"/>
      <c r="T297" s="445">
        <v>0</v>
      </c>
      <c r="U297" s="445">
        <v>27108243714.004669</v>
      </c>
      <c r="V297" s="447">
        <v>1.0003206240951596</v>
      </c>
      <c r="W297" s="446"/>
      <c r="X297" s="445">
        <v>0</v>
      </c>
      <c r="Y297" s="445">
        <v>21737145447.154907</v>
      </c>
      <c r="Z297" s="447">
        <v>1.0003257651400217</v>
      </c>
      <c r="AA297" s="446"/>
    </row>
    <row r="298" spans="2:27" s="443" customFormat="1" ht="12.75" customHeight="1">
      <c r="B298" s="444">
        <v>45785</v>
      </c>
      <c r="C298" s="446"/>
      <c r="D298" s="445">
        <v>0</v>
      </c>
      <c r="E298" s="445">
        <v>53492235281.967361</v>
      </c>
      <c r="F298" s="447">
        <v>1.0059554679921714</v>
      </c>
      <c r="G298" s="446"/>
      <c r="H298" s="445">
        <v>0</v>
      </c>
      <c r="I298" s="445">
        <v>51544404653.962944</v>
      </c>
      <c r="J298" s="447">
        <v>1.0064592683118727</v>
      </c>
      <c r="K298" s="446"/>
      <c r="L298" s="445">
        <v>0</v>
      </c>
      <c r="M298" s="445">
        <v>32179860732.926617</v>
      </c>
      <c r="N298" s="447">
        <v>1.0067320117448559</v>
      </c>
      <c r="O298" s="446"/>
      <c r="P298" s="445">
        <v>0</v>
      </c>
      <c r="Q298" s="445">
        <v>27832901931.800171</v>
      </c>
      <c r="R298" s="447">
        <v>1.0066756625462119</v>
      </c>
      <c r="S298" s="446"/>
      <c r="T298" s="445">
        <v>0</v>
      </c>
      <c r="U298" s="445">
        <v>27250164616.942322</v>
      </c>
      <c r="V298" s="447">
        <v>1.0052353411174451</v>
      </c>
      <c r="W298" s="446"/>
      <c r="X298" s="445">
        <v>0</v>
      </c>
      <c r="Y298" s="445">
        <v>21843203064.66917</v>
      </c>
      <c r="Z298" s="447">
        <v>1.0048790959131271</v>
      </c>
      <c r="AA298" s="446"/>
    </row>
    <row r="299" spans="2:27" s="443" customFormat="1" ht="12.75" customHeight="1">
      <c r="B299" s="444">
        <v>45786</v>
      </c>
      <c r="C299" s="446"/>
      <c r="D299" s="445">
        <v>0</v>
      </c>
      <c r="E299" s="445">
        <v>53509890842.170914</v>
      </c>
      <c r="F299" s="447">
        <v>1.0003300583740891</v>
      </c>
      <c r="G299" s="446"/>
      <c r="H299" s="445">
        <v>0</v>
      </c>
      <c r="I299" s="445">
        <v>51560706609.143494</v>
      </c>
      <c r="J299" s="447">
        <v>1.0003162701226251</v>
      </c>
      <c r="K299" s="446"/>
      <c r="L299" s="445">
        <v>0</v>
      </c>
      <c r="M299" s="445">
        <v>32190038588.057167</v>
      </c>
      <c r="N299" s="447">
        <v>1.0003162802727774</v>
      </c>
      <c r="O299" s="446"/>
      <c r="P299" s="445">
        <v>0</v>
      </c>
      <c r="Q299" s="445">
        <v>27841510929.437508</v>
      </c>
      <c r="R299" s="447">
        <v>1.0003093100984739</v>
      </c>
      <c r="S299" s="446"/>
      <c r="T299" s="445">
        <v>0</v>
      </c>
      <c r="U299" s="445">
        <v>27258894092.142876</v>
      </c>
      <c r="V299" s="447">
        <v>1.0003203457785765</v>
      </c>
      <c r="W299" s="446"/>
      <c r="X299" s="445">
        <v>0</v>
      </c>
      <c r="Y299" s="445">
        <v>21850281962.841179</v>
      </c>
      <c r="Z299" s="447">
        <v>1.0003240778447671</v>
      </c>
      <c r="AA299" s="446"/>
    </row>
    <row r="300" spans="2:27" s="443" customFormat="1" ht="12.75" customHeight="1">
      <c r="B300" s="444">
        <v>45787</v>
      </c>
      <c r="C300" s="446"/>
      <c r="D300" s="445">
        <v>0</v>
      </c>
      <c r="E300" s="445">
        <v>53527546402.374466</v>
      </c>
      <c r="F300" s="447">
        <v>1.000329949471503</v>
      </c>
      <c r="G300" s="446"/>
      <c r="H300" s="445">
        <v>0</v>
      </c>
      <c r="I300" s="445">
        <v>51577008564.324043</v>
      </c>
      <c r="J300" s="447">
        <v>1.0003161701274601</v>
      </c>
      <c r="K300" s="446"/>
      <c r="L300" s="445">
        <v>0</v>
      </c>
      <c r="M300" s="445">
        <v>32200216443.187729</v>
      </c>
      <c r="N300" s="447">
        <v>1.0003161802711953</v>
      </c>
      <c r="O300" s="446"/>
      <c r="P300" s="445">
        <v>0</v>
      </c>
      <c r="Q300" s="445">
        <v>27850710727.074852</v>
      </c>
      <c r="R300" s="447">
        <v>1.0003304345680326</v>
      </c>
      <c r="S300" s="446"/>
      <c r="T300" s="445">
        <v>0</v>
      </c>
      <c r="U300" s="445">
        <v>27270074479.375927</v>
      </c>
      <c r="V300" s="447">
        <v>1.0004101555696008</v>
      </c>
      <c r="W300" s="446"/>
      <c r="X300" s="445">
        <v>0</v>
      </c>
      <c r="Y300" s="445">
        <v>21857360861.013191</v>
      </c>
      <c r="Z300" s="447">
        <v>1.0003239728523436</v>
      </c>
      <c r="AA300" s="446"/>
    </row>
    <row r="301" spans="2:27" s="443" customFormat="1" ht="12.75" customHeight="1">
      <c r="B301" s="444">
        <v>45788</v>
      </c>
      <c r="C301" s="446"/>
      <c r="D301" s="445">
        <v>0</v>
      </c>
      <c r="E301" s="445">
        <v>53192444740.475708</v>
      </c>
      <c r="F301" s="447">
        <v>0.99373964090601596</v>
      </c>
      <c r="G301" s="446"/>
      <c r="H301" s="445">
        <v>0</v>
      </c>
      <c r="I301" s="445">
        <v>51242999363.46051</v>
      </c>
      <c r="J301" s="447">
        <v>0.99352406798763881</v>
      </c>
      <c r="K301" s="446"/>
      <c r="L301" s="445">
        <v>0</v>
      </c>
      <c r="M301" s="445">
        <v>31991368975.027744</v>
      </c>
      <c r="N301" s="447">
        <v>0.99351409738103891</v>
      </c>
      <c r="O301" s="446"/>
      <c r="P301" s="445">
        <v>0</v>
      </c>
      <c r="Q301" s="445">
        <v>27673083864.826183</v>
      </c>
      <c r="R301" s="447">
        <v>0.99362217847905798</v>
      </c>
      <c r="S301" s="446"/>
      <c r="T301" s="445">
        <v>0</v>
      </c>
      <c r="U301" s="445">
        <v>27104555908.43417</v>
      </c>
      <c r="V301" s="447">
        <v>0.99393039534721705</v>
      </c>
      <c r="W301" s="446"/>
      <c r="X301" s="445">
        <v>0</v>
      </c>
      <c r="Y301" s="445">
        <v>21850644716.708744</v>
      </c>
      <c r="Z301" s="447">
        <v>0.99969272848871582</v>
      </c>
      <c r="AA301" s="446"/>
    </row>
    <row r="302" spans="2:27" s="443" customFormat="1" ht="12.75" customHeight="1">
      <c r="B302" s="444">
        <v>45789</v>
      </c>
      <c r="C302" s="446"/>
      <c r="D302" s="445">
        <v>0</v>
      </c>
      <c r="E302" s="445">
        <v>53678549285.659706</v>
      </c>
      <c r="F302" s="447">
        <v>1.0091386013099357</v>
      </c>
      <c r="G302" s="446"/>
      <c r="H302" s="445">
        <v>0</v>
      </c>
      <c r="I302" s="445">
        <v>51723417348.640533</v>
      </c>
      <c r="J302" s="447">
        <v>1.0093752901108008</v>
      </c>
      <c r="K302" s="446"/>
      <c r="L302" s="445">
        <v>0</v>
      </c>
      <c r="M302" s="445">
        <v>32295399013.269348</v>
      </c>
      <c r="N302" s="447">
        <v>1.0095035019751399</v>
      </c>
      <c r="O302" s="446"/>
      <c r="P302" s="445">
        <v>0</v>
      </c>
      <c r="Q302" s="445">
        <v>27933567452.427311</v>
      </c>
      <c r="R302" s="447">
        <v>1.0094128861414038</v>
      </c>
      <c r="S302" s="446"/>
      <c r="T302" s="445">
        <v>0</v>
      </c>
      <c r="U302" s="445">
        <v>27342243074.902885</v>
      </c>
      <c r="V302" s="447">
        <v>1.0087692699069368</v>
      </c>
      <c r="W302" s="446"/>
      <c r="X302" s="445">
        <v>0</v>
      </c>
      <c r="Y302" s="445">
        <v>21916028052.300732</v>
      </c>
      <c r="Z302" s="447">
        <v>1.0029922840465202</v>
      </c>
      <c r="AA302" s="446"/>
    </row>
    <row r="303" spans="2:27" s="443" customFormat="1" ht="12.75" customHeight="1">
      <c r="B303" s="444">
        <v>45790</v>
      </c>
      <c r="C303" s="446"/>
      <c r="D303" s="445">
        <v>0</v>
      </c>
      <c r="E303" s="445">
        <v>53492029082.485558</v>
      </c>
      <c r="F303" s="447">
        <v>0.99652523762925205</v>
      </c>
      <c r="G303" s="446"/>
      <c r="H303" s="445">
        <v>0</v>
      </c>
      <c r="I303" s="445">
        <v>51524686404.240387</v>
      </c>
      <c r="J303" s="447">
        <v>0.99615781488178545</v>
      </c>
      <c r="K303" s="446"/>
      <c r="L303" s="445">
        <v>0</v>
      </c>
      <c r="M303" s="445">
        <v>32168974532.57547</v>
      </c>
      <c r="N303" s="447">
        <v>0.99608537176946066</v>
      </c>
      <c r="O303" s="446"/>
      <c r="P303" s="445">
        <v>0</v>
      </c>
      <c r="Q303" s="445">
        <v>27838006233.317352</v>
      </c>
      <c r="R303" s="447">
        <v>0.99657898264256062</v>
      </c>
      <c r="S303" s="446"/>
      <c r="T303" s="445">
        <v>0</v>
      </c>
      <c r="U303" s="445">
        <v>27260303471.464302</v>
      </c>
      <c r="V303" s="447">
        <v>0.9970031864900728</v>
      </c>
      <c r="W303" s="446"/>
      <c r="X303" s="445">
        <v>0</v>
      </c>
      <c r="Y303" s="445">
        <v>21848759353.626205</v>
      </c>
      <c r="Z303" s="447">
        <v>0.99693061632728364</v>
      </c>
      <c r="AA303" s="446"/>
    </row>
    <row r="304" spans="2:27" s="443" customFormat="1" ht="12.75" customHeight="1">
      <c r="B304" s="444">
        <v>45791</v>
      </c>
      <c r="C304" s="446"/>
      <c r="D304" s="445">
        <v>0</v>
      </c>
      <c r="E304" s="445">
        <v>51154060922.89843</v>
      </c>
      <c r="F304" s="447">
        <v>0.95629314872348659</v>
      </c>
      <c r="G304" s="446"/>
      <c r="H304" s="445">
        <v>0</v>
      </c>
      <c r="I304" s="445">
        <v>51542671369.1259</v>
      </c>
      <c r="J304" s="447">
        <v>1.0003490553002958</v>
      </c>
      <c r="K304" s="446"/>
      <c r="L304" s="445">
        <v>0</v>
      </c>
      <c r="M304" s="445">
        <v>30001693206.709717</v>
      </c>
      <c r="N304" s="447">
        <v>0.93262821220268977</v>
      </c>
      <c r="O304" s="446"/>
      <c r="P304" s="445">
        <v>0</v>
      </c>
      <c r="Q304" s="445">
        <v>27850311894.971695</v>
      </c>
      <c r="R304" s="447">
        <v>1.0004420453660081</v>
      </c>
      <c r="S304" s="446"/>
      <c r="T304" s="445">
        <v>0</v>
      </c>
      <c r="U304" s="445">
        <v>21437325838.463448</v>
      </c>
      <c r="V304" s="447">
        <v>0.7863935139571625</v>
      </c>
      <c r="W304" s="446"/>
      <c r="X304" s="445">
        <v>0</v>
      </c>
      <c r="Y304" s="445">
        <v>21856862376.31773</v>
      </c>
      <c r="Z304" s="447">
        <v>1.0003708687784225</v>
      </c>
      <c r="AA304" s="446"/>
    </row>
    <row r="305" spans="2:27" s="443" customFormat="1" ht="12.75" customHeight="1">
      <c r="B305" s="444">
        <v>45792</v>
      </c>
      <c r="C305" s="446"/>
      <c r="D305" s="445">
        <v>0</v>
      </c>
      <c r="E305" s="445">
        <v>53499691707.648178</v>
      </c>
      <c r="F305" s="447">
        <v>1.0458542438748937</v>
      </c>
      <c r="G305" s="446"/>
      <c r="H305" s="445">
        <v>0</v>
      </c>
      <c r="I305" s="445">
        <v>51516241842.337952</v>
      </c>
      <c r="J305" s="447">
        <v>0.99948723017092633</v>
      </c>
      <c r="K305" s="446"/>
      <c r="L305" s="445">
        <v>0</v>
      </c>
      <c r="M305" s="445">
        <v>32162388872.532742</v>
      </c>
      <c r="N305" s="447">
        <v>1.0720191240852965</v>
      </c>
      <c r="O305" s="446"/>
      <c r="P305" s="445">
        <v>0</v>
      </c>
      <c r="Q305" s="445">
        <v>27836813418.871429</v>
      </c>
      <c r="R305" s="447">
        <v>0.99951532046925828</v>
      </c>
      <c r="S305" s="446"/>
      <c r="T305" s="445">
        <v>0</v>
      </c>
      <c r="U305" s="445">
        <v>27264353923.509258</v>
      </c>
      <c r="V305" s="447">
        <v>1.2718169294507244</v>
      </c>
      <c r="W305" s="446"/>
      <c r="X305" s="445">
        <v>0</v>
      </c>
      <c r="Y305" s="445">
        <v>21861408818.668064</v>
      </c>
      <c r="Z305" s="447">
        <v>1.0002080098356323</v>
      </c>
      <c r="AA305" s="446"/>
    </row>
    <row r="306" spans="2:27" s="443" customFormat="1" ht="12.75" customHeight="1">
      <c r="B306" s="444">
        <v>45793</v>
      </c>
      <c r="C306" s="446"/>
      <c r="D306" s="445">
        <v>0</v>
      </c>
      <c r="E306" s="445">
        <v>53517521410.901344</v>
      </c>
      <c r="F306" s="447">
        <v>1.0003332674018124</v>
      </c>
      <c r="G306" s="446"/>
      <c r="H306" s="445">
        <v>0</v>
      </c>
      <c r="I306" s="445">
        <v>51532686775.790649</v>
      </c>
      <c r="J306" s="447">
        <v>1.0003192184224738</v>
      </c>
      <c r="K306" s="446"/>
      <c r="L306" s="445">
        <v>0</v>
      </c>
      <c r="M306" s="445">
        <v>32172646145.54044</v>
      </c>
      <c r="N306" s="447">
        <v>1.0003189213664554</v>
      </c>
      <c r="O306" s="446"/>
      <c r="P306" s="445">
        <v>0</v>
      </c>
      <c r="Q306" s="445">
        <v>27846292355.900681</v>
      </c>
      <c r="R306" s="447">
        <v>1.0003405180358333</v>
      </c>
      <c r="S306" s="446"/>
      <c r="T306" s="445">
        <v>0</v>
      </c>
      <c r="U306" s="445">
        <v>27273166316.503986</v>
      </c>
      <c r="V306" s="447">
        <v>1.0003232203124803</v>
      </c>
      <c r="W306" s="446"/>
      <c r="X306" s="445">
        <v>0</v>
      </c>
      <c r="Y306" s="445">
        <v>21868499398.974686</v>
      </c>
      <c r="Z306" s="447">
        <v>1.0003243423315229</v>
      </c>
      <c r="AA306" s="446"/>
    </row>
    <row r="307" spans="2:27" s="443" customFormat="1" ht="12.75" customHeight="1">
      <c r="B307" s="444">
        <v>45794</v>
      </c>
      <c r="C307" s="446"/>
      <c r="D307" s="445">
        <v>0</v>
      </c>
      <c r="E307" s="445">
        <v>53535351114.154526</v>
      </c>
      <c r="F307" s="447">
        <v>1.0003331563716542</v>
      </c>
      <c r="G307" s="446"/>
      <c r="H307" s="445">
        <v>0</v>
      </c>
      <c r="I307" s="445">
        <v>51510756709.243355</v>
      </c>
      <c r="J307" s="447">
        <v>0.99957444356350544</v>
      </c>
      <c r="K307" s="446"/>
      <c r="L307" s="445">
        <v>0</v>
      </c>
      <c r="M307" s="445">
        <v>32182903418.548134</v>
      </c>
      <c r="N307" s="447">
        <v>1.0003188196880448</v>
      </c>
      <c r="O307" s="446"/>
      <c r="P307" s="445">
        <v>0</v>
      </c>
      <c r="Q307" s="445">
        <v>27855559262.547077</v>
      </c>
      <c r="R307" s="447">
        <v>1.00033278780988</v>
      </c>
      <c r="S307" s="446"/>
      <c r="T307" s="445">
        <v>0</v>
      </c>
      <c r="U307" s="445">
        <v>27281978709.498711</v>
      </c>
      <c r="V307" s="447">
        <v>1.000323115874866</v>
      </c>
      <c r="W307" s="446"/>
      <c r="X307" s="445">
        <v>0</v>
      </c>
      <c r="Y307" s="445">
        <v>21875589979.281315</v>
      </c>
      <c r="Z307" s="447">
        <v>1.0003242371676844</v>
      </c>
      <c r="AA307" s="446"/>
    </row>
    <row r="308" spans="2:27" s="443" customFormat="1" ht="12.75" customHeight="1">
      <c r="B308" s="444">
        <v>45795</v>
      </c>
      <c r="C308" s="446"/>
      <c r="D308" s="445">
        <v>0</v>
      </c>
      <c r="E308" s="445">
        <v>53660423729.743919</v>
      </c>
      <c r="F308" s="447">
        <v>1.0023362621704432</v>
      </c>
      <c r="G308" s="446"/>
      <c r="H308" s="445">
        <v>0</v>
      </c>
      <c r="I308" s="445">
        <v>51688340144.754631</v>
      </c>
      <c r="J308" s="447">
        <v>1.0034475019754352</v>
      </c>
      <c r="K308" s="446"/>
      <c r="L308" s="445">
        <v>0</v>
      </c>
      <c r="M308" s="445">
        <v>32271210451.325207</v>
      </c>
      <c r="N308" s="447">
        <v>1.0027439113130538</v>
      </c>
      <c r="O308" s="446"/>
      <c r="P308" s="445">
        <v>0</v>
      </c>
      <c r="Q308" s="445">
        <v>27916627311.926685</v>
      </c>
      <c r="R308" s="447">
        <v>1.0021923110142583</v>
      </c>
      <c r="S308" s="446"/>
      <c r="T308" s="445">
        <v>0</v>
      </c>
      <c r="U308" s="445">
        <v>27340605907.490761</v>
      </c>
      <c r="V308" s="447">
        <v>1.0021489349660564</v>
      </c>
      <c r="W308" s="446"/>
      <c r="X308" s="445">
        <v>0</v>
      </c>
      <c r="Y308" s="445">
        <v>21915832928.010372</v>
      </c>
      <c r="Z308" s="447">
        <v>1.0018396280405315</v>
      </c>
      <c r="AA308" s="446"/>
    </row>
    <row r="309" spans="2:27" s="443" customFormat="1" ht="12.75" customHeight="1">
      <c r="B309" s="444">
        <v>45796</v>
      </c>
      <c r="C309" s="446"/>
      <c r="D309" s="445">
        <v>0</v>
      </c>
      <c r="E309" s="445">
        <v>53682352779.779396</v>
      </c>
      <c r="F309" s="447">
        <v>1.0004086633781708</v>
      </c>
      <c r="G309" s="446"/>
      <c r="H309" s="445">
        <v>0</v>
      </c>
      <c r="I309" s="445">
        <v>52535625804.000252</v>
      </c>
      <c r="J309" s="447">
        <v>1.0163922009658808</v>
      </c>
      <c r="K309" s="446"/>
      <c r="L309" s="445">
        <v>0</v>
      </c>
      <c r="M309" s="445">
        <v>32289864554.174561</v>
      </c>
      <c r="N309" s="447">
        <v>1.000578041622501</v>
      </c>
      <c r="O309" s="446"/>
      <c r="P309" s="445">
        <v>0</v>
      </c>
      <c r="Q309" s="445">
        <v>28315374853.527023</v>
      </c>
      <c r="R309" s="447">
        <v>1.0142835141632593</v>
      </c>
      <c r="S309" s="446"/>
      <c r="T309" s="445">
        <v>0</v>
      </c>
      <c r="U309" s="445">
        <v>27353348576.231979</v>
      </c>
      <c r="V309" s="447">
        <v>1.0004660711903874</v>
      </c>
      <c r="W309" s="446"/>
      <c r="X309" s="445">
        <v>0</v>
      </c>
      <c r="Y309" s="445">
        <v>21920676221.223621</v>
      </c>
      <c r="Z309" s="447">
        <v>1.0002209951695269</v>
      </c>
      <c r="AA309" s="446"/>
    </row>
    <row r="310" spans="2:27" s="443" customFormat="1" ht="12.75" customHeight="1">
      <c r="B310" s="444">
        <v>45797</v>
      </c>
      <c r="C310" s="446"/>
      <c r="D310" s="445">
        <v>0</v>
      </c>
      <c r="E310" s="445">
        <v>53460243518.21109</v>
      </c>
      <c r="F310" s="447">
        <v>0.99586252744026582</v>
      </c>
      <c r="G310" s="446"/>
      <c r="H310" s="445">
        <v>0</v>
      </c>
      <c r="I310" s="445">
        <v>51490638162.820763</v>
      </c>
      <c r="J310" s="447">
        <v>0.98010897128972774</v>
      </c>
      <c r="K310" s="446"/>
      <c r="L310" s="445">
        <v>0</v>
      </c>
      <c r="M310" s="445">
        <v>32134367814.834137</v>
      </c>
      <c r="N310" s="447">
        <v>0.99518434835551761</v>
      </c>
      <c r="O310" s="446"/>
      <c r="P310" s="445">
        <v>0</v>
      </c>
      <c r="Q310" s="445">
        <v>27791971028.877834</v>
      </c>
      <c r="R310" s="447">
        <v>0.98151520764401989</v>
      </c>
      <c r="S310" s="446"/>
      <c r="T310" s="445">
        <v>0</v>
      </c>
      <c r="U310" s="445">
        <v>27256592072.724049</v>
      </c>
      <c r="V310" s="447">
        <v>0.99646271814808063</v>
      </c>
      <c r="W310" s="446"/>
      <c r="X310" s="445">
        <v>0</v>
      </c>
      <c r="Y310" s="445">
        <v>21853404252.239716</v>
      </c>
      <c r="Z310" s="447">
        <v>0.99693111798627942</v>
      </c>
      <c r="AA310" s="446"/>
    </row>
    <row r="311" spans="2:27" s="443" customFormat="1" ht="12.75" customHeight="1">
      <c r="B311" s="444">
        <v>45798</v>
      </c>
      <c r="C311" s="446"/>
      <c r="D311" s="445">
        <v>0</v>
      </c>
      <c r="E311" s="445">
        <v>53454996983.217072</v>
      </c>
      <c r="F311" s="447">
        <v>0.99990186099709344</v>
      </c>
      <c r="G311" s="446"/>
      <c r="H311" s="445">
        <v>0</v>
      </c>
      <c r="I311" s="445">
        <v>51483197413.267006</v>
      </c>
      <c r="J311" s="447">
        <v>0.99985549315721767</v>
      </c>
      <c r="K311" s="446"/>
      <c r="L311" s="445">
        <v>0</v>
      </c>
      <c r="M311" s="445">
        <v>32129959489.089188</v>
      </c>
      <c r="N311" s="447">
        <v>0.99986281585589765</v>
      </c>
      <c r="O311" s="446"/>
      <c r="P311" s="445">
        <v>0</v>
      </c>
      <c r="Q311" s="445">
        <v>27798294888.320442</v>
      </c>
      <c r="R311" s="447">
        <v>1.0002275426754021</v>
      </c>
      <c r="S311" s="446"/>
      <c r="T311" s="445">
        <v>0</v>
      </c>
      <c r="U311" s="445">
        <v>27223382455.822678</v>
      </c>
      <c r="V311" s="447">
        <v>0.99878159320824977</v>
      </c>
      <c r="W311" s="446"/>
      <c r="X311" s="445">
        <v>0</v>
      </c>
      <c r="Y311" s="445">
        <v>21851914337.572311</v>
      </c>
      <c r="Z311" s="447">
        <v>0.99993182230785616</v>
      </c>
      <c r="AA311" s="446"/>
    </row>
    <row r="312" spans="2:27" s="443" customFormat="1" ht="12.75" customHeight="1">
      <c r="B312" s="444">
        <v>45799</v>
      </c>
      <c r="C312" s="446"/>
      <c r="D312" s="445">
        <v>0</v>
      </c>
      <c r="E312" s="445">
        <v>51460121271.798752</v>
      </c>
      <c r="F312" s="447">
        <v>0.96268121178559529</v>
      </c>
      <c r="G312" s="446"/>
      <c r="H312" s="445">
        <v>0</v>
      </c>
      <c r="I312" s="445">
        <v>51487076619.506165</v>
      </c>
      <c r="J312" s="447">
        <v>1.0000753489766383</v>
      </c>
      <c r="K312" s="446"/>
      <c r="L312" s="445">
        <v>0</v>
      </c>
      <c r="M312" s="445">
        <v>32133768055.966286</v>
      </c>
      <c r="N312" s="447">
        <v>1.000118536311208</v>
      </c>
      <c r="O312" s="446"/>
      <c r="P312" s="445">
        <v>0</v>
      </c>
      <c r="Q312" s="445">
        <v>27297170422.136639</v>
      </c>
      <c r="R312" s="447">
        <v>0.98197283436998317</v>
      </c>
      <c r="S312" s="446"/>
      <c r="T312" s="445">
        <v>0</v>
      </c>
      <c r="U312" s="445">
        <v>21439260267.022301</v>
      </c>
      <c r="V312" s="447">
        <v>0.78753109764421503</v>
      </c>
      <c r="W312" s="446"/>
      <c r="X312" s="445">
        <v>0</v>
      </c>
      <c r="Y312" s="445">
        <v>21855175514.389126</v>
      </c>
      <c r="Z312" s="447">
        <v>1.000149239868253</v>
      </c>
      <c r="AA312" s="446"/>
    </row>
    <row r="313" spans="2:27" s="443" customFormat="1" ht="12.75" customHeight="1">
      <c r="B313" s="444">
        <v>45800</v>
      </c>
      <c r="C313" s="446"/>
      <c r="D313" s="445">
        <v>0</v>
      </c>
      <c r="E313" s="445">
        <v>53481608122.123383</v>
      </c>
      <c r="F313" s="447">
        <v>1.0392825900982174</v>
      </c>
      <c r="G313" s="446"/>
      <c r="H313" s="445">
        <v>0</v>
      </c>
      <c r="I313" s="445">
        <v>51503389817.437744</v>
      </c>
      <c r="J313" s="447">
        <v>1.0003168406326919</v>
      </c>
      <c r="K313" s="446"/>
      <c r="L313" s="445">
        <v>0</v>
      </c>
      <c r="M313" s="445">
        <v>32144025010.351124</v>
      </c>
      <c r="N313" s="447">
        <v>1.0003191955069499</v>
      </c>
      <c r="O313" s="446"/>
      <c r="P313" s="445">
        <v>0</v>
      </c>
      <c r="Q313" s="445">
        <v>27812525372.043034</v>
      </c>
      <c r="R313" s="447">
        <v>1.0188794274987736</v>
      </c>
      <c r="S313" s="446"/>
      <c r="T313" s="445">
        <v>0</v>
      </c>
      <c r="U313" s="445">
        <v>27269043261.99464</v>
      </c>
      <c r="V313" s="447">
        <v>1.2719209022309257</v>
      </c>
      <c r="W313" s="446"/>
      <c r="X313" s="445">
        <v>0</v>
      </c>
      <c r="Y313" s="445">
        <v>21862284553.17004</v>
      </c>
      <c r="Z313" s="447">
        <v>1.0003252794184259</v>
      </c>
      <c r="AA313" s="446"/>
    </row>
    <row r="314" spans="2:27" s="443" customFormat="1" ht="12.75" customHeight="1">
      <c r="B314" s="444">
        <v>45801</v>
      </c>
      <c r="C314" s="446"/>
      <c r="D314" s="445">
        <v>0</v>
      </c>
      <c r="E314" s="445">
        <v>53499459173.07798</v>
      </c>
      <c r="F314" s="447">
        <v>1.0003337792482574</v>
      </c>
      <c r="G314" s="446"/>
      <c r="H314" s="445">
        <v>0</v>
      </c>
      <c r="I314" s="445">
        <v>51519703015.369331</v>
      </c>
      <c r="J314" s="447">
        <v>1.0003167402765025</v>
      </c>
      <c r="K314" s="446"/>
      <c r="L314" s="445">
        <v>0</v>
      </c>
      <c r="M314" s="445">
        <v>32154281964.73597</v>
      </c>
      <c r="N314" s="447">
        <v>1.0003190936536897</v>
      </c>
      <c r="O314" s="446"/>
      <c r="P314" s="445">
        <v>0</v>
      </c>
      <c r="Q314" s="445">
        <v>27821749526.449406</v>
      </c>
      <c r="R314" s="447">
        <v>1.0003316546873389</v>
      </c>
      <c r="S314" s="446"/>
      <c r="T314" s="445">
        <v>0</v>
      </c>
      <c r="U314" s="445">
        <v>27277863472.592693</v>
      </c>
      <c r="V314" s="447">
        <v>1.0003234514138728</v>
      </c>
      <c r="W314" s="446"/>
      <c r="X314" s="445">
        <v>0</v>
      </c>
      <c r="Y314" s="445">
        <v>21869393591.950954</v>
      </c>
      <c r="Z314" s="447">
        <v>1.0003251736461314</v>
      </c>
      <c r="AA314" s="446"/>
    </row>
    <row r="315" spans="2:27" s="443" customFormat="1" ht="12.75" customHeight="1">
      <c r="B315" s="444">
        <v>45802</v>
      </c>
      <c r="C315" s="446"/>
      <c r="D315" s="445">
        <v>0</v>
      </c>
      <c r="E315" s="445">
        <v>53634767387.063614</v>
      </c>
      <c r="F315" s="447">
        <v>1.0025291510620302</v>
      </c>
      <c r="G315" s="446"/>
      <c r="H315" s="445">
        <v>0</v>
      </c>
      <c r="I315" s="445">
        <v>51686849382.461403</v>
      </c>
      <c r="J315" s="447">
        <v>1.0032443193052221</v>
      </c>
      <c r="K315" s="446"/>
      <c r="L315" s="445">
        <v>0</v>
      </c>
      <c r="M315" s="445">
        <v>32249964288.798824</v>
      </c>
      <c r="N315" s="447">
        <v>1.0029757257266012</v>
      </c>
      <c r="O315" s="446"/>
      <c r="P315" s="445">
        <v>0</v>
      </c>
      <c r="Q315" s="445">
        <v>27898179515.482731</v>
      </c>
      <c r="R315" s="447">
        <v>1.0027471309437483</v>
      </c>
      <c r="S315" s="446"/>
      <c r="T315" s="445">
        <v>0</v>
      </c>
      <c r="U315" s="445">
        <v>27342074748.484509</v>
      </c>
      <c r="V315" s="447">
        <v>1.0023539701324604</v>
      </c>
      <c r="W315" s="446"/>
      <c r="X315" s="445">
        <v>0</v>
      </c>
      <c r="Y315" s="445">
        <v>21914619672.119865</v>
      </c>
      <c r="Z315" s="447">
        <v>1.0020680079664193</v>
      </c>
      <c r="AA315" s="446"/>
    </row>
    <row r="316" spans="2:27" s="443" customFormat="1" ht="12.75" customHeight="1">
      <c r="B316" s="444">
        <v>45803</v>
      </c>
      <c r="C316" s="446"/>
      <c r="D316" s="445">
        <v>0</v>
      </c>
      <c r="E316" s="445">
        <v>53630872642.251297</v>
      </c>
      <c r="F316" s="447">
        <v>0.99992738395257297</v>
      </c>
      <c r="G316" s="446"/>
      <c r="H316" s="445">
        <v>0</v>
      </c>
      <c r="I316" s="445">
        <v>51660194293.201324</v>
      </c>
      <c r="J316" s="447">
        <v>0.99948429649749315</v>
      </c>
      <c r="K316" s="446"/>
      <c r="L316" s="445">
        <v>0</v>
      </c>
      <c r="M316" s="445">
        <v>32237094480.483498</v>
      </c>
      <c r="N316" s="447">
        <v>0.99960093573437547</v>
      </c>
      <c r="O316" s="446"/>
      <c r="P316" s="445">
        <v>0</v>
      </c>
      <c r="Q316" s="445">
        <v>27892095422.554768</v>
      </c>
      <c r="R316" s="447">
        <v>0.99978191792318971</v>
      </c>
      <c r="S316" s="446"/>
      <c r="T316" s="445">
        <v>0</v>
      </c>
      <c r="U316" s="445">
        <v>22685757996.289581</v>
      </c>
      <c r="V316" s="447">
        <v>0.82970141091970306</v>
      </c>
      <c r="W316" s="446"/>
      <c r="X316" s="445">
        <v>0</v>
      </c>
      <c r="Y316" s="445">
        <v>21921330336.953182</v>
      </c>
      <c r="Z316" s="447">
        <v>1.0003062186309286</v>
      </c>
      <c r="AA316" s="446"/>
    </row>
    <row r="317" spans="2:27" s="443" customFormat="1" ht="12.75" customHeight="1">
      <c r="B317" s="444">
        <v>45804</v>
      </c>
      <c r="C317" s="446"/>
      <c r="D317" s="445">
        <v>0</v>
      </c>
      <c r="E317" s="445">
        <v>53648734905.85257</v>
      </c>
      <c r="F317" s="447">
        <v>1.0003330593503563</v>
      </c>
      <c r="G317" s="446"/>
      <c r="H317" s="445">
        <v>0</v>
      </c>
      <c r="I317" s="445">
        <v>51676313337.332436</v>
      </c>
      <c r="J317" s="447">
        <v>1.0003120205866751</v>
      </c>
      <c r="K317" s="446"/>
      <c r="L317" s="445">
        <v>0</v>
      </c>
      <c r="M317" s="445">
        <v>32247354012.106911</v>
      </c>
      <c r="N317" s="447">
        <v>1.0003182523669938</v>
      </c>
      <c r="O317" s="446"/>
      <c r="P317" s="445">
        <v>0</v>
      </c>
      <c r="Q317" s="445">
        <v>27901322534.384518</v>
      </c>
      <c r="R317" s="447">
        <v>1.0003308145799001</v>
      </c>
      <c r="S317" s="446"/>
      <c r="T317" s="445">
        <v>0</v>
      </c>
      <c r="U317" s="445">
        <v>27348764124.897633</v>
      </c>
      <c r="V317" s="447">
        <v>1.205547733047788</v>
      </c>
      <c r="W317" s="446"/>
      <c r="X317" s="445">
        <v>0</v>
      </c>
      <c r="Y317" s="445">
        <v>21928452131.791237</v>
      </c>
      <c r="Z317" s="447">
        <v>1.0003248796824182</v>
      </c>
      <c r="AA317" s="446"/>
    </row>
    <row r="318" spans="2:27" s="443" customFormat="1" ht="12.75" customHeight="1">
      <c r="B318" s="444">
        <v>45805</v>
      </c>
      <c r="C318" s="446"/>
      <c r="D318" s="445">
        <v>0</v>
      </c>
      <c r="E318" s="445">
        <v>53875238176.204895</v>
      </c>
      <c r="F318" s="447">
        <v>1.0042219685282385</v>
      </c>
      <c r="G318" s="446"/>
      <c r="H318" s="445">
        <v>0</v>
      </c>
      <c r="I318" s="445">
        <v>52128685406.714256</v>
      </c>
      <c r="J318" s="447">
        <v>1.0087539539910448</v>
      </c>
      <c r="K318" s="446"/>
      <c r="L318" s="445">
        <v>0</v>
      </c>
      <c r="M318" s="445">
        <v>31901266210.013042</v>
      </c>
      <c r="N318" s="447">
        <v>0.98926771474137276</v>
      </c>
      <c r="O318" s="446"/>
      <c r="P318" s="445">
        <v>0</v>
      </c>
      <c r="Q318" s="445">
        <v>25798620715.862411</v>
      </c>
      <c r="R318" s="447">
        <v>0.92463791578586219</v>
      </c>
      <c r="S318" s="446"/>
      <c r="T318" s="445">
        <v>0</v>
      </c>
      <c r="U318" s="445">
        <v>21594987906.175369</v>
      </c>
      <c r="V318" s="447">
        <v>0.78961476312254386</v>
      </c>
      <c r="W318" s="446"/>
      <c r="X318" s="445">
        <v>0</v>
      </c>
      <c r="Y318" s="445">
        <v>22010007395.491161</v>
      </c>
      <c r="Z318" s="447">
        <v>1.0037191527796752</v>
      </c>
      <c r="AA318" s="446"/>
    </row>
    <row r="319" spans="2:27" s="443" customFormat="1" ht="12.75" customHeight="1">
      <c r="B319" s="444">
        <v>45806</v>
      </c>
      <c r="C319" s="446"/>
      <c r="D319" s="445">
        <v>0</v>
      </c>
      <c r="E319" s="445">
        <v>55725104763.785904</v>
      </c>
      <c r="F319" s="447">
        <v>1.0343361189704781</v>
      </c>
      <c r="G319" s="446"/>
      <c r="H319" s="445">
        <v>0</v>
      </c>
      <c r="I319" s="445">
        <v>55674875290.970657</v>
      </c>
      <c r="J319" s="447">
        <v>1.0680276100689783</v>
      </c>
      <c r="K319" s="446"/>
      <c r="L319" s="445">
        <v>0</v>
      </c>
      <c r="M319" s="445">
        <v>33927360402.721931</v>
      </c>
      <c r="N319" s="447">
        <v>1.0635114035715907</v>
      </c>
      <c r="O319" s="446"/>
      <c r="P319" s="445">
        <v>0</v>
      </c>
      <c r="Q319" s="445">
        <v>28002770247.352371</v>
      </c>
      <c r="R319" s="447">
        <v>1.0854367198838164</v>
      </c>
      <c r="S319" s="446"/>
      <c r="T319" s="445">
        <v>0</v>
      </c>
      <c r="U319" s="445">
        <v>27395816323.490414</v>
      </c>
      <c r="V319" s="447">
        <v>1.2686192019425129</v>
      </c>
      <c r="W319" s="446"/>
      <c r="X319" s="445">
        <v>0</v>
      </c>
      <c r="Y319" s="445">
        <v>21879160728.387371</v>
      </c>
      <c r="Z319" s="447">
        <v>0.99405512843532284</v>
      </c>
      <c r="AA319" s="446"/>
    </row>
    <row r="320" spans="2:27" s="443" customFormat="1" ht="12.75" customHeight="1">
      <c r="B320" s="444">
        <v>45807</v>
      </c>
      <c r="C320" s="446"/>
      <c r="D320" s="445">
        <v>0</v>
      </c>
      <c r="E320" s="445">
        <v>53739740651.217186</v>
      </c>
      <c r="F320" s="447">
        <v>0.96437217801591379</v>
      </c>
      <c r="G320" s="446"/>
      <c r="H320" s="445">
        <v>0</v>
      </c>
      <c r="I320" s="445">
        <v>51858154179.287331</v>
      </c>
      <c r="J320" s="447">
        <v>0.93144625665102621</v>
      </c>
      <c r="K320" s="446"/>
      <c r="L320" s="445">
        <v>0</v>
      </c>
      <c r="M320" s="445">
        <v>32387559726.403923</v>
      </c>
      <c r="N320" s="447">
        <v>0.95461478116657517</v>
      </c>
      <c r="O320" s="446"/>
      <c r="P320" s="445">
        <v>0</v>
      </c>
      <c r="Q320" s="445">
        <v>28011977009.739796</v>
      </c>
      <c r="R320" s="447">
        <v>1.0003287804137269</v>
      </c>
      <c r="S320" s="446"/>
      <c r="T320" s="445">
        <v>0</v>
      </c>
      <c r="U320" s="445">
        <v>27404595011.858471</v>
      </c>
      <c r="V320" s="447">
        <v>1.0003204390139135</v>
      </c>
      <c r="W320" s="446"/>
      <c r="X320" s="445">
        <v>0</v>
      </c>
      <c r="Y320" s="445">
        <v>21886282523.225426</v>
      </c>
      <c r="Z320" s="447">
        <v>1.0003255058512741</v>
      </c>
      <c r="AA320" s="446"/>
    </row>
    <row r="321" spans="2:27" s="443" customFormat="1" ht="12.75" customHeight="1">
      <c r="B321" s="444">
        <v>45808</v>
      </c>
      <c r="C321" s="446"/>
      <c r="D321" s="445">
        <v>0</v>
      </c>
      <c r="E321" s="445">
        <v>53744027740.039574</v>
      </c>
      <c r="F321" s="447">
        <v>1.0000797750188304</v>
      </c>
      <c r="G321" s="446"/>
      <c r="H321" s="445">
        <v>0</v>
      </c>
      <c r="I321" s="445">
        <v>51859776399.223991</v>
      </c>
      <c r="J321" s="447">
        <v>1.0000312818680559</v>
      </c>
      <c r="K321" s="446"/>
      <c r="L321" s="445">
        <v>0</v>
      </c>
      <c r="M321" s="445">
        <v>32388592068.095352</v>
      </c>
      <c r="N321" s="447">
        <v>1.0000318746364392</v>
      </c>
      <c r="O321" s="446"/>
      <c r="P321" s="445">
        <v>0</v>
      </c>
      <c r="Q321" s="445">
        <v>28013654543.596939</v>
      </c>
      <c r="R321" s="447">
        <v>1.0000598863070806</v>
      </c>
      <c r="S321" s="446"/>
      <c r="T321" s="445">
        <v>0</v>
      </c>
      <c r="U321" s="445">
        <v>27407082330.251804</v>
      </c>
      <c r="V321" s="447">
        <v>1.0000907628225215</v>
      </c>
      <c r="W321" s="446"/>
      <c r="X321" s="445">
        <v>0</v>
      </c>
      <c r="Y321" s="445">
        <v>21888344294.155426</v>
      </c>
      <c r="Z321" s="447">
        <v>1.0000942037976441</v>
      </c>
      <c r="AA321" s="446"/>
    </row>
    <row r="322" spans="2:27" s="443" customFormat="1" ht="12.75" customHeight="1">
      <c r="B322" s="444">
        <v>45809</v>
      </c>
      <c r="C322" s="446"/>
      <c r="D322" s="445">
        <v>0</v>
      </c>
      <c r="E322" s="445">
        <v>53761875384.417503</v>
      </c>
      <c r="F322" s="447">
        <v>1.0003320860964173</v>
      </c>
      <c r="G322" s="446"/>
      <c r="H322" s="445">
        <v>0</v>
      </c>
      <c r="I322" s="445">
        <v>51875879285.827324</v>
      </c>
      <c r="J322" s="447">
        <v>1.0003105082150638</v>
      </c>
      <c r="K322" s="446"/>
      <c r="L322" s="445">
        <v>0</v>
      </c>
      <c r="M322" s="445">
        <v>32398843655.767334</v>
      </c>
      <c r="N322" s="447">
        <v>1.0003165184720111</v>
      </c>
      <c r="O322" s="446"/>
      <c r="P322" s="445">
        <v>0</v>
      </c>
      <c r="Q322" s="445">
        <v>28022848187.334351</v>
      </c>
      <c r="R322" s="447">
        <v>1.000328184376055</v>
      </c>
      <c r="S322" s="446"/>
      <c r="T322" s="445">
        <v>0</v>
      </c>
      <c r="U322" s="445">
        <v>27415848211.813194</v>
      </c>
      <c r="V322" s="447">
        <v>1.0003198400127296</v>
      </c>
      <c r="W322" s="446"/>
      <c r="X322" s="445">
        <v>0</v>
      </c>
      <c r="Y322" s="445">
        <v>21895466088.993481</v>
      </c>
      <c r="Z322" s="447">
        <v>1.0003253692806704</v>
      </c>
      <c r="AA322" s="446"/>
    </row>
    <row r="323" spans="2:27" s="443" customFormat="1" ht="12.75" customHeight="1">
      <c r="B323" s="444">
        <v>45810</v>
      </c>
      <c r="C323" s="446"/>
      <c r="D323" s="445">
        <v>0</v>
      </c>
      <c r="E323" s="445">
        <v>53788537829.334175</v>
      </c>
      <c r="F323" s="447">
        <v>1.0004959359160399</v>
      </c>
      <c r="G323" s="446"/>
      <c r="H323" s="445">
        <v>0</v>
      </c>
      <c r="I323" s="445">
        <v>51901413872.1157</v>
      </c>
      <c r="J323" s="447">
        <v>1.0004922246454404</v>
      </c>
      <c r="K323" s="446"/>
      <c r="L323" s="445">
        <v>0</v>
      </c>
      <c r="M323" s="445">
        <v>32415058462.410149</v>
      </c>
      <c r="N323" s="447">
        <v>1.0005004748569144</v>
      </c>
      <c r="O323" s="446"/>
      <c r="P323" s="445">
        <v>0</v>
      </c>
      <c r="Q323" s="445">
        <v>28035554122.648041</v>
      </c>
      <c r="R323" s="447">
        <v>1.0004534134156795</v>
      </c>
      <c r="S323" s="446"/>
      <c r="T323" s="445">
        <v>0</v>
      </c>
      <c r="U323" s="445">
        <v>27430402762.237366</v>
      </c>
      <c r="V323" s="447">
        <v>1.0005308809091633</v>
      </c>
      <c r="W323" s="446"/>
      <c r="X323" s="445">
        <v>0</v>
      </c>
      <c r="Y323" s="445">
        <v>21906542471.766003</v>
      </c>
      <c r="Z323" s="447">
        <v>1.0005058756332248</v>
      </c>
      <c r="AA323" s="446"/>
    </row>
    <row r="324" spans="2:27" s="443" customFormat="1" ht="12.75" customHeight="1">
      <c r="B324" s="444">
        <v>45811</v>
      </c>
      <c r="C324" s="446"/>
      <c r="D324" s="445">
        <v>0</v>
      </c>
      <c r="E324" s="445">
        <v>53542989402.059334</v>
      </c>
      <c r="F324" s="447">
        <v>0.99543493024380136</v>
      </c>
      <c r="G324" s="446"/>
      <c r="H324" s="445">
        <v>0</v>
      </c>
      <c r="I324" s="445">
        <v>51570633832.719917</v>
      </c>
      <c r="J324" s="447">
        <v>0.99362676245755421</v>
      </c>
      <c r="K324" s="446"/>
      <c r="L324" s="445">
        <v>0</v>
      </c>
      <c r="M324" s="445">
        <v>32192439200.281723</v>
      </c>
      <c r="N324" s="447">
        <v>0.99313222703619108</v>
      </c>
      <c r="O324" s="446"/>
      <c r="P324" s="445">
        <v>0</v>
      </c>
      <c r="Q324" s="445">
        <v>27851016205.590229</v>
      </c>
      <c r="R324" s="447">
        <v>0.99341771822128044</v>
      </c>
      <c r="S324" s="446"/>
      <c r="T324" s="445">
        <v>0</v>
      </c>
      <c r="U324" s="445">
        <v>27314833433.004932</v>
      </c>
      <c r="V324" s="447">
        <v>0.99578681617495113</v>
      </c>
      <c r="W324" s="446"/>
      <c r="X324" s="445">
        <v>0</v>
      </c>
      <c r="Y324" s="445">
        <v>21876093995.544727</v>
      </c>
      <c r="Z324" s="447">
        <v>0.99861007385074485</v>
      </c>
      <c r="AA324" s="446"/>
    </row>
    <row r="325" spans="2:27" s="443" customFormat="1" ht="12.75" customHeight="1">
      <c r="B325" s="444">
        <v>45812</v>
      </c>
      <c r="C325" s="446"/>
      <c r="D325" s="445">
        <v>0</v>
      </c>
      <c r="E325" s="445">
        <v>53556448233.294357</v>
      </c>
      <c r="F325" s="447">
        <v>1.0002513649571181</v>
      </c>
      <c r="G325" s="446"/>
      <c r="H325" s="445">
        <v>0</v>
      </c>
      <c r="I325" s="445">
        <v>51586564131.746475</v>
      </c>
      <c r="J325" s="447">
        <v>1.0003089025253835</v>
      </c>
      <c r="K325" s="446"/>
      <c r="L325" s="445">
        <v>0</v>
      </c>
      <c r="M325" s="445">
        <v>32200844737.635872</v>
      </c>
      <c r="N325" s="447">
        <v>1.0002611028416286</v>
      </c>
      <c r="O325" s="446"/>
      <c r="P325" s="445">
        <v>0</v>
      </c>
      <c r="Q325" s="445">
        <v>27854582116.247547</v>
      </c>
      <c r="R325" s="447">
        <v>1.0001280352081587</v>
      </c>
      <c r="S325" s="446"/>
      <c r="T325" s="445">
        <v>0</v>
      </c>
      <c r="U325" s="445">
        <v>27323929002.525444</v>
      </c>
      <c r="V325" s="447">
        <v>1.0003329901147968</v>
      </c>
      <c r="W325" s="446"/>
      <c r="X325" s="445">
        <v>0</v>
      </c>
      <c r="Y325" s="445">
        <v>21882550643.816628</v>
      </c>
      <c r="Z325" s="447">
        <v>1.0002951463032301</v>
      </c>
      <c r="AA325" s="446"/>
    </row>
    <row r="326" spans="2:27" s="443" customFormat="1" ht="12.75" customHeight="1">
      <c r="B326" s="444">
        <v>45813</v>
      </c>
      <c r="C326" s="446"/>
      <c r="D326" s="445">
        <v>0</v>
      </c>
      <c r="E326" s="445">
        <v>53453245163.167015</v>
      </c>
      <c r="F326" s="447">
        <v>0.99807300383928033</v>
      </c>
      <c r="G326" s="446"/>
      <c r="H326" s="445">
        <v>0</v>
      </c>
      <c r="I326" s="445">
        <v>51473790672.770782</v>
      </c>
      <c r="J326" s="447">
        <v>0.99781389862120529</v>
      </c>
      <c r="K326" s="446"/>
      <c r="L326" s="445">
        <v>0</v>
      </c>
      <c r="M326" s="445">
        <v>32133966224.473537</v>
      </c>
      <c r="N326" s="447">
        <v>0.99792308202759139</v>
      </c>
      <c r="O326" s="446"/>
      <c r="P326" s="445">
        <v>0</v>
      </c>
      <c r="Q326" s="445">
        <v>27802019236.038765</v>
      </c>
      <c r="R326" s="447">
        <v>0.99811295391223542</v>
      </c>
      <c r="S326" s="446"/>
      <c r="T326" s="445">
        <v>0</v>
      </c>
      <c r="U326" s="445">
        <v>27279379230.566631</v>
      </c>
      <c r="V326" s="447">
        <v>0.99836956932677234</v>
      </c>
      <c r="W326" s="446"/>
      <c r="X326" s="445">
        <v>0</v>
      </c>
      <c r="Y326" s="445">
        <v>21845087085.119301</v>
      </c>
      <c r="Z326" s="447">
        <v>0.99828797111876388</v>
      </c>
      <c r="AA326" s="446"/>
    </row>
    <row r="327" spans="2:27" s="443" customFormat="1" ht="12.75" customHeight="1">
      <c r="B327" s="444">
        <v>45814</v>
      </c>
      <c r="C327" s="446"/>
      <c r="D327" s="445">
        <v>0</v>
      </c>
      <c r="E327" s="445">
        <v>53471021826.590424</v>
      </c>
      <c r="F327" s="447">
        <v>1.0003325647183654</v>
      </c>
      <c r="G327" s="446"/>
      <c r="H327" s="445">
        <v>0</v>
      </c>
      <c r="I327" s="445">
        <v>51489764687.156906</v>
      </c>
      <c r="J327" s="447">
        <v>1.0003103329709613</v>
      </c>
      <c r="K327" s="446"/>
      <c r="L327" s="445">
        <v>0</v>
      </c>
      <c r="M327" s="445">
        <v>32144183951.80587</v>
      </c>
      <c r="N327" s="447">
        <v>1.0003179728036358</v>
      </c>
      <c r="O327" s="446"/>
      <c r="P327" s="445">
        <v>0</v>
      </c>
      <c r="Q327" s="445">
        <v>27811068601.425503</v>
      </c>
      <c r="R327" s="447">
        <v>1.0003254930985375</v>
      </c>
      <c r="S327" s="446"/>
      <c r="T327" s="445">
        <v>0</v>
      </c>
      <c r="U327" s="445">
        <v>27288076743.864697</v>
      </c>
      <c r="V327" s="447">
        <v>1.0003188310564017</v>
      </c>
      <c r="W327" s="446"/>
      <c r="X327" s="445">
        <v>0</v>
      </c>
      <c r="Y327" s="445">
        <v>21852164198.0345</v>
      </c>
      <c r="Z327" s="447">
        <v>1.0003239681713156</v>
      </c>
      <c r="AA327" s="446"/>
    </row>
    <row r="328" spans="2:27" s="443" customFormat="1" ht="12.75" customHeight="1">
      <c r="B328" s="444">
        <v>45815</v>
      </c>
      <c r="C328" s="446"/>
      <c r="D328" s="445">
        <v>0</v>
      </c>
      <c r="E328" s="445">
        <v>53506575153.437248</v>
      </c>
      <c r="F328" s="447">
        <v>1.0006649083116856</v>
      </c>
      <c r="G328" s="446"/>
      <c r="H328" s="445">
        <v>0</v>
      </c>
      <c r="I328" s="445">
        <v>51521712715.929108</v>
      </c>
      <c r="J328" s="447">
        <v>1.0006204733885717</v>
      </c>
      <c r="K328" s="446"/>
      <c r="L328" s="445">
        <v>0</v>
      </c>
      <c r="M328" s="445">
        <v>32164619406.470554</v>
      </c>
      <c r="N328" s="447">
        <v>1.0006357434581423</v>
      </c>
      <c r="O328" s="446"/>
      <c r="P328" s="445">
        <v>0</v>
      </c>
      <c r="Q328" s="445">
        <v>27829167332.198997</v>
      </c>
      <c r="R328" s="447">
        <v>1.0006507743745081</v>
      </c>
      <c r="S328" s="446"/>
      <c r="T328" s="445">
        <v>0</v>
      </c>
      <c r="U328" s="445">
        <v>27305471770.460804</v>
      </c>
      <c r="V328" s="447">
        <v>1.0006374588711173</v>
      </c>
      <c r="W328" s="446"/>
      <c r="X328" s="445">
        <v>0</v>
      </c>
      <c r="Y328" s="445">
        <v>21866318423.864899</v>
      </c>
      <c r="Z328" s="447">
        <v>1.0006477264998619</v>
      </c>
      <c r="AA328" s="446"/>
    </row>
    <row r="329" spans="2:27" s="443" customFormat="1" ht="12.75" customHeight="1">
      <c r="B329" s="444">
        <v>45816</v>
      </c>
      <c r="C329" s="446"/>
      <c r="D329" s="445">
        <v>0</v>
      </c>
      <c r="E329" s="445">
        <v>53506575153.437248</v>
      </c>
      <c r="F329" s="447">
        <v>1</v>
      </c>
      <c r="G329" s="446"/>
      <c r="H329" s="445">
        <v>0</v>
      </c>
      <c r="I329" s="445">
        <v>51521712715.929108</v>
      </c>
      <c r="J329" s="447">
        <v>1</v>
      </c>
      <c r="K329" s="446"/>
      <c r="L329" s="445">
        <v>0</v>
      </c>
      <c r="M329" s="445">
        <v>32164619406.470554</v>
      </c>
      <c r="N329" s="447">
        <v>1</v>
      </c>
      <c r="O329" s="446"/>
      <c r="P329" s="445">
        <v>0</v>
      </c>
      <c r="Q329" s="445">
        <v>27829167332.198997</v>
      </c>
      <c r="R329" s="447">
        <v>1</v>
      </c>
      <c r="S329" s="446"/>
      <c r="T329" s="445">
        <v>0</v>
      </c>
      <c r="U329" s="445">
        <v>27305471770.460804</v>
      </c>
      <c r="V329" s="447">
        <v>1</v>
      </c>
      <c r="W329" s="446"/>
      <c r="X329" s="445">
        <v>0</v>
      </c>
      <c r="Y329" s="445">
        <v>21866318423.864899</v>
      </c>
      <c r="Z329" s="447">
        <v>1</v>
      </c>
      <c r="AA329" s="446"/>
    </row>
    <row r="330" spans="2:27" s="443" customFormat="1" ht="12.75" customHeight="1">
      <c r="B330" s="444">
        <v>45817</v>
      </c>
      <c r="C330" s="446"/>
      <c r="D330" s="445">
        <v>0</v>
      </c>
      <c r="E330" s="445">
        <v>53532821601.878845</v>
      </c>
      <c r="F330" s="447">
        <v>1.0004905275354727</v>
      </c>
      <c r="G330" s="446"/>
      <c r="H330" s="445">
        <v>0</v>
      </c>
      <c r="I330" s="445">
        <v>51549135003.375137</v>
      </c>
      <c r="J330" s="447">
        <v>1.0005322472022082</v>
      </c>
      <c r="K330" s="446"/>
      <c r="L330" s="445">
        <v>0</v>
      </c>
      <c r="M330" s="445">
        <v>32180767222.429291</v>
      </c>
      <c r="N330" s="447">
        <v>1.0005020365935213</v>
      </c>
      <c r="O330" s="446"/>
      <c r="P330" s="445">
        <v>0</v>
      </c>
      <c r="Q330" s="445">
        <v>27842389810.003307</v>
      </c>
      <c r="R330" s="447">
        <v>1.0004751301987038</v>
      </c>
      <c r="S330" s="446"/>
      <c r="T330" s="445">
        <v>0</v>
      </c>
      <c r="U330" s="445">
        <v>27320126791.699623</v>
      </c>
      <c r="V330" s="447">
        <v>1.0005367063921113</v>
      </c>
      <c r="W330" s="446"/>
      <c r="X330" s="445">
        <v>0</v>
      </c>
      <c r="Y330" s="445">
        <v>21877983470.541588</v>
      </c>
      <c r="Z330" s="447">
        <v>1.0005334709963776</v>
      </c>
      <c r="AA330" s="446"/>
    </row>
    <row r="331" spans="2:27" s="443" customFormat="1" ht="12.75" customHeight="1">
      <c r="B331" s="444">
        <v>45818</v>
      </c>
      <c r="C331" s="446"/>
      <c r="D331" s="445">
        <v>0</v>
      </c>
      <c r="E331" s="445">
        <v>53598230828.305832</v>
      </c>
      <c r="F331" s="447">
        <v>1.0012218527712482</v>
      </c>
      <c r="G331" s="446"/>
      <c r="H331" s="445">
        <v>0</v>
      </c>
      <c r="I331" s="445">
        <v>51621919543.409546</v>
      </c>
      <c r="J331" s="447">
        <v>1.0014119449342775</v>
      </c>
      <c r="K331" s="446"/>
      <c r="L331" s="445">
        <v>0</v>
      </c>
      <c r="M331" s="445">
        <v>32222662576.596928</v>
      </c>
      <c r="N331" s="447">
        <v>1.0013018755543663</v>
      </c>
      <c r="O331" s="446"/>
      <c r="P331" s="445">
        <v>0</v>
      </c>
      <c r="Q331" s="445">
        <v>27877309824.473457</v>
      </c>
      <c r="R331" s="447">
        <v>1.0012542032026863</v>
      </c>
      <c r="S331" s="446"/>
      <c r="T331" s="445">
        <v>0</v>
      </c>
      <c r="U331" s="445">
        <v>27352457900.002583</v>
      </c>
      <c r="V331" s="447">
        <v>1.0011834172128653</v>
      </c>
      <c r="W331" s="446"/>
      <c r="X331" s="445">
        <v>0</v>
      </c>
      <c r="Y331" s="445">
        <v>21903707175.292305</v>
      </c>
      <c r="Z331" s="447">
        <v>1.0011757804271748</v>
      </c>
      <c r="AA331" s="446"/>
    </row>
    <row r="332" spans="2:27" s="443" customFormat="1" ht="12.75" customHeight="1">
      <c r="B332" s="444">
        <v>45819</v>
      </c>
      <c r="C332" s="446"/>
      <c r="D332" s="445">
        <v>0</v>
      </c>
      <c r="E332" s="445">
        <v>53635355251.850395</v>
      </c>
      <c r="F332" s="447">
        <v>1.0006926427042617</v>
      </c>
      <c r="G332" s="446"/>
      <c r="H332" s="445">
        <v>0</v>
      </c>
      <c r="I332" s="445">
        <v>51638782344.430145</v>
      </c>
      <c r="J332" s="447">
        <v>1.0003266597052134</v>
      </c>
      <c r="K332" s="446"/>
      <c r="L332" s="445">
        <v>0</v>
      </c>
      <c r="M332" s="445">
        <v>32243956498.288826</v>
      </c>
      <c r="N332" s="447">
        <v>1.0006608368145022</v>
      </c>
      <c r="O332" s="446"/>
      <c r="P332" s="445">
        <v>0</v>
      </c>
      <c r="Q332" s="445">
        <v>27905930254.159256</v>
      </c>
      <c r="R332" s="447">
        <v>1.001026656799598</v>
      </c>
      <c r="S332" s="446"/>
      <c r="T332" s="445">
        <v>0</v>
      </c>
      <c r="U332" s="445">
        <v>27367323031.745033</v>
      </c>
      <c r="V332" s="447">
        <v>1.0005434660313453</v>
      </c>
      <c r="W332" s="446"/>
      <c r="X332" s="445">
        <v>0</v>
      </c>
      <c r="Y332" s="445">
        <v>21915886955.502102</v>
      </c>
      <c r="Z332" s="447">
        <v>1.0005560602190453</v>
      </c>
      <c r="AA332" s="446"/>
    </row>
    <row r="333" spans="2:27" s="443" customFormat="1" ht="12.75" customHeight="1">
      <c r="B333" s="444">
        <v>45820</v>
      </c>
      <c r="C333" s="446"/>
      <c r="D333" s="445">
        <v>0</v>
      </c>
      <c r="E333" s="445">
        <v>53746657868.031059</v>
      </c>
      <c r="F333" s="447">
        <v>1.0020751725360637</v>
      </c>
      <c r="G333" s="446"/>
      <c r="H333" s="445">
        <v>0</v>
      </c>
      <c r="I333" s="445">
        <v>51756276126.99852</v>
      </c>
      <c r="J333" s="447">
        <v>1.0022753011832211</v>
      </c>
      <c r="K333" s="446"/>
      <c r="L333" s="445">
        <v>0</v>
      </c>
      <c r="M333" s="445">
        <v>32328928325.048653</v>
      </c>
      <c r="N333" s="447">
        <v>1.0026352791650843</v>
      </c>
      <c r="O333" s="446"/>
      <c r="P333" s="445">
        <v>0</v>
      </c>
      <c r="Q333" s="445">
        <v>27976760144.779091</v>
      </c>
      <c r="R333" s="447">
        <v>1.0025381662598143</v>
      </c>
      <c r="S333" s="446"/>
      <c r="T333" s="445">
        <v>0</v>
      </c>
      <c r="U333" s="445">
        <v>27416907300.983505</v>
      </c>
      <c r="V333" s="447">
        <v>1.0018118056041125</v>
      </c>
      <c r="W333" s="446"/>
      <c r="X333" s="445">
        <v>0</v>
      </c>
      <c r="Y333" s="445">
        <v>21957917279.002491</v>
      </c>
      <c r="Z333" s="447">
        <v>1.0019178016196983</v>
      </c>
      <c r="AA333" s="446"/>
    </row>
    <row r="334" spans="2:27" s="443" customFormat="1" ht="12.75" customHeight="1">
      <c r="B334" s="444">
        <v>45821</v>
      </c>
      <c r="C334" s="446"/>
      <c r="D334" s="445">
        <v>0</v>
      </c>
      <c r="E334" s="445">
        <v>53742940775.363304</v>
      </c>
      <c r="F334" s="447">
        <v>0.99993084048729353</v>
      </c>
      <c r="G334" s="446"/>
      <c r="H334" s="445">
        <v>0</v>
      </c>
      <c r="I334" s="445">
        <v>51750832916.40889</v>
      </c>
      <c r="J334" s="447">
        <v>0.99989482994146883</v>
      </c>
      <c r="K334" s="446"/>
      <c r="L334" s="445">
        <v>0</v>
      </c>
      <c r="M334" s="445">
        <v>32325511726.865814</v>
      </c>
      <c r="N334" s="447">
        <v>0.99989431761707392</v>
      </c>
      <c r="O334" s="446"/>
      <c r="P334" s="445">
        <v>0</v>
      </c>
      <c r="Q334" s="445">
        <v>27971612808.754993</v>
      </c>
      <c r="R334" s="447">
        <v>0.99981601386302554</v>
      </c>
      <c r="S334" s="446"/>
      <c r="T334" s="445">
        <v>0</v>
      </c>
      <c r="U334" s="445">
        <v>27416662102.069332</v>
      </c>
      <c r="V334" s="447">
        <v>0.99999105665305421</v>
      </c>
      <c r="W334" s="446"/>
      <c r="X334" s="445">
        <v>0</v>
      </c>
      <c r="Y334" s="445">
        <v>21957631331.41037</v>
      </c>
      <c r="Z334" s="447">
        <v>0.99998697747202125</v>
      </c>
      <c r="AA334" s="446"/>
    </row>
    <row r="335" spans="2:27" s="443" customFormat="1" ht="12.75" customHeight="1">
      <c r="B335" s="444">
        <v>45822</v>
      </c>
      <c r="C335" s="446"/>
      <c r="D335" s="445">
        <v>0</v>
      </c>
      <c r="E335" s="445">
        <v>53760730276.526726</v>
      </c>
      <c r="F335" s="447">
        <v>1.0003310109366321</v>
      </c>
      <c r="G335" s="446"/>
      <c r="H335" s="445">
        <v>0</v>
      </c>
      <c r="I335" s="445">
        <v>51766911470.793335</v>
      </c>
      <c r="J335" s="447">
        <v>1.0003106917024971</v>
      </c>
      <c r="K335" s="446"/>
      <c r="L335" s="445">
        <v>0</v>
      </c>
      <c r="M335" s="445">
        <v>32335727559.285259</v>
      </c>
      <c r="N335" s="447">
        <v>1.0003160300293392</v>
      </c>
      <c r="O335" s="446"/>
      <c r="P335" s="445">
        <v>0</v>
      </c>
      <c r="Q335" s="445">
        <v>27980682041.659412</v>
      </c>
      <c r="R335" s="447">
        <v>1.0003242298885813</v>
      </c>
      <c r="S335" s="446"/>
      <c r="T335" s="445">
        <v>0</v>
      </c>
      <c r="U335" s="445">
        <v>27425474380.01738</v>
      </c>
      <c r="V335" s="447">
        <v>1.0003214205257824</v>
      </c>
      <c r="W335" s="446"/>
      <c r="X335" s="445">
        <v>0</v>
      </c>
      <c r="Y335" s="445">
        <v>21964724681.26223</v>
      </c>
      <c r="Z335" s="447">
        <v>1.0003230471331264</v>
      </c>
      <c r="AA335" s="446"/>
    </row>
    <row r="336" spans="2:27" s="443" customFormat="1" ht="12.75" customHeight="1">
      <c r="B336" s="444">
        <v>45823</v>
      </c>
      <c r="C336" s="446"/>
      <c r="D336" s="445">
        <v>0</v>
      </c>
      <c r="E336" s="445">
        <v>53778519777.690132</v>
      </c>
      <c r="F336" s="447">
        <v>1.000330901404648</v>
      </c>
      <c r="G336" s="446"/>
      <c r="H336" s="445">
        <v>0</v>
      </c>
      <c r="I336" s="445">
        <v>51782990025.177795</v>
      </c>
      <c r="J336" s="447">
        <v>1.000310595203145</v>
      </c>
      <c r="K336" s="446"/>
      <c r="L336" s="445">
        <v>0</v>
      </c>
      <c r="M336" s="445">
        <v>32345943391.704704</v>
      </c>
      <c r="N336" s="447">
        <v>1.0003159301859132</v>
      </c>
      <c r="O336" s="446"/>
      <c r="P336" s="445">
        <v>0</v>
      </c>
      <c r="Q336" s="445">
        <v>27989751274.563812</v>
      </c>
      <c r="R336" s="447">
        <v>1.0003241247976336</v>
      </c>
      <c r="S336" s="446"/>
      <c r="T336" s="445">
        <v>0</v>
      </c>
      <c r="U336" s="445">
        <v>27434286657.965446</v>
      </c>
      <c r="V336" s="447">
        <v>1.0003213172478245</v>
      </c>
      <c r="W336" s="446"/>
      <c r="X336" s="445">
        <v>0</v>
      </c>
      <c r="Y336" s="445">
        <v>21971818031.114094</v>
      </c>
      <c r="Z336" s="447">
        <v>1.0003229428073785</v>
      </c>
      <c r="AA336" s="446"/>
    </row>
    <row r="337" spans="2:27" s="443" customFormat="1" ht="12.75" customHeight="1">
      <c r="B337" s="444">
        <v>45824</v>
      </c>
      <c r="C337" s="446"/>
      <c r="D337" s="445">
        <v>0</v>
      </c>
      <c r="E337" s="445">
        <v>53801494582.393089</v>
      </c>
      <c r="F337" s="447">
        <v>1.0004272115483641</v>
      </c>
      <c r="G337" s="446"/>
      <c r="H337" s="445">
        <v>0</v>
      </c>
      <c r="I337" s="445">
        <v>51807574042.39447</v>
      </c>
      <c r="J337" s="447">
        <v>1.0004747508246381</v>
      </c>
      <c r="K337" s="446"/>
      <c r="L337" s="445">
        <v>0</v>
      </c>
      <c r="M337" s="445">
        <v>32360066015.404022</v>
      </c>
      <c r="N337" s="447">
        <v>1.0004366118968395</v>
      </c>
      <c r="O337" s="446"/>
      <c r="P337" s="445">
        <v>0</v>
      </c>
      <c r="Q337" s="445">
        <v>28000809270.593327</v>
      </c>
      <c r="R337" s="447">
        <v>1.0003950730365927</v>
      </c>
      <c r="S337" s="446"/>
      <c r="T337" s="445">
        <v>0</v>
      </c>
      <c r="U337" s="445">
        <v>27447226573.445789</v>
      </c>
      <c r="V337" s="447">
        <v>1.0004716694711866</v>
      </c>
      <c r="W337" s="446"/>
      <c r="X337" s="445">
        <v>0</v>
      </c>
      <c r="Y337" s="445">
        <v>21982067058.90329</v>
      </c>
      <c r="Z337" s="447">
        <v>1.0004664624372313</v>
      </c>
      <c r="AA337" s="446"/>
    </row>
    <row r="338" spans="2:27" s="443" customFormat="1" ht="12.75" customHeight="1">
      <c r="B338" s="444">
        <v>45825</v>
      </c>
      <c r="C338" s="446"/>
      <c r="D338" s="445">
        <v>0</v>
      </c>
      <c r="E338" s="445">
        <v>53813800066.748055</v>
      </c>
      <c r="F338" s="447">
        <v>1.0002287201210762</v>
      </c>
      <c r="G338" s="446"/>
      <c r="H338" s="445">
        <v>0</v>
      </c>
      <c r="I338" s="445">
        <v>51817056325.576408</v>
      </c>
      <c r="J338" s="447">
        <v>1.0001830288979403</v>
      </c>
      <c r="K338" s="446"/>
      <c r="L338" s="445">
        <v>0</v>
      </c>
      <c r="M338" s="445">
        <v>32365069860.477673</v>
      </c>
      <c r="N338" s="447">
        <v>1.0001546302492481</v>
      </c>
      <c r="O338" s="446"/>
      <c r="P338" s="445">
        <v>0</v>
      </c>
      <c r="Q338" s="445">
        <v>28005471048.810844</v>
      </c>
      <c r="R338" s="447">
        <v>1.0001664872672953</v>
      </c>
      <c r="S338" s="446"/>
      <c r="T338" s="445">
        <v>0</v>
      </c>
      <c r="U338" s="445">
        <v>27455026765.228813</v>
      </c>
      <c r="V338" s="447">
        <v>1.0002841887052651</v>
      </c>
      <c r="W338" s="446"/>
      <c r="X338" s="445">
        <v>0</v>
      </c>
      <c r="Y338" s="445">
        <v>21986014321.44199</v>
      </c>
      <c r="Z338" s="447">
        <v>1.0001795673959197</v>
      </c>
      <c r="AA338" s="446"/>
    </row>
    <row r="339" spans="2:27" s="443" customFormat="1" ht="12.75" customHeight="1">
      <c r="B339" s="444">
        <v>45826</v>
      </c>
      <c r="C339" s="446"/>
      <c r="D339" s="445">
        <v>0</v>
      </c>
      <c r="E339" s="445">
        <v>53809275825.771698</v>
      </c>
      <c r="F339" s="447">
        <v>0.99991592786663008</v>
      </c>
      <c r="G339" s="446"/>
      <c r="H339" s="445">
        <v>0</v>
      </c>
      <c r="I339" s="445">
        <v>51782865766.912117</v>
      </c>
      <c r="J339" s="447">
        <v>0.99934016786963997</v>
      </c>
      <c r="K339" s="446"/>
      <c r="L339" s="445">
        <v>0</v>
      </c>
      <c r="M339" s="445">
        <v>32357450672.573456</v>
      </c>
      <c r="N339" s="447">
        <v>0.99976458608193763</v>
      </c>
      <c r="O339" s="446"/>
      <c r="P339" s="445">
        <v>0</v>
      </c>
      <c r="Q339" s="445">
        <v>28007946689.480892</v>
      </c>
      <c r="R339" s="447">
        <v>1.000088398465633</v>
      </c>
      <c r="S339" s="446"/>
      <c r="T339" s="445">
        <v>0</v>
      </c>
      <c r="U339" s="445">
        <v>27453087345.877979</v>
      </c>
      <c r="V339" s="447">
        <v>0.99992936013621769</v>
      </c>
      <c r="W339" s="446"/>
      <c r="X339" s="445">
        <v>0</v>
      </c>
      <c r="Y339" s="445">
        <v>21978716775.839413</v>
      </c>
      <c r="Z339" s="447">
        <v>0.99966808237746574</v>
      </c>
      <c r="AA339" s="446"/>
    </row>
    <row r="340" spans="2:27" s="443" customFormat="1" ht="12.75" customHeight="1">
      <c r="B340" s="444">
        <v>45827</v>
      </c>
      <c r="C340" s="446"/>
      <c r="D340" s="445">
        <v>0</v>
      </c>
      <c r="E340" s="445">
        <v>53830931987.180244</v>
      </c>
      <c r="F340" s="447">
        <v>1.000402461491559</v>
      </c>
      <c r="G340" s="446"/>
      <c r="H340" s="445">
        <v>0</v>
      </c>
      <c r="I340" s="445">
        <v>51820948717.919708</v>
      </c>
      <c r="J340" s="447">
        <v>1.0007354353692786</v>
      </c>
      <c r="K340" s="446"/>
      <c r="L340" s="445">
        <v>0</v>
      </c>
      <c r="M340" s="445">
        <v>32371111523.591503</v>
      </c>
      <c r="N340" s="447">
        <v>1.0004221856399098</v>
      </c>
      <c r="O340" s="446"/>
      <c r="P340" s="445">
        <v>0</v>
      </c>
      <c r="Q340" s="445">
        <v>28018109351.142403</v>
      </c>
      <c r="R340" s="447">
        <v>1.0003628492218364</v>
      </c>
      <c r="S340" s="446"/>
      <c r="T340" s="445">
        <v>0</v>
      </c>
      <c r="U340" s="445">
        <v>27465333595.406651</v>
      </c>
      <c r="V340" s="447">
        <v>1.0004460791376351</v>
      </c>
      <c r="W340" s="446"/>
      <c r="X340" s="445">
        <v>0</v>
      </c>
      <c r="Y340" s="445">
        <v>21987983180.034042</v>
      </c>
      <c r="Z340" s="447">
        <v>1.0004216080624333</v>
      </c>
      <c r="AA340" s="446"/>
    </row>
    <row r="341" spans="2:27" s="443" customFormat="1" ht="12.75" customHeight="1">
      <c r="B341" s="444">
        <v>45828</v>
      </c>
      <c r="C341" s="446"/>
      <c r="D341" s="445">
        <v>0</v>
      </c>
      <c r="E341" s="445">
        <v>53869534717.37191</v>
      </c>
      <c r="F341" s="447">
        <v>1.0007171105675983</v>
      </c>
      <c r="G341" s="446"/>
      <c r="H341" s="445">
        <v>0</v>
      </c>
      <c r="I341" s="445">
        <v>51864166816.329414</v>
      </c>
      <c r="J341" s="447">
        <v>1.0008339889461491</v>
      </c>
      <c r="K341" s="446"/>
      <c r="L341" s="445">
        <v>0</v>
      </c>
      <c r="M341" s="445">
        <v>32395425216.42606</v>
      </c>
      <c r="N341" s="447">
        <v>1.0007510923070047</v>
      </c>
      <c r="O341" s="446"/>
      <c r="P341" s="445">
        <v>0</v>
      </c>
      <c r="Q341" s="445">
        <v>28037578510.090832</v>
      </c>
      <c r="R341" s="447">
        <v>1.0006948776844442</v>
      </c>
      <c r="S341" s="446"/>
      <c r="T341" s="445">
        <v>0</v>
      </c>
      <c r="U341" s="445">
        <v>27484501517.713692</v>
      </c>
      <c r="V341" s="447">
        <v>1.0006978951207877</v>
      </c>
      <c r="W341" s="446"/>
      <c r="X341" s="445">
        <v>0</v>
      </c>
      <c r="Y341" s="445">
        <v>22003908576.283649</v>
      </c>
      <c r="Z341" s="447">
        <v>1.0007242772617757</v>
      </c>
      <c r="AA341" s="446"/>
    </row>
    <row r="342" spans="2:27" s="443" customFormat="1" ht="12.75" customHeight="1">
      <c r="B342" s="444">
        <v>45829</v>
      </c>
      <c r="C342" s="446"/>
      <c r="D342" s="445">
        <v>0</v>
      </c>
      <c r="E342" s="445">
        <v>53887323988.36866</v>
      </c>
      <c r="F342" s="447">
        <v>1.0003302287849725</v>
      </c>
      <c r="G342" s="446"/>
      <c r="H342" s="445">
        <v>0</v>
      </c>
      <c r="I342" s="445">
        <v>51880200744.970512</v>
      </c>
      <c r="J342" s="447">
        <v>1.0003091523420762</v>
      </c>
      <c r="K342" s="446"/>
      <c r="L342" s="445">
        <v>0</v>
      </c>
      <c r="M342" s="445">
        <v>32405630978.57605</v>
      </c>
      <c r="N342" s="447">
        <v>1.000315037141257</v>
      </c>
      <c r="O342" s="446"/>
      <c r="P342" s="445">
        <v>0</v>
      </c>
      <c r="Q342" s="445">
        <v>28046651611.740471</v>
      </c>
      <c r="R342" s="447">
        <v>1.0003236050376596</v>
      </c>
      <c r="S342" s="446"/>
      <c r="T342" s="445">
        <v>0</v>
      </c>
      <c r="U342" s="445">
        <v>27493450610.316998</v>
      </c>
      <c r="V342" s="447">
        <v>1.0003256050540899</v>
      </c>
      <c r="W342" s="446"/>
      <c r="X342" s="445">
        <v>0</v>
      </c>
      <c r="Y342" s="445">
        <v>22011019558.484093</v>
      </c>
      <c r="Z342" s="447">
        <v>1.0003231690486165</v>
      </c>
      <c r="AA342" s="446"/>
    </row>
    <row r="343" spans="2:27" s="443" customFormat="1" ht="12.75" customHeight="1">
      <c r="B343" s="444">
        <v>45830</v>
      </c>
      <c r="C343" s="446"/>
      <c r="D343" s="445">
        <v>0</v>
      </c>
      <c r="E343" s="445">
        <v>53905113259.365395</v>
      </c>
      <c r="F343" s="447">
        <v>1.0003301197699217</v>
      </c>
      <c r="G343" s="446"/>
      <c r="H343" s="445">
        <v>0</v>
      </c>
      <c r="I343" s="445">
        <v>51896234673.611603</v>
      </c>
      <c r="J343" s="447">
        <v>1.0003090567964437</v>
      </c>
      <c r="K343" s="446"/>
      <c r="L343" s="445">
        <v>0</v>
      </c>
      <c r="M343" s="445">
        <v>32415836740.726055</v>
      </c>
      <c r="N343" s="447">
        <v>1.0003149379241143</v>
      </c>
      <c r="O343" s="446"/>
      <c r="P343" s="445">
        <v>0</v>
      </c>
      <c r="Q343" s="445">
        <v>28055724713.390102</v>
      </c>
      <c r="R343" s="447">
        <v>1.0003235003513158</v>
      </c>
      <c r="S343" s="446"/>
      <c r="T343" s="445">
        <v>0</v>
      </c>
      <c r="U343" s="445">
        <v>27501864973.553665</v>
      </c>
      <c r="V343" s="447">
        <v>1.0003060497336596</v>
      </c>
      <c r="W343" s="446"/>
      <c r="X343" s="445">
        <v>0</v>
      </c>
      <c r="Y343" s="445">
        <v>22018130540.684525</v>
      </c>
      <c r="Z343" s="447">
        <v>1.0003230646441224</v>
      </c>
      <c r="AA343" s="446"/>
    </row>
    <row r="344" spans="2:27" s="443" customFormat="1" ht="12.75" customHeight="1">
      <c r="B344" s="444">
        <v>45831</v>
      </c>
      <c r="C344" s="446"/>
      <c r="D344" s="445">
        <v>0</v>
      </c>
      <c r="E344" s="445">
        <v>53865609154.583557</v>
      </c>
      <c r="F344" s="447">
        <v>0.99926715477636119</v>
      </c>
      <c r="G344" s="446"/>
      <c r="H344" s="445">
        <v>0</v>
      </c>
      <c r="I344" s="445">
        <v>51860986228.486984</v>
      </c>
      <c r="J344" s="447">
        <v>0.99932078993117124</v>
      </c>
      <c r="K344" s="446"/>
      <c r="L344" s="445">
        <v>0</v>
      </c>
      <c r="M344" s="445">
        <v>32393520881.061607</v>
      </c>
      <c r="N344" s="447">
        <v>0.99931157539313453</v>
      </c>
      <c r="O344" s="446"/>
      <c r="P344" s="445">
        <v>0</v>
      </c>
      <c r="Q344" s="445">
        <v>28031792406.923</v>
      </c>
      <c r="R344" s="447">
        <v>0.99914697243747619</v>
      </c>
      <c r="S344" s="446"/>
      <c r="T344" s="445">
        <v>0</v>
      </c>
      <c r="U344" s="445">
        <v>27487748236.87344</v>
      </c>
      <c r="V344" s="447">
        <v>0.99948669893137065</v>
      </c>
      <c r="W344" s="446"/>
      <c r="X344" s="445">
        <v>0</v>
      </c>
      <c r="Y344" s="445">
        <v>22001827293.741177</v>
      </c>
      <c r="Z344" s="447">
        <v>0.99925955353415574</v>
      </c>
      <c r="AA344" s="446"/>
    </row>
    <row r="345" spans="2:27" s="443" customFormat="1" ht="12.75" customHeight="1">
      <c r="B345" s="444">
        <v>45832</v>
      </c>
      <c r="C345" s="446"/>
      <c r="D345" s="445">
        <v>0</v>
      </c>
      <c r="E345" s="445">
        <v>53621416706.463882</v>
      </c>
      <c r="F345" s="447">
        <v>0.99546663535505764</v>
      </c>
      <c r="G345" s="446"/>
      <c r="H345" s="445">
        <v>0</v>
      </c>
      <c r="I345" s="445">
        <v>51579889545.654121</v>
      </c>
      <c r="J345" s="447">
        <v>0.99457980452599926</v>
      </c>
      <c r="K345" s="446"/>
      <c r="L345" s="445">
        <v>0</v>
      </c>
      <c r="M345" s="445">
        <v>32225625495.592262</v>
      </c>
      <c r="N345" s="447">
        <v>0.99481700720073618</v>
      </c>
      <c r="O345" s="446"/>
      <c r="P345" s="445">
        <v>0</v>
      </c>
      <c r="Q345" s="445">
        <v>27919629782.180794</v>
      </c>
      <c r="R345" s="447">
        <v>0.99599873518203907</v>
      </c>
      <c r="S345" s="446"/>
      <c r="T345" s="445">
        <v>0</v>
      </c>
      <c r="U345" s="445">
        <v>27381492991.393681</v>
      </c>
      <c r="V345" s="447">
        <v>0.99613445071731188</v>
      </c>
      <c r="W345" s="446"/>
      <c r="X345" s="445">
        <v>0</v>
      </c>
      <c r="Y345" s="445">
        <v>21904862693.697552</v>
      </c>
      <c r="Z345" s="447">
        <v>0.9955928842296109</v>
      </c>
      <c r="AA345" s="446"/>
    </row>
    <row r="346" spans="2:27" s="443" customFormat="1" ht="12.75" customHeight="1">
      <c r="B346" s="444">
        <v>45833</v>
      </c>
      <c r="C346" s="446"/>
      <c r="D346" s="445">
        <v>0</v>
      </c>
      <c r="E346" s="445">
        <v>53558325845.19043</v>
      </c>
      <c r="F346" s="447">
        <v>0.99882340182060414</v>
      </c>
      <c r="G346" s="446"/>
      <c r="H346" s="445">
        <v>0</v>
      </c>
      <c r="I346" s="445">
        <v>51502242800.105598</v>
      </c>
      <c r="J346" s="447">
        <v>0.9984946314109534</v>
      </c>
      <c r="K346" s="446"/>
      <c r="L346" s="445">
        <v>0</v>
      </c>
      <c r="M346" s="445">
        <v>32178354587.502293</v>
      </c>
      <c r="N346" s="447">
        <v>0.9985331267473323</v>
      </c>
      <c r="O346" s="446"/>
      <c r="P346" s="445">
        <v>0</v>
      </c>
      <c r="Q346" s="445">
        <v>27876452912.22493</v>
      </c>
      <c r="R346" s="447">
        <v>0.99845352999689774</v>
      </c>
      <c r="S346" s="446"/>
      <c r="T346" s="445">
        <v>0</v>
      </c>
      <c r="U346" s="445">
        <v>27354325373.691902</v>
      </c>
      <c r="V346" s="447">
        <v>0.99900781094331426</v>
      </c>
      <c r="W346" s="446"/>
      <c r="X346" s="445">
        <v>0</v>
      </c>
      <c r="Y346" s="445">
        <v>21884493143.239491</v>
      </c>
      <c r="Z346" s="447">
        <v>0.99907009001869151</v>
      </c>
      <c r="AA346" s="446"/>
    </row>
    <row r="347" spans="2:27" s="443" customFormat="1" ht="12.75" customHeight="1">
      <c r="B347" s="444">
        <v>45834</v>
      </c>
      <c r="C347" s="446"/>
      <c r="D347" s="445">
        <v>0</v>
      </c>
      <c r="E347" s="445">
        <v>53748039300.595184</v>
      </c>
      <c r="F347" s="447">
        <v>1.0035421841965919</v>
      </c>
      <c r="G347" s="446"/>
      <c r="H347" s="445">
        <v>0</v>
      </c>
      <c r="I347" s="445">
        <v>51732346138.86451</v>
      </c>
      <c r="J347" s="447">
        <v>1.0044678314234199</v>
      </c>
      <c r="K347" s="446"/>
      <c r="L347" s="445">
        <v>0</v>
      </c>
      <c r="M347" s="445">
        <v>32316842844.851208</v>
      </c>
      <c r="N347" s="447">
        <v>1.0043037706285549</v>
      </c>
      <c r="O347" s="446"/>
      <c r="P347" s="445">
        <v>0</v>
      </c>
      <c r="Q347" s="445">
        <v>27994824667.700432</v>
      </c>
      <c r="R347" s="447">
        <v>1.0042462990484557</v>
      </c>
      <c r="S347" s="446"/>
      <c r="T347" s="445">
        <v>0</v>
      </c>
      <c r="U347" s="445">
        <v>27439955710.311066</v>
      </c>
      <c r="V347" s="447">
        <v>1.0031304130315537</v>
      </c>
      <c r="W347" s="446"/>
      <c r="X347" s="445">
        <v>0</v>
      </c>
      <c r="Y347" s="445">
        <v>21960567087.237144</v>
      </c>
      <c r="Z347" s="447">
        <v>1.0034761574554061</v>
      </c>
      <c r="AA347" s="446"/>
    </row>
    <row r="348" spans="2:27" s="443" customFormat="1" ht="12.75" customHeight="1">
      <c r="B348" s="444">
        <v>45835</v>
      </c>
      <c r="C348" s="446"/>
      <c r="D348" s="445">
        <v>0</v>
      </c>
      <c r="E348" s="445">
        <v>53933191230.178902</v>
      </c>
      <c r="F348" s="447">
        <v>1.0034448127223436</v>
      </c>
      <c r="G348" s="446"/>
      <c r="H348" s="445">
        <v>0</v>
      </c>
      <c r="I348" s="445">
        <v>51936769220.801094</v>
      </c>
      <c r="J348" s="447">
        <v>1.0039515525042659</v>
      </c>
      <c r="K348" s="446"/>
      <c r="L348" s="445">
        <v>0</v>
      </c>
      <c r="M348" s="445">
        <v>32438908292.385715</v>
      </c>
      <c r="N348" s="447">
        <v>1.003777146428583</v>
      </c>
      <c r="O348" s="446"/>
      <c r="P348" s="445">
        <v>0</v>
      </c>
      <c r="Q348" s="445">
        <v>28105746027.787434</v>
      </c>
      <c r="R348" s="447">
        <v>1.0039622094942062</v>
      </c>
      <c r="S348" s="446"/>
      <c r="T348" s="445">
        <v>0</v>
      </c>
      <c r="U348" s="445">
        <v>27523006073.479015</v>
      </c>
      <c r="V348" s="447">
        <v>1.0030266216186619</v>
      </c>
      <c r="W348" s="446"/>
      <c r="X348" s="445">
        <v>0</v>
      </c>
      <c r="Y348" s="445">
        <v>22032564639.021721</v>
      </c>
      <c r="Z348" s="447">
        <v>1.0032784923767484</v>
      </c>
      <c r="AA348" s="446"/>
    </row>
    <row r="349" spans="2:27" s="443" customFormat="1" ht="12.75" customHeight="1">
      <c r="B349" s="444">
        <v>45836</v>
      </c>
      <c r="C349" s="446"/>
      <c r="D349" s="445">
        <v>0</v>
      </c>
      <c r="E349" s="445">
        <v>53950985803.772919</v>
      </c>
      <c r="F349" s="447">
        <v>1.0003299373389212</v>
      </c>
      <c r="G349" s="446"/>
      <c r="H349" s="445">
        <v>0</v>
      </c>
      <c r="I349" s="445">
        <v>51952807147.355537</v>
      </c>
      <c r="J349" s="447">
        <v>1.000308797154599</v>
      </c>
      <c r="K349" s="446"/>
      <c r="L349" s="445">
        <v>0</v>
      </c>
      <c r="M349" s="445">
        <v>32449118218.482109</v>
      </c>
      <c r="N349" s="447">
        <v>1.0003147432091231</v>
      </c>
      <c r="O349" s="446"/>
      <c r="P349" s="445">
        <v>0</v>
      </c>
      <c r="Q349" s="445">
        <v>28114748138.429935</v>
      </c>
      <c r="R349" s="447">
        <v>1.0003202943139671</v>
      </c>
      <c r="S349" s="446"/>
      <c r="T349" s="445">
        <v>0</v>
      </c>
      <c r="U349" s="445">
        <v>27531422937.452354</v>
      </c>
      <c r="V349" s="447">
        <v>1.0003058119433199</v>
      </c>
      <c r="W349" s="446"/>
      <c r="X349" s="445">
        <v>0</v>
      </c>
      <c r="Y349" s="445">
        <v>22039671853.789776</v>
      </c>
      <c r="Z349" s="447">
        <v>1.0003225777336637</v>
      </c>
      <c r="AA349" s="446"/>
    </row>
    <row r="350" spans="2:27" s="443" customFormat="1" ht="12.75" customHeight="1">
      <c r="B350" s="444">
        <v>45837</v>
      </c>
      <c r="C350" s="446"/>
      <c r="D350" s="445">
        <v>0</v>
      </c>
      <c r="E350" s="445">
        <v>53968780377.366951</v>
      </c>
      <c r="F350" s="447">
        <v>1.0003298285161786</v>
      </c>
      <c r="G350" s="446"/>
      <c r="H350" s="445">
        <v>0</v>
      </c>
      <c r="I350" s="445">
        <v>51968845073.910011</v>
      </c>
      <c r="J350" s="447">
        <v>1.0003087018283532</v>
      </c>
      <c r="K350" s="446"/>
      <c r="L350" s="445">
        <v>0</v>
      </c>
      <c r="M350" s="445">
        <v>32459328144.578495</v>
      </c>
      <c r="N350" s="447">
        <v>1.0003146441770048</v>
      </c>
      <c r="O350" s="446"/>
      <c r="P350" s="445">
        <v>0</v>
      </c>
      <c r="Q350" s="445">
        <v>28123750249.072437</v>
      </c>
      <c r="R350" s="447">
        <v>1.0003201917583675</v>
      </c>
      <c r="S350" s="446"/>
      <c r="T350" s="445">
        <v>0</v>
      </c>
      <c r="U350" s="445">
        <v>27539839801.425682</v>
      </c>
      <c r="V350" s="447">
        <v>1.0003057184509661</v>
      </c>
      <c r="W350" s="446"/>
      <c r="X350" s="445">
        <v>0</v>
      </c>
      <c r="Y350" s="445">
        <v>22046779068.557831</v>
      </c>
      <c r="Z350" s="447">
        <v>1.0003224737108249</v>
      </c>
      <c r="AA350" s="446"/>
    </row>
    <row r="351" spans="2:27" s="443" customFormat="1" ht="12.75" customHeight="1">
      <c r="B351" s="444">
        <v>45838</v>
      </c>
      <c r="C351" s="446"/>
      <c r="D351" s="445">
        <v>0</v>
      </c>
      <c r="E351" s="445">
        <v>53990802658.042496</v>
      </c>
      <c r="F351" s="447">
        <v>1.0004080559264368</v>
      </c>
      <c r="G351" s="446"/>
      <c r="H351" s="445">
        <v>0</v>
      </c>
      <c r="I351" s="445">
        <v>51997595117.028641</v>
      </c>
      <c r="J351" s="447">
        <v>1.0005532168951945</v>
      </c>
      <c r="K351" s="446"/>
      <c r="L351" s="445">
        <v>0</v>
      </c>
      <c r="M351" s="445">
        <v>32472895112.699364</v>
      </c>
      <c r="N351" s="447">
        <v>1.0004179682358316</v>
      </c>
      <c r="O351" s="446"/>
      <c r="P351" s="445">
        <v>0</v>
      </c>
      <c r="Q351" s="445">
        <v>28133854254.18623</v>
      </c>
      <c r="R351" s="447">
        <v>1.0003592694795078</v>
      </c>
      <c r="S351" s="446"/>
      <c r="T351" s="445">
        <v>0</v>
      </c>
      <c r="U351" s="445">
        <v>27552118285.339924</v>
      </c>
      <c r="V351" s="447">
        <v>1.0004458444204023</v>
      </c>
      <c r="W351" s="446"/>
      <c r="X351" s="445">
        <v>0</v>
      </c>
      <c r="Y351" s="445">
        <v>22056659606.073254</v>
      </c>
      <c r="Z351" s="447">
        <v>1.0004481624043449</v>
      </c>
      <c r="AA351" s="446"/>
    </row>
    <row r="352" spans="2:27" s="443" customFormat="1" ht="12.75" customHeight="1">
      <c r="B352" s="444">
        <v>45839</v>
      </c>
      <c r="C352" s="446"/>
      <c r="D352" s="445">
        <v>0</v>
      </c>
      <c r="E352" s="445">
        <v>54011719788.177505</v>
      </c>
      <c r="F352" s="447">
        <v>1.0003874202476206</v>
      </c>
      <c r="G352" s="446"/>
      <c r="H352" s="445">
        <v>0</v>
      </c>
      <c r="I352" s="445">
        <v>52022203141.829124</v>
      </c>
      <c r="J352" s="447">
        <v>1.0004732531330556</v>
      </c>
      <c r="K352" s="446"/>
      <c r="L352" s="445">
        <v>0</v>
      </c>
      <c r="M352" s="445">
        <v>32488221330.161873</v>
      </c>
      <c r="N352" s="447">
        <v>1.0004719695428854</v>
      </c>
      <c r="O352" s="446"/>
      <c r="P352" s="445">
        <v>0</v>
      </c>
      <c r="Q352" s="445">
        <v>28145500239.31546</v>
      </c>
      <c r="R352" s="447">
        <v>1.0004139491526476</v>
      </c>
      <c r="S352" s="446"/>
      <c r="T352" s="445">
        <v>0</v>
      </c>
      <c r="U352" s="445">
        <v>27562955665.077881</v>
      </c>
      <c r="V352" s="447">
        <v>1.0003933410718451</v>
      </c>
      <c r="W352" s="446"/>
      <c r="X352" s="445">
        <v>0</v>
      </c>
      <c r="Y352" s="445">
        <v>22063494045.43816</v>
      </c>
      <c r="Z352" s="447">
        <v>1.0003098583143126</v>
      </c>
      <c r="AA352" s="446"/>
    </row>
    <row r="353" spans="2:27" s="443" customFormat="1" ht="12.75" customHeight="1">
      <c r="B353" s="444">
        <v>45840</v>
      </c>
      <c r="C353" s="446"/>
      <c r="D353" s="445">
        <v>0</v>
      </c>
      <c r="E353" s="445">
        <v>53407001620.51017</v>
      </c>
      <c r="F353" s="447">
        <v>0.98880394532818228</v>
      </c>
      <c r="G353" s="446"/>
      <c r="H353" s="445">
        <v>0</v>
      </c>
      <c r="I353" s="445">
        <v>51518564274.743042</v>
      </c>
      <c r="J353" s="447">
        <v>0.99031877089647657</v>
      </c>
      <c r="K353" s="446"/>
      <c r="L353" s="445">
        <v>0</v>
      </c>
      <c r="M353" s="445">
        <v>32100710615.725868</v>
      </c>
      <c r="N353" s="447">
        <v>0.98807227054697999</v>
      </c>
      <c r="O353" s="446"/>
      <c r="P353" s="445">
        <v>0</v>
      </c>
      <c r="Q353" s="445">
        <v>27729865834.453327</v>
      </c>
      <c r="R353" s="447">
        <v>0.9852326517088672</v>
      </c>
      <c r="S353" s="446"/>
      <c r="T353" s="445">
        <v>0</v>
      </c>
      <c r="U353" s="445">
        <v>27306043491.68259</v>
      </c>
      <c r="V353" s="447">
        <v>0.99067907750833861</v>
      </c>
      <c r="W353" s="446"/>
      <c r="X353" s="445">
        <v>0</v>
      </c>
      <c r="Y353" s="445">
        <v>21855242641.239487</v>
      </c>
      <c r="Z353" s="447">
        <v>0.99056126813958867</v>
      </c>
      <c r="AA353" s="446"/>
    </row>
    <row r="354" spans="2:27" s="443" customFormat="1" ht="12.75" customHeight="1">
      <c r="B354" s="444">
        <v>45841</v>
      </c>
      <c r="C354" s="446"/>
      <c r="D354" s="445">
        <v>0</v>
      </c>
      <c r="E354" s="445">
        <v>53565130783.415771</v>
      </c>
      <c r="F354" s="447">
        <v>1.0029608320652263</v>
      </c>
      <c r="G354" s="446"/>
      <c r="H354" s="445">
        <v>0</v>
      </c>
      <c r="I354" s="445">
        <v>51657646349.004318</v>
      </c>
      <c r="J354" s="447">
        <v>1.0026996496548228</v>
      </c>
      <c r="K354" s="446"/>
      <c r="L354" s="445">
        <v>0</v>
      </c>
      <c r="M354" s="445">
        <v>32200680598.511585</v>
      </c>
      <c r="N354" s="447">
        <v>1.0031142607396593</v>
      </c>
      <c r="O354" s="446"/>
      <c r="P354" s="445">
        <v>0</v>
      </c>
      <c r="Q354" s="445">
        <v>27834715317.779728</v>
      </c>
      <c r="R354" s="447">
        <v>1.003781103159761</v>
      </c>
      <c r="S354" s="446"/>
      <c r="T354" s="445">
        <v>0</v>
      </c>
      <c r="U354" s="445">
        <v>27374929631.131073</v>
      </c>
      <c r="V354" s="447">
        <v>1.002522743343226</v>
      </c>
      <c r="W354" s="446"/>
      <c r="X354" s="445">
        <v>0</v>
      </c>
      <c r="Y354" s="445">
        <v>21911046815.222134</v>
      </c>
      <c r="Z354" s="447">
        <v>1.0025533541264533</v>
      </c>
      <c r="AA354" s="446"/>
    </row>
    <row r="355" spans="2:27" s="443" customFormat="1" ht="12.75" customHeight="1">
      <c r="B355" s="444">
        <v>45842</v>
      </c>
      <c r="C355" s="446"/>
      <c r="D355" s="445">
        <v>0</v>
      </c>
      <c r="E355" s="445">
        <v>53619076752.465363</v>
      </c>
      <c r="F355" s="447">
        <v>1.0010071098167894</v>
      </c>
      <c r="G355" s="446"/>
      <c r="H355" s="445">
        <v>0</v>
      </c>
      <c r="I355" s="445">
        <v>51714576288.136398</v>
      </c>
      <c r="J355" s="447">
        <v>1.0011020621951581</v>
      </c>
      <c r="K355" s="446"/>
      <c r="L355" s="445">
        <v>0</v>
      </c>
      <c r="M355" s="445">
        <v>32234976105.035477</v>
      </c>
      <c r="N355" s="447">
        <v>1.0010650553307086</v>
      </c>
      <c r="O355" s="446"/>
      <c r="P355" s="445">
        <v>0</v>
      </c>
      <c r="Q355" s="445">
        <v>27865785572.538773</v>
      </c>
      <c r="R355" s="447">
        <v>1.0011162411544119</v>
      </c>
      <c r="S355" s="446"/>
      <c r="T355" s="445">
        <v>0</v>
      </c>
      <c r="U355" s="445">
        <v>27399903426.939381</v>
      </c>
      <c r="V355" s="447">
        <v>1.0009122871234675</v>
      </c>
      <c r="W355" s="446"/>
      <c r="X355" s="445">
        <v>0</v>
      </c>
      <c r="Y355" s="445">
        <v>21932129930.066639</v>
      </c>
      <c r="Z355" s="447">
        <v>1.0009622139472523</v>
      </c>
      <c r="AA355" s="446"/>
    </row>
    <row r="356" spans="2:27" s="443" customFormat="1" ht="12.75" customHeight="1">
      <c r="B356" s="444">
        <v>45843</v>
      </c>
      <c r="C356" s="446"/>
      <c r="D356" s="445">
        <v>0</v>
      </c>
      <c r="E356" s="445">
        <v>53636877654.864754</v>
      </c>
      <c r="F356" s="447">
        <v>1.000331988230263</v>
      </c>
      <c r="G356" s="446"/>
      <c r="H356" s="445">
        <v>0</v>
      </c>
      <c r="I356" s="445">
        <v>51730424971.938057</v>
      </c>
      <c r="J356" s="447">
        <v>1.0003064645393855</v>
      </c>
      <c r="K356" s="446"/>
      <c r="L356" s="445">
        <v>0</v>
      </c>
      <c r="M356" s="445">
        <v>32245187815.24353</v>
      </c>
      <c r="N356" s="447">
        <v>1.0003167897557852</v>
      </c>
      <c r="O356" s="446"/>
      <c r="P356" s="445">
        <v>0</v>
      </c>
      <c r="Q356" s="445">
        <v>27874790940.952934</v>
      </c>
      <c r="R356" s="447">
        <v>1.0003231693716554</v>
      </c>
      <c r="S356" s="446"/>
      <c r="T356" s="445">
        <v>0</v>
      </c>
      <c r="U356" s="445">
        <v>27408779557.616051</v>
      </c>
      <c r="V356" s="447">
        <v>1.0003239475168348</v>
      </c>
      <c r="W356" s="446"/>
      <c r="X356" s="445">
        <v>0</v>
      </c>
      <c r="Y356" s="445">
        <v>21939242385.834694</v>
      </c>
      <c r="Z356" s="447">
        <v>1.0003242938916892</v>
      </c>
      <c r="AA356" s="446"/>
    </row>
    <row r="357" spans="2:27" s="443" customFormat="1" ht="12.75" customHeight="1">
      <c r="B357" s="444">
        <v>45844</v>
      </c>
      <c r="C357" s="446"/>
      <c r="D357" s="445">
        <v>0</v>
      </c>
      <c r="E357" s="445">
        <v>53654678557.264137</v>
      </c>
      <c r="F357" s="447">
        <v>1.0003318780506563</v>
      </c>
      <c r="G357" s="446"/>
      <c r="H357" s="445">
        <v>0</v>
      </c>
      <c r="I357" s="445">
        <v>51746273655.739731</v>
      </c>
      <c r="J357" s="447">
        <v>1.0003063706476463</v>
      </c>
      <c r="K357" s="446"/>
      <c r="L357" s="445">
        <v>0</v>
      </c>
      <c r="M357" s="445">
        <v>32255399525.45158</v>
      </c>
      <c r="N357" s="447">
        <v>1.0003166894318172</v>
      </c>
      <c r="O357" s="446"/>
      <c r="P357" s="445">
        <v>0</v>
      </c>
      <c r="Q357" s="445">
        <v>27883796309.367104</v>
      </c>
      <c r="R357" s="447">
        <v>1.0003230649669532</v>
      </c>
      <c r="S357" s="446"/>
      <c r="T357" s="445">
        <v>0</v>
      </c>
      <c r="U357" s="445">
        <v>27417655688.292721</v>
      </c>
      <c r="V357" s="447">
        <v>1.0003238426088259</v>
      </c>
      <c r="W357" s="446"/>
      <c r="X357" s="445">
        <v>0</v>
      </c>
      <c r="Y357" s="445">
        <v>21946354841.602753</v>
      </c>
      <c r="Z357" s="447">
        <v>1.0003241887592551</v>
      </c>
      <c r="AA357" s="446"/>
    </row>
    <row r="358" spans="2:27" s="443" customFormat="1" ht="12.75" customHeight="1">
      <c r="B358" s="444">
        <v>45845</v>
      </c>
      <c r="C358" s="446"/>
      <c r="D358" s="445">
        <v>0</v>
      </c>
      <c r="E358" s="445">
        <v>53672479459.663536</v>
      </c>
      <c r="F358" s="447">
        <v>1.0003317679441579</v>
      </c>
      <c r="G358" s="446"/>
      <c r="H358" s="445">
        <v>0</v>
      </c>
      <c r="I358" s="445">
        <v>51762122339.541412</v>
      </c>
      <c r="J358" s="447">
        <v>1.0003062768134208</v>
      </c>
      <c r="K358" s="446"/>
      <c r="L358" s="445">
        <v>0</v>
      </c>
      <c r="M358" s="445">
        <v>32265611235.659641</v>
      </c>
      <c r="N358" s="447">
        <v>1.0003165891713728</v>
      </c>
      <c r="O358" s="446"/>
      <c r="P358" s="445">
        <v>0</v>
      </c>
      <c r="Q358" s="445">
        <v>27892801677.781269</v>
      </c>
      <c r="R358" s="447">
        <v>1.000322960629688</v>
      </c>
      <c r="S358" s="446"/>
      <c r="T358" s="445">
        <v>0</v>
      </c>
      <c r="U358" s="445">
        <v>27426531818.969387</v>
      </c>
      <c r="V358" s="447">
        <v>1.0003237377687422</v>
      </c>
      <c r="W358" s="446"/>
      <c r="X358" s="445">
        <v>0</v>
      </c>
      <c r="Y358" s="445">
        <v>21953467297.370808</v>
      </c>
      <c r="Z358" s="447">
        <v>1.0003240836949638</v>
      </c>
      <c r="AA358" s="446"/>
    </row>
    <row r="359" spans="2:27" s="443" customFormat="1" ht="12.75" customHeight="1">
      <c r="B359" s="444">
        <v>45846</v>
      </c>
      <c r="C359" s="446"/>
      <c r="D359" s="445">
        <v>0</v>
      </c>
      <c r="E359" s="445">
        <v>53716979805.869537</v>
      </c>
      <c r="F359" s="447">
        <v>1.0008291091943953</v>
      </c>
      <c r="G359" s="446"/>
      <c r="H359" s="445">
        <v>0</v>
      </c>
      <c r="I359" s="445">
        <v>51806768621.413101</v>
      </c>
      <c r="J359" s="447">
        <v>1.0008625280389167</v>
      </c>
      <c r="K359" s="446"/>
      <c r="L359" s="445">
        <v>0</v>
      </c>
      <c r="M359" s="445">
        <v>32293580706.913971</v>
      </c>
      <c r="N359" s="447">
        <v>1.000866850810606</v>
      </c>
      <c r="O359" s="446"/>
      <c r="P359" s="445">
        <v>0</v>
      </c>
      <c r="Q359" s="445">
        <v>27917516358.377842</v>
      </c>
      <c r="R359" s="447">
        <v>1.0008860594529756</v>
      </c>
      <c r="S359" s="446"/>
      <c r="T359" s="445">
        <v>0</v>
      </c>
      <c r="U359" s="445">
        <v>27449488752.375065</v>
      </c>
      <c r="V359" s="447">
        <v>1.0008370337728885</v>
      </c>
      <c r="W359" s="446"/>
      <c r="X359" s="445">
        <v>0</v>
      </c>
      <c r="Y359" s="445">
        <v>21971703498.082584</v>
      </c>
      <c r="Z359" s="447">
        <v>1.0008306751942533</v>
      </c>
      <c r="AA359" s="446"/>
    </row>
    <row r="360" spans="2:27" s="443" customFormat="1" ht="12.75" customHeight="1">
      <c r="B360" s="444">
        <v>45847</v>
      </c>
      <c r="C360" s="446"/>
      <c r="D360" s="445">
        <v>0</v>
      </c>
      <c r="E360" s="445">
        <v>52844836636.200104</v>
      </c>
      <c r="F360" s="447">
        <v>0.98376410638086287</v>
      </c>
      <c r="G360" s="446"/>
      <c r="H360" s="445">
        <v>0</v>
      </c>
      <c r="I360" s="445">
        <v>51055832530.680359</v>
      </c>
      <c r="J360" s="447">
        <v>0.9855050583019308</v>
      </c>
      <c r="K360" s="446"/>
      <c r="L360" s="445">
        <v>0</v>
      </c>
      <c r="M360" s="445">
        <v>31733686292.571774</v>
      </c>
      <c r="N360" s="447">
        <v>0.98266236192809908</v>
      </c>
      <c r="O360" s="446"/>
      <c r="P360" s="445">
        <v>0</v>
      </c>
      <c r="Q360" s="445">
        <v>27323809518.247101</v>
      </c>
      <c r="R360" s="447">
        <v>0.97873353659009954</v>
      </c>
      <c r="S360" s="446"/>
      <c r="T360" s="445">
        <v>0</v>
      </c>
      <c r="U360" s="445">
        <v>27078494296.601574</v>
      </c>
      <c r="V360" s="447">
        <v>0.98648446755710917</v>
      </c>
      <c r="W360" s="446"/>
      <c r="X360" s="445">
        <v>0</v>
      </c>
      <c r="Y360" s="445">
        <v>21668313092.96513</v>
      </c>
      <c r="Z360" s="447">
        <v>0.98619176682664</v>
      </c>
      <c r="AA360" s="446"/>
    </row>
    <row r="361" spans="2:27" s="443" customFormat="1" ht="12.75" customHeight="1">
      <c r="B361" s="444">
        <v>45848</v>
      </c>
      <c r="C361" s="446"/>
      <c r="D361" s="445">
        <v>0</v>
      </c>
      <c r="E361" s="445">
        <v>52880910418.722046</v>
      </c>
      <c r="F361" s="447">
        <v>1.0006826358981917</v>
      </c>
      <c r="G361" s="446"/>
      <c r="H361" s="445">
        <v>0</v>
      </c>
      <c r="I361" s="445">
        <v>51087593545.438087</v>
      </c>
      <c r="J361" s="447">
        <v>1.0006220839654048</v>
      </c>
      <c r="K361" s="446"/>
      <c r="L361" s="445">
        <v>0</v>
      </c>
      <c r="M361" s="445">
        <v>31756008342.018936</v>
      </c>
      <c r="N361" s="447">
        <v>1.0007034181040728</v>
      </c>
      <c r="O361" s="446"/>
      <c r="P361" s="445">
        <v>0</v>
      </c>
      <c r="Q361" s="445">
        <v>27364729040.101578</v>
      </c>
      <c r="R361" s="447">
        <v>1.0014975774819082</v>
      </c>
      <c r="S361" s="446"/>
      <c r="T361" s="445">
        <v>0</v>
      </c>
      <c r="U361" s="445">
        <v>27110926799.546848</v>
      </c>
      <c r="V361" s="447">
        <v>1.0011977218005561</v>
      </c>
      <c r="W361" s="446"/>
      <c r="X361" s="445">
        <v>0</v>
      </c>
      <c r="Y361" s="445">
        <v>21682282910.396263</v>
      </c>
      <c r="Z361" s="447">
        <v>1.0006447118135684</v>
      </c>
      <c r="AA361" s="446"/>
    </row>
    <row r="362" spans="2:27" s="443" customFormat="1" ht="12.75" customHeight="1">
      <c r="B362" s="444">
        <v>45849</v>
      </c>
      <c r="C362" s="446"/>
      <c r="D362" s="445">
        <v>0</v>
      </c>
      <c r="E362" s="445">
        <v>52916538586.903702</v>
      </c>
      <c r="F362" s="447">
        <v>1.0006737434718795</v>
      </c>
      <c r="G362" s="446"/>
      <c r="H362" s="445">
        <v>0</v>
      </c>
      <c r="I362" s="445">
        <v>51119467894.222961</v>
      </c>
      <c r="J362" s="447">
        <v>1.0006239156431693</v>
      </c>
      <c r="K362" s="446"/>
      <c r="L362" s="445">
        <v>0</v>
      </c>
      <c r="M362" s="445">
        <v>31778359140.683491</v>
      </c>
      <c r="N362" s="447">
        <v>1.0007038289706891</v>
      </c>
      <c r="O362" s="446"/>
      <c r="P362" s="445">
        <v>0</v>
      </c>
      <c r="Q362" s="445">
        <v>27386343722.591782</v>
      </c>
      <c r="R362" s="447">
        <v>1.0007898737991716</v>
      </c>
      <c r="S362" s="446"/>
      <c r="T362" s="445">
        <v>0</v>
      </c>
      <c r="U362" s="445">
        <v>27128293407.668068</v>
      </c>
      <c r="V362" s="447">
        <v>1.0006405759659058</v>
      </c>
      <c r="W362" s="446"/>
      <c r="X362" s="445">
        <v>0</v>
      </c>
      <c r="Y362" s="445">
        <v>21696307921.360374</v>
      </c>
      <c r="Z362" s="447">
        <v>1.0006468419871686</v>
      </c>
      <c r="AA362" s="446"/>
    </row>
    <row r="363" spans="2:27" s="443" customFormat="1" ht="12.75" customHeight="1">
      <c r="B363" s="444">
        <v>45850</v>
      </c>
      <c r="C363" s="446"/>
      <c r="D363" s="445">
        <v>0</v>
      </c>
      <c r="E363" s="445">
        <v>52934351935.100693</v>
      </c>
      <c r="F363" s="447">
        <v>1.0003366310169313</v>
      </c>
      <c r="G363" s="446"/>
      <c r="H363" s="445">
        <v>0</v>
      </c>
      <c r="I363" s="445">
        <v>51135318188.966293</v>
      </c>
      <c r="J363" s="447">
        <v>1.0003100637662374</v>
      </c>
      <c r="K363" s="446"/>
      <c r="L363" s="445">
        <v>0</v>
      </c>
      <c r="M363" s="445">
        <v>31788576476.569881</v>
      </c>
      <c r="N363" s="447">
        <v>1.0003215186737981</v>
      </c>
      <c r="O363" s="446"/>
      <c r="P363" s="445">
        <v>0</v>
      </c>
      <c r="Q363" s="445">
        <v>27395361690.572056</v>
      </c>
      <c r="R363" s="447">
        <v>1.0003292870370584</v>
      </c>
      <c r="S363" s="446"/>
      <c r="T363" s="445">
        <v>0</v>
      </c>
      <c r="U363" s="445">
        <v>27136859841.304737</v>
      </c>
      <c r="V363" s="447">
        <v>1.0003157748815208</v>
      </c>
      <c r="W363" s="446"/>
      <c r="X363" s="445">
        <v>0</v>
      </c>
      <c r="Y363" s="445">
        <v>21703426842.364143</v>
      </c>
      <c r="Z363" s="447">
        <v>1.0003281167021398</v>
      </c>
      <c r="AA363" s="446"/>
    </row>
    <row r="364" spans="2:27" s="443" customFormat="1" ht="12.75" customHeight="1">
      <c r="B364" s="444">
        <v>45851</v>
      </c>
      <c r="C364" s="446"/>
      <c r="D364" s="445">
        <v>0</v>
      </c>
      <c r="E364" s="445">
        <v>52952165283.297676</v>
      </c>
      <c r="F364" s="447">
        <v>1.000336517734624</v>
      </c>
      <c r="G364" s="446"/>
      <c r="H364" s="445">
        <v>0</v>
      </c>
      <c r="I364" s="445">
        <v>51151168483.709618</v>
      </c>
      <c r="J364" s="447">
        <v>1.0003099676564982</v>
      </c>
      <c r="K364" s="446"/>
      <c r="L364" s="445">
        <v>0</v>
      </c>
      <c r="M364" s="445">
        <v>31798793812.456268</v>
      </c>
      <c r="N364" s="447">
        <v>1.0003214153327664</v>
      </c>
      <c r="O364" s="446"/>
      <c r="P364" s="445">
        <v>0</v>
      </c>
      <c r="Q364" s="445">
        <v>27404379658.552338</v>
      </c>
      <c r="R364" s="447">
        <v>1.0003291786427988</v>
      </c>
      <c r="S364" s="446"/>
      <c r="T364" s="445">
        <v>0</v>
      </c>
      <c r="U364" s="445">
        <v>27145426274.941402</v>
      </c>
      <c r="V364" s="447">
        <v>1.0003156751992222</v>
      </c>
      <c r="W364" s="446"/>
      <c r="X364" s="445">
        <v>0</v>
      </c>
      <c r="Y364" s="445">
        <v>21710545763.367916</v>
      </c>
      <c r="Z364" s="447">
        <v>1.0003280090768836</v>
      </c>
      <c r="AA364" s="446"/>
    </row>
    <row r="365" spans="2:27" s="443" customFormat="1" ht="12.75" customHeight="1">
      <c r="B365" s="444">
        <v>45852</v>
      </c>
      <c r="C365" s="446"/>
      <c r="D365" s="445">
        <v>0</v>
      </c>
      <c r="E365" s="445">
        <v>53090677089.375313</v>
      </c>
      <c r="F365" s="447">
        <v>1.0026157911642817</v>
      </c>
      <c r="G365" s="446"/>
      <c r="H365" s="445">
        <v>0</v>
      </c>
      <c r="I365" s="445">
        <v>51335432243.709061</v>
      </c>
      <c r="J365" s="447">
        <v>1.0036023372576157</v>
      </c>
      <c r="K365" s="446"/>
      <c r="L365" s="445">
        <v>0</v>
      </c>
      <c r="M365" s="445">
        <v>31925191857.750111</v>
      </c>
      <c r="N365" s="447">
        <v>1.0039749320694149</v>
      </c>
      <c r="O365" s="446"/>
      <c r="P365" s="445">
        <v>0</v>
      </c>
      <c r="Q365" s="445">
        <v>27510114329.851841</v>
      </c>
      <c r="R365" s="447">
        <v>1.0038583128907466</v>
      </c>
      <c r="S365" s="446"/>
      <c r="T365" s="445">
        <v>0</v>
      </c>
      <c r="U365" s="445">
        <v>27215319541.081192</v>
      </c>
      <c r="V365" s="447">
        <v>1.0025747713604449</v>
      </c>
      <c r="W365" s="446"/>
      <c r="X365" s="445">
        <v>0</v>
      </c>
      <c r="Y365" s="445">
        <v>21727787958.969837</v>
      </c>
      <c r="Z365" s="447">
        <v>1.0007941852678348</v>
      </c>
      <c r="AA365" s="446"/>
    </row>
    <row r="366" spans="2:27" s="443" customFormat="1" ht="12.75" customHeight="1">
      <c r="B366" s="444">
        <v>45853</v>
      </c>
      <c r="C366" s="446"/>
      <c r="D366" s="445">
        <v>0</v>
      </c>
      <c r="E366" s="445">
        <v>53008269437.049774</v>
      </c>
      <c r="F366" s="447">
        <v>0.99844779428623953</v>
      </c>
      <c r="G366" s="446"/>
      <c r="H366" s="445">
        <v>0</v>
      </c>
      <c r="I366" s="445">
        <v>51177264059.140411</v>
      </c>
      <c r="J366" s="447">
        <v>0.99691892757778366</v>
      </c>
      <c r="K366" s="446"/>
      <c r="L366" s="445">
        <v>0</v>
      </c>
      <c r="M366" s="445">
        <v>31830830495.04644</v>
      </c>
      <c r="N366" s="447">
        <v>0.99704429770934133</v>
      </c>
      <c r="O366" s="446"/>
      <c r="P366" s="445">
        <v>0</v>
      </c>
      <c r="Q366" s="445">
        <v>27441194576.411411</v>
      </c>
      <c r="R366" s="447">
        <v>0.99749474856359854</v>
      </c>
      <c r="S366" s="446"/>
      <c r="T366" s="445">
        <v>0</v>
      </c>
      <c r="U366" s="445">
        <v>27170907909.846947</v>
      </c>
      <c r="V366" s="447">
        <v>0.99836813853435724</v>
      </c>
      <c r="W366" s="446"/>
      <c r="X366" s="445">
        <v>0</v>
      </c>
      <c r="Y366" s="445">
        <v>21730863225.189438</v>
      </c>
      <c r="Z366" s="447">
        <v>1.0001415360931085</v>
      </c>
      <c r="AA366" s="446"/>
    </row>
    <row r="367" spans="2:27" s="443" customFormat="1" ht="12.75" customHeight="1">
      <c r="B367" s="444">
        <v>45854</v>
      </c>
      <c r="C367" s="446"/>
      <c r="D367" s="445">
        <v>0</v>
      </c>
      <c r="E367" s="445">
        <v>53037291161.18264</v>
      </c>
      <c r="F367" s="447">
        <v>1.0005474942766681</v>
      </c>
      <c r="G367" s="446"/>
      <c r="H367" s="445">
        <v>0</v>
      </c>
      <c r="I367" s="445">
        <v>51199043916.075966</v>
      </c>
      <c r="J367" s="447">
        <v>1.0004255768129844</v>
      </c>
      <c r="K367" s="446"/>
      <c r="L367" s="445">
        <v>0</v>
      </c>
      <c r="M367" s="445">
        <v>31848359890.442299</v>
      </c>
      <c r="N367" s="447">
        <v>1.0005507049336519</v>
      </c>
      <c r="O367" s="446"/>
      <c r="P367" s="445">
        <v>0</v>
      </c>
      <c r="Q367" s="445">
        <v>27458733514.044006</v>
      </c>
      <c r="R367" s="447">
        <v>1.0006391462873001</v>
      </c>
      <c r="S367" s="446"/>
      <c r="T367" s="445">
        <v>0</v>
      </c>
      <c r="U367" s="445">
        <v>27184674880.803234</v>
      </c>
      <c r="V367" s="447">
        <v>1.0005066805644467</v>
      </c>
      <c r="W367" s="446"/>
      <c r="X367" s="445">
        <v>0</v>
      </c>
      <c r="Y367" s="445">
        <v>21741831136.87542</v>
      </c>
      <c r="Z367" s="447">
        <v>1.0005047158767844</v>
      </c>
      <c r="AA367" s="446"/>
    </row>
    <row r="368" spans="2:27" s="443" customFormat="1" ht="12.75" customHeight="1">
      <c r="B368" s="444">
        <v>45855</v>
      </c>
      <c r="C368" s="446"/>
      <c r="D368" s="445">
        <v>0</v>
      </c>
      <c r="E368" s="445">
        <v>53069024819.210121</v>
      </c>
      <c r="F368" s="447">
        <v>1</v>
      </c>
      <c r="G368" s="446"/>
      <c r="H368" s="445">
        <v>0</v>
      </c>
      <c r="I368" s="445">
        <v>51226592095.862732</v>
      </c>
      <c r="J368" s="447">
        <v>1</v>
      </c>
      <c r="K368" s="446"/>
      <c r="L368" s="445">
        <v>0</v>
      </c>
      <c r="M368" s="445">
        <v>31867558821.523792</v>
      </c>
      <c r="N368" s="447">
        <v>1</v>
      </c>
      <c r="O368" s="446"/>
      <c r="P368" s="445">
        <v>0</v>
      </c>
      <c r="Q368" s="445">
        <v>27477563826.754532</v>
      </c>
      <c r="R368" s="447">
        <v>1</v>
      </c>
      <c r="S368" s="446"/>
      <c r="T368" s="445">
        <v>0</v>
      </c>
      <c r="U368" s="445">
        <v>27200177685.596748</v>
      </c>
      <c r="V368" s="447">
        <v>1</v>
      </c>
      <c r="W368" s="446"/>
      <c r="X368" s="445">
        <v>0</v>
      </c>
      <c r="Y368" s="445">
        <v>21753910785.861557</v>
      </c>
      <c r="Z368" s="447">
        <v>1</v>
      </c>
      <c r="AA368" s="446"/>
    </row>
    <row r="369" spans="2:27" s="443" customFormat="1" ht="12.75" customHeight="1">
      <c r="B369" s="444">
        <v>45856</v>
      </c>
      <c r="C369" s="446"/>
      <c r="D369" s="445">
        <v>0</v>
      </c>
      <c r="E369" s="445">
        <v>53099883213.526505</v>
      </c>
      <c r="F369" s="447">
        <v>1.0005814765660668</v>
      </c>
      <c r="G369" s="446"/>
      <c r="H369" s="445">
        <v>0</v>
      </c>
      <c r="I369" s="445">
        <v>51253190029.090775</v>
      </c>
      <c r="J369" s="447">
        <v>1.0005192212118712</v>
      </c>
      <c r="K369" s="446"/>
      <c r="L369" s="445">
        <v>0</v>
      </c>
      <c r="M369" s="445">
        <v>31886183109.672886</v>
      </c>
      <c r="N369" s="447">
        <v>1.0005844278268505</v>
      </c>
      <c r="O369" s="446"/>
      <c r="P369" s="445">
        <v>0</v>
      </c>
      <c r="Q369" s="445">
        <v>27496558063.722576</v>
      </c>
      <c r="R369" s="447">
        <v>1.0006912635009348</v>
      </c>
      <c r="S369" s="446"/>
      <c r="T369" s="445">
        <v>0</v>
      </c>
      <c r="U369" s="445">
        <v>27215138704.820972</v>
      </c>
      <c r="V369" s="447">
        <v>1.0005500338783502</v>
      </c>
      <c r="W369" s="446"/>
      <c r="X369" s="445">
        <v>0</v>
      </c>
      <c r="Y369" s="445">
        <v>21765557065.777905</v>
      </c>
      <c r="Z369" s="447">
        <v>1.000535364883629</v>
      </c>
      <c r="AA369" s="446"/>
    </row>
    <row r="370" spans="2:27" s="443" customFormat="1" ht="12.75" customHeight="1">
      <c r="B370" s="444">
        <v>45857</v>
      </c>
      <c r="C370" s="446"/>
      <c r="D370" s="445">
        <v>0</v>
      </c>
      <c r="E370" s="445">
        <v>53117718727.729195</v>
      </c>
      <c r="F370" s="447">
        <v>1.0003358861286187</v>
      </c>
      <c r="G370" s="446"/>
      <c r="H370" s="445">
        <v>0</v>
      </c>
      <c r="I370" s="445">
        <v>51269048124.317421</v>
      </c>
      <c r="J370" s="447">
        <v>1.0003094069894507</v>
      </c>
      <c r="K370" s="446"/>
      <c r="L370" s="445">
        <v>0</v>
      </c>
      <c r="M370" s="445">
        <v>31896404492.145943</v>
      </c>
      <c r="N370" s="447">
        <v>1.0003205583571386</v>
      </c>
      <c r="O370" s="446"/>
      <c r="P370" s="445">
        <v>0</v>
      </c>
      <c r="Q370" s="445">
        <v>27505583685.782856</v>
      </c>
      <c r="R370" s="447">
        <v>1.0003282455221982</v>
      </c>
      <c r="S370" s="446"/>
      <c r="T370" s="445">
        <v>0</v>
      </c>
      <c r="U370" s="445">
        <v>27223726844.787636</v>
      </c>
      <c r="V370" s="447">
        <v>1.0003155648060373</v>
      </c>
      <c r="W370" s="446"/>
      <c r="X370" s="445">
        <v>0</v>
      </c>
      <c r="Y370" s="445">
        <v>21772678213.642624</v>
      </c>
      <c r="Z370" s="447">
        <v>1.0003271750795626</v>
      </c>
      <c r="AA370" s="446"/>
    </row>
    <row r="371" spans="2:27" s="443" customFormat="1" ht="12.75" customHeight="1">
      <c r="B371" s="444">
        <v>45858</v>
      </c>
      <c r="C371" s="446"/>
      <c r="D371" s="445">
        <v>0</v>
      </c>
      <c r="E371" s="445">
        <v>53135554241.9319</v>
      </c>
      <c r="F371" s="447">
        <v>1.0003357733470093</v>
      </c>
      <c r="G371" s="446"/>
      <c r="H371" s="445">
        <v>0</v>
      </c>
      <c r="I371" s="445">
        <v>51284906219.544113</v>
      </c>
      <c r="J371" s="447">
        <v>1.0003093112863777</v>
      </c>
      <c r="K371" s="446"/>
      <c r="L371" s="445">
        <v>0</v>
      </c>
      <c r="M371" s="445">
        <v>31906625874.619003</v>
      </c>
      <c r="N371" s="447">
        <v>1.0003204556324077</v>
      </c>
      <c r="O371" s="446"/>
      <c r="P371" s="445">
        <v>0</v>
      </c>
      <c r="Q371" s="445">
        <v>27514609307.843136</v>
      </c>
      <c r="R371" s="447">
        <v>1.0003281378124307</v>
      </c>
      <c r="S371" s="446"/>
      <c r="T371" s="445">
        <v>0</v>
      </c>
      <c r="U371" s="445">
        <v>27232314984.754299</v>
      </c>
      <c r="V371" s="447">
        <v>1.0003154652563049</v>
      </c>
      <c r="W371" s="446"/>
      <c r="X371" s="445">
        <v>0</v>
      </c>
      <c r="Y371" s="445">
        <v>21779799361.507347</v>
      </c>
      <c r="Z371" s="447">
        <v>1.0003270680710405</v>
      </c>
      <c r="AA371" s="446"/>
    </row>
    <row r="372" spans="2:27" s="443" customFormat="1" ht="12.75" customHeight="1">
      <c r="B372" s="444">
        <v>45859</v>
      </c>
      <c r="C372" s="446"/>
      <c r="D372" s="445">
        <v>0</v>
      </c>
      <c r="E372" s="445">
        <v>53141439594.246284</v>
      </c>
      <c r="F372" s="447">
        <v>1.0001107610976934</v>
      </c>
      <c r="G372" s="446"/>
      <c r="H372" s="445">
        <v>0</v>
      </c>
      <c r="I372" s="445">
        <v>51281596263.514999</v>
      </c>
      <c r="J372" s="447">
        <v>0.99993545945048734</v>
      </c>
      <c r="K372" s="446"/>
      <c r="L372" s="445">
        <v>0</v>
      </c>
      <c r="M372" s="445">
        <v>31908709561.56226</v>
      </c>
      <c r="N372" s="447">
        <v>1.0000653057754036</v>
      </c>
      <c r="O372" s="446"/>
      <c r="P372" s="445">
        <v>0</v>
      </c>
      <c r="Q372" s="445">
        <v>27516172706.060509</v>
      </c>
      <c r="R372" s="447">
        <v>1.0000568206584322</v>
      </c>
      <c r="S372" s="446"/>
      <c r="T372" s="445">
        <v>0</v>
      </c>
      <c r="U372" s="445">
        <v>27235737152.65292</v>
      </c>
      <c r="V372" s="447">
        <v>1.0001256656990247</v>
      </c>
      <c r="W372" s="446"/>
      <c r="X372" s="445">
        <v>0</v>
      </c>
      <c r="Y372" s="445">
        <v>21782772583.715271</v>
      </c>
      <c r="Z372" s="447">
        <v>1.0001365128373578</v>
      </c>
      <c r="AA372" s="446"/>
    </row>
    <row r="373" spans="2:27" s="443" customFormat="1" ht="12.75" customHeight="1">
      <c r="B373" s="444">
        <v>45860</v>
      </c>
      <c r="C373" s="446"/>
      <c r="D373" s="445">
        <v>0</v>
      </c>
      <c r="E373" s="445">
        <v>53189191760.987602</v>
      </c>
      <c r="F373" s="447">
        <v>1.0008985862465511</v>
      </c>
      <c r="G373" s="446"/>
      <c r="H373" s="445">
        <v>0</v>
      </c>
      <c r="I373" s="445">
        <v>51321401926.115814</v>
      </c>
      <c r="J373" s="447">
        <v>1.0007762173079846</v>
      </c>
      <c r="K373" s="446"/>
      <c r="L373" s="445">
        <v>0</v>
      </c>
      <c r="M373" s="445">
        <v>31938698016.666451</v>
      </c>
      <c r="N373" s="447">
        <v>1.000939820366171</v>
      </c>
      <c r="O373" s="446"/>
      <c r="P373" s="445">
        <v>0</v>
      </c>
      <c r="Q373" s="445">
        <v>27546443111.566292</v>
      </c>
      <c r="R373" s="447">
        <v>1.0011000950542484</v>
      </c>
      <c r="S373" s="446"/>
      <c r="T373" s="445">
        <v>0</v>
      </c>
      <c r="U373" s="445">
        <v>27258462556.77533</v>
      </c>
      <c r="V373" s="447">
        <v>1.0008343965134865</v>
      </c>
      <c r="W373" s="446"/>
      <c r="X373" s="445">
        <v>0</v>
      </c>
      <c r="Y373" s="445">
        <v>21797396241.564312</v>
      </c>
      <c r="Z373" s="447">
        <v>1.0006713405188821</v>
      </c>
      <c r="AA373" s="446"/>
    </row>
    <row r="374" spans="2:27" s="443" customFormat="1" ht="12.75" customHeight="1">
      <c r="B374" s="444">
        <v>45861</v>
      </c>
      <c r="C374" s="446"/>
      <c r="D374" s="445">
        <v>0</v>
      </c>
      <c r="E374" s="445">
        <v>52895472609.66497</v>
      </c>
      <c r="F374" s="447">
        <v>0.99447784142608342</v>
      </c>
      <c r="G374" s="446"/>
      <c r="H374" s="445">
        <v>0</v>
      </c>
      <c r="I374" s="445">
        <v>51206571211.742683</v>
      </c>
      <c r="J374" s="447">
        <v>0.99776251797372084</v>
      </c>
      <c r="K374" s="446"/>
      <c r="L374" s="445">
        <v>0</v>
      </c>
      <c r="M374" s="445">
        <v>31759451309.995655</v>
      </c>
      <c r="N374" s="447">
        <v>0.99438778917734028</v>
      </c>
      <c r="O374" s="446"/>
      <c r="P374" s="445">
        <v>0</v>
      </c>
      <c r="Q374" s="445">
        <v>27305684015.349655</v>
      </c>
      <c r="R374" s="447">
        <v>0.99125988443438839</v>
      </c>
      <c r="S374" s="446"/>
      <c r="T374" s="445">
        <v>0</v>
      </c>
      <c r="U374" s="445">
        <v>27141122987.2313</v>
      </c>
      <c r="V374" s="447">
        <v>0.99569529758695563</v>
      </c>
      <c r="W374" s="446"/>
      <c r="X374" s="445">
        <v>0</v>
      </c>
      <c r="Y374" s="445">
        <v>21713886163.055798</v>
      </c>
      <c r="Z374" s="447">
        <v>0.99616880486168924</v>
      </c>
      <c r="AA374" s="446"/>
    </row>
    <row r="375" spans="2:27" s="443" customFormat="1" ht="12.75" customHeight="1">
      <c r="B375" s="444">
        <v>45862</v>
      </c>
      <c r="C375" s="446"/>
      <c r="D375" s="445">
        <v>0</v>
      </c>
      <c r="E375" s="445">
        <v>52919985544.956482</v>
      </c>
      <c r="F375" s="447">
        <v>1.0004634221811837</v>
      </c>
      <c r="G375" s="446"/>
      <c r="H375" s="445">
        <v>0</v>
      </c>
      <c r="I375" s="445">
        <v>51225937325.663513</v>
      </c>
      <c r="J375" s="447">
        <v>1.0003781958733529</v>
      </c>
      <c r="K375" s="446"/>
      <c r="L375" s="445">
        <v>0</v>
      </c>
      <c r="M375" s="445">
        <v>31773824008.05901</v>
      </c>
      <c r="N375" s="447">
        <v>1.0004525486893041</v>
      </c>
      <c r="O375" s="446"/>
      <c r="P375" s="445">
        <v>0</v>
      </c>
      <c r="Q375" s="445">
        <v>27325097490.974911</v>
      </c>
      <c r="R375" s="447">
        <v>1.0007109682956246</v>
      </c>
      <c r="S375" s="446"/>
      <c r="T375" s="445">
        <v>0</v>
      </c>
      <c r="U375" s="445">
        <v>27151062356.151421</v>
      </c>
      <c r="V375" s="447">
        <v>1.0003662106731839</v>
      </c>
      <c r="W375" s="446"/>
      <c r="X375" s="445">
        <v>0</v>
      </c>
      <c r="Y375" s="445">
        <v>21723073368.289589</v>
      </c>
      <c r="Z375" s="447">
        <v>1.0004231027631258</v>
      </c>
      <c r="AA375" s="446"/>
    </row>
    <row r="376" spans="2:27" s="443" customFormat="1" ht="12.75" customHeight="1">
      <c r="B376" s="444">
        <v>45863</v>
      </c>
      <c r="C376" s="446"/>
      <c r="D376" s="445">
        <v>0</v>
      </c>
      <c r="E376" s="445">
        <v>52949529279.718872</v>
      </c>
      <c r="F376" s="447">
        <v>1.0005582717844337</v>
      </c>
      <c r="G376" s="446"/>
      <c r="H376" s="445">
        <v>0</v>
      </c>
      <c r="I376" s="445">
        <v>51252408018.598282</v>
      </c>
      <c r="J376" s="447">
        <v>1.0005167439448981</v>
      </c>
      <c r="K376" s="446"/>
      <c r="L376" s="445">
        <v>0</v>
      </c>
      <c r="M376" s="445">
        <v>31791536027.375061</v>
      </c>
      <c r="N376" s="447">
        <v>1.0005574405936017</v>
      </c>
      <c r="O376" s="446"/>
      <c r="P376" s="445">
        <v>0</v>
      </c>
      <c r="Q376" s="445">
        <v>27341848945.85202</v>
      </c>
      <c r="R376" s="447">
        <v>1.0006130428219933</v>
      </c>
      <c r="S376" s="446"/>
      <c r="T376" s="445">
        <v>0</v>
      </c>
      <c r="U376" s="445">
        <v>27165519242.553516</v>
      </c>
      <c r="V376" s="447">
        <v>1.0005324611690127</v>
      </c>
      <c r="W376" s="446"/>
      <c r="X376" s="445">
        <v>0</v>
      </c>
      <c r="Y376" s="445">
        <v>21734414755.678532</v>
      </c>
      <c r="Z376" s="447">
        <v>1.0005220894482407</v>
      </c>
      <c r="AA376" s="446"/>
    </row>
    <row r="377" spans="2:27" s="443" customFormat="1" ht="12.75" customHeight="1">
      <c r="B377" s="444">
        <v>45864</v>
      </c>
      <c r="C377" s="446"/>
      <c r="D377" s="445">
        <v>0</v>
      </c>
      <c r="E377" s="445">
        <v>52967496921.088715</v>
      </c>
      <c r="F377" s="447">
        <v>1.0003393352427161</v>
      </c>
      <c r="G377" s="446"/>
      <c r="H377" s="445">
        <v>0</v>
      </c>
      <c r="I377" s="445">
        <v>51268263139.3172</v>
      </c>
      <c r="J377" s="447">
        <v>1.0003093536739418</v>
      </c>
      <c r="K377" s="446"/>
      <c r="L377" s="445">
        <v>0</v>
      </c>
      <c r="M377" s="445">
        <v>31801829451.528118</v>
      </c>
      <c r="N377" s="447">
        <v>1.0003237787612462</v>
      </c>
      <c r="O377" s="446"/>
      <c r="P377" s="445">
        <v>0</v>
      </c>
      <c r="Q377" s="445">
        <v>27350876611.801193</v>
      </c>
      <c r="R377" s="447">
        <v>1.0003301775957818</v>
      </c>
      <c r="S377" s="446"/>
      <c r="T377" s="445">
        <v>0</v>
      </c>
      <c r="U377" s="445">
        <v>27173671862.481293</v>
      </c>
      <c r="V377" s="447">
        <v>1.0003001091146091</v>
      </c>
      <c r="W377" s="446"/>
      <c r="X377" s="445">
        <v>0</v>
      </c>
      <c r="Y377" s="445">
        <v>21741638573.305725</v>
      </c>
      <c r="Z377" s="447">
        <v>1.0003323677084659</v>
      </c>
      <c r="AA377" s="446"/>
    </row>
    <row r="378" spans="2:27" s="443" customFormat="1" ht="12.75" customHeight="1">
      <c r="B378" s="444">
        <v>45865</v>
      </c>
      <c r="C378" s="446"/>
      <c r="D378" s="445">
        <v>0</v>
      </c>
      <c r="E378" s="445">
        <v>52985464562.458565</v>
      </c>
      <c r="F378" s="447">
        <v>1.0003392201333701</v>
      </c>
      <c r="G378" s="446"/>
      <c r="H378" s="445">
        <v>0</v>
      </c>
      <c r="I378" s="445">
        <v>51284118260.036072</v>
      </c>
      <c r="J378" s="447">
        <v>1.0003092580038413</v>
      </c>
      <c r="K378" s="446"/>
      <c r="L378" s="445">
        <v>0</v>
      </c>
      <c r="M378" s="445">
        <v>31812122875.681175</v>
      </c>
      <c r="N378" s="447">
        <v>1.0003236739624917</v>
      </c>
      <c r="O378" s="446"/>
      <c r="P378" s="445">
        <v>0</v>
      </c>
      <c r="Q378" s="445">
        <v>27359904277.750351</v>
      </c>
      <c r="R378" s="447">
        <v>1.0003300686145198</v>
      </c>
      <c r="S378" s="446"/>
      <c r="T378" s="445">
        <v>0</v>
      </c>
      <c r="U378" s="445">
        <v>27181824482.409073</v>
      </c>
      <c r="V378" s="447">
        <v>1.0003000190761497</v>
      </c>
      <c r="W378" s="446"/>
      <c r="X378" s="445">
        <v>0</v>
      </c>
      <c r="Y378" s="445">
        <v>21748862390.932919</v>
      </c>
      <c r="Z378" s="447">
        <v>1.0003322572768762</v>
      </c>
      <c r="AA378" s="446"/>
    </row>
    <row r="379" spans="2:27" s="443" customFormat="1" ht="12.75" customHeight="1">
      <c r="B379" s="444">
        <v>45866</v>
      </c>
      <c r="C379" s="446"/>
      <c r="D379" s="445">
        <v>0</v>
      </c>
      <c r="E379" s="445">
        <v>53124117272.71347</v>
      </c>
      <c r="F379" s="447">
        <v>1.0026168065411876</v>
      </c>
      <c r="G379" s="446"/>
      <c r="H379" s="445">
        <v>0</v>
      </c>
      <c r="I379" s="445">
        <v>51469585325.463455</v>
      </c>
      <c r="J379" s="447">
        <v>1.0036164620104604</v>
      </c>
      <c r="K379" s="446"/>
      <c r="L379" s="445">
        <v>0</v>
      </c>
      <c r="M379" s="445">
        <v>31936321309.883656</v>
      </c>
      <c r="N379" s="447">
        <v>1.0039041227989669</v>
      </c>
      <c r="O379" s="446"/>
      <c r="P379" s="445">
        <v>0</v>
      </c>
      <c r="Q379" s="445">
        <v>27463934194.607105</v>
      </c>
      <c r="R379" s="447">
        <v>1.003802276345731</v>
      </c>
      <c r="S379" s="446"/>
      <c r="T379" s="445">
        <v>0</v>
      </c>
      <c r="U379" s="445">
        <v>27254682059.526901</v>
      </c>
      <c r="V379" s="447">
        <v>1.0026803784699949</v>
      </c>
      <c r="W379" s="446"/>
      <c r="X379" s="445">
        <v>0</v>
      </c>
      <c r="Y379" s="445">
        <v>21769871370.952316</v>
      </c>
      <c r="Z379" s="447">
        <v>1.0009659806403555</v>
      </c>
      <c r="AA379" s="446"/>
    </row>
    <row r="380" spans="2:27" s="443" customFormat="1" ht="12.75" customHeight="1">
      <c r="B380" s="444">
        <v>45867</v>
      </c>
      <c r="C380" s="446"/>
      <c r="D380" s="445">
        <v>0</v>
      </c>
      <c r="E380" s="445">
        <v>53066372641.696434</v>
      </c>
      <c r="F380" s="447">
        <v>0.9989130241784423</v>
      </c>
      <c r="G380" s="446"/>
      <c r="H380" s="445">
        <v>0</v>
      </c>
      <c r="I380" s="445">
        <v>51350299190.808701</v>
      </c>
      <c r="J380" s="447">
        <v>0.99768239565365724</v>
      </c>
      <c r="K380" s="446"/>
      <c r="L380" s="445">
        <v>0</v>
      </c>
      <c r="M380" s="445">
        <v>31851785207.215969</v>
      </c>
      <c r="N380" s="447">
        <v>0.99735297932885203</v>
      </c>
      <c r="O380" s="446"/>
      <c r="P380" s="445">
        <v>0</v>
      </c>
      <c r="Q380" s="445">
        <v>27402588716.461079</v>
      </c>
      <c r="R380" s="447">
        <v>0.99776632591269199</v>
      </c>
      <c r="S380" s="446"/>
      <c r="T380" s="445">
        <v>0</v>
      </c>
      <c r="U380" s="445">
        <v>27225804658.274712</v>
      </c>
      <c r="V380" s="447">
        <v>0.99894046090175925</v>
      </c>
      <c r="W380" s="446"/>
      <c r="X380" s="445">
        <v>0</v>
      </c>
      <c r="Y380" s="445">
        <v>21792309972.415894</v>
      </c>
      <c r="Z380" s="447">
        <v>1.0010307181462503</v>
      </c>
      <c r="AA380" s="446"/>
    </row>
    <row r="381" spans="2:27" s="443" customFormat="1" ht="12.75" customHeight="1">
      <c r="B381" s="444">
        <v>45868</v>
      </c>
      <c r="C381" s="446"/>
      <c r="D381" s="445">
        <v>0</v>
      </c>
      <c r="E381" s="445">
        <v>53062504010.405373</v>
      </c>
      <c r="F381" s="447">
        <v>0.9999270982526508</v>
      </c>
      <c r="G381" s="446"/>
      <c r="H381" s="445">
        <v>0</v>
      </c>
      <c r="I381" s="445">
        <v>51333500709.533142</v>
      </c>
      <c r="J381" s="447">
        <v>0.99967286497760921</v>
      </c>
      <c r="K381" s="446"/>
      <c r="L381" s="445">
        <v>0</v>
      </c>
      <c r="M381" s="445">
        <v>31847258570.658646</v>
      </c>
      <c r="N381" s="447">
        <v>0.99985788436887058</v>
      </c>
      <c r="O381" s="446"/>
      <c r="P381" s="445">
        <v>0</v>
      </c>
      <c r="Q381" s="445">
        <v>27398683637.067532</v>
      </c>
      <c r="R381" s="447">
        <v>0.9998574923181911</v>
      </c>
      <c r="S381" s="446"/>
      <c r="T381" s="445">
        <v>0</v>
      </c>
      <c r="U381" s="445">
        <v>27219180576.239708</v>
      </c>
      <c r="V381" s="447">
        <v>0.99975669839264092</v>
      </c>
      <c r="W381" s="446"/>
      <c r="X381" s="445">
        <v>0</v>
      </c>
      <c r="Y381" s="445">
        <v>21790477599.390297</v>
      </c>
      <c r="Z381" s="447">
        <v>0.99991591653074341</v>
      </c>
      <c r="AA381" s="446"/>
    </row>
    <row r="382" spans="2:27" s="443" customFormat="1" ht="12.75" customHeight="1">
      <c r="B382" s="444">
        <v>45869</v>
      </c>
      <c r="C382" s="446"/>
      <c r="D382" s="445">
        <v>0</v>
      </c>
      <c r="E382" s="445">
        <v>53127050232.536499</v>
      </c>
      <c r="F382" s="447">
        <v>1.0012164186996992</v>
      </c>
      <c r="G382" s="446"/>
      <c r="H382" s="445">
        <v>0</v>
      </c>
      <c r="I382" s="445">
        <v>51404043285.41774</v>
      </c>
      <c r="J382" s="447">
        <v>1.0013742015430382</v>
      </c>
      <c r="K382" s="446"/>
      <c r="L382" s="445">
        <v>0</v>
      </c>
      <c r="M382" s="445">
        <v>31887724342.660671</v>
      </c>
      <c r="N382" s="447">
        <v>1.0012706202611521</v>
      </c>
      <c r="O382" s="446"/>
      <c r="P382" s="445">
        <v>0</v>
      </c>
      <c r="Q382" s="445">
        <v>27436863526.570244</v>
      </c>
      <c r="R382" s="447">
        <v>1.0013934935710218</v>
      </c>
      <c r="S382" s="446"/>
      <c r="T382" s="445">
        <v>0</v>
      </c>
      <c r="U382" s="445">
        <v>27255645498.56216</v>
      </c>
      <c r="V382" s="447">
        <v>1.0013396774462153</v>
      </c>
      <c r="W382" s="446"/>
      <c r="X382" s="445">
        <v>0</v>
      </c>
      <c r="Y382" s="445">
        <v>21815765332.920143</v>
      </c>
      <c r="Z382" s="447">
        <v>1.0011604946892285</v>
      </c>
      <c r="AA382" s="446"/>
    </row>
    <row r="383" spans="2:27" s="443" customFormat="1" ht="12.75" customHeight="1">
      <c r="B383" s="444">
        <v>45870</v>
      </c>
      <c r="C383" s="446"/>
      <c r="D383" s="445">
        <v>0</v>
      </c>
      <c r="E383" s="445">
        <v>53195307503.618637</v>
      </c>
      <c r="F383" s="447">
        <v>1.0012847931662567</v>
      </c>
      <c r="G383" s="446"/>
      <c r="H383" s="445">
        <v>0</v>
      </c>
      <c r="I383" s="518">
        <v>51471169225.30117</v>
      </c>
      <c r="J383" s="447">
        <v>1.001305849415594</v>
      </c>
      <c r="K383" s="446"/>
      <c r="L383" s="445">
        <v>0</v>
      </c>
      <c r="M383" s="445">
        <v>31931564857.670223</v>
      </c>
      <c r="N383" s="447">
        <v>1.0013748398768896</v>
      </c>
      <c r="O383" s="446"/>
      <c r="P383" s="445">
        <v>0</v>
      </c>
      <c r="Q383" s="518">
        <v>27479361775.419956</v>
      </c>
      <c r="R383" s="447">
        <v>1.0015489470510561</v>
      </c>
      <c r="S383" s="446"/>
      <c r="T383" s="445">
        <v>0</v>
      </c>
      <c r="U383" s="445">
        <v>27290754912.325691</v>
      </c>
      <c r="V383" s="447">
        <v>1.0012881519817751</v>
      </c>
      <c r="W383" s="446"/>
      <c r="X383" s="445">
        <v>0</v>
      </c>
      <c r="Y383" s="445">
        <v>27290754912.325691</v>
      </c>
      <c r="Z383" s="447">
        <v>1.0012881519817751</v>
      </c>
      <c r="AA383" s="446"/>
    </row>
    <row r="384" spans="2:27" s="443" customFormat="1" ht="12.75" customHeight="1">
      <c r="B384" s="444">
        <v>45871</v>
      </c>
      <c r="C384" s="446"/>
      <c r="D384" s="445">
        <v>0</v>
      </c>
      <c r="E384" s="445">
        <v>53213706732.756554</v>
      </c>
      <c r="F384" s="447">
        <v>1.0003458806801082</v>
      </c>
      <c r="G384" s="446"/>
      <c r="H384" s="445">
        <v>0</v>
      </c>
      <c r="I384" s="518">
        <v>51487511905.983398</v>
      </c>
      <c r="J384" s="447">
        <v>1.0003175113549625</v>
      </c>
      <c r="K384" s="446"/>
      <c r="L384" s="445">
        <v>0</v>
      </c>
      <c r="M384" s="445">
        <v>31942154530.636616</v>
      </c>
      <c r="N384" s="447">
        <v>1.0003316365174584</v>
      </c>
      <c r="O384" s="446"/>
      <c r="P384" s="445">
        <v>0</v>
      </c>
      <c r="Q384" s="518">
        <v>27488538200.749123</v>
      </c>
      <c r="R384" s="447">
        <v>1.0003339388084833</v>
      </c>
      <c r="S384" s="446"/>
      <c r="T384" s="445">
        <v>0</v>
      </c>
      <c r="U384" s="445">
        <v>27299065795.980137</v>
      </c>
      <c r="V384" s="447">
        <v>1.0003045311015084</v>
      </c>
      <c r="W384" s="446"/>
      <c r="X384" s="445">
        <v>0</v>
      </c>
      <c r="Y384" s="445">
        <v>27299065795.980137</v>
      </c>
      <c r="Z384" s="447">
        <v>1.0003045311015084</v>
      </c>
      <c r="AA384" s="446"/>
    </row>
    <row r="385" spans="2:27" s="443" customFormat="1" ht="12.75" customHeight="1">
      <c r="B385" s="444">
        <v>45872</v>
      </c>
      <c r="C385" s="446"/>
      <c r="D385" s="445">
        <v>0</v>
      </c>
      <c r="E385" s="445">
        <v>53232105961.894508</v>
      </c>
      <c r="F385" s="447">
        <v>1.0003457610880286</v>
      </c>
      <c r="G385" s="446"/>
      <c r="H385" s="445">
        <v>0</v>
      </c>
      <c r="I385" s="518">
        <v>51503854586.665627</v>
      </c>
      <c r="J385" s="447">
        <v>1.0003174105735011</v>
      </c>
      <c r="K385" s="446"/>
      <c r="L385" s="445">
        <v>0</v>
      </c>
      <c r="M385" s="445">
        <v>31952744203.603001</v>
      </c>
      <c r="N385" s="447">
        <v>1.0003315265711406</v>
      </c>
      <c r="O385" s="446"/>
      <c r="P385" s="445">
        <v>0</v>
      </c>
      <c r="Q385" s="518">
        <v>27497714626.078297</v>
      </c>
      <c r="R385" s="447">
        <v>1.0003338273305826</v>
      </c>
      <c r="S385" s="446"/>
      <c r="T385" s="445">
        <v>0</v>
      </c>
      <c r="U385" s="445">
        <v>27307376679.634575</v>
      </c>
      <c r="V385" s="447">
        <v>1.0003044383905497</v>
      </c>
      <c r="W385" s="446"/>
      <c r="X385" s="445">
        <v>0</v>
      </c>
      <c r="Y385" s="445">
        <v>27307376679.634575</v>
      </c>
      <c r="Z385" s="447">
        <v>1.0003044383905497</v>
      </c>
      <c r="AA385" s="446"/>
    </row>
    <row r="386" spans="2:27" s="443" customFormat="1" ht="12.75" customHeight="1">
      <c r="B386" s="444">
        <v>45873</v>
      </c>
      <c r="C386" s="446"/>
      <c r="D386" s="445">
        <v>0</v>
      </c>
      <c r="E386" s="445">
        <v>53266863078.700012</v>
      </c>
      <c r="F386" s="447">
        <v>1.0006529352197786</v>
      </c>
      <c r="G386" s="446"/>
      <c r="H386" s="445">
        <v>0</v>
      </c>
      <c r="I386" s="518">
        <v>51538502652.031891</v>
      </c>
      <c r="J386" s="447">
        <v>1.000672727617075</v>
      </c>
      <c r="K386" s="446"/>
      <c r="L386" s="445">
        <v>0</v>
      </c>
      <c r="M386" s="445">
        <v>31974429148.448139</v>
      </c>
      <c r="N386" s="447">
        <v>1.0006786567284163</v>
      </c>
      <c r="O386" s="446"/>
      <c r="P386" s="445">
        <v>0</v>
      </c>
      <c r="Q386" s="518">
        <v>27517043974.027321</v>
      </c>
      <c r="R386" s="447">
        <v>1.0007029437977617</v>
      </c>
      <c r="S386" s="446"/>
      <c r="T386" s="445">
        <v>0</v>
      </c>
      <c r="U386" s="445">
        <v>27326729901.972252</v>
      </c>
      <c r="V386" s="447">
        <v>1.0007087177419027</v>
      </c>
      <c r="W386" s="446"/>
      <c r="X386" s="445">
        <v>0</v>
      </c>
      <c r="Y386" s="445">
        <v>27326729901.972252</v>
      </c>
      <c r="Z386" s="447">
        <v>1.0007087177419027</v>
      </c>
      <c r="AA386" s="446"/>
    </row>
    <row r="387" spans="2:27" s="443" customFormat="1" ht="12.75" customHeight="1">
      <c r="B387" s="444">
        <v>45874</v>
      </c>
      <c r="C387" s="446"/>
      <c r="D387" s="445">
        <v>0</v>
      </c>
      <c r="E387" s="445">
        <v>53305404065.586029</v>
      </c>
      <c r="F387" s="447">
        <v>1.000723545271083</v>
      </c>
      <c r="G387" s="446"/>
      <c r="H387" s="445">
        <v>0</v>
      </c>
      <c r="I387" s="518">
        <v>51571867406.350723</v>
      </c>
      <c r="J387" s="447">
        <v>1.0006473753136387</v>
      </c>
      <c r="K387" s="446"/>
      <c r="L387" s="445">
        <v>0</v>
      </c>
      <c r="M387" s="445">
        <v>31998621390.777611</v>
      </c>
      <c r="N387" s="447">
        <v>1.0007566121733449</v>
      </c>
      <c r="O387" s="446"/>
      <c r="P387" s="445">
        <v>0</v>
      </c>
      <c r="Q387" s="518">
        <v>27540879501.237251</v>
      </c>
      <c r="R387" s="447">
        <v>1.0008662095838647</v>
      </c>
      <c r="S387" s="446"/>
      <c r="T387" s="445">
        <v>0</v>
      </c>
      <c r="U387" s="445">
        <v>27344760278.004822</v>
      </c>
      <c r="V387" s="447">
        <v>1.0006598073057862</v>
      </c>
      <c r="W387" s="446"/>
      <c r="X387" s="445">
        <v>0</v>
      </c>
      <c r="Y387" s="445">
        <v>27344760278.004822</v>
      </c>
      <c r="Z387" s="447">
        <v>1.0006598073057862</v>
      </c>
      <c r="AA387" s="446"/>
    </row>
    <row r="388" spans="2:27" s="443" customFormat="1" ht="12.75" customHeight="1">
      <c r="B388" s="444">
        <v>45875</v>
      </c>
      <c r="C388" s="446"/>
      <c r="D388" s="445">
        <v>0</v>
      </c>
      <c r="E388" s="445">
        <v>53133739462.742958</v>
      </c>
      <c r="F388" s="447">
        <v>0.99677960225886553</v>
      </c>
      <c r="G388" s="446"/>
      <c r="H388" s="445">
        <v>0</v>
      </c>
      <c r="I388" s="518">
        <v>51450882560.739388</v>
      </c>
      <c r="J388" s="447">
        <v>0.99765405342687985</v>
      </c>
      <c r="K388" s="446"/>
      <c r="L388" s="445">
        <v>0</v>
      </c>
      <c r="M388" s="445">
        <v>31887834292.56543</v>
      </c>
      <c r="N388" s="447">
        <v>0.99653775402198697</v>
      </c>
      <c r="O388" s="446"/>
      <c r="P388" s="445">
        <v>0</v>
      </c>
      <c r="Q388" s="518">
        <v>27421481002.59222</v>
      </c>
      <c r="R388" s="447">
        <v>0.99566468098305771</v>
      </c>
      <c r="S388" s="446"/>
      <c r="T388" s="445">
        <v>0</v>
      </c>
      <c r="U388" s="445">
        <v>27273522650.750973</v>
      </c>
      <c r="V388" s="447">
        <v>0.99739483445714638</v>
      </c>
      <c r="W388" s="446"/>
      <c r="X388" s="445">
        <v>0</v>
      </c>
      <c r="Y388" s="445">
        <v>27273522650.750973</v>
      </c>
      <c r="Z388" s="447">
        <v>0.99739483445714638</v>
      </c>
      <c r="AA388" s="446"/>
    </row>
    <row r="389" spans="2:27" s="443" customFormat="1" ht="12.75" customHeight="1">
      <c r="B389" s="444">
        <v>45876</v>
      </c>
      <c r="C389" s="446"/>
      <c r="D389" s="445">
        <v>0</v>
      </c>
      <c r="E389" s="445">
        <v>53161791868.48542</v>
      </c>
      <c r="F389" s="447">
        <v>1.0005279584314244</v>
      </c>
      <c r="G389" s="446"/>
      <c r="H389" s="445">
        <v>0</v>
      </c>
      <c r="I389" s="518">
        <v>51478200871.029854</v>
      </c>
      <c r="J389" s="447">
        <v>1.0005309590220968</v>
      </c>
      <c r="K389" s="446"/>
      <c r="L389" s="445">
        <v>0</v>
      </c>
      <c r="M389" s="445">
        <v>31904579698.386803</v>
      </c>
      <c r="N389" s="447">
        <v>1.0005251346224311</v>
      </c>
      <c r="O389" s="446"/>
      <c r="P389" s="445">
        <v>0</v>
      </c>
      <c r="Q389" s="518">
        <v>27436498578.755627</v>
      </c>
      <c r="R389" s="447">
        <v>1.0005476573698548</v>
      </c>
      <c r="S389" s="446"/>
      <c r="T389" s="445">
        <v>0</v>
      </c>
      <c r="U389" s="445">
        <v>27288179592.119404</v>
      </c>
      <c r="V389" s="447">
        <v>1.0005374055106897</v>
      </c>
      <c r="W389" s="446"/>
      <c r="X389" s="445">
        <v>0</v>
      </c>
      <c r="Y389" s="445">
        <v>27288179592.119404</v>
      </c>
      <c r="Z389" s="447">
        <v>1.0005374055106897</v>
      </c>
      <c r="AA389" s="446"/>
    </row>
    <row r="390" spans="2:27" s="443" customFormat="1" ht="12.75" customHeight="1">
      <c r="B390" s="444">
        <v>45877</v>
      </c>
      <c r="C390" s="446"/>
      <c r="D390" s="445">
        <v>0</v>
      </c>
      <c r="E390" s="445">
        <v>53216137084.452423</v>
      </c>
      <c r="F390" s="447">
        <v>1.0010222608015442</v>
      </c>
      <c r="G390" s="446"/>
      <c r="H390" s="445">
        <v>0</v>
      </c>
      <c r="I390" s="518">
        <v>51536390675.874565</v>
      </c>
      <c r="J390" s="447">
        <v>1.001130377594013</v>
      </c>
      <c r="K390" s="446"/>
      <c r="L390" s="445">
        <v>0</v>
      </c>
      <c r="M390" s="445">
        <v>31939143922.897087</v>
      </c>
      <c r="N390" s="447">
        <v>1.0010833624776456</v>
      </c>
      <c r="O390" s="446"/>
      <c r="P390" s="445">
        <v>0</v>
      </c>
      <c r="Q390" s="518">
        <v>27469701373.310432</v>
      </c>
      <c r="R390" s="447">
        <v>1.001210168799765</v>
      </c>
      <c r="S390" s="446"/>
      <c r="T390" s="445">
        <v>0</v>
      </c>
      <c r="U390" s="445">
        <v>27317566815.490314</v>
      </c>
      <c r="V390" s="447">
        <v>1.0010769213560657</v>
      </c>
      <c r="W390" s="446"/>
      <c r="X390" s="445">
        <v>0</v>
      </c>
      <c r="Y390" s="445">
        <v>27317566815.490314</v>
      </c>
      <c r="Z390" s="447">
        <v>1.0010769213560657</v>
      </c>
      <c r="AA390" s="446"/>
    </row>
    <row r="391" spans="2:27" s="443" customFormat="1" ht="12.75" customHeight="1">
      <c r="B391" s="444">
        <v>45878</v>
      </c>
      <c r="C391" s="446"/>
      <c r="D391" s="445">
        <v>0</v>
      </c>
      <c r="E391" s="445">
        <v>53234517236.368698</v>
      </c>
      <c r="F391" s="447">
        <v>1.0003453868116565</v>
      </c>
      <c r="G391" s="446"/>
      <c r="H391" s="445">
        <v>0</v>
      </c>
      <c r="I391" s="518">
        <v>51552735852.313446</v>
      </c>
      <c r="J391" s="447">
        <v>1.0003171579581829</v>
      </c>
      <c r="K391" s="446"/>
      <c r="L391" s="445">
        <v>0</v>
      </c>
      <c r="M391" s="445">
        <v>31949734253.496807</v>
      </c>
      <c r="N391" s="447">
        <v>1.0003315784112838</v>
      </c>
      <c r="O391" s="446"/>
      <c r="P391" s="445">
        <v>0</v>
      </c>
      <c r="Q391" s="518">
        <v>27478874678.122925</v>
      </c>
      <c r="R391" s="447">
        <v>1.0003339426478588</v>
      </c>
      <c r="S391" s="446"/>
      <c r="T391" s="445">
        <v>0</v>
      </c>
      <c r="U391" s="445">
        <v>27325880183.821426</v>
      </c>
      <c r="V391" s="447">
        <v>1.0003043231627202</v>
      </c>
      <c r="W391" s="446"/>
      <c r="X391" s="445">
        <v>0</v>
      </c>
      <c r="Y391" s="445">
        <v>27325880183.821426</v>
      </c>
      <c r="Z391" s="447">
        <v>1.0003043231627202</v>
      </c>
      <c r="AA391" s="446"/>
    </row>
    <row r="392" spans="2:27" s="443" customFormat="1" ht="12.75" customHeight="1">
      <c r="B392" s="444">
        <v>45879</v>
      </c>
      <c r="C392" s="446"/>
      <c r="D392" s="445">
        <v>0</v>
      </c>
      <c r="E392" s="445">
        <v>53252897388.284973</v>
      </c>
      <c r="F392" s="447">
        <v>1.0003452675607944</v>
      </c>
      <c r="G392" s="446"/>
      <c r="H392" s="445">
        <v>0</v>
      </c>
      <c r="I392" s="518">
        <v>51569081028.752327</v>
      </c>
      <c r="J392" s="447">
        <v>1.000317057400905</v>
      </c>
      <c r="K392" s="446"/>
      <c r="L392" s="445">
        <v>0</v>
      </c>
      <c r="M392" s="445">
        <v>31960324584.096535</v>
      </c>
      <c r="N392" s="447">
        <v>1.0003314685034843</v>
      </c>
      <c r="O392" s="446"/>
      <c r="P392" s="445">
        <v>0</v>
      </c>
      <c r="Q392" s="518">
        <v>27488047982.935425</v>
      </c>
      <c r="R392" s="447">
        <v>1.000333831167395</v>
      </c>
      <c r="S392" s="446"/>
      <c r="T392" s="445">
        <v>0</v>
      </c>
      <c r="U392" s="445">
        <v>27334193552.152538</v>
      </c>
      <c r="V392" s="447">
        <v>1.0003042305783085</v>
      </c>
      <c r="W392" s="446"/>
      <c r="X392" s="445">
        <v>0</v>
      </c>
      <c r="Y392" s="445">
        <v>27334193552.152538</v>
      </c>
      <c r="Z392" s="447">
        <v>1.0003042305783085</v>
      </c>
      <c r="AA392" s="446"/>
    </row>
    <row r="393" spans="2:27" s="443" customFormat="1" ht="12.75" customHeight="1">
      <c r="B393" s="444">
        <v>45880</v>
      </c>
      <c r="C393" s="446"/>
      <c r="D393" s="445">
        <v>0</v>
      </c>
      <c r="E393" s="445">
        <v>53289147449.058044</v>
      </c>
      <c r="F393" s="447">
        <v>1.000680715276556</v>
      </c>
      <c r="G393" s="446"/>
      <c r="H393" s="445">
        <v>0</v>
      </c>
      <c r="I393" s="518">
        <v>51607980834.090927</v>
      </c>
      <c r="J393" s="447">
        <v>1.0007543241912127</v>
      </c>
      <c r="K393" s="446"/>
      <c r="L393" s="445">
        <v>0</v>
      </c>
      <c r="M393" s="445">
        <v>31982006242.803474</v>
      </c>
      <c r="N393" s="447">
        <v>1.0006783929446614</v>
      </c>
      <c r="O393" s="446"/>
      <c r="P393" s="445">
        <v>0</v>
      </c>
      <c r="Q393" s="518">
        <v>27509760523.512203</v>
      </c>
      <c r="R393" s="447">
        <v>1.0007898902312109</v>
      </c>
      <c r="S393" s="446"/>
      <c r="T393" s="445">
        <v>0</v>
      </c>
      <c r="U393" s="445">
        <v>27355514618.001709</v>
      </c>
      <c r="V393" s="447">
        <v>1.0007800144463195</v>
      </c>
      <c r="W393" s="446"/>
      <c r="X393" s="445">
        <v>0</v>
      </c>
      <c r="Y393" s="445">
        <v>27355514618.001709</v>
      </c>
      <c r="Z393" s="447">
        <v>1.0007800144463195</v>
      </c>
      <c r="AA393" s="446"/>
    </row>
    <row r="394" spans="2:27" s="443" customFormat="1" ht="12.75" customHeight="1">
      <c r="B394" s="444">
        <v>45881</v>
      </c>
      <c r="C394" s="446"/>
      <c r="D394" s="445">
        <v>0</v>
      </c>
      <c r="E394" s="445">
        <v>53318287922.27729</v>
      </c>
      <c r="F394" s="447">
        <v>1.0005468369192265</v>
      </c>
      <c r="G394" s="446"/>
      <c r="H394" s="445">
        <v>0</v>
      </c>
      <c r="I394" s="518">
        <v>51634792001.186409</v>
      </c>
      <c r="J394" s="447">
        <v>1.0005195159094031</v>
      </c>
      <c r="K394" s="446"/>
      <c r="L394" s="445">
        <v>0</v>
      </c>
      <c r="M394" s="445">
        <v>32000280264.081608</v>
      </c>
      <c r="N394" s="447">
        <v>1.0005713844572288</v>
      </c>
      <c r="O394" s="446"/>
      <c r="P394" s="445">
        <v>0</v>
      </c>
      <c r="Q394" s="518">
        <v>27527694739.861706</v>
      </c>
      <c r="R394" s="447">
        <v>1.0006519219363679</v>
      </c>
      <c r="S394" s="446"/>
      <c r="T394" s="445">
        <v>0</v>
      </c>
      <c r="U394" s="445">
        <v>27369548096.241646</v>
      </c>
      <c r="V394" s="447">
        <v>1.0005130036278207</v>
      </c>
      <c r="W394" s="446"/>
      <c r="X394" s="445">
        <v>0</v>
      </c>
      <c r="Y394" s="445">
        <v>27369548096.241646</v>
      </c>
      <c r="Z394" s="447">
        <v>1.0005130036278207</v>
      </c>
      <c r="AA394" s="446"/>
    </row>
    <row r="395" spans="2:27" s="443" customFormat="1" ht="12.75" customHeight="1">
      <c r="B395" s="444">
        <v>45882</v>
      </c>
      <c r="C395" s="446"/>
      <c r="D395" s="445">
        <v>0</v>
      </c>
      <c r="E395" s="445">
        <v>53015507316.675415</v>
      </c>
      <c r="F395" s="447">
        <v>0.99432126166460477</v>
      </c>
      <c r="G395" s="446"/>
      <c r="H395" s="445">
        <v>0</v>
      </c>
      <c r="I395" s="518">
        <v>51310966307.850052</v>
      </c>
      <c r="J395" s="447">
        <v>0.99372853688790075</v>
      </c>
      <c r="K395" s="446"/>
      <c r="L395" s="445">
        <v>0</v>
      </c>
      <c r="M395" s="445">
        <v>31802623197.485641</v>
      </c>
      <c r="N395" s="447">
        <v>0.99382327076623067</v>
      </c>
      <c r="O395" s="446"/>
      <c r="P395" s="445">
        <v>0</v>
      </c>
      <c r="Q395" s="518">
        <v>27310063449.609833</v>
      </c>
      <c r="R395" s="447">
        <v>0.99209409678839799</v>
      </c>
      <c r="S395" s="446"/>
      <c r="T395" s="445">
        <v>0</v>
      </c>
      <c r="U395" s="445">
        <v>27203827529.032612</v>
      </c>
      <c r="V395" s="447">
        <v>0.99394507477338323</v>
      </c>
      <c r="W395" s="446"/>
      <c r="X395" s="445">
        <v>0</v>
      </c>
      <c r="Y395" s="445">
        <v>27203827529.032612</v>
      </c>
      <c r="Z395" s="447">
        <v>0.99394507477338323</v>
      </c>
      <c r="AA395" s="446"/>
    </row>
    <row r="396" spans="2:27" s="443" customFormat="1" ht="12.75" customHeight="1">
      <c r="B396" s="444">
        <v>45883</v>
      </c>
      <c r="C396" s="446"/>
      <c r="D396" s="445">
        <v>0</v>
      </c>
      <c r="E396" s="445">
        <v>53054562370.680428</v>
      </c>
      <c r="F396" s="447">
        <v>1.0007366722678277</v>
      </c>
      <c r="G396" s="446"/>
      <c r="H396" s="445">
        <v>0</v>
      </c>
      <c r="I396" s="518">
        <v>51338711183.662247</v>
      </c>
      <c r="J396" s="447">
        <v>1.000540720197038</v>
      </c>
      <c r="K396" s="446"/>
      <c r="L396" s="445">
        <v>0</v>
      </c>
      <c r="M396" s="445">
        <v>31826233156.401253</v>
      </c>
      <c r="N396" s="447">
        <v>1.0007423902980896</v>
      </c>
      <c r="O396" s="446"/>
      <c r="P396" s="445">
        <v>0</v>
      </c>
      <c r="Q396" s="518">
        <v>27340484815.447578</v>
      </c>
      <c r="R396" s="447">
        <v>1.0011139251248491</v>
      </c>
      <c r="S396" s="446"/>
      <c r="T396" s="445">
        <v>0</v>
      </c>
      <c r="U396" s="445">
        <v>27236524719.266029</v>
      </c>
      <c r="V396" s="447">
        <v>1.001201933448465</v>
      </c>
      <c r="W396" s="446"/>
      <c r="X396" s="445">
        <v>0</v>
      </c>
      <c r="Y396" s="445">
        <v>27236524719.266037</v>
      </c>
      <c r="Z396" s="447">
        <v>1.0012019334484652</v>
      </c>
      <c r="AA396" s="446"/>
    </row>
    <row r="397" spans="2:27" s="443" customFormat="1" ht="12.75" customHeight="1">
      <c r="B397" s="444">
        <v>45884</v>
      </c>
      <c r="C397" s="446"/>
      <c r="D397" s="445">
        <v>0</v>
      </c>
      <c r="E397" s="445">
        <v>53085317056.995903</v>
      </c>
      <c r="F397" s="447">
        <v>1.000579680331743</v>
      </c>
      <c r="G397" s="446"/>
      <c r="H397" s="445">
        <v>0</v>
      </c>
      <c r="I397" s="518">
        <v>51372848766.648903</v>
      </c>
      <c r="J397" s="447">
        <v>1.0006649481882108</v>
      </c>
      <c r="K397" s="446"/>
      <c r="L397" s="445">
        <v>0</v>
      </c>
      <c r="M397" s="445">
        <v>31845501701.348022</v>
      </c>
      <c r="N397" s="447">
        <v>1.0006054296420215</v>
      </c>
      <c r="O397" s="446"/>
      <c r="P397" s="445">
        <v>0</v>
      </c>
      <c r="Q397" s="518">
        <v>27356318138.567684</v>
      </c>
      <c r="R397" s="447">
        <v>1.0005791163992512</v>
      </c>
      <c r="S397" s="446"/>
      <c r="T397" s="445">
        <v>0</v>
      </c>
      <c r="U397" s="445">
        <v>27254020397.146862</v>
      </c>
      <c r="V397" s="447">
        <v>1.000642360876109</v>
      </c>
      <c r="W397" s="446"/>
      <c r="X397" s="445">
        <v>0</v>
      </c>
      <c r="Y397" s="445">
        <v>27254020397.146862</v>
      </c>
      <c r="Z397" s="447">
        <v>1.0006423608761088</v>
      </c>
      <c r="AA397" s="446"/>
    </row>
    <row r="398" spans="2:27" s="443" customFormat="1" ht="12.75" customHeight="1">
      <c r="B398" s="444">
        <v>45885</v>
      </c>
      <c r="C398" s="446"/>
      <c r="D398" s="445">
        <v>0</v>
      </c>
      <c r="E398" s="445">
        <v>53103669456.171501</v>
      </c>
      <c r="F398" s="447">
        <v>1.0003457151655673</v>
      </c>
      <c r="G398" s="446"/>
      <c r="H398" s="445">
        <v>0</v>
      </c>
      <c r="I398" s="518">
        <v>51389197301.097763</v>
      </c>
      <c r="J398" s="447">
        <v>1.0003182329740583</v>
      </c>
      <c r="K398" s="446"/>
      <c r="L398" s="445">
        <v>0</v>
      </c>
      <c r="M398" s="445">
        <v>31856091879.237751</v>
      </c>
      <c r="N398" s="447">
        <v>1.0003325486277166</v>
      </c>
      <c r="O398" s="446"/>
      <c r="P398" s="445">
        <v>0</v>
      </c>
      <c r="Q398" s="518">
        <v>27365522742.357952</v>
      </c>
      <c r="R398" s="447">
        <v>1.0003364708563354</v>
      </c>
      <c r="S398" s="446"/>
      <c r="T398" s="445">
        <v>0</v>
      </c>
      <c r="U398" s="445">
        <v>27262457625.167973</v>
      </c>
      <c r="V398" s="447">
        <v>1.0003095773723716</v>
      </c>
      <c r="W398" s="446"/>
      <c r="X398" s="445">
        <v>0</v>
      </c>
      <c r="Y398" s="445">
        <v>27262457625.167973</v>
      </c>
      <c r="Z398" s="447">
        <v>1.0003095773723716</v>
      </c>
      <c r="AA398" s="446"/>
    </row>
    <row r="399" spans="2:27" s="443" customFormat="1" ht="12.75" customHeight="1">
      <c r="B399" s="444">
        <v>45886</v>
      </c>
      <c r="C399" s="446"/>
      <c r="D399" s="445">
        <v>0</v>
      </c>
      <c r="E399" s="445">
        <v>53122021855.347038</v>
      </c>
      <c r="F399" s="447">
        <v>1.0003455956878966</v>
      </c>
      <c r="G399" s="446"/>
      <c r="H399" s="445">
        <v>0</v>
      </c>
      <c r="I399" s="518">
        <v>51405545835.546684</v>
      </c>
      <c r="J399" s="447">
        <v>1.0003181317340517</v>
      </c>
      <c r="K399" s="446"/>
      <c r="L399" s="445">
        <v>0</v>
      </c>
      <c r="M399" s="445">
        <v>31866682057.127468</v>
      </c>
      <c r="N399" s="447">
        <v>1.0003324380758902</v>
      </c>
      <c r="O399" s="446"/>
      <c r="P399" s="445">
        <v>0</v>
      </c>
      <c r="Q399" s="518">
        <v>27374727346.148251</v>
      </c>
      <c r="R399" s="447">
        <v>1.0003363576817792</v>
      </c>
      <c r="S399" s="446"/>
      <c r="T399" s="445">
        <v>0</v>
      </c>
      <c r="U399" s="445">
        <v>27270894853.189079</v>
      </c>
      <c r="V399" s="447">
        <v>1.0003094815638822</v>
      </c>
      <c r="W399" s="446"/>
      <c r="X399" s="445">
        <v>0</v>
      </c>
      <c r="Y399" s="445">
        <v>27270894853.189087</v>
      </c>
      <c r="Z399" s="447">
        <v>1.0003094815638824</v>
      </c>
      <c r="AA399" s="446"/>
    </row>
    <row r="400" spans="2:27" s="443" customFormat="1" ht="12.75" customHeight="1">
      <c r="B400" s="444">
        <v>45887</v>
      </c>
      <c r="C400" s="446"/>
      <c r="D400" s="445">
        <v>0</v>
      </c>
      <c r="E400" s="445">
        <v>53146584086.16687</v>
      </c>
      <c r="F400" s="447">
        <v>1.0004623737945577</v>
      </c>
      <c r="G400" s="446"/>
      <c r="H400" s="445">
        <v>0</v>
      </c>
      <c r="I400" s="518">
        <v>51432378934.203506</v>
      </c>
      <c r="J400" s="447">
        <v>1.0005219884006809</v>
      </c>
      <c r="K400" s="446"/>
      <c r="L400" s="445">
        <v>0</v>
      </c>
      <c r="M400" s="445">
        <v>31881616483.958641</v>
      </c>
      <c r="N400" s="447">
        <v>1.0004686533353049</v>
      </c>
      <c r="O400" s="446"/>
      <c r="P400" s="445">
        <v>0</v>
      </c>
      <c r="Q400" s="518">
        <v>27386236399.06905</v>
      </c>
      <c r="R400" s="447">
        <v>1.0004204262119316</v>
      </c>
      <c r="S400" s="446"/>
      <c r="T400" s="445">
        <v>0</v>
      </c>
      <c r="U400" s="445">
        <v>27285645741.665802</v>
      </c>
      <c r="V400" s="447">
        <v>1.0005409022533414</v>
      </c>
      <c r="W400" s="446"/>
      <c r="X400" s="445">
        <v>0</v>
      </c>
      <c r="Y400" s="445">
        <v>27285645741.665802</v>
      </c>
      <c r="Z400" s="447">
        <v>1.0005409022533409</v>
      </c>
      <c r="AA400" s="446"/>
    </row>
    <row r="401" spans="1:27" s="443" customFormat="1" ht="12.75" customHeight="1">
      <c r="B401" s="444">
        <v>45888</v>
      </c>
      <c r="C401" s="446"/>
      <c r="D401" s="445">
        <v>0</v>
      </c>
      <c r="E401" s="445">
        <v>53141355374.857193</v>
      </c>
      <c r="F401" s="447">
        <v>0.99990161717070658</v>
      </c>
      <c r="G401" s="446"/>
      <c r="H401" s="445">
        <v>0</v>
      </c>
      <c r="I401" s="518">
        <v>51428625684.383286</v>
      </c>
      <c r="J401" s="447">
        <v>0.9999270255450361</v>
      </c>
      <c r="K401" s="446"/>
      <c r="L401" s="445">
        <v>0</v>
      </c>
      <c r="M401" s="445">
        <v>31877724092.64418</v>
      </c>
      <c r="N401" s="447">
        <v>0.99987791110540403</v>
      </c>
      <c r="O401" s="446"/>
      <c r="P401" s="445">
        <v>0</v>
      </c>
      <c r="Q401" s="518">
        <v>27376788727.386147</v>
      </c>
      <c r="R401" s="447">
        <v>0.99965502117394911</v>
      </c>
      <c r="S401" s="446"/>
      <c r="T401" s="445">
        <v>0</v>
      </c>
      <c r="U401" s="445">
        <v>30255589805.52243</v>
      </c>
      <c r="V401" s="447">
        <v>1.1088463909549868</v>
      </c>
      <c r="W401" s="446"/>
      <c r="X401" s="445">
        <v>0</v>
      </c>
      <c r="Y401" s="445">
        <v>27282386679.967636</v>
      </c>
      <c r="Z401" s="447">
        <v>0.9998805576481854</v>
      </c>
      <c r="AA401" s="446"/>
    </row>
    <row r="402" spans="1:27" s="443" customFormat="1" ht="12.75" customHeight="1">
      <c r="B402" s="444">
        <v>45889</v>
      </c>
      <c r="C402" s="446"/>
      <c r="D402" s="445">
        <v>0</v>
      </c>
      <c r="E402" s="445">
        <v>53211894681.433235</v>
      </c>
      <c r="F402" s="447">
        <v>1.001327390053913</v>
      </c>
      <c r="G402" s="446"/>
      <c r="H402" s="445">
        <v>0</v>
      </c>
      <c r="I402" s="518">
        <v>51518303339.103958</v>
      </c>
      <c r="J402" s="447">
        <v>1.0017437303355339</v>
      </c>
      <c r="K402" s="446"/>
      <c r="L402" s="445">
        <v>0</v>
      </c>
      <c r="M402" s="445">
        <v>31923865681.242107</v>
      </c>
      <c r="N402" s="447">
        <v>1.0014474555480757</v>
      </c>
      <c r="O402" s="446"/>
      <c r="P402" s="445">
        <v>0</v>
      </c>
      <c r="Q402" s="518">
        <v>27416338637.358307</v>
      </c>
      <c r="R402" s="447">
        <v>1.0014446511738828</v>
      </c>
      <c r="S402" s="446"/>
      <c r="T402" s="445">
        <v>0</v>
      </c>
      <c r="U402" s="445">
        <v>27328191134.782433</v>
      </c>
      <c r="V402" s="447">
        <v>0.90324436940225594</v>
      </c>
      <c r="W402" s="446"/>
      <c r="X402" s="445">
        <v>0</v>
      </c>
      <c r="Y402" s="445">
        <v>27328191134.782433</v>
      </c>
      <c r="Z402" s="447">
        <v>1.001678902045928</v>
      </c>
      <c r="AA402" s="446"/>
    </row>
    <row r="403" spans="1:27" s="443" customFormat="1" ht="12.75" customHeight="1">
      <c r="B403" s="444">
        <v>45890</v>
      </c>
      <c r="C403" s="446"/>
      <c r="D403" s="445">
        <v>0</v>
      </c>
      <c r="E403" s="445">
        <v>53240432187.18087</v>
      </c>
      <c r="F403" s="447">
        <v>1.0005362993728841</v>
      </c>
      <c r="G403" s="446"/>
      <c r="H403" s="445">
        <v>0</v>
      </c>
      <c r="I403" s="518">
        <v>51549577296.831322</v>
      </c>
      <c r="J403" s="447">
        <v>1.0006070455682812</v>
      </c>
      <c r="K403" s="446"/>
      <c r="L403" s="445">
        <v>0</v>
      </c>
      <c r="M403" s="445">
        <v>31941557487.335232</v>
      </c>
      <c r="N403" s="447">
        <v>1.0005541874618122</v>
      </c>
      <c r="O403" s="446"/>
      <c r="P403" s="445">
        <v>0</v>
      </c>
      <c r="Q403" s="518">
        <v>27430684599.576141</v>
      </c>
      <c r="R403" s="447">
        <v>1.0005232632412224</v>
      </c>
      <c r="S403" s="446"/>
      <c r="T403" s="445">
        <v>0</v>
      </c>
      <c r="U403" s="445">
        <v>27343807018.960644</v>
      </c>
      <c r="V403" s="447">
        <v>1.0005714203366478</v>
      </c>
      <c r="W403" s="446"/>
      <c r="X403" s="445">
        <v>0</v>
      </c>
      <c r="Y403" s="445">
        <v>27343807018.960644</v>
      </c>
      <c r="Z403" s="447">
        <v>1.0005714203366478</v>
      </c>
      <c r="AA403" s="446"/>
    </row>
    <row r="404" spans="1:27">
      <c r="A404" s="443"/>
      <c r="B404" s="444">
        <v>45891</v>
      </c>
      <c r="C404" s="446"/>
      <c r="D404" s="445">
        <v>0</v>
      </c>
      <c r="E404" s="445">
        <v>53432758792.645676</v>
      </c>
      <c r="F404" s="514">
        <v>1.0036124163077533</v>
      </c>
      <c r="G404" s="446"/>
      <c r="H404" s="445">
        <v>0</v>
      </c>
      <c r="I404" s="518">
        <v>51778033094.53006</v>
      </c>
      <c r="J404" s="514">
        <v>1.004431768594013</v>
      </c>
      <c r="K404" s="446"/>
      <c r="L404" s="445">
        <v>0</v>
      </c>
      <c r="M404" s="445">
        <v>32069163672.467812</v>
      </c>
      <c r="N404" s="514">
        <v>1.0039949894485631</v>
      </c>
      <c r="O404" s="446"/>
      <c r="P404" s="445">
        <v>0</v>
      </c>
      <c r="Q404" s="518">
        <v>27554066499.222797</v>
      </c>
      <c r="R404" s="514">
        <v>1.0044979518902917</v>
      </c>
      <c r="S404" s="446"/>
      <c r="T404" s="445">
        <v>0</v>
      </c>
      <c r="U404" s="445">
        <v>27465191536.467178</v>
      </c>
      <c r="V404" s="514">
        <v>1.0044391959547683</v>
      </c>
      <c r="W404" s="446"/>
      <c r="X404" s="445">
        <v>0</v>
      </c>
      <c r="Y404" s="445">
        <v>27465191536.467175</v>
      </c>
      <c r="Z404" s="514">
        <v>1.004439195954768</v>
      </c>
      <c r="AA404" s="446"/>
    </row>
    <row r="405" spans="1:27" s="443" customFormat="1">
      <c r="B405" s="444">
        <v>45892</v>
      </c>
      <c r="C405" s="446"/>
      <c r="D405" s="445">
        <v>0</v>
      </c>
      <c r="E405" s="445">
        <v>53451113742.254807</v>
      </c>
      <c r="F405" s="514">
        <v>1.0003435149152669</v>
      </c>
      <c r="G405" s="446"/>
      <c r="H405" s="445">
        <v>0</v>
      </c>
      <c r="I405" s="518">
        <v>51794381515.511833</v>
      </c>
      <c r="J405" s="514">
        <v>1.0003157404792091</v>
      </c>
      <c r="K405" s="446"/>
      <c r="L405" s="445">
        <v>0</v>
      </c>
      <c r="M405" s="445">
        <v>32079755616.714199</v>
      </c>
      <c r="N405" s="514">
        <v>1.0003302843926509</v>
      </c>
      <c r="O405" s="446"/>
      <c r="P405" s="445">
        <v>0</v>
      </c>
      <c r="Q405" s="518">
        <v>27563271034.991695</v>
      </c>
      <c r="R405" s="514">
        <v>1.00033405362396</v>
      </c>
      <c r="S405" s="446"/>
      <c r="T405" s="445">
        <v>0</v>
      </c>
      <c r="U405" s="445">
        <v>27473376886.217171</v>
      </c>
      <c r="V405" s="514">
        <v>1.0002980263122914</v>
      </c>
      <c r="W405" s="446"/>
      <c r="X405" s="445">
        <v>0</v>
      </c>
      <c r="Y405" s="445">
        <v>27473376886.217171</v>
      </c>
      <c r="Z405" s="514">
        <v>1.0002980263122916</v>
      </c>
      <c r="AA405" s="446"/>
    </row>
    <row r="406" spans="1:27" s="443" customFormat="1">
      <c r="B406" s="444">
        <v>45893</v>
      </c>
      <c r="C406" s="446"/>
      <c r="D406" s="445">
        <v>0</v>
      </c>
      <c r="E406" s="445">
        <v>53469468691.863937</v>
      </c>
      <c r="F406" s="514">
        <v>1.0003433969532916</v>
      </c>
      <c r="G406" s="446"/>
      <c r="H406" s="445">
        <v>0</v>
      </c>
      <c r="I406" s="518">
        <v>51810729936.493561</v>
      </c>
      <c r="J406" s="514">
        <v>1.0003156408186249</v>
      </c>
      <c r="K406" s="446"/>
      <c r="L406" s="445">
        <v>0</v>
      </c>
      <c r="M406" s="445">
        <v>32090347560.960583</v>
      </c>
      <c r="N406" s="514">
        <v>1.0003301753408891</v>
      </c>
      <c r="O406" s="446"/>
      <c r="P406" s="445">
        <v>0</v>
      </c>
      <c r="Q406" s="518">
        <v>27572475570.760578</v>
      </c>
      <c r="R406" s="514">
        <v>1.0003339420694008</v>
      </c>
      <c r="S406" s="446"/>
      <c r="T406" s="445">
        <v>0</v>
      </c>
      <c r="U406" s="445">
        <v>27481562235.967182</v>
      </c>
      <c r="V406" s="514">
        <v>1.0005960526245836</v>
      </c>
      <c r="W406" s="446"/>
      <c r="X406" s="445">
        <v>0</v>
      </c>
      <c r="Y406" s="445">
        <v>27481562235.967178</v>
      </c>
      <c r="Z406" s="514">
        <v>1.0002979375190719</v>
      </c>
      <c r="AA406" s="446"/>
    </row>
    <row r="407" spans="1:27">
      <c r="A407" s="443"/>
      <c r="B407" s="444">
        <v>45894</v>
      </c>
      <c r="C407" s="446"/>
      <c r="D407" s="445">
        <v>0</v>
      </c>
      <c r="E407" s="445">
        <v>53498242281.881775</v>
      </c>
      <c r="F407" s="514">
        <v>1.0005381312124804</v>
      </c>
      <c r="G407" s="446"/>
      <c r="H407" s="445">
        <v>0</v>
      </c>
      <c r="I407" s="518">
        <v>51840470465.798668</v>
      </c>
      <c r="J407" s="514">
        <v>1.0005740225884012</v>
      </c>
      <c r="K407" s="446"/>
      <c r="L407" s="445">
        <v>0</v>
      </c>
      <c r="M407" s="445">
        <v>32108088996.236336</v>
      </c>
      <c r="N407" s="514">
        <v>1.0005528589318657</v>
      </c>
      <c r="O407" s="446"/>
      <c r="P407" s="445">
        <v>0</v>
      </c>
      <c r="Q407" s="518">
        <v>27588001094.855804</v>
      </c>
      <c r="R407" s="514">
        <v>1.0005630805277308</v>
      </c>
      <c r="S407" s="446"/>
      <c r="T407" s="445">
        <v>0</v>
      </c>
      <c r="U407" s="445">
        <v>27509748685.863983</v>
      </c>
      <c r="V407" s="514">
        <v>1.0010256494756296</v>
      </c>
      <c r="W407" s="446"/>
      <c r="X407" s="445">
        <v>0</v>
      </c>
      <c r="Y407" s="445">
        <v>27498382592.99007</v>
      </c>
      <c r="Z407" s="514">
        <v>1.0006120597103785</v>
      </c>
      <c r="AA407" s="446"/>
    </row>
    <row r="408" spans="1:27" s="443" customFormat="1">
      <c r="B408" s="444">
        <v>45895</v>
      </c>
      <c r="C408" s="446"/>
      <c r="D408" s="445">
        <v>0</v>
      </c>
      <c r="E408" s="445">
        <v>53520380338.089493</v>
      </c>
      <c r="F408" s="514">
        <v>1.0004138090386423</v>
      </c>
      <c r="G408" s="446"/>
      <c r="H408" s="445">
        <v>0</v>
      </c>
      <c r="I408" s="518">
        <v>51864091873.373611</v>
      </c>
      <c r="J408" s="514">
        <v>1.0004556557331117</v>
      </c>
      <c r="K408" s="446"/>
      <c r="L408" s="445">
        <v>0</v>
      </c>
      <c r="M408" s="445">
        <v>32122665973.390533</v>
      </c>
      <c r="N408" s="514">
        <v>1.0004539970334549</v>
      </c>
      <c r="O408" s="446"/>
      <c r="P408" s="445">
        <v>0</v>
      </c>
      <c r="Q408" s="518">
        <v>27599877948.188061</v>
      </c>
      <c r="R408" s="514">
        <v>1.0004305079331923</v>
      </c>
      <c r="S408" s="446"/>
      <c r="T408" s="445">
        <v>0</v>
      </c>
      <c r="U408" s="445">
        <v>27509748685.863983</v>
      </c>
      <c r="V408" s="514">
        <v>1</v>
      </c>
      <c r="W408" s="446"/>
      <c r="X408" s="445">
        <v>0</v>
      </c>
      <c r="Y408" s="445">
        <v>27509748685.863983</v>
      </c>
      <c r="Z408" s="514">
        <v>1.0004133367784624</v>
      </c>
      <c r="AA408" s="446"/>
    </row>
    <row r="409" spans="1:27" s="443" customFormat="1">
      <c r="B409" s="444">
        <v>45896</v>
      </c>
      <c r="C409" s="446"/>
      <c r="D409" s="445">
        <v>0</v>
      </c>
      <c r="E409" s="445">
        <v>53336140203.489075</v>
      </c>
      <c r="F409" s="514">
        <v>0.99655757052852445</v>
      </c>
      <c r="G409" s="446"/>
      <c r="H409" s="445">
        <v>0</v>
      </c>
      <c r="I409" s="518">
        <v>51664971271.944168</v>
      </c>
      <c r="J409" s="514">
        <v>0.99616072326272298</v>
      </c>
      <c r="K409" s="446"/>
      <c r="L409" s="445">
        <v>0</v>
      </c>
      <c r="M409" s="445">
        <v>32000864247.833683</v>
      </c>
      <c r="N409" s="514">
        <v>0.99620823110828516</v>
      </c>
      <c r="O409" s="446"/>
      <c r="P409" s="445">
        <v>0</v>
      </c>
      <c r="Q409" s="518">
        <v>27467677205.385864</v>
      </c>
      <c r="R409" s="514">
        <v>0.99521009683266093</v>
      </c>
      <c r="S409" s="446"/>
      <c r="T409" s="445">
        <v>0</v>
      </c>
      <c r="U409" s="445">
        <v>27399625286.935631</v>
      </c>
      <c r="V409" s="514">
        <v>0.99599693184456684</v>
      </c>
      <c r="W409" s="446"/>
      <c r="X409" s="445">
        <v>0</v>
      </c>
      <c r="Y409" s="445">
        <v>27399625286.935627</v>
      </c>
      <c r="Z409" s="514">
        <v>0.99599693184456661</v>
      </c>
      <c r="AA409" s="446"/>
    </row>
    <row r="410" spans="1:27" s="443" customFormat="1">
      <c r="B410" s="444">
        <v>45897</v>
      </c>
      <c r="C410" s="446"/>
      <c r="D410" s="445">
        <v>0</v>
      </c>
      <c r="E410" s="445">
        <v>53345491359.917839</v>
      </c>
      <c r="F410" s="514">
        <v>1.0001753249558947</v>
      </c>
      <c r="G410" s="446"/>
      <c r="H410" s="445">
        <v>0</v>
      </c>
      <c r="I410" s="518">
        <v>51629778958.813629</v>
      </c>
      <c r="J410" s="514">
        <v>0.9993188361037636</v>
      </c>
      <c r="K410" s="446"/>
      <c r="L410" s="445">
        <v>0</v>
      </c>
      <c r="M410" s="445">
        <v>32009142540.523743</v>
      </c>
      <c r="N410" s="514">
        <v>1.0002586896599401</v>
      </c>
      <c r="O410" s="446"/>
      <c r="P410" s="445">
        <v>0</v>
      </c>
      <c r="Q410" s="518">
        <v>27483328638.593914</v>
      </c>
      <c r="R410" s="514">
        <v>1.0005698127690601</v>
      </c>
      <c r="S410" s="446"/>
      <c r="T410" s="445">
        <v>0</v>
      </c>
      <c r="U410" s="445">
        <v>27385510453.769016</v>
      </c>
      <c r="V410" s="514">
        <v>0.99948485305843415</v>
      </c>
      <c r="W410" s="446"/>
      <c r="X410" s="445">
        <v>0</v>
      </c>
      <c r="Y410" s="445">
        <v>27385510453.769016</v>
      </c>
      <c r="Z410" s="514">
        <v>0.99948485305843426</v>
      </c>
      <c r="AA410" s="446"/>
    </row>
    <row r="411" spans="1:27" s="443" customFormat="1">
      <c r="B411" s="444">
        <v>45898</v>
      </c>
      <c r="C411" s="446"/>
      <c r="D411" s="445">
        <v>0</v>
      </c>
      <c r="E411" s="445">
        <v>53369947940.053787</v>
      </c>
      <c r="F411" s="514">
        <v>1.0004584563664611</v>
      </c>
      <c r="G411" s="446"/>
      <c r="H411" s="445">
        <v>0</v>
      </c>
      <c r="I411" s="518">
        <v>51653780434.935692</v>
      </c>
      <c r="J411" s="514">
        <v>1.0004648766004056</v>
      </c>
      <c r="K411" s="446"/>
      <c r="L411" s="445">
        <v>0</v>
      </c>
      <c r="M411" s="445">
        <v>32023578945.562881</v>
      </c>
      <c r="N411" s="514">
        <v>1.0004510088022778</v>
      </c>
      <c r="O411" s="446"/>
      <c r="P411" s="445">
        <v>0</v>
      </c>
      <c r="Q411" s="518">
        <v>27496681847.862083</v>
      </c>
      <c r="R411" s="514">
        <v>1.0004858657931783</v>
      </c>
      <c r="S411" s="446"/>
      <c r="T411" s="445">
        <v>0</v>
      </c>
      <c r="U411" s="445">
        <v>27398377009.887794</v>
      </c>
      <c r="V411" s="514">
        <v>1.0004698307939339</v>
      </c>
      <c r="W411" s="446"/>
      <c r="X411" s="445">
        <v>0</v>
      </c>
      <c r="Y411" s="445">
        <v>27398377009.887794</v>
      </c>
      <c r="Z411" s="514">
        <v>1.0004698307939339</v>
      </c>
      <c r="AA411" s="446"/>
    </row>
    <row r="412" spans="1:27" s="443" customFormat="1">
      <c r="B412" s="444">
        <v>45899</v>
      </c>
      <c r="C412" s="446"/>
      <c r="D412" s="445">
        <v>0</v>
      </c>
      <c r="E412" s="445">
        <v>53388486908.777931</v>
      </c>
      <c r="F412" s="514">
        <v>1.0003473671877097</v>
      </c>
      <c r="G412" s="446"/>
      <c r="H412" s="445">
        <v>0</v>
      </c>
      <c r="I412" s="518">
        <v>51670166411.332085</v>
      </c>
      <c r="J412" s="514">
        <v>1.0003172270501486</v>
      </c>
      <c r="K412" s="446"/>
      <c r="L412" s="445">
        <v>0</v>
      </c>
      <c r="M412" s="445">
        <v>32034217539.775928</v>
      </c>
      <c r="N412" s="514">
        <v>1.0003322112819162</v>
      </c>
      <c r="O412" s="446"/>
      <c r="P412" s="445">
        <v>0</v>
      </c>
      <c r="Q412" s="518">
        <v>27505953456.670692</v>
      </c>
      <c r="R412" s="514">
        <v>1.0003371900966054</v>
      </c>
      <c r="S412" s="446"/>
      <c r="T412" s="445">
        <v>0</v>
      </c>
      <c r="U412" s="445">
        <v>27406583590.456959</v>
      </c>
      <c r="V412" s="514">
        <v>1.0002995279817561</v>
      </c>
      <c r="W412" s="446"/>
      <c r="X412" s="445">
        <v>0</v>
      </c>
      <c r="Y412" s="445">
        <v>27406583590.456959</v>
      </c>
      <c r="Z412" s="514">
        <v>1.0002995279817561</v>
      </c>
      <c r="AA412" s="446"/>
    </row>
    <row r="413" spans="1:27" s="443" customFormat="1">
      <c r="B413" s="444">
        <v>45900</v>
      </c>
      <c r="C413" s="446"/>
      <c r="D413" s="445">
        <v>0</v>
      </c>
      <c r="E413" s="445">
        <v>53393465321.946503</v>
      </c>
      <c r="F413" s="514">
        <v>1.0000932488155561</v>
      </c>
      <c r="G413" s="446"/>
      <c r="H413" s="445">
        <v>0</v>
      </c>
      <c r="I413" s="518">
        <v>51671486998.839584</v>
      </c>
      <c r="J413" s="514">
        <v>1.0000255580269857</v>
      </c>
      <c r="K413" s="446"/>
      <c r="L413" s="445">
        <v>0</v>
      </c>
      <c r="M413" s="445">
        <v>32034969365.838428</v>
      </c>
      <c r="N413" s="514">
        <v>1.0000234694685946</v>
      </c>
      <c r="O413" s="446"/>
      <c r="P413" s="445">
        <v>0</v>
      </c>
      <c r="Q413" s="518">
        <v>27506463065.028194</v>
      </c>
      <c r="R413" s="514">
        <v>1.0000185272020585</v>
      </c>
      <c r="S413" s="446"/>
      <c r="T413" s="445">
        <v>0</v>
      </c>
      <c r="U413" s="445">
        <v>27407424334.159458</v>
      </c>
      <c r="V413" s="514">
        <v>1.000030676705826</v>
      </c>
      <c r="W413" s="446"/>
      <c r="X413" s="445">
        <v>0</v>
      </c>
      <c r="Y413" s="445">
        <v>27407424334.159458</v>
      </c>
      <c r="Z413" s="514">
        <v>1.000030676705826</v>
      </c>
      <c r="AA413" s="446"/>
    </row>
    <row r="414" spans="1:27" s="443" customFormat="1">
      <c r="B414" s="444">
        <v>45901</v>
      </c>
      <c r="C414" s="446"/>
      <c r="D414" s="445">
        <v>0</v>
      </c>
      <c r="E414" s="445">
        <v>53412004290.670624</v>
      </c>
      <c r="F414" s="514">
        <v>1.0003472141883345</v>
      </c>
      <c r="G414" s="446"/>
      <c r="H414" s="445">
        <v>0</v>
      </c>
      <c r="I414" s="518">
        <v>51687872975.235977</v>
      </c>
      <c r="J414" s="514">
        <v>1.0003171183441413</v>
      </c>
      <c r="K414" s="446"/>
      <c r="L414" s="445">
        <v>0</v>
      </c>
      <c r="M414" s="445">
        <v>32045607960.051487</v>
      </c>
      <c r="N414" s="514">
        <v>1.0003320931601827</v>
      </c>
      <c r="O414" s="446"/>
      <c r="P414" s="445">
        <v>0</v>
      </c>
      <c r="Q414" s="518">
        <v>27515734673.836807</v>
      </c>
      <c r="R414" s="514">
        <v>1.0003370701928014</v>
      </c>
      <c r="S414" s="446"/>
      <c r="T414" s="445">
        <v>0</v>
      </c>
      <c r="U414" s="445">
        <v>27415630914.728626</v>
      </c>
      <c r="V414" s="514">
        <v>1.0002994291061105</v>
      </c>
      <c r="W414" s="446"/>
      <c r="X414" s="445">
        <v>0</v>
      </c>
      <c r="Y414" s="518">
        <v>21953688063.762257</v>
      </c>
      <c r="Z414" s="514">
        <v>1.0003398043789078</v>
      </c>
      <c r="AA414" s="446"/>
    </row>
    <row r="415" spans="1:27" s="443" customFormat="1">
      <c r="B415" s="444">
        <v>45902</v>
      </c>
      <c r="C415" s="446"/>
      <c r="D415" s="445">
        <v>0</v>
      </c>
      <c r="E415" s="445">
        <v>53463320466.927467</v>
      </c>
      <c r="F415" s="514">
        <v>1.0009607611048927</v>
      </c>
      <c r="G415" s="446"/>
      <c r="H415" s="445">
        <v>0</v>
      </c>
      <c r="I415" s="518">
        <v>51743735103.735489</v>
      </c>
      <c r="J415" s="514">
        <v>1.0010807588953463</v>
      </c>
      <c r="K415" s="446"/>
      <c r="L415" s="445">
        <v>0</v>
      </c>
      <c r="M415" s="445">
        <v>32078566497.236549</v>
      </c>
      <c r="N415" s="514">
        <v>1.001028488435175</v>
      </c>
      <c r="O415" s="446"/>
      <c r="P415" s="445">
        <v>0</v>
      </c>
      <c r="Q415" s="518">
        <v>27542806635.797409</v>
      </c>
      <c r="R415" s="514">
        <v>1.000983872038363</v>
      </c>
      <c r="S415" s="446"/>
      <c r="T415" s="445">
        <v>0</v>
      </c>
      <c r="U415" s="445">
        <v>27447176107.803059</v>
      </c>
      <c r="V415" s="514">
        <v>1.0011506280184668</v>
      </c>
      <c r="W415" s="446"/>
      <c r="X415" s="445">
        <v>0</v>
      </c>
      <c r="Y415" s="518">
        <v>21976227562.006023</v>
      </c>
      <c r="Z415" s="514">
        <v>1.0010266839074284</v>
      </c>
      <c r="AA415" s="446"/>
    </row>
    <row r="416" spans="1:27" s="443" customFormat="1">
      <c r="B416" s="444">
        <v>45903</v>
      </c>
      <c r="C416" s="446"/>
      <c r="D416" s="445">
        <v>0</v>
      </c>
      <c r="E416" s="445">
        <v>53416278712.532661</v>
      </c>
      <c r="F416" s="514">
        <v>0.99912011162075298</v>
      </c>
      <c r="G416" s="446"/>
      <c r="H416" s="445">
        <v>0</v>
      </c>
      <c r="I416" s="518">
        <v>51692689202.684044</v>
      </c>
      <c r="J416" s="514">
        <v>0.99901348634865439</v>
      </c>
      <c r="K416" s="446"/>
      <c r="L416" s="445">
        <v>0</v>
      </c>
      <c r="M416" s="445">
        <v>32046846215.352684</v>
      </c>
      <c r="N416" s="514">
        <v>0.99901116897207365</v>
      </c>
      <c r="O416" s="446"/>
      <c r="P416" s="445">
        <v>0</v>
      </c>
      <c r="Q416" s="518">
        <v>27511484261.271797</v>
      </c>
      <c r="R416" s="514">
        <v>0.99886277477310892</v>
      </c>
      <c r="S416" s="446"/>
      <c r="T416" s="445">
        <v>0</v>
      </c>
      <c r="U416" s="445">
        <v>27417620202.657192</v>
      </c>
      <c r="V416" s="514">
        <v>0.99892317136634456</v>
      </c>
      <c r="W416" s="446"/>
      <c r="X416" s="445">
        <v>0</v>
      </c>
      <c r="Y416" s="518">
        <v>21959885656.127163</v>
      </c>
      <c r="Z416" s="514">
        <v>0.99925638256917604</v>
      </c>
      <c r="AA416" s="446"/>
    </row>
    <row r="417" spans="2:27" s="443" customFormat="1">
      <c r="B417" s="444">
        <v>45904</v>
      </c>
      <c r="C417" s="446"/>
      <c r="D417" s="445">
        <v>0</v>
      </c>
      <c r="E417" s="445">
        <v>53544634544.791687</v>
      </c>
      <c r="F417" s="514">
        <v>1.0024029347485959</v>
      </c>
      <c r="G417" s="446"/>
      <c r="H417" s="445">
        <v>0</v>
      </c>
      <c r="I417" s="518">
        <v>51843964983.371262</v>
      </c>
      <c r="J417" s="514">
        <v>1.0029264443970805</v>
      </c>
      <c r="K417" s="446"/>
      <c r="L417" s="445">
        <v>0</v>
      </c>
      <c r="M417" s="445">
        <v>32131740250.979252</v>
      </c>
      <c r="N417" s="514">
        <v>1.0026490605364435</v>
      </c>
      <c r="O417" s="446"/>
      <c r="P417" s="445">
        <v>0</v>
      </c>
      <c r="Q417" s="518">
        <v>27595368664.008125</v>
      </c>
      <c r="R417" s="514">
        <v>1.0030490685976696</v>
      </c>
      <c r="S417" s="446"/>
      <c r="T417" s="445">
        <v>0</v>
      </c>
      <c r="U417" s="445">
        <v>27498154076.130131</v>
      </c>
      <c r="V417" s="514">
        <v>1.0029373035616393</v>
      </c>
      <c r="W417" s="446"/>
      <c r="X417" s="445">
        <v>0</v>
      </c>
      <c r="Y417" s="518">
        <v>22006967490.069202</v>
      </c>
      <c r="Z417" s="514">
        <v>1.0021439926727898</v>
      </c>
      <c r="AA417" s="446"/>
    </row>
    <row r="418" spans="2:27" s="443" customFormat="1">
      <c r="B418" s="444">
        <v>45905</v>
      </c>
      <c r="C418" s="446"/>
      <c r="D418" s="445">
        <v>0</v>
      </c>
      <c r="E418" s="445">
        <v>53583423142.926277</v>
      </c>
      <c r="F418" s="514">
        <v>1.000724416152325</v>
      </c>
      <c r="G418" s="446"/>
      <c r="H418" s="445">
        <v>0</v>
      </c>
      <c r="I418" s="518">
        <v>51878771946.86824</v>
      </c>
      <c r="J418" s="514">
        <v>1.0006713792725566</v>
      </c>
      <c r="K418" s="446"/>
      <c r="L418" s="445">
        <v>0</v>
      </c>
      <c r="M418" s="445">
        <v>32154406181.664665</v>
      </c>
      <c r="N418" s="514">
        <v>1.0007054062589942</v>
      </c>
      <c r="O418" s="446"/>
      <c r="P418" s="445">
        <v>0</v>
      </c>
      <c r="Q418" s="518">
        <v>27614595893.108109</v>
      </c>
      <c r="R418" s="514">
        <v>1.0006967556525186</v>
      </c>
      <c r="S418" s="446"/>
      <c r="T418" s="445">
        <v>0</v>
      </c>
      <c r="U418" s="445">
        <v>27516221229.066307</v>
      </c>
      <c r="V418" s="514">
        <v>1.0006570314824099</v>
      </c>
      <c r="W418" s="446"/>
      <c r="X418" s="445">
        <v>0</v>
      </c>
      <c r="Y418" s="518">
        <v>22022581737.984974</v>
      </c>
      <c r="Z418" s="514">
        <v>1.0007095138356894</v>
      </c>
      <c r="AA418" s="446"/>
    </row>
    <row r="419" spans="2:27" s="443" customFormat="1">
      <c r="B419" s="444">
        <v>45906</v>
      </c>
      <c r="C419" s="446"/>
      <c r="D419" s="445">
        <v>0</v>
      </c>
      <c r="E419" s="445">
        <v>53583423142.926277</v>
      </c>
      <c r="F419" s="514">
        <v>1</v>
      </c>
      <c r="G419" s="446"/>
      <c r="H419" s="445">
        <v>0</v>
      </c>
      <c r="I419" s="518">
        <v>51878771946.86824</v>
      </c>
      <c r="J419" s="514">
        <v>1</v>
      </c>
      <c r="K419" s="446"/>
      <c r="L419" s="445">
        <v>0</v>
      </c>
      <c r="M419" s="445">
        <v>32154406181.664665</v>
      </c>
      <c r="N419" s="514">
        <v>1</v>
      </c>
      <c r="O419" s="446"/>
      <c r="P419" s="445">
        <v>0</v>
      </c>
      <c r="Q419" s="518">
        <v>27614595893.108109</v>
      </c>
      <c r="R419" s="514">
        <v>1</v>
      </c>
      <c r="S419" s="446"/>
      <c r="T419" s="445">
        <v>0</v>
      </c>
      <c r="U419" s="445">
        <v>27516221229.066307</v>
      </c>
      <c r="V419" s="514">
        <v>1</v>
      </c>
      <c r="W419" s="446"/>
      <c r="X419" s="445">
        <v>0</v>
      </c>
      <c r="Y419" s="518">
        <v>22022581737.984974</v>
      </c>
      <c r="Z419" s="514">
        <v>1</v>
      </c>
      <c r="AA419" s="446"/>
    </row>
    <row r="420" spans="2:27" s="443" customFormat="1">
      <c r="B420" s="444">
        <v>45907</v>
      </c>
      <c r="C420" s="446"/>
      <c r="D420" s="445">
        <v>0</v>
      </c>
      <c r="E420" s="445">
        <v>53601969849.368736</v>
      </c>
      <c r="F420" s="514">
        <v>1.0003461276893972</v>
      </c>
      <c r="G420" s="446"/>
      <c r="H420" s="445">
        <v>0</v>
      </c>
      <c r="I420" s="518">
        <v>51895155925.622841</v>
      </c>
      <c r="J420" s="514">
        <v>1.0003158127715779</v>
      </c>
      <c r="K420" s="446"/>
      <c r="L420" s="445">
        <v>0</v>
      </c>
      <c r="M420" s="445">
        <v>32165035631.831894</v>
      </c>
      <c r="N420" s="514">
        <v>1.0003305752283893</v>
      </c>
      <c r="O420" s="446"/>
      <c r="P420" s="445">
        <v>0</v>
      </c>
      <c r="Q420" s="518">
        <v>27623858928.375885</v>
      </c>
      <c r="R420" s="514">
        <v>1.0003354398269535</v>
      </c>
      <c r="S420" s="446"/>
      <c r="T420" s="445">
        <v>0</v>
      </c>
      <c r="U420" s="445">
        <v>27524427357.282974</v>
      </c>
      <c r="V420" s="514">
        <v>1.0002982287483573</v>
      </c>
      <c r="W420" s="446"/>
      <c r="X420" s="445">
        <v>0</v>
      </c>
      <c r="Y420" s="518">
        <v>22030005691.712166</v>
      </c>
      <c r="Z420" s="514">
        <v>1.000337106421741</v>
      </c>
      <c r="AA420" s="446"/>
    </row>
    <row r="421" spans="2:27" s="443" customFormat="1">
      <c r="B421" s="444">
        <v>45908</v>
      </c>
      <c r="C421" s="446"/>
      <c r="D421" s="445">
        <v>0</v>
      </c>
      <c r="E421" s="445">
        <v>53683438372.129135</v>
      </c>
      <c r="F421" s="514">
        <v>1.0015198792691637</v>
      </c>
      <c r="G421" s="446"/>
      <c r="H421" s="445">
        <v>0</v>
      </c>
      <c r="I421" s="518">
        <v>51986246614.123306</v>
      </c>
      <c r="J421" s="514">
        <v>1.0017552830678651</v>
      </c>
      <c r="K421" s="446"/>
      <c r="L421" s="445">
        <v>0</v>
      </c>
      <c r="M421" s="445">
        <v>32218135098.214622</v>
      </c>
      <c r="N421" s="514">
        <v>1.0016508443202277</v>
      </c>
      <c r="O421" s="446"/>
      <c r="P421" s="445">
        <v>0</v>
      </c>
      <c r="Q421" s="518">
        <v>27674642275.240982</v>
      </c>
      <c r="R421" s="514">
        <v>1.0018383871347145</v>
      </c>
      <c r="S421" s="446"/>
      <c r="T421" s="445">
        <v>0</v>
      </c>
      <c r="U421" s="445">
        <v>27574100377.312611</v>
      </c>
      <c r="V421" s="514">
        <v>1.0018046885911505</v>
      </c>
      <c r="W421" s="446"/>
      <c r="X421" s="445">
        <v>0</v>
      </c>
      <c r="Y421" s="518">
        <v>22061219296.647018</v>
      </c>
      <c r="Z421" s="514">
        <v>1.0014168677653403</v>
      </c>
      <c r="AA421" s="446"/>
    </row>
    <row r="422" spans="2:27" s="443" customFormat="1">
      <c r="B422" s="444">
        <v>45909</v>
      </c>
      <c r="C422" s="446"/>
      <c r="D422" s="445">
        <v>0</v>
      </c>
      <c r="E422" s="445">
        <v>53889511886.817085</v>
      </c>
      <c r="F422" s="514">
        <v>1.0038386795059486</v>
      </c>
      <c r="G422" s="446"/>
      <c r="H422" s="445">
        <v>0</v>
      </c>
      <c r="I422" s="445">
        <v>52257307578.737762</v>
      </c>
      <c r="J422" s="514">
        <v>1.0052140899231763</v>
      </c>
      <c r="K422" s="446"/>
      <c r="L422" s="445">
        <v>0</v>
      </c>
      <c r="M422" s="445">
        <v>32396905096.790878</v>
      </c>
      <c r="N422" s="514">
        <v>1.0055487382504074</v>
      </c>
      <c r="O422" s="446"/>
      <c r="P422" s="445">
        <v>0</v>
      </c>
      <c r="Q422" s="445">
        <v>27824786387.233723</v>
      </c>
      <c r="R422" s="514">
        <v>1.0054253316266735</v>
      </c>
      <c r="S422" s="446"/>
      <c r="T422" s="445">
        <v>0</v>
      </c>
      <c r="U422" s="445">
        <v>27686690026.455166</v>
      </c>
      <c r="V422" s="514">
        <v>1.0040831667253665</v>
      </c>
      <c r="W422" s="446"/>
      <c r="X422" s="445">
        <v>0</v>
      </c>
      <c r="Y422" s="445">
        <v>22101700715.124508</v>
      </c>
      <c r="Z422" s="514">
        <v>1.0018349583462798</v>
      </c>
      <c r="AA422" s="446"/>
    </row>
    <row r="423" spans="2:27" s="443" customFormat="1">
      <c r="B423" s="444">
        <v>45910</v>
      </c>
      <c r="C423" s="446"/>
      <c r="D423" s="445">
        <v>0</v>
      </c>
      <c r="E423" s="445">
        <v>53606826340.563713</v>
      </c>
      <c r="F423" s="514">
        <v>0.99475434947625629</v>
      </c>
      <c r="G423" s="446"/>
      <c r="H423" s="445">
        <v>0</v>
      </c>
      <c r="I423" s="445">
        <v>51887817741.116035</v>
      </c>
      <c r="J423" s="514">
        <v>0.99292941303826254</v>
      </c>
      <c r="K423" s="446"/>
      <c r="L423" s="445">
        <v>0</v>
      </c>
      <c r="M423" s="445">
        <v>32171738666.867092</v>
      </c>
      <c r="N423" s="514">
        <v>0.9930497549302606</v>
      </c>
      <c r="O423" s="446"/>
      <c r="P423" s="445">
        <v>0</v>
      </c>
      <c r="Q423" s="445">
        <v>27620433710.988377</v>
      </c>
      <c r="R423" s="514">
        <v>0.99265573243217764</v>
      </c>
      <c r="S423" s="446"/>
      <c r="T423" s="445">
        <v>0</v>
      </c>
      <c r="U423" s="445">
        <v>27514078468.275116</v>
      </c>
      <c r="V423" s="514">
        <v>0.99376554011999574</v>
      </c>
      <c r="W423" s="446"/>
      <c r="X423" s="445">
        <v>0</v>
      </c>
      <c r="Y423" s="445">
        <v>22028397160.862892</v>
      </c>
      <c r="Z423" s="514">
        <v>0.99668335232630068</v>
      </c>
      <c r="AA423" s="446"/>
    </row>
    <row r="424" spans="2:27">
      <c r="B424" s="17">
        <v>45911</v>
      </c>
      <c r="D424" s="27">
        <v>0</v>
      </c>
      <c r="E424" s="445">
        <v>53556726964.198563</v>
      </c>
      <c r="F424" s="514">
        <v>0.9990654291666724</v>
      </c>
      <c r="H424" s="27">
        <v>0</v>
      </c>
      <c r="I424" s="445">
        <v>51848298721.70356</v>
      </c>
      <c r="J424" s="514">
        <v>0.99923837576654995</v>
      </c>
      <c r="L424" s="279">
        <v>0</v>
      </c>
      <c r="M424" s="445">
        <v>32137134381.942234</v>
      </c>
      <c r="N424" s="514">
        <v>0.9989243887225624</v>
      </c>
      <c r="P424" s="279">
        <v>0</v>
      </c>
      <c r="Q424" s="445">
        <v>27579401066.412987</v>
      </c>
      <c r="R424" s="514">
        <v>0.99851440983857309</v>
      </c>
      <c r="T424" s="279">
        <v>0</v>
      </c>
      <c r="U424" s="445">
        <v>27490677986.754036</v>
      </c>
      <c r="V424" s="514">
        <v>0.99914950880335451</v>
      </c>
      <c r="X424" s="279">
        <v>0</v>
      </c>
      <c r="Y424" s="445">
        <v>22011762837.192455</v>
      </c>
      <c r="Z424" s="514">
        <v>0.99924486908652665</v>
      </c>
    </row>
    <row r="425" spans="2:27">
      <c r="B425" s="17">
        <v>45912</v>
      </c>
      <c r="D425" s="27">
        <v>0</v>
      </c>
      <c r="E425" s="445">
        <v>53579476095.178085</v>
      </c>
      <c r="F425" s="514">
        <v>1.0004247670137634</v>
      </c>
      <c r="H425" s="27">
        <v>0</v>
      </c>
      <c r="I425" s="445">
        <v>51869263033.95488</v>
      </c>
      <c r="J425" s="514">
        <v>1.0004043394434954</v>
      </c>
      <c r="L425" s="279">
        <v>0</v>
      </c>
      <c r="M425" s="445">
        <v>32150286916.464626</v>
      </c>
      <c r="N425" s="514">
        <v>1.0004092628286665</v>
      </c>
      <c r="P425" s="279">
        <v>0</v>
      </c>
      <c r="Q425" s="445">
        <v>27590805697.262024</v>
      </c>
      <c r="R425" s="514">
        <v>1.0004135198883244</v>
      </c>
      <c r="T425" s="279">
        <v>0</v>
      </c>
      <c r="U425" s="445">
        <v>27502198539.806412</v>
      </c>
      <c r="V425" s="514">
        <v>1.0004190712596439</v>
      </c>
      <c r="X425" s="279">
        <v>0</v>
      </c>
      <c r="Y425" s="445">
        <v>22020769282.925293</v>
      </c>
      <c r="Z425" s="514">
        <v>1.0004091651268212</v>
      </c>
    </row>
    <row r="426" spans="2:27">
      <c r="B426" s="17">
        <v>45913</v>
      </c>
      <c r="D426" s="27">
        <v>0</v>
      </c>
      <c r="E426" s="445">
        <v>53598250062.725998</v>
      </c>
      <c r="F426" s="514">
        <v>1.0003503947577719</v>
      </c>
      <c r="H426" s="27">
        <v>0</v>
      </c>
      <c r="I426" s="445">
        <v>51885231951.573738</v>
      </c>
      <c r="J426" s="514">
        <v>1.0003078686043487</v>
      </c>
      <c r="L426" s="279">
        <v>0</v>
      </c>
      <c r="M426" s="445">
        <v>32160624052.892963</v>
      </c>
      <c r="N426" s="514">
        <v>1.0003215254798563</v>
      </c>
      <c r="P426" s="279">
        <v>0</v>
      </c>
      <c r="Q426" s="445">
        <v>27600190601.846455</v>
      </c>
      <c r="R426" s="514">
        <v>1.0003401460866133</v>
      </c>
      <c r="T426" s="279">
        <v>0</v>
      </c>
      <c r="U426" s="445">
        <v>27510488546.669746</v>
      </c>
      <c r="V426" s="514">
        <v>1.0003014306965801</v>
      </c>
      <c r="X426" s="279">
        <v>0</v>
      </c>
      <c r="Y426" s="445">
        <v>22028246763.653915</v>
      </c>
      <c r="Z426" s="514">
        <v>1.0003395649185798</v>
      </c>
    </row>
    <row r="427" spans="2:27">
      <c r="B427" s="17">
        <v>45914</v>
      </c>
      <c r="D427" s="27">
        <v>0</v>
      </c>
      <c r="E427" s="445">
        <v>53617024030.273941</v>
      </c>
      <c r="F427" s="514">
        <v>1.0003502720242914</v>
      </c>
      <c r="H427" s="27">
        <v>0</v>
      </c>
      <c r="I427" s="445">
        <v>51901200869.192665</v>
      </c>
      <c r="J427" s="514">
        <v>1.0003077738504442</v>
      </c>
      <c r="L427" s="279">
        <v>0</v>
      </c>
      <c r="M427" s="445">
        <v>32170961189.321289</v>
      </c>
      <c r="N427" s="514">
        <v>1.0003214221344501</v>
      </c>
      <c r="P427" s="279">
        <v>0</v>
      </c>
      <c r="Q427" s="445">
        <v>27609575506.430923</v>
      </c>
      <c r="R427" s="514">
        <v>1.0003400304265957</v>
      </c>
      <c r="T427" s="279">
        <v>0</v>
      </c>
      <c r="U427" s="445">
        <v>27518778553.533077</v>
      </c>
      <c r="V427" s="514">
        <v>1.0003013398634948</v>
      </c>
      <c r="X427" s="279">
        <v>0</v>
      </c>
      <c r="Y427" s="445">
        <v>22035724244.382538</v>
      </c>
      <c r="Z427" s="514">
        <v>1.0003394496533859</v>
      </c>
    </row>
    <row r="428" spans="2:27">
      <c r="B428" s="17">
        <v>45915</v>
      </c>
      <c r="D428" s="27">
        <v>0</v>
      </c>
      <c r="E428" s="445">
        <v>53654108252.897179</v>
      </c>
      <c r="F428" s="514">
        <v>1.0006916501483241</v>
      </c>
      <c r="H428" s="27">
        <v>0</v>
      </c>
      <c r="I428" s="445">
        <v>51934043247.535431</v>
      </c>
      <c r="J428" s="514">
        <v>1.0006327864826392</v>
      </c>
      <c r="L428" s="279">
        <v>0</v>
      </c>
      <c r="M428" s="445">
        <v>32193431714.751091</v>
      </c>
      <c r="N428" s="514">
        <v>1.00069847230543</v>
      </c>
      <c r="P428" s="279">
        <v>0</v>
      </c>
      <c r="Q428" s="445">
        <v>27629907988.377079</v>
      </c>
      <c r="R428" s="514">
        <v>1.0007364286329363</v>
      </c>
      <c r="T428" s="279">
        <v>0</v>
      </c>
      <c r="U428" s="445">
        <v>27538668263.625107</v>
      </c>
      <c r="V428" s="514">
        <v>1.0007227686379081</v>
      </c>
      <c r="X428" s="279">
        <v>0</v>
      </c>
      <c r="Y428" s="445">
        <v>22051505585.508709</v>
      </c>
      <c r="Z428" s="514">
        <v>1.000716170748515</v>
      </c>
    </row>
    <row r="429" spans="2:27" s="443" customFormat="1">
      <c r="B429" s="444">
        <v>45916</v>
      </c>
      <c r="C429" s="446"/>
      <c r="D429" s="445">
        <v>0</v>
      </c>
      <c r="E429" s="445">
        <v>53676396757.22467</v>
      </c>
      <c r="F429" s="514">
        <v>1.0004154109545988</v>
      </c>
      <c r="G429" s="446"/>
      <c r="H429" s="445">
        <v>0</v>
      </c>
      <c r="I429" s="445">
        <v>51955074465.317909</v>
      </c>
      <c r="J429" s="514">
        <v>1.0004049601468969</v>
      </c>
      <c r="K429" s="446"/>
      <c r="L429" s="445">
        <v>0</v>
      </c>
      <c r="M429" s="445">
        <v>32206542222.825367</v>
      </c>
      <c r="N429" s="514">
        <v>1.000407241706645</v>
      </c>
      <c r="O429" s="446"/>
      <c r="P429" s="445">
        <v>0</v>
      </c>
      <c r="Q429" s="445">
        <v>27641361974.785992</v>
      </c>
      <c r="R429" s="514">
        <v>1.0004145502914352</v>
      </c>
      <c r="S429" s="446"/>
      <c r="T429" s="445">
        <v>0</v>
      </c>
      <c r="U429" s="445">
        <v>27549943511.109093</v>
      </c>
      <c r="V429" s="514">
        <v>1.0004094332876248</v>
      </c>
      <c r="W429" s="446"/>
      <c r="X429" s="445">
        <v>0</v>
      </c>
      <c r="Y429" s="445">
        <v>22061418670.049446</v>
      </c>
      <c r="Z429" s="514">
        <v>1.0004495423000619</v>
      </c>
      <c r="AA429" s="446"/>
    </row>
    <row r="430" spans="2:27" s="443" customFormat="1">
      <c r="B430" s="444">
        <v>45917</v>
      </c>
      <c r="C430" s="446"/>
      <c r="D430" s="445">
        <v>0</v>
      </c>
      <c r="E430" s="445">
        <v>53831990492.912521</v>
      </c>
      <c r="F430" s="514">
        <v>1.0028987365972346</v>
      </c>
      <c r="G430" s="446"/>
      <c r="H430" s="445">
        <v>0</v>
      </c>
      <c r="I430" s="445">
        <v>52153029154.121445</v>
      </c>
      <c r="J430" s="514">
        <v>1.003810112695261</v>
      </c>
      <c r="K430" s="446"/>
      <c r="L430" s="445">
        <v>0</v>
      </c>
      <c r="M430" s="445">
        <v>32308822653.586922</v>
      </c>
      <c r="N430" s="514">
        <v>1.0031757656582292</v>
      </c>
      <c r="O430" s="446"/>
      <c r="P430" s="445">
        <v>0</v>
      </c>
      <c r="Q430" s="445">
        <v>27735564448.502342</v>
      </c>
      <c r="R430" s="514">
        <v>1.0034080257623441</v>
      </c>
      <c r="S430" s="446"/>
      <c r="T430" s="445">
        <v>0</v>
      </c>
      <c r="U430" s="445">
        <v>27656747143.824749</v>
      </c>
      <c r="V430" s="514">
        <v>1.003876727829681</v>
      </c>
      <c r="W430" s="446"/>
      <c r="X430" s="445">
        <v>0</v>
      </c>
      <c r="Y430" s="445">
        <v>22123357078.761822</v>
      </c>
      <c r="Z430" s="514">
        <v>1.0028075442308912</v>
      </c>
      <c r="AA430" s="446"/>
    </row>
    <row r="431" spans="2:27" s="443" customFormat="1">
      <c r="B431" s="444">
        <v>45918</v>
      </c>
      <c r="C431" s="446"/>
      <c r="D431" s="445">
        <v>0</v>
      </c>
      <c r="E431" s="445">
        <v>53837451305.576004</v>
      </c>
      <c r="F431" s="514">
        <v>1.0001014417749274</v>
      </c>
      <c r="G431" s="446"/>
      <c r="H431" s="445">
        <v>0</v>
      </c>
      <c r="I431" s="445">
        <v>52162030138.44281</v>
      </c>
      <c r="J431" s="514">
        <v>1.0001725879487222</v>
      </c>
      <c r="K431" s="446"/>
      <c r="L431" s="445">
        <v>0</v>
      </c>
      <c r="M431" s="445">
        <v>32310930382.198669</v>
      </c>
      <c r="N431" s="514">
        <v>1.0000652369364971</v>
      </c>
      <c r="O431" s="446"/>
      <c r="P431" s="445">
        <v>0</v>
      </c>
      <c r="Q431" s="445">
        <v>27725199274.562935</v>
      </c>
      <c r="R431" s="514">
        <v>0.9996262858122591</v>
      </c>
      <c r="S431" s="446"/>
      <c r="T431" s="445">
        <v>0</v>
      </c>
      <c r="U431" s="445">
        <v>27661333178.123432</v>
      </c>
      <c r="V431" s="514">
        <v>1.0001658197283589</v>
      </c>
      <c r="W431" s="446"/>
      <c r="X431" s="445">
        <v>0</v>
      </c>
      <c r="Y431" s="445">
        <v>22127682221.525898</v>
      </c>
      <c r="Z431" s="514">
        <v>1.000195501195803</v>
      </c>
      <c r="AA431" s="446"/>
    </row>
    <row r="432" spans="2:27" s="443" customFormat="1">
      <c r="B432" s="444">
        <v>45919</v>
      </c>
      <c r="C432" s="446"/>
      <c r="D432" s="445">
        <v>0</v>
      </c>
      <c r="E432" s="445">
        <v>53895531082.961533</v>
      </c>
      <c r="F432" s="514">
        <v>1.0010787987911216</v>
      </c>
      <c r="G432" s="446"/>
      <c r="H432" s="445">
        <v>0</v>
      </c>
      <c r="I432" s="445">
        <v>52220354509.904709</v>
      </c>
      <c r="J432" s="514">
        <v>1.0011181384487355</v>
      </c>
      <c r="K432" s="446"/>
      <c r="L432" s="445">
        <v>0</v>
      </c>
      <c r="M432" s="445">
        <v>32347689035.961514</v>
      </c>
      <c r="N432" s="514">
        <v>1.0011376538319396</v>
      </c>
      <c r="O432" s="446"/>
      <c r="P432" s="445">
        <v>0</v>
      </c>
      <c r="Q432" s="445">
        <v>27764772183.367306</v>
      </c>
      <c r="R432" s="514">
        <v>1.0014273263976385</v>
      </c>
      <c r="S432" s="446"/>
      <c r="T432" s="445">
        <v>0</v>
      </c>
      <c r="U432" s="445">
        <v>27693784603.917721</v>
      </c>
      <c r="V432" s="514">
        <v>1.0011731692606904</v>
      </c>
      <c r="W432" s="446"/>
      <c r="X432" s="445">
        <v>0</v>
      </c>
      <c r="Y432" s="445">
        <v>22150888251.892258</v>
      </c>
      <c r="Z432" s="514">
        <v>1.0010487329912838</v>
      </c>
      <c r="AA432" s="446"/>
    </row>
    <row r="433" spans="2:27" s="443" customFormat="1">
      <c r="B433" s="444">
        <v>45920</v>
      </c>
      <c r="C433" s="446"/>
      <c r="D433" s="445">
        <v>0</v>
      </c>
      <c r="E433" s="445">
        <v>53914267602.868523</v>
      </c>
      <c r="F433" s="514">
        <v>1.0003476451485032</v>
      </c>
      <c r="G433" s="446"/>
      <c r="H433" s="445">
        <v>0</v>
      </c>
      <c r="I433" s="445">
        <v>52236355439.296959</v>
      </c>
      <c r="J433" s="514">
        <v>1.0003064117343212</v>
      </c>
      <c r="K433" s="446"/>
      <c r="L433" s="445">
        <v>0</v>
      </c>
      <c r="M433" s="445">
        <v>32358029815.343178</v>
      </c>
      <c r="N433" s="514">
        <v>1.0003196759858228</v>
      </c>
      <c r="O433" s="446"/>
      <c r="P433" s="445">
        <v>0</v>
      </c>
      <c r="Q433" s="445">
        <v>27774141579.005085</v>
      </c>
      <c r="R433" s="514">
        <v>1.0003374562404439</v>
      </c>
      <c r="S433" s="446"/>
      <c r="T433" s="445">
        <v>0</v>
      </c>
      <c r="U433" s="445">
        <v>27702048774.517723</v>
      </c>
      <c r="V433" s="514">
        <v>1.0002984124675698</v>
      </c>
      <c r="W433" s="446"/>
      <c r="X433" s="445">
        <v>0</v>
      </c>
      <c r="Y433" s="445">
        <v>22158325478.973736</v>
      </c>
      <c r="Z433" s="514">
        <v>1.000335752995406</v>
      </c>
      <c r="AA433" s="446"/>
    </row>
    <row r="434" spans="2:27" s="443" customFormat="1">
      <c r="B434" s="444">
        <v>45921</v>
      </c>
      <c r="C434" s="446"/>
      <c r="D434" s="445">
        <v>0</v>
      </c>
      <c r="E434" s="445">
        <v>53933004122.775505</v>
      </c>
      <c r="F434" s="514">
        <v>1.0003475243333544</v>
      </c>
      <c r="G434" s="446"/>
      <c r="H434" s="445">
        <v>0</v>
      </c>
      <c r="I434" s="445">
        <v>52252356368.689163</v>
      </c>
      <c r="J434" s="514">
        <v>1.000306317874929</v>
      </c>
      <c r="K434" s="446"/>
      <c r="L434" s="445">
        <v>0</v>
      </c>
      <c r="M434" s="445">
        <v>32368370594.724838</v>
      </c>
      <c r="N434" s="514">
        <v>1.0003195738257451</v>
      </c>
      <c r="O434" s="446"/>
      <c r="P434" s="445">
        <v>0</v>
      </c>
      <c r="Q434" s="445">
        <v>27783510974.642853</v>
      </c>
      <c r="R434" s="514">
        <v>1.0003373424021447</v>
      </c>
      <c r="S434" s="446"/>
      <c r="T434" s="445">
        <v>0</v>
      </c>
      <c r="U434" s="445">
        <v>27710312945.117722</v>
      </c>
      <c r="V434" s="514">
        <v>1.0002983234441345</v>
      </c>
      <c r="W434" s="446"/>
      <c r="X434" s="445">
        <v>0</v>
      </c>
      <c r="Y434" s="445">
        <v>22165762706.055218</v>
      </c>
      <c r="Z434" s="514">
        <v>1.0003356403031691</v>
      </c>
      <c r="AA434" s="446"/>
    </row>
    <row r="435" spans="2:27" s="443" customFormat="1">
      <c r="B435" s="444">
        <v>45922</v>
      </c>
      <c r="C435" s="446"/>
      <c r="D435" s="445">
        <v>0</v>
      </c>
      <c r="E435" s="445">
        <v>53964974139.092751</v>
      </c>
      <c r="F435" s="514">
        <v>1.0005927727712787</v>
      </c>
      <c r="G435" s="446"/>
      <c r="H435" s="445">
        <v>0</v>
      </c>
      <c r="I435" s="445">
        <v>52284902882.66497</v>
      </c>
      <c r="J435" s="514">
        <v>1.0006228716987644</v>
      </c>
      <c r="K435" s="446"/>
      <c r="L435" s="445">
        <v>0</v>
      </c>
      <c r="M435" s="445">
        <v>32387543535.666122</v>
      </c>
      <c r="N435" s="514">
        <v>1.0005923356841573</v>
      </c>
      <c r="O435" s="446"/>
      <c r="P435" s="445">
        <v>0</v>
      </c>
      <c r="Q435" s="445">
        <v>27789046033.261185</v>
      </c>
      <c r="R435" s="514">
        <v>1.0001992209920259</v>
      </c>
      <c r="S435" s="446"/>
      <c r="T435" s="445">
        <v>0</v>
      </c>
      <c r="U435" s="445">
        <v>27729146369.671795</v>
      </c>
      <c r="V435" s="514">
        <v>1.0006796539826661</v>
      </c>
      <c r="W435" s="446"/>
      <c r="X435" s="445">
        <v>0</v>
      </c>
      <c r="Y435" s="445">
        <v>22179296285.607975</v>
      </c>
      <c r="Z435" s="514">
        <v>1.0006105623222727</v>
      </c>
      <c r="AA435" s="446"/>
    </row>
    <row r="436" spans="2:27" s="443" customFormat="1">
      <c r="B436" s="444">
        <v>45923</v>
      </c>
      <c r="C436" s="446"/>
      <c r="D436" s="445">
        <v>0</v>
      </c>
      <c r="E436" s="445">
        <v>53975081936.809631</v>
      </c>
      <c r="F436" s="514">
        <v>1.0001873029289485</v>
      </c>
      <c r="G436" s="446"/>
      <c r="H436" s="445">
        <v>0</v>
      </c>
      <c r="I436" s="445">
        <v>52290095641.317825</v>
      </c>
      <c r="J436" s="514">
        <v>1.0000993165974603</v>
      </c>
      <c r="K436" s="446"/>
      <c r="L436" s="445">
        <v>0</v>
      </c>
      <c r="M436" s="445">
        <v>32392223849.044113</v>
      </c>
      <c r="N436" s="514">
        <v>1.0001445096746173</v>
      </c>
      <c r="O436" s="446"/>
      <c r="P436" s="445">
        <v>0</v>
      </c>
      <c r="Q436" s="445">
        <v>27795608532.786163</v>
      </c>
      <c r="R436" s="514">
        <v>1.0002361541852542</v>
      </c>
      <c r="S436" s="446"/>
      <c r="T436" s="445">
        <v>0</v>
      </c>
      <c r="U436" s="445">
        <v>27731501486.235573</v>
      </c>
      <c r="V436" s="514">
        <v>1.0000849328909149</v>
      </c>
      <c r="W436" s="446"/>
      <c r="X436" s="445">
        <v>0</v>
      </c>
      <c r="Y436" s="445">
        <v>22182978366.662376</v>
      </c>
      <c r="Z436" s="514">
        <v>1.0001660143318789</v>
      </c>
      <c r="AA436" s="446"/>
    </row>
    <row r="437" spans="2:27" s="443" customFormat="1">
      <c r="B437" s="444">
        <v>45924</v>
      </c>
      <c r="C437" s="446"/>
      <c r="D437" s="445">
        <v>0</v>
      </c>
      <c r="E437" s="445">
        <v>53878573792.389572</v>
      </c>
      <c r="F437" s="514">
        <v>0.99821198706964365</v>
      </c>
      <c r="G437" s="446"/>
      <c r="H437" s="445">
        <v>0</v>
      </c>
      <c r="I437" s="445">
        <v>52127920036.383095</v>
      </c>
      <c r="J437" s="514">
        <v>0.99689854067112116</v>
      </c>
      <c r="K437" s="446"/>
      <c r="L437" s="445">
        <v>0</v>
      </c>
      <c r="M437" s="445">
        <v>32324712398.201332</v>
      </c>
      <c r="N437" s="514">
        <v>0.99791581303101007</v>
      </c>
      <c r="O437" s="446"/>
      <c r="P437" s="445">
        <v>0</v>
      </c>
      <c r="Q437" s="445">
        <v>27736782229.046059</v>
      </c>
      <c r="R437" s="514">
        <v>0.99788361159027272</v>
      </c>
      <c r="S437" s="446"/>
      <c r="T437" s="445">
        <v>0</v>
      </c>
      <c r="U437" s="445">
        <v>27644929969.653019</v>
      </c>
      <c r="V437" s="514">
        <v>0.99687822469239451</v>
      </c>
      <c r="W437" s="446"/>
      <c r="X437" s="445">
        <v>0</v>
      </c>
      <c r="Y437" s="445">
        <v>22142242018.915287</v>
      </c>
      <c r="Z437" s="514">
        <v>0.99816362135535819</v>
      </c>
      <c r="AA437" s="446"/>
    </row>
    <row r="438" spans="2:27" s="443" customFormat="1">
      <c r="B438" s="444">
        <v>45925</v>
      </c>
      <c r="C438" s="446"/>
      <c r="D438" s="445">
        <v>0</v>
      </c>
      <c r="E438" s="445">
        <v>53902322823.050835</v>
      </c>
      <c r="F438" s="514">
        <v>1.0004407880348276</v>
      </c>
      <c r="G438" s="446"/>
      <c r="H438" s="445">
        <v>0</v>
      </c>
      <c r="I438" s="445">
        <v>52152919886.936974</v>
      </c>
      <c r="J438" s="514">
        <v>1.000479586573499</v>
      </c>
      <c r="K438" s="446"/>
      <c r="L438" s="445">
        <v>0</v>
      </c>
      <c r="M438" s="445">
        <v>32339066973.229778</v>
      </c>
      <c r="N438" s="514">
        <v>1.0004440743308591</v>
      </c>
      <c r="O438" s="446"/>
      <c r="P438" s="445">
        <v>0</v>
      </c>
      <c r="Q438" s="445">
        <v>27763453945.218822</v>
      </c>
      <c r="R438" s="514">
        <v>1.0009616009511311</v>
      </c>
      <c r="S438" s="446"/>
      <c r="T438" s="445">
        <v>0</v>
      </c>
      <c r="U438" s="445">
        <v>27657980334.078217</v>
      </c>
      <c r="V438" s="514">
        <v>1.0004720708079031</v>
      </c>
      <c r="W438" s="446"/>
      <c r="X438" s="445">
        <v>0</v>
      </c>
      <c r="Y438" s="445">
        <v>22152100409.430744</v>
      </c>
      <c r="Z438" s="514">
        <v>1.0004452300045783</v>
      </c>
      <c r="AA438" s="446"/>
    </row>
    <row r="439" spans="2:27" s="443" customFormat="1">
      <c r="B439" s="444">
        <v>45926</v>
      </c>
      <c r="C439" s="446"/>
      <c r="D439" s="445">
        <v>0</v>
      </c>
      <c r="E439" s="445">
        <v>53925404664.924118</v>
      </c>
      <c r="F439" s="514">
        <v>1</v>
      </c>
      <c r="G439" s="446"/>
      <c r="H439" s="445">
        <v>0</v>
      </c>
      <c r="I439" s="445">
        <v>52167561481.969574</v>
      </c>
      <c r="J439" s="514">
        <v>1</v>
      </c>
      <c r="K439" s="446"/>
      <c r="L439" s="445">
        <v>0</v>
      </c>
      <c r="M439" s="445">
        <v>32352374653.71685</v>
      </c>
      <c r="N439" s="514">
        <v>0.99999999999999989</v>
      </c>
      <c r="O439" s="446"/>
      <c r="P439" s="445">
        <v>0</v>
      </c>
      <c r="Q439" s="445">
        <v>27764797152.833057</v>
      </c>
      <c r="R439" s="514">
        <v>1</v>
      </c>
      <c r="S439" s="446"/>
      <c r="T439" s="445">
        <v>0</v>
      </c>
      <c r="U439" s="445">
        <v>27665593293.733665</v>
      </c>
      <c r="V439" s="514">
        <v>1</v>
      </c>
      <c r="W439" s="446"/>
      <c r="X439" s="445">
        <v>0</v>
      </c>
      <c r="Y439" s="445">
        <v>22159927562.810059</v>
      </c>
      <c r="Z439" s="514">
        <v>1.2850082177520596</v>
      </c>
      <c r="AA439" s="446"/>
    </row>
    <row r="440" spans="2:27" s="443" customFormat="1">
      <c r="B440" s="444">
        <v>45927</v>
      </c>
      <c r="C440" s="446"/>
      <c r="D440" s="445">
        <v>0</v>
      </c>
      <c r="E440" s="445">
        <v>53944165747.320633</v>
      </c>
      <c r="F440" s="514">
        <v>1.0003479080502611</v>
      </c>
      <c r="G440" s="446"/>
      <c r="H440" s="445">
        <v>0</v>
      </c>
      <c r="I440" s="445">
        <v>52184364988.076248</v>
      </c>
      <c r="J440" s="514">
        <v>1.000322106413053</v>
      </c>
      <c r="K440" s="446"/>
      <c r="L440" s="445">
        <v>0</v>
      </c>
      <c r="M440" s="445">
        <v>32363246110.478504</v>
      </c>
      <c r="N440" s="514">
        <v>1.0003360327295296</v>
      </c>
      <c r="O440" s="446"/>
      <c r="P440" s="445">
        <v>0</v>
      </c>
      <c r="Q440" s="445">
        <v>27774179983.837513</v>
      </c>
      <c r="R440" s="514">
        <v>1.0003379398362902</v>
      </c>
      <c r="S440" s="446"/>
      <c r="T440" s="445">
        <v>0</v>
      </c>
      <c r="U440" s="445">
        <v>27673874770.957001</v>
      </c>
      <c r="V440" s="514">
        <v>1.0002993421155082</v>
      </c>
      <c r="W440" s="446"/>
      <c r="X440" s="445">
        <v>0</v>
      </c>
      <c r="Y440" s="445">
        <v>22167398020.261539</v>
      </c>
      <c r="Z440" s="514">
        <v>1.0003371156079055</v>
      </c>
      <c r="AA440" s="446"/>
    </row>
    <row r="441" spans="2:27" s="443" customFormat="1">
      <c r="B441" s="444">
        <v>45928</v>
      </c>
      <c r="C441" s="446"/>
      <c r="D441" s="445">
        <v>0</v>
      </c>
      <c r="E441" s="445">
        <v>53962926829.717133</v>
      </c>
      <c r="F441" s="514">
        <v>1.0003477870523456</v>
      </c>
      <c r="G441" s="446"/>
      <c r="H441" s="445">
        <v>0</v>
      </c>
      <c r="I441" s="445">
        <v>52201168494.182915</v>
      </c>
      <c r="J441" s="514">
        <v>1.0003220026939201</v>
      </c>
      <c r="K441" s="446"/>
      <c r="L441" s="445">
        <v>0</v>
      </c>
      <c r="M441" s="445">
        <v>32374117567.240177</v>
      </c>
      <c r="N441" s="514">
        <v>1.0003359198494663</v>
      </c>
      <c r="O441" s="446"/>
      <c r="P441" s="445">
        <v>0</v>
      </c>
      <c r="Q441" s="445">
        <v>27783562814.841949</v>
      </c>
      <c r="R441" s="514">
        <v>1.0003378256715372</v>
      </c>
      <c r="S441" s="446"/>
      <c r="T441" s="445">
        <v>0</v>
      </c>
      <c r="U441" s="445">
        <v>27682156248.18034</v>
      </c>
      <c r="V441" s="514">
        <v>1.000299252536621</v>
      </c>
      <c r="W441" s="446"/>
      <c r="X441" s="445">
        <v>0</v>
      </c>
      <c r="Y441" s="445">
        <v>22174868477.71302</v>
      </c>
      <c r="Z441" s="514">
        <v>1.0003370019992717</v>
      </c>
      <c r="AA441" s="446"/>
    </row>
    <row r="442" spans="2:27" s="443" customFormat="1">
      <c r="B442" s="444">
        <v>45929</v>
      </c>
      <c r="C442" s="446"/>
      <c r="D442" s="445">
        <v>0</v>
      </c>
      <c r="E442" s="445">
        <v>54061834439.391701</v>
      </c>
      <c r="F442" s="514">
        <v>1.0018328807476784</v>
      </c>
      <c r="G442" s="446"/>
      <c r="H442" s="445">
        <v>0</v>
      </c>
      <c r="I442" s="445">
        <v>52338910808.73336</v>
      </c>
      <c r="J442" s="514">
        <v>1.0026386825912872</v>
      </c>
      <c r="K442" s="446"/>
      <c r="L442" s="445">
        <v>0</v>
      </c>
      <c r="M442" s="445">
        <v>32439525097.580242</v>
      </c>
      <c r="N442" s="514">
        <v>1.0020203648857522</v>
      </c>
      <c r="O442" s="446"/>
      <c r="P442" s="445">
        <v>0</v>
      </c>
      <c r="Q442" s="445">
        <v>27839961870.051285</v>
      </c>
      <c r="R442" s="514">
        <v>1.0020299432288506</v>
      </c>
      <c r="S442" s="446"/>
      <c r="T442" s="445">
        <v>0</v>
      </c>
      <c r="U442" s="445">
        <v>27757226940.586773</v>
      </c>
      <c r="V442" s="514">
        <v>1.002711880235535</v>
      </c>
      <c r="W442" s="446"/>
      <c r="X442" s="445">
        <v>0</v>
      </c>
      <c r="Y442" s="445">
        <v>22216788358.423676</v>
      </c>
      <c r="Z442" s="514">
        <v>1.0018904229692631</v>
      </c>
      <c r="AA442" s="446"/>
    </row>
    <row r="443" spans="2:27" s="443" customFormat="1">
      <c r="B443" s="444">
        <v>45930</v>
      </c>
      <c r="C443" s="446"/>
      <c r="D443" s="445">
        <v>0</v>
      </c>
      <c r="E443" s="445">
        <v>54159633876.046165</v>
      </c>
      <c r="F443" s="514">
        <v>1.0018090291916399</v>
      </c>
      <c r="G443" s="446"/>
      <c r="H443" s="445">
        <v>0</v>
      </c>
      <c r="I443" s="445">
        <v>52452494417.452759</v>
      </c>
      <c r="J443" s="514">
        <v>1.0021701561412784</v>
      </c>
      <c r="K443" s="446"/>
      <c r="L443" s="445">
        <v>0</v>
      </c>
      <c r="M443" s="445">
        <v>32502763616.228989</v>
      </c>
      <c r="N443" s="514">
        <v>1.0019494280036012</v>
      </c>
      <c r="O443" s="446"/>
      <c r="P443" s="445">
        <v>0</v>
      </c>
      <c r="Q443" s="445">
        <v>27905908527.142208</v>
      </c>
      <c r="R443" s="514">
        <v>1.0023687768467049</v>
      </c>
      <c r="S443" s="446"/>
      <c r="T443" s="445">
        <v>0</v>
      </c>
      <c r="U443" s="445">
        <v>27817547686.864773</v>
      </c>
      <c r="V443" s="514">
        <v>1.0021731546313006</v>
      </c>
      <c r="W443" s="446"/>
      <c r="X443" s="445">
        <v>0</v>
      </c>
      <c r="Y443" s="445">
        <v>22254270960.176136</v>
      </c>
      <c r="Z443" s="514">
        <v>1.0016871296223266</v>
      </c>
      <c r="AA443" s="446"/>
    </row>
    <row r="444" spans="2:27" s="443" customFormat="1">
      <c r="B444" s="444">
        <v>45931</v>
      </c>
      <c r="C444" s="446"/>
      <c r="D444" s="445">
        <v>0</v>
      </c>
      <c r="E444" s="445">
        <v>54182519769.384171</v>
      </c>
      <c r="F444" s="514">
        <v>1.0004225636641191</v>
      </c>
      <c r="G444" s="446"/>
      <c r="H444" s="445">
        <v>0</v>
      </c>
      <c r="I444" s="445">
        <v>52474852625.857628</v>
      </c>
      <c r="J444" s="514">
        <v>1.0004262563421089</v>
      </c>
      <c r="K444" s="446"/>
      <c r="L444" s="445">
        <v>0</v>
      </c>
      <c r="M444" s="445">
        <v>32516488183.629639</v>
      </c>
      <c r="N444" s="514">
        <v>1.0004222584750855</v>
      </c>
      <c r="O444" s="446"/>
      <c r="P444" s="445">
        <v>0</v>
      </c>
      <c r="Q444" s="445">
        <v>27918051515.024246</v>
      </c>
      <c r="R444" s="514">
        <v>1.0004351403886467</v>
      </c>
      <c r="S444" s="446"/>
      <c r="T444" s="445">
        <v>0</v>
      </c>
      <c r="U444" s="445">
        <v>27829266689.320293</v>
      </c>
      <c r="V444" s="514">
        <v>1.0004212809334394</v>
      </c>
      <c r="W444" s="446"/>
      <c r="X444" s="445">
        <v>0</v>
      </c>
      <c r="Y444" s="445">
        <v>22263670086.876678</v>
      </c>
      <c r="Z444" s="514">
        <v>1.0004223515889314</v>
      </c>
      <c r="AA444" s="446"/>
    </row>
    <row r="445" spans="2:27" s="443" customFormat="1">
      <c r="B445" s="444">
        <v>45932</v>
      </c>
      <c r="C445" s="446"/>
      <c r="D445" s="445">
        <v>0</v>
      </c>
      <c r="E445" s="445">
        <v>54206445603.129196</v>
      </c>
      <c r="F445" s="514">
        <v>1.0004415784619627</v>
      </c>
      <c r="G445" s="446"/>
      <c r="H445" s="445">
        <v>0</v>
      </c>
      <c r="I445" s="445">
        <v>52498202505.262764</v>
      </c>
      <c r="J445" s="514">
        <v>1.0004449727485967</v>
      </c>
      <c r="K445" s="446"/>
      <c r="L445" s="445">
        <v>0</v>
      </c>
      <c r="M445" s="445">
        <v>32530915507.324272</v>
      </c>
      <c r="N445" s="514">
        <v>1.0004436925541638</v>
      </c>
      <c r="O445" s="446"/>
      <c r="P445" s="445">
        <v>0</v>
      </c>
      <c r="Q445" s="445">
        <v>27929963678.027248</v>
      </c>
      <c r="R445" s="514">
        <v>1.0004266831801134</v>
      </c>
      <c r="S445" s="446"/>
      <c r="T445" s="445">
        <v>0</v>
      </c>
      <c r="U445" s="445">
        <v>27841605746.548965</v>
      </c>
      <c r="V445" s="514">
        <v>1.0004433842029121</v>
      </c>
      <c r="W445" s="446"/>
      <c r="X445" s="445">
        <v>0</v>
      </c>
      <c r="Y445" s="445">
        <v>22273635807.691986</v>
      </c>
      <c r="Z445" s="514">
        <v>1.0004476225517365</v>
      </c>
      <c r="AA445" s="446"/>
    </row>
    <row r="446" spans="2:27" s="443" customFormat="1">
      <c r="B446" s="444">
        <v>45933</v>
      </c>
      <c r="C446" s="446"/>
      <c r="D446" s="445">
        <v>0</v>
      </c>
      <c r="E446" s="445">
        <v>54202154485.261757</v>
      </c>
      <c r="F446" s="514">
        <v>0.99992083749783456</v>
      </c>
      <c r="G446" s="446"/>
      <c r="H446" s="445">
        <v>0</v>
      </c>
      <c r="I446" s="445">
        <v>52496079458.944664</v>
      </c>
      <c r="J446" s="514">
        <v>0.9999595596379155</v>
      </c>
      <c r="K446" s="446"/>
      <c r="L446" s="445">
        <v>0</v>
      </c>
      <c r="M446" s="445">
        <v>32527679059.700798</v>
      </c>
      <c r="N446" s="514">
        <v>0.99990051163414861</v>
      </c>
      <c r="O446" s="446"/>
      <c r="P446" s="445">
        <v>0</v>
      </c>
      <c r="Q446" s="445">
        <v>27920320298.67012</v>
      </c>
      <c r="R446" s="514">
        <v>0.99965472997142801</v>
      </c>
      <c r="S446" s="446"/>
      <c r="T446" s="445">
        <v>0</v>
      </c>
      <c r="U446" s="445">
        <v>27839210153.262699</v>
      </c>
      <c r="V446" s="514">
        <v>0.99991395635337721</v>
      </c>
      <c r="W446" s="446"/>
      <c r="X446" s="445">
        <v>0</v>
      </c>
      <c r="Y446" s="445">
        <v>22274492673.760429</v>
      </c>
      <c r="Z446" s="514">
        <v>1.0000384699685243</v>
      </c>
      <c r="AA446" s="446"/>
    </row>
    <row r="447" spans="2:27" s="443" customFormat="1">
      <c r="B447" s="444">
        <v>45934</v>
      </c>
      <c r="C447" s="446"/>
      <c r="D447" s="445">
        <v>0</v>
      </c>
      <c r="E447" s="445">
        <v>54220932432.249214</v>
      </c>
      <c r="F447" s="514">
        <v>1.0003464428151572</v>
      </c>
      <c r="G447" s="446"/>
      <c r="H447" s="445">
        <v>0</v>
      </c>
      <c r="I447" s="445">
        <v>52512898082.385147</v>
      </c>
      <c r="J447" s="514">
        <v>1.0003203786571078</v>
      </c>
      <c r="K447" s="446"/>
      <c r="L447" s="445">
        <v>0</v>
      </c>
      <c r="M447" s="445">
        <v>32538549176.077229</v>
      </c>
      <c r="N447" s="514">
        <v>1.0003341805099737</v>
      </c>
      <c r="O447" s="446"/>
      <c r="P447" s="445">
        <v>0</v>
      </c>
      <c r="Q447" s="445">
        <v>27929701367.644573</v>
      </c>
      <c r="R447" s="514">
        <v>1.0003359943179055</v>
      </c>
      <c r="S447" s="446"/>
      <c r="T447" s="445">
        <v>0</v>
      </c>
      <c r="U447" s="445">
        <v>27847485558.032696</v>
      </c>
      <c r="V447" s="514">
        <v>1.0002972571680173</v>
      </c>
      <c r="W447" s="446"/>
      <c r="X447" s="445">
        <v>0</v>
      </c>
      <c r="Y447" s="445">
        <v>22281929421.021912</v>
      </c>
      <c r="Z447" s="514">
        <v>1.0003338683116336</v>
      </c>
      <c r="AA447" s="446"/>
    </row>
    <row r="448" spans="2:27" s="443" customFormat="1">
      <c r="B448" s="444">
        <v>45935</v>
      </c>
      <c r="C448" s="446"/>
      <c r="D448" s="445">
        <v>0</v>
      </c>
      <c r="E448" s="445">
        <v>54239710379.236679</v>
      </c>
      <c r="F448" s="514">
        <v>1.0003463228340996</v>
      </c>
      <c r="G448" s="446"/>
      <c r="H448" s="445">
        <v>0</v>
      </c>
      <c r="I448" s="445">
        <v>52529716705.825615</v>
      </c>
      <c r="J448" s="514">
        <v>1.0003202760474976</v>
      </c>
      <c r="K448" s="446"/>
      <c r="L448" s="445">
        <v>0</v>
      </c>
      <c r="M448" s="445">
        <v>32549419292.453659</v>
      </c>
      <c r="N448" s="514">
        <v>1.0003340688706681</v>
      </c>
      <c r="O448" s="446"/>
      <c r="P448" s="445">
        <v>0</v>
      </c>
      <c r="Q448" s="445">
        <v>27939082436.619011</v>
      </c>
      <c r="R448" s="514">
        <v>1.0003358814636416</v>
      </c>
      <c r="S448" s="446"/>
      <c r="T448" s="445">
        <v>0</v>
      </c>
      <c r="U448" s="445">
        <v>27855760962.802696</v>
      </c>
      <c r="V448" s="514">
        <v>1.0002971688324518</v>
      </c>
      <c r="W448" s="446"/>
      <c r="X448" s="445">
        <v>0</v>
      </c>
      <c r="Y448" s="445">
        <v>22289366168.28339</v>
      </c>
      <c r="Z448" s="514">
        <v>1.0003337568807871</v>
      </c>
      <c r="AA448" s="446"/>
    </row>
    <row r="449" spans="2:27" s="443" customFormat="1">
      <c r="B449" s="444">
        <v>45936</v>
      </c>
      <c r="C449" s="446"/>
      <c r="D449" s="445">
        <v>0</v>
      </c>
      <c r="E449" s="445">
        <v>54273025355.697624</v>
      </c>
      <c r="F449" s="514">
        <v>1.0006142174474755</v>
      </c>
      <c r="G449" s="446"/>
      <c r="H449" s="445">
        <v>0</v>
      </c>
      <c r="I449" s="445">
        <v>52564061015.369141</v>
      </c>
      <c r="J449" s="514">
        <v>1.0006538072484925</v>
      </c>
      <c r="K449" s="446"/>
      <c r="L449" s="445">
        <v>0</v>
      </c>
      <c r="M449" s="445">
        <v>32569632064.826412</v>
      </c>
      <c r="N449" s="514">
        <v>1.0006209871884701</v>
      </c>
      <c r="O449" s="446"/>
      <c r="P449" s="445">
        <v>0</v>
      </c>
      <c r="Q449" s="445">
        <v>27956532255.274372</v>
      </c>
      <c r="R449" s="514">
        <v>1.0006245666333153</v>
      </c>
      <c r="S449" s="446"/>
      <c r="T449" s="445">
        <v>0</v>
      </c>
      <c r="U449" s="445">
        <v>27875571287.826485</v>
      </c>
      <c r="V449" s="514">
        <v>1.000711175151533</v>
      </c>
      <c r="W449" s="446"/>
      <c r="X449" s="445">
        <v>0</v>
      </c>
      <c r="Y449" s="445">
        <v>22302805591.963966</v>
      </c>
      <c r="Z449" s="514">
        <v>1.0006029522588982</v>
      </c>
      <c r="AA449" s="446"/>
    </row>
    <row r="450" spans="2:27" s="443" customFormat="1">
      <c r="B450" s="444">
        <v>45937</v>
      </c>
      <c r="C450" s="446"/>
      <c r="D450" s="445">
        <v>0</v>
      </c>
      <c r="E450" s="445">
        <v>54298641859.107216</v>
      </c>
      <c r="F450" s="514">
        <v>1.0004719932828823</v>
      </c>
      <c r="G450" s="446"/>
      <c r="H450" s="445">
        <v>0</v>
      </c>
      <c r="I450" s="445">
        <v>52589783148.325592</v>
      </c>
      <c r="J450" s="514">
        <v>1.0004893482820691</v>
      </c>
      <c r="K450" s="446"/>
      <c r="L450" s="445">
        <v>0</v>
      </c>
      <c r="M450" s="445">
        <v>32585579841.407623</v>
      </c>
      <c r="N450" s="514">
        <v>1.0004896517267825</v>
      </c>
      <c r="O450" s="446"/>
      <c r="P450" s="445">
        <v>0</v>
      </c>
      <c r="Q450" s="445">
        <v>27970175468.406136</v>
      </c>
      <c r="R450" s="514">
        <v>1.0004880152161644</v>
      </c>
      <c r="S450" s="446"/>
      <c r="T450" s="445">
        <v>0</v>
      </c>
      <c r="U450" s="445">
        <v>27888915587.430988</v>
      </c>
      <c r="V450" s="514">
        <v>1.0004787094573495</v>
      </c>
      <c r="W450" s="446"/>
      <c r="X450" s="445">
        <v>0</v>
      </c>
      <c r="Y450" s="445">
        <v>22313643516.929028</v>
      </c>
      <c r="Z450" s="514">
        <v>1.00048594446651</v>
      </c>
      <c r="AA450" s="446"/>
    </row>
    <row r="451" spans="2:27" s="443" customFormat="1">
      <c r="B451" s="444">
        <v>45938</v>
      </c>
      <c r="C451" s="446"/>
      <c r="D451" s="445">
        <v>0</v>
      </c>
      <c r="E451" s="445">
        <v>54332185558.582382</v>
      </c>
      <c r="F451" s="514">
        <v>1.0006177631396787</v>
      </c>
      <c r="G451" s="446"/>
      <c r="H451" s="445">
        <v>0</v>
      </c>
      <c r="I451" s="445">
        <v>52622940400.113358</v>
      </c>
      <c r="J451" s="514">
        <v>1.0006304884675841</v>
      </c>
      <c r="K451" s="446"/>
      <c r="L451" s="445">
        <v>0</v>
      </c>
      <c r="M451" s="445">
        <v>32606331009.708755</v>
      </c>
      <c r="N451" s="514">
        <v>1.0006368205937144</v>
      </c>
      <c r="O451" s="446"/>
      <c r="P451" s="445">
        <v>0</v>
      </c>
      <c r="Q451" s="445">
        <v>27988329915.674191</v>
      </c>
      <c r="R451" s="514">
        <v>1.0006490644754289</v>
      </c>
      <c r="S451" s="446"/>
      <c r="T451" s="445">
        <v>0</v>
      </c>
      <c r="U451" s="445">
        <v>27906784591.536457</v>
      </c>
      <c r="V451" s="514">
        <v>1.0006407206493724</v>
      </c>
      <c r="W451" s="446"/>
      <c r="X451" s="445">
        <v>0</v>
      </c>
      <c r="Y451" s="445">
        <v>22327197931.160183</v>
      </c>
      <c r="Z451" s="514">
        <v>1.0006074496180273</v>
      </c>
      <c r="AA451" s="446"/>
    </row>
    <row r="452" spans="2:27" s="443" customFormat="1">
      <c r="B452" s="444">
        <v>45939</v>
      </c>
      <c r="C452" s="446"/>
      <c r="D452" s="445">
        <v>0</v>
      </c>
      <c r="E452" s="445">
        <v>54355662257.585815</v>
      </c>
      <c r="F452" s="514">
        <v>1.0004320956126111</v>
      </c>
      <c r="G452" s="446"/>
      <c r="H452" s="445">
        <v>0</v>
      </c>
      <c r="I452" s="445">
        <v>52645876951.74575</v>
      </c>
      <c r="J452" s="514">
        <v>1.0004358660207506</v>
      </c>
      <c r="K452" s="446"/>
      <c r="L452" s="445">
        <v>0</v>
      </c>
      <c r="M452" s="445">
        <v>32620466990.35508</v>
      </c>
      <c r="N452" s="514">
        <v>1.000433534844571</v>
      </c>
      <c r="O452" s="446"/>
      <c r="P452" s="445">
        <v>0</v>
      </c>
      <c r="Q452" s="445">
        <v>28000422917.663338</v>
      </c>
      <c r="R452" s="514">
        <v>1.0004320730113436</v>
      </c>
      <c r="S452" s="446"/>
      <c r="T452" s="445">
        <v>0</v>
      </c>
      <c r="U452" s="445">
        <v>27918834184.636055</v>
      </c>
      <c r="V452" s="514">
        <v>1.0004317800590776</v>
      </c>
      <c r="W452" s="446"/>
      <c r="X452" s="445">
        <v>0</v>
      </c>
      <c r="Y452" s="445">
        <v>22336848599.383633</v>
      </c>
      <c r="Z452" s="514">
        <v>1.0004322382169588</v>
      </c>
      <c r="AA452" s="446"/>
    </row>
    <row r="453" spans="2:27" s="443" customFormat="1">
      <c r="B453" s="444">
        <v>45940</v>
      </c>
      <c r="C453" s="446"/>
      <c r="D453" s="445">
        <v>0</v>
      </c>
      <c r="E453" s="445">
        <v>54379023572.606873</v>
      </c>
      <c r="F453" s="514">
        <v>1.0004297862274283</v>
      </c>
      <c r="G453" s="446"/>
      <c r="H453" s="445">
        <v>0</v>
      </c>
      <c r="I453" s="445">
        <v>52668660596.602356</v>
      </c>
      <c r="J453" s="514">
        <v>1.0004327716846182</v>
      </c>
      <c r="K453" s="446"/>
      <c r="L453" s="445">
        <v>0</v>
      </c>
      <c r="M453" s="445">
        <v>32634521909.400223</v>
      </c>
      <c r="N453" s="514">
        <v>1.0004308619815068</v>
      </c>
      <c r="O453" s="446"/>
      <c r="P453" s="445">
        <v>0</v>
      </c>
      <c r="Q453" s="445">
        <v>28012499546.057175</v>
      </c>
      <c r="R453" s="514">
        <v>1.0004313016424555</v>
      </c>
      <c r="S453" s="446"/>
      <c r="T453" s="445">
        <v>0</v>
      </c>
      <c r="U453" s="445">
        <v>27930824638.028088</v>
      </c>
      <c r="V453" s="514">
        <v>1.0004294754327039</v>
      </c>
      <c r="W453" s="446"/>
      <c r="X453" s="445">
        <v>0</v>
      </c>
      <c r="Y453" s="445">
        <v>22346286473.184006</v>
      </c>
      <c r="Z453" s="514">
        <v>1.0004225248587948</v>
      </c>
      <c r="AA453" s="446"/>
    </row>
    <row r="454" spans="2:27" s="443" customFormat="1">
      <c r="B454" s="444">
        <v>45941</v>
      </c>
      <c r="C454" s="446"/>
      <c r="D454" s="445">
        <v>0</v>
      </c>
      <c r="E454" s="445">
        <v>54397771288.020058</v>
      </c>
      <c r="F454" s="514">
        <v>1.0003447600596975</v>
      </c>
      <c r="G454" s="446"/>
      <c r="H454" s="445">
        <v>0</v>
      </c>
      <c r="I454" s="445">
        <v>52685485318.162376</v>
      </c>
      <c r="J454" s="514">
        <v>1.0003194446444894</v>
      </c>
      <c r="K454" s="446"/>
      <c r="L454" s="445">
        <v>0</v>
      </c>
      <c r="M454" s="445">
        <v>32645393369.304749</v>
      </c>
      <c r="N454" s="514">
        <v>1.0003331275982748</v>
      </c>
      <c r="O454" s="446"/>
      <c r="P454" s="445">
        <v>0</v>
      </c>
      <c r="Q454" s="445">
        <v>28021878276.531624</v>
      </c>
      <c r="R454" s="514">
        <v>1.0003348051986232</v>
      </c>
      <c r="S454" s="446"/>
      <c r="T454" s="445">
        <v>0</v>
      </c>
      <c r="U454" s="445">
        <v>27939103011.931412</v>
      </c>
      <c r="V454" s="514">
        <v>1.0002963884529228</v>
      </c>
      <c r="W454" s="446"/>
      <c r="X454" s="445">
        <v>0</v>
      </c>
      <c r="Y454" s="445">
        <v>22353729450.155483</v>
      </c>
      <c r="Z454" s="514">
        <v>1.0003330744452958</v>
      </c>
      <c r="AA454" s="446"/>
    </row>
    <row r="455" spans="2:27" s="443" customFormat="1">
      <c r="B455" s="444">
        <v>45942</v>
      </c>
      <c r="C455" s="446"/>
      <c r="D455" s="445">
        <v>0</v>
      </c>
      <c r="E455" s="445">
        <v>54416519003.433235</v>
      </c>
      <c r="F455" s="514">
        <v>1.0003446412411625</v>
      </c>
      <c r="G455" s="446"/>
      <c r="H455" s="445">
        <v>0</v>
      </c>
      <c r="I455" s="445">
        <v>52702310039.722359</v>
      </c>
      <c r="J455" s="514">
        <v>1.0003193426321952</v>
      </c>
      <c r="K455" s="446"/>
      <c r="L455" s="445">
        <v>0</v>
      </c>
      <c r="M455" s="445">
        <v>32656264829.20927</v>
      </c>
      <c r="N455" s="514">
        <v>1.0003330166612341</v>
      </c>
      <c r="O455" s="446"/>
      <c r="P455" s="445">
        <v>0</v>
      </c>
      <c r="Q455" s="445">
        <v>28031257007.006065</v>
      </c>
      <c r="R455" s="514">
        <v>1.000334693141619</v>
      </c>
      <c r="S455" s="446"/>
      <c r="T455" s="445">
        <v>0</v>
      </c>
      <c r="U455" s="445">
        <v>27947381385.834751</v>
      </c>
      <c r="V455" s="514">
        <v>1.0002963006328371</v>
      </c>
      <c r="W455" s="446"/>
      <c r="X455" s="445">
        <v>0</v>
      </c>
      <c r="Y455" s="445">
        <v>22361172427.126965</v>
      </c>
      <c r="Z455" s="514">
        <v>1.0003329635436484</v>
      </c>
      <c r="AA455" s="446"/>
    </row>
    <row r="456" spans="2:27" s="443" customFormat="1">
      <c r="B456" s="444">
        <v>45943</v>
      </c>
      <c r="C456" s="446"/>
      <c r="D456" s="445">
        <v>0</v>
      </c>
      <c r="E456" s="445">
        <v>54448840413.205315</v>
      </c>
      <c r="F456" s="514">
        <v>1.0005939632002194</v>
      </c>
      <c r="G456" s="446"/>
      <c r="H456" s="445">
        <v>0</v>
      </c>
      <c r="I456" s="445">
        <v>52736386014.348198</v>
      </c>
      <c r="J456" s="514">
        <v>1.0006465745922741</v>
      </c>
      <c r="K456" s="446"/>
      <c r="L456" s="445">
        <v>0</v>
      </c>
      <c r="M456" s="445">
        <v>32676261387.63192</v>
      </c>
      <c r="N456" s="514">
        <v>1.0006123345253117</v>
      </c>
      <c r="O456" s="446"/>
      <c r="P456" s="445">
        <v>0</v>
      </c>
      <c r="Q456" s="445">
        <v>28048096826.43718</v>
      </c>
      <c r="R456" s="514">
        <v>1.0006007514906272</v>
      </c>
      <c r="S456" s="446"/>
      <c r="T456" s="445">
        <v>0</v>
      </c>
      <c r="U456" s="445">
        <v>27966599932.074596</v>
      </c>
      <c r="V456" s="514">
        <v>1.0006876689438098</v>
      </c>
      <c r="W456" s="446"/>
      <c r="X456" s="445">
        <v>0</v>
      </c>
      <c r="Y456" s="445">
        <v>22374803134.130676</v>
      </c>
      <c r="Z456" s="514">
        <v>1.0006095703187359</v>
      </c>
      <c r="AA456" s="446"/>
    </row>
    <row r="457" spans="2:27" s="443" customFormat="1">
      <c r="B457" s="444">
        <v>45944</v>
      </c>
      <c r="C457" s="446"/>
      <c r="D457" s="445">
        <v>0</v>
      </c>
      <c r="E457" s="445">
        <v>54484583252.13723</v>
      </c>
      <c r="F457" s="514">
        <v>1.0006564481201192</v>
      </c>
      <c r="G457" s="446"/>
      <c r="H457" s="445">
        <v>0</v>
      </c>
      <c r="I457" s="445">
        <v>52778445218.726868</v>
      </c>
      <c r="J457" s="514">
        <v>1.0007975367209885</v>
      </c>
      <c r="K457" s="446"/>
      <c r="L457" s="445">
        <v>0</v>
      </c>
      <c r="M457" s="445">
        <v>32699451543.100384</v>
      </c>
      <c r="N457" s="514">
        <v>1.0007096942698972</v>
      </c>
      <c r="O457" s="446"/>
      <c r="P457" s="445">
        <v>0</v>
      </c>
      <c r="Q457" s="445">
        <v>28067553432.23114</v>
      </c>
      <c r="R457" s="514">
        <v>1.0006936872014653</v>
      </c>
      <c r="S457" s="446"/>
      <c r="T457" s="445">
        <v>0</v>
      </c>
      <c r="U457" s="445">
        <v>27988828639.511459</v>
      </c>
      <c r="V457" s="514">
        <v>1.0007948305296623</v>
      </c>
      <c r="W457" s="446"/>
      <c r="X457" s="445">
        <v>0</v>
      </c>
      <c r="Y457" s="445">
        <v>22390153124.84412</v>
      </c>
      <c r="Z457" s="514">
        <v>1.0006860391406094</v>
      </c>
      <c r="AA457" s="446"/>
    </row>
    <row r="458" spans="2:27" s="443" customFormat="1">
      <c r="B458" s="444">
        <v>45945</v>
      </c>
      <c r="C458" s="446"/>
      <c r="D458" s="445">
        <v>0</v>
      </c>
      <c r="E458" s="445">
        <v>54327148804.72036</v>
      </c>
      <c r="F458" s="514">
        <v>0.99711047716583767</v>
      </c>
      <c r="G458" s="446"/>
      <c r="H458" s="445">
        <v>0</v>
      </c>
      <c r="I458" s="445">
        <v>52634518724.867088</v>
      </c>
      <c r="J458" s="514">
        <v>0.99727300618153281</v>
      </c>
      <c r="K458" s="446"/>
      <c r="L458" s="445">
        <v>0</v>
      </c>
      <c r="M458" s="445">
        <v>32595155495.458263</v>
      </c>
      <c r="N458" s="514">
        <v>0.99681046492462877</v>
      </c>
      <c r="O458" s="446"/>
      <c r="P458" s="445">
        <v>0</v>
      </c>
      <c r="Q458" s="445">
        <v>27947932973.552216</v>
      </c>
      <c r="R458" s="514">
        <v>0.99573812306199938</v>
      </c>
      <c r="S458" s="446"/>
      <c r="T458" s="445">
        <v>0</v>
      </c>
      <c r="U458" s="445">
        <v>27906595014.317074</v>
      </c>
      <c r="V458" s="514">
        <v>0.99706191258471255</v>
      </c>
      <c r="W458" s="446"/>
      <c r="X458" s="445">
        <v>0</v>
      </c>
      <c r="Y458" s="445">
        <v>22335545627.380741</v>
      </c>
      <c r="Z458" s="514">
        <v>0.99756109316631758</v>
      </c>
      <c r="AA458" s="446"/>
    </row>
    <row r="459" spans="2:27" s="443" customFormat="1">
      <c r="B459" s="444">
        <v>45946</v>
      </c>
      <c r="C459" s="446"/>
      <c r="D459" s="445">
        <v>0</v>
      </c>
      <c r="E459" s="445">
        <v>54378266232.413055</v>
      </c>
      <c r="F459" s="514">
        <v>1.0009409186533318</v>
      </c>
      <c r="G459" s="446"/>
      <c r="H459" s="445">
        <v>0</v>
      </c>
      <c r="I459" s="445">
        <v>52689992381.246353</v>
      </c>
      <c r="J459" s="514">
        <v>1.0010539406025396</v>
      </c>
      <c r="K459" s="446"/>
      <c r="L459" s="445">
        <v>0</v>
      </c>
      <c r="M459" s="445">
        <v>32627304111.313271</v>
      </c>
      <c r="N459" s="514">
        <v>1.0009863004291999</v>
      </c>
      <c r="O459" s="446"/>
      <c r="P459" s="445">
        <v>0</v>
      </c>
      <c r="Q459" s="445">
        <v>27977573155.732189</v>
      </c>
      <c r="R459" s="514">
        <v>1.0010605500667267</v>
      </c>
      <c r="S459" s="446"/>
      <c r="T459" s="445">
        <v>0</v>
      </c>
      <c r="U459" s="445">
        <v>27936688574.183968</v>
      </c>
      <c r="V459" s="514">
        <v>1.0010783673125101</v>
      </c>
      <c r="W459" s="446"/>
      <c r="X459" s="445">
        <v>0</v>
      </c>
      <c r="Y459" s="445">
        <v>22356211158.51487</v>
      </c>
      <c r="Z459" s="514">
        <v>1.0009252306381446</v>
      </c>
      <c r="AA459" s="446"/>
    </row>
    <row r="460" spans="2:27" s="443" customFormat="1">
      <c r="B460" s="444">
        <v>45947</v>
      </c>
      <c r="C460" s="446"/>
      <c r="D460" s="445">
        <v>0</v>
      </c>
      <c r="E460" s="445">
        <v>54406551970.387848</v>
      </c>
      <c r="F460" s="514">
        <v>1.0005201662343168</v>
      </c>
      <c r="G460" s="446"/>
      <c r="H460" s="445">
        <v>0</v>
      </c>
      <c r="I460" s="445">
        <v>52717693922.478188</v>
      </c>
      <c r="J460" s="514">
        <v>1.0005257457816923</v>
      </c>
      <c r="K460" s="446"/>
      <c r="L460" s="445">
        <v>0</v>
      </c>
      <c r="M460" s="445">
        <v>32644560523.49366</v>
      </c>
      <c r="N460" s="514">
        <v>1.00052889482139</v>
      </c>
      <c r="O460" s="446"/>
      <c r="P460" s="445">
        <v>0</v>
      </c>
      <c r="Q460" s="445">
        <v>27993196408.331604</v>
      </c>
      <c r="R460" s="514">
        <v>1.0005584205789562</v>
      </c>
      <c r="S460" s="446"/>
      <c r="T460" s="445">
        <v>0</v>
      </c>
      <c r="U460" s="445">
        <v>27951421894.796638</v>
      </c>
      <c r="V460" s="514">
        <v>1.0005273824982353</v>
      </c>
      <c r="W460" s="446"/>
      <c r="X460" s="445">
        <v>0</v>
      </c>
      <c r="Y460" s="445">
        <v>22367669343.713451</v>
      </c>
      <c r="Z460" s="514">
        <v>1.0005125280449956</v>
      </c>
      <c r="AA460" s="446"/>
    </row>
    <row r="461" spans="2:27" s="443" customFormat="1">
      <c r="B461" s="444">
        <v>45948</v>
      </c>
      <c r="C461" s="446"/>
      <c r="D461" s="445">
        <v>0</v>
      </c>
      <c r="E461" s="445">
        <v>54425698980.258179</v>
      </c>
      <c r="F461" s="514">
        <v>1.0003519247071704</v>
      </c>
      <c r="G461" s="446"/>
      <c r="H461" s="445">
        <v>0</v>
      </c>
      <c r="I461" s="445">
        <v>52734637599.811501</v>
      </c>
      <c r="J461" s="514">
        <v>1.0003214039930926</v>
      </c>
      <c r="K461" s="446"/>
      <c r="L461" s="445">
        <v>0</v>
      </c>
      <c r="M461" s="445">
        <v>32655542614.455315</v>
      </c>
      <c r="N461" s="514">
        <v>1.0003364141157223</v>
      </c>
      <c r="O461" s="446"/>
      <c r="P461" s="445">
        <v>0</v>
      </c>
      <c r="Q461" s="445">
        <v>28002626369.930317</v>
      </c>
      <c r="R461" s="514">
        <v>1.0003368661963843</v>
      </c>
      <c r="S461" s="446"/>
      <c r="T461" s="445">
        <v>0</v>
      </c>
      <c r="U461" s="445">
        <v>27959775833.606647</v>
      </c>
      <c r="V461" s="514">
        <v>1.0002988734827678</v>
      </c>
      <c r="W461" s="446"/>
      <c r="X461" s="445">
        <v>0</v>
      </c>
      <c r="Y461" s="445">
        <v>22375282565.848267</v>
      </c>
      <c r="Z461" s="514">
        <v>1.0003403672514033</v>
      </c>
      <c r="AA461" s="446"/>
    </row>
    <row r="462" spans="2:27" s="443" customFormat="1">
      <c r="B462" s="444">
        <v>45949</v>
      </c>
      <c r="C462" s="446"/>
      <c r="D462" s="445">
        <v>0</v>
      </c>
      <c r="E462" s="445">
        <v>54444845990.128479</v>
      </c>
      <c r="F462" s="514">
        <v>1.0003518008997412</v>
      </c>
      <c r="G462" s="446"/>
      <c r="H462" s="445">
        <v>0</v>
      </c>
      <c r="I462" s="445">
        <v>52751581277.144821</v>
      </c>
      <c r="J462" s="514">
        <v>1.0003213007257563</v>
      </c>
      <c r="K462" s="446"/>
      <c r="L462" s="445">
        <v>0</v>
      </c>
      <c r="M462" s="445">
        <v>32666524705.416992</v>
      </c>
      <c r="N462" s="514">
        <v>1.0003363009793265</v>
      </c>
      <c r="O462" s="446"/>
      <c r="P462" s="445">
        <v>0</v>
      </c>
      <c r="Q462" s="445">
        <v>28012056331.529045</v>
      </c>
      <c r="R462" s="514">
        <v>1.0003367527557649</v>
      </c>
      <c r="S462" s="446"/>
      <c r="T462" s="445">
        <v>0</v>
      </c>
      <c r="U462" s="445">
        <v>27968129772.416641</v>
      </c>
      <c r="V462" s="514">
        <v>1.0002987841840976</v>
      </c>
      <c r="W462" s="446"/>
      <c r="X462" s="445">
        <v>0</v>
      </c>
      <c r="Y462" s="445">
        <v>22382895787.983082</v>
      </c>
      <c r="Z462" s="514">
        <v>1.0003402514409554</v>
      </c>
      <c r="AA462" s="446"/>
    </row>
    <row r="463" spans="2:27" s="443" customFormat="1">
      <c r="B463" s="444">
        <v>45950</v>
      </c>
      <c r="C463" s="446"/>
      <c r="D463" s="445">
        <v>0</v>
      </c>
      <c r="E463" s="445">
        <v>54556648196.137566</v>
      </c>
      <c r="F463" s="514">
        <v>1.0020534947610902</v>
      </c>
      <c r="G463" s="446"/>
      <c r="H463" s="445">
        <v>0</v>
      </c>
      <c r="I463" s="445">
        <v>52878283312.882324</v>
      </c>
      <c r="J463" s="514">
        <v>1.0024018623265878</v>
      </c>
      <c r="K463" s="446"/>
      <c r="L463" s="445">
        <v>0</v>
      </c>
      <c r="M463" s="445">
        <v>32741897863.273666</v>
      </c>
      <c r="N463" s="514">
        <v>1.00230735159422</v>
      </c>
      <c r="O463" s="446"/>
      <c r="P463" s="445">
        <v>0</v>
      </c>
      <c r="Q463" s="445">
        <v>28082790098.217461</v>
      </c>
      <c r="R463" s="514">
        <v>1.0025251186793025</v>
      </c>
      <c r="S463" s="446"/>
      <c r="T463" s="445">
        <v>0</v>
      </c>
      <c r="U463" s="445">
        <v>28036371813.93092</v>
      </c>
      <c r="V463" s="514">
        <v>1.0024399930231152</v>
      </c>
      <c r="W463" s="446"/>
      <c r="X463" s="445">
        <v>0</v>
      </c>
      <c r="Y463" s="445">
        <v>22424813508.497272</v>
      </c>
      <c r="Z463" s="514">
        <v>1.0018727568099877</v>
      </c>
      <c r="AA463" s="446"/>
    </row>
    <row r="464" spans="2:27" s="443" customFormat="1">
      <c r="B464" s="444">
        <f t="shared" ref="B464" si="1">B463+1</f>
        <v>45951</v>
      </c>
      <c r="C464" s="446"/>
      <c r="D464" s="445">
        <f>SUMIFS(Trades!$E:$E,Trades!$G:$G,"пополнение фондом",Trades!$B:$B,B464,Trades!$D:$D,MV!$E$2)</f>
        <v>0</v>
      </c>
      <c r="E464" s="445">
        <f ca="1">Report!$E$14</f>
        <v>54556648196.137566</v>
      </c>
      <c r="F464" s="514">
        <f ca="1">E464/E463</f>
        <v>1</v>
      </c>
      <c r="G464" s="446"/>
      <c r="H464" s="445">
        <f>SUMIFS(Trades!$E:$E,Trades!$G:$G,"пополнение фондом",Trades!$B:$B,$B464,Trades!$D:$D,MV!$I$2)</f>
        <v>0</v>
      </c>
      <c r="I464" s="445">
        <f ca="1">Report!$E$28</f>
        <v>52878283312.882324</v>
      </c>
      <c r="J464" s="514">
        <f ca="1">I464/I463</f>
        <v>1</v>
      </c>
      <c r="K464" s="446"/>
      <c r="L464" s="445">
        <f>SUMIFS(Trades!$E:$E,Trades!$G:$G,"пополнение фондом",Trades!$B:$B,$B464,Trades!$D:$D,MV!$M$2)</f>
        <v>0</v>
      </c>
      <c r="M464" s="445">
        <f ca="1">Report!$E$43</f>
        <v>32741897863.273666</v>
      </c>
      <c r="N464" s="514">
        <f ca="1">M464/M463</f>
        <v>1</v>
      </c>
      <c r="O464" s="446"/>
      <c r="P464" s="445">
        <f>SUMIFS(Trades!$E:$E,Trades!$G:$G,"пополнение фондом",Trades!$B:$B,$B464,Trades!$D:$D,MV!$Q$2)</f>
        <v>0</v>
      </c>
      <c r="Q464" s="445">
        <f ca="1">Report!$E$57</f>
        <v>28082790098.217461</v>
      </c>
      <c r="R464" s="514">
        <f ca="1">Q464/Q463</f>
        <v>1</v>
      </c>
      <c r="S464" s="446"/>
      <c r="T464" s="445">
        <f>SUMIFS(Trades!$E:$E,Trades!$G:$G,"пополнение фондом",Trades!$B:$B,$B464,Trades!$D:$D,MV!$U$2)</f>
        <v>0</v>
      </c>
      <c r="U464" s="445">
        <f ca="1">Report!$E$71</f>
        <v>28036371813.93092</v>
      </c>
      <c r="V464" s="514">
        <f ca="1">U464/U463</f>
        <v>1</v>
      </c>
      <c r="W464" s="446"/>
      <c r="X464" s="445">
        <f>SUMIFS(Trades!$E:$E,Trades!$G:$G,"пополнение фондом",Trades!$B:$B,$B464,Trades!$D:$D,MV!$Y$2)</f>
        <v>0</v>
      </c>
      <c r="Y464" s="445">
        <f ca="1">Report!$E$85</f>
        <v>22424813508.497272</v>
      </c>
      <c r="Z464" s="514">
        <f ca="1">Y464/Y463</f>
        <v>1</v>
      </c>
      <c r="AA464" s="446"/>
    </row>
  </sheetData>
  <autoFilter ref="B4:K4" xr:uid="{00000000-0009-0000-0000-000003000000}"/>
  <mergeCells count="6">
    <mergeCell ref="X3:Z3"/>
    <mergeCell ref="D3:F3"/>
    <mergeCell ref="H3:J3"/>
    <mergeCell ref="L3:N3"/>
    <mergeCell ref="P3:R3"/>
    <mergeCell ref="T3:V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tabColor theme="8" tint="0.79998168889431442"/>
  </sheetPr>
  <dimension ref="A1:AQ232"/>
  <sheetViews>
    <sheetView zoomScale="85" zoomScaleNormal="85" workbookViewId="0">
      <pane xSplit="2" ySplit="2" topLeftCell="C44" activePane="bottomRight" state="frozen"/>
      <selection activeCell="D35" sqref="D35"/>
      <selection pane="topRight" activeCell="D35" sqref="D35"/>
      <selection pane="bottomLeft" activeCell="D35" sqref="D35"/>
      <selection pane="bottomRight" activeCell="S50" sqref="S50"/>
    </sheetView>
  </sheetViews>
  <sheetFormatPr defaultColWidth="15.42578125" defaultRowHeight="12.75"/>
  <cols>
    <col min="1" max="2" width="15.42578125" style="2"/>
    <col min="3" max="3" width="16.140625" style="4" bestFit="1" customWidth="1"/>
    <col min="4" max="5" width="15.42578125" style="2"/>
    <col min="6" max="6" width="17.85546875" style="4" customWidth="1"/>
    <col min="7" max="7" width="18.140625" style="4" customWidth="1"/>
    <col min="8" max="8" width="17.85546875" style="114" customWidth="1"/>
    <col min="9" max="11" width="15.42578125" style="2" customWidth="1"/>
    <col min="12" max="12" width="16.140625" style="2" customWidth="1"/>
    <col min="13" max="15" width="15.42578125" style="2" customWidth="1"/>
    <col min="16" max="16" width="20.28515625" style="4" customWidth="1"/>
    <col min="17" max="17" width="15.42578125" style="2" customWidth="1"/>
    <col min="18" max="18" width="17.85546875" style="2" customWidth="1"/>
    <col min="19" max="19" width="15.42578125" style="2"/>
    <col min="20" max="21" width="15.42578125" style="6"/>
    <col min="22" max="22" width="15.5703125" style="2" customWidth="1"/>
    <col min="23" max="23" width="17.85546875" style="2" bestFit="1" customWidth="1"/>
    <col min="24" max="24" width="19" style="270" bestFit="1" customWidth="1"/>
    <col min="25" max="25" width="16.42578125" style="2" customWidth="1"/>
    <col min="26" max="26" width="10.140625" style="2" customWidth="1"/>
    <col min="27" max="30" width="15.42578125" style="2"/>
    <col min="31" max="31" width="22.85546875" style="2" bestFit="1" customWidth="1"/>
    <col min="32" max="32" width="15.42578125" style="2"/>
    <col min="35" max="35" width="15.42578125" style="4"/>
    <col min="36" max="37" width="15.42578125" style="2"/>
    <col min="38" max="38" width="16.42578125" style="2" bestFit="1" customWidth="1"/>
    <col min="39" max="39" width="15.42578125" style="2"/>
    <col min="40" max="40" width="17.5703125" style="2" bestFit="1" customWidth="1"/>
    <col min="41" max="41" width="18.7109375" style="45" bestFit="1" customWidth="1"/>
    <col min="42" max="16384" width="15.42578125" style="2"/>
  </cols>
  <sheetData>
    <row r="1" spans="1:43">
      <c r="A1" s="4">
        <v>45336</v>
      </c>
      <c r="H1" s="2"/>
      <c r="V1" s="6"/>
    </row>
    <row r="2" spans="1:43" ht="25.5">
      <c r="A2" s="3">
        <f>Report!B2</f>
        <v>45950</v>
      </c>
      <c r="B2" s="2" t="s">
        <v>105</v>
      </c>
      <c r="C2" s="4" t="s">
        <v>2950</v>
      </c>
      <c r="D2" s="2" t="s">
        <v>171</v>
      </c>
      <c r="E2" s="2" t="s">
        <v>172</v>
      </c>
      <c r="F2" s="4" t="s">
        <v>169</v>
      </c>
      <c r="G2" s="4" t="s">
        <v>170</v>
      </c>
      <c r="H2" s="115" t="s">
        <v>158</v>
      </c>
      <c r="I2" s="2" t="s">
        <v>163</v>
      </c>
      <c r="K2" s="2" t="s">
        <v>164</v>
      </c>
      <c r="L2" s="2" t="s">
        <v>161</v>
      </c>
      <c r="M2" s="2" t="s">
        <v>246</v>
      </c>
      <c r="N2" s="2" t="s">
        <v>162</v>
      </c>
      <c r="O2" s="2" t="s">
        <v>261</v>
      </c>
      <c r="P2" s="4" t="s">
        <v>250</v>
      </c>
      <c r="Q2" s="2" t="s">
        <v>159</v>
      </c>
      <c r="R2" s="2" t="s">
        <v>251</v>
      </c>
      <c r="S2" s="2" t="s">
        <v>160</v>
      </c>
      <c r="T2" s="6" t="s">
        <v>166</v>
      </c>
      <c r="U2" s="6" t="s">
        <v>2630</v>
      </c>
      <c r="V2" s="6" t="s">
        <v>165</v>
      </c>
      <c r="W2" s="2" t="s">
        <v>167</v>
      </c>
      <c r="X2" s="270" t="s">
        <v>168</v>
      </c>
      <c r="Z2" s="2" t="s">
        <v>305</v>
      </c>
      <c r="AA2" s="2" t="s">
        <v>303</v>
      </c>
      <c r="AB2" s="2" t="s">
        <v>304</v>
      </c>
      <c r="AC2" s="2" t="s">
        <v>306</v>
      </c>
      <c r="AD2" s="2" t="s">
        <v>307</v>
      </c>
      <c r="AE2" s="8" t="s">
        <v>262</v>
      </c>
      <c r="AF2" s="2" t="s">
        <v>2633</v>
      </c>
    </row>
    <row r="3" spans="1:43">
      <c r="A3" s="321"/>
      <c r="B3" s="321" t="s">
        <v>473</v>
      </c>
      <c r="C3" s="314"/>
      <c r="D3" s="321" t="s">
        <v>173</v>
      </c>
      <c r="E3" s="321" t="s">
        <v>759</v>
      </c>
      <c r="F3" s="314">
        <v>45491</v>
      </c>
      <c r="G3" s="314">
        <v>45491</v>
      </c>
      <c r="H3" s="322">
        <v>5000000000</v>
      </c>
      <c r="I3" s="314">
        <f>VLOOKUP(B3,Справочник!A:L,2,0)</f>
        <v>46043</v>
      </c>
      <c r="J3" s="314">
        <f>I3-A2</f>
        <v>93</v>
      </c>
      <c r="K3" s="323">
        <f>VLOOKUP(B3,Справочник!A:L,3,0)</f>
        <v>0.1067</v>
      </c>
      <c r="L3" s="321">
        <f>VLOOKUP(B3,Справочник!A:L,4,0)</f>
        <v>2</v>
      </c>
      <c r="M3" s="321" t="str">
        <f>VLOOKUP(B3,Справочник!A:L,5,0)</f>
        <v>fix</v>
      </c>
      <c r="N3" s="314" t="str">
        <f>VLOOKUP(B3,Справочник!A:L,6,0)</f>
        <v>30/360</v>
      </c>
      <c r="O3" s="324">
        <f t="shared" ref="O3:O27" si="0">IF(N3="actual/actual",1,IF(N3="actual/360",2,IF(N3="actual/365",3,IF(N3="30/360",4))))</f>
        <v>4</v>
      </c>
      <c r="P3" s="314">
        <f>Q3-(362/L3)</f>
        <v>45678</v>
      </c>
      <c r="Q3" s="325">
        <f t="shared" ref="Q3:Q31" si="1">COUPPCD($A$2,I3,L3,4)</f>
        <v>45859</v>
      </c>
      <c r="R3" s="326"/>
      <c r="S3" s="325">
        <f t="shared" ref="S3:S31" si="2">COUPNCD($A$2,I3,L3,0)</f>
        <v>46043</v>
      </c>
      <c r="T3" s="327">
        <f>VLOOKUP(B3,Цены!C:G,4,0)</f>
        <v>98.584699999999998</v>
      </c>
      <c r="U3" s="369">
        <f>IF(P3="",0,H3*K3*IF(O3=4,DAYS360(P3,Q3,1)/360,IF(O3=3,DAYS360(P3,Q3,1)/365,IF(O3=2,(Q3-P3)/360,IF(AND(L3=1,O3=1),(Q3-P3)/(Q3-COUPPCD(Q3-1,I3,1,3)))))))</f>
        <v>266750000</v>
      </c>
      <c r="V3" s="374">
        <f ca="1">IF($A$2=DATE(YEAR(TODAY()),2,29),H3*K3*IF(O3=4,DAYS360(Q3,$A$2,1)/360,IF(O3=3,DAYS360(Q3,$A$2,1)/365,IF(O3=2,($A$2-Q3)/360,IF(AND(L3=1,O3=1),($A$2-Q3)/(Q3-COUPPCD(Q3-1,I3,1,3))))))+(H3*K3)/360,H3*K3*IF(O3=4,DAYS360(Q3,$A$2,1)/360,IF(O3=3,DAYS360(Q3,$A$2,1)/365,IF(O3=2,($A$2-Q3)/360,IF(AND(L3=1,O3=1),($A$2-Q3)/(Q3-COUPPCD(Q3-1,I3,1,3)))))))</f>
        <v>131893055.55555557</v>
      </c>
      <c r="W3" s="374">
        <f t="shared" ref="W3:W31" si="3">T3/100*H3</f>
        <v>4929235000</v>
      </c>
      <c r="X3" s="333">
        <f t="shared" ref="X3:X31" ca="1" si="4">SUM(V3:W3)</f>
        <v>5061128055.5555553</v>
      </c>
      <c r="Y3" s="328"/>
      <c r="Z3" s="329">
        <f t="shared" ref="Z3:Z34" si="5">IFERROR(W3/SUMIFS($W:$W,$D:$D,D3,$E:$E,E3),0)</f>
        <v>0.12804683490406413</v>
      </c>
      <c r="AA3" s="329">
        <f t="shared" ref="AA3:AA16" si="6">IFERROR(YIELD($A$2,I3,K3,T3,100,L3,O3),0)</f>
        <v>0.16072492962444065</v>
      </c>
      <c r="AB3" s="330">
        <f t="shared" ref="AB3:AB16" si="7">IFERROR(MDURATION($A$2,I3,K3,AA3,L3,O3),0)</f>
        <v>0.23397497229942502</v>
      </c>
      <c r="AC3" s="331">
        <f t="shared" ref="AC3:AC16" si="8">Z3*AA3</f>
        <v>2.058031852858808E-2</v>
      </c>
      <c r="AD3" s="330">
        <f t="shared" ref="AD3:AD16" si="9">Z3*AB3</f>
        <v>2.9959754649707453E-2</v>
      </c>
      <c r="AE3" s="332" t="str">
        <f t="shared" ref="AE3:AE16" si="10">IF(S3-$A$2&lt;10,"Скоро погашение купона","Ok")</f>
        <v>Ok</v>
      </c>
      <c r="AF3" s="321" t="str">
        <f t="shared" ref="AF3:AF16" si="11">IF(I3-$A$2&lt;=0,"Погашено","Ok")</f>
        <v>Ok</v>
      </c>
      <c r="AG3" s="320"/>
      <c r="AH3" s="320"/>
      <c r="AI3" s="314"/>
      <c r="AJ3" s="6"/>
      <c r="AK3" s="6"/>
      <c r="AL3" s="6"/>
      <c r="AN3" s="8"/>
      <c r="AP3" s="6"/>
      <c r="AQ3" s="5"/>
    </row>
    <row r="4" spans="1:43">
      <c r="A4" s="321"/>
      <c r="B4" s="321" t="s">
        <v>59</v>
      </c>
      <c r="C4" s="314"/>
      <c r="D4" s="321" t="s">
        <v>173</v>
      </c>
      <c r="E4" s="321" t="s">
        <v>759</v>
      </c>
      <c r="F4" s="314">
        <v>45491</v>
      </c>
      <c r="G4" s="314">
        <v>45491</v>
      </c>
      <c r="H4" s="322">
        <v>6250000000</v>
      </c>
      <c r="I4" s="314" t="str">
        <f>VLOOKUP(B4,Справочник!A:L,2,0)</f>
        <v>27.03.2027</v>
      </c>
      <c r="J4" s="314"/>
      <c r="K4" s="323">
        <f>VLOOKUP(B4,Справочник!A:L,3,0)</f>
        <v>5.4900000000000004E-2</v>
      </c>
      <c r="L4" s="321">
        <f>VLOOKUP(B4,Справочник!A:L,4,0)</f>
        <v>1</v>
      </c>
      <c r="M4" s="321" t="str">
        <f>VLOOKUP(B4,Справочник!A:L,5,0)</f>
        <v>fix</v>
      </c>
      <c r="N4" s="314" t="str">
        <f>VLOOKUP(B4,Справочник!A:L,6,0)</f>
        <v>30/360</v>
      </c>
      <c r="O4" s="324">
        <f t="shared" si="0"/>
        <v>4</v>
      </c>
      <c r="P4" s="314">
        <f>Q4-(365/L4)</f>
        <v>45378</v>
      </c>
      <c r="Q4" s="325">
        <f t="shared" si="1"/>
        <v>45743</v>
      </c>
      <c r="R4" s="326"/>
      <c r="S4" s="325">
        <f t="shared" si="2"/>
        <v>46108</v>
      </c>
      <c r="T4" s="327">
        <f>VLOOKUP(B4,Цены!C:K,4,0)</f>
        <v>86.486599999999996</v>
      </c>
      <c r="U4" s="369">
        <f>IF(P4="",0,H4*K4*IF(O4=4,DAYS360(P4,Q4,1)/360,IF(O4=3,DAYS360(P4,Q4,1)/365,IF(O4=2,(Q4-P4)/360,IF(AND(L4=1,O4=1),(Q4-P4)/(Q4-COUPPCD(Q4-1,I4,1,3)))))))</f>
        <v>343125000</v>
      </c>
      <c r="V4" s="374">
        <f t="shared" ref="V4:V83" ca="1" si="12">IF($A$2=DATE(YEAR(TODAY()),2,29),H4*K4*IF(O4=4,DAYS360(Q4,$A$2,1)/360,IF(O4=3,DAYS360(Q4,$A$2,1)/365,IF(O4=2,($A$2-Q4)/360,IF(AND(L4=1,O4=1),($A$2-Q4)/(Q4-COUPPCD(Q4-1,I4,1,3))))))+(H4*K4)/360,H4*K4*IF(O4=4,DAYS360(Q4,$A$2,1)/360,IF(O4=3,DAYS360(Q4,$A$2,1)/365,IF(O4=2,($A$2-Q4)/360,IF(AND(L4=1,O4=1),($A$2-Q4)/(Q4-COUPPCD(Q4-1,I4,1,3)))))))</f>
        <v>193484375</v>
      </c>
      <c r="W4" s="374">
        <f t="shared" si="3"/>
        <v>5405412499.999999</v>
      </c>
      <c r="X4" s="333">
        <f t="shared" ca="1" si="4"/>
        <v>5598896874.999999</v>
      </c>
      <c r="Y4" s="328"/>
      <c r="Z4" s="329">
        <f t="shared" si="5"/>
        <v>0.14041650722188423</v>
      </c>
      <c r="AA4" s="329">
        <f t="shared" si="6"/>
        <v>0.16753435390603935</v>
      </c>
      <c r="AB4" s="330">
        <f t="shared" si="7"/>
        <v>1.1809757969098089</v>
      </c>
      <c r="AC4" s="331">
        <f t="shared" si="8"/>
        <v>2.3524588815161084E-2</v>
      </c>
      <c r="AD4" s="330">
        <f t="shared" si="9"/>
        <v>0.16582849651565668</v>
      </c>
      <c r="AE4" s="332" t="str">
        <f t="shared" si="10"/>
        <v>Ok</v>
      </c>
      <c r="AF4" s="321" t="str">
        <f t="shared" si="11"/>
        <v>Ok</v>
      </c>
      <c r="AG4" s="320"/>
      <c r="AH4" s="320"/>
      <c r="AI4" s="314"/>
      <c r="AJ4" s="6"/>
      <c r="AK4" s="6"/>
      <c r="AL4" s="6"/>
      <c r="AN4" s="8"/>
      <c r="AP4" s="6"/>
      <c r="AQ4" s="5"/>
    </row>
    <row r="5" spans="1:43" s="209" customFormat="1">
      <c r="A5" s="321"/>
      <c r="B5" s="321" t="s">
        <v>74</v>
      </c>
      <c r="C5" s="314"/>
      <c r="D5" s="321" t="s">
        <v>173</v>
      </c>
      <c r="E5" s="321" t="s">
        <v>759</v>
      </c>
      <c r="F5" s="314">
        <v>45491</v>
      </c>
      <c r="G5" s="314">
        <v>45491</v>
      </c>
      <c r="H5" s="322">
        <v>3750000000</v>
      </c>
      <c r="I5" s="314" t="str">
        <f>VLOOKUP(B5,Справочник!A:L,2,0)</f>
        <v>12.05.2034</v>
      </c>
      <c r="J5" s="314"/>
      <c r="K5" s="323">
        <f>VLOOKUP(B5,Справочник!A:L,3,0)</f>
        <v>8.0700000000000008E-2</v>
      </c>
      <c r="L5" s="321">
        <f>VLOOKUP(B5,Справочник!A:L,4,0)</f>
        <v>1</v>
      </c>
      <c r="M5" s="321" t="str">
        <f>VLOOKUP(B5,Справочник!A:L,5,0)</f>
        <v>fix</v>
      </c>
      <c r="N5" s="314" t="str">
        <f>VLOOKUP(B5,Справочник!A:L,6,0)</f>
        <v>30/360</v>
      </c>
      <c r="O5" s="324">
        <f t="shared" si="0"/>
        <v>4</v>
      </c>
      <c r="P5" s="314">
        <f>Q5-(365/L5)</f>
        <v>45424</v>
      </c>
      <c r="Q5" s="325">
        <f t="shared" si="1"/>
        <v>45789</v>
      </c>
      <c r="R5" s="326"/>
      <c r="S5" s="325">
        <f t="shared" si="2"/>
        <v>46154</v>
      </c>
      <c r="T5" s="327">
        <f>VLOOKUP(B5,Цены!C:K,4,0)</f>
        <v>60.849699999999999</v>
      </c>
      <c r="U5" s="369">
        <f t="shared" ref="U5:U11" si="13">IF(P5="",0,H5*K5*IF(O5=4,DAYS360(P5,Q5,1)/360,IF(O5=3,DAYS360(P5,Q5,1)/365,IF(O5=2,(Q5-P5)/360,IF(AND(L5=1,O5=1),(Q5-P5)/(Q5-COUPPCD(Q5-1,I5,1,3)))))))</f>
        <v>302625000</v>
      </c>
      <c r="V5" s="374">
        <f ca="1">IF($A$2=DATE(YEAR(TODAY()),2,29),H5*K5*IF(O5=4,DAYS360(Q5,$A$2,1)/360,IF(O5=3,DAYS360(Q5,$A$2,1)/365,IF(O5=2,($A$2-Q5)/360,IF(AND(L5=1,O5=1),($A$2-Q5)/(Q5-COUPPCD(Q5-1,I5,1,3))))))+(H5*K5)/360,H5*K5*IF(O5=4,DAYS360(Q5,$A$2,1)/360,IF(O5=3,DAYS360(Q5,$A$2,1)/365,IF(O5=2,($A$2-Q5)/360,IF(AND(L5=1,O5=1),($A$2-Q5)/(Q5-COUPPCD(Q5-1,I5,1,3)))))))</f>
        <v>132818750</v>
      </c>
      <c r="W5" s="374">
        <f t="shared" si="3"/>
        <v>2281863750</v>
      </c>
      <c r="X5" s="333">
        <f t="shared" ca="1" si="4"/>
        <v>2414682500</v>
      </c>
      <c r="Y5" s="328"/>
      <c r="Z5" s="329">
        <f t="shared" si="5"/>
        <v>5.9276019680501883E-2</v>
      </c>
      <c r="AA5" s="329">
        <f t="shared" si="6"/>
        <v>0.17053243050329317</v>
      </c>
      <c r="AB5" s="330">
        <f>IFERROR(MDURATION($A$2,I5,K5,AA5,L5,O5),0)</f>
        <v>4.7573953663755661</v>
      </c>
      <c r="AC5" s="331">
        <f t="shared" si="8"/>
        <v>1.0108483706677026E-2</v>
      </c>
      <c r="AD5" s="330">
        <f>Z5*AB5</f>
        <v>0.28199946136520654</v>
      </c>
      <c r="AE5" s="332" t="str">
        <f t="shared" si="10"/>
        <v>Ok</v>
      </c>
      <c r="AF5" s="321" t="str">
        <f t="shared" si="11"/>
        <v>Ok</v>
      </c>
      <c r="AG5" s="320"/>
      <c r="AH5" s="320"/>
      <c r="AI5" s="314"/>
      <c r="AJ5" s="212"/>
      <c r="AK5" s="6"/>
      <c r="AL5" s="6"/>
      <c r="AN5" s="211"/>
      <c r="AO5" s="216"/>
      <c r="AP5" s="212"/>
      <c r="AQ5" s="214"/>
    </row>
    <row r="6" spans="1:43" s="209" customFormat="1">
      <c r="A6" s="321"/>
      <c r="B6" s="321" t="s">
        <v>81</v>
      </c>
      <c r="C6" s="314"/>
      <c r="D6" s="321" t="s">
        <v>173</v>
      </c>
      <c r="E6" s="321" t="s">
        <v>759</v>
      </c>
      <c r="F6" s="314">
        <v>45491</v>
      </c>
      <c r="G6" s="314">
        <v>45491</v>
      </c>
      <c r="H6" s="322">
        <v>3750000000</v>
      </c>
      <c r="I6" s="314" t="str">
        <f>VLOOKUP(B6,Справочник!A:L,2,0)</f>
        <v>29.01.2035</v>
      </c>
      <c r="J6" s="314"/>
      <c r="K6" s="323">
        <f>VLOOKUP(B6,Справочник!A:L,3,0)</f>
        <v>8.0700000000000008E-2</v>
      </c>
      <c r="L6" s="321">
        <f>VLOOKUP(B6,Справочник!A:L,4,0)</f>
        <v>1</v>
      </c>
      <c r="M6" s="321" t="str">
        <f>VLOOKUP(B6,Справочник!A:L,5,0)</f>
        <v>fix</v>
      </c>
      <c r="N6" s="314" t="str">
        <f>VLOOKUP(B6,Справочник!A:L,6,0)</f>
        <v>30/360</v>
      </c>
      <c r="O6" s="324">
        <f t="shared" si="0"/>
        <v>4</v>
      </c>
      <c r="P6" s="314">
        <f>Q6-(366/L6)</f>
        <v>45320</v>
      </c>
      <c r="Q6" s="325">
        <f t="shared" si="1"/>
        <v>45686</v>
      </c>
      <c r="R6" s="326"/>
      <c r="S6" s="325">
        <f t="shared" si="2"/>
        <v>46051</v>
      </c>
      <c r="T6" s="327">
        <f>VLOOKUP(B6,Цены!C:K,4,0)</f>
        <v>59.360199999999999</v>
      </c>
      <c r="U6" s="369">
        <f t="shared" si="13"/>
        <v>302625000</v>
      </c>
      <c r="V6" s="374">
        <f ca="1">IF($A$2=DATE(YEAR(TODAY()),2,29),H6*K6*IF(O6=4,DAYS360(Q6,$A$2,1)/360,IF(O6=3,DAYS360(Q6,$A$2,1)/365,IF(O6=2,($A$2-Q6)/360,IF(AND(L6=1,O6=1),($A$2-Q6)/(Q6-COUPPCD(Q6-1,I6,1,3))))))+(H6*K6)/360,H6*K6*IF(O6=4,DAYS360(Q6,$A$2,1)/360,IF(O6=3,DAYS360(Q6,$A$2,1)/365,IF(O6=2,($A$2-Q6)/360,IF(AND(L6=1,O6=1),($A$2-Q6)/(Q6-COUPPCD(Q6-1,I6,1,3)))))))</f>
        <v>219403125</v>
      </c>
      <c r="W6" s="374">
        <f t="shared" si="3"/>
        <v>2226007500</v>
      </c>
      <c r="X6" s="333">
        <f t="shared" ca="1" si="4"/>
        <v>2445410625</v>
      </c>
      <c r="Y6" s="328"/>
      <c r="Z6" s="329">
        <f t="shared" si="5"/>
        <v>5.7825040771581911E-2</v>
      </c>
      <c r="AA6" s="329">
        <f t="shared" si="6"/>
        <v>0.17073363636769814</v>
      </c>
      <c r="AB6" s="330">
        <f t="shared" si="7"/>
        <v>4.7570165076445008</v>
      </c>
      <c r="AC6" s="331">
        <f t="shared" si="8"/>
        <v>9.8726794840425861E-3</v>
      </c>
      <c r="AD6" s="330">
        <f t="shared" si="9"/>
        <v>0.27507467350563147</v>
      </c>
      <c r="AE6" s="332" t="str">
        <f t="shared" si="10"/>
        <v>Ok</v>
      </c>
      <c r="AF6" s="321" t="str">
        <f t="shared" si="11"/>
        <v>Ok</v>
      </c>
      <c r="AG6" s="320"/>
      <c r="AH6" s="320"/>
      <c r="AI6" s="314"/>
      <c r="AJ6" s="212"/>
      <c r="AK6" s="6"/>
      <c r="AL6" s="6"/>
      <c r="AN6" s="211"/>
      <c r="AO6" s="216"/>
      <c r="AP6" s="212"/>
      <c r="AQ6" s="214"/>
    </row>
    <row r="7" spans="1:43">
      <c r="A7" s="321"/>
      <c r="B7" s="321" t="s">
        <v>90</v>
      </c>
      <c r="C7" s="314"/>
      <c r="D7" s="321" t="s">
        <v>173</v>
      </c>
      <c r="E7" s="321" t="s">
        <v>759</v>
      </c>
      <c r="F7" s="314">
        <v>45491</v>
      </c>
      <c r="G7" s="314">
        <v>45491</v>
      </c>
      <c r="H7" s="322">
        <v>3750000000</v>
      </c>
      <c r="I7" s="314" t="str">
        <f>VLOOKUP(B7,Справочник!A:L,2,0)</f>
        <v>16.04.2032</v>
      </c>
      <c r="J7" s="314"/>
      <c r="K7" s="323">
        <f>VLOOKUP(B7,Справочник!A:L,3,0)</f>
        <v>8.4499999999999992E-2</v>
      </c>
      <c r="L7" s="321">
        <f>VLOOKUP(B7,Справочник!A:L,4,0)</f>
        <v>1</v>
      </c>
      <c r="M7" s="321" t="str">
        <f>VLOOKUP(B7,Справочник!A:L,5,0)</f>
        <v>fix</v>
      </c>
      <c r="N7" s="314" t="str">
        <f>VLOOKUP(B7,Справочник!A:L,6,0)</f>
        <v>30/360</v>
      </c>
      <c r="O7" s="324">
        <f t="shared" si="0"/>
        <v>4</v>
      </c>
      <c r="P7" s="314">
        <f t="shared" ref="P7:P13" si="14">Q7-(365/L7)</f>
        <v>45398</v>
      </c>
      <c r="Q7" s="325">
        <f t="shared" si="1"/>
        <v>45763</v>
      </c>
      <c r="R7" s="326"/>
      <c r="S7" s="325">
        <f t="shared" si="2"/>
        <v>46128</v>
      </c>
      <c r="T7" s="327">
        <f>VLOOKUP(B7,Цены!C:K,4,0)</f>
        <v>67.637699999999995</v>
      </c>
      <c r="U7" s="369">
        <f t="shared" si="13"/>
        <v>316874999.99999994</v>
      </c>
      <c r="V7" s="374">
        <f ca="1">IF($A$2=DATE(YEAR(TODAY()),2,29),H7*K7*IF(O7=4,DAYS360(Q7,$A$2,1)/360,IF(O7=3,DAYS360(Q7,$A$2,1)/365,IF(O7=2,($A$2-Q7)/360,IF(AND(L7=1,O7=1),($A$2-Q7)/(Q7-COUPPCD(Q7-1,I7,1,3))))))+(H7*K7)/360,H7*K7*IF(O7=4,DAYS360(Q7,$A$2,1)/360,IF(O7=3,DAYS360(Q7,$A$2,1)/365,IF(O7=2,($A$2-Q7)/360,IF(AND(L7=1,O7=1),($A$2-Q7)/(Q7-COUPPCD(Q7-1,I7,1,3)))))))</f>
        <v>161958333.33333328</v>
      </c>
      <c r="W7" s="374">
        <f t="shared" si="3"/>
        <v>2536413750</v>
      </c>
      <c r="X7" s="333">
        <f t="shared" ca="1" si="4"/>
        <v>2698372083.3333335</v>
      </c>
      <c r="Y7" s="328"/>
      <c r="Z7" s="329">
        <f t="shared" si="5"/>
        <v>6.5888470055626924E-2</v>
      </c>
      <c r="AA7" s="329">
        <f t="shared" si="6"/>
        <v>0.17020940812922938</v>
      </c>
      <c r="AB7" s="330">
        <f t="shared" si="7"/>
        <v>4.0035586002643297</v>
      </c>
      <c r="AC7" s="331">
        <f t="shared" si="8"/>
        <v>1.1214837490708712E-2</v>
      </c>
      <c r="AD7" s="330">
        <f t="shared" si="9"/>
        <v>0.26378835094946396</v>
      </c>
      <c r="AE7" s="332" t="str">
        <f t="shared" si="10"/>
        <v>Ok</v>
      </c>
      <c r="AF7" s="321" t="str">
        <f t="shared" si="11"/>
        <v>Ok</v>
      </c>
      <c r="AG7" s="320"/>
      <c r="AH7" s="332"/>
      <c r="AI7" s="314"/>
      <c r="AJ7" s="6"/>
      <c r="AK7" s="6"/>
      <c r="AL7" s="6"/>
      <c r="AN7" s="8"/>
      <c r="AP7" s="6"/>
      <c r="AQ7" s="5"/>
    </row>
    <row r="8" spans="1:43">
      <c r="A8" s="321"/>
      <c r="B8" s="321" t="s">
        <v>95</v>
      </c>
      <c r="C8" s="314"/>
      <c r="D8" s="321" t="s">
        <v>173</v>
      </c>
      <c r="E8" s="321" t="s">
        <v>759</v>
      </c>
      <c r="F8" s="314">
        <v>45491</v>
      </c>
      <c r="G8" s="314">
        <v>45491</v>
      </c>
      <c r="H8" s="322">
        <v>3750000000</v>
      </c>
      <c r="I8" s="314" t="str">
        <f>VLOOKUP(B8,Справочник!A:L,2,0)</f>
        <v>31.03.2029</v>
      </c>
      <c r="J8" s="314"/>
      <c r="K8" s="323">
        <f>VLOOKUP(B8,Справочник!A:L,3,0)</f>
        <v>0.11</v>
      </c>
      <c r="L8" s="321">
        <f>VLOOKUP(B8,Справочник!A:L,4,0)</f>
        <v>1</v>
      </c>
      <c r="M8" s="321" t="str">
        <f>VLOOKUP(B8,Справочник!A:L,5,0)</f>
        <v>fix</v>
      </c>
      <c r="N8" s="314" t="str">
        <f>VLOOKUP(B8,Справочник!A:L,6,0)</f>
        <v>30/360</v>
      </c>
      <c r="O8" s="324">
        <f t="shared" si="0"/>
        <v>4</v>
      </c>
      <c r="P8" s="314">
        <f t="shared" si="14"/>
        <v>45382</v>
      </c>
      <c r="Q8" s="325">
        <f t="shared" si="1"/>
        <v>45747</v>
      </c>
      <c r="R8" s="326"/>
      <c r="S8" s="325">
        <f t="shared" si="2"/>
        <v>46112</v>
      </c>
      <c r="T8" s="327">
        <f>VLOOKUP(B8,Цены!C:K,4,0)</f>
        <v>85.257800000000003</v>
      </c>
      <c r="U8" s="369">
        <f t="shared" si="13"/>
        <v>412500000</v>
      </c>
      <c r="V8" s="374">
        <f ca="1">IF($A$2=DATE(YEAR(TODAY()),2,29),H8*K8*IF(O8=4,DAYS360(Q8,$A$2,1)/360,IF(O8=3,DAYS360(Q8,$A$2,1)/365,IF(O8=2,($A$2-Q8)/360,IF(AND(L8=1,O8=1),($A$2-Q8)/(Q8-COUPPCD(Q8-1,I8,1,3))))))+(H8*K8)/360,H8*K8*IF(O8=4,DAYS360(Q8,$A$2,1)/360,IF(O8=3,DAYS360(Q8,$A$2,1)/365,IF(O8=2,($A$2-Q8)/360,IF(AND(L8=1,O8=1),($A$2-Q8)/(Q8-COUPPCD(Q8-1,I8,1,3)))))))</f>
        <v>229166666.66666669</v>
      </c>
      <c r="W8" s="374">
        <f t="shared" si="3"/>
        <v>3197167500</v>
      </c>
      <c r="X8" s="333">
        <f t="shared" ca="1" si="4"/>
        <v>3426334166.6666665</v>
      </c>
      <c r="Y8" s="328"/>
      <c r="Z8" s="329">
        <f t="shared" si="5"/>
        <v>8.3052883263455585E-2</v>
      </c>
      <c r="AA8" s="329">
        <f t="shared" si="6"/>
        <v>0.16903044998754008</v>
      </c>
      <c r="AB8" s="330">
        <f t="shared" si="7"/>
        <v>2.4235027949626344</v>
      </c>
      <c r="AC8" s="331">
        <f t="shared" si="8"/>
        <v>1.4038466230784533E-2</v>
      </c>
      <c r="AD8" s="330">
        <f t="shared" si="9"/>
        <v>0.20127889471869001</v>
      </c>
      <c r="AE8" s="332" t="str">
        <f t="shared" si="10"/>
        <v>Ok</v>
      </c>
      <c r="AF8" s="321" t="str">
        <f t="shared" si="11"/>
        <v>Ok</v>
      </c>
      <c r="AG8" s="320"/>
      <c r="AH8" s="320"/>
      <c r="AI8" s="314"/>
      <c r="AJ8" s="6"/>
      <c r="AK8" s="6"/>
      <c r="AL8" s="6"/>
      <c r="AN8" s="8"/>
      <c r="AP8" s="6"/>
      <c r="AQ8" s="5"/>
    </row>
    <row r="9" spans="1:43">
      <c r="A9" s="321"/>
      <c r="B9" s="321" t="s">
        <v>417</v>
      </c>
      <c r="C9" s="314"/>
      <c r="D9" s="321" t="s">
        <v>173</v>
      </c>
      <c r="E9" s="321" t="s">
        <v>759</v>
      </c>
      <c r="F9" s="314">
        <v>45491</v>
      </c>
      <c r="G9" s="314">
        <v>45491</v>
      </c>
      <c r="H9" s="322">
        <v>3750000000</v>
      </c>
      <c r="I9" s="314">
        <f>VLOOKUP(B9,Справочник!A:L,2,0)</f>
        <v>47924</v>
      </c>
      <c r="J9" s="314"/>
      <c r="K9" s="323">
        <f>VLOOKUP(B9,Справочник!A:L,3,0)</f>
        <v>0.10299999999999999</v>
      </c>
      <c r="L9" s="321">
        <f>VLOOKUP(B9,Справочник!A:L,4,0)</f>
        <v>1</v>
      </c>
      <c r="M9" s="321" t="str">
        <f>VLOOKUP(B9,Справочник!A:L,5,0)</f>
        <v>fix</v>
      </c>
      <c r="N9" s="314" t="str">
        <f>VLOOKUP(B9,Справочник!A:L,6,0)</f>
        <v>30/360</v>
      </c>
      <c r="O9" s="324">
        <f t="shared" si="0"/>
        <v>4</v>
      </c>
      <c r="P9" s="314">
        <f t="shared" si="14"/>
        <v>45368</v>
      </c>
      <c r="Q9" s="325">
        <f t="shared" si="1"/>
        <v>45733</v>
      </c>
      <c r="R9" s="326"/>
      <c r="S9" s="325">
        <f t="shared" si="2"/>
        <v>46098</v>
      </c>
      <c r="T9" s="327">
        <f>VLOOKUP(B9,Цены!C:K,4,0)</f>
        <v>77.3249</v>
      </c>
      <c r="U9" s="369">
        <f t="shared" si="13"/>
        <v>386250000</v>
      </c>
      <c r="V9" s="374">
        <f ca="1">IF($A$2=DATE(YEAR(TODAY()),2,29),H9*K9*IF(O9=4,DAYS360(Q9,$A$2,1)/360,IF(O9=3,DAYS360(Q9,$A$2,1)/365,IF(O9=2,($A$2-Q9)/360,IF(AND(L9=1,O9=1),($A$2-Q9)/(Q9-COUPPCD(Q9-1,I9,1,3))))))+(H9*K9)/360,H9*K9*IF(O9=4,DAYS360(Q9,$A$2,1)/360,IF(O9=3,DAYS360(Q9,$A$2,1)/365,IF(O9=2,($A$2-Q9)/360,IF(AND(L9=1,O9=1),($A$2-Q9)/(Q9-COUPPCD(Q9-1,I9,1,3)))))))</f>
        <v>228531250</v>
      </c>
      <c r="W9" s="374">
        <f t="shared" si="3"/>
        <v>2899683750</v>
      </c>
      <c r="X9" s="333">
        <f t="shared" ca="1" si="4"/>
        <v>3128215000</v>
      </c>
      <c r="Y9" s="328"/>
      <c r="Z9" s="329">
        <f t="shared" si="5"/>
        <v>7.5325142017016344E-2</v>
      </c>
      <c r="AA9" s="329">
        <f t="shared" si="6"/>
        <v>0.16974219864232909</v>
      </c>
      <c r="AB9" s="330">
        <f t="shared" si="7"/>
        <v>3.3962248174434158</v>
      </c>
      <c r="AC9" s="331">
        <f t="shared" si="8"/>
        <v>1.2785855219014038E-2</v>
      </c>
      <c r="AD9" s="330">
        <f t="shared" si="9"/>
        <v>0.25582111669564073</v>
      </c>
      <c r="AE9" s="332" t="str">
        <f t="shared" si="10"/>
        <v>Ok</v>
      </c>
      <c r="AF9" s="321" t="str">
        <f t="shared" si="11"/>
        <v>Ok</v>
      </c>
      <c r="AG9" s="320"/>
      <c r="AH9" s="320"/>
      <c r="AI9" s="314"/>
      <c r="AJ9" s="6"/>
      <c r="AK9" s="6"/>
      <c r="AL9" s="6"/>
      <c r="AN9" s="8"/>
      <c r="AP9" s="6"/>
      <c r="AQ9" s="5"/>
    </row>
    <row r="10" spans="1:43">
      <c r="A10" s="321"/>
      <c r="B10" s="321" t="s">
        <v>422</v>
      </c>
      <c r="C10" s="314"/>
      <c r="D10" s="321" t="s">
        <v>173</v>
      </c>
      <c r="E10" s="321" t="s">
        <v>759</v>
      </c>
      <c r="F10" s="314">
        <v>45491</v>
      </c>
      <c r="G10" s="314">
        <v>45491</v>
      </c>
      <c r="H10" s="322">
        <v>3750000000</v>
      </c>
      <c r="I10" s="314">
        <f>VLOOKUP(B10,Справочник!A:L,2,0)</f>
        <v>46855</v>
      </c>
      <c r="J10" s="314"/>
      <c r="K10" s="323">
        <f>VLOOKUP(B10,Справочник!A:L,3,0)</f>
        <v>0.104</v>
      </c>
      <c r="L10" s="321">
        <f>VLOOKUP(B10,Справочник!A:L,4,0)</f>
        <v>1</v>
      </c>
      <c r="M10" s="321" t="str">
        <f>VLOOKUP(B10,Справочник!A:L,5,0)</f>
        <v>fix</v>
      </c>
      <c r="N10" s="314" t="str">
        <f>VLOOKUP(B10,Справочник!A:L,6,0)</f>
        <v>30/360</v>
      </c>
      <c r="O10" s="324">
        <f t="shared" si="0"/>
        <v>4</v>
      </c>
      <c r="P10" s="314">
        <f t="shared" si="14"/>
        <v>45394</v>
      </c>
      <c r="Q10" s="325">
        <f t="shared" si="1"/>
        <v>45759</v>
      </c>
      <c r="R10" s="326"/>
      <c r="S10" s="325">
        <f t="shared" si="2"/>
        <v>46124</v>
      </c>
      <c r="T10" s="327">
        <f>VLOOKUP(B10,Цены!C:K,4,0)</f>
        <v>87.546700000000001</v>
      </c>
      <c r="U10" s="369">
        <f t="shared" si="13"/>
        <v>390000000</v>
      </c>
      <c r="V10" s="374">
        <f t="shared" ca="1" si="12"/>
        <v>203666666.66666669</v>
      </c>
      <c r="W10" s="374">
        <f t="shared" si="3"/>
        <v>3283001250</v>
      </c>
      <c r="X10" s="333">
        <f t="shared" ca="1" si="4"/>
        <v>3486667916.6666665</v>
      </c>
      <c r="Y10" s="328"/>
      <c r="Z10" s="329">
        <f t="shared" si="5"/>
        <v>8.5282588281667682E-2</v>
      </c>
      <c r="AA10" s="329">
        <f t="shared" si="6"/>
        <v>0.16848391499834114</v>
      </c>
      <c r="AB10" s="330">
        <f t="shared" si="7"/>
        <v>1.8667297314588247</v>
      </c>
      <c r="AC10" s="331">
        <f t="shared" si="8"/>
        <v>1.4368744354887022E-2</v>
      </c>
      <c r="AD10" s="330">
        <f t="shared" si="9"/>
        <v>0.15919954312115103</v>
      </c>
      <c r="AE10" s="332" t="str">
        <f t="shared" si="10"/>
        <v>Ok</v>
      </c>
      <c r="AF10" s="321" t="str">
        <f t="shared" si="11"/>
        <v>Ok</v>
      </c>
      <c r="AG10" s="320"/>
      <c r="AH10" s="320"/>
      <c r="AI10" s="314"/>
      <c r="AJ10" s="6"/>
      <c r="AK10" s="6"/>
      <c r="AL10" s="6"/>
      <c r="AN10" s="8"/>
      <c r="AP10" s="6"/>
      <c r="AQ10" s="5"/>
    </row>
    <row r="11" spans="1:43" s="209" customFormat="1">
      <c r="A11" s="321"/>
      <c r="B11" s="321" t="s">
        <v>446</v>
      </c>
      <c r="C11" s="314"/>
      <c r="D11" s="321" t="s">
        <v>173</v>
      </c>
      <c r="E11" s="321" t="s">
        <v>759</v>
      </c>
      <c r="F11" s="314">
        <v>45491</v>
      </c>
      <c r="G11" s="314">
        <v>45491</v>
      </c>
      <c r="H11" s="322">
        <v>3750000000</v>
      </c>
      <c r="I11" s="314">
        <f>VLOOKUP(B11,Справочник!A:L,2,0)</f>
        <v>48421</v>
      </c>
      <c r="J11" s="314"/>
      <c r="K11" s="323">
        <f>VLOOKUP(B11,Справочник!A:L,3,0)</f>
        <v>0.1065</v>
      </c>
      <c r="L11" s="321">
        <f>VLOOKUP(B11,Справочник!A:L,4,0)</f>
        <v>1</v>
      </c>
      <c r="M11" s="321" t="str">
        <f>VLOOKUP(B11,Справочник!A:L,5,0)</f>
        <v>fix</v>
      </c>
      <c r="N11" s="314" t="str">
        <f>VLOOKUP(B11,Справочник!A:L,6,0)</f>
        <v>30/360</v>
      </c>
      <c r="O11" s="324">
        <f t="shared" si="0"/>
        <v>4</v>
      </c>
      <c r="P11" s="314">
        <f t="shared" si="14"/>
        <v>45499</v>
      </c>
      <c r="Q11" s="325">
        <f t="shared" si="1"/>
        <v>45864</v>
      </c>
      <c r="R11" s="326"/>
      <c r="S11" s="325">
        <f t="shared" si="2"/>
        <v>46229</v>
      </c>
      <c r="T11" s="327">
        <f>VLOOKUP(B11,Цены!C:K,4,0)</f>
        <v>75.357399999999998</v>
      </c>
      <c r="U11" s="369">
        <f t="shared" si="13"/>
        <v>399375000</v>
      </c>
      <c r="V11" s="374">
        <f ca="1">IF($A$2=DATE(YEAR(TODAY()),2,29),H11*K11*IF(O11=4,DAYS360(Q11,$A$2,1)/360,IF(O11=3,DAYS360(Q11,$A$2,1)/365,IF(O11=2,($A$2-Q11)/360,IF(AND(L11=1,O11=1),($A$2-Q11)/(Q11-COUPPCD(Q11-1,I11,1,3))))))+(H11*K11)/360,H11*K11*IF(O11=4,DAYS360(Q11,$A$2,1)/360,IF(O11=3,DAYS360(Q11,$A$2,1)/365,IF(O11=2,($A$2-Q11)/360,IF(AND(L11=1,O11=1),($A$2-Q11)/(Q11-COUPPCD(Q11-1,I11,1,3)))))))</f>
        <v>93187500</v>
      </c>
      <c r="W11" s="374">
        <f t="shared" si="3"/>
        <v>2825902500</v>
      </c>
      <c r="X11" s="333">
        <f t="shared" ca="1" si="4"/>
        <v>2919090000</v>
      </c>
      <c r="Y11" s="328"/>
      <c r="Z11" s="329">
        <f t="shared" si="5"/>
        <v>7.3408525029235186E-2</v>
      </c>
      <c r="AA11" s="329">
        <f t="shared" si="6"/>
        <v>0.1701657954073986</v>
      </c>
      <c r="AB11" s="330">
        <f t="shared" si="7"/>
        <v>4.0632393954712009</v>
      </c>
      <c r="AC11" s="331">
        <f t="shared" si="8"/>
        <v>1.2491620051283734E-2</v>
      </c>
      <c r="AD11" s="330">
        <f t="shared" si="9"/>
        <v>0.29827641086222212</v>
      </c>
      <c r="AE11" s="332" t="str">
        <f t="shared" si="10"/>
        <v>Ok</v>
      </c>
      <c r="AF11" s="321" t="str">
        <f t="shared" si="11"/>
        <v>Ok</v>
      </c>
      <c r="AG11" s="320"/>
      <c r="AH11" s="320"/>
      <c r="AI11" s="314"/>
      <c r="AJ11" s="212"/>
      <c r="AK11" s="6"/>
      <c r="AL11" s="6"/>
      <c r="AN11" s="211"/>
      <c r="AO11" s="216"/>
      <c r="AP11" s="212"/>
      <c r="AQ11" s="214"/>
    </row>
    <row r="12" spans="1:43">
      <c r="A12" s="321"/>
      <c r="B12" s="321" t="s">
        <v>448</v>
      </c>
      <c r="C12" s="314">
        <v>44405</v>
      </c>
      <c r="D12" s="321" t="s">
        <v>173</v>
      </c>
      <c r="E12" s="321" t="s">
        <v>759</v>
      </c>
      <c r="F12" s="314">
        <v>45491</v>
      </c>
      <c r="G12" s="314">
        <v>45491</v>
      </c>
      <c r="H12" s="322">
        <f>3750000000</f>
        <v>3750000000</v>
      </c>
      <c r="I12" s="314">
        <f>VLOOKUP(B12,Справочник!A:L,2,0)</f>
        <v>47327</v>
      </c>
      <c r="J12" s="314"/>
      <c r="K12" s="323">
        <f>VLOOKUP(B12,Справочник!A:L,3,0)</f>
        <v>0.1055</v>
      </c>
      <c r="L12" s="321">
        <f>VLOOKUP(B12,Справочник!A:L,4,0)</f>
        <v>1</v>
      </c>
      <c r="M12" s="321" t="str">
        <f>VLOOKUP(B12,Справочник!A:L,5,0)</f>
        <v>fix</v>
      </c>
      <c r="N12" s="314" t="str">
        <f>VLOOKUP(B12,Справочник!A:L,6,0)</f>
        <v>30/360</v>
      </c>
      <c r="O12" s="324">
        <f t="shared" si="0"/>
        <v>4</v>
      </c>
      <c r="P12" s="314">
        <f t="shared" si="14"/>
        <v>45501</v>
      </c>
      <c r="Q12" s="325">
        <f t="shared" si="1"/>
        <v>45866</v>
      </c>
      <c r="R12" s="326"/>
      <c r="S12" s="325">
        <f t="shared" si="2"/>
        <v>46231</v>
      </c>
      <c r="T12" s="327">
        <f>VLOOKUP(B12,Цены!C:K,4,0)</f>
        <v>83.111000000000004</v>
      </c>
      <c r="U12" s="369">
        <f t="shared" ref="U12:U31" si="15">IF(P12="",0,H12*K12*IF(O12=4,DAYS360(P12,Q12,1)/360,IF(O12=3,DAYS360(P12,Q12,1)/365,IF(O12=2,(Q12-P12)/360,IF(AND(L12=1,O12=1),(Q12-P12)/(Q12-COUPPCD(Q12-1,I12,1,3)))))))</f>
        <v>395625000</v>
      </c>
      <c r="V12" s="374">
        <f t="shared" ca="1" si="12"/>
        <v>90114583.333333328</v>
      </c>
      <c r="W12" s="374">
        <f t="shared" si="3"/>
        <v>3116662500</v>
      </c>
      <c r="X12" s="333">
        <f t="shared" ca="1" si="4"/>
        <v>3206777083.3333335</v>
      </c>
      <c r="Y12" s="328"/>
      <c r="Z12" s="329">
        <f t="shared" si="5"/>
        <v>8.0961603289189457E-2</v>
      </c>
      <c r="AA12" s="329">
        <f t="shared" si="6"/>
        <v>0.16908946835178582</v>
      </c>
      <c r="AB12" s="330">
        <f t="shared" si="7"/>
        <v>2.7175797146221123</v>
      </c>
      <c r="AC12" s="331">
        <f t="shared" si="8"/>
        <v>1.3689754457077239E-2</v>
      </c>
      <c r="AD12" s="330">
        <f t="shared" si="9"/>
        <v>0.22001961076198415</v>
      </c>
      <c r="AE12" s="332" t="str">
        <f t="shared" si="10"/>
        <v>Ok</v>
      </c>
      <c r="AF12" s="321" t="str">
        <f t="shared" si="11"/>
        <v>Ok</v>
      </c>
      <c r="AG12" s="320"/>
      <c r="AH12" s="320"/>
      <c r="AI12" s="314"/>
      <c r="AJ12" s="6"/>
      <c r="AK12" s="6"/>
      <c r="AL12" s="6"/>
      <c r="AN12" s="8"/>
      <c r="AP12" s="6"/>
      <c r="AQ12" s="5"/>
    </row>
    <row r="13" spans="1:43" s="288" customFormat="1">
      <c r="A13" s="321"/>
      <c r="B13" s="321" t="s">
        <v>448</v>
      </c>
      <c r="C13" s="314"/>
      <c r="D13" s="321" t="s">
        <v>173</v>
      </c>
      <c r="E13" s="321" t="s">
        <v>759</v>
      </c>
      <c r="F13" s="314">
        <v>45510</v>
      </c>
      <c r="G13" s="314">
        <v>45512</v>
      </c>
      <c r="H13" s="322">
        <f>1000000000</f>
        <v>1000000000</v>
      </c>
      <c r="I13" s="314">
        <f>VLOOKUP(B13,Справочник!A:L,2,0)</f>
        <v>47327</v>
      </c>
      <c r="J13" s="314"/>
      <c r="K13" s="323">
        <f>VLOOKUP(B13,Справочник!A:L,3,0)</f>
        <v>0.1055</v>
      </c>
      <c r="L13" s="321">
        <f>VLOOKUP(B13,Справочник!A:L,4,0)</f>
        <v>1</v>
      </c>
      <c r="M13" s="321" t="str">
        <f>VLOOKUP(B13,Справочник!A:L,5,0)</f>
        <v>fix</v>
      </c>
      <c r="N13" s="314" t="str">
        <f>VLOOKUP(B13,Справочник!A:L,6,0)</f>
        <v>30/360</v>
      </c>
      <c r="O13" s="324">
        <f t="shared" si="0"/>
        <v>4</v>
      </c>
      <c r="P13" s="314">
        <f t="shared" si="14"/>
        <v>45501</v>
      </c>
      <c r="Q13" s="325">
        <f t="shared" si="1"/>
        <v>45866</v>
      </c>
      <c r="R13" s="424"/>
      <c r="S13" s="325">
        <f t="shared" si="2"/>
        <v>46231</v>
      </c>
      <c r="T13" s="327">
        <f>VLOOKUP(B13,Цены!C:K,4,0)</f>
        <v>83.111000000000004</v>
      </c>
      <c r="U13" s="369">
        <f t="shared" si="15"/>
        <v>105500000</v>
      </c>
      <c r="V13" s="374">
        <f ca="1">IF($A$2=DATE(YEAR(TODAY()),2,29),H13*K13*IF(O13=4,DAYS360(Q13,$A$2,1)/360,IF(O13=3,DAYS360(Q13,$A$2,1)/365,IF(O13=2,($A$2-Q13)/360,IF(AND(L13=1,O13=1),($A$2-Q13)/(Q13-COUPPCD(Q13-1,I13,1,3))))))+(H13*K13)/360,H13*K13*IF(O13=4,DAYS360(Q13,$A$2,1)/360,IF(O13=3,DAYS360(Q13,$A$2,1)/365,IF(O13=2,($A$2-Q13)/360,IF(AND(L13=1,O13=1),($A$2-Q13)/(Q13-COUPPCD(Q13-1,I13,1,3)))))))</f>
        <v>24030555.555555556</v>
      </c>
      <c r="W13" s="374">
        <f t="shared" si="3"/>
        <v>831110000</v>
      </c>
      <c r="X13" s="333">
        <f t="shared" ca="1" si="4"/>
        <v>855140555.55555558</v>
      </c>
      <c r="Y13" s="425"/>
      <c r="Z13" s="329">
        <f t="shared" si="5"/>
        <v>2.1589760877117187E-2</v>
      </c>
      <c r="AA13" s="329">
        <f t="shared" si="6"/>
        <v>0.16908946835178582</v>
      </c>
      <c r="AB13" s="330">
        <f t="shared" si="7"/>
        <v>2.7175797146221123</v>
      </c>
      <c r="AC13" s="331">
        <f t="shared" si="8"/>
        <v>3.6506011885539301E-3</v>
      </c>
      <c r="AD13" s="330">
        <f t="shared" si="9"/>
        <v>5.8671896203195774E-2</v>
      </c>
      <c r="AE13" s="332" t="str">
        <f t="shared" si="10"/>
        <v>Ok</v>
      </c>
      <c r="AF13" s="321" t="str">
        <f t="shared" si="11"/>
        <v>Ok</v>
      </c>
      <c r="AG13" s="320"/>
      <c r="AH13" s="320"/>
      <c r="AI13" s="314"/>
      <c r="AJ13" s="212"/>
      <c r="AK13" s="6"/>
      <c r="AL13" s="6"/>
      <c r="AN13" s="211"/>
      <c r="AO13" s="216"/>
      <c r="AP13" s="212"/>
      <c r="AQ13" s="214"/>
    </row>
    <row r="14" spans="1:43">
      <c r="A14" s="321"/>
      <c r="B14" s="321" t="s">
        <v>710</v>
      </c>
      <c r="C14" s="314"/>
      <c r="D14" s="321" t="s">
        <v>173</v>
      </c>
      <c r="E14" s="321" t="s">
        <v>759</v>
      </c>
      <c r="F14" s="314">
        <v>45531</v>
      </c>
      <c r="G14" s="314">
        <v>45533</v>
      </c>
      <c r="H14" s="322">
        <v>1000000000</v>
      </c>
      <c r="I14" s="314">
        <f>VLOOKUP(B14,Справочник!A:L,2,0)</f>
        <v>49912</v>
      </c>
      <c r="J14" s="314"/>
      <c r="K14" s="323">
        <f>VLOOKUP(B14,Справочник!A:L,3,0)</f>
        <v>0.10780000000000001</v>
      </c>
      <c r="L14" s="321">
        <f>VLOOKUP(B14,Справочник!A:L,4,0)</f>
        <v>1</v>
      </c>
      <c r="M14" s="321" t="str">
        <f>VLOOKUP(B14,Справочник!A:L,5,0)</f>
        <v>fix</v>
      </c>
      <c r="N14" s="314" t="str">
        <f>VLOOKUP(B14,Справочник!A:L,6,0)</f>
        <v>30/360</v>
      </c>
      <c r="O14" s="324">
        <f t="shared" si="0"/>
        <v>4</v>
      </c>
      <c r="P14" s="314">
        <f>Q14-(365/L14)</f>
        <v>45529</v>
      </c>
      <c r="Q14" s="325">
        <f t="shared" si="1"/>
        <v>45894</v>
      </c>
      <c r="R14" s="326"/>
      <c r="S14" s="325">
        <f t="shared" si="2"/>
        <v>46259</v>
      </c>
      <c r="T14" s="327">
        <f>VLOOKUP(B14,Цены!C:K,4,0)</f>
        <v>69.702799999999996</v>
      </c>
      <c r="U14" s="369">
        <f t="shared" si="15"/>
        <v>107800000</v>
      </c>
      <c r="V14" s="374">
        <f ca="1">IF($A$2=DATE(YEAR(TODAY()),2,29),H14*K14*IF(O14=4,DAYS360(Q14,$A$2,1)/360,IF(O14=3,DAYS360(Q14,$A$2,1)/365,IF(O14=2,($A$2-Q14)/360,IF(AND(L14=1,O14=1),($A$2-Q14)/(Q14-COUPPCD(Q14-1,I14,1,3))))))+(H14*K14)/360,H14*K14*IF(O14=4,DAYS360(Q14,$A$2,1)/360,IF(O14=3,DAYS360(Q14,$A$2,1)/365,IF(O14=2,($A$2-Q14)/360,IF(AND(L14=1,O14=1),($A$2-Q14)/(Q14-COUPPCD(Q14-1,I14,1,3)))))))</f>
        <v>16469444.444444446</v>
      </c>
      <c r="W14" s="374">
        <f t="shared" si="3"/>
        <v>697028000</v>
      </c>
      <c r="X14" s="333">
        <f t="shared" ca="1" si="4"/>
        <v>713497444.44444442</v>
      </c>
      <c r="Y14" s="328"/>
      <c r="Z14" s="329">
        <f t="shared" si="5"/>
        <v>1.8106710116176247E-2</v>
      </c>
      <c r="AA14" s="329">
        <f t="shared" si="6"/>
        <v>0.17072368049808831</v>
      </c>
      <c r="AB14" s="330">
        <f t="shared" si="7"/>
        <v>5.1198219644470937</v>
      </c>
      <c r="AC14" s="331">
        <f t="shared" si="8"/>
        <v>3.0912441927455772E-3</v>
      </c>
      <c r="AD14" s="330">
        <f t="shared" si="9"/>
        <v>9.2703132156675541E-2</v>
      </c>
      <c r="AE14" s="332" t="str">
        <f t="shared" si="10"/>
        <v>Ok</v>
      </c>
      <c r="AF14" s="321" t="str">
        <f t="shared" si="11"/>
        <v>Ok</v>
      </c>
      <c r="AG14" s="320"/>
      <c r="AH14" s="320"/>
      <c r="AI14" s="314"/>
      <c r="AJ14" s="6"/>
      <c r="AK14" s="6"/>
      <c r="AL14" s="6"/>
      <c r="AN14" s="8"/>
      <c r="AP14" s="6"/>
      <c r="AQ14" s="5"/>
    </row>
    <row r="15" spans="1:43" s="288" customFormat="1">
      <c r="A15" s="321"/>
      <c r="B15" s="321" t="s">
        <v>516</v>
      </c>
      <c r="C15" s="314"/>
      <c r="D15" s="321" t="s">
        <v>173</v>
      </c>
      <c r="E15" s="321" t="s">
        <v>759</v>
      </c>
      <c r="F15" s="314">
        <v>45496</v>
      </c>
      <c r="G15" s="314">
        <v>45498</v>
      </c>
      <c r="H15" s="322">
        <v>2000000000</v>
      </c>
      <c r="I15" s="314">
        <f>VLOOKUP(B15,Справочник!A:L,2,0)</f>
        <v>47549</v>
      </c>
      <c r="J15" s="314"/>
      <c r="K15" s="323">
        <f>VLOOKUP(B15,Справочник!A:L,3,0)</f>
        <v>0.12</v>
      </c>
      <c r="L15" s="321">
        <f>VLOOKUP(B15,Справочник!A:L,4,0)</f>
        <v>1</v>
      </c>
      <c r="M15" s="321" t="str">
        <f>VLOOKUP(B15,Справочник!A:L,5,0)</f>
        <v>fix</v>
      </c>
      <c r="N15" s="314" t="str">
        <f>VLOOKUP(B15,Справочник!A:L,6,0)</f>
        <v>30/360</v>
      </c>
      <c r="O15" s="324">
        <f t="shared" si="0"/>
        <v>4</v>
      </c>
      <c r="P15" s="314">
        <f>Q15-(365/L15)</f>
        <v>45358</v>
      </c>
      <c r="Q15" s="325">
        <f t="shared" si="1"/>
        <v>45723</v>
      </c>
      <c r="R15" s="424"/>
      <c r="S15" s="325">
        <f t="shared" si="2"/>
        <v>46088</v>
      </c>
      <c r="T15" s="327">
        <f>VLOOKUP(B15,Цены!C:K,4,0)</f>
        <v>85.3215</v>
      </c>
      <c r="U15" s="369">
        <f t="shared" si="15"/>
        <v>240000000</v>
      </c>
      <c r="V15" s="374">
        <f t="shared" ca="1" si="12"/>
        <v>148666666.66666666</v>
      </c>
      <c r="W15" s="374">
        <f t="shared" si="3"/>
        <v>1706430000</v>
      </c>
      <c r="X15" s="333">
        <f t="shared" ca="1" si="4"/>
        <v>1855096666.6666667</v>
      </c>
      <c r="Y15" s="425"/>
      <c r="Z15" s="329">
        <f t="shared" si="5"/>
        <v>4.4327965796993281E-2</v>
      </c>
      <c r="AA15" s="329">
        <f t="shared" si="6"/>
        <v>0.16934957793798067</v>
      </c>
      <c r="AB15" s="330">
        <f t="shared" si="7"/>
        <v>2.8440770431456968</v>
      </c>
      <c r="AC15" s="331">
        <f t="shared" si="8"/>
        <v>7.506922298570055E-3</v>
      </c>
      <c r="AD15" s="330">
        <f t="shared" si="9"/>
        <v>0.12607214989257623</v>
      </c>
      <c r="AE15" s="332" t="str">
        <f t="shared" si="10"/>
        <v>Ok</v>
      </c>
      <c r="AF15" s="321" t="str">
        <f t="shared" si="11"/>
        <v>Ok</v>
      </c>
      <c r="AG15" s="320"/>
      <c r="AH15" s="320"/>
      <c r="AI15" s="314"/>
      <c r="AJ15" s="212"/>
      <c r="AK15" s="6"/>
      <c r="AL15" s="6"/>
      <c r="AN15" s="211"/>
      <c r="AO15" s="216"/>
      <c r="AP15" s="212"/>
      <c r="AQ15" s="214"/>
    </row>
    <row r="16" spans="1:43" s="288" customFormat="1">
      <c r="A16" s="321"/>
      <c r="B16" s="321" t="s">
        <v>516</v>
      </c>
      <c r="C16" s="314"/>
      <c r="D16" s="321" t="s">
        <v>173</v>
      </c>
      <c r="E16" s="321" t="s">
        <v>759</v>
      </c>
      <c r="F16" s="314">
        <v>45496</v>
      </c>
      <c r="G16" s="314">
        <v>45498</v>
      </c>
      <c r="H16" s="322">
        <v>3000000000</v>
      </c>
      <c r="I16" s="314">
        <f>VLOOKUP(B16,Справочник!A:L,2,0)</f>
        <v>47549</v>
      </c>
      <c r="J16" s="314"/>
      <c r="K16" s="323">
        <f>VLOOKUP(B16,Справочник!A:L,3,0)</f>
        <v>0.12</v>
      </c>
      <c r="L16" s="321">
        <f>VLOOKUP(B16,Справочник!A:L,4,0)</f>
        <v>1</v>
      </c>
      <c r="M16" s="321" t="str">
        <f>VLOOKUP(B16,Справочник!A:L,5,0)</f>
        <v>fix</v>
      </c>
      <c r="N16" s="314" t="str">
        <f>VLOOKUP(B16,Справочник!A:L,6,0)</f>
        <v>30/360</v>
      </c>
      <c r="O16" s="324">
        <f t="shared" si="0"/>
        <v>4</v>
      </c>
      <c r="P16" s="314">
        <f>Q16-(365/L16)</f>
        <v>45358</v>
      </c>
      <c r="Q16" s="325">
        <f t="shared" si="1"/>
        <v>45723</v>
      </c>
      <c r="R16" s="424"/>
      <c r="S16" s="325">
        <f t="shared" si="2"/>
        <v>46088</v>
      </c>
      <c r="T16" s="327">
        <f>VLOOKUP(B16,Цены!C:K,4,0)</f>
        <v>85.3215</v>
      </c>
      <c r="U16" s="369">
        <f t="shared" si="15"/>
        <v>360000000</v>
      </c>
      <c r="V16" s="374">
        <f t="shared" ca="1" si="12"/>
        <v>223000000</v>
      </c>
      <c r="W16" s="374">
        <f t="shared" si="3"/>
        <v>2559645000</v>
      </c>
      <c r="X16" s="333">
        <f t="shared" ca="1" si="4"/>
        <v>2782645000</v>
      </c>
      <c r="Y16" s="425"/>
      <c r="Z16" s="329">
        <f t="shared" si="5"/>
        <v>6.6491948695489925E-2</v>
      </c>
      <c r="AA16" s="329">
        <f t="shared" si="6"/>
        <v>0.16934957793798067</v>
      </c>
      <c r="AB16" s="330">
        <f t="shared" si="7"/>
        <v>2.8440770431456968</v>
      </c>
      <c r="AC16" s="331">
        <f t="shared" si="8"/>
        <v>1.1260383447855083E-2</v>
      </c>
      <c r="AD16" s="330">
        <f t="shared" si="9"/>
        <v>0.18910822483886436</v>
      </c>
      <c r="AE16" s="332" t="str">
        <f t="shared" si="10"/>
        <v>Ok</v>
      </c>
      <c r="AF16" s="321" t="str">
        <f t="shared" si="11"/>
        <v>Ok</v>
      </c>
      <c r="AG16" s="320"/>
      <c r="AH16" s="320"/>
      <c r="AI16" s="314"/>
      <c r="AJ16" s="212"/>
      <c r="AK16" s="6"/>
      <c r="AL16" s="6"/>
      <c r="AN16" s="211"/>
      <c r="AO16" s="216"/>
      <c r="AP16" s="212"/>
      <c r="AQ16" s="214"/>
    </row>
    <row r="17" spans="2:41" s="266" customFormat="1">
      <c r="B17" s="266" t="s">
        <v>422</v>
      </c>
      <c r="C17" s="267"/>
      <c r="D17" s="266" t="s">
        <v>173</v>
      </c>
      <c r="E17" s="266" t="s">
        <v>762</v>
      </c>
      <c r="F17" s="267"/>
      <c r="G17" s="267"/>
      <c r="H17" s="268">
        <v>3607500000</v>
      </c>
      <c r="I17" s="267">
        <f>VLOOKUP(B17,Справочник!A:L,2,0)</f>
        <v>46855</v>
      </c>
      <c r="J17" s="267"/>
      <c r="K17" s="291">
        <f>VLOOKUP(B17,Справочник!A:L,3,0)</f>
        <v>0.104</v>
      </c>
      <c r="L17" s="266">
        <f>VLOOKUP(B17,Справочник!A:L,4,0)</f>
        <v>1</v>
      </c>
      <c r="M17" s="266" t="str">
        <f>VLOOKUP(B17,Справочник!A:L,5,0)</f>
        <v>fix</v>
      </c>
      <c r="N17" s="266" t="str">
        <f>VLOOKUP(B17,Справочник!A:L,6,0)</f>
        <v>30/360</v>
      </c>
      <c r="O17" s="266">
        <f t="shared" si="0"/>
        <v>4</v>
      </c>
      <c r="P17" s="480">
        <f>Q17-(365/L17)</f>
        <v>45394</v>
      </c>
      <c r="Q17" s="481">
        <f t="shared" si="1"/>
        <v>45759</v>
      </c>
      <c r="S17" s="334">
        <f t="shared" si="2"/>
        <v>46124</v>
      </c>
      <c r="T17" s="335">
        <f>VLOOKUP(B17,Цены!C:K,4,0)</f>
        <v>87.546700000000001</v>
      </c>
      <c r="U17" s="269">
        <f t="shared" si="15"/>
        <v>375180000</v>
      </c>
      <c r="V17" s="374">
        <f t="shared" ca="1" si="12"/>
        <v>195927333.33333334</v>
      </c>
      <c r="W17" s="336">
        <f t="shared" si="3"/>
        <v>3158247202.5</v>
      </c>
      <c r="X17" s="391">
        <f t="shared" ca="1" si="4"/>
        <v>3354174535.8333335</v>
      </c>
      <c r="Z17" s="266">
        <f t="shared" si="5"/>
        <v>7.7606929844356937E-2</v>
      </c>
      <c r="AA17" s="266">
        <f t="shared" ref="AA17:AA43" si="16">IFERROR(YIELD($A$2,I17,K17,T17,100,L17,O17),0)</f>
        <v>0.16848391499834114</v>
      </c>
      <c r="AB17" s="266">
        <f t="shared" ref="AB17:AB43" si="17">IFERROR(MDURATION($A$2,I17,K17,AA17,L17,O17),0)</f>
        <v>1.8667297314588247</v>
      </c>
      <c r="AC17" s="266">
        <f t="shared" ref="AC17:AC43" si="18">Z17*AA17</f>
        <v>1.3075519371178859E-2</v>
      </c>
      <c r="AD17" s="266">
        <f t="shared" ref="AD17:AD43" si="19">Z17*AB17</f>
        <v>0.14487116330770028</v>
      </c>
      <c r="AE17" s="266" t="str">
        <f t="shared" ref="AE17:AE43" si="20">IF(S17-$A$2&lt;10,"Скоро погашение купона","Ok")</f>
        <v>Ok</v>
      </c>
      <c r="AF17" s="266" t="str">
        <f t="shared" ref="AF17:AF43" si="21">IF(I17-$A$2&lt;=0,"Погашено","Ok")</f>
        <v>Ok</v>
      </c>
      <c r="AG17" s="292"/>
      <c r="AH17" s="292"/>
      <c r="AI17" s="267"/>
      <c r="AJ17" s="335"/>
      <c r="AK17" s="6"/>
      <c r="AL17" s="6"/>
      <c r="AO17" s="337"/>
    </row>
    <row r="18" spans="2:41" s="266" customFormat="1">
      <c r="B18" s="266" t="s">
        <v>74</v>
      </c>
      <c r="C18" s="267"/>
      <c r="D18" s="266" t="s">
        <v>173</v>
      </c>
      <c r="E18" s="266" t="s">
        <v>762</v>
      </c>
      <c r="F18" s="267"/>
      <c r="G18" s="267"/>
      <c r="H18" s="268">
        <v>3607500000</v>
      </c>
      <c r="I18" s="267" t="str">
        <f>VLOOKUP(B18,Справочник!A:L,2,0)</f>
        <v>12.05.2034</v>
      </c>
      <c r="J18" s="267"/>
      <c r="K18" s="291">
        <f>VLOOKUP(B18,Справочник!A:L,3,0)</f>
        <v>8.0700000000000008E-2</v>
      </c>
      <c r="L18" s="266">
        <f>VLOOKUP(B18,Справочник!A:L,4,0)</f>
        <v>1</v>
      </c>
      <c r="M18" s="266" t="str">
        <f>VLOOKUP(B18,Справочник!A:L,5,0)</f>
        <v>fix</v>
      </c>
      <c r="N18" s="266" t="str">
        <f>VLOOKUP(B18,Справочник!A:L,6,0)</f>
        <v>30/360</v>
      </c>
      <c r="O18" s="266">
        <f t="shared" si="0"/>
        <v>4</v>
      </c>
      <c r="P18" s="480">
        <f>Q18-(365/L18)</f>
        <v>45424</v>
      </c>
      <c r="Q18" s="481">
        <f t="shared" si="1"/>
        <v>45789</v>
      </c>
      <c r="S18" s="334">
        <f t="shared" si="2"/>
        <v>46154</v>
      </c>
      <c r="T18" s="335">
        <f>VLOOKUP(B18,Цены!C:K,4,0)</f>
        <v>60.849699999999999</v>
      </c>
      <c r="U18" s="269">
        <f t="shared" si="15"/>
        <v>291125250</v>
      </c>
      <c r="V18" s="374">
        <f t="shared" ca="1" si="12"/>
        <v>127771637.5</v>
      </c>
      <c r="W18" s="336">
        <f t="shared" si="3"/>
        <v>2195152927.5</v>
      </c>
      <c r="X18" s="391">
        <f t="shared" ca="1" si="4"/>
        <v>2322924565</v>
      </c>
      <c r="Z18" s="266">
        <f t="shared" si="5"/>
        <v>5.3941021180126336E-2</v>
      </c>
      <c r="AA18" s="266">
        <f t="shared" si="16"/>
        <v>0.17053243050329317</v>
      </c>
      <c r="AB18" s="266">
        <f t="shared" si="17"/>
        <v>4.7573953663755661</v>
      </c>
      <c r="AC18" s="266">
        <f t="shared" si="18"/>
        <v>9.198693445676559E-3</v>
      </c>
      <c r="AD18" s="266">
        <f t="shared" si="19"/>
        <v>0.25661876421989932</v>
      </c>
      <c r="AE18" s="266" t="str">
        <f t="shared" si="20"/>
        <v>Ok</v>
      </c>
      <c r="AF18" s="266" t="str">
        <f t="shared" si="21"/>
        <v>Ok</v>
      </c>
      <c r="AG18" s="292"/>
      <c r="AH18" s="292"/>
      <c r="AI18" s="267"/>
      <c r="AJ18" s="335"/>
      <c r="AK18" s="6"/>
      <c r="AL18" s="6"/>
      <c r="AO18" s="337"/>
    </row>
    <row r="19" spans="2:41" s="266" customFormat="1">
      <c r="B19" s="266" t="s">
        <v>81</v>
      </c>
      <c r="C19" s="267"/>
      <c r="D19" s="266" t="s">
        <v>173</v>
      </c>
      <c r="E19" s="266" t="s">
        <v>762</v>
      </c>
      <c r="F19" s="267"/>
      <c r="G19" s="267">
        <f>H19*K19</f>
        <v>291125250</v>
      </c>
      <c r="H19" s="268">
        <v>3607500000</v>
      </c>
      <c r="I19" s="267" t="str">
        <f>VLOOKUP(B19,Справочник!A:L,2,0)</f>
        <v>29.01.2035</v>
      </c>
      <c r="J19" s="267"/>
      <c r="K19" s="291">
        <f>VLOOKUP(B19,Справочник!A:L,3,0)</f>
        <v>8.0700000000000008E-2</v>
      </c>
      <c r="L19" s="266">
        <f>VLOOKUP(B19,Справочник!A:L,4,0)</f>
        <v>1</v>
      </c>
      <c r="M19" s="266" t="str">
        <f>VLOOKUP(B19,Справочник!A:L,5,0)</f>
        <v>fix</v>
      </c>
      <c r="N19" s="266" t="str">
        <f>VLOOKUP(B19,Справочник!A:L,6,0)</f>
        <v>30/360</v>
      </c>
      <c r="O19" s="266">
        <f t="shared" si="0"/>
        <v>4</v>
      </c>
      <c r="P19" s="480">
        <f>Q19-(366/L19)</f>
        <v>45320</v>
      </c>
      <c r="Q19" s="481">
        <f t="shared" si="1"/>
        <v>45686</v>
      </c>
      <c r="S19" s="334">
        <f t="shared" si="2"/>
        <v>46051</v>
      </c>
      <c r="T19" s="335">
        <f>VLOOKUP(B19,Цены!C:K,4,0)</f>
        <v>59.360199999999999</v>
      </c>
      <c r="U19" s="269">
        <f t="shared" si="15"/>
        <v>291125250</v>
      </c>
      <c r="V19" s="374">
        <f t="shared" ca="1" si="12"/>
        <v>211065806.25</v>
      </c>
      <c r="W19" s="336">
        <f t="shared" si="3"/>
        <v>2141419214.9999998</v>
      </c>
      <c r="X19" s="391">
        <f t="shared" ca="1" si="4"/>
        <v>2352485021.25</v>
      </c>
      <c r="Z19" s="266">
        <f t="shared" si="5"/>
        <v>5.262063420947901E-2</v>
      </c>
      <c r="AA19" s="266">
        <f t="shared" si="16"/>
        <v>0.17073363636769814</v>
      </c>
      <c r="AB19" s="266">
        <f t="shared" si="17"/>
        <v>4.7570165076445008</v>
      </c>
      <c r="AC19" s="266">
        <f t="shared" si="18"/>
        <v>8.984112226558847E-3</v>
      </c>
      <c r="AD19" s="266">
        <f t="shared" si="19"/>
        <v>0.25031722557721459</v>
      </c>
      <c r="AE19" s="266" t="str">
        <f t="shared" si="20"/>
        <v>Ok</v>
      </c>
      <c r="AF19" s="266" t="str">
        <f t="shared" si="21"/>
        <v>Ok</v>
      </c>
      <c r="AG19" s="292"/>
      <c r="AH19" s="292"/>
      <c r="AI19" s="267"/>
      <c r="AJ19" s="335"/>
      <c r="AK19" s="6"/>
      <c r="AL19" s="6"/>
      <c r="AO19" s="337"/>
    </row>
    <row r="20" spans="2:41" s="266" customFormat="1">
      <c r="B20" s="266" t="s">
        <v>95</v>
      </c>
      <c r="C20" s="267"/>
      <c r="D20" s="266" t="s">
        <v>173</v>
      </c>
      <c r="E20" s="266" t="s">
        <v>762</v>
      </c>
      <c r="F20" s="267"/>
      <c r="G20" s="267"/>
      <c r="H20" s="268">
        <v>3607500000</v>
      </c>
      <c r="I20" s="267" t="str">
        <f>VLOOKUP(B20,Справочник!A:L,2,0)</f>
        <v>31.03.2029</v>
      </c>
      <c r="J20" s="267"/>
      <c r="K20" s="291">
        <f>VLOOKUP(B20,Справочник!A:L,3,0)</f>
        <v>0.11</v>
      </c>
      <c r="L20" s="266">
        <f>VLOOKUP(B20,Справочник!A:L,4,0)</f>
        <v>1</v>
      </c>
      <c r="M20" s="266" t="str">
        <f>VLOOKUP(B20,Справочник!A:L,5,0)</f>
        <v>fix</v>
      </c>
      <c r="N20" s="266" t="str">
        <f>VLOOKUP(B20,Справочник!A:L,6,0)</f>
        <v>30/360</v>
      </c>
      <c r="O20" s="266">
        <f t="shared" si="0"/>
        <v>4</v>
      </c>
      <c r="P20" s="480">
        <f>Q20-(365/L20)</f>
        <v>45382</v>
      </c>
      <c r="Q20" s="481">
        <f t="shared" si="1"/>
        <v>45747</v>
      </c>
      <c r="S20" s="334">
        <f t="shared" si="2"/>
        <v>46112</v>
      </c>
      <c r="T20" s="335">
        <f>VLOOKUP(B20,Цены!C:K,4,0)</f>
        <v>85.257800000000003</v>
      </c>
      <c r="U20" s="269">
        <f t="shared" si="15"/>
        <v>396825000</v>
      </c>
      <c r="V20" s="374">
        <f t="shared" ca="1" si="12"/>
        <v>220458333.33333334</v>
      </c>
      <c r="W20" s="336">
        <f t="shared" si="3"/>
        <v>3075675135</v>
      </c>
      <c r="X20" s="391">
        <f t="shared" ca="1" si="4"/>
        <v>3296133468.3333335</v>
      </c>
      <c r="Z20" s="266">
        <f t="shared" si="5"/>
        <v>7.5577904173249416E-2</v>
      </c>
      <c r="AA20" s="266">
        <f t="shared" si="16"/>
        <v>0.16903044998754008</v>
      </c>
      <c r="AB20" s="266">
        <f t="shared" si="17"/>
        <v>2.4235027949626344</v>
      </c>
      <c r="AC20" s="266">
        <f t="shared" si="18"/>
        <v>1.2774967151519531E-2</v>
      </c>
      <c r="AD20" s="266">
        <f t="shared" si="19"/>
        <v>0.1831632620012881</v>
      </c>
      <c r="AE20" s="266" t="str">
        <f t="shared" si="20"/>
        <v>Ok</v>
      </c>
      <c r="AF20" s="266" t="str">
        <f t="shared" si="21"/>
        <v>Ok</v>
      </c>
      <c r="AG20" s="292"/>
      <c r="AH20" s="292"/>
      <c r="AI20" s="267"/>
      <c r="AJ20" s="335"/>
      <c r="AK20" s="6"/>
      <c r="AL20" s="6"/>
      <c r="AO20" s="337"/>
    </row>
    <row r="21" spans="2:41" s="266" customFormat="1">
      <c r="B21" s="266" t="s">
        <v>448</v>
      </c>
      <c r="C21" s="267">
        <v>44405</v>
      </c>
      <c r="D21" s="266" t="s">
        <v>173</v>
      </c>
      <c r="E21" s="266" t="s">
        <v>762</v>
      </c>
      <c r="F21" s="267">
        <v>44405</v>
      </c>
      <c r="G21" s="267">
        <v>44405</v>
      </c>
      <c r="H21" s="268">
        <v>3607500000</v>
      </c>
      <c r="I21" s="267">
        <f>VLOOKUP(B21,Справочник!A:L,2,0)</f>
        <v>47327</v>
      </c>
      <c r="J21" s="267"/>
      <c r="K21" s="291">
        <f>VLOOKUP(B21,Справочник!A:L,3,0)</f>
        <v>0.1055</v>
      </c>
      <c r="L21" s="266">
        <f>VLOOKUP(B21,Справочник!A:L,4,0)</f>
        <v>1</v>
      </c>
      <c r="M21" s="266" t="str">
        <f>VLOOKUP(B21,Справочник!A:L,5,0)</f>
        <v>fix</v>
      </c>
      <c r="N21" s="266" t="str">
        <f>VLOOKUP(B21,Справочник!A:L,6,0)</f>
        <v>30/360</v>
      </c>
      <c r="O21" s="266">
        <f t="shared" si="0"/>
        <v>4</v>
      </c>
      <c r="P21" s="314">
        <f>Q21-(365/L21)</f>
        <v>45501</v>
      </c>
      <c r="Q21" s="481">
        <f>COUPPCD($A$2,I21,L21,4)</f>
        <v>45866</v>
      </c>
      <c r="S21" s="334">
        <f t="shared" si="2"/>
        <v>46231</v>
      </c>
      <c r="T21" s="335">
        <f>VLOOKUP(B21,Цены!C:K,4,0)</f>
        <v>83.111000000000004</v>
      </c>
      <c r="U21" s="269">
        <f t="shared" si="15"/>
        <v>380591250</v>
      </c>
      <c r="V21" s="374">
        <f t="shared" ca="1" si="12"/>
        <v>86690229.166666672</v>
      </c>
      <c r="W21" s="336">
        <f t="shared" si="3"/>
        <v>2998229325</v>
      </c>
      <c r="X21" s="391">
        <f t="shared" ca="1" si="4"/>
        <v>3084919554.1666665</v>
      </c>
      <c r="Z21" s="266">
        <f t="shared" si="5"/>
        <v>7.3674844926129135E-2</v>
      </c>
      <c r="AA21" s="266">
        <f t="shared" si="16"/>
        <v>0.16908946835178582</v>
      </c>
      <c r="AB21" s="266">
        <f t="shared" si="17"/>
        <v>2.7175797146221123</v>
      </c>
      <c r="AC21" s="266">
        <f t="shared" si="18"/>
        <v>1.245764035945944E-2</v>
      </c>
      <c r="AD21" s="266">
        <f t="shared" si="19"/>
        <v>0.20021726404917839</v>
      </c>
      <c r="AE21" s="266" t="str">
        <f t="shared" si="20"/>
        <v>Ok</v>
      </c>
      <c r="AF21" s="266" t="str">
        <f t="shared" si="21"/>
        <v>Ok</v>
      </c>
      <c r="AG21" s="292"/>
      <c r="AH21" s="292"/>
      <c r="AI21" s="267"/>
      <c r="AJ21" s="335"/>
      <c r="AK21" s="6"/>
      <c r="AL21" s="6"/>
      <c r="AO21" s="337"/>
    </row>
    <row r="22" spans="2:41" s="266" customFormat="1">
      <c r="B22" s="266" t="s">
        <v>417</v>
      </c>
      <c r="C22" s="267"/>
      <c r="D22" s="266" t="s">
        <v>173</v>
      </c>
      <c r="E22" s="266" t="s">
        <v>762</v>
      </c>
      <c r="F22" s="267">
        <v>44447</v>
      </c>
      <c r="G22" s="267">
        <v>44447</v>
      </c>
      <c r="H22" s="268">
        <v>3607500000</v>
      </c>
      <c r="I22" s="267">
        <f>VLOOKUP(B22,Справочник!A:L,2,0)</f>
        <v>47924</v>
      </c>
      <c r="J22" s="267"/>
      <c r="K22" s="291">
        <f>VLOOKUP(B22,Справочник!A:L,3,0)</f>
        <v>0.10299999999999999</v>
      </c>
      <c r="L22" s="266">
        <f>VLOOKUP(B22,Справочник!A:L,4,0)</f>
        <v>1</v>
      </c>
      <c r="M22" s="266" t="str">
        <f>VLOOKUP(B22,Справочник!A:L,5,0)</f>
        <v>fix</v>
      </c>
      <c r="N22" s="266" t="str">
        <f>VLOOKUP(B22,Справочник!A:L,6,0)</f>
        <v>30/360</v>
      </c>
      <c r="O22" s="266">
        <f t="shared" si="0"/>
        <v>4</v>
      </c>
      <c r="P22" s="480">
        <f>Q22-(365/L22)</f>
        <v>45368</v>
      </c>
      <c r="Q22" s="481">
        <f t="shared" si="1"/>
        <v>45733</v>
      </c>
      <c r="S22" s="334">
        <f t="shared" si="2"/>
        <v>46098</v>
      </c>
      <c r="T22" s="335">
        <f>VLOOKUP(B22,Цены!C:K,4,0)</f>
        <v>77.3249</v>
      </c>
      <c r="U22" s="269">
        <f t="shared" si="15"/>
        <v>371572500</v>
      </c>
      <c r="V22" s="374">
        <f t="shared" ca="1" si="12"/>
        <v>219847062.5</v>
      </c>
      <c r="W22" s="336">
        <f t="shared" si="3"/>
        <v>2789495767.5</v>
      </c>
      <c r="X22" s="391">
        <f t="shared" ca="1" si="4"/>
        <v>3009342830</v>
      </c>
      <c r="Z22" s="266">
        <f t="shared" si="5"/>
        <v>6.854568007157226E-2</v>
      </c>
      <c r="AA22" s="266">
        <f t="shared" si="16"/>
        <v>0.16974219864232909</v>
      </c>
      <c r="AB22" s="266">
        <f t="shared" si="17"/>
        <v>3.3962248174434158</v>
      </c>
      <c r="AC22" s="266">
        <f t="shared" si="18"/>
        <v>1.1635094442782356E-2</v>
      </c>
      <c r="AD22" s="266">
        <f t="shared" si="19"/>
        <v>0.23279653978761028</v>
      </c>
      <c r="AE22" s="266" t="str">
        <f t="shared" si="20"/>
        <v>Ok</v>
      </c>
      <c r="AF22" s="266" t="str">
        <f t="shared" si="21"/>
        <v>Ok</v>
      </c>
      <c r="AG22" s="292"/>
      <c r="AH22" s="292"/>
      <c r="AI22" s="267"/>
      <c r="AJ22" s="335"/>
      <c r="AK22" s="6"/>
      <c r="AL22" s="6"/>
      <c r="AO22" s="337"/>
    </row>
    <row r="23" spans="2:41" s="266" customFormat="1">
      <c r="B23" s="266" t="s">
        <v>473</v>
      </c>
      <c r="C23" s="267"/>
      <c r="D23" s="266" t="s">
        <v>173</v>
      </c>
      <c r="E23" s="266" t="s">
        <v>762</v>
      </c>
      <c r="F23" s="267">
        <v>44636</v>
      </c>
      <c r="G23" s="267">
        <v>44638</v>
      </c>
      <c r="H23" s="268">
        <v>4810000000</v>
      </c>
      <c r="I23" s="267">
        <f>VLOOKUP(B23,Справочник!A:L,2,0)</f>
        <v>46043</v>
      </c>
      <c r="J23" s="267"/>
      <c r="K23" s="291">
        <f>VLOOKUP(B23,Справочник!A:L,3,0)</f>
        <v>0.1067</v>
      </c>
      <c r="L23" s="266">
        <f>VLOOKUP(B23,Справочник!A:L,4,0)</f>
        <v>2</v>
      </c>
      <c r="M23" s="266" t="str">
        <f>VLOOKUP(B23,Справочник!A:L,5,0)</f>
        <v>fix</v>
      </c>
      <c r="N23" s="266" t="str">
        <f>VLOOKUP(B23,Справочник!A:L,6,0)</f>
        <v>30/360</v>
      </c>
      <c r="O23" s="266">
        <f t="shared" si="0"/>
        <v>4</v>
      </c>
      <c r="P23" s="314">
        <f>Q23-(362/L23)</f>
        <v>45678</v>
      </c>
      <c r="Q23" s="481">
        <f t="shared" si="1"/>
        <v>45859</v>
      </c>
      <c r="S23" s="334">
        <f t="shared" si="2"/>
        <v>46043</v>
      </c>
      <c r="T23" s="335">
        <f>VLOOKUP(B23,Цены!C:K,4,0)</f>
        <v>98.584699999999998</v>
      </c>
      <c r="U23" s="269">
        <f t="shared" si="15"/>
        <v>256613500</v>
      </c>
      <c r="V23" s="374">
        <f t="shared" ca="1" si="12"/>
        <v>126881119.44444445</v>
      </c>
      <c r="W23" s="336">
        <f t="shared" si="3"/>
        <v>4741924070</v>
      </c>
      <c r="X23" s="391">
        <f t="shared" ca="1" si="4"/>
        <v>4868805189.4444447</v>
      </c>
      <c r="Z23" s="266">
        <f t="shared" si="5"/>
        <v>0.11652228119966411</v>
      </c>
      <c r="AA23" s="266">
        <f t="shared" si="16"/>
        <v>0.16072492962444065</v>
      </c>
      <c r="AB23" s="266">
        <f t="shared" si="17"/>
        <v>0.23397497229942502</v>
      </c>
      <c r="AC23" s="266">
        <f t="shared" si="18"/>
        <v>1.8728035445495297E-2</v>
      </c>
      <c r="AD23" s="266">
        <f t="shared" si="19"/>
        <v>2.7263297515957224E-2</v>
      </c>
      <c r="AE23" s="266" t="str">
        <f t="shared" si="20"/>
        <v>Ok</v>
      </c>
      <c r="AF23" s="266" t="str">
        <f t="shared" si="21"/>
        <v>Ok</v>
      </c>
      <c r="AG23" s="292"/>
      <c r="AH23" s="292"/>
      <c r="AI23" s="267"/>
      <c r="AJ23" s="335"/>
      <c r="AK23" s="6"/>
      <c r="AL23" s="6"/>
      <c r="AO23" s="337"/>
    </row>
    <row r="24" spans="2:41" s="266" customFormat="1">
      <c r="B24" s="266" t="s">
        <v>90</v>
      </c>
      <c r="C24" s="267"/>
      <c r="D24" s="266" t="s">
        <v>173</v>
      </c>
      <c r="E24" s="266" t="s">
        <v>762</v>
      </c>
      <c r="F24" s="267"/>
      <c r="G24" s="267"/>
      <c r="H24" s="268">
        <v>3607500000</v>
      </c>
      <c r="I24" s="267" t="str">
        <f>VLOOKUP(B24,Справочник!A:L,2,0)</f>
        <v>16.04.2032</v>
      </c>
      <c r="J24" s="267"/>
      <c r="K24" s="291">
        <f>VLOOKUP(B24,Справочник!A:L,3,0)</f>
        <v>8.4499999999999992E-2</v>
      </c>
      <c r="L24" s="266">
        <f>VLOOKUP(B24,Справочник!A:L,4,0)</f>
        <v>1</v>
      </c>
      <c r="M24" s="266" t="str">
        <f>VLOOKUP(B24,Справочник!A:L,5,0)</f>
        <v>fix</v>
      </c>
      <c r="N24" s="266" t="str">
        <f>VLOOKUP(B24,Справочник!A:L,6,0)</f>
        <v>30/360</v>
      </c>
      <c r="O24" s="266">
        <f t="shared" si="0"/>
        <v>4</v>
      </c>
      <c r="P24" s="480">
        <f>Q24-(365/L24)</f>
        <v>45398</v>
      </c>
      <c r="Q24" s="481">
        <f t="shared" si="1"/>
        <v>45763</v>
      </c>
      <c r="S24" s="334">
        <f t="shared" si="2"/>
        <v>46128</v>
      </c>
      <c r="T24" s="335">
        <f>VLOOKUP(B24,Цены!C:K,4,0)</f>
        <v>67.637699999999995</v>
      </c>
      <c r="U24" s="269">
        <f t="shared" si="15"/>
        <v>304833750</v>
      </c>
      <c r="V24" s="374">
        <f t="shared" ca="1" si="12"/>
        <v>155803916.66666666</v>
      </c>
      <c r="W24" s="336">
        <f t="shared" si="3"/>
        <v>2440030027.5</v>
      </c>
      <c r="X24" s="391">
        <f t="shared" ca="1" si="4"/>
        <v>2595833944.1666665</v>
      </c>
      <c r="Z24" s="266">
        <f t="shared" si="5"/>
        <v>5.9958333537799384E-2</v>
      </c>
      <c r="AA24" s="266">
        <f t="shared" si="16"/>
        <v>0.17020940812922938</v>
      </c>
      <c r="AB24" s="266">
        <f t="shared" si="17"/>
        <v>4.0035586002643297</v>
      </c>
      <c r="AC24" s="266">
        <f t="shared" si="18"/>
        <v>1.0205472463883758E-2</v>
      </c>
      <c r="AD24" s="266">
        <f t="shared" si="19"/>
        <v>0.24004670189277391</v>
      </c>
      <c r="AE24" s="266" t="str">
        <f t="shared" si="20"/>
        <v>Ok</v>
      </c>
      <c r="AF24" s="266" t="str">
        <f t="shared" si="21"/>
        <v>Ok</v>
      </c>
      <c r="AG24" s="292"/>
      <c r="AH24" s="292"/>
      <c r="AI24" s="267"/>
      <c r="AJ24" s="335"/>
      <c r="AK24" s="6"/>
      <c r="AL24" s="6"/>
      <c r="AO24" s="337"/>
    </row>
    <row r="25" spans="2:41" s="266" customFormat="1">
      <c r="B25" s="266" t="s">
        <v>59</v>
      </c>
      <c r="C25" s="267"/>
      <c r="D25" s="266" t="s">
        <v>173</v>
      </c>
      <c r="E25" s="266" t="s">
        <v>762</v>
      </c>
      <c r="F25" s="267"/>
      <c r="G25" s="267"/>
      <c r="H25" s="268">
        <v>6012500000</v>
      </c>
      <c r="I25" s="267" t="str">
        <f>VLOOKUP(B25,Справочник!A:L,2,0)</f>
        <v>27.03.2027</v>
      </c>
      <c r="J25" s="267"/>
      <c r="K25" s="291">
        <f>VLOOKUP(B25,Справочник!A:L,3,0)</f>
        <v>5.4900000000000004E-2</v>
      </c>
      <c r="L25" s="266">
        <f>VLOOKUP(B25,Справочник!A:L,4,0)</f>
        <v>1</v>
      </c>
      <c r="M25" s="266" t="str">
        <f>VLOOKUP(B25,Справочник!A:L,5,0)</f>
        <v>fix</v>
      </c>
      <c r="N25" s="266" t="str">
        <f>VLOOKUP(B25,Справочник!A:L,6,0)</f>
        <v>30/360</v>
      </c>
      <c r="O25" s="266">
        <f t="shared" si="0"/>
        <v>4</v>
      </c>
      <c r="P25" s="480">
        <f>Q25-(365/L25)</f>
        <v>45378</v>
      </c>
      <c r="Q25" s="481">
        <f t="shared" si="1"/>
        <v>45743</v>
      </c>
      <c r="S25" s="334">
        <f t="shared" si="2"/>
        <v>46108</v>
      </c>
      <c r="T25" s="335">
        <f>VLOOKUP(B25,Цены!C:K,4,0)</f>
        <v>86.486599999999996</v>
      </c>
      <c r="U25" s="269">
        <f t="shared" si="15"/>
        <v>330086250</v>
      </c>
      <c r="V25" s="374">
        <f t="shared" ca="1" si="12"/>
        <v>186131968.75</v>
      </c>
      <c r="W25" s="336">
        <f t="shared" si="3"/>
        <v>5200006824.999999</v>
      </c>
      <c r="X25" s="391">
        <f t="shared" ca="1" si="4"/>
        <v>5386138793.749999</v>
      </c>
      <c r="Z25" s="266">
        <f t="shared" si="5"/>
        <v>0.12777865030277097</v>
      </c>
      <c r="AA25" s="266">
        <f t="shared" si="16"/>
        <v>0.16753435390603935</v>
      </c>
      <c r="AB25" s="266">
        <f t="shared" si="17"/>
        <v>1.1809757969098089</v>
      </c>
      <c r="AC25" s="266">
        <f t="shared" si="18"/>
        <v>2.1407313621460474E-2</v>
      </c>
      <c r="AD25" s="266">
        <f t="shared" si="19"/>
        <v>0.15090349336937475</v>
      </c>
      <c r="AE25" s="266" t="str">
        <f t="shared" si="20"/>
        <v>Ok</v>
      </c>
      <c r="AF25" s="266" t="str">
        <f t="shared" si="21"/>
        <v>Ok</v>
      </c>
      <c r="AG25" s="292"/>
      <c r="AH25" s="292"/>
      <c r="AI25" s="267"/>
      <c r="AJ25" s="335"/>
      <c r="AK25" s="6"/>
      <c r="AL25" s="6"/>
      <c r="AO25" s="337"/>
    </row>
    <row r="26" spans="2:41" s="266" customFormat="1">
      <c r="B26" s="266" t="s">
        <v>446</v>
      </c>
      <c r="C26" s="267"/>
      <c r="D26" s="266" t="s">
        <v>173</v>
      </c>
      <c r="E26" s="266" t="s">
        <v>762</v>
      </c>
      <c r="F26" s="267">
        <v>45468</v>
      </c>
      <c r="G26" s="267">
        <v>45475</v>
      </c>
      <c r="H26" s="268">
        <v>3607500000</v>
      </c>
      <c r="I26" s="267">
        <f>VLOOKUP(B26,Справочник!A:L,2,0)</f>
        <v>48421</v>
      </c>
      <c r="J26" s="267"/>
      <c r="K26" s="291">
        <f>VLOOKUP(B26,Справочник!A:L,3,0)</f>
        <v>0.1065</v>
      </c>
      <c r="L26" s="266">
        <f>VLOOKUP(B26,Справочник!A:L,4,0)</f>
        <v>1</v>
      </c>
      <c r="M26" s="266" t="str">
        <f>VLOOKUP(B26,Справочник!A:L,5,0)</f>
        <v>fix</v>
      </c>
      <c r="N26" s="266" t="str">
        <f>VLOOKUP(B26,Справочник!A:L,6,0)</f>
        <v>30/360</v>
      </c>
      <c r="O26" s="266">
        <f t="shared" si="0"/>
        <v>4</v>
      </c>
      <c r="P26" s="314">
        <f>Q26-(365/L26)</f>
        <v>45499</v>
      </c>
      <c r="Q26" s="481">
        <f t="shared" si="1"/>
        <v>45864</v>
      </c>
      <c r="S26" s="334">
        <f t="shared" si="2"/>
        <v>46229</v>
      </c>
      <c r="T26" s="335">
        <f>VLOOKUP(B26,Цены!C:K,4,0)</f>
        <v>75.357399999999998</v>
      </c>
      <c r="U26" s="269">
        <f t="shared" si="15"/>
        <v>384198750</v>
      </c>
      <c r="V26" s="374">
        <f t="shared" ca="1" si="12"/>
        <v>89646375</v>
      </c>
      <c r="W26" s="336">
        <f t="shared" si="3"/>
        <v>2718518205</v>
      </c>
      <c r="X26" s="391">
        <f t="shared" ca="1" si="4"/>
        <v>2808164580</v>
      </c>
      <c r="Z26" s="266">
        <f t="shared" si="5"/>
        <v>6.6801563680334533E-2</v>
      </c>
      <c r="AA26" s="266">
        <f t="shared" si="16"/>
        <v>0.1701657954073986</v>
      </c>
      <c r="AB26" s="266">
        <f t="shared" si="17"/>
        <v>4.0632393954712009</v>
      </c>
      <c r="AC26" s="266">
        <f t="shared" si="18"/>
        <v>1.1367341218122115E-2</v>
      </c>
      <c r="AD26" s="266">
        <f t="shared" si="19"/>
        <v>0.27143074522501343</v>
      </c>
      <c r="AE26" s="266" t="str">
        <f t="shared" si="20"/>
        <v>Ok</v>
      </c>
      <c r="AF26" s="266" t="str">
        <f t="shared" si="21"/>
        <v>Ok</v>
      </c>
      <c r="AG26" s="292"/>
      <c r="AH26" s="292"/>
      <c r="AI26" s="267"/>
      <c r="AJ26" s="335"/>
      <c r="AK26" s="6"/>
      <c r="AL26" s="6"/>
      <c r="AO26" s="337"/>
    </row>
    <row r="27" spans="2:41" s="266" customFormat="1">
      <c r="B27" s="266" t="s">
        <v>86</v>
      </c>
      <c r="C27" s="267"/>
      <c r="D27" s="266" t="s">
        <v>173</v>
      </c>
      <c r="E27" s="266" t="s">
        <v>762</v>
      </c>
      <c r="F27" s="267">
        <v>45499</v>
      </c>
      <c r="G27" s="267">
        <v>45503</v>
      </c>
      <c r="H27" s="268">
        <v>2000000000</v>
      </c>
      <c r="I27" s="267" t="str">
        <f>VLOOKUP(B27,Справочник!A:L,2,0)</f>
        <v>06.03.2027</v>
      </c>
      <c r="J27" s="267"/>
      <c r="K27" s="291">
        <f>VLOOKUP(B27,Справочник!A:L,3,0)</f>
        <v>0.09</v>
      </c>
      <c r="L27" s="266">
        <f>VLOOKUP(B27,Справочник!A:L,4,0)</f>
        <v>1</v>
      </c>
      <c r="M27" s="266" t="str">
        <f>VLOOKUP(B27,Справочник!A:L,5,0)</f>
        <v>fix</v>
      </c>
      <c r="N27" s="266" t="str">
        <f>VLOOKUP(B27,Справочник!A:L,6,0)</f>
        <v>30/360</v>
      </c>
      <c r="O27" s="266">
        <f t="shared" si="0"/>
        <v>4</v>
      </c>
      <c r="P27" s="480">
        <f>Q27-(365/L27)</f>
        <v>45357</v>
      </c>
      <c r="Q27" s="481">
        <f t="shared" si="1"/>
        <v>45722</v>
      </c>
      <c r="S27" s="334">
        <f t="shared" si="2"/>
        <v>46087</v>
      </c>
      <c r="T27" s="335">
        <f>VLOOKUP(B27,Цены!C:K,4,0)</f>
        <v>90.932100000000005</v>
      </c>
      <c r="U27" s="269">
        <f t="shared" si="15"/>
        <v>180000000</v>
      </c>
      <c r="V27" s="374">
        <f t="shared" ca="1" si="12"/>
        <v>112000000</v>
      </c>
      <c r="W27" s="336">
        <f t="shared" si="3"/>
        <v>1818642000</v>
      </c>
      <c r="X27" s="391">
        <f t="shared" ca="1" si="4"/>
        <v>1930642000</v>
      </c>
      <c r="Z27" s="266">
        <f t="shared" si="5"/>
        <v>4.4689099065544406E-2</v>
      </c>
      <c r="AA27" s="266">
        <f t="shared" si="16"/>
        <v>0.1676216383069038</v>
      </c>
      <c r="AB27" s="266">
        <f t="shared" si="17"/>
        <v>1.1046781152358633</v>
      </c>
      <c r="AC27" s="266">
        <f t="shared" si="18"/>
        <v>7.4908599998260769E-3</v>
      </c>
      <c r="AD27" s="266">
        <f t="shared" si="19"/>
        <v>4.9367069727314375E-2</v>
      </c>
      <c r="AE27" s="266" t="str">
        <f t="shared" si="20"/>
        <v>Ok</v>
      </c>
      <c r="AF27" s="266" t="str">
        <f t="shared" si="21"/>
        <v>Ok</v>
      </c>
      <c r="AG27" s="292"/>
      <c r="AH27" s="292"/>
      <c r="AI27" s="267"/>
      <c r="AJ27" s="335"/>
      <c r="AK27" s="6"/>
      <c r="AL27" s="6"/>
      <c r="AO27" s="337"/>
    </row>
    <row r="28" spans="2:41" s="266" customFormat="1">
      <c r="B28" s="266" t="s">
        <v>75</v>
      </c>
      <c r="C28" s="267"/>
      <c r="D28" s="266" t="s">
        <v>173</v>
      </c>
      <c r="E28" s="266" t="s">
        <v>762</v>
      </c>
      <c r="F28" s="267">
        <v>45531</v>
      </c>
      <c r="G28" s="267">
        <v>45533</v>
      </c>
      <c r="H28" s="268">
        <v>1000000000</v>
      </c>
      <c r="I28" s="267" t="str">
        <f>VLOOKUP(B28,Справочник!A:L,2,0)</f>
        <v>20.06.2027</v>
      </c>
      <c r="J28" s="267"/>
      <c r="K28" s="291">
        <f>VLOOKUP(B28,Справочник!A:L,3,0)</f>
        <v>7.4700000000000003E-2</v>
      </c>
      <c r="L28" s="266">
        <f>VLOOKUP(B28,Справочник!A:L,4,0)</f>
        <v>1</v>
      </c>
      <c r="M28" s="266" t="str">
        <f>VLOOKUP(B28,Справочник!A:L,5,0)</f>
        <v>fix</v>
      </c>
      <c r="N28" s="266" t="str">
        <f>VLOOKUP(B28,Справочник!A:L,6,0)</f>
        <v>30/360</v>
      </c>
      <c r="O28" s="266">
        <f t="shared" ref="O28:O42" si="22">IF(N28="actual/actual",1,IF(N28="actual/360",2,IF(N28="actual/365",3,IF(N28="30/360",4))))</f>
        <v>4</v>
      </c>
      <c r="P28" s="480">
        <f>Q28-(365/L28)</f>
        <v>45463</v>
      </c>
      <c r="Q28" s="481">
        <f t="shared" si="1"/>
        <v>45828</v>
      </c>
      <c r="S28" s="334">
        <f t="shared" si="2"/>
        <v>46193</v>
      </c>
      <c r="T28" s="335">
        <f>VLOOKUP(B28,Цены!C:K,4,0)</f>
        <v>87.22</v>
      </c>
      <c r="U28" s="269">
        <f t="shared" si="15"/>
        <v>74700000</v>
      </c>
      <c r="V28" s="374">
        <f t="shared" ca="1" si="12"/>
        <v>24900000</v>
      </c>
      <c r="W28" s="336">
        <f t="shared" si="3"/>
        <v>872200000</v>
      </c>
      <c r="X28" s="391">
        <f t="shared" ca="1" si="4"/>
        <v>897100000</v>
      </c>
      <c r="Z28" s="266">
        <f t="shared" si="5"/>
        <v>2.1432383176550322E-2</v>
      </c>
      <c r="AA28" s="266">
        <f t="shared" si="16"/>
        <v>0.16790148343294234</v>
      </c>
      <c r="AB28" s="266">
        <f t="shared" si="17"/>
        <v>1.3627720968181267</v>
      </c>
      <c r="AC28" s="266">
        <f t="shared" si="18"/>
        <v>3.5985289288460358E-3</v>
      </c>
      <c r="AD28" s="266">
        <f t="shared" si="19"/>
        <v>2.9207453761317025E-2</v>
      </c>
      <c r="AE28" s="266" t="str">
        <f t="shared" si="20"/>
        <v>Ok</v>
      </c>
      <c r="AF28" s="266" t="str">
        <f t="shared" si="21"/>
        <v>Ok</v>
      </c>
      <c r="AG28" s="292"/>
      <c r="AH28" s="292"/>
      <c r="AI28" s="267"/>
      <c r="AJ28" s="335"/>
      <c r="AK28" s="6"/>
      <c r="AL28" s="6"/>
      <c r="AO28" s="337"/>
    </row>
    <row r="29" spans="2:41" s="266" customFormat="1">
      <c r="B29" s="266" t="s">
        <v>71</v>
      </c>
      <c r="C29" s="267"/>
      <c r="D29" s="266" t="s">
        <v>173</v>
      </c>
      <c r="E29" s="266" t="s">
        <v>762</v>
      </c>
      <c r="F29" s="267">
        <v>45727</v>
      </c>
      <c r="G29" s="267">
        <v>45729</v>
      </c>
      <c r="H29" s="268">
        <v>1000000000</v>
      </c>
      <c r="I29" s="267" t="str">
        <f>VLOOKUP(B29,Справочник!A:L,2,0)</f>
        <v>10.12.2028</v>
      </c>
      <c r="J29" s="267"/>
      <c r="K29" s="291">
        <f>VLOOKUP(B29,Справочник!A:L,3,0)</f>
        <v>7.22E-2</v>
      </c>
      <c r="L29" s="266">
        <f>VLOOKUP(B29,Справочник!A:L,4,0)</f>
        <v>1</v>
      </c>
      <c r="M29" s="266" t="str">
        <f>VLOOKUP(B29,Справочник!A:L,5,0)</f>
        <v>fix</v>
      </c>
      <c r="N29" s="266" t="str">
        <f>VLOOKUP(B29,Справочник!A:L,6,0)</f>
        <v>30/360</v>
      </c>
      <c r="O29" s="266">
        <f>IF(N29="actual/actual",1,IF(N29="actual/360",2,IF(N29="actual/365",3,IF(N29="30/360",4))))</f>
        <v>4</v>
      </c>
      <c r="P29" s="480">
        <f>Q29-(366/L29)</f>
        <v>45270</v>
      </c>
      <c r="Q29" s="481">
        <f t="shared" si="1"/>
        <v>45636</v>
      </c>
      <c r="S29" s="334">
        <f t="shared" si="2"/>
        <v>46001</v>
      </c>
      <c r="T29" s="335">
        <f>VLOOKUP(B29,Цены!C:K,4,0)</f>
        <v>77.740799999999993</v>
      </c>
      <c r="U29" s="269">
        <f t="shared" si="15"/>
        <v>72200000</v>
      </c>
      <c r="V29" s="374">
        <f ca="1">IF($A$2=DATE(YEAR(TODAY()),2,29),H29*K29*IF(O29=4,DAYS360(Q29,$A$2,1)/360,IF(O29=3,DAYS360(Q29,$A$2,1)/365,IF(O29=2,($A$2-Q29)/360,IF(AND(L29=1,O29=1),($A$2-Q29)/(Q29-COUPPCD(Q29-1,I29,1,3))))))+(H29*K29)/360,H29*K29*IF(O29=4,DAYS360(Q29,$A$2,1)/360,IF(O29=3,DAYS360(Q29,$A$2,1)/365,IF(O29=2,($A$2-Q29)/360,IF(AND(L29=1,O29=1),($A$2-Q29)/(Q29-COUPPCD(Q29-1,I29,1,3)))))))</f>
        <v>62172222.222222224</v>
      </c>
      <c r="W29" s="336">
        <f t="shared" si="3"/>
        <v>777407999.99999988</v>
      </c>
      <c r="X29" s="391">
        <f t="shared" ca="1" si="4"/>
        <v>839580222.22222209</v>
      </c>
      <c r="Z29" s="266">
        <f t="shared" si="5"/>
        <v>1.9103079730011043E-2</v>
      </c>
      <c r="AA29" s="266">
        <f>IFERROR(YIELD($A$2,I29,K29,T29,100,L29,O29),0)</f>
        <v>0.16898871079641645</v>
      </c>
      <c r="AB29" s="266">
        <f>IFERROR(MDURATION($A$2,I29,K29,AA29,L29,O29),0)</f>
        <v>2.2933380094947777</v>
      </c>
      <c r="AC29" s="266">
        <f>Z29*AA29</f>
        <v>3.2282048158157215E-3</v>
      </c>
      <c r="AD29" s="266">
        <f>Z29*AB29</f>
        <v>4.3809818843243559E-2</v>
      </c>
      <c r="AE29" s="266" t="str">
        <f>IF(S29-$A$2&lt;10,"Скоро погашение купона","Ok")</f>
        <v>Ok</v>
      </c>
      <c r="AF29" s="266" t="str">
        <f>IF(I29-$A$2&lt;=0,"Погашено","Ok")</f>
        <v>Ok</v>
      </c>
      <c r="AG29" s="292"/>
      <c r="AH29" s="292"/>
      <c r="AI29" s="267"/>
      <c r="AJ29" s="335"/>
      <c r="AK29" s="6"/>
      <c r="AL29" s="6"/>
      <c r="AO29" s="337"/>
    </row>
    <row r="30" spans="2:41" s="453" customFormat="1">
      <c r="B30" s="453" t="s">
        <v>71</v>
      </c>
      <c r="C30" s="3"/>
      <c r="D30" s="453" t="s">
        <v>173</v>
      </c>
      <c r="E30" s="453" t="s">
        <v>762</v>
      </c>
      <c r="F30" s="3">
        <v>45797</v>
      </c>
      <c r="G30" s="3">
        <v>45799</v>
      </c>
      <c r="H30" s="454">
        <v>1000000000</v>
      </c>
      <c r="I30" s="3" t="str">
        <f>VLOOKUP(B30,Справочник!A:L,2,0)</f>
        <v>10.12.2028</v>
      </c>
      <c r="J30" s="3"/>
      <c r="K30" s="455">
        <f>VLOOKUP(B30,Справочник!A:L,3,0)</f>
        <v>7.22E-2</v>
      </c>
      <c r="L30" s="453">
        <f>VLOOKUP(B30,Справочник!A:L,4,0)</f>
        <v>1</v>
      </c>
      <c r="M30" s="453" t="str">
        <f>VLOOKUP(B30,Справочник!A:L,5,0)</f>
        <v>fix</v>
      </c>
      <c r="N30" s="453" t="str">
        <f>VLOOKUP(B30,Справочник!A:L,6,0)</f>
        <v>30/360</v>
      </c>
      <c r="O30" s="453">
        <f>IF(N30="actual/actual",1,IF(N30="actual/360",2,IF(N30="actual/365",3,IF(N30="30/360",4))))</f>
        <v>4</v>
      </c>
      <c r="P30" s="480">
        <f>Q30-(366/L30)</f>
        <v>45270</v>
      </c>
      <c r="Q30" s="481">
        <f t="shared" si="1"/>
        <v>45636</v>
      </c>
      <c r="S30" s="256">
        <f t="shared" si="2"/>
        <v>46001</v>
      </c>
      <c r="T30" s="456">
        <f>VLOOKUP(B30,Цены!C:K,4,0)</f>
        <v>77.740799999999993</v>
      </c>
      <c r="U30" s="457">
        <f t="shared" si="15"/>
        <v>72200000</v>
      </c>
      <c r="V30" s="460">
        <f ca="1">IF($A$2=DATE(YEAR(TODAY()),2,29),H30*K30*IF(O30=4,DAYS360(Q30,$A$2,1)/360,IF(O30=3,DAYS360(Q30,$A$2,1)/365,IF(O30=2,($A$2-Q30)/360,IF(AND(L30=1,O30=1),($A$2-Q30)/(Q30-COUPPCD(Q30-1,I30,1,3))))))+(H30*K30)/360,H30*K30*IF(O30=4,DAYS360(Q30,$A$2,1)/360,IF(O30=3,DAYS360(Q30,$A$2,1)/365,IF(O30=2,($A$2-Q30)/360,IF(AND(L30=1,O30=1),($A$2-Q30)/(Q30-COUPPCD(Q30-1,I30,1,3)))))))</f>
        <v>62172222.222222224</v>
      </c>
      <c r="W30" s="472">
        <f t="shared" si="3"/>
        <v>777407999.99999988</v>
      </c>
      <c r="X30" s="391">
        <f t="shared" ca="1" si="4"/>
        <v>839580222.22222209</v>
      </c>
      <c r="Z30" s="453">
        <f t="shared" si="5"/>
        <v>1.9103079730011043E-2</v>
      </c>
      <c r="AA30" s="453">
        <f>IFERROR(YIELD($A$2,I30,K30,T30,100,L30,O30),0)</f>
        <v>0.16898871079641645</v>
      </c>
      <c r="AB30" s="453">
        <f>IFERROR(MDURATION($A$2,I30,K30,AA30,L30,O30),0)</f>
        <v>2.2933380094947777</v>
      </c>
      <c r="AC30" s="453">
        <f>Z30*AA30</f>
        <v>3.2282048158157215E-3</v>
      </c>
      <c r="AD30" s="453">
        <f>Z30*AB30</f>
        <v>4.3809818843243559E-2</v>
      </c>
      <c r="AE30" s="453" t="str">
        <f>IF(S30-$A$2&lt;10,"Скоро погашение купона","Ok")</f>
        <v>Ok</v>
      </c>
      <c r="AF30" s="453" t="str">
        <f>IF(I30-$A$2&lt;=0,"Погашено","Ok")</f>
        <v>Ok</v>
      </c>
      <c r="AG30" s="458"/>
      <c r="AH30" s="458"/>
      <c r="AI30" s="3"/>
      <c r="AJ30" s="456"/>
      <c r="AK30" s="456"/>
      <c r="AL30" s="456"/>
      <c r="AO30" s="459"/>
    </row>
    <row r="31" spans="2:41" s="266" customFormat="1">
      <c r="B31" s="266" t="s">
        <v>68</v>
      </c>
      <c r="C31" s="267"/>
      <c r="D31" s="266" t="s">
        <v>173</v>
      </c>
      <c r="E31" s="266" t="s">
        <v>762</v>
      </c>
      <c r="F31" s="267">
        <v>45734</v>
      </c>
      <c r="G31" s="267">
        <v>45736</v>
      </c>
      <c r="H31" s="268">
        <v>1000000000</v>
      </c>
      <c r="I31" s="267" t="str">
        <f>VLOOKUP(B31,Справочник!A:L,2,0)</f>
        <v>24.10.2027</v>
      </c>
      <c r="J31" s="267"/>
      <c r="K31" s="291">
        <f>VLOOKUP(B31,Справочник!A:L,3,0)</f>
        <v>6.5000000000000002E-2</v>
      </c>
      <c r="L31" s="266">
        <f>VLOOKUP(B31,Справочник!A:L,4,0)</f>
        <v>1</v>
      </c>
      <c r="M31" s="266" t="str">
        <f>VLOOKUP(B31,Справочник!A:L,5,0)</f>
        <v>fix</v>
      </c>
      <c r="N31" s="266" t="str">
        <f>VLOOKUP(B31,Справочник!A:L,6,0)</f>
        <v>30/360</v>
      </c>
      <c r="O31" s="266">
        <f t="shared" si="22"/>
        <v>4</v>
      </c>
      <c r="P31" s="480">
        <f>Q31-(366/L31)</f>
        <v>45223</v>
      </c>
      <c r="Q31" s="481">
        <f t="shared" si="1"/>
        <v>45589</v>
      </c>
      <c r="S31" s="334">
        <f t="shared" si="2"/>
        <v>45954</v>
      </c>
      <c r="T31" s="335">
        <f>VLOOKUP(B31,Цены!C:K,4,0)</f>
        <v>83.531400000000005</v>
      </c>
      <c r="U31" s="269">
        <f t="shared" si="15"/>
        <v>65000000</v>
      </c>
      <c r="V31" s="374">
        <f t="shared" ca="1" si="12"/>
        <v>64277777.777777784</v>
      </c>
      <c r="W31" s="336">
        <f t="shared" si="3"/>
        <v>835314000</v>
      </c>
      <c r="X31" s="391">
        <f t="shared" ca="1" si="4"/>
        <v>899591777.77777779</v>
      </c>
      <c r="Z31" s="266">
        <f t="shared" si="5"/>
        <v>2.0525991424830265E-2</v>
      </c>
      <c r="AA31" s="266">
        <f t="shared" si="16"/>
        <v>0.16812129085987576</v>
      </c>
      <c r="AB31" s="266">
        <f t="shared" si="17"/>
        <v>1.5453030548804345</v>
      </c>
      <c r="AC31" s="266">
        <f t="shared" si="18"/>
        <v>3.4508561745212048E-3</v>
      </c>
      <c r="AD31" s="266">
        <f t="shared" si="19"/>
        <v>3.1718877253239811E-2</v>
      </c>
      <c r="AE31" s="266" t="str">
        <f t="shared" si="20"/>
        <v>Скоро погашение купона</v>
      </c>
      <c r="AF31" s="266" t="str">
        <f t="shared" si="21"/>
        <v>Ok</v>
      </c>
      <c r="AG31" s="292"/>
      <c r="AH31" s="292"/>
      <c r="AI31" s="267"/>
      <c r="AJ31" s="335"/>
      <c r="AK31" s="6"/>
      <c r="AL31" s="6"/>
      <c r="AO31" s="337"/>
    </row>
    <row r="32" spans="2:41" s="266" customFormat="1">
      <c r="B32" s="266" t="s">
        <v>75</v>
      </c>
      <c r="C32" s="267"/>
      <c r="D32" s="266" t="s">
        <v>173</v>
      </c>
      <c r="E32" s="266" t="s">
        <v>762</v>
      </c>
      <c r="F32" s="267">
        <v>45743</v>
      </c>
      <c r="G32" s="267">
        <v>45747</v>
      </c>
      <c r="H32" s="268">
        <v>500000000</v>
      </c>
      <c r="I32" s="267" t="str">
        <f>VLOOKUP(B32,Справочник!A:L,2,0)</f>
        <v>20.06.2027</v>
      </c>
      <c r="J32" s="267"/>
      <c r="K32" s="291">
        <f>VLOOKUP(B32,Справочник!A:L,3,0)</f>
        <v>7.4700000000000003E-2</v>
      </c>
      <c r="L32" s="266">
        <f>VLOOKUP(B32,Справочник!A:L,4,0)</f>
        <v>1</v>
      </c>
      <c r="M32" s="266" t="str">
        <f>VLOOKUP(B32,Справочник!A:L,5,0)</f>
        <v>fix</v>
      </c>
      <c r="N32" s="266" t="str">
        <f>VLOOKUP(B32,Справочник!A:L,6,0)</f>
        <v>30/360</v>
      </c>
      <c r="O32" s="266">
        <f t="shared" si="22"/>
        <v>4</v>
      </c>
      <c r="P32" s="480">
        <f>Q32-(365/L32)</f>
        <v>45463</v>
      </c>
      <c r="Q32" s="481">
        <f t="shared" ref="Q32:Q38" si="23">COUPPCD($A$2,I32,L32,4)</f>
        <v>45828</v>
      </c>
      <c r="S32" s="334">
        <f t="shared" ref="S32:S38" si="24">COUPNCD($A$2,I32,L32,0)</f>
        <v>46193</v>
      </c>
      <c r="T32" s="335">
        <f>VLOOKUP(B32,Цены!C:K,4,0)</f>
        <v>87.22</v>
      </c>
      <c r="U32" s="269">
        <f t="shared" ref="U32:U38" si="25">IF(P32="",0,H32*K32*IF(O32=4,DAYS360(P32,Q32,1)/360,IF(O32=3,DAYS360(P32,Q32,1)/365,IF(O32=2,(Q32-P32)/360,IF(AND(L32=1,O32=1),(Q32-P32)/(Q32-COUPPCD(Q32-1,I32,1,3)))))))</f>
        <v>37350000</v>
      </c>
      <c r="V32" s="374">
        <f t="shared" ref="V32:V38" ca="1" si="26">IF($A$2=DATE(YEAR(TODAY()),2,29),H32*K32*IF(O32=4,DAYS360(Q32,$A$2,1)/360,IF(O32=3,DAYS360(Q32,$A$2,1)/365,IF(O32=2,($A$2-Q32)/360,IF(AND(L32=1,O32=1),($A$2-Q32)/(Q32-COUPPCD(Q32-1,I32,1,3))))))+(H32*K32)/360,H32*K32*IF(O32=4,DAYS360(Q32,$A$2,1)/360,IF(O32=3,DAYS360(Q32,$A$2,1)/365,IF(O32=2,($A$2-Q32)/360,IF(AND(L32=1,O32=1),($A$2-Q32)/(Q32-COUPPCD(Q32-1,I32,1,3)))))))</f>
        <v>12450000</v>
      </c>
      <c r="W32" s="336">
        <f t="shared" ref="W32:W38" si="27">T32/100*H32</f>
        <v>436100000</v>
      </c>
      <c r="X32" s="391">
        <f t="shared" ref="X32:X38" ca="1" si="28">SUM(V32:W32)</f>
        <v>448550000</v>
      </c>
      <c r="Z32" s="266">
        <f t="shared" si="5"/>
        <v>1.0716191588275161E-2</v>
      </c>
      <c r="AA32" s="266">
        <f t="shared" ref="AA32:AA40" si="29">IFERROR(YIELD($A$2,I32,K32,T32,100,L32,O32),0)</f>
        <v>0.16790148343294234</v>
      </c>
      <c r="AB32" s="266">
        <f t="shared" ref="AB32:AB40" si="30">IFERROR(MDURATION($A$2,I32,K32,AA32,L32,O32),0)</f>
        <v>1.3627720968181267</v>
      </c>
      <c r="AC32" s="266">
        <f t="shared" ref="AC32:AC40" si="31">Z32*AA32</f>
        <v>1.7992644644230179E-3</v>
      </c>
      <c r="AD32" s="266">
        <f t="shared" ref="AD32:AD40" si="32">Z32*AB32</f>
        <v>1.4603726880658512E-2</v>
      </c>
      <c r="AE32" s="266" t="str">
        <f t="shared" ref="AE32:AE40" si="33">IF(S32-$A$2&lt;10,"Скоро погашение купона","Ok")</f>
        <v>Ok</v>
      </c>
      <c r="AF32" s="266" t="str">
        <f t="shared" ref="AF32:AF40" si="34">IF(I32-$A$2&lt;=0,"Погашено","Ok")</f>
        <v>Ok</v>
      </c>
      <c r="AG32" s="292"/>
      <c r="AH32" s="292"/>
      <c r="AI32" s="267"/>
      <c r="AJ32" s="335"/>
      <c r="AK32" s="6"/>
      <c r="AL32" s="6"/>
      <c r="AO32" s="337"/>
    </row>
    <row r="33" spans="2:41" s="266" customFormat="1">
      <c r="B33" s="266" t="s">
        <v>498</v>
      </c>
      <c r="C33" s="267"/>
      <c r="D33" s="266" t="s">
        <v>173</v>
      </c>
      <c r="E33" s="266" t="s">
        <v>762</v>
      </c>
      <c r="F33" s="267">
        <v>45751</v>
      </c>
      <c r="G33" s="267">
        <v>45755</v>
      </c>
      <c r="H33" s="268">
        <v>500000000</v>
      </c>
      <c r="I33" s="267">
        <f>VLOOKUP(B33,Справочник!A:L,2,0)</f>
        <v>46709</v>
      </c>
      <c r="J33" s="267"/>
      <c r="K33" s="291">
        <f>VLOOKUP(B33,Справочник!A:L,3,0)</f>
        <v>0.1535</v>
      </c>
      <c r="L33" s="266">
        <f>VLOOKUP(B33,Справочник!A:L,4,0)</f>
        <v>2</v>
      </c>
      <c r="M33" s="266" t="str">
        <f>VLOOKUP(B33,Справочник!A:L,5,0)</f>
        <v>fix</v>
      </c>
      <c r="N33" s="266" t="str">
        <f>VLOOKUP(B33,Справочник!A:L,6,0)</f>
        <v>30/360</v>
      </c>
      <c r="O33" s="266">
        <f t="shared" si="22"/>
        <v>4</v>
      </c>
      <c r="P33" s="480">
        <f>Q33-(362/L33)</f>
        <v>45614</v>
      </c>
      <c r="Q33" s="481">
        <f t="shared" si="23"/>
        <v>45795</v>
      </c>
      <c r="S33" s="334">
        <f t="shared" si="24"/>
        <v>45979</v>
      </c>
      <c r="T33" s="335">
        <f>VLOOKUP(B33,Цены!C:K,4,0)</f>
        <v>98.551900000000003</v>
      </c>
      <c r="U33" s="269">
        <f t="shared" si="25"/>
        <v>38375000</v>
      </c>
      <c r="V33" s="374">
        <f t="shared" ca="1" si="26"/>
        <v>32405555.555555556</v>
      </c>
      <c r="W33" s="336">
        <f t="shared" si="27"/>
        <v>492759500</v>
      </c>
      <c r="X33" s="391">
        <f t="shared" ca="1" si="28"/>
        <v>525165055.55555558</v>
      </c>
      <c r="Z33" s="266">
        <f t="shared" si="5"/>
        <v>1.2108473306449609E-2</v>
      </c>
      <c r="AA33" s="266">
        <f t="shared" si="29"/>
        <v>0.16175011005910009</v>
      </c>
      <c r="AB33" s="266">
        <f t="shared" si="30"/>
        <v>1.612418999380494</v>
      </c>
      <c r="AC33" s="266">
        <f t="shared" si="31"/>
        <v>1.9585468899658998E-3</v>
      </c>
      <c r="AD33" s="266">
        <f t="shared" si="32"/>
        <v>1.9523932412810901E-2</v>
      </c>
      <c r="AE33" s="266" t="str">
        <f t="shared" si="33"/>
        <v>Ok</v>
      </c>
      <c r="AF33" s="266" t="str">
        <f t="shared" si="34"/>
        <v>Ok</v>
      </c>
      <c r="AG33" s="292"/>
      <c r="AH33" s="292"/>
      <c r="AI33" s="267"/>
      <c r="AJ33" s="335"/>
      <c r="AK33" s="6"/>
      <c r="AL33" s="6"/>
      <c r="AO33" s="337"/>
    </row>
    <row r="34" spans="2:41" s="266" customFormat="1">
      <c r="B34" s="266" t="s">
        <v>71</v>
      </c>
      <c r="C34" s="267"/>
      <c r="D34" s="266" t="s">
        <v>173</v>
      </c>
      <c r="E34" s="266" t="s">
        <v>762</v>
      </c>
      <c r="F34" s="267">
        <v>45804</v>
      </c>
      <c r="G34" s="267">
        <v>45806</v>
      </c>
      <c r="H34" s="268">
        <v>1000000000</v>
      </c>
      <c r="I34" s="267" t="str">
        <f>VLOOKUP(B34,Справочник!A:L,2,0)</f>
        <v>10.12.2028</v>
      </c>
      <c r="J34" s="267"/>
      <c r="K34" s="291">
        <f>VLOOKUP(B34,Справочник!A:L,3,0)</f>
        <v>7.22E-2</v>
      </c>
      <c r="L34" s="266">
        <f>VLOOKUP(B34,Справочник!A:L,4,0)</f>
        <v>1</v>
      </c>
      <c r="M34" s="266" t="str">
        <f>VLOOKUP(B34,Справочник!A:L,5,0)</f>
        <v>fix</v>
      </c>
      <c r="N34" s="266" t="str">
        <f>VLOOKUP(B34,Справочник!A:L,6,0)</f>
        <v>30/360</v>
      </c>
      <c r="O34" s="266">
        <f t="shared" si="22"/>
        <v>4</v>
      </c>
      <c r="P34" s="480">
        <f>Q34-(362/L34)</f>
        <v>45274</v>
      </c>
      <c r="Q34" s="481">
        <f t="shared" si="23"/>
        <v>45636</v>
      </c>
      <c r="S34" s="334">
        <f t="shared" si="24"/>
        <v>46001</v>
      </c>
      <c r="T34" s="335">
        <f>VLOOKUP(B34,Цены!C:K,4,0)</f>
        <v>77.740799999999993</v>
      </c>
      <c r="U34" s="269">
        <f t="shared" si="25"/>
        <v>71397777.777777776</v>
      </c>
      <c r="V34" s="374">
        <f t="shared" ca="1" si="26"/>
        <v>62172222.222222224</v>
      </c>
      <c r="W34" s="336">
        <f t="shared" si="27"/>
        <v>777407999.99999988</v>
      </c>
      <c r="X34" s="391">
        <f t="shared" ca="1" si="28"/>
        <v>839580222.22222209</v>
      </c>
      <c r="Z34" s="266">
        <f t="shared" si="5"/>
        <v>1.9103079730011043E-2</v>
      </c>
      <c r="AA34" s="266">
        <f t="shared" si="29"/>
        <v>0.16898871079641645</v>
      </c>
      <c r="AB34" s="266">
        <f t="shared" si="30"/>
        <v>2.2933380094947777</v>
      </c>
      <c r="AC34" s="266">
        <f t="shared" si="31"/>
        <v>3.2282048158157215E-3</v>
      </c>
      <c r="AD34" s="266">
        <f t="shared" si="32"/>
        <v>4.3809818843243559E-2</v>
      </c>
      <c r="AE34" s="266" t="str">
        <f t="shared" si="33"/>
        <v>Ok</v>
      </c>
      <c r="AF34" s="266" t="str">
        <f t="shared" si="34"/>
        <v>Ok</v>
      </c>
      <c r="AG34" s="292"/>
      <c r="AH34" s="292"/>
      <c r="AI34" s="267"/>
      <c r="AJ34" s="335"/>
      <c r="AK34" s="6"/>
      <c r="AL34" s="6"/>
      <c r="AO34" s="337"/>
    </row>
    <row r="35" spans="2:41" s="266" customFormat="1">
      <c r="B35" s="266" t="s">
        <v>60</v>
      </c>
      <c r="C35" s="267"/>
      <c r="D35" s="266" t="s">
        <v>173</v>
      </c>
      <c r="E35" s="266" t="s">
        <v>762</v>
      </c>
      <c r="F35" s="267">
        <v>45811</v>
      </c>
      <c r="G35" s="267">
        <v>45813</v>
      </c>
      <c r="H35" s="268">
        <v>500000000</v>
      </c>
      <c r="I35" s="267" t="str">
        <f>VLOOKUP(B35,Справочник!A:L,2,0)</f>
        <v>18.04.2028</v>
      </c>
      <c r="J35" s="267"/>
      <c r="K35" s="291">
        <f>VLOOKUP(B35,Справочник!A:L,3,0)</f>
        <v>0.05</v>
      </c>
      <c r="L35" s="266">
        <f>VLOOKUP(B35,Справочник!A:L,4,0)</f>
        <v>1</v>
      </c>
      <c r="M35" s="266" t="str">
        <f>VLOOKUP(B35,Справочник!A:L,5,0)</f>
        <v>fix</v>
      </c>
      <c r="N35" s="266" t="str">
        <f>VLOOKUP(B35,Справочник!A:L,6,0)</f>
        <v>30/360</v>
      </c>
      <c r="O35" s="266">
        <f t="shared" si="22"/>
        <v>4</v>
      </c>
      <c r="P35" s="480">
        <f t="shared" ref="P35:P40" si="35">Q35-(365/L35)</f>
        <v>45400</v>
      </c>
      <c r="Q35" s="481">
        <f t="shared" si="23"/>
        <v>45765</v>
      </c>
      <c r="S35" s="334">
        <f t="shared" si="24"/>
        <v>46130</v>
      </c>
      <c r="T35" s="335">
        <f>VLOOKUP(B35,Цены!C:K,4,0)</f>
        <v>77.265900000000002</v>
      </c>
      <c r="U35" s="269">
        <f t="shared" si="25"/>
        <v>25000000</v>
      </c>
      <c r="V35" s="374">
        <f t="shared" ca="1" si="26"/>
        <v>12638888.888888888</v>
      </c>
      <c r="W35" s="336">
        <f t="shared" si="27"/>
        <v>386329500</v>
      </c>
      <c r="X35" s="391">
        <f t="shared" ca="1" si="28"/>
        <v>398968388.8888889</v>
      </c>
      <c r="Z35" s="266">
        <f t="shared" ref="Z35:Z66" si="36">IFERROR(W35/SUMIFS($W:$W,$D:$D,D35,$E:$E,E35),0)</f>
        <v>9.4931917867520036E-3</v>
      </c>
      <c r="AA35" s="266">
        <f t="shared" si="29"/>
        <v>0.16849908225741811</v>
      </c>
      <c r="AB35" s="266">
        <f t="shared" si="30"/>
        <v>1.9929468826123538</v>
      </c>
      <c r="AC35" s="266">
        <f t="shared" si="31"/>
        <v>1.5995941037613719E-3</v>
      </c>
      <c r="AD35" s="266">
        <f t="shared" si="32"/>
        <v>1.8919426977448608E-2</v>
      </c>
      <c r="AE35" s="266" t="str">
        <f t="shared" si="33"/>
        <v>Ok</v>
      </c>
      <c r="AF35" s="266" t="str">
        <f t="shared" si="34"/>
        <v>Ok</v>
      </c>
      <c r="AG35" s="292"/>
      <c r="AH35" s="292"/>
      <c r="AI35" s="267"/>
      <c r="AJ35" s="335"/>
      <c r="AK35" s="6"/>
      <c r="AL35" s="6"/>
      <c r="AO35" s="337"/>
    </row>
    <row r="36" spans="2:41" s="266" customFormat="1">
      <c r="B36" s="266" t="s">
        <v>390</v>
      </c>
      <c r="C36" s="267"/>
      <c r="D36" s="266" t="s">
        <v>173</v>
      </c>
      <c r="E36" s="266" t="s">
        <v>762</v>
      </c>
      <c r="F36" s="267">
        <v>45825</v>
      </c>
      <c r="G36" s="267">
        <v>45827</v>
      </c>
      <c r="H36" s="268">
        <v>500000000</v>
      </c>
      <c r="I36" s="267">
        <f>VLOOKUP(B36,Справочник!A:L,2,0)</f>
        <v>47053</v>
      </c>
      <c r="J36" s="267"/>
      <c r="K36" s="291">
        <f>VLOOKUP(B36,Справочник!A:L,3,0)</f>
        <v>0.1047</v>
      </c>
      <c r="L36" s="266">
        <f>VLOOKUP(B36,Справочник!A:L,4,0)</f>
        <v>1</v>
      </c>
      <c r="M36" s="266" t="str">
        <f>VLOOKUP(B36,Справочник!A:L,5,0)</f>
        <v>fix</v>
      </c>
      <c r="N36" s="266" t="str">
        <f>VLOOKUP(B36,Справочник!A:L,6,0)</f>
        <v>30/360</v>
      </c>
      <c r="O36" s="266">
        <f t="shared" si="22"/>
        <v>4</v>
      </c>
      <c r="P36" s="480">
        <f t="shared" si="35"/>
        <v>45227</v>
      </c>
      <c r="Q36" s="481">
        <f t="shared" si="23"/>
        <v>45592</v>
      </c>
      <c r="S36" s="334">
        <f t="shared" si="24"/>
        <v>45957</v>
      </c>
      <c r="T36" s="335">
        <f>VLOOKUP(B36,Цены!C:K,4,0)</f>
        <v>85.716800000000006</v>
      </c>
      <c r="U36" s="269">
        <f t="shared" si="25"/>
        <v>52204583.333333336</v>
      </c>
      <c r="V36" s="374">
        <f t="shared" ca="1" si="26"/>
        <v>51332083.333333328</v>
      </c>
      <c r="W36" s="336">
        <f t="shared" si="27"/>
        <v>428584000</v>
      </c>
      <c r="X36" s="391">
        <f t="shared" ca="1" si="28"/>
        <v>479916083.33333331</v>
      </c>
      <c r="Z36" s="266">
        <f t="shared" si="36"/>
        <v>1.0531502535357307E-2</v>
      </c>
      <c r="AA36" s="266">
        <f t="shared" si="29"/>
        <v>0.16882105329628416</v>
      </c>
      <c r="AB36" s="266">
        <f t="shared" si="30"/>
        <v>2.0768784650370322</v>
      </c>
      <c r="AC36" s="266">
        <f t="shared" si="31"/>
        <v>1.7779393508115077E-3</v>
      </c>
      <c r="AD36" s="266">
        <f t="shared" si="32"/>
        <v>2.1872650820166498E-2</v>
      </c>
      <c r="AE36" s="266" t="str">
        <f t="shared" si="33"/>
        <v>Скоро погашение купона</v>
      </c>
      <c r="AF36" s="266" t="str">
        <f t="shared" si="34"/>
        <v>Ok</v>
      </c>
      <c r="AG36" s="292"/>
      <c r="AH36" s="292"/>
      <c r="AI36" s="267"/>
      <c r="AJ36" s="335"/>
      <c r="AK36" s="6"/>
      <c r="AL36" s="6"/>
      <c r="AO36" s="337"/>
    </row>
    <row r="37" spans="2:41" s="266" customFormat="1">
      <c r="B37" s="266" t="s">
        <v>390</v>
      </c>
      <c r="C37" s="267"/>
      <c r="D37" s="266" t="s">
        <v>173</v>
      </c>
      <c r="E37" s="266" t="s">
        <v>762</v>
      </c>
      <c r="F37" s="267">
        <v>45825</v>
      </c>
      <c r="G37" s="267">
        <v>45827</v>
      </c>
      <c r="H37" s="268">
        <v>500000000</v>
      </c>
      <c r="I37" s="267">
        <f>VLOOKUP(B37,Справочник!A:L,2,0)</f>
        <v>47053</v>
      </c>
      <c r="J37" s="267"/>
      <c r="K37" s="291">
        <f>VLOOKUP(B37,Справочник!A:L,3,0)</f>
        <v>0.1047</v>
      </c>
      <c r="L37" s="266">
        <f>VLOOKUP(B37,Справочник!A:L,4,0)</f>
        <v>1</v>
      </c>
      <c r="M37" s="266" t="str">
        <f>VLOOKUP(B37,Справочник!A:L,5,0)</f>
        <v>fix</v>
      </c>
      <c r="N37" s="266" t="str">
        <f>VLOOKUP(B37,Справочник!A:L,6,0)</f>
        <v>30/360</v>
      </c>
      <c r="O37" s="266">
        <f t="shared" si="22"/>
        <v>4</v>
      </c>
      <c r="P37" s="480">
        <f t="shared" si="35"/>
        <v>45227</v>
      </c>
      <c r="Q37" s="481">
        <f t="shared" si="23"/>
        <v>45592</v>
      </c>
      <c r="S37" s="334">
        <f t="shared" si="24"/>
        <v>45957</v>
      </c>
      <c r="T37" s="335">
        <f>VLOOKUP(B37,Цены!C:K,4,0)</f>
        <v>85.716800000000006</v>
      </c>
      <c r="U37" s="269">
        <f t="shared" si="25"/>
        <v>52204583.333333336</v>
      </c>
      <c r="V37" s="374">
        <f t="shared" ca="1" si="26"/>
        <v>51332083.333333328</v>
      </c>
      <c r="W37" s="336">
        <f t="shared" si="27"/>
        <v>428584000</v>
      </c>
      <c r="X37" s="391">
        <f t="shared" ca="1" si="28"/>
        <v>479916083.33333331</v>
      </c>
      <c r="Z37" s="266">
        <f t="shared" si="36"/>
        <v>1.0531502535357307E-2</v>
      </c>
      <c r="AA37" s="266">
        <f t="shared" si="29"/>
        <v>0.16882105329628416</v>
      </c>
      <c r="AB37" s="266">
        <f t="shared" si="30"/>
        <v>2.0768784650370322</v>
      </c>
      <c r="AC37" s="266">
        <f t="shared" si="31"/>
        <v>1.7779393508115077E-3</v>
      </c>
      <c r="AD37" s="266">
        <f t="shared" si="32"/>
        <v>2.1872650820166498E-2</v>
      </c>
      <c r="AE37" s="266" t="str">
        <f t="shared" si="33"/>
        <v>Скоро погашение купона</v>
      </c>
      <c r="AF37" s="266" t="str">
        <f t="shared" si="34"/>
        <v>Ok</v>
      </c>
      <c r="AG37" s="292"/>
      <c r="AH37" s="292"/>
      <c r="AI37" s="267"/>
      <c r="AJ37" s="335"/>
      <c r="AK37" s="6"/>
      <c r="AL37" s="6"/>
      <c r="AO37" s="337"/>
    </row>
    <row r="38" spans="2:41" s="266" customFormat="1">
      <c r="B38" s="266" t="s">
        <v>390</v>
      </c>
      <c r="C38" s="267"/>
      <c r="D38" s="266" t="s">
        <v>173</v>
      </c>
      <c r="E38" s="266" t="s">
        <v>762</v>
      </c>
      <c r="F38" s="267">
        <v>45834</v>
      </c>
      <c r="G38" s="267">
        <v>45838</v>
      </c>
      <c r="H38" s="268">
        <v>500000000</v>
      </c>
      <c r="I38" s="267">
        <f>VLOOKUP(B38,Справочник!A:L,2,0)</f>
        <v>47053</v>
      </c>
      <c r="J38" s="267"/>
      <c r="K38" s="291">
        <f>VLOOKUP(B38,Справочник!A:L,3,0)</f>
        <v>0.1047</v>
      </c>
      <c r="L38" s="266">
        <f>VLOOKUP(B38,Справочник!A:L,4,0)</f>
        <v>1</v>
      </c>
      <c r="M38" s="266" t="str">
        <f>VLOOKUP(B38,Справочник!A:L,5,0)</f>
        <v>fix</v>
      </c>
      <c r="N38" s="266" t="str">
        <f>VLOOKUP(B38,Справочник!A:L,6,0)</f>
        <v>30/360</v>
      </c>
      <c r="O38" s="266">
        <f t="shared" si="22"/>
        <v>4</v>
      </c>
      <c r="P38" s="480">
        <f t="shared" si="35"/>
        <v>45227</v>
      </c>
      <c r="Q38" s="481">
        <f t="shared" si="23"/>
        <v>45592</v>
      </c>
      <c r="S38" s="334">
        <f t="shared" si="24"/>
        <v>45957</v>
      </c>
      <c r="T38" s="335">
        <f>VLOOKUP(B38,Цены!C:K,4,0)</f>
        <v>85.716800000000006</v>
      </c>
      <c r="U38" s="269">
        <f t="shared" si="25"/>
        <v>52204583.333333336</v>
      </c>
      <c r="V38" s="374">
        <f t="shared" ca="1" si="26"/>
        <v>51332083.333333328</v>
      </c>
      <c r="W38" s="336">
        <f t="shared" si="27"/>
        <v>428584000</v>
      </c>
      <c r="X38" s="391">
        <f t="shared" ca="1" si="28"/>
        <v>479916083.33333331</v>
      </c>
      <c r="Z38" s="266">
        <f t="shared" si="36"/>
        <v>1.0531502535357307E-2</v>
      </c>
      <c r="AA38" s="266">
        <f t="shared" si="29"/>
        <v>0.16882105329628416</v>
      </c>
      <c r="AB38" s="266">
        <f t="shared" si="30"/>
        <v>2.0768784650370322</v>
      </c>
      <c r="AC38" s="266">
        <f t="shared" si="31"/>
        <v>1.7779393508115077E-3</v>
      </c>
      <c r="AD38" s="266">
        <f t="shared" si="32"/>
        <v>2.1872650820166498E-2</v>
      </c>
      <c r="AE38" s="266" t="str">
        <f t="shared" si="33"/>
        <v>Скоро погашение купона</v>
      </c>
      <c r="AF38" s="266" t="str">
        <f t="shared" si="34"/>
        <v>Ok</v>
      </c>
      <c r="AG38" s="292"/>
      <c r="AH38" s="292"/>
      <c r="AI38" s="267"/>
      <c r="AJ38" s="335"/>
      <c r="AK38" s="6"/>
      <c r="AL38" s="6"/>
      <c r="AO38" s="337"/>
    </row>
    <row r="39" spans="2:41" s="266" customFormat="1">
      <c r="B39" s="266" t="s">
        <v>71</v>
      </c>
      <c r="C39" s="267"/>
      <c r="D39" s="266" t="s">
        <v>173</v>
      </c>
      <c r="E39" s="266" t="s">
        <v>762</v>
      </c>
      <c r="F39" s="267">
        <v>45839</v>
      </c>
      <c r="G39" s="267">
        <v>45841</v>
      </c>
      <c r="H39" s="268">
        <v>500000000</v>
      </c>
      <c r="I39" s="267" t="str">
        <f>VLOOKUP(B39,Справочник!A:L,2,0)</f>
        <v>10.12.2028</v>
      </c>
      <c r="J39" s="267"/>
      <c r="K39" s="291">
        <f>VLOOKUP(B39,Справочник!A:L,3,0)</f>
        <v>7.22E-2</v>
      </c>
      <c r="L39" s="266">
        <f>VLOOKUP(B39,Справочник!A:L,4,0)</f>
        <v>1</v>
      </c>
      <c r="M39" s="266" t="str">
        <f>VLOOKUP(B39,Справочник!A:L,5,0)</f>
        <v>fix</v>
      </c>
      <c r="N39" s="266" t="str">
        <f>VLOOKUP(B39,Справочник!A:L,6,0)</f>
        <v>30/360</v>
      </c>
      <c r="O39" s="266">
        <f>IF(N39="actual/actual",1,IF(N39="actual/360",2,IF(N39="actual/365",3,IF(N39="30/360",4))))</f>
        <v>4</v>
      </c>
      <c r="P39" s="480">
        <f t="shared" si="35"/>
        <v>45271</v>
      </c>
      <c r="Q39" s="481">
        <f>COUPPCD($A$2,I39,L39,4)</f>
        <v>45636</v>
      </c>
      <c r="S39" s="334">
        <f>COUPNCD($A$2,I39,L39,0)</f>
        <v>46001</v>
      </c>
      <c r="T39" s="335">
        <f>VLOOKUP(B39,Цены!C:K,4,0)</f>
        <v>77.740799999999993</v>
      </c>
      <c r="U39" s="269">
        <f>IF(P39="",0,H39*K39*IF(O39=4,DAYS360(P39,Q39,1)/360,IF(O39=3,DAYS360(P39,Q39,1)/365,IF(O39=2,(Q39-P39)/360,IF(AND(L39=1,O39=1),(Q39-P39)/(Q39-COUPPCD(Q39-1,I39,1,3)))))))</f>
        <v>35999722.222222224</v>
      </c>
      <c r="V39" s="374">
        <f ca="1">IF($A$2=DATE(YEAR(TODAY()),2,29),H39*K39*IF(O39=4,DAYS360(Q39,$A$2,1)/360,IF(O39=3,DAYS360(Q39,$A$2,1)/365,IF(O39=2,($A$2-Q39)/360,IF(AND(L39=1,O39=1),($A$2-Q39)/(Q39-COUPPCD(Q39-1,I39,1,3))))))+(H39*K39)/360,H39*K39*IF(O39=4,DAYS360(Q39,$A$2,1)/360,IF(O39=3,DAYS360(Q39,$A$2,1)/365,IF(O39=2,($A$2-Q39)/360,IF(AND(L39=1,O39=1),($A$2-Q39)/(Q39-COUPPCD(Q39-1,I39,1,3)))))))</f>
        <v>31086111.111111112</v>
      </c>
      <c r="W39" s="336">
        <f>T39/100*H39</f>
        <v>388703999.99999994</v>
      </c>
      <c r="X39" s="391">
        <f ca="1">SUM(V39:W39)</f>
        <v>419790111.11111104</v>
      </c>
      <c r="Z39" s="266">
        <f t="shared" si="36"/>
        <v>9.5515398650055216E-3</v>
      </c>
      <c r="AA39" s="266">
        <f t="shared" si="29"/>
        <v>0.16898871079641645</v>
      </c>
      <c r="AB39" s="266">
        <f t="shared" si="30"/>
        <v>2.2933380094947777</v>
      </c>
      <c r="AC39" s="266">
        <f t="shared" si="31"/>
        <v>1.6141024079078608E-3</v>
      </c>
      <c r="AD39" s="266">
        <f t="shared" si="32"/>
        <v>2.1904909421621779E-2</v>
      </c>
      <c r="AE39" s="266" t="str">
        <f t="shared" si="33"/>
        <v>Ok</v>
      </c>
      <c r="AF39" s="266" t="str">
        <f t="shared" si="34"/>
        <v>Ok</v>
      </c>
      <c r="AG39" s="292"/>
      <c r="AH39" s="292"/>
      <c r="AI39" s="267"/>
      <c r="AJ39" s="335"/>
      <c r="AK39" s="6"/>
      <c r="AL39" s="6"/>
      <c r="AO39" s="337"/>
    </row>
    <row r="40" spans="2:41" s="266" customFormat="1">
      <c r="B40" s="266" t="s">
        <v>71</v>
      </c>
      <c r="C40" s="267"/>
      <c r="D40" s="266" t="s">
        <v>173</v>
      </c>
      <c r="E40" s="266" t="s">
        <v>762</v>
      </c>
      <c r="F40" s="267">
        <v>45839</v>
      </c>
      <c r="G40" s="267">
        <v>45841</v>
      </c>
      <c r="H40" s="268">
        <v>500000000</v>
      </c>
      <c r="I40" s="267" t="str">
        <f>VLOOKUP(B40,Справочник!A:L,2,0)</f>
        <v>10.12.2028</v>
      </c>
      <c r="J40" s="267"/>
      <c r="K40" s="291">
        <f>VLOOKUP(B40,Справочник!A:L,3,0)</f>
        <v>7.22E-2</v>
      </c>
      <c r="L40" s="266">
        <f>VLOOKUP(B40,Справочник!A:L,4,0)</f>
        <v>1</v>
      </c>
      <c r="M40" s="266" t="str">
        <f>VLOOKUP(B40,Справочник!A:L,5,0)</f>
        <v>fix</v>
      </c>
      <c r="N40" s="266" t="str">
        <f>VLOOKUP(B40,Справочник!A:L,6,0)</f>
        <v>30/360</v>
      </c>
      <c r="O40" s="266">
        <f>IF(N40="actual/actual",1,IF(N40="actual/360",2,IF(N40="actual/365",3,IF(N40="30/360",4))))</f>
        <v>4</v>
      </c>
      <c r="P40" s="480">
        <f t="shared" si="35"/>
        <v>45271</v>
      </c>
      <c r="Q40" s="481">
        <f>COUPPCD($A$2,I40,L40,4)</f>
        <v>45636</v>
      </c>
      <c r="S40" s="334">
        <f>COUPNCD($A$2,I40,L40,0)</f>
        <v>46001</v>
      </c>
      <c r="T40" s="335">
        <f>VLOOKUP(B40,Цены!C:K,4,0)</f>
        <v>77.740799999999993</v>
      </c>
      <c r="U40" s="269">
        <f>IF(P40="",0,H40*K40*IF(O40=4,DAYS360(P40,Q40,1)/360,IF(O40=3,DAYS360(P40,Q40,1)/365,IF(O40=2,(Q40-P40)/360,IF(AND(L40=1,O40=1),(Q40-P40)/(Q40-COUPPCD(Q40-1,I40,1,3)))))))</f>
        <v>35999722.222222224</v>
      </c>
      <c r="V40" s="374">
        <f ca="1">IF($A$2=DATE(YEAR(TODAY()),2,29),H40*K40*IF(O40=4,DAYS360(Q40,$A$2,1)/360,IF(O40=3,DAYS360(Q40,$A$2,1)/365,IF(O40=2,($A$2-Q40)/360,IF(AND(L40=1,O40=1),($A$2-Q40)/(Q40-COUPPCD(Q40-1,I40,1,3))))))+(H40*K40)/360,H40*K40*IF(O40=4,DAYS360(Q40,$A$2,1)/360,IF(O40=3,DAYS360(Q40,$A$2,1)/365,IF(O40=2,($A$2-Q40)/360,IF(AND(L40=1,O40=1),($A$2-Q40)/(Q40-COUPPCD(Q40-1,I40,1,3)))))))</f>
        <v>31086111.111111112</v>
      </c>
      <c r="W40" s="336">
        <f>T40/100*H40</f>
        <v>388703999.99999994</v>
      </c>
      <c r="X40" s="391">
        <f ca="1">SUM(V40:W40)</f>
        <v>419790111.11111104</v>
      </c>
      <c r="Z40" s="266">
        <f t="shared" si="36"/>
        <v>9.5515398650055216E-3</v>
      </c>
      <c r="AA40" s="266">
        <f t="shared" si="29"/>
        <v>0.16898871079641645</v>
      </c>
      <c r="AB40" s="266">
        <f t="shared" si="30"/>
        <v>2.2933380094947777</v>
      </c>
      <c r="AC40" s="266">
        <f t="shared" si="31"/>
        <v>1.6141024079078608E-3</v>
      </c>
      <c r="AD40" s="266">
        <f t="shared" si="32"/>
        <v>2.1904909421621779E-2</v>
      </c>
      <c r="AE40" s="266" t="str">
        <f t="shared" si="33"/>
        <v>Ok</v>
      </c>
      <c r="AF40" s="266" t="str">
        <f t="shared" si="34"/>
        <v>Ok</v>
      </c>
      <c r="AG40" s="292"/>
      <c r="AH40" s="292"/>
      <c r="AI40" s="267"/>
      <c r="AJ40" s="335"/>
      <c r="AK40" s="6"/>
      <c r="AL40" s="6"/>
      <c r="AO40" s="337"/>
    </row>
    <row r="41" spans="2:41" s="207" customFormat="1">
      <c r="B41" s="207" t="s">
        <v>473</v>
      </c>
      <c r="C41" s="208"/>
      <c r="D41" s="207" t="s">
        <v>173</v>
      </c>
      <c r="E41" s="207" t="s">
        <v>760</v>
      </c>
      <c r="F41" s="208">
        <v>44636</v>
      </c>
      <c r="G41" s="208">
        <v>44638</v>
      </c>
      <c r="H41" s="195">
        <v>3020000000</v>
      </c>
      <c r="I41" s="208">
        <f>VLOOKUP(B41,Справочник!A:L,2,0)</f>
        <v>46043</v>
      </c>
      <c r="J41" s="208"/>
      <c r="K41" s="365">
        <f>VLOOKUP(B41,Справочник!A:L,3,0)</f>
        <v>0.1067</v>
      </c>
      <c r="L41" s="207">
        <f>VLOOKUP(B41,Справочник!A:L,4,0)</f>
        <v>2</v>
      </c>
      <c r="M41" s="207" t="str">
        <f>VLOOKUP(B41,Справочник!A:L,5,0)</f>
        <v>fix</v>
      </c>
      <c r="N41" s="207" t="str">
        <f>VLOOKUP(B41,Справочник!A:L,6,0)</f>
        <v>30/360</v>
      </c>
      <c r="O41" s="207">
        <f t="shared" si="22"/>
        <v>4</v>
      </c>
      <c r="P41" s="314">
        <f>Q41-(362/L41)</f>
        <v>45678</v>
      </c>
      <c r="Q41" s="338">
        <f>COUPPCD($A$2,I41,L41,4)</f>
        <v>45859</v>
      </c>
      <c r="S41" s="338">
        <f>COUPNCD($A$2,I41,L41,0)</f>
        <v>46043</v>
      </c>
      <c r="T41" s="339">
        <f>VLOOKUP(B41,Цены!C:K,4,0)</f>
        <v>98.584699999999998</v>
      </c>
      <c r="U41" s="370">
        <f>IF(P41="",0,H41*K41*IF(O41=4,DAYS360(P41,Q41,1)/360,IF(O41=3,DAYS360(P41,Q41,1)/365,IF(O41=2,(Q41-P41)/360,IF(AND(L41=1,O41=1),(Q41-P41)/(Q41-COUPPCD(Q41-1,I41,1,3)))))))</f>
        <v>161117000</v>
      </c>
      <c r="V41" s="374">
        <f t="shared" ca="1" si="12"/>
        <v>79663405.555555552</v>
      </c>
      <c r="W41" s="295">
        <f>T41/100*H41</f>
        <v>2977257940</v>
      </c>
      <c r="X41" s="392">
        <f ca="1">SUM(V41:W41)</f>
        <v>3056921345.5555553</v>
      </c>
      <c r="Z41" s="207">
        <f t="shared" si="36"/>
        <v>0.11923534557133288</v>
      </c>
      <c r="AA41" s="207">
        <f t="shared" si="16"/>
        <v>0.16072492962444065</v>
      </c>
      <c r="AB41" s="207">
        <f t="shared" si="17"/>
        <v>0.23397497229942502</v>
      </c>
      <c r="AC41" s="207">
        <f t="shared" si="18"/>
        <v>1.916409252569834E-2</v>
      </c>
      <c r="AD41" s="207">
        <f t="shared" si="19"/>
        <v>2.7898086677164979E-2</v>
      </c>
      <c r="AE41" s="207" t="str">
        <f t="shared" si="20"/>
        <v>Ok</v>
      </c>
      <c r="AF41" s="207" t="str">
        <f t="shared" si="21"/>
        <v>Ok</v>
      </c>
      <c r="AG41" s="193"/>
      <c r="AH41" s="193"/>
      <c r="AI41" s="208"/>
      <c r="AJ41" s="339"/>
      <c r="AK41" s="6"/>
      <c r="AL41" s="6"/>
      <c r="AO41" s="340"/>
    </row>
    <row r="42" spans="2:41" s="207" customFormat="1">
      <c r="B42" s="207" t="s">
        <v>59</v>
      </c>
      <c r="C42" s="208"/>
      <c r="D42" s="207" t="s">
        <v>173</v>
      </c>
      <c r="E42" s="207" t="s">
        <v>760</v>
      </c>
      <c r="F42" s="208"/>
      <c r="G42" s="208"/>
      <c r="H42" s="195">
        <v>3775000000</v>
      </c>
      <c r="I42" s="208" t="str">
        <f>VLOOKUP(B42,Справочник!A:L,2,0)</f>
        <v>27.03.2027</v>
      </c>
      <c r="J42" s="208"/>
      <c r="K42" s="365">
        <f>VLOOKUP(B42,Справочник!A:L,3,0)</f>
        <v>5.4900000000000004E-2</v>
      </c>
      <c r="L42" s="207">
        <f>VLOOKUP(B42,Справочник!A:L,4,0)</f>
        <v>1</v>
      </c>
      <c r="M42" s="207" t="str">
        <f>VLOOKUP(B42,Справочник!A:L,5,0)</f>
        <v>fix</v>
      </c>
      <c r="N42" s="207" t="str">
        <f>VLOOKUP(B42,Справочник!A:L,6,0)</f>
        <v>30/360</v>
      </c>
      <c r="O42" s="207">
        <f t="shared" si="22"/>
        <v>4</v>
      </c>
      <c r="P42" s="208">
        <f t="shared" ref="P42:P48" si="37">Q42-(365/L42)</f>
        <v>45378</v>
      </c>
      <c r="Q42" s="338">
        <f>COUPPCD($A$2,I42,L42,4)</f>
        <v>45743</v>
      </c>
      <c r="S42" s="338">
        <f>COUPNCD($A$2,I42,L42,0)</f>
        <v>46108</v>
      </c>
      <c r="T42" s="339">
        <f>VLOOKUP(B42,Цены!C:K,4,0)</f>
        <v>86.486599999999996</v>
      </c>
      <c r="U42" s="370">
        <f>IF(P42="",0,H42*K42*IF(O42=4,DAYS360(P42,Q42,1)/360,IF(O42=3,DAYS360(P42,Q42,1)/365,IF(O42=2,(Q42-P42)/360,IF(AND(L42=1,O42=1),(Q42-P42)/(Q42-COUPPCD(Q42-1,I42,1,3)))))))</f>
        <v>207247500.00000003</v>
      </c>
      <c r="V42" s="374">
        <f t="shared" ca="1" si="12"/>
        <v>116864562.50000001</v>
      </c>
      <c r="W42" s="295">
        <f>T42/100*H42</f>
        <v>3264869149.9999995</v>
      </c>
      <c r="X42" s="392">
        <f ca="1">SUM(V42:W42)</f>
        <v>3381733712.4999995</v>
      </c>
      <c r="Z42" s="207">
        <f t="shared" si="36"/>
        <v>0.13075380406758905</v>
      </c>
      <c r="AA42" s="207">
        <f t="shared" si="16"/>
        <v>0.16753435390603935</v>
      </c>
      <c r="AB42" s="207">
        <f t="shared" si="17"/>
        <v>1.1809757969098089</v>
      </c>
      <c r="AC42" s="207">
        <f t="shared" si="18"/>
        <v>2.1905754085220393E-2</v>
      </c>
      <c r="AD42" s="207">
        <f t="shared" si="19"/>
        <v>0.15441707795770998</v>
      </c>
      <c r="AE42" s="207" t="str">
        <f t="shared" si="20"/>
        <v>Ok</v>
      </c>
      <c r="AF42" s="207" t="str">
        <f t="shared" si="21"/>
        <v>Ok</v>
      </c>
      <c r="AG42" s="193"/>
      <c r="AH42" s="193"/>
      <c r="AI42" s="208"/>
      <c r="AJ42" s="339"/>
      <c r="AK42" s="6"/>
      <c r="AL42" s="6"/>
      <c r="AO42" s="340"/>
    </row>
    <row r="43" spans="2:41" s="207" customFormat="1">
      <c r="B43" s="207" t="s">
        <v>422</v>
      </c>
      <c r="C43" s="208"/>
      <c r="D43" s="207" t="s">
        <v>173</v>
      </c>
      <c r="E43" s="207" t="s">
        <v>760</v>
      </c>
      <c r="F43" s="208"/>
      <c r="G43" s="208"/>
      <c r="H43" s="195">
        <v>2265000000</v>
      </c>
      <c r="I43" s="208">
        <f>VLOOKUP(B43,Справочник!A:L,2,0)</f>
        <v>46855</v>
      </c>
      <c r="J43" s="208"/>
      <c r="K43" s="365">
        <f>VLOOKUP(B43,Справочник!A:L,3,0)</f>
        <v>0.104</v>
      </c>
      <c r="L43" s="207">
        <f>VLOOKUP(B43,Справочник!A:L,4,0)</f>
        <v>1</v>
      </c>
      <c r="M43" s="207" t="str">
        <f>VLOOKUP(B43,Справочник!A:L,5,0)</f>
        <v>fix</v>
      </c>
      <c r="N43" s="207" t="str">
        <f>VLOOKUP(B43,Справочник!A:L,6,0)</f>
        <v>30/360</v>
      </c>
      <c r="O43" s="207">
        <f>IF(N43="actual/actual",1,IF(N43="actual/360",2,IF(N43="actual/365",3,IF(N43="30/360",4))))</f>
        <v>4</v>
      </c>
      <c r="P43" s="208">
        <f t="shared" si="37"/>
        <v>45394</v>
      </c>
      <c r="Q43" s="338">
        <f>COUPPCD($A$2,I43,L43,4)</f>
        <v>45759</v>
      </c>
      <c r="S43" s="338">
        <f>COUPNCD($A$2,I43,L43,0)</f>
        <v>46124</v>
      </c>
      <c r="T43" s="339">
        <f>VLOOKUP(B43,Цены!C:K,4,0)</f>
        <v>87.546700000000001</v>
      </c>
      <c r="U43" s="370">
        <f>IF(P43="",0,H43*K43*IF(O43=4,DAYS360(P43,Q43,1)/360,IF(O43=3,DAYS360(P43,Q43,1)/365,IF(O43=2,(Q43-P43)/360,IF(AND(L43=1,O43=1),(Q43-P43)/(Q43-COUPPCD(Q43-1,I43,1,3)))))))</f>
        <v>235560000</v>
      </c>
      <c r="V43" s="374">
        <f t="shared" ca="1" si="12"/>
        <v>123014666.66666667</v>
      </c>
      <c r="W43" s="295">
        <f>T43/100*H43</f>
        <v>1982932755</v>
      </c>
      <c r="X43" s="392">
        <f ca="1">SUM(V43:W43)</f>
        <v>2105947421.6666667</v>
      </c>
      <c r="Z43" s="207">
        <f t="shared" si="36"/>
        <v>7.9413902675540493E-2</v>
      </c>
      <c r="AA43" s="207">
        <f t="shared" si="16"/>
        <v>0.16848391499834114</v>
      </c>
      <c r="AB43" s="207">
        <f t="shared" si="17"/>
        <v>1.8667297314588247</v>
      </c>
      <c r="AC43" s="207">
        <f t="shared" si="18"/>
        <v>1.3379965228072301E-2</v>
      </c>
      <c r="AD43" s="207">
        <f t="shared" si="19"/>
        <v>0.14824429321560895</v>
      </c>
      <c r="AE43" s="207" t="str">
        <f t="shared" si="20"/>
        <v>Ok</v>
      </c>
      <c r="AF43" s="207" t="str">
        <f t="shared" si="21"/>
        <v>Ok</v>
      </c>
      <c r="AG43" s="193"/>
      <c r="AH43" s="193"/>
      <c r="AI43" s="208"/>
      <c r="AJ43" s="339"/>
      <c r="AK43" s="6"/>
      <c r="AL43" s="6"/>
      <c r="AO43" s="340"/>
    </row>
    <row r="44" spans="2:41" s="207" customFormat="1">
      <c r="B44" s="207" t="s">
        <v>95</v>
      </c>
      <c r="C44" s="208"/>
      <c r="D44" s="207" t="s">
        <v>173</v>
      </c>
      <c r="E44" s="207" t="s">
        <v>760</v>
      </c>
      <c r="F44" s="208"/>
      <c r="G44" s="208"/>
      <c r="H44" s="195">
        <v>2265000000</v>
      </c>
      <c r="I44" s="208" t="str">
        <f>VLOOKUP(B44,Справочник!A:L,2,0)</f>
        <v>31.03.2029</v>
      </c>
      <c r="J44" s="208"/>
      <c r="K44" s="365">
        <f>VLOOKUP(B44,Справочник!A:L,3,0)</f>
        <v>0.11</v>
      </c>
      <c r="L44" s="207">
        <f>VLOOKUP(B44,Справочник!A:L,4,0)</f>
        <v>1</v>
      </c>
      <c r="M44" s="207" t="str">
        <f>VLOOKUP(B44,Справочник!A:L,5,0)</f>
        <v>fix</v>
      </c>
      <c r="N44" s="207" t="str">
        <f>VLOOKUP(B44,Справочник!A:L,6,0)</f>
        <v>30/360</v>
      </c>
      <c r="O44" s="207">
        <f t="shared" ref="O44:O49" si="38">IF(N44="actual/actual",1,IF(N44="actual/360",2,IF(N44="actual/365",3,IF(N44="30/360",4))))</f>
        <v>4</v>
      </c>
      <c r="P44" s="208">
        <f t="shared" si="37"/>
        <v>45382</v>
      </c>
      <c r="Q44" s="338">
        <f t="shared" ref="Q44:Q49" si="39">COUPPCD($A$2,I44,L44,4)</f>
        <v>45747</v>
      </c>
      <c r="S44" s="338">
        <f t="shared" ref="S44:S49" si="40">COUPNCD($A$2,I44,L44,0)</f>
        <v>46112</v>
      </c>
      <c r="T44" s="339">
        <f>VLOOKUP(B44,Цены!C:K,4,0)</f>
        <v>85.257800000000003</v>
      </c>
      <c r="U44" s="370">
        <f t="shared" ref="U44:U49" si="41">IF(P44="",0,H44*K44*IF(O44=4,DAYS360(P44,Q44,1)/360,IF(O44=3,DAYS360(P44,Q44,1)/365,IF(O44=2,(Q44-P44)/360,IF(AND(L44=1,O44=1),(Q44-P44)/(Q44-COUPPCD(Q44-1,I44,1,3)))))))</f>
        <v>249150000</v>
      </c>
      <c r="V44" s="374">
        <f t="shared" ca="1" si="12"/>
        <v>138416666.66666669</v>
      </c>
      <c r="W44" s="295">
        <f t="shared" ref="W44:W49" si="42">T44/100*H44</f>
        <v>1931089170.0000002</v>
      </c>
      <c r="X44" s="392">
        <f t="shared" ref="X44:X49" ca="1" si="43">SUM(V44:W44)</f>
        <v>2069505836.666667</v>
      </c>
      <c r="Z44" s="207">
        <f t="shared" si="36"/>
        <v>7.7337633874614314E-2</v>
      </c>
      <c r="AA44" s="207">
        <f t="shared" ref="AA44:AA49" si="44">IFERROR(YIELD($A$2,I44,K44,T44,100,L44,O44),0)</f>
        <v>0.16903044998754008</v>
      </c>
      <c r="AB44" s="207">
        <f t="shared" ref="AB44:AB49" si="45">IFERROR(MDURATION($A$2,I44,K44,AA44,L44,O44),0)</f>
        <v>2.4235027949626344</v>
      </c>
      <c r="AC44" s="207">
        <f t="shared" ref="AC44:AC49" si="46">Z44*AA44</f>
        <v>1.3072415054797681E-2</v>
      </c>
      <c r="AD44" s="207">
        <f t="shared" ref="AD44:AD49" si="47">Z44*AB44</f>
        <v>0.18742797185092472</v>
      </c>
      <c r="AE44" s="207" t="str">
        <f t="shared" ref="AE44:AE49" si="48">IF(S44-$A$2&lt;10,"Скоро погашение купона","Ok")</f>
        <v>Ok</v>
      </c>
      <c r="AF44" s="207" t="str">
        <f t="shared" ref="AF44:AF49" si="49">IF(I44-$A$2&lt;=0,"Погашено","Ok")</f>
        <v>Ok</v>
      </c>
      <c r="AG44" s="193"/>
      <c r="AH44" s="193"/>
      <c r="AI44" s="208"/>
      <c r="AJ44" s="339"/>
      <c r="AK44" s="6"/>
      <c r="AL44" s="6"/>
      <c r="AO44" s="340"/>
    </row>
    <row r="45" spans="2:41" s="207" customFormat="1">
      <c r="B45" s="207" t="s">
        <v>448</v>
      </c>
      <c r="C45" s="208">
        <v>44405</v>
      </c>
      <c r="D45" s="207" t="s">
        <v>173</v>
      </c>
      <c r="E45" s="207" t="s">
        <v>760</v>
      </c>
      <c r="F45" s="208">
        <v>44405</v>
      </c>
      <c r="G45" s="208">
        <v>44405</v>
      </c>
      <c r="H45" s="195">
        <f>2265000000</f>
        <v>2265000000</v>
      </c>
      <c r="I45" s="208">
        <f>VLOOKUP(B45,Справочник!A:L,2,0)</f>
        <v>47327</v>
      </c>
      <c r="J45" s="208"/>
      <c r="K45" s="365">
        <f>VLOOKUP(B45,Справочник!A:L,3,0)</f>
        <v>0.1055</v>
      </c>
      <c r="L45" s="207">
        <f>VLOOKUP(B45,Справочник!A:L,4,0)</f>
        <v>1</v>
      </c>
      <c r="M45" s="207" t="str">
        <f>VLOOKUP(B45,Справочник!A:L,5,0)</f>
        <v>fix</v>
      </c>
      <c r="N45" s="207" t="str">
        <f>VLOOKUP(B45,Справочник!A:L,6,0)</f>
        <v>30/360</v>
      </c>
      <c r="O45" s="207">
        <f t="shared" si="38"/>
        <v>4</v>
      </c>
      <c r="P45" s="314">
        <f t="shared" si="37"/>
        <v>45501</v>
      </c>
      <c r="Q45" s="338">
        <f t="shared" si="39"/>
        <v>45866</v>
      </c>
      <c r="S45" s="338">
        <f t="shared" si="40"/>
        <v>46231</v>
      </c>
      <c r="T45" s="339">
        <f>VLOOKUP(B45,Цены!C:K,4,0)</f>
        <v>83.111000000000004</v>
      </c>
      <c r="U45" s="370">
        <f t="shared" si="41"/>
        <v>238957500</v>
      </c>
      <c r="V45" s="374">
        <f t="shared" ca="1" si="12"/>
        <v>54429208.333333336</v>
      </c>
      <c r="W45" s="295">
        <f t="shared" si="42"/>
        <v>1882464150</v>
      </c>
      <c r="X45" s="392">
        <f t="shared" ca="1" si="43"/>
        <v>1936893358.3333333</v>
      </c>
      <c r="Z45" s="207">
        <f t="shared" si="36"/>
        <v>7.5390264456191333E-2</v>
      </c>
      <c r="AA45" s="207">
        <f t="shared" si="44"/>
        <v>0.16908946835178582</v>
      </c>
      <c r="AB45" s="207">
        <f t="shared" si="45"/>
        <v>2.7175797146221123</v>
      </c>
      <c r="AC45" s="207">
        <f t="shared" si="46"/>
        <v>1.2747699735797927E-2</v>
      </c>
      <c r="AD45" s="207">
        <f t="shared" si="47"/>
        <v>0.20487905336614201</v>
      </c>
      <c r="AE45" s="207" t="str">
        <f t="shared" si="48"/>
        <v>Ok</v>
      </c>
      <c r="AF45" s="207" t="str">
        <f t="shared" si="49"/>
        <v>Ok</v>
      </c>
      <c r="AG45" s="193"/>
      <c r="AH45" s="193"/>
      <c r="AI45" s="208"/>
      <c r="AJ45" s="339"/>
      <c r="AK45" s="6"/>
      <c r="AL45" s="6"/>
      <c r="AO45" s="340"/>
    </row>
    <row r="46" spans="2:41" s="207" customFormat="1">
      <c r="B46" s="207" t="s">
        <v>417</v>
      </c>
      <c r="C46" s="208"/>
      <c r="D46" s="207" t="s">
        <v>173</v>
      </c>
      <c r="E46" s="207" t="s">
        <v>760</v>
      </c>
      <c r="F46" s="208">
        <v>44447</v>
      </c>
      <c r="G46" s="208">
        <v>44447</v>
      </c>
      <c r="H46" s="195">
        <v>2265000000</v>
      </c>
      <c r="I46" s="208">
        <f>VLOOKUP(B46,Справочник!A:L,2,0)</f>
        <v>47924</v>
      </c>
      <c r="J46" s="208"/>
      <c r="K46" s="365">
        <f>VLOOKUP(B46,Справочник!A:L,3,0)</f>
        <v>0.10299999999999999</v>
      </c>
      <c r="L46" s="207">
        <f>VLOOKUP(B46,Справочник!A:L,4,0)</f>
        <v>1</v>
      </c>
      <c r="M46" s="207" t="str">
        <f>VLOOKUP(B46,Справочник!A:L,5,0)</f>
        <v>fix</v>
      </c>
      <c r="N46" s="207" t="str">
        <f>VLOOKUP(B46,Справочник!A:L,6,0)</f>
        <v>30/360</v>
      </c>
      <c r="O46" s="207">
        <f t="shared" si="38"/>
        <v>4</v>
      </c>
      <c r="P46" s="208">
        <f t="shared" si="37"/>
        <v>45368</v>
      </c>
      <c r="Q46" s="338">
        <f t="shared" si="39"/>
        <v>45733</v>
      </c>
      <c r="S46" s="338">
        <f t="shared" si="40"/>
        <v>46098</v>
      </c>
      <c r="T46" s="339">
        <f>VLOOKUP(B46,Цены!C:K,4,0)</f>
        <v>77.3249</v>
      </c>
      <c r="U46" s="370">
        <f t="shared" si="41"/>
        <v>233295000</v>
      </c>
      <c r="V46" s="374">
        <f t="shared" ca="1" si="12"/>
        <v>138032875</v>
      </c>
      <c r="W46" s="295">
        <f t="shared" si="42"/>
        <v>1751408985</v>
      </c>
      <c r="X46" s="392">
        <f t="shared" ca="1" si="43"/>
        <v>1889441860</v>
      </c>
      <c r="Z46" s="207">
        <f t="shared" si="36"/>
        <v>7.0141673906565297E-2</v>
      </c>
      <c r="AA46" s="207">
        <f t="shared" si="44"/>
        <v>0.16974219864232909</v>
      </c>
      <c r="AB46" s="207">
        <f t="shared" si="45"/>
        <v>3.3962248174434158</v>
      </c>
      <c r="AC46" s="207">
        <f t="shared" si="46"/>
        <v>1.1906001945353678E-2</v>
      </c>
      <c r="AD46" s="207">
        <f t="shared" si="47"/>
        <v>0.23821689365850032</v>
      </c>
      <c r="AE46" s="207" t="str">
        <f t="shared" si="48"/>
        <v>Ok</v>
      </c>
      <c r="AF46" s="207" t="str">
        <f t="shared" si="49"/>
        <v>Ok</v>
      </c>
      <c r="AG46" s="193"/>
      <c r="AH46" s="193"/>
      <c r="AI46" s="208"/>
      <c r="AJ46" s="339"/>
      <c r="AK46" s="6"/>
      <c r="AL46" s="6"/>
      <c r="AO46" s="340"/>
    </row>
    <row r="47" spans="2:41" s="207" customFormat="1">
      <c r="B47" s="207" t="s">
        <v>90</v>
      </c>
      <c r="C47" s="208"/>
      <c r="D47" s="207" t="s">
        <v>173</v>
      </c>
      <c r="E47" s="207" t="s">
        <v>760</v>
      </c>
      <c r="F47" s="208"/>
      <c r="G47" s="208"/>
      <c r="H47" s="195">
        <v>2265000000</v>
      </c>
      <c r="I47" s="208" t="str">
        <f>VLOOKUP(B47,Справочник!A:L,2,0)</f>
        <v>16.04.2032</v>
      </c>
      <c r="J47" s="208"/>
      <c r="K47" s="365">
        <f>VLOOKUP(B47,Справочник!A:L,3,0)</f>
        <v>8.4499999999999992E-2</v>
      </c>
      <c r="L47" s="207">
        <f>VLOOKUP(B47,Справочник!A:L,4,0)</f>
        <v>1</v>
      </c>
      <c r="M47" s="207" t="str">
        <f>VLOOKUP(B47,Справочник!A:L,5,0)</f>
        <v>fix</v>
      </c>
      <c r="N47" s="207" t="str">
        <f>VLOOKUP(B47,Справочник!A:L,6,0)</f>
        <v>30/360</v>
      </c>
      <c r="O47" s="207">
        <f t="shared" si="38"/>
        <v>4</v>
      </c>
      <c r="P47" s="208">
        <f t="shared" si="37"/>
        <v>45398</v>
      </c>
      <c r="Q47" s="338">
        <f t="shared" si="39"/>
        <v>45763</v>
      </c>
      <c r="S47" s="338">
        <f t="shared" si="40"/>
        <v>46128</v>
      </c>
      <c r="T47" s="339">
        <f>VLOOKUP(B47,Цены!C:K,4,0)</f>
        <v>67.637699999999995</v>
      </c>
      <c r="U47" s="370">
        <f t="shared" si="41"/>
        <v>191392499.99999997</v>
      </c>
      <c r="V47" s="374">
        <f t="shared" ca="1" si="12"/>
        <v>97822833.333333313</v>
      </c>
      <c r="W47" s="295">
        <f t="shared" si="42"/>
        <v>1531993905</v>
      </c>
      <c r="X47" s="392">
        <f t="shared" ca="1" si="43"/>
        <v>1629816738.3333333</v>
      </c>
      <c r="Z47" s="207">
        <f t="shared" si="36"/>
        <v>6.1354382575213057E-2</v>
      </c>
      <c r="AA47" s="207">
        <f t="shared" si="44"/>
        <v>0.17020940812922938</v>
      </c>
      <c r="AB47" s="207">
        <f t="shared" si="45"/>
        <v>4.0035586002643297</v>
      </c>
      <c r="AC47" s="207">
        <f t="shared" si="46"/>
        <v>1.0443093144261319E-2</v>
      </c>
      <c r="AD47" s="207">
        <f t="shared" si="47"/>
        <v>0.24563586602290216</v>
      </c>
      <c r="AE47" s="207" t="str">
        <f t="shared" si="48"/>
        <v>Ok</v>
      </c>
      <c r="AF47" s="207" t="str">
        <f t="shared" si="49"/>
        <v>Ok</v>
      </c>
      <c r="AG47" s="193"/>
      <c r="AH47" s="193"/>
      <c r="AI47" s="208"/>
      <c r="AJ47" s="339"/>
      <c r="AK47" s="6"/>
      <c r="AL47" s="6"/>
      <c r="AO47" s="340"/>
    </row>
    <row r="48" spans="2:41" s="207" customFormat="1">
      <c r="B48" s="207" t="s">
        <v>446</v>
      </c>
      <c r="C48" s="208"/>
      <c r="D48" s="207" t="s">
        <v>173</v>
      </c>
      <c r="E48" s="207" t="s">
        <v>760</v>
      </c>
      <c r="F48" s="208">
        <v>45468</v>
      </c>
      <c r="G48" s="208">
        <v>45475</v>
      </c>
      <c r="H48" s="195">
        <v>2265000000</v>
      </c>
      <c r="I48" s="208">
        <f>VLOOKUP(B48,Справочник!A:L,2,0)</f>
        <v>48421</v>
      </c>
      <c r="J48" s="208"/>
      <c r="K48" s="365">
        <f>VLOOKUP(B48,Справочник!A:L,3,0)</f>
        <v>0.1065</v>
      </c>
      <c r="L48" s="207">
        <f>VLOOKUP(B48,Справочник!A:L,4,0)</f>
        <v>1</v>
      </c>
      <c r="M48" s="207" t="str">
        <f>VLOOKUP(B48,Справочник!A:L,5,0)</f>
        <v>fix</v>
      </c>
      <c r="N48" s="207" t="str">
        <f>VLOOKUP(B48,Справочник!A:L,6,0)</f>
        <v>30/360</v>
      </c>
      <c r="O48" s="207">
        <f t="shared" si="38"/>
        <v>4</v>
      </c>
      <c r="P48" s="314">
        <f t="shared" si="37"/>
        <v>45499</v>
      </c>
      <c r="Q48" s="338">
        <f t="shared" si="39"/>
        <v>45864</v>
      </c>
      <c r="S48" s="338">
        <f t="shared" si="40"/>
        <v>46229</v>
      </c>
      <c r="T48" s="339">
        <f>VLOOKUP(B48,Цены!C:K,4,0)</f>
        <v>75.357399999999998</v>
      </c>
      <c r="U48" s="370">
        <f t="shared" si="41"/>
        <v>241222500</v>
      </c>
      <c r="V48" s="374">
        <f t="shared" ca="1" si="12"/>
        <v>56285250</v>
      </c>
      <c r="W48" s="295">
        <f t="shared" si="42"/>
        <v>1706845110</v>
      </c>
      <c r="X48" s="392">
        <f t="shared" ca="1" si="43"/>
        <v>1763130360</v>
      </c>
      <c r="Z48" s="207">
        <f t="shared" si="36"/>
        <v>6.8356948114340968E-2</v>
      </c>
      <c r="AA48" s="207">
        <f t="shared" si="44"/>
        <v>0.1701657954073986</v>
      </c>
      <c r="AB48" s="207">
        <f t="shared" si="45"/>
        <v>4.0632393954712009</v>
      </c>
      <c r="AC48" s="207">
        <f t="shared" si="46"/>
        <v>1.1632014447499107E-2</v>
      </c>
      <c r="AD48" s="207">
        <f t="shared" si="47"/>
        <v>0.27775064453237103</v>
      </c>
      <c r="AE48" s="207" t="str">
        <f t="shared" si="48"/>
        <v>Ok</v>
      </c>
      <c r="AF48" s="207" t="str">
        <f t="shared" si="49"/>
        <v>Ok</v>
      </c>
      <c r="AG48" s="193"/>
      <c r="AH48" s="193"/>
      <c r="AI48" s="208"/>
      <c r="AJ48" s="339"/>
      <c r="AK48" s="6"/>
      <c r="AL48" s="6"/>
      <c r="AO48" s="340"/>
    </row>
    <row r="49" spans="2:41" s="207" customFormat="1">
      <c r="B49" s="207" t="s">
        <v>74</v>
      </c>
      <c r="C49" s="208"/>
      <c r="D49" s="207" t="s">
        <v>173</v>
      </c>
      <c r="E49" s="207" t="s">
        <v>760</v>
      </c>
      <c r="F49" s="208"/>
      <c r="G49" s="208"/>
      <c r="H49" s="195">
        <v>2265000000</v>
      </c>
      <c r="I49" s="208" t="str">
        <f>VLOOKUP(B49,Справочник!A:L,2,0)</f>
        <v>12.05.2034</v>
      </c>
      <c r="J49" s="208"/>
      <c r="K49" s="365">
        <f>VLOOKUP(B49,Справочник!A:L,3,0)</f>
        <v>8.0700000000000008E-2</v>
      </c>
      <c r="L49" s="207">
        <f>VLOOKUP(B49,Справочник!A:L,4,0)</f>
        <v>1</v>
      </c>
      <c r="M49" s="207" t="str">
        <f>VLOOKUP(B49,Справочник!A:L,5,0)</f>
        <v>fix</v>
      </c>
      <c r="N49" s="207" t="str">
        <f>VLOOKUP(B49,Справочник!A:L,6,0)</f>
        <v>30/360</v>
      </c>
      <c r="O49" s="207">
        <f t="shared" si="38"/>
        <v>4</v>
      </c>
      <c r="P49" s="208">
        <f>Q49-(366/L49)+1</f>
        <v>45424</v>
      </c>
      <c r="Q49" s="338">
        <f t="shared" si="39"/>
        <v>45789</v>
      </c>
      <c r="S49" s="338">
        <f t="shared" si="40"/>
        <v>46154</v>
      </c>
      <c r="T49" s="339">
        <f>VLOOKUP(B49,Цены!C:K,4,0)</f>
        <v>60.849699999999999</v>
      </c>
      <c r="U49" s="370">
        <f t="shared" si="41"/>
        <v>182785500.00000003</v>
      </c>
      <c r="V49" s="374">
        <f t="shared" ca="1" si="12"/>
        <v>80222525.000000015</v>
      </c>
      <c r="W49" s="295">
        <f t="shared" si="42"/>
        <v>1378245705</v>
      </c>
      <c r="X49" s="392">
        <f t="shared" ca="1" si="43"/>
        <v>1458468230</v>
      </c>
      <c r="Z49" s="207">
        <f t="shared" si="36"/>
        <v>5.5196965204123469E-2</v>
      </c>
      <c r="AA49" s="207">
        <f t="shared" si="44"/>
        <v>0.17053243050329317</v>
      </c>
      <c r="AB49" s="207">
        <f t="shared" si="45"/>
        <v>4.7573953663755661</v>
      </c>
      <c r="AC49" s="207">
        <f t="shared" si="46"/>
        <v>9.4128726326648763E-3</v>
      </c>
      <c r="AD49" s="207">
        <f t="shared" si="47"/>
        <v>0.26259378650009035</v>
      </c>
      <c r="AE49" s="207" t="str">
        <f t="shared" si="48"/>
        <v>Ok</v>
      </c>
      <c r="AF49" s="207" t="str">
        <f t="shared" si="49"/>
        <v>Ok</v>
      </c>
      <c r="AG49" s="193"/>
      <c r="AH49" s="193"/>
      <c r="AI49" s="208"/>
      <c r="AJ49" s="339"/>
      <c r="AK49" s="6"/>
      <c r="AL49" s="6"/>
      <c r="AO49" s="340"/>
    </row>
    <row r="50" spans="2:41" s="207" customFormat="1">
      <c r="B50" s="207" t="s">
        <v>81</v>
      </c>
      <c r="C50" s="208"/>
      <c r="D50" s="207" t="s">
        <v>173</v>
      </c>
      <c r="E50" s="207" t="s">
        <v>760</v>
      </c>
      <c r="F50" s="208"/>
      <c r="G50" s="208">
        <f>H50*K50</f>
        <v>182785500.00000003</v>
      </c>
      <c r="H50" s="195">
        <v>2265000000</v>
      </c>
      <c r="I50" s="208" t="str">
        <f>VLOOKUP(B50,Справочник!A:L,2,0)</f>
        <v>29.01.2035</v>
      </c>
      <c r="J50" s="208"/>
      <c r="K50" s="365">
        <f>VLOOKUP(B50,Справочник!A:L,3,0)</f>
        <v>8.0700000000000008E-2</v>
      </c>
      <c r="L50" s="207">
        <f>VLOOKUP(B50,Справочник!A:L,4,0)</f>
        <v>1</v>
      </c>
      <c r="M50" s="207" t="str">
        <f>VLOOKUP(B50,Справочник!A:L,5,0)</f>
        <v>fix</v>
      </c>
      <c r="N50" s="207" t="str">
        <f>VLOOKUP(B50,Справочник!A:L,6,0)</f>
        <v>30/360</v>
      </c>
      <c r="O50" s="207">
        <f>IF(N50="actual/actual",1,IF(N50="actual/360",2,IF(N50="actual/365",3,IF(N50="30/360",4))))</f>
        <v>4</v>
      </c>
      <c r="P50" s="208">
        <f>Q50-(366/L50)</f>
        <v>45320</v>
      </c>
      <c r="Q50" s="338">
        <f t="shared" ref="Q50:Q55" si="50">COUPPCD($A$2,I50,L50,4)</f>
        <v>45686</v>
      </c>
      <c r="S50" s="338">
        <f t="shared" ref="S50:S55" si="51">COUPNCD($A$2,I50,L50,0)</f>
        <v>46051</v>
      </c>
      <c r="T50" s="339">
        <f>VLOOKUP(B50,Цены!C:K,4,0)</f>
        <v>59.360199999999999</v>
      </c>
      <c r="U50" s="370">
        <f t="shared" ref="U50:U55" si="52">IF(P50="",0,H50*K50*IF(O50=4,DAYS360(P50,Q50,1)/360,IF(O50=3,DAYS360(P50,Q50,1)/365,IF(O50=2,(Q50-P50)/360,IF(AND(L50=1,O50=1),(Q50-P50)/(Q50-COUPPCD(Q50-1,I50,1,3)))))))</f>
        <v>182785500.00000003</v>
      </c>
      <c r="V50" s="374">
        <f t="shared" ca="1" si="12"/>
        <v>132519487.50000001</v>
      </c>
      <c r="W50" s="295">
        <f t="shared" ref="W50:W55" si="53">T50/100*H50</f>
        <v>1344508530</v>
      </c>
      <c r="X50" s="392">
        <f t="shared" ref="X50:X55" ca="1" si="54">SUM(V50:W50)</f>
        <v>1477028017.5</v>
      </c>
      <c r="Z50" s="207">
        <f t="shared" si="36"/>
        <v>5.3845834801318819E-2</v>
      </c>
      <c r="AA50" s="207">
        <f t="shared" ref="AA50:AA55" si="55">IFERROR(YIELD($A$2,I50,K50,T50,100,L50,O50),0)</f>
        <v>0.17073363636769814</v>
      </c>
      <c r="AB50" s="207">
        <f>IFERROR(MDURATION($A$2,I50,K50,AA50,L50,O50),0)</f>
        <v>4.7570165076445008</v>
      </c>
      <c r="AC50" s="207">
        <f t="shared" ref="AC50:AC55" si="56">Z50*AA50</f>
        <v>9.1932951788835128E-3</v>
      </c>
      <c r="AD50" s="207">
        <f>Z50*AB50</f>
        <v>0.25614552501777238</v>
      </c>
      <c r="AE50" s="207" t="str">
        <f>IF(S50-$A$2&lt;10,"Скоро погашение купона","Ok")</f>
        <v>Ok</v>
      </c>
      <c r="AF50" s="207" t="str">
        <f>IF(I50-$A$2&lt;=0,"Погашено","Ok")</f>
        <v>Ok</v>
      </c>
      <c r="AG50" s="193"/>
      <c r="AH50" s="193"/>
      <c r="AI50" s="208"/>
      <c r="AJ50" s="339"/>
      <c r="AK50" s="6"/>
      <c r="AL50" s="6"/>
      <c r="AO50" s="340"/>
    </row>
    <row r="51" spans="2:41" s="207" customFormat="1">
      <c r="B51" s="207" t="s">
        <v>61</v>
      </c>
      <c r="C51" s="208"/>
      <c r="D51" s="207" t="s">
        <v>173</v>
      </c>
      <c r="E51" s="207" t="s">
        <v>760</v>
      </c>
      <c r="F51" s="208">
        <v>45496</v>
      </c>
      <c r="G51" s="208">
        <v>45498</v>
      </c>
      <c r="H51" s="426">
        <v>2803860000</v>
      </c>
      <c r="I51" s="208" t="s">
        <v>196</v>
      </c>
      <c r="J51" s="208"/>
      <c r="K51" s="365">
        <v>5.5E-2</v>
      </c>
      <c r="L51" s="207">
        <v>1</v>
      </c>
      <c r="M51" s="207" t="s">
        <v>247</v>
      </c>
      <c r="N51" s="207" t="s">
        <v>245</v>
      </c>
      <c r="O51" s="207">
        <v>4</v>
      </c>
      <c r="P51" s="208">
        <f>Q51-(365/L51)</f>
        <v>45406</v>
      </c>
      <c r="Q51" s="338">
        <f t="shared" si="50"/>
        <v>45771</v>
      </c>
      <c r="S51" s="338">
        <f t="shared" si="51"/>
        <v>46136</v>
      </c>
      <c r="T51" s="339">
        <f>VLOOKUP(B51,Цены!C:K,4,0)</f>
        <v>56.507199999999997</v>
      </c>
      <c r="U51" s="370">
        <f t="shared" si="52"/>
        <v>154212300</v>
      </c>
      <c r="V51" s="374">
        <f t="shared" ca="1" si="12"/>
        <v>75392680</v>
      </c>
      <c r="W51" s="295">
        <f t="shared" si="53"/>
        <v>1584382777.9200001</v>
      </c>
      <c r="X51" s="392">
        <f t="shared" ca="1" si="54"/>
        <v>1659775457.9200001</v>
      </c>
      <c r="Z51" s="207">
        <f t="shared" si="36"/>
        <v>6.3452489454964581E-2</v>
      </c>
      <c r="AA51" s="207">
        <f t="shared" si="55"/>
        <v>0.17029450814885375</v>
      </c>
      <c r="AB51" s="207">
        <f>IFERROR(MDURATION($A$2,I51,K51,AA51,L51,O51),0)</f>
        <v>4.3485233860720971</v>
      </c>
      <c r="AC51" s="207">
        <f t="shared" si="56"/>
        <v>1.0805610482553522E-2</v>
      </c>
      <c r="AD51" s="207">
        <f>Z51*AB51</f>
        <v>0.27592463429940661</v>
      </c>
      <c r="AE51" s="207" t="s">
        <v>892</v>
      </c>
      <c r="AF51" s="207" t="s">
        <v>892</v>
      </c>
      <c r="AG51" s="193"/>
      <c r="AH51" s="193"/>
      <c r="AI51" s="208"/>
      <c r="AJ51" s="339"/>
      <c r="AK51" s="6"/>
      <c r="AL51" s="6"/>
      <c r="AO51" s="340"/>
    </row>
    <row r="52" spans="2:41" s="207" customFormat="1">
      <c r="B52" s="207" t="s">
        <v>516</v>
      </c>
      <c r="C52" s="208"/>
      <c r="D52" s="207" t="s">
        <v>173</v>
      </c>
      <c r="E52" s="207" t="s">
        <v>760</v>
      </c>
      <c r="F52" s="208">
        <v>45496</v>
      </c>
      <c r="G52" s="208">
        <v>45498</v>
      </c>
      <c r="H52" s="426">
        <v>1038480000</v>
      </c>
      <c r="I52" s="208">
        <v>47549</v>
      </c>
      <c r="J52" s="208"/>
      <c r="K52" s="365">
        <v>0.12</v>
      </c>
      <c r="L52" s="207">
        <v>1</v>
      </c>
      <c r="M52" s="207" t="s">
        <v>247</v>
      </c>
      <c r="N52" s="207" t="s">
        <v>245</v>
      </c>
      <c r="O52" s="207">
        <v>4</v>
      </c>
      <c r="P52" s="208">
        <f>Q52-(365/L52)</f>
        <v>45358</v>
      </c>
      <c r="Q52" s="338">
        <f t="shared" si="50"/>
        <v>45723</v>
      </c>
      <c r="S52" s="338">
        <f t="shared" si="51"/>
        <v>46088</v>
      </c>
      <c r="T52" s="339">
        <f>VLOOKUP(B52,Цены!C:K,4,0)</f>
        <v>85.3215</v>
      </c>
      <c r="U52" s="370">
        <f t="shared" si="52"/>
        <v>124617600</v>
      </c>
      <c r="V52" s="374">
        <f t="shared" ca="1" si="12"/>
        <v>77193680</v>
      </c>
      <c r="W52" s="295">
        <f t="shared" si="53"/>
        <v>886046713.20000005</v>
      </c>
      <c r="X52" s="392">
        <f t="shared" ca="1" si="54"/>
        <v>963240393.20000005</v>
      </c>
      <c r="Z52" s="207">
        <f t="shared" si="36"/>
        <v>3.5485029570782062E-2</v>
      </c>
      <c r="AA52" s="207">
        <f t="shared" si="55"/>
        <v>0.16934957793798067</v>
      </c>
      <c r="AB52" s="207">
        <f>IFERROR(MDURATION($A$2,I52,K52,AA52,L52,O52),0)</f>
        <v>2.8440770431456968</v>
      </c>
      <c r="AC52" s="207">
        <f t="shared" si="56"/>
        <v>6.009374780928705E-3</v>
      </c>
      <c r="AD52" s="207">
        <f>Z52*AB52</f>
        <v>0.10092215797760747</v>
      </c>
      <c r="AE52" s="207" t="s">
        <v>892</v>
      </c>
      <c r="AF52" s="207" t="s">
        <v>892</v>
      </c>
      <c r="AG52" s="193"/>
      <c r="AH52" s="193"/>
      <c r="AI52" s="208"/>
      <c r="AJ52" s="339"/>
      <c r="AK52" s="6"/>
      <c r="AL52" s="6"/>
      <c r="AO52" s="340"/>
    </row>
    <row r="53" spans="2:41" s="207" customFormat="1">
      <c r="B53" s="207" t="s">
        <v>448</v>
      </c>
      <c r="C53" s="208">
        <v>44405</v>
      </c>
      <c r="D53" s="207" t="s">
        <v>173</v>
      </c>
      <c r="E53" s="207" t="s">
        <v>760</v>
      </c>
      <c r="F53" s="208"/>
      <c r="G53" s="208">
        <v>45512</v>
      </c>
      <c r="H53" s="195">
        <f>1551646000</f>
        <v>1551646000</v>
      </c>
      <c r="I53" s="208">
        <f>VLOOKUP(B53,Справочник!A:L,2,0)</f>
        <v>47327</v>
      </c>
      <c r="J53" s="208"/>
      <c r="K53" s="365">
        <f>VLOOKUP(B53,Справочник!A:L,3,0)</f>
        <v>0.1055</v>
      </c>
      <c r="L53" s="207">
        <f>VLOOKUP(B53,Справочник!A:L,4,0)</f>
        <v>1</v>
      </c>
      <c r="M53" s="207" t="str">
        <f>VLOOKUP(B53,Справочник!A:L,5,0)</f>
        <v>fix</v>
      </c>
      <c r="N53" s="207" t="str">
        <f>VLOOKUP(B53,Справочник!A:L,6,0)</f>
        <v>30/360</v>
      </c>
      <c r="O53" s="207">
        <f>IF(N53="actual/actual",1,IF(N53="actual/360",2,IF(N53="actual/365",3,IF(N53="30/360",4))))</f>
        <v>4</v>
      </c>
      <c r="P53" s="314">
        <f>Q53-(365/L53)</f>
        <v>45501</v>
      </c>
      <c r="Q53" s="338">
        <f t="shared" si="50"/>
        <v>45866</v>
      </c>
      <c r="S53" s="338">
        <f t="shared" si="51"/>
        <v>46231</v>
      </c>
      <c r="T53" s="339">
        <f>VLOOKUP(B53,Цены!C:K,4,0)</f>
        <v>83.111000000000004</v>
      </c>
      <c r="U53" s="370">
        <f t="shared" si="52"/>
        <v>163698653</v>
      </c>
      <c r="V53" s="374">
        <f t="shared" ca="1" si="12"/>
        <v>37286915.405555554</v>
      </c>
      <c r="W53" s="295">
        <f t="shared" si="53"/>
        <v>1289588507.0599999</v>
      </c>
      <c r="X53" s="392">
        <f t="shared" ca="1" si="54"/>
        <v>1326875422.4655554</v>
      </c>
      <c r="Z53" s="207">
        <f t="shared" si="36"/>
        <v>5.1646358623572385E-2</v>
      </c>
      <c r="AA53" s="207">
        <f t="shared" si="55"/>
        <v>0.16908946835178582</v>
      </c>
      <c r="AB53" s="207">
        <f t="shared" ref="AB53:AB77" si="57">IFERROR(MDURATION($A$2,I53,K53,AA53,L53,O53),0)</f>
        <v>2.7175797146221123</v>
      </c>
      <c r="AC53" s="207">
        <f t="shared" si="56"/>
        <v>8.7328553219655231E-3</v>
      </c>
      <c r="AD53" s="207">
        <f t="shared" ref="AD53:AD77" si="58">Z53*AB53</f>
        <v>0.14035309652951911</v>
      </c>
      <c r="AE53" s="207" t="str">
        <f>IF(S53-$A$2&lt;10,"Скоро погашение купона","Ok")</f>
        <v>Ok</v>
      </c>
      <c r="AF53" s="207" t="str">
        <f>IF(I53-$A$2&lt;=0,"Погашено","Ok")</f>
        <v>Ok</v>
      </c>
      <c r="AG53" s="193"/>
      <c r="AH53" s="193"/>
      <c r="AI53" s="208"/>
      <c r="AJ53" s="339"/>
      <c r="AK53" s="6"/>
      <c r="AL53" s="6"/>
      <c r="AO53" s="340"/>
    </row>
    <row r="54" spans="2:41" s="207" customFormat="1">
      <c r="B54" s="207" t="s">
        <v>448</v>
      </c>
      <c r="C54" s="208"/>
      <c r="D54" s="207" t="s">
        <v>173</v>
      </c>
      <c r="E54" s="207" t="s">
        <v>760</v>
      </c>
      <c r="F54" s="208">
        <v>45818</v>
      </c>
      <c r="G54" s="208">
        <v>45820</v>
      </c>
      <c r="H54" s="195">
        <v>545692000</v>
      </c>
      <c r="I54" s="208">
        <f>VLOOKUP(B54,Справочник!A:L,2,0)</f>
        <v>47327</v>
      </c>
      <c r="J54" s="208"/>
      <c r="K54" s="365">
        <f>VLOOKUP(B54,Справочник!A:L,3,0)</f>
        <v>0.1055</v>
      </c>
      <c r="L54" s="207">
        <f>VLOOKUP(B54,Справочник!A:L,4,0)</f>
        <v>1</v>
      </c>
      <c r="M54" s="207" t="str">
        <f>VLOOKUP(B54,Справочник!A:L,5,0)</f>
        <v>fix</v>
      </c>
      <c r="N54" s="207" t="str">
        <f>VLOOKUP(B54,Справочник!A:L,6,0)</f>
        <v>30/360</v>
      </c>
      <c r="O54" s="207">
        <f>IF(N54="actual/actual",1,IF(N54="actual/360",2,IF(N54="actual/365",3,IF(N54="30/360",4))))</f>
        <v>4</v>
      </c>
      <c r="P54" s="314">
        <f>Q54-(365/L54)</f>
        <v>45501</v>
      </c>
      <c r="Q54" s="338">
        <f t="shared" si="50"/>
        <v>45866</v>
      </c>
      <c r="S54" s="338">
        <f t="shared" si="51"/>
        <v>46231</v>
      </c>
      <c r="T54" s="339">
        <f>VLOOKUP(B54,Цены!C:K,4,0)</f>
        <v>83.111000000000004</v>
      </c>
      <c r="U54" s="370">
        <f t="shared" si="52"/>
        <v>57570506</v>
      </c>
      <c r="V54" s="374">
        <f t="shared" ca="1" si="12"/>
        <v>13113281.922222221</v>
      </c>
      <c r="W54" s="295">
        <f t="shared" si="53"/>
        <v>453530078.12</v>
      </c>
      <c r="X54" s="392">
        <f t="shared" ca="1" si="54"/>
        <v>466643360.0422222</v>
      </c>
      <c r="Z54" s="207">
        <f t="shared" si="36"/>
        <v>1.8163295448842365E-2</v>
      </c>
      <c r="AA54" s="207">
        <f t="shared" si="55"/>
        <v>0.16908946835178582</v>
      </c>
      <c r="AB54" s="207">
        <f t="shared" si="57"/>
        <v>2.7175797146221123</v>
      </c>
      <c r="AC54" s="207">
        <f t="shared" si="56"/>
        <v>3.0712219709611664E-3</v>
      </c>
      <c r="AD54" s="207">
        <f t="shared" si="58"/>
        <v>4.9360203262462148E-2</v>
      </c>
      <c r="AE54" s="207" t="str">
        <f>IF(S54-$A$2&lt;10,"Скоро погашение купона","Ok")</f>
        <v>Ok</v>
      </c>
      <c r="AF54" s="207" t="str">
        <f>IF(I54-$A$2&lt;=0,"Погашено","Ok")</f>
        <v>Ok</v>
      </c>
      <c r="AG54" s="193"/>
      <c r="AH54" s="193"/>
      <c r="AI54" s="208"/>
      <c r="AJ54" s="339"/>
      <c r="AK54" s="6"/>
      <c r="AL54" s="6"/>
      <c r="AO54" s="340"/>
    </row>
    <row r="55" spans="2:41" s="207" customFormat="1">
      <c r="B55" s="207" t="s">
        <v>498</v>
      </c>
      <c r="C55" s="208"/>
      <c r="D55" s="207" t="s">
        <v>173</v>
      </c>
      <c r="E55" s="207" t="s">
        <v>760</v>
      </c>
      <c r="F55" s="208">
        <v>45828</v>
      </c>
      <c r="G55" s="208">
        <v>45832</v>
      </c>
      <c r="H55" s="195">
        <f>Trades!N9714*Trades!O9714</f>
        <v>506989000</v>
      </c>
      <c r="I55" s="208">
        <f>VLOOKUP(B55,Справочник!A:L,2,0)</f>
        <v>46709</v>
      </c>
      <c r="J55" s="208"/>
      <c r="K55" s="365">
        <f>VLOOKUP(B55,Справочник!A:L,3,0)</f>
        <v>0.1535</v>
      </c>
      <c r="L55" s="207">
        <f>VLOOKUP(B55,Справочник!A:L,4,0)</f>
        <v>2</v>
      </c>
      <c r="M55" s="207" t="str">
        <f>VLOOKUP(B55,Справочник!A:L,5,0)</f>
        <v>fix</v>
      </c>
      <c r="N55" s="207" t="str">
        <f>VLOOKUP(B55,Справочник!A:L,6,0)</f>
        <v>30/360</v>
      </c>
      <c r="O55" s="207">
        <f>IF(N55="actual/actual",1,IF(N55="actual/360",2,IF(N55="actual/365",3,IF(N55="30/360",4))))</f>
        <v>4</v>
      </c>
      <c r="P55" s="208">
        <f>Q55-(366/L55)</f>
        <v>45612</v>
      </c>
      <c r="Q55" s="338">
        <f t="shared" si="50"/>
        <v>45795</v>
      </c>
      <c r="S55" s="338">
        <f t="shared" si="51"/>
        <v>45979</v>
      </c>
      <c r="T55" s="339">
        <f>VLOOKUP(B55,Цены!C:K,4,0)</f>
        <v>98.551900000000003</v>
      </c>
      <c r="U55" s="370">
        <f t="shared" si="52"/>
        <v>39343754.702777773</v>
      </c>
      <c r="V55" s="374">
        <f t="shared" ca="1" si="12"/>
        <v>32858520.411111113</v>
      </c>
      <c r="W55" s="295">
        <f t="shared" si="53"/>
        <v>499647292.29100001</v>
      </c>
      <c r="X55" s="392">
        <f t="shared" ca="1" si="54"/>
        <v>532505812.70211112</v>
      </c>
      <c r="Z55" s="207">
        <f t="shared" si="36"/>
        <v>2.0010230474050948E-2</v>
      </c>
      <c r="AA55" s="207">
        <f t="shared" si="55"/>
        <v>0.16175011005910009</v>
      </c>
      <c r="AB55" s="207">
        <f>IFERROR(MDURATION($A$2,I55,K55,AA55,L55,O55),0)</f>
        <v>1.612418999380494</v>
      </c>
      <c r="AC55" s="207">
        <f t="shared" si="56"/>
        <v>3.2366569814856992E-3</v>
      </c>
      <c r="AD55" s="207">
        <f>Z55*AB55</f>
        <v>3.22648757983423E-2</v>
      </c>
      <c r="AE55" s="207" t="str">
        <f>IF(S55-$A$2&lt;10,"Скоро погашение купона","Ok")</f>
        <v>Ok</v>
      </c>
      <c r="AF55" s="207" t="str">
        <f>IF(I55-$A$2&lt;=0,"Погашено","Ok")</f>
        <v>Ok</v>
      </c>
      <c r="AG55" s="193"/>
      <c r="AH55" s="193"/>
      <c r="AI55" s="208"/>
      <c r="AJ55" s="339"/>
      <c r="AK55" s="6"/>
      <c r="AL55" s="6"/>
      <c r="AO55" s="340"/>
    </row>
    <row r="56" spans="2:41" s="207" customFormat="1">
      <c r="B56" s="207" t="str">
        <f>Trades!G11653</f>
        <v>KZK200000760</v>
      </c>
      <c r="C56" s="295">
        <f>Trades!E11653*(-1)</f>
        <v>499999980.85000002</v>
      </c>
      <c r="D56" s="207" t="s">
        <v>173</v>
      </c>
      <c r="E56" s="207" t="s">
        <v>760</v>
      </c>
      <c r="F56" s="208">
        <f>Trades!A11653</f>
        <v>45895</v>
      </c>
      <c r="G56" s="208">
        <f>Trades!B11653</f>
        <v>45897</v>
      </c>
      <c r="H56" s="195">
        <f>Trades!N11653*Trades!O11653</f>
        <v>494987000</v>
      </c>
      <c r="I56" s="208">
        <f>VLOOKUP(B56,Справочник!A:L,2,0)</f>
        <v>47337</v>
      </c>
      <c r="J56" s="208"/>
      <c r="K56" s="365">
        <f>VLOOKUP(B56,Справочник!A:L,3,0)</f>
        <v>0.1701</v>
      </c>
      <c r="L56" s="207">
        <f>VLOOKUP(B56,Справочник!A:L,4,0)</f>
        <v>2</v>
      </c>
      <c r="M56" s="207" t="str">
        <f>VLOOKUP(B56,Справочник!A:L,5,0)</f>
        <v>fix</v>
      </c>
      <c r="N56" s="207" t="str">
        <f>VLOOKUP(B56,Справочник!A:L,6,0)</f>
        <v>30/360</v>
      </c>
      <c r="O56" s="207">
        <f>IF(N56="actual/actual",1,IF(N56="actual/360",2,IF(N56="actual/365",3,IF(N56="30/360",4))))</f>
        <v>4</v>
      </c>
      <c r="P56" s="208">
        <f>Q56-(366/L56)</f>
        <v>45693</v>
      </c>
      <c r="Q56" s="338">
        <f t="shared" ref="Q56" si="59">COUPPCD($A$2,I56,L56,4)</f>
        <v>45876</v>
      </c>
      <c r="S56" s="338">
        <f t="shared" ref="S56" si="60">COUPNCD($A$2,I56,L56,0)</f>
        <v>46060</v>
      </c>
      <c r="T56" s="339">
        <f>VLOOKUP(B56,Цены!C:K,4,0)</f>
        <v>101.9787</v>
      </c>
      <c r="U56" s="370">
        <f t="shared" ref="U56" si="61">IF(P56="",0,H56*K56*IF(O56=4,DAYS360(P56,Q56,1)/360,IF(O56=3,DAYS360(P56,Q56,1)/365,IF(O56=2,(Q56-P56)/360,IF(AND(L56=1,O56=1),(Q56-P56)/(Q56-COUPPCD(Q56-1,I56,1,3)))))))</f>
        <v>42566407.064999998</v>
      </c>
      <c r="V56" s="374">
        <f t="shared" ref="V56" ca="1" si="62">IF($A$2=DATE(YEAR(TODAY()),2,29),H56*K56*IF(O56=4,DAYS360(Q56,$A$2,1)/360,IF(O56=3,DAYS360(Q56,$A$2,1)/365,IF(O56=2,($A$2-Q56)/360,IF(AND(L56=1,O56=1),($A$2-Q56)/(Q56-COUPPCD(Q56-1,I56,1,3))))))+(H56*K56)/360,H56*K56*IF(O56=4,DAYS360(Q56,$A$2,1)/360,IF(O56=3,DAYS360(Q56,$A$2,1)/365,IF(O56=2,($A$2-Q56)/360,IF(AND(L56=1,O56=1),($A$2-Q56)/(Q56-COUPPCD(Q56-1,I56,1,3)))))))</f>
        <v>17073339.0975</v>
      </c>
      <c r="W56" s="295">
        <f t="shared" ref="W56" si="63">T56/100*H56</f>
        <v>504781307.76899999</v>
      </c>
      <c r="X56" s="392">
        <f t="shared" ref="X56" ca="1" si="64">SUM(V56:W56)</f>
        <v>521854646.86650002</v>
      </c>
      <c r="Z56" s="207">
        <f t="shared" si="36"/>
        <v>2.0215841180957955E-2</v>
      </c>
      <c r="AA56" s="207">
        <f t="shared" ref="AA56" si="65">IFERROR(YIELD($A$2,I56,K56,T56,100,L56,O56),0)</f>
        <v>0.16262246312028777</v>
      </c>
      <c r="AB56" s="207">
        <f>IFERROR(MDURATION($A$2,I56,K56,AA56,L56,O56),0)</f>
        <v>2.6513107258790489</v>
      </c>
      <c r="AC56" s="207">
        <f t="shared" ref="AC56" si="66">Z56*AA56</f>
        <v>3.2875498868959298E-3</v>
      </c>
      <c r="AD56" s="207">
        <f>Z56*AB56</f>
        <v>5.3598476555741209E-2</v>
      </c>
      <c r="AE56" s="207" t="str">
        <f>IF(S56-$A$2&lt;10,"Скоро погашение купона","Ok")</f>
        <v>Ok</v>
      </c>
      <c r="AF56" s="207" t="str">
        <f>IF(I56-$A$2&lt;=0,"Погашено","Ok")</f>
        <v>Ok</v>
      </c>
      <c r="AG56" s="193"/>
      <c r="AH56" s="193"/>
      <c r="AI56" s="208"/>
      <c r="AJ56" s="339"/>
      <c r="AK56" s="6"/>
      <c r="AL56" s="6"/>
      <c r="AO56" s="340"/>
    </row>
    <row r="57" spans="2:41" s="341" customFormat="1">
      <c r="B57" s="341" t="s">
        <v>59</v>
      </c>
      <c r="C57" s="342"/>
      <c r="D57" s="341" t="s">
        <v>173</v>
      </c>
      <c r="E57" s="341" t="s">
        <v>761</v>
      </c>
      <c r="F57" s="342"/>
      <c r="G57" s="342"/>
      <c r="H57" s="343">
        <f>3250000000-500000000-500000000-500000000</f>
        <v>1750000000</v>
      </c>
      <c r="I57" s="342" t="str">
        <f>VLOOKUP(B57,Справочник!A:L,2,0)</f>
        <v>27.03.2027</v>
      </c>
      <c r="J57" s="342"/>
      <c r="K57" s="366">
        <f>VLOOKUP(B57,Справочник!A:L,3,0)</f>
        <v>5.4900000000000004E-2</v>
      </c>
      <c r="L57" s="341">
        <f>VLOOKUP(B57,Справочник!A:L,4,0)</f>
        <v>1</v>
      </c>
      <c r="M57" s="341" t="str">
        <f>VLOOKUP(B57,Справочник!A:L,5,0)</f>
        <v>fix</v>
      </c>
      <c r="N57" s="341" t="str">
        <f>VLOOKUP(B57,Справочник!A:L,6,0)</f>
        <v>30/360</v>
      </c>
      <c r="O57" s="341">
        <f>IF(N57="actual/actual",1,IF(N57="actual/360",2,IF(N57="actual/365",3,IF(N57="30/360",4))))</f>
        <v>4</v>
      </c>
      <c r="P57" s="342">
        <f>Q57-(365/L57)</f>
        <v>45378</v>
      </c>
      <c r="Q57" s="344">
        <f t="shared" ref="Q57:Q80" si="67">COUPPCD($A$2,I57,L57,4)</f>
        <v>45743</v>
      </c>
      <c r="S57" s="344">
        <f t="shared" ref="S57:S80" si="68">COUPNCD($A$2,I57,L57,0)</f>
        <v>46108</v>
      </c>
      <c r="T57" s="345">
        <f>VLOOKUP(B57,Цены!C:K,4,0)</f>
        <v>86.486599999999996</v>
      </c>
      <c r="U57" s="371">
        <f t="shared" ref="U57:U80" si="69">IF(P57="",0,H57*K57*IF(O57=4,DAYS360(P57,Q57,1)/360,IF(O57=3,DAYS360(P57,Q57,1)/365,IF(O57=2,(Q57-P57)/360,IF(AND(L57=1,O57=1),(Q57-P57)/(Q57-COUPPCD(Q57-1,I57,1,3)))))))</f>
        <v>96075000.000000015</v>
      </c>
      <c r="V57" s="374">
        <f t="shared" ca="1" si="12"/>
        <v>54175625.000000007</v>
      </c>
      <c r="W57" s="346">
        <f t="shared" ref="W57:W80" si="70">T57/100*H57</f>
        <v>1513515499.9999998</v>
      </c>
      <c r="X57" s="393">
        <f t="shared" ref="X57:X80" ca="1" si="71">SUM(V57:W57)</f>
        <v>1567691124.9999998</v>
      </c>
      <c r="Z57" s="341">
        <f t="shared" si="36"/>
        <v>6.8598679983941979E-2</v>
      </c>
      <c r="AA57" s="341">
        <f t="shared" ref="AA57:AA77" si="72">IFERROR(YIELD($A$2,I57,K57,T57,100,L57,O57),0)</f>
        <v>0.16753435390603935</v>
      </c>
      <c r="AB57" s="341">
        <f t="shared" si="57"/>
        <v>1.1809757969098089</v>
      </c>
      <c r="AC57" s="341">
        <f t="shared" ref="AC57:AC77" si="73">Z57*AA57</f>
        <v>1.1492635529916874E-2</v>
      </c>
      <c r="AD57" s="341">
        <f t="shared" si="58"/>
        <v>8.1013380760996831E-2</v>
      </c>
      <c r="AE57" s="341" t="str">
        <f>IF(S57-$A$2&lt;10,"Скоро погашение купона","Ok")</f>
        <v>Ok</v>
      </c>
      <c r="AF57" s="341" t="str">
        <f>IF(I57-$A$2&lt;=0,"Погашено","Ok")</f>
        <v>Ok</v>
      </c>
      <c r="AG57" s="347"/>
      <c r="AH57" s="347"/>
      <c r="AI57" s="342"/>
      <c r="AJ57" s="345"/>
      <c r="AK57" s="6"/>
      <c r="AL57" s="6"/>
      <c r="AO57" s="348"/>
    </row>
    <row r="58" spans="2:41" s="341" customFormat="1">
      <c r="B58" s="341" t="s">
        <v>60</v>
      </c>
      <c r="C58" s="342"/>
      <c r="D58" s="341" t="s">
        <v>173</v>
      </c>
      <c r="E58" s="341" t="s">
        <v>761</v>
      </c>
      <c r="F58" s="342">
        <v>45517</v>
      </c>
      <c r="G58" s="342">
        <v>45519</v>
      </c>
      <c r="H58" s="343">
        <v>636055000</v>
      </c>
      <c r="I58" s="342" t="str">
        <f>VLOOKUP(B58,Справочник!A:L,2,0)</f>
        <v>18.04.2028</v>
      </c>
      <c r="J58" s="342"/>
      <c r="K58" s="366">
        <v>0.05</v>
      </c>
      <c r="L58" s="341">
        <v>1</v>
      </c>
      <c r="M58" s="341" t="s">
        <v>247</v>
      </c>
      <c r="N58" s="341" t="s">
        <v>245</v>
      </c>
      <c r="O58" s="341">
        <v>4</v>
      </c>
      <c r="P58" s="342">
        <f>Q58-(365/L58)</f>
        <v>45400</v>
      </c>
      <c r="Q58" s="344">
        <f t="shared" si="67"/>
        <v>45765</v>
      </c>
      <c r="S58" s="344">
        <f t="shared" si="68"/>
        <v>46130</v>
      </c>
      <c r="T58" s="345">
        <f>VLOOKUP(B58,Цены!C:K,4,0)</f>
        <v>77.265900000000002</v>
      </c>
      <c r="U58" s="371">
        <f t="shared" si="69"/>
        <v>31802750</v>
      </c>
      <c r="V58" s="374">
        <f t="shared" ca="1" si="12"/>
        <v>16078056.944444444</v>
      </c>
      <c r="W58" s="346">
        <f t="shared" si="70"/>
        <v>491453620.245</v>
      </c>
      <c r="X58" s="393">
        <f t="shared" ca="1" si="71"/>
        <v>507531677.18944442</v>
      </c>
      <c r="Z58" s="341">
        <f t="shared" si="36"/>
        <v>2.2274677479111719E-2</v>
      </c>
      <c r="AA58" s="341">
        <f t="shared" si="72"/>
        <v>0.16849908225741811</v>
      </c>
      <c r="AB58" s="341">
        <f t="shared" si="57"/>
        <v>1.9929468826123538</v>
      </c>
      <c r="AC58" s="341">
        <f t="shared" si="73"/>
        <v>3.7532627128103041E-3</v>
      </c>
      <c r="AD58" s="341">
        <f t="shared" si="58"/>
        <v>4.4392249043191299E-2</v>
      </c>
      <c r="AE58" s="341" t="s">
        <v>892</v>
      </c>
      <c r="AF58" s="341" t="s">
        <v>892</v>
      </c>
      <c r="AG58" s="347"/>
      <c r="AH58" s="347"/>
      <c r="AI58" s="342"/>
      <c r="AJ58" s="345"/>
      <c r="AK58" s="6"/>
      <c r="AL58" s="6"/>
      <c r="AO58" s="348"/>
    </row>
    <row r="59" spans="2:41" s="341" customFormat="1">
      <c r="B59" s="341" t="s">
        <v>61</v>
      </c>
      <c r="C59" s="342"/>
      <c r="D59" s="341" t="s">
        <v>173</v>
      </c>
      <c r="E59" s="341" t="s">
        <v>761</v>
      </c>
      <c r="F59" s="342"/>
      <c r="G59" s="342"/>
      <c r="H59" s="343">
        <f>500000000+312000000-500000000-1000</f>
        <v>311999000</v>
      </c>
      <c r="I59" s="342">
        <f>VLOOKUP(B59,Справочник!A:L,2,0)</f>
        <v>48328</v>
      </c>
      <c r="J59" s="342"/>
      <c r="K59" s="366">
        <v>5.5E-2</v>
      </c>
      <c r="L59" s="341">
        <v>1</v>
      </c>
      <c r="M59" s="341" t="s">
        <v>247</v>
      </c>
      <c r="N59" s="341" t="s">
        <v>245</v>
      </c>
      <c r="O59" s="341">
        <v>4</v>
      </c>
      <c r="P59" s="342">
        <f>Q59-(365/L59)</f>
        <v>45406</v>
      </c>
      <c r="Q59" s="344">
        <f t="shared" si="67"/>
        <v>45771</v>
      </c>
      <c r="S59" s="344">
        <f t="shared" si="68"/>
        <v>46136</v>
      </c>
      <c r="T59" s="345">
        <f>VLOOKUP(B59,Цены!C:K,4,0)</f>
        <v>56.507199999999997</v>
      </c>
      <c r="U59" s="371">
        <f t="shared" si="69"/>
        <v>17159945</v>
      </c>
      <c r="V59" s="374">
        <f t="shared" ca="1" si="12"/>
        <v>8389306.444444444</v>
      </c>
      <c r="W59" s="346">
        <f t="shared" si="70"/>
        <v>176301898.928</v>
      </c>
      <c r="X59" s="393">
        <f t="shared" ca="1" si="71"/>
        <v>184691205.37244445</v>
      </c>
      <c r="Z59" s="341">
        <f t="shared" si="36"/>
        <v>7.9907193187801241E-3</v>
      </c>
      <c r="AA59" s="341">
        <f t="shared" si="72"/>
        <v>0.17029450814885375</v>
      </c>
      <c r="AB59" s="341">
        <f t="shared" si="57"/>
        <v>4.3485233860720971</v>
      </c>
      <c r="AC59" s="341">
        <f t="shared" si="73"/>
        <v>1.3607756161472049E-3</v>
      </c>
      <c r="AD59" s="341">
        <f t="shared" si="58"/>
        <v>3.4747829829253465E-2</v>
      </c>
      <c r="AE59" s="341" t="s">
        <v>892</v>
      </c>
      <c r="AF59" s="341" t="s">
        <v>892</v>
      </c>
      <c r="AG59" s="347"/>
      <c r="AH59" s="347"/>
      <c r="AI59" s="342"/>
      <c r="AJ59" s="345"/>
      <c r="AK59" s="6"/>
      <c r="AL59" s="6"/>
      <c r="AO59" s="348"/>
    </row>
    <row r="60" spans="2:41" s="341" customFormat="1">
      <c r="B60" s="341" t="s">
        <v>61</v>
      </c>
      <c r="C60" s="342"/>
      <c r="D60" s="341" t="s">
        <v>173</v>
      </c>
      <c r="E60" s="341" t="s">
        <v>761</v>
      </c>
      <c r="F60" s="342">
        <v>45530</v>
      </c>
      <c r="G60" s="342">
        <v>45532</v>
      </c>
      <c r="H60" s="343">
        <v>500000000</v>
      </c>
      <c r="I60" s="342">
        <f>VLOOKUP(B60,Справочник!A:L,2,0)</f>
        <v>48328</v>
      </c>
      <c r="J60" s="342"/>
      <c r="K60" s="366">
        <v>5.5E-2</v>
      </c>
      <c r="L60" s="341">
        <v>1</v>
      </c>
      <c r="M60" s="341" t="s">
        <v>247</v>
      </c>
      <c r="N60" s="341" t="s">
        <v>245</v>
      </c>
      <c r="O60" s="341">
        <v>4</v>
      </c>
      <c r="P60" s="342">
        <f>Q60-(365/L60)</f>
        <v>45406</v>
      </c>
      <c r="Q60" s="344">
        <f t="shared" si="67"/>
        <v>45771</v>
      </c>
      <c r="S60" s="344">
        <f t="shared" si="68"/>
        <v>46136</v>
      </c>
      <c r="T60" s="345">
        <f>VLOOKUP(B60,Цены!C:K,4,0)</f>
        <v>56.507199999999997</v>
      </c>
      <c r="U60" s="371">
        <f t="shared" si="69"/>
        <v>27500000</v>
      </c>
      <c r="V60" s="374">
        <f t="shared" ca="1" si="12"/>
        <v>13444444.444444444</v>
      </c>
      <c r="W60" s="346">
        <f t="shared" si="70"/>
        <v>282536000</v>
      </c>
      <c r="X60" s="393">
        <f t="shared" ca="1" si="71"/>
        <v>295980444.44444442</v>
      </c>
      <c r="Z60" s="341">
        <f t="shared" si="36"/>
        <v>1.2805680977791794E-2</v>
      </c>
      <c r="AA60" s="341">
        <f t="shared" si="72"/>
        <v>0.17029450814885375</v>
      </c>
      <c r="AB60" s="341">
        <f t="shared" si="57"/>
        <v>4.3485233860720971</v>
      </c>
      <c r="AC60" s="341">
        <f t="shared" si="73"/>
        <v>2.1807371436241862E-3</v>
      </c>
      <c r="AD60" s="341">
        <f t="shared" si="58"/>
        <v>5.5685803206506214E-2</v>
      </c>
      <c r="AE60" s="341" t="s">
        <v>892</v>
      </c>
      <c r="AF60" s="341" t="s">
        <v>892</v>
      </c>
      <c r="AG60" s="347"/>
      <c r="AH60" s="347"/>
      <c r="AI60" s="342"/>
      <c r="AK60" s="6"/>
      <c r="AL60" s="6"/>
      <c r="AO60" s="348"/>
    </row>
    <row r="61" spans="2:41" s="341" customFormat="1">
      <c r="B61" s="341" t="s">
        <v>61</v>
      </c>
      <c r="C61" s="342"/>
      <c r="D61" s="341" t="s">
        <v>173</v>
      </c>
      <c r="E61" s="341" t="s">
        <v>761</v>
      </c>
      <c r="F61" s="342">
        <v>45562</v>
      </c>
      <c r="G61" s="342">
        <v>45566</v>
      </c>
      <c r="H61" s="343">
        <v>500000000</v>
      </c>
      <c r="I61" s="342">
        <f>VLOOKUP(B61,Справочник!A:L,2,0)</f>
        <v>48328</v>
      </c>
      <c r="J61" s="342"/>
      <c r="K61" s="366">
        <v>5.5E-2</v>
      </c>
      <c r="L61" s="341">
        <v>1</v>
      </c>
      <c r="M61" s="341" t="s">
        <v>247</v>
      </c>
      <c r="N61" s="341" t="s">
        <v>245</v>
      </c>
      <c r="O61" s="341">
        <v>4</v>
      </c>
      <c r="P61" s="342">
        <f>Q61-(365/L61)</f>
        <v>45406</v>
      </c>
      <c r="Q61" s="344">
        <f t="shared" si="67"/>
        <v>45771</v>
      </c>
      <c r="S61" s="344">
        <f t="shared" si="68"/>
        <v>46136</v>
      </c>
      <c r="T61" s="345">
        <f>VLOOKUP(B61,Цены!C:K,4,0)</f>
        <v>56.507199999999997</v>
      </c>
      <c r="U61" s="371">
        <f t="shared" si="69"/>
        <v>27500000</v>
      </c>
      <c r="V61" s="374">
        <f t="shared" ca="1" si="12"/>
        <v>13444444.444444444</v>
      </c>
      <c r="W61" s="346">
        <f t="shared" si="70"/>
        <v>282536000</v>
      </c>
      <c r="X61" s="393">
        <f t="shared" ca="1" si="71"/>
        <v>295980444.44444442</v>
      </c>
      <c r="Z61" s="341">
        <f t="shared" si="36"/>
        <v>1.2805680977791794E-2</v>
      </c>
      <c r="AA61" s="341">
        <f t="shared" si="72"/>
        <v>0.17029450814885375</v>
      </c>
      <c r="AB61" s="341">
        <f t="shared" si="57"/>
        <v>4.3485233860720971</v>
      </c>
      <c r="AC61" s="341">
        <f t="shared" si="73"/>
        <v>2.1807371436241862E-3</v>
      </c>
      <c r="AD61" s="341">
        <f t="shared" si="58"/>
        <v>5.5685803206506214E-2</v>
      </c>
      <c r="AE61" s="341" t="s">
        <v>892</v>
      </c>
      <c r="AF61" s="341" t="s">
        <v>892</v>
      </c>
      <c r="AG61" s="347"/>
      <c r="AH61" s="347"/>
      <c r="AI61" s="342"/>
      <c r="AK61" s="6"/>
      <c r="AL61" s="6"/>
      <c r="AO61" s="348"/>
    </row>
    <row r="62" spans="2:41" s="341" customFormat="1">
      <c r="B62" s="341" t="s">
        <v>74</v>
      </c>
      <c r="C62" s="342"/>
      <c r="D62" s="341" t="s">
        <v>173</v>
      </c>
      <c r="E62" s="341" t="s">
        <v>761</v>
      </c>
      <c r="F62" s="342"/>
      <c r="G62" s="342"/>
      <c r="H62" s="343">
        <v>1950000000</v>
      </c>
      <c r="I62" s="342" t="str">
        <f>VLOOKUP(B62,Справочник!A:L,2,0)</f>
        <v>12.05.2034</v>
      </c>
      <c r="J62" s="342"/>
      <c r="K62" s="366">
        <f>VLOOKUP(B62,Справочник!A:L,3,0)</f>
        <v>8.0700000000000008E-2</v>
      </c>
      <c r="L62" s="341">
        <f>VLOOKUP(B62,Справочник!A:L,4,0)</f>
        <v>1</v>
      </c>
      <c r="M62" s="341" t="str">
        <f>VLOOKUP(B62,Справочник!A:L,5,0)</f>
        <v>fix</v>
      </c>
      <c r="N62" s="341" t="str">
        <f>VLOOKUP(B62,Справочник!A:L,6,0)</f>
        <v>30/360</v>
      </c>
      <c r="O62" s="341">
        <f>IF(N62="actual/actual",1,IF(N62="actual/360",2,IF(N62="actual/365",3,IF(N62="30/360",4))))</f>
        <v>4</v>
      </c>
      <c r="P62" s="314">
        <f>Q62-(366/L62)+1</f>
        <v>45424</v>
      </c>
      <c r="Q62" s="344">
        <f t="shared" si="67"/>
        <v>45789</v>
      </c>
      <c r="S62" s="344">
        <f t="shared" si="68"/>
        <v>46154</v>
      </c>
      <c r="T62" s="345">
        <f>VLOOKUP(B62,Цены!C:K,4,0)</f>
        <v>60.849699999999999</v>
      </c>
      <c r="U62" s="371">
        <f t="shared" si="69"/>
        <v>157365000.00000003</v>
      </c>
      <c r="V62" s="374">
        <f t="shared" ca="1" si="12"/>
        <v>69065750.000000015</v>
      </c>
      <c r="W62" s="346">
        <f t="shared" si="70"/>
        <v>1186569150</v>
      </c>
      <c r="X62" s="393">
        <f t="shared" ca="1" si="71"/>
        <v>1255634900</v>
      </c>
      <c r="Z62" s="341">
        <f t="shared" si="36"/>
        <v>5.3780141266916701E-2</v>
      </c>
      <c r="AA62" s="341">
        <f t="shared" si="72"/>
        <v>0.17053243050329317</v>
      </c>
      <c r="AB62" s="341">
        <f t="shared" si="57"/>
        <v>4.7573953663755661</v>
      </c>
      <c r="AC62" s="341">
        <f t="shared" si="73"/>
        <v>9.1712582030577614E-3</v>
      </c>
      <c r="AD62" s="341">
        <f t="shared" si="58"/>
        <v>0.25585339486625286</v>
      </c>
      <c r="AE62" s="341" t="str">
        <f>IF(S62-$A$2&lt;10,"Скоро погашение купона","Ok")</f>
        <v>Ok</v>
      </c>
      <c r="AF62" s="341" t="str">
        <f>IF(I62-$A$2&lt;=0,"Погашено","Ok")</f>
        <v>Ok</v>
      </c>
      <c r="AG62" s="347"/>
      <c r="AH62" s="347"/>
      <c r="AI62" s="342"/>
      <c r="AJ62" s="345"/>
      <c r="AK62" s="6"/>
      <c r="AL62" s="6"/>
      <c r="AO62" s="348"/>
    </row>
    <row r="63" spans="2:41" s="341" customFormat="1">
      <c r="B63" s="341" t="s">
        <v>722</v>
      </c>
      <c r="C63" s="342"/>
      <c r="D63" s="341" t="s">
        <v>173</v>
      </c>
      <c r="E63" s="341" t="s">
        <v>761</v>
      </c>
      <c r="F63" s="342">
        <v>45524</v>
      </c>
      <c r="G63" s="342">
        <v>45526</v>
      </c>
      <c r="H63" s="513">
        <f>715927000-16841000</f>
        <v>699086000</v>
      </c>
      <c r="I63" s="342">
        <v>50976</v>
      </c>
      <c r="J63" s="342"/>
      <c r="K63" s="366">
        <v>8.3500000000000005E-2</v>
      </c>
      <c r="L63" s="341">
        <v>1</v>
      </c>
      <c r="M63" s="341" t="s">
        <v>247</v>
      </c>
      <c r="N63" s="341" t="s">
        <v>245</v>
      </c>
      <c r="O63" s="341">
        <v>4</v>
      </c>
      <c r="P63" s="342">
        <f>Q63-(365/L63)</f>
        <v>45498</v>
      </c>
      <c r="Q63" s="344">
        <f t="shared" si="67"/>
        <v>45863</v>
      </c>
      <c r="S63" s="344">
        <f t="shared" si="68"/>
        <v>46228</v>
      </c>
      <c r="T63" s="345">
        <f>VLOOKUP(B63,Цены!C:K,4,0)</f>
        <v>54.579599999999999</v>
      </c>
      <c r="U63" s="371">
        <f t="shared" si="69"/>
        <v>58373681</v>
      </c>
      <c r="V63" s="374">
        <f t="shared" ca="1" si="12"/>
        <v>13782674.680555556</v>
      </c>
      <c r="W63" s="346">
        <f t="shared" si="70"/>
        <v>381558342.45599997</v>
      </c>
      <c r="X63" s="393">
        <f t="shared" ca="1" si="71"/>
        <v>395341017.13655555</v>
      </c>
      <c r="Z63" s="341">
        <f t="shared" si="36"/>
        <v>1.7293776396305482E-2</v>
      </c>
      <c r="AA63" s="341">
        <f t="shared" si="72"/>
        <v>0.17087610305958323</v>
      </c>
      <c r="AB63" s="341">
        <f t="shared" si="57"/>
        <v>5.7033398287373851</v>
      </c>
      <c r="AC63" s="341">
        <f t="shared" si="73"/>
        <v>2.9550931177844833E-3</v>
      </c>
      <c r="AD63" s="341">
        <f t="shared" si="58"/>
        <v>9.8632283710327534E-2</v>
      </c>
      <c r="AE63" s="341" t="s">
        <v>892</v>
      </c>
      <c r="AF63" s="341" t="s">
        <v>892</v>
      </c>
      <c r="AG63" s="347"/>
      <c r="AH63" s="347"/>
      <c r="AI63" s="342"/>
      <c r="AJ63" s="345"/>
      <c r="AK63" s="6"/>
      <c r="AL63" s="6"/>
      <c r="AO63" s="348"/>
    </row>
    <row r="64" spans="2:41" s="341" customFormat="1">
      <c r="B64" s="341" t="s">
        <v>722</v>
      </c>
      <c r="C64" s="342"/>
      <c r="D64" s="341" t="s">
        <v>173</v>
      </c>
      <c r="E64" s="341" t="s">
        <v>761</v>
      </c>
      <c r="F64" s="342">
        <v>45615</v>
      </c>
      <c r="G64" s="342">
        <v>45617</v>
      </c>
      <c r="H64" s="343">
        <v>284073000</v>
      </c>
      <c r="I64" s="342">
        <v>50976</v>
      </c>
      <c r="J64" s="342"/>
      <c r="K64" s="366">
        <v>8.3500000000000005E-2</v>
      </c>
      <c r="L64" s="341">
        <v>1</v>
      </c>
      <c r="M64" s="341" t="s">
        <v>247</v>
      </c>
      <c r="N64" s="341" t="s">
        <v>245</v>
      </c>
      <c r="O64" s="341">
        <v>4</v>
      </c>
      <c r="P64" s="342">
        <f>Q64-(365/L64)</f>
        <v>45498</v>
      </c>
      <c r="Q64" s="344">
        <f t="shared" si="67"/>
        <v>45863</v>
      </c>
      <c r="S64" s="344">
        <f t="shared" si="68"/>
        <v>46228</v>
      </c>
      <c r="T64" s="345">
        <f>VLOOKUP(B64,Цены!C:K,4,0)</f>
        <v>54.579599999999999</v>
      </c>
      <c r="U64" s="371">
        <f t="shared" si="69"/>
        <v>23720095.5</v>
      </c>
      <c r="V64" s="512">
        <f t="shared" ca="1" si="12"/>
        <v>5600578.104166667</v>
      </c>
      <c r="W64" s="346">
        <f t="shared" si="70"/>
        <v>155045907.10799998</v>
      </c>
      <c r="X64" s="393">
        <f t="shared" ca="1" si="71"/>
        <v>160646485.21216664</v>
      </c>
      <c r="Z64" s="341">
        <f t="shared" si="36"/>
        <v>7.0273112924986152E-3</v>
      </c>
      <c r="AA64" s="341">
        <f t="shared" si="72"/>
        <v>0.17087610305958323</v>
      </c>
      <c r="AB64" s="341">
        <f t="shared" si="57"/>
        <v>5.7033398287373851</v>
      </c>
      <c r="AC64" s="341">
        <f t="shared" si="73"/>
        <v>1.2007995686487663E-3</v>
      </c>
      <c r="AD64" s="341">
        <f t="shared" si="58"/>
        <v>4.0079144383443344E-2</v>
      </c>
      <c r="AE64" s="341" t="s">
        <v>892</v>
      </c>
      <c r="AF64" s="341" t="s">
        <v>892</v>
      </c>
      <c r="AG64" s="347"/>
      <c r="AH64" s="347"/>
      <c r="AI64" s="342"/>
      <c r="AJ64" s="345"/>
      <c r="AK64" s="345"/>
      <c r="AL64" s="345"/>
      <c r="AO64" s="348"/>
    </row>
    <row r="65" spans="1:43" s="341" customFormat="1">
      <c r="B65" s="341" t="s">
        <v>81</v>
      </c>
      <c r="C65" s="342"/>
      <c r="D65" s="341" t="s">
        <v>173</v>
      </c>
      <c r="E65" s="341" t="s">
        <v>761</v>
      </c>
      <c r="F65" s="342"/>
      <c r="G65" s="342">
        <f>H65*K65</f>
        <v>157365000.00000003</v>
      </c>
      <c r="H65" s="343">
        <v>1950000000</v>
      </c>
      <c r="I65" s="342" t="str">
        <f>VLOOKUP(B65,Справочник!A:L,2,0)</f>
        <v>29.01.2035</v>
      </c>
      <c r="J65" s="342"/>
      <c r="K65" s="366">
        <f>VLOOKUP(B65,Справочник!A:L,3,0)</f>
        <v>8.0700000000000008E-2</v>
      </c>
      <c r="L65" s="341">
        <f>VLOOKUP(B65,Справочник!A:L,4,0)</f>
        <v>1</v>
      </c>
      <c r="M65" s="341" t="str">
        <f>VLOOKUP(B65,Справочник!A:L,5,0)</f>
        <v>fix</v>
      </c>
      <c r="N65" s="341" t="str">
        <f>VLOOKUP(B65,Справочник!A:L,6,0)</f>
        <v>30/360</v>
      </c>
      <c r="O65" s="341">
        <f>IF(N65="actual/actual",1,IF(N65="actual/360",2,IF(N65="actual/365",3,IF(N65="30/360",4))))</f>
        <v>4</v>
      </c>
      <c r="P65" s="342">
        <f>Q65-(366/L65)</f>
        <v>45320</v>
      </c>
      <c r="Q65" s="344">
        <f t="shared" si="67"/>
        <v>45686</v>
      </c>
      <c r="S65" s="344">
        <f t="shared" si="68"/>
        <v>46051</v>
      </c>
      <c r="T65" s="345">
        <f>VLOOKUP(B65,Цены!C:K,4,0)</f>
        <v>59.360199999999999</v>
      </c>
      <c r="U65" s="371">
        <f t="shared" si="69"/>
        <v>157365000.00000003</v>
      </c>
      <c r="V65" s="374">
        <f t="shared" ca="1" si="12"/>
        <v>114089625.00000001</v>
      </c>
      <c r="W65" s="346">
        <f t="shared" si="70"/>
        <v>1157523900</v>
      </c>
      <c r="X65" s="393">
        <f t="shared" ca="1" si="71"/>
        <v>1271613525</v>
      </c>
      <c r="Z65" s="341">
        <f t="shared" si="36"/>
        <v>5.246369237042136E-2</v>
      </c>
      <c r="AA65" s="341">
        <f t="shared" si="72"/>
        <v>0.17073363636769814</v>
      </c>
      <c r="AB65" s="341">
        <f t="shared" si="57"/>
        <v>4.7570165076445008</v>
      </c>
      <c r="AC65" s="341">
        <f t="shared" si="73"/>
        <v>8.9573169756783002E-3</v>
      </c>
      <c r="AD65" s="341">
        <f t="shared" si="58"/>
        <v>0.24957065065807726</v>
      </c>
      <c r="AE65" s="341" t="str">
        <f>IF(S65-$A$2&lt;10,"Скоро погашение купона","Ok")</f>
        <v>Ok</v>
      </c>
      <c r="AF65" s="341" t="str">
        <f>IF(I65-$A$2&lt;=0,"Погашено","Ok")</f>
        <v>Ok</v>
      </c>
      <c r="AG65" s="347"/>
      <c r="AH65" s="347"/>
      <c r="AI65" s="342"/>
      <c r="AJ65" s="345"/>
      <c r="AK65" s="6"/>
      <c r="AL65" s="6"/>
      <c r="AO65" s="348"/>
    </row>
    <row r="66" spans="1:43" s="341" customFormat="1">
      <c r="B66" s="341" t="s">
        <v>82</v>
      </c>
      <c r="C66" s="342"/>
      <c r="D66" s="341" t="s">
        <v>173</v>
      </c>
      <c r="E66" s="341" t="s">
        <v>761</v>
      </c>
      <c r="F66" s="342">
        <v>45524</v>
      </c>
      <c r="G66" s="342">
        <v>45526</v>
      </c>
      <c r="H66" s="343">
        <v>500000000</v>
      </c>
      <c r="I66" s="342" t="str">
        <f>VLOOKUP(B66,Справочник!A:L,2,0)</f>
        <v>04.02.2030</v>
      </c>
      <c r="J66" s="342"/>
      <c r="K66" s="366">
        <v>7.6799999999999993E-2</v>
      </c>
      <c r="L66" s="341">
        <v>1</v>
      </c>
      <c r="M66" s="341" t="s">
        <v>247</v>
      </c>
      <c r="N66" s="341" t="s">
        <v>245</v>
      </c>
      <c r="O66" s="341">
        <v>4</v>
      </c>
      <c r="P66" s="342">
        <f>Q66-(366/L66)</f>
        <v>45326</v>
      </c>
      <c r="Q66" s="344">
        <f t="shared" si="67"/>
        <v>45692</v>
      </c>
      <c r="S66" s="344">
        <f t="shared" si="68"/>
        <v>46057</v>
      </c>
      <c r="T66" s="345">
        <f>VLOOKUP(B66,Цены!C:K,4,0)</f>
        <v>73.075299999999999</v>
      </c>
      <c r="U66" s="371">
        <f t="shared" si="69"/>
        <v>38400000</v>
      </c>
      <c r="V66" s="374">
        <f t="shared" ca="1" si="12"/>
        <v>27306666.666666668</v>
      </c>
      <c r="W66" s="346">
        <f t="shared" si="70"/>
        <v>365376500</v>
      </c>
      <c r="X66" s="393">
        <f t="shared" ca="1" si="71"/>
        <v>392683166.66666669</v>
      </c>
      <c r="Z66" s="341">
        <f t="shared" si="36"/>
        <v>1.6560349462660131E-2</v>
      </c>
      <c r="AA66" s="341">
        <f t="shared" si="72"/>
        <v>0.16972271668468775</v>
      </c>
      <c r="AB66" s="341">
        <f t="shared" si="57"/>
        <v>2.975366074869914</v>
      </c>
      <c r="AC66" s="341">
        <f t="shared" si="73"/>
        <v>2.8106675000504865E-3</v>
      </c>
      <c r="AD66" s="341">
        <f t="shared" si="58"/>
        <v>4.927310197918916E-2</v>
      </c>
      <c r="AE66" s="341" t="s">
        <v>892</v>
      </c>
      <c r="AF66" s="341" t="s">
        <v>892</v>
      </c>
      <c r="AG66" s="347"/>
      <c r="AH66" s="347"/>
      <c r="AI66" s="342"/>
      <c r="AJ66" s="345"/>
      <c r="AK66" s="6"/>
      <c r="AL66" s="6"/>
      <c r="AO66" s="348"/>
    </row>
    <row r="67" spans="1:43" s="341" customFormat="1">
      <c r="B67" s="341" t="s">
        <v>82</v>
      </c>
      <c r="C67" s="342"/>
      <c r="D67" s="341" t="s">
        <v>173</v>
      </c>
      <c r="E67" s="341" t="s">
        <v>761</v>
      </c>
      <c r="F67" s="342">
        <v>45525</v>
      </c>
      <c r="G67" s="342">
        <v>45527</v>
      </c>
      <c r="H67" s="343">
        <v>500000000</v>
      </c>
      <c r="I67" s="342" t="str">
        <f>VLOOKUP(B67,Справочник!A:L,2,0)</f>
        <v>04.02.2030</v>
      </c>
      <c r="J67" s="342"/>
      <c r="K67" s="366">
        <v>7.6799999999999993E-2</v>
      </c>
      <c r="L67" s="341">
        <v>1</v>
      </c>
      <c r="M67" s="341" t="s">
        <v>247</v>
      </c>
      <c r="N67" s="341" t="str">
        <f>VLOOKUP(B67,Справочник!A:L,6,0)</f>
        <v>30/360</v>
      </c>
      <c r="O67" s="341">
        <v>4</v>
      </c>
      <c r="P67" s="342">
        <f>Q67-(366/L67)</f>
        <v>45326</v>
      </c>
      <c r="Q67" s="344">
        <f t="shared" si="67"/>
        <v>45692</v>
      </c>
      <c r="S67" s="344">
        <f t="shared" si="68"/>
        <v>46057</v>
      </c>
      <c r="T67" s="345">
        <f>VLOOKUP(B67,Цены!C:K,4,0)</f>
        <v>73.075299999999999</v>
      </c>
      <c r="U67" s="371">
        <f t="shared" si="69"/>
        <v>38400000</v>
      </c>
      <c r="V67" s="374">
        <f t="shared" ca="1" si="12"/>
        <v>27306666.666666668</v>
      </c>
      <c r="W67" s="346">
        <f t="shared" si="70"/>
        <v>365376500</v>
      </c>
      <c r="X67" s="393">
        <f t="shared" ca="1" si="71"/>
        <v>392683166.66666669</v>
      </c>
      <c r="Z67" s="341">
        <f t="shared" ref="Z67:Z98" si="74">IFERROR(W67/SUMIFS($W:$W,$D:$D,D67,$E:$E,E67),0)</f>
        <v>1.6560349462660131E-2</v>
      </c>
      <c r="AA67" s="341">
        <f t="shared" si="72"/>
        <v>0.16972271668468775</v>
      </c>
      <c r="AB67" s="341">
        <f t="shared" si="57"/>
        <v>2.975366074869914</v>
      </c>
      <c r="AC67" s="341">
        <f t="shared" si="73"/>
        <v>2.8106675000504865E-3</v>
      </c>
      <c r="AD67" s="341">
        <f t="shared" si="58"/>
        <v>4.927310197918916E-2</v>
      </c>
      <c r="AE67" s="341" t="s">
        <v>892</v>
      </c>
      <c r="AF67" s="341" t="s">
        <v>892</v>
      </c>
      <c r="AG67" s="347"/>
      <c r="AH67" s="347"/>
      <c r="AI67" s="342"/>
      <c r="AJ67" s="345"/>
      <c r="AK67" s="6"/>
      <c r="AL67" s="6"/>
      <c r="AO67" s="348"/>
    </row>
    <row r="68" spans="1:43" s="341" customFormat="1">
      <c r="B68" s="341" t="s">
        <v>82</v>
      </c>
      <c r="C68" s="342"/>
      <c r="D68" s="341" t="s">
        <v>173</v>
      </c>
      <c r="E68" s="341" t="s">
        <v>761</v>
      </c>
      <c r="F68" s="342">
        <v>45559</v>
      </c>
      <c r="G68" s="342">
        <v>45561</v>
      </c>
      <c r="H68" s="343">
        <v>500000000</v>
      </c>
      <c r="I68" s="342" t="str">
        <f>VLOOKUP(B68,Справочник!A:L,2,0)</f>
        <v>04.02.2030</v>
      </c>
      <c r="J68" s="342"/>
      <c r="K68" s="366">
        <v>7.6799999999999993E-2</v>
      </c>
      <c r="L68" s="341">
        <v>1</v>
      </c>
      <c r="M68" s="341" t="s">
        <v>247</v>
      </c>
      <c r="N68" s="341" t="s">
        <v>245</v>
      </c>
      <c r="O68" s="341">
        <v>4</v>
      </c>
      <c r="P68" s="342">
        <f>Q68-(366/L68)</f>
        <v>45326</v>
      </c>
      <c r="Q68" s="344">
        <f t="shared" si="67"/>
        <v>45692</v>
      </c>
      <c r="S68" s="344">
        <f t="shared" si="68"/>
        <v>46057</v>
      </c>
      <c r="T68" s="345">
        <f>VLOOKUP(B68,Цены!C:K,4,0)</f>
        <v>73.075299999999999</v>
      </c>
      <c r="U68" s="371">
        <f t="shared" si="69"/>
        <v>38400000</v>
      </c>
      <c r="V68" s="374">
        <f t="shared" ca="1" si="12"/>
        <v>27306666.666666668</v>
      </c>
      <c r="W68" s="346">
        <f t="shared" si="70"/>
        <v>365376500</v>
      </c>
      <c r="X68" s="393">
        <f t="shared" ca="1" si="71"/>
        <v>392683166.66666669</v>
      </c>
      <c r="Z68" s="341">
        <f t="shared" si="74"/>
        <v>1.6560349462660131E-2</v>
      </c>
      <c r="AA68" s="341">
        <f t="shared" si="72"/>
        <v>0.16972271668468775</v>
      </c>
      <c r="AB68" s="341">
        <f t="shared" si="57"/>
        <v>2.975366074869914</v>
      </c>
      <c r="AC68" s="341">
        <f t="shared" si="73"/>
        <v>2.8106675000504865E-3</v>
      </c>
      <c r="AD68" s="341">
        <f t="shared" si="58"/>
        <v>4.927310197918916E-2</v>
      </c>
      <c r="AE68" s="341" t="s">
        <v>892</v>
      </c>
      <c r="AF68" s="341" t="s">
        <v>892</v>
      </c>
      <c r="AG68" s="347"/>
      <c r="AH68" s="347"/>
      <c r="AI68" s="342"/>
      <c r="AJ68" s="345"/>
      <c r="AK68" s="6"/>
      <c r="AL68" s="6"/>
      <c r="AO68" s="348"/>
    </row>
    <row r="69" spans="1:43" s="341" customFormat="1">
      <c r="B69" s="341" t="s">
        <v>90</v>
      </c>
      <c r="C69" s="342"/>
      <c r="D69" s="341" t="s">
        <v>173</v>
      </c>
      <c r="E69" s="341" t="s">
        <v>761</v>
      </c>
      <c r="F69" s="342"/>
      <c r="G69" s="342"/>
      <c r="H69" s="343">
        <v>1950000000</v>
      </c>
      <c r="I69" s="342" t="str">
        <f>VLOOKUP(B69,Справочник!A:L,2,0)</f>
        <v>16.04.2032</v>
      </c>
      <c r="J69" s="342"/>
      <c r="K69" s="366">
        <f>VLOOKUP(B69,Справочник!A:L,3,0)</f>
        <v>8.4499999999999992E-2</v>
      </c>
      <c r="L69" s="341">
        <f>VLOOKUP(B69,Справочник!A:L,4,0)</f>
        <v>1</v>
      </c>
      <c r="M69" s="341" t="str">
        <f>VLOOKUP(B69,Справочник!A:L,5,0)</f>
        <v>fix</v>
      </c>
      <c r="N69" s="341" t="str">
        <f>VLOOKUP(B69,Справочник!A:L,6,0)</f>
        <v>30/360</v>
      </c>
      <c r="O69" s="341">
        <f t="shared" ref="O69:O83" si="75">IF(N69="actual/actual",1,IF(N69="actual/360",2,IF(N69="actual/365",3,IF(N69="30/360",4))))</f>
        <v>4</v>
      </c>
      <c r="P69" s="342">
        <f t="shared" ref="P69:P74" si="76">Q69-(365/L69)</f>
        <v>45398</v>
      </c>
      <c r="Q69" s="344">
        <f t="shared" si="67"/>
        <v>45763</v>
      </c>
      <c r="S69" s="344">
        <f t="shared" si="68"/>
        <v>46128</v>
      </c>
      <c r="T69" s="345">
        <f>VLOOKUP(B69,Цены!C:K,4,0)</f>
        <v>67.637699999999995</v>
      </c>
      <c r="U69" s="371">
        <f t="shared" si="69"/>
        <v>164774999.99999997</v>
      </c>
      <c r="V69" s="374">
        <f t="shared" ca="1" si="12"/>
        <v>84218333.333333313</v>
      </c>
      <c r="W69" s="346">
        <f t="shared" si="70"/>
        <v>1318935150</v>
      </c>
      <c r="X69" s="393">
        <f t="shared" ca="1" si="71"/>
        <v>1403153483.3333333</v>
      </c>
      <c r="Z69" s="341">
        <f t="shared" si="74"/>
        <v>5.9779506899283505E-2</v>
      </c>
      <c r="AA69" s="341">
        <f t="shared" si="72"/>
        <v>0.17020940812922938</v>
      </c>
      <c r="AB69" s="341">
        <f t="shared" si="57"/>
        <v>4.0035586002643297</v>
      </c>
      <c r="AC69" s="341">
        <f t="shared" si="73"/>
        <v>1.0175034487584229E-2</v>
      </c>
      <c r="AD69" s="341">
        <f t="shared" si="58"/>
        <v>0.2393307589661873</v>
      </c>
      <c r="AE69" s="341" t="str">
        <f t="shared" ref="AE69:AE74" si="77">IF(S69-$A$2&lt;10,"Скоро погашение купона","Ok")</f>
        <v>Ok</v>
      </c>
      <c r="AF69" s="341" t="str">
        <f t="shared" ref="AF69:AF74" si="78">IF(I69-$A$2&lt;=0,"Погашено","Ok")</f>
        <v>Ok</v>
      </c>
      <c r="AG69" s="347"/>
      <c r="AH69" s="347"/>
      <c r="AI69" s="342"/>
      <c r="AJ69" s="345"/>
      <c r="AK69" s="6"/>
      <c r="AL69" s="6"/>
      <c r="AO69" s="348"/>
    </row>
    <row r="70" spans="1:43" s="341" customFormat="1">
      <c r="B70" s="341" t="s">
        <v>95</v>
      </c>
      <c r="C70" s="342"/>
      <c r="D70" s="341" t="s">
        <v>173</v>
      </c>
      <c r="E70" s="341" t="s">
        <v>761</v>
      </c>
      <c r="F70" s="342"/>
      <c r="G70" s="342"/>
      <c r="H70" s="343">
        <f>1950000000-202300000-182000000-187350000</f>
        <v>1378350000</v>
      </c>
      <c r="I70" s="342" t="str">
        <f>VLOOKUP(B70,Справочник!A:L,2,0)</f>
        <v>31.03.2029</v>
      </c>
      <c r="J70" s="342"/>
      <c r="K70" s="366">
        <f>VLOOKUP(B70,Справочник!A:L,3,0)</f>
        <v>0.11</v>
      </c>
      <c r="L70" s="341">
        <f>VLOOKUP(B70,Справочник!A:L,4,0)</f>
        <v>1</v>
      </c>
      <c r="M70" s="341" t="str">
        <f>VLOOKUP(B70,Справочник!A:L,5,0)</f>
        <v>fix</v>
      </c>
      <c r="N70" s="341" t="str">
        <f>VLOOKUP(B70,Справочник!A:L,6,0)</f>
        <v>30/360</v>
      </c>
      <c r="O70" s="341">
        <f t="shared" si="75"/>
        <v>4</v>
      </c>
      <c r="P70" s="342">
        <f t="shared" si="76"/>
        <v>45382</v>
      </c>
      <c r="Q70" s="344">
        <f t="shared" si="67"/>
        <v>45747</v>
      </c>
      <c r="S70" s="344">
        <f t="shared" si="68"/>
        <v>46112</v>
      </c>
      <c r="T70" s="345">
        <f>VLOOKUP(B70,Цены!C:K,4,0)</f>
        <v>85.257800000000003</v>
      </c>
      <c r="U70" s="371">
        <f t="shared" si="69"/>
        <v>151618500</v>
      </c>
      <c r="V70" s="374">
        <f t="shared" ca="1" si="12"/>
        <v>84232500</v>
      </c>
      <c r="W70" s="346">
        <f t="shared" si="70"/>
        <v>1175150886.3000002</v>
      </c>
      <c r="X70" s="393">
        <f t="shared" ca="1" si="71"/>
        <v>1259383386.3000002</v>
      </c>
      <c r="Z70" s="341">
        <f t="shared" si="74"/>
        <v>5.3262619102440324E-2</v>
      </c>
      <c r="AA70" s="341">
        <f t="shared" si="72"/>
        <v>0.16903044998754008</v>
      </c>
      <c r="AB70" s="341">
        <f t="shared" si="57"/>
        <v>2.4235027949626344</v>
      </c>
      <c r="AC70" s="341">
        <f t="shared" si="73"/>
        <v>9.0030044744004358E-3</v>
      </c>
      <c r="AD70" s="341">
        <f t="shared" si="58"/>
        <v>0.12908210626179434</v>
      </c>
      <c r="AE70" s="341" t="str">
        <f t="shared" si="77"/>
        <v>Ok</v>
      </c>
      <c r="AF70" s="341" t="str">
        <f t="shared" si="78"/>
        <v>Ok</v>
      </c>
      <c r="AG70" s="347"/>
      <c r="AH70" s="347"/>
      <c r="AI70" s="342"/>
      <c r="AJ70" s="345"/>
      <c r="AK70" s="6"/>
      <c r="AL70" s="6"/>
      <c r="AO70" s="348"/>
    </row>
    <row r="71" spans="1:43" s="341" customFormat="1">
      <c r="B71" s="341" t="s">
        <v>417</v>
      </c>
      <c r="C71" s="342"/>
      <c r="D71" s="341" t="s">
        <v>173</v>
      </c>
      <c r="E71" s="341" t="s">
        <v>761</v>
      </c>
      <c r="F71" s="342">
        <v>44447</v>
      </c>
      <c r="G71" s="342">
        <v>44447</v>
      </c>
      <c r="H71" s="343">
        <f>1950000000-500000000</f>
        <v>1450000000</v>
      </c>
      <c r="I71" s="342">
        <f>VLOOKUP(B71,Справочник!A:L,2,0)</f>
        <v>47924</v>
      </c>
      <c r="J71" s="342"/>
      <c r="K71" s="366">
        <f>VLOOKUP(B71,Справочник!A:L,3,0)</f>
        <v>0.10299999999999999</v>
      </c>
      <c r="L71" s="341">
        <f>VLOOKUP(B71,Справочник!A:L,4,0)</f>
        <v>1</v>
      </c>
      <c r="M71" s="341" t="str">
        <f>VLOOKUP(B71,Справочник!A:L,5,0)</f>
        <v>fix</v>
      </c>
      <c r="N71" s="341" t="str">
        <f>VLOOKUP(B71,Справочник!A:L,6,0)</f>
        <v>30/360</v>
      </c>
      <c r="O71" s="341">
        <f t="shared" si="75"/>
        <v>4</v>
      </c>
      <c r="P71" s="342">
        <f t="shared" si="76"/>
        <v>45368</v>
      </c>
      <c r="Q71" s="344">
        <f t="shared" si="67"/>
        <v>45733</v>
      </c>
      <c r="S71" s="344">
        <f t="shared" si="68"/>
        <v>46098</v>
      </c>
      <c r="T71" s="345">
        <f>VLOOKUP(B71,Цены!C:K,4,0)</f>
        <v>77.3249</v>
      </c>
      <c r="U71" s="371">
        <f t="shared" si="69"/>
        <v>149350000</v>
      </c>
      <c r="V71" s="374">
        <f t="shared" ca="1" si="12"/>
        <v>88365416.666666672</v>
      </c>
      <c r="W71" s="346">
        <f t="shared" si="70"/>
        <v>1121211050</v>
      </c>
      <c r="X71" s="393">
        <f t="shared" ca="1" si="71"/>
        <v>1209576466.6666667</v>
      </c>
      <c r="Z71" s="341">
        <f t="shared" si="74"/>
        <v>5.0817846274722384E-2</v>
      </c>
      <c r="AA71" s="341">
        <f t="shared" si="72"/>
        <v>0.16974219864232909</v>
      </c>
      <c r="AB71" s="341">
        <f t="shared" si="57"/>
        <v>3.3962248174434158</v>
      </c>
      <c r="AC71" s="341">
        <f t="shared" si="73"/>
        <v>8.6259329569392702E-3</v>
      </c>
      <c r="AD71" s="341">
        <f t="shared" si="58"/>
        <v>0.1725888306872366</v>
      </c>
      <c r="AE71" s="341" t="str">
        <f t="shared" si="77"/>
        <v>Ok</v>
      </c>
      <c r="AF71" s="341" t="str">
        <f t="shared" si="78"/>
        <v>Ok</v>
      </c>
      <c r="AG71" s="347"/>
      <c r="AH71" s="347"/>
      <c r="AI71" s="342"/>
      <c r="AJ71" s="345"/>
      <c r="AK71" s="6"/>
      <c r="AL71" s="6"/>
      <c r="AO71" s="348"/>
    </row>
    <row r="72" spans="1:43" s="341" customFormat="1">
      <c r="B72" s="341" t="s">
        <v>422</v>
      </c>
      <c r="C72" s="342"/>
      <c r="D72" s="341" t="s">
        <v>173</v>
      </c>
      <c r="E72" s="341" t="s">
        <v>761</v>
      </c>
      <c r="F72" s="342"/>
      <c r="G72" s="342"/>
      <c r="H72" s="343">
        <v>1950000000</v>
      </c>
      <c r="I72" s="342">
        <f>VLOOKUP(B72,Справочник!A:L,2,0)</f>
        <v>46855</v>
      </c>
      <c r="J72" s="342"/>
      <c r="K72" s="366">
        <f>VLOOKUP(B72,Справочник!A:L,3,0)</f>
        <v>0.104</v>
      </c>
      <c r="L72" s="341">
        <f>VLOOKUP(B72,Справочник!A:L,4,0)</f>
        <v>1</v>
      </c>
      <c r="M72" s="341" t="str">
        <f>VLOOKUP(B72,Справочник!A:L,5,0)</f>
        <v>fix</v>
      </c>
      <c r="N72" s="341" t="str">
        <f>VLOOKUP(B72,Справочник!A:L,6,0)</f>
        <v>30/360</v>
      </c>
      <c r="O72" s="341">
        <f t="shared" si="75"/>
        <v>4</v>
      </c>
      <c r="P72" s="342">
        <f t="shared" si="76"/>
        <v>45394</v>
      </c>
      <c r="Q72" s="344">
        <f t="shared" si="67"/>
        <v>45759</v>
      </c>
      <c r="S72" s="344">
        <f t="shared" si="68"/>
        <v>46124</v>
      </c>
      <c r="T72" s="345">
        <f>VLOOKUP(B72,Цены!C:K,4,0)</f>
        <v>87.546700000000001</v>
      </c>
      <c r="U72" s="371">
        <f t="shared" si="69"/>
        <v>202800000</v>
      </c>
      <c r="V72" s="374">
        <f t="shared" ca="1" si="12"/>
        <v>105906666.66666667</v>
      </c>
      <c r="W72" s="346">
        <f t="shared" si="70"/>
        <v>1707160650</v>
      </c>
      <c r="X72" s="393">
        <f t="shared" ca="1" si="71"/>
        <v>1813067316.6666667</v>
      </c>
      <c r="Z72" s="341">
        <f t="shared" si="74"/>
        <v>7.7375465999871426E-2</v>
      </c>
      <c r="AA72" s="341">
        <f t="shared" si="72"/>
        <v>0.16848391499834114</v>
      </c>
      <c r="AB72" s="341">
        <f t="shared" si="57"/>
        <v>1.8667297314588247</v>
      </c>
      <c r="AC72" s="341">
        <f t="shared" si="73"/>
        <v>1.3036521436479372E-2</v>
      </c>
      <c r="AD72" s="341">
        <f t="shared" si="58"/>
        <v>0.14443908286744142</v>
      </c>
      <c r="AE72" s="341" t="str">
        <f t="shared" si="77"/>
        <v>Ok</v>
      </c>
      <c r="AF72" s="341" t="str">
        <f t="shared" si="78"/>
        <v>Ok</v>
      </c>
      <c r="AG72" s="347"/>
      <c r="AH72" s="347"/>
      <c r="AI72" s="342"/>
      <c r="AJ72" s="345"/>
      <c r="AK72" s="6"/>
      <c r="AL72" s="6"/>
      <c r="AO72" s="348"/>
    </row>
    <row r="73" spans="1:43" s="341" customFormat="1">
      <c r="B73" s="341" t="s">
        <v>446</v>
      </c>
      <c r="C73" s="342"/>
      <c r="D73" s="341" t="s">
        <v>173</v>
      </c>
      <c r="E73" s="341" t="s">
        <v>761</v>
      </c>
      <c r="F73" s="342">
        <v>45468</v>
      </c>
      <c r="G73" s="342">
        <v>45475</v>
      </c>
      <c r="H73" s="343">
        <f>1950000000-250000000-250000000-250000000-218000000</f>
        <v>982000000</v>
      </c>
      <c r="I73" s="342">
        <f>VLOOKUP(B73,Справочник!A:L,2,0)</f>
        <v>48421</v>
      </c>
      <c r="J73" s="342"/>
      <c r="K73" s="366">
        <f>VLOOKUP(B73,Справочник!A:L,3,0)</f>
        <v>0.1065</v>
      </c>
      <c r="L73" s="341">
        <f>VLOOKUP(B73,Справочник!A:L,4,0)</f>
        <v>1</v>
      </c>
      <c r="M73" s="341" t="str">
        <f>VLOOKUP(B73,Справочник!A:L,5,0)</f>
        <v>fix</v>
      </c>
      <c r="N73" s="341" t="str">
        <f>VLOOKUP(B73,Справочник!A:L,6,0)</f>
        <v>30/360</v>
      </c>
      <c r="O73" s="341">
        <f t="shared" si="75"/>
        <v>4</v>
      </c>
      <c r="P73" s="314">
        <f t="shared" si="76"/>
        <v>45499</v>
      </c>
      <c r="Q73" s="344">
        <f t="shared" si="67"/>
        <v>45864</v>
      </c>
      <c r="S73" s="344">
        <f t="shared" si="68"/>
        <v>46229</v>
      </c>
      <c r="T73" s="345">
        <f>VLOOKUP(B73,Цены!C:K,4,0)</f>
        <v>75.357399999999998</v>
      </c>
      <c r="U73" s="371">
        <f t="shared" si="69"/>
        <v>104583000</v>
      </c>
      <c r="V73" s="374">
        <f t="shared" ca="1" si="12"/>
        <v>24402700</v>
      </c>
      <c r="W73" s="346">
        <f t="shared" si="70"/>
        <v>740009668</v>
      </c>
      <c r="X73" s="393">
        <f t="shared" ca="1" si="71"/>
        <v>764412368</v>
      </c>
      <c r="Z73" s="341">
        <f t="shared" si="74"/>
        <v>3.3540248778525995E-2</v>
      </c>
      <c r="AA73" s="341">
        <f t="shared" si="72"/>
        <v>0.1701657954073986</v>
      </c>
      <c r="AB73" s="341">
        <f t="shared" si="57"/>
        <v>4.0632393954712009</v>
      </c>
      <c r="AC73" s="341">
        <f t="shared" si="73"/>
        <v>5.7074031115599052E-3</v>
      </c>
      <c r="AD73" s="341">
        <f t="shared" si="58"/>
        <v>0.13628206017081165</v>
      </c>
      <c r="AE73" s="341" t="str">
        <f t="shared" si="77"/>
        <v>Ok</v>
      </c>
      <c r="AF73" s="341" t="str">
        <f t="shared" si="78"/>
        <v>Ok</v>
      </c>
      <c r="AG73" s="347"/>
      <c r="AH73" s="347"/>
      <c r="AI73" s="342"/>
      <c r="AJ73" s="345"/>
      <c r="AK73" s="6"/>
      <c r="AL73" s="6"/>
      <c r="AO73" s="348"/>
    </row>
    <row r="74" spans="1:43" s="341" customFormat="1">
      <c r="B74" s="341" t="s">
        <v>448</v>
      </c>
      <c r="C74" s="342">
        <v>44405</v>
      </c>
      <c r="D74" s="341" t="s">
        <v>173</v>
      </c>
      <c r="E74" s="341" t="s">
        <v>761</v>
      </c>
      <c r="F74" s="342">
        <v>44405</v>
      </c>
      <c r="G74" s="342">
        <v>44405</v>
      </c>
      <c r="H74" s="343">
        <f>1950000000-225000000+1053430000-225000000-208000000-225000000-225000000</f>
        <v>1895430000</v>
      </c>
      <c r="I74" s="342">
        <f>VLOOKUP(B74,Справочник!A:L,2,0)</f>
        <v>47327</v>
      </c>
      <c r="J74" s="342"/>
      <c r="K74" s="366">
        <f>VLOOKUP(B74,Справочник!A:L,3,0)</f>
        <v>0.1055</v>
      </c>
      <c r="L74" s="341">
        <f>VLOOKUP(B74,Справочник!A:L,4,0)</f>
        <v>1</v>
      </c>
      <c r="M74" s="341" t="str">
        <f>VLOOKUP(B74,Справочник!A:L,5,0)</f>
        <v>fix</v>
      </c>
      <c r="N74" s="341" t="str">
        <f>VLOOKUP(B74,Справочник!A:L,6,0)</f>
        <v>30/360</v>
      </c>
      <c r="O74" s="341">
        <f t="shared" si="75"/>
        <v>4</v>
      </c>
      <c r="P74" s="314">
        <f t="shared" si="76"/>
        <v>45501</v>
      </c>
      <c r="Q74" s="344">
        <f t="shared" si="67"/>
        <v>45866</v>
      </c>
      <c r="S74" s="344">
        <f t="shared" si="68"/>
        <v>46231</v>
      </c>
      <c r="T74" s="345">
        <f>VLOOKUP(B74,Цены!C:K,4,0)</f>
        <v>83.111000000000004</v>
      </c>
      <c r="U74" s="371">
        <f t="shared" si="69"/>
        <v>199967865</v>
      </c>
      <c r="V74" s="374">
        <f t="shared" ca="1" si="12"/>
        <v>45548235.916666664</v>
      </c>
      <c r="W74" s="346">
        <f t="shared" si="70"/>
        <v>1575310827.3</v>
      </c>
      <c r="X74" s="393">
        <f t="shared" ca="1" si="71"/>
        <v>1620859063.2166667</v>
      </c>
      <c r="Z74" s="341">
        <f t="shared" si="74"/>
        <v>7.1399495622735024E-2</v>
      </c>
      <c r="AA74" s="341">
        <f t="shared" si="72"/>
        <v>0.16908946835178582</v>
      </c>
      <c r="AB74" s="341">
        <f t="shared" si="57"/>
        <v>2.7175797146221123</v>
      </c>
      <c r="AC74" s="341">
        <f t="shared" si="73"/>
        <v>1.2072902755433924E-2</v>
      </c>
      <c r="AD74" s="341">
        <f t="shared" si="58"/>
        <v>0.194033820938595</v>
      </c>
      <c r="AE74" s="341" t="str">
        <f t="shared" si="77"/>
        <v>Ok</v>
      </c>
      <c r="AF74" s="341" t="str">
        <f t="shared" si="78"/>
        <v>Ok</v>
      </c>
      <c r="AG74" s="347"/>
      <c r="AH74" s="347"/>
      <c r="AI74" s="342"/>
      <c r="AJ74" s="345"/>
      <c r="AK74" s="6"/>
      <c r="AL74" s="6"/>
      <c r="AO74" s="348"/>
    </row>
    <row r="75" spans="1:43" s="341" customFormat="1">
      <c r="B75" s="341" t="s">
        <v>513</v>
      </c>
      <c r="C75" s="342"/>
      <c r="D75" s="341" t="s">
        <v>173</v>
      </c>
      <c r="E75" s="341" t="s">
        <v>761</v>
      </c>
      <c r="F75" s="342"/>
      <c r="G75" s="342">
        <v>45540</v>
      </c>
      <c r="H75" s="343">
        <v>500000000</v>
      </c>
      <c r="I75" s="342">
        <f>VLOOKUP(B75,Справочник!A:L,2,0)</f>
        <v>47901</v>
      </c>
      <c r="J75" s="342"/>
      <c r="K75" s="366">
        <f>VLOOKUP(B75,Справочник!A:L,3,0)</f>
        <v>0.12</v>
      </c>
      <c r="L75" s="341">
        <f>VLOOKUP(B75,Справочник!A:L,4,0)</f>
        <v>1</v>
      </c>
      <c r="M75" s="341" t="str">
        <f>VLOOKUP(B75,Справочник!A:L,5,0)</f>
        <v>fix</v>
      </c>
      <c r="N75" s="341" t="str">
        <f>VLOOKUP(B75,Справочник!A:L,6,0)</f>
        <v>30/360</v>
      </c>
      <c r="O75" s="341">
        <f t="shared" si="75"/>
        <v>4</v>
      </c>
      <c r="P75" s="342">
        <f>Q75-(366/L75)</f>
        <v>45344</v>
      </c>
      <c r="Q75" s="344">
        <f t="shared" si="67"/>
        <v>45710</v>
      </c>
      <c r="S75" s="344">
        <f t="shared" si="68"/>
        <v>46075</v>
      </c>
      <c r="T75" s="345">
        <f>VLOOKUP(B75,Цены!C:K,4,0)</f>
        <v>83.0989</v>
      </c>
      <c r="U75" s="371">
        <f t="shared" si="69"/>
        <v>60000000</v>
      </c>
      <c r="V75" s="374">
        <f t="shared" ca="1" si="12"/>
        <v>39666666.666666664</v>
      </c>
      <c r="W75" s="346">
        <f t="shared" si="70"/>
        <v>415494500</v>
      </c>
      <c r="X75" s="393">
        <f t="shared" ca="1" si="71"/>
        <v>455161166.66666669</v>
      </c>
      <c r="Z75" s="341">
        <f t="shared" si="74"/>
        <v>1.8831901120661129E-2</v>
      </c>
      <c r="AA75" s="341">
        <f t="shared" si="72"/>
        <v>0.16998819551383099</v>
      </c>
      <c r="AB75" s="341">
        <f t="shared" si="57"/>
        <v>3.2392518393211001</v>
      </c>
      <c r="AC75" s="341">
        <f t="shared" si="73"/>
        <v>3.2012008895960769E-3</v>
      </c>
      <c r="AD75" s="341">
        <f t="shared" si="58"/>
        <v>6.1001270343014648E-2</v>
      </c>
      <c r="AE75" s="341" t="s">
        <v>892</v>
      </c>
      <c r="AF75" s="341" t="s">
        <v>892</v>
      </c>
      <c r="AG75" s="347"/>
      <c r="AH75" s="347"/>
      <c r="AI75" s="342"/>
      <c r="AJ75" s="345"/>
      <c r="AK75" s="6"/>
      <c r="AL75" s="6"/>
      <c r="AO75" s="348"/>
    </row>
    <row r="76" spans="1:43" s="453" customFormat="1">
      <c r="A76" s="341"/>
      <c r="B76" s="341" t="s">
        <v>516</v>
      </c>
      <c r="C76" s="342"/>
      <c r="D76" s="341" t="s">
        <v>173</v>
      </c>
      <c r="E76" s="341" t="s">
        <v>761</v>
      </c>
      <c r="F76" s="342">
        <v>45545</v>
      </c>
      <c r="G76" s="342">
        <v>45547</v>
      </c>
      <c r="H76" s="436">
        <v>300000000</v>
      </c>
      <c r="I76" s="342">
        <f>VLOOKUP(B76,Справочник!A:L,2,0)</f>
        <v>47549</v>
      </c>
      <c r="J76" s="342"/>
      <c r="K76" s="366">
        <f>VLOOKUP(B76,Справочник!A:L,3,0)</f>
        <v>0.12</v>
      </c>
      <c r="L76" s="341">
        <f>VLOOKUP(B76,Справочник!A:L,4,0)</f>
        <v>1</v>
      </c>
      <c r="M76" s="341" t="str">
        <f>VLOOKUP(B76,Справочник!A:L,5,0)</f>
        <v>fix</v>
      </c>
      <c r="N76" s="341" t="str">
        <f>VLOOKUP(B76,Справочник!A:L,6,0)</f>
        <v>30/360</v>
      </c>
      <c r="O76" s="341">
        <f t="shared" si="75"/>
        <v>4</v>
      </c>
      <c r="P76" s="342">
        <f>Q76-(365/L76)</f>
        <v>45358</v>
      </c>
      <c r="Q76" s="344">
        <f t="shared" si="67"/>
        <v>45723</v>
      </c>
      <c r="R76" s="341"/>
      <c r="S76" s="344">
        <f t="shared" si="68"/>
        <v>46088</v>
      </c>
      <c r="T76" s="345">
        <f>VLOOKUP(B76,Цены!C:K,4,0)</f>
        <v>85.3215</v>
      </c>
      <c r="U76" s="371">
        <f t="shared" si="69"/>
        <v>36000000</v>
      </c>
      <c r="V76" s="374">
        <f t="shared" ca="1" si="12"/>
        <v>22300000</v>
      </c>
      <c r="W76" s="346">
        <f t="shared" si="70"/>
        <v>255964500.00000003</v>
      </c>
      <c r="X76" s="393">
        <f t="shared" ca="1" si="71"/>
        <v>278264500</v>
      </c>
      <c r="Y76" s="341"/>
      <c r="Z76" s="341">
        <f t="shared" si="74"/>
        <v>1.1601352495398773E-2</v>
      </c>
      <c r="AA76" s="341">
        <f t="shared" si="72"/>
        <v>0.16934957793798067</v>
      </c>
      <c r="AB76" s="341">
        <f t="shared" si="57"/>
        <v>2.8440770431456968</v>
      </c>
      <c r="AC76" s="341">
        <f t="shared" si="73"/>
        <v>1.9646841486055211E-3</v>
      </c>
      <c r="AD76" s="341">
        <f t="shared" si="58"/>
        <v>3.2995140301604692E-2</v>
      </c>
      <c r="AE76" s="341" t="s">
        <v>892</v>
      </c>
      <c r="AF76" s="341" t="s">
        <v>892</v>
      </c>
      <c r="AG76" s="347"/>
      <c r="AH76" s="347"/>
      <c r="AI76" s="342"/>
      <c r="AJ76" s="345"/>
      <c r="AK76" s="6"/>
      <c r="AL76" s="6"/>
      <c r="AM76" s="341"/>
      <c r="AN76" s="341"/>
      <c r="AO76" s="348"/>
      <c r="AP76" s="341"/>
      <c r="AQ76" s="341"/>
    </row>
    <row r="77" spans="1:43" s="341" customFormat="1">
      <c r="B77" s="341" t="s">
        <v>516</v>
      </c>
      <c r="C77" s="342"/>
      <c r="D77" s="341" t="s">
        <v>173</v>
      </c>
      <c r="E77" s="341" t="s">
        <v>761</v>
      </c>
      <c r="F77" s="342">
        <v>45580</v>
      </c>
      <c r="G77" s="342">
        <v>45582</v>
      </c>
      <c r="H77" s="436">
        <v>288579000</v>
      </c>
      <c r="I77" s="342">
        <f>VLOOKUP(B77,Справочник!A:L,2,0)</f>
        <v>47549</v>
      </c>
      <c r="J77" s="342"/>
      <c r="K77" s="366">
        <f>VLOOKUP(B77,Справочник!A:L,3,0)</f>
        <v>0.12</v>
      </c>
      <c r="L77" s="341">
        <f>VLOOKUP(B77,Справочник!A:L,4,0)</f>
        <v>1</v>
      </c>
      <c r="M77" s="341" t="str">
        <f>VLOOKUP(B77,Справочник!A:L,5,0)</f>
        <v>fix</v>
      </c>
      <c r="N77" s="341" t="str">
        <f>VLOOKUP(B77,Справочник!A:L,6,0)</f>
        <v>30/360</v>
      </c>
      <c r="O77" s="341">
        <f t="shared" si="75"/>
        <v>4</v>
      </c>
      <c r="P77" s="342">
        <f>Q77-(365/L77)</f>
        <v>45358</v>
      </c>
      <c r="Q77" s="344">
        <f t="shared" si="67"/>
        <v>45723</v>
      </c>
      <c r="S77" s="344">
        <f t="shared" si="68"/>
        <v>46088</v>
      </c>
      <c r="T77" s="345">
        <f>VLOOKUP(B77,Цены!C:K,4,0)</f>
        <v>85.3215</v>
      </c>
      <c r="U77" s="371">
        <f t="shared" si="69"/>
        <v>34629480</v>
      </c>
      <c r="V77" s="374">
        <f t="shared" ca="1" si="12"/>
        <v>21451039</v>
      </c>
      <c r="W77" s="346">
        <f t="shared" si="70"/>
        <v>246219931.48500001</v>
      </c>
      <c r="X77" s="393">
        <f t="shared" ca="1" si="71"/>
        <v>267670970.48500001</v>
      </c>
      <c r="Z77" s="341">
        <f t="shared" si="74"/>
        <v>1.1159689005898941E-2</v>
      </c>
      <c r="AA77" s="341">
        <f t="shared" si="72"/>
        <v>0.16934957793798067</v>
      </c>
      <c r="AB77" s="341">
        <f t="shared" si="57"/>
        <v>2.8440770431456968</v>
      </c>
      <c r="AC77" s="341">
        <f t="shared" si="73"/>
        <v>1.8898886230681088E-3</v>
      </c>
      <c r="AD77" s="341">
        <f t="shared" si="58"/>
        <v>3.1739015310322603E-2</v>
      </c>
      <c r="AE77" s="341" t="s">
        <v>892</v>
      </c>
      <c r="AF77" s="341" t="s">
        <v>892</v>
      </c>
      <c r="AG77" s="347"/>
      <c r="AH77" s="347"/>
      <c r="AI77" s="342"/>
      <c r="AJ77" s="345"/>
      <c r="AK77" s="6"/>
      <c r="AL77" s="6"/>
      <c r="AO77" s="348"/>
    </row>
    <row r="78" spans="1:43" s="341" customFormat="1">
      <c r="B78" s="341" t="s">
        <v>92</v>
      </c>
      <c r="C78" s="342"/>
      <c r="D78" s="341" t="s">
        <v>173</v>
      </c>
      <c r="E78" s="341" t="s">
        <v>761</v>
      </c>
      <c r="F78" s="342">
        <v>45637</v>
      </c>
      <c r="G78" s="342">
        <v>45639</v>
      </c>
      <c r="H78" s="343">
        <f>220000000-213000000</f>
        <v>7000000</v>
      </c>
      <c r="I78" s="342" t="str">
        <f>VLOOKUP(B78,Справочник!A:L,2,0)</f>
        <v>10.05.2031</v>
      </c>
      <c r="J78" s="342"/>
      <c r="K78" s="366">
        <f>VLOOKUP(B78,Справочник!A:L,3,0)</f>
        <v>8.4399999999999989E-2</v>
      </c>
      <c r="L78" s="341">
        <f>VLOOKUP(B78,Справочник!A:L,4,0)</f>
        <v>1</v>
      </c>
      <c r="M78" s="341" t="str">
        <f>VLOOKUP(B78,Справочник!A:L,5,0)</f>
        <v>fix</v>
      </c>
      <c r="N78" s="341" t="str">
        <f>VLOOKUP(B78,Справочник!A:L,6,0)</f>
        <v>30/360</v>
      </c>
      <c r="O78" s="341">
        <f t="shared" si="75"/>
        <v>4</v>
      </c>
      <c r="P78" s="314">
        <f>Q78-(366/L78)+1</f>
        <v>45422</v>
      </c>
      <c r="Q78" s="344">
        <f t="shared" si="67"/>
        <v>45787</v>
      </c>
      <c r="S78" s="344">
        <f t="shared" si="68"/>
        <v>46152</v>
      </c>
      <c r="T78" s="345">
        <f>VLOOKUP(B78,Цены!C:K,4,0)</f>
        <v>70.569999999999993</v>
      </c>
      <c r="U78" s="371">
        <f t="shared" si="69"/>
        <v>590799.99999999988</v>
      </c>
      <c r="V78" s="374">
        <f t="shared" ca="1" si="12"/>
        <v>262577.77777777769</v>
      </c>
      <c r="W78" s="346">
        <f t="shared" si="70"/>
        <v>4939899.9999999991</v>
      </c>
      <c r="X78" s="393">
        <f t="shared" ca="1" si="71"/>
        <v>5202477.7777777771</v>
      </c>
      <c r="Z78" s="341">
        <f t="shared" si="74"/>
        <v>2.2389636528510938E-4</v>
      </c>
      <c r="AA78" s="341">
        <f t="shared" ref="AA78:AA87" si="79">IFERROR(YIELD($A$2,I78,K78,T78,100,L78,O78),0)</f>
        <v>0.16986046244557707</v>
      </c>
      <c r="AB78" s="341">
        <f t="shared" ref="AB78:AB87" si="80">IFERROR(MDURATION($A$2,I78,K78,AA78,L78,O78),0)</f>
        <v>3.646176715660896</v>
      </c>
      <c r="AC78" s="341">
        <f t="shared" ref="AC78:AC87" si="81">Z78*AA78</f>
        <v>3.8031140147212529E-5</v>
      </c>
      <c r="AD78" s="341">
        <f t="shared" ref="AD78:AD87" si="82">Z78*AB78</f>
        <v>8.1636571382367237E-4</v>
      </c>
      <c r="AE78" s="341" t="s">
        <v>892</v>
      </c>
      <c r="AF78" s="341" t="s">
        <v>892</v>
      </c>
      <c r="AG78" s="347"/>
      <c r="AH78" s="347"/>
      <c r="AI78" s="342"/>
      <c r="AK78" s="6"/>
      <c r="AL78" s="6"/>
      <c r="AO78" s="348"/>
    </row>
    <row r="79" spans="1:43" s="321" customFormat="1">
      <c r="B79" s="321" t="s">
        <v>92</v>
      </c>
      <c r="C79" s="314"/>
      <c r="D79" s="321" t="s">
        <v>173</v>
      </c>
      <c r="E79" s="321" t="s">
        <v>761</v>
      </c>
      <c r="F79" s="314">
        <v>45797</v>
      </c>
      <c r="G79" s="314">
        <v>45799</v>
      </c>
      <c r="H79" s="322">
        <v>500000000</v>
      </c>
      <c r="I79" s="314" t="str">
        <f>VLOOKUP(B79,Справочник!A:L,2,0)</f>
        <v>10.05.2031</v>
      </c>
      <c r="J79" s="314"/>
      <c r="K79" s="323">
        <f>VLOOKUP(B79,Справочник!A:L,3,0)</f>
        <v>8.4399999999999989E-2</v>
      </c>
      <c r="L79" s="321">
        <f>VLOOKUP(B79,Справочник!A:L,4,0)</f>
        <v>1</v>
      </c>
      <c r="M79" s="321" t="str">
        <f>VLOOKUP(B79,Справочник!A:L,5,0)</f>
        <v>fix</v>
      </c>
      <c r="N79" s="321" t="str">
        <f>VLOOKUP(B79,Справочник!A:L,6,0)</f>
        <v>30/360</v>
      </c>
      <c r="O79" s="321">
        <f>IF(N79="actual/actual",1,IF(N79="actual/360",2,IF(N79="actual/365",3,IF(N79="30/360",4))))</f>
        <v>4</v>
      </c>
      <c r="P79" s="314">
        <f>Q79-(366/L79)+1</f>
        <v>45422</v>
      </c>
      <c r="Q79" s="325">
        <f>COUPPCD($A$2,I79,L79,4)</f>
        <v>45787</v>
      </c>
      <c r="S79" s="325">
        <f>COUPNCD($A$2,I79,L79,0)</f>
        <v>46152</v>
      </c>
      <c r="T79" s="345">
        <f>VLOOKUP(B79,Цены!C:K,4,0)</f>
        <v>70.569999999999993</v>
      </c>
      <c r="U79" s="330">
        <f>IF(P79="",0,H79*K79*IF(O79=4,DAYS360(P79,Q79,1)/360,IF(O79=3,DAYS360(P79,Q79,1)/365,IF(O79=2,(Q79-P79)/360,IF(AND(L79=1,O79=1),(Q79-P79)/(Q79-COUPPCD(Q79-1,I79,1,3)))))))</f>
        <v>42199999.999999993</v>
      </c>
      <c r="V79" s="374">
        <f ca="1">IF($A$2=DATE(YEAR(TODAY()),2,29),H79*K79*IF(O79=4,DAYS360(Q79,$A$2,1)/360,IF(O79=3,DAYS360(Q79,$A$2,1)/365,IF(O79=2,($A$2-Q79)/360,IF(AND(L79=1,O79=1),($A$2-Q79)/(Q79-COUPPCD(Q79-1,I79,1,3))))))+(H79*K79)/360,H79*K79*IF(O79=4,DAYS360(Q79,$A$2,1)/360,IF(O79=3,DAYS360(Q79,$A$2,1)/365,IF(O79=2,($A$2-Q79)/360,IF(AND(L79=1,O79=1),($A$2-Q79)/(Q79-COUPPCD(Q79-1,I79,1,3)))))))</f>
        <v>18755555.555555552</v>
      </c>
      <c r="W79" s="346">
        <f t="shared" si="70"/>
        <v>352849999.99999994</v>
      </c>
      <c r="X79" s="393">
        <f t="shared" ca="1" si="71"/>
        <v>371605555.55555546</v>
      </c>
      <c r="Z79" s="321">
        <f t="shared" si="74"/>
        <v>1.5992597520364957E-2</v>
      </c>
      <c r="AA79" s="321">
        <f>IFERROR(YIELD($A$2,I79,K79,T79,100,L79,O79),0)</f>
        <v>0.16986046244557707</v>
      </c>
      <c r="AB79" s="321">
        <f>IFERROR(MDURATION($A$2,I79,K79,AA79,L79,O79),0)</f>
        <v>3.646176715660896</v>
      </c>
      <c r="AC79" s="321">
        <f>Z79*AA79</f>
        <v>2.7165100105151804E-3</v>
      </c>
      <c r="AD79" s="321">
        <f>Z79*AB79</f>
        <v>5.8311836701690885E-2</v>
      </c>
      <c r="AE79" s="321" t="s">
        <v>892</v>
      </c>
      <c r="AF79" s="321" t="s">
        <v>892</v>
      </c>
      <c r="AG79" s="320"/>
      <c r="AH79" s="320"/>
      <c r="AI79" s="314"/>
      <c r="AK79" s="327"/>
      <c r="AL79" s="327"/>
      <c r="AO79" s="471"/>
    </row>
    <row r="80" spans="1:43" s="341" customFormat="1">
      <c r="B80" s="341" t="s">
        <v>683</v>
      </c>
      <c r="C80" s="342"/>
      <c r="D80" s="341" t="s">
        <v>173</v>
      </c>
      <c r="E80" s="341" t="s">
        <v>761</v>
      </c>
      <c r="F80" s="342">
        <v>45637</v>
      </c>
      <c r="G80" s="342">
        <v>45639</v>
      </c>
      <c r="H80" s="343">
        <f>173000000-163000000</f>
        <v>10000000</v>
      </c>
      <c r="I80" s="342">
        <f>VLOOKUP(B80,Справочник!A:L,2,0)</f>
        <v>48353</v>
      </c>
      <c r="J80" s="342"/>
      <c r="K80" s="366">
        <f>VLOOKUP(B80,Справочник!A:L,3,0)</f>
        <v>0.14000000000000001</v>
      </c>
      <c r="L80" s="341">
        <f>VLOOKUP(B80,Справочник!A:L,4,0)</f>
        <v>1</v>
      </c>
      <c r="M80" s="341" t="str">
        <f>VLOOKUP(B80,Справочник!A:L,5,0)</f>
        <v>fix</v>
      </c>
      <c r="N80" s="341" t="str">
        <f>VLOOKUP(B80,Справочник!A:L,6,0)</f>
        <v>30/360</v>
      </c>
      <c r="O80" s="341">
        <f t="shared" si="75"/>
        <v>4</v>
      </c>
      <c r="P80" s="342">
        <f>Q80-(365/L80)</f>
        <v>45431</v>
      </c>
      <c r="Q80" s="344">
        <f t="shared" si="67"/>
        <v>45796</v>
      </c>
      <c r="S80" s="344">
        <f t="shared" si="68"/>
        <v>46161</v>
      </c>
      <c r="T80" s="345">
        <f>VLOOKUP(B80,Цены!C:K,4,0)</f>
        <v>88.350999999999999</v>
      </c>
      <c r="U80" s="371">
        <f t="shared" si="69"/>
        <v>1400000.0000000002</v>
      </c>
      <c r="V80" s="374">
        <f t="shared" ca="1" si="12"/>
        <v>587222.22222222236</v>
      </c>
      <c r="W80" s="346">
        <f t="shared" si="70"/>
        <v>8835100</v>
      </c>
      <c r="X80" s="393">
        <f t="shared" ca="1" si="71"/>
        <v>9422322.222222222</v>
      </c>
      <c r="Z80" s="341">
        <f t="shared" si="74"/>
        <v>4.0044267635589191E-4</v>
      </c>
      <c r="AA80" s="341">
        <f t="shared" si="79"/>
        <v>0.17004515765929379</v>
      </c>
      <c r="AB80" s="341">
        <f t="shared" si="80"/>
        <v>3.700874452227219</v>
      </c>
      <c r="AC80" s="341">
        <f t="shared" si="81"/>
        <v>6.8093338034447195E-5</v>
      </c>
      <c r="AD80" s="341">
        <f t="shared" si="82"/>
        <v>1.481988070507013E-3</v>
      </c>
      <c r="AE80" s="341" t="s">
        <v>892</v>
      </c>
      <c r="AG80" s="347"/>
      <c r="AH80" s="347"/>
      <c r="AI80" s="342"/>
      <c r="AK80" s="6"/>
      <c r="AL80" s="6"/>
      <c r="AO80" s="348"/>
    </row>
    <row r="81" spans="2:41" s="341" customFormat="1">
      <c r="B81" s="341" t="s">
        <v>61</v>
      </c>
      <c r="C81" s="342"/>
      <c r="D81" s="341" t="s">
        <v>173</v>
      </c>
      <c r="E81" s="341" t="s">
        <v>761</v>
      </c>
      <c r="F81" s="342">
        <v>45645</v>
      </c>
      <c r="G81" s="342">
        <v>45649</v>
      </c>
      <c r="H81" s="343">
        <v>300000000</v>
      </c>
      <c r="I81" s="342">
        <f>VLOOKUP(B81,Справочник!A:L,2,0)</f>
        <v>48328</v>
      </c>
      <c r="J81" s="342"/>
      <c r="K81" s="366">
        <f>VLOOKUP(B81,Справочник!A:L,3,0)</f>
        <v>5.5E-2</v>
      </c>
      <c r="L81" s="341">
        <f>VLOOKUP(B81,Справочник!A:L,4,0)</f>
        <v>1</v>
      </c>
      <c r="M81" s="341" t="str">
        <f>VLOOKUP(B81,Справочник!A:L,5,0)</f>
        <v>fix</v>
      </c>
      <c r="N81" s="341" t="str">
        <f>VLOOKUP(B81,Справочник!A:L,6,0)</f>
        <v>30/360</v>
      </c>
      <c r="O81" s="341">
        <f t="shared" si="75"/>
        <v>4</v>
      </c>
      <c r="P81" s="342">
        <f>Q81-(365/L81)</f>
        <v>45406</v>
      </c>
      <c r="Q81" s="344">
        <f t="shared" ref="Q81:Q87" si="83">COUPPCD($A$2,I81,L81,4)</f>
        <v>45771</v>
      </c>
      <c r="S81" s="344">
        <f t="shared" ref="S81:S87" si="84">COUPNCD($A$2,I81,L81,0)</f>
        <v>46136</v>
      </c>
      <c r="T81" s="345">
        <f>VLOOKUP(B81,Цены!C:K,4,0)</f>
        <v>56.507199999999997</v>
      </c>
      <c r="U81" s="371">
        <f t="shared" ref="U81:U87" si="85">IF(P81="",0,H81*K81*IF(O81=4,DAYS360(P81,Q81,1)/360,IF(O81=3,DAYS360(P81,Q81,1)/365,IF(O81=2,(Q81-P81)/360,IF(AND(L81=1,O81=1),(Q81-P81)/(Q81-COUPPCD(Q81-1,I81,1,3)))))))</f>
        <v>16500000</v>
      </c>
      <c r="V81" s="374">
        <f t="shared" ca="1" si="12"/>
        <v>8066666.666666666</v>
      </c>
      <c r="W81" s="346">
        <f t="shared" ref="W81:W87" si="86">T81/100*H81</f>
        <v>169521600</v>
      </c>
      <c r="X81" s="393">
        <f t="shared" ref="X81:X87" ca="1" si="87">SUM(V81:W81)</f>
        <v>177588266.66666666</v>
      </c>
      <c r="Z81" s="341">
        <f t="shared" si="74"/>
        <v>7.6834085866750758E-3</v>
      </c>
      <c r="AA81" s="341">
        <f t="shared" si="79"/>
        <v>0.17029450814885375</v>
      </c>
      <c r="AB81" s="341">
        <f t="shared" si="80"/>
        <v>4.3485233860720971</v>
      </c>
      <c r="AC81" s="341">
        <f t="shared" si="81"/>
        <v>1.3084422861745115E-3</v>
      </c>
      <c r="AD81" s="341">
        <f t="shared" si="82"/>
        <v>3.3411481923903724E-2</v>
      </c>
      <c r="AE81" s="341" t="s">
        <v>892</v>
      </c>
      <c r="AF81" s="341" t="s">
        <v>892</v>
      </c>
      <c r="AG81" s="347"/>
      <c r="AH81" s="347"/>
      <c r="AI81" s="342"/>
      <c r="AK81" s="6"/>
      <c r="AL81" s="6"/>
      <c r="AO81" s="348"/>
    </row>
    <row r="82" spans="2:41" s="341" customFormat="1">
      <c r="B82" s="341" t="s">
        <v>94</v>
      </c>
      <c r="C82" s="342"/>
      <c r="D82" s="341" t="s">
        <v>173</v>
      </c>
      <c r="E82" s="341" t="s">
        <v>761</v>
      </c>
      <c r="F82" s="342">
        <v>45649</v>
      </c>
      <c r="G82" s="342">
        <v>45651</v>
      </c>
      <c r="H82" s="343">
        <v>300000000</v>
      </c>
      <c r="I82" s="342" t="str">
        <f>VLOOKUP(B82,Справочник!A:L,2,0)</f>
        <v>11.02.2037</v>
      </c>
      <c r="J82" s="342"/>
      <c r="K82" s="366">
        <f>VLOOKUP(B82,Справочник!A:L,3,0)</f>
        <v>8.6999999999999994E-2</v>
      </c>
      <c r="L82" s="341">
        <f>VLOOKUP(B82,Справочник!A:L,4,0)</f>
        <v>1</v>
      </c>
      <c r="M82" s="341" t="str">
        <f>VLOOKUP(B82,Справочник!A:L,5,0)</f>
        <v>fix</v>
      </c>
      <c r="N82" s="341" t="str">
        <f>VLOOKUP(B82,Справочник!A:L,6,0)</f>
        <v>30/360</v>
      </c>
      <c r="O82" s="341">
        <f t="shared" si="75"/>
        <v>4</v>
      </c>
      <c r="P82" s="342">
        <f>Q82-(366/L82)</f>
        <v>45333</v>
      </c>
      <c r="Q82" s="344">
        <f t="shared" si="83"/>
        <v>45699</v>
      </c>
      <c r="S82" s="344">
        <f t="shared" si="84"/>
        <v>46064</v>
      </c>
      <c r="T82" s="345">
        <f>VLOOKUP(B82,Цены!C:K,4,0)</f>
        <v>58.986499999999999</v>
      </c>
      <c r="U82" s="371">
        <f t="shared" si="85"/>
        <v>26100000</v>
      </c>
      <c r="V82" s="374">
        <f t="shared" ca="1" si="12"/>
        <v>18052500</v>
      </c>
      <c r="W82" s="346">
        <f t="shared" si="86"/>
        <v>176959500</v>
      </c>
      <c r="X82" s="393">
        <f t="shared" ca="1" si="87"/>
        <v>195012000</v>
      </c>
      <c r="Z82" s="341">
        <f t="shared" si="74"/>
        <v>8.0205244747202017E-3</v>
      </c>
      <c r="AA82" s="341">
        <f t="shared" si="79"/>
        <v>0.17095299213756668</v>
      </c>
      <c r="AB82" s="341">
        <f t="shared" si="80"/>
        <v>5.0479435821758756</v>
      </c>
      <c r="AC82" s="341">
        <f t="shared" si="81"/>
        <v>1.3711326574660037E-3</v>
      </c>
      <c r="AD82" s="341">
        <f t="shared" si="82"/>
        <v>4.0487155047848375E-2</v>
      </c>
      <c r="AE82" s="341" t="s">
        <v>892</v>
      </c>
      <c r="AF82" s="341" t="s">
        <v>892</v>
      </c>
      <c r="AG82" s="347"/>
      <c r="AH82" s="347"/>
      <c r="AI82" s="342"/>
      <c r="AK82" s="6"/>
      <c r="AL82" s="6"/>
      <c r="AO82" s="348"/>
    </row>
    <row r="83" spans="2:41" s="341" customFormat="1">
      <c r="B83" s="341" t="s">
        <v>476</v>
      </c>
      <c r="C83" s="342"/>
      <c r="D83" s="341" t="s">
        <v>173</v>
      </c>
      <c r="E83" s="341" t="s">
        <v>761</v>
      </c>
      <c r="F83" s="342">
        <v>45652</v>
      </c>
      <c r="G83" s="342">
        <v>45656</v>
      </c>
      <c r="H83" s="343">
        <v>263000000</v>
      </c>
      <c r="I83" s="342">
        <f>VLOOKUP(B83,Справочник!A:L,2,0)</f>
        <v>47518</v>
      </c>
      <c r="J83" s="342"/>
      <c r="K83" s="366">
        <f>VLOOKUP(B83,Справочник!A:L,3,0)</f>
        <v>0.11</v>
      </c>
      <c r="L83" s="341">
        <f>VLOOKUP(B83,Справочник!A:L,4,0)</f>
        <v>1</v>
      </c>
      <c r="M83" s="341" t="str">
        <f>VLOOKUP(B83,Справочник!A:L,5,0)</f>
        <v>fix</v>
      </c>
      <c r="N83" s="341" t="str">
        <f>VLOOKUP(B83,Справочник!A:L,6,0)</f>
        <v>30/360</v>
      </c>
      <c r="O83" s="341">
        <f t="shared" si="75"/>
        <v>4</v>
      </c>
      <c r="P83" s="342">
        <f>Q83-(366/L83)</f>
        <v>45326</v>
      </c>
      <c r="Q83" s="344">
        <f t="shared" si="83"/>
        <v>45692</v>
      </c>
      <c r="S83" s="344">
        <f t="shared" si="84"/>
        <v>46057</v>
      </c>
      <c r="T83" s="345">
        <f>VLOOKUP(B83,Цены!C:K,4,0)</f>
        <v>82.604799999999997</v>
      </c>
      <c r="U83" s="371">
        <f t="shared" si="85"/>
        <v>28930000</v>
      </c>
      <c r="V83" s="374">
        <f t="shared" ca="1" si="12"/>
        <v>20572444.444444444</v>
      </c>
      <c r="W83" s="346">
        <f t="shared" si="86"/>
        <v>217250624</v>
      </c>
      <c r="X83" s="393">
        <f t="shared" ca="1" si="87"/>
        <v>237823068.44444445</v>
      </c>
      <c r="Z83" s="341">
        <f t="shared" si="74"/>
        <v>9.8466821331447928E-3</v>
      </c>
      <c r="AA83" s="341">
        <f t="shared" si="79"/>
        <v>0.16968978594937764</v>
      </c>
      <c r="AB83" s="341">
        <f t="shared" si="80"/>
        <v>2.8067892767991913</v>
      </c>
      <c r="AC83" s="341">
        <f t="shared" si="81"/>
        <v>1.6708813834849011E-3</v>
      </c>
      <c r="AD83" s="341">
        <f t="shared" si="82"/>
        <v>2.7637561823360992E-2</v>
      </c>
      <c r="AE83" s="341" t="s">
        <v>892</v>
      </c>
      <c r="AF83" s="341" t="s">
        <v>892</v>
      </c>
      <c r="AG83" s="347"/>
      <c r="AH83" s="347"/>
      <c r="AI83" s="342"/>
      <c r="AK83" s="6"/>
      <c r="AL83" s="6"/>
      <c r="AO83" s="348"/>
    </row>
    <row r="84" spans="2:41" s="341" customFormat="1">
      <c r="B84" s="341" t="s">
        <v>503</v>
      </c>
      <c r="C84" s="342"/>
      <c r="D84" s="341" t="s">
        <v>173</v>
      </c>
      <c r="E84" s="341" t="s">
        <v>761</v>
      </c>
      <c r="F84" s="342">
        <v>45653</v>
      </c>
      <c r="G84" s="342">
        <v>45657</v>
      </c>
      <c r="H84" s="343">
        <v>341000000</v>
      </c>
      <c r="I84" s="342">
        <f>VLOOKUP(B84,Справочник!A:L,2,0)</f>
        <v>47180</v>
      </c>
      <c r="J84" s="342"/>
      <c r="K84" s="366">
        <f>VLOOKUP(B84,Справочник!A:L,3,0)</f>
        <v>0.153</v>
      </c>
      <c r="L84" s="341">
        <f>VLOOKUP(B84,Справочник!A:L,4,0)</f>
        <v>1</v>
      </c>
      <c r="M84" s="341" t="str">
        <f>VLOOKUP(B84,Справочник!A:L,5,0)</f>
        <v>fix</v>
      </c>
      <c r="N84" s="341" t="str">
        <f>VLOOKUP(B84,Справочник!A:L,6,0)</f>
        <v>30/360</v>
      </c>
      <c r="O84" s="341">
        <f>IF(N84="actual/actual",1,IF(N84="actual/360",2,IF(N84="actual/365",3,IF(N84="30/360",4))))</f>
        <v>4</v>
      </c>
      <c r="P84" s="342">
        <f>Q84-(365/L84)</f>
        <v>45354</v>
      </c>
      <c r="Q84" s="344">
        <f t="shared" si="83"/>
        <v>45719</v>
      </c>
      <c r="S84" s="344">
        <f t="shared" si="84"/>
        <v>46084</v>
      </c>
      <c r="T84" s="345">
        <f>VLOOKUP(B84,Цены!C:K,4,0)</f>
        <v>95.883899999999997</v>
      </c>
      <c r="U84" s="371">
        <f t="shared" si="85"/>
        <v>52173000</v>
      </c>
      <c r="V84" s="374">
        <f t="shared" ref="V84:V133" ca="1" si="88">IF($A$2=DATE(YEAR(TODAY()),2,29),H84*K84*IF(O84=4,DAYS360(Q84,$A$2,1)/360,IF(O84=3,DAYS360(Q84,$A$2,1)/365,IF(O84=2,($A$2-Q84)/360,IF(AND(L84=1,O84=1),($A$2-Q84)/(Q84-COUPPCD(Q84-1,I84,1,3))))))+(H84*K84)/360,H84*K84*IF(O84=4,DAYS360(Q84,$A$2,1)/360,IF(O84=3,DAYS360(Q84,$A$2,1)/365,IF(O84=2,($A$2-Q84)/360,IF(AND(L84=1,O84=1),($A$2-Q84)/(Q84-COUPPCD(Q84-1,I84,1,3)))))))</f>
        <v>32897975</v>
      </c>
      <c r="W84" s="346">
        <f t="shared" si="86"/>
        <v>326964099</v>
      </c>
      <c r="X84" s="393">
        <f t="shared" ca="1" si="87"/>
        <v>359862074</v>
      </c>
      <c r="Z84" s="341">
        <f t="shared" si="74"/>
        <v>1.481934317391459E-2</v>
      </c>
      <c r="AA84" s="341">
        <f t="shared" si="79"/>
        <v>0.16884291528442724</v>
      </c>
      <c r="AB84" s="341">
        <f t="shared" si="80"/>
        <v>2.2453882781627179</v>
      </c>
      <c r="AC84" s="341">
        <f t="shared" si="81"/>
        <v>2.5021411040841162E-3</v>
      </c>
      <c r="AD84" s="341">
        <f t="shared" si="82"/>
        <v>3.3275179452778511E-2</v>
      </c>
      <c r="AE84" s="341" t="s">
        <v>892</v>
      </c>
      <c r="AF84" s="341" t="s">
        <v>892</v>
      </c>
      <c r="AG84" s="347"/>
      <c r="AH84" s="347"/>
      <c r="AI84" s="342"/>
      <c r="AK84" s="6"/>
      <c r="AL84" s="6"/>
      <c r="AO84" s="348"/>
    </row>
    <row r="85" spans="2:41" s="341" customFormat="1">
      <c r="B85" s="341" t="s">
        <v>446</v>
      </c>
      <c r="C85" s="342"/>
      <c r="D85" s="341" t="s">
        <v>173</v>
      </c>
      <c r="E85" s="341" t="s">
        <v>761</v>
      </c>
      <c r="F85" s="342">
        <v>45671</v>
      </c>
      <c r="G85" s="342">
        <v>45673</v>
      </c>
      <c r="H85" s="343">
        <v>250000000</v>
      </c>
      <c r="I85" s="342">
        <f>VLOOKUP(B85,Справочник!A:L,2,0)</f>
        <v>48421</v>
      </c>
      <c r="J85" s="342"/>
      <c r="K85" s="366">
        <f>VLOOKUP(B85,Справочник!A:L,3,0)</f>
        <v>0.1065</v>
      </c>
      <c r="L85" s="341">
        <f>VLOOKUP(B85,Справочник!A:L,4,0)</f>
        <v>1</v>
      </c>
      <c r="M85" s="341" t="str">
        <f>VLOOKUP(B85,Справочник!A:L,5,0)</f>
        <v>fix</v>
      </c>
      <c r="N85" s="341" t="str">
        <f>VLOOKUP(B85,Справочник!A:L,6,0)</f>
        <v>30/360</v>
      </c>
      <c r="O85" s="341">
        <f>IF(N85="actual/actual",1,IF(N85="actual/360",2,IF(N85="actual/365",3,IF(N85="30/360",4))))</f>
        <v>4</v>
      </c>
      <c r="P85" s="314">
        <f>Q85-(365/L85)</f>
        <v>45499</v>
      </c>
      <c r="Q85" s="344">
        <f t="shared" si="83"/>
        <v>45864</v>
      </c>
      <c r="S85" s="344">
        <f t="shared" si="84"/>
        <v>46229</v>
      </c>
      <c r="T85" s="345">
        <f>VLOOKUP(B85,Цены!C:K,4,0)</f>
        <v>75.357399999999998</v>
      </c>
      <c r="U85" s="371">
        <f t="shared" si="85"/>
        <v>26625000</v>
      </c>
      <c r="V85" s="374">
        <f t="shared" ca="1" si="88"/>
        <v>6212500</v>
      </c>
      <c r="W85" s="346">
        <f t="shared" si="86"/>
        <v>188393500</v>
      </c>
      <c r="X85" s="393">
        <f t="shared" ca="1" si="87"/>
        <v>194606000</v>
      </c>
      <c r="Z85" s="341">
        <f t="shared" si="74"/>
        <v>8.5387598723335022E-3</v>
      </c>
      <c r="AA85" s="341">
        <f t="shared" si="79"/>
        <v>0.1701657954073986</v>
      </c>
      <c r="AB85" s="341">
        <f t="shared" si="80"/>
        <v>4.0632393954712009</v>
      </c>
      <c r="AC85" s="341">
        <f t="shared" si="81"/>
        <v>1.4530048654684076E-3</v>
      </c>
      <c r="AD85" s="341">
        <f t="shared" si="82"/>
        <v>3.4695025501734131E-2</v>
      </c>
      <c r="AE85" s="341" t="str">
        <f>IF(S85-$A$2&lt;10,"Скоро погашение купона","Ok")</f>
        <v>Ok</v>
      </c>
      <c r="AF85" s="341" t="str">
        <f>IF(I85-$A$2&lt;=0,"Погашено","Ok")</f>
        <v>Ok</v>
      </c>
      <c r="AG85" s="347"/>
      <c r="AH85" s="347"/>
      <c r="AI85" s="342"/>
      <c r="AJ85" s="345"/>
      <c r="AK85" s="6"/>
      <c r="AL85" s="6"/>
      <c r="AO85" s="348"/>
    </row>
    <row r="86" spans="2:41" s="341" customFormat="1">
      <c r="B86" s="341" t="s">
        <v>390</v>
      </c>
      <c r="C86" s="342"/>
      <c r="D86" s="341" t="s">
        <v>173</v>
      </c>
      <c r="E86" s="341" t="s">
        <v>761</v>
      </c>
      <c r="F86" s="342">
        <v>45671</v>
      </c>
      <c r="G86" s="342">
        <v>45673</v>
      </c>
      <c r="H86" s="343">
        <v>82727000</v>
      </c>
      <c r="I86" s="342">
        <f>VLOOKUP(B86,Справочник!A:L,2,0)</f>
        <v>47053</v>
      </c>
      <c r="J86" s="342"/>
      <c r="K86" s="366">
        <f>VLOOKUP(B86,Справочник!A:L,3,0)</f>
        <v>0.1047</v>
      </c>
      <c r="L86" s="341">
        <f>VLOOKUP(B86,Справочник!A:L,4,0)</f>
        <v>1</v>
      </c>
      <c r="M86" s="341" t="str">
        <f>VLOOKUP(B86,Справочник!A:L,5,0)</f>
        <v>fix</v>
      </c>
      <c r="N86" s="341" t="str">
        <f>VLOOKUP(B86,Справочник!A:L,6,0)</f>
        <v>30/360</v>
      </c>
      <c r="O86" s="341">
        <f>IF(N86="actual/actual",1,IF(N86="actual/360",2,IF(N86="actual/365",3,IF(N86="30/360",4))))</f>
        <v>4</v>
      </c>
      <c r="P86" s="342">
        <f>Q86-(366/L86)</f>
        <v>45226</v>
      </c>
      <c r="Q86" s="344">
        <f t="shared" si="83"/>
        <v>45592</v>
      </c>
      <c r="S86" s="344">
        <f t="shared" si="84"/>
        <v>45957</v>
      </c>
      <c r="T86" s="345">
        <f>VLOOKUP(B86,Цены!C:K,4,0)</f>
        <v>85.716800000000006</v>
      </c>
      <c r="U86" s="371">
        <f t="shared" si="85"/>
        <v>8661516.9000000004</v>
      </c>
      <c r="V86" s="374">
        <f t="shared" ca="1" si="88"/>
        <v>8493098.5158333331</v>
      </c>
      <c r="W86" s="346">
        <f t="shared" si="86"/>
        <v>70910937.136000007</v>
      </c>
      <c r="X86" s="393">
        <f t="shared" ca="1" si="87"/>
        <v>79404035.651833341</v>
      </c>
      <c r="Z86" s="341">
        <f t="shared" si="74"/>
        <v>3.2139721621310732E-3</v>
      </c>
      <c r="AA86" s="341">
        <f t="shared" si="79"/>
        <v>0.16882105329628416</v>
      </c>
      <c r="AB86" s="341">
        <f t="shared" si="80"/>
        <v>2.0768784650370322</v>
      </c>
      <c r="AC86" s="341">
        <f t="shared" si="81"/>
        <v>5.4258616567590351E-4</v>
      </c>
      <c r="AD86" s="341">
        <f t="shared" si="82"/>
        <v>6.6750295707585349E-3</v>
      </c>
      <c r="AE86" s="341" t="str">
        <f>IF(S86-$A$2&lt;10,"Скоро погашение купона","Ok")</f>
        <v>Скоро погашение купона</v>
      </c>
      <c r="AF86" s="341" t="str">
        <f>IF(I86-$A$2&lt;=0,"Погашено","Ok")</f>
        <v>Ok</v>
      </c>
      <c r="AG86" s="347"/>
      <c r="AH86" s="347"/>
      <c r="AI86" s="342"/>
      <c r="AK86" s="6"/>
      <c r="AL86" s="6"/>
      <c r="AO86" s="348"/>
    </row>
    <row r="87" spans="2:41" s="341" customFormat="1">
      <c r="B87" s="341" t="s">
        <v>61</v>
      </c>
      <c r="C87" s="342"/>
      <c r="D87" s="341" t="s">
        <v>173</v>
      </c>
      <c r="E87" s="341" t="s">
        <v>761</v>
      </c>
      <c r="F87" s="342">
        <v>45673</v>
      </c>
      <c r="G87" s="342">
        <v>45677</v>
      </c>
      <c r="H87" s="343">
        <v>300000000</v>
      </c>
      <c r="I87" s="342">
        <f>VLOOKUP(B87,Справочник!A:L,2,0)</f>
        <v>48328</v>
      </c>
      <c r="J87" s="342"/>
      <c r="K87" s="366">
        <f>VLOOKUP(B87,Справочник!A:L,3,0)</f>
        <v>5.5E-2</v>
      </c>
      <c r="L87" s="341">
        <f>VLOOKUP(B87,Справочник!A:L,4,0)</f>
        <v>1</v>
      </c>
      <c r="M87" s="341" t="str">
        <f>VLOOKUP(B87,Справочник!A:L,5,0)</f>
        <v>fix</v>
      </c>
      <c r="N87" s="341" t="str">
        <f>VLOOKUP(B87,Справочник!A:L,6,0)</f>
        <v>30/360</v>
      </c>
      <c r="O87" s="341">
        <f>IF(N87="actual/actual",1,IF(N87="actual/360",2,IF(N87="actual/365",3,IF(N87="30/360",4))))</f>
        <v>4</v>
      </c>
      <c r="P87" s="342">
        <f>Q87-(365/L87)</f>
        <v>45406</v>
      </c>
      <c r="Q87" s="344">
        <f t="shared" si="83"/>
        <v>45771</v>
      </c>
      <c r="S87" s="344">
        <f t="shared" si="84"/>
        <v>46136</v>
      </c>
      <c r="T87" s="345">
        <f>VLOOKUP(B87,Цены!C:K,4,0)</f>
        <v>56.507199999999997</v>
      </c>
      <c r="U87" s="371">
        <f t="shared" si="85"/>
        <v>16500000</v>
      </c>
      <c r="V87" s="374">
        <f t="shared" ca="1" si="88"/>
        <v>8066666.666666666</v>
      </c>
      <c r="W87" s="346">
        <f t="shared" si="86"/>
        <v>169521600</v>
      </c>
      <c r="X87" s="393">
        <f t="shared" ca="1" si="87"/>
        <v>177588266.66666666</v>
      </c>
      <c r="Z87" s="341">
        <f t="shared" si="74"/>
        <v>7.6834085866750758E-3</v>
      </c>
      <c r="AA87" s="341">
        <f t="shared" si="79"/>
        <v>0.17029450814885375</v>
      </c>
      <c r="AB87" s="341">
        <f t="shared" si="80"/>
        <v>4.3485233860720971</v>
      </c>
      <c r="AC87" s="341">
        <f t="shared" si="81"/>
        <v>1.3084422861745115E-3</v>
      </c>
      <c r="AD87" s="341">
        <f t="shared" si="82"/>
        <v>3.3411481923903724E-2</v>
      </c>
      <c r="AE87" s="341" t="s">
        <v>892</v>
      </c>
      <c r="AF87" s="341" t="s">
        <v>892</v>
      </c>
      <c r="AG87" s="347"/>
      <c r="AH87" s="347"/>
      <c r="AI87" s="342"/>
      <c r="AK87" s="6"/>
      <c r="AL87" s="6"/>
      <c r="AO87" s="348"/>
    </row>
    <row r="88" spans="2:41" s="341" customFormat="1">
      <c r="B88" s="341" t="s">
        <v>94</v>
      </c>
      <c r="C88" s="342"/>
      <c r="D88" s="341" t="s">
        <v>173</v>
      </c>
      <c r="E88" s="341" t="s">
        <v>761</v>
      </c>
      <c r="F88" s="342">
        <v>45678</v>
      </c>
      <c r="G88" s="342">
        <v>45680</v>
      </c>
      <c r="H88" s="343">
        <v>200000000</v>
      </c>
      <c r="I88" s="342" t="str">
        <f>VLOOKUP(B88,Справочник!A:L,2,0)</f>
        <v>11.02.2037</v>
      </c>
      <c r="J88" s="342"/>
      <c r="K88" s="366">
        <f>VLOOKUP(B88,Справочник!A:L,3,0)</f>
        <v>8.6999999999999994E-2</v>
      </c>
      <c r="L88" s="341">
        <f>VLOOKUP(B88,Справочник!A:L,4,0)</f>
        <v>1</v>
      </c>
      <c r="M88" s="341" t="str">
        <f>VLOOKUP(B88,Справочник!A:L,5,0)</f>
        <v>fix</v>
      </c>
      <c r="N88" s="341" t="str">
        <f>VLOOKUP(B88,Справочник!A:L,6,0)</f>
        <v>30/360</v>
      </c>
      <c r="O88" s="341">
        <f t="shared" ref="O88:O101" si="89">IF(N88="actual/actual",1,IF(N88="actual/360",2,IF(N88="actual/365",3,IF(N88="30/360",4))))</f>
        <v>4</v>
      </c>
      <c r="P88" s="342">
        <f t="shared" ref="P88:P101" si="90">Q88-(366/L88)</f>
        <v>45333</v>
      </c>
      <c r="Q88" s="344">
        <f t="shared" ref="Q88:Q101" si="91">COUPPCD($A$2,I88,L88,4)</f>
        <v>45699</v>
      </c>
      <c r="S88" s="344">
        <f t="shared" ref="S88:S101" si="92">COUPNCD($A$2,I88,L88,0)</f>
        <v>46064</v>
      </c>
      <c r="T88" s="345">
        <f>VLOOKUP(B88,Цены!C:K,4,0)</f>
        <v>58.986499999999999</v>
      </c>
      <c r="U88" s="371">
        <f t="shared" ref="U88:U98" si="93">IF(P88="",0,H88*K88*IF(O88=4,DAYS360(P88,Q88,1)/360,IF(O88=3,DAYS360(P88,Q88,1)/365,IF(O88=2,(Q88-P88)/360,IF(AND(L88=1,O88=1),(Q88-P88)/(Q88-COUPPCD(Q88-1,I88,1,3)))))))</f>
        <v>17400000</v>
      </c>
      <c r="V88" s="374">
        <f t="shared" ca="1" si="88"/>
        <v>12035000</v>
      </c>
      <c r="W88" s="346">
        <f t="shared" ref="W88:W98" si="94">T88/100*H88</f>
        <v>117973000</v>
      </c>
      <c r="X88" s="393">
        <f t="shared" ref="X88:X98" ca="1" si="95">SUM(V88:W88)</f>
        <v>130008000</v>
      </c>
      <c r="Z88" s="341">
        <f t="shared" si="74"/>
        <v>5.3470163164801342E-3</v>
      </c>
      <c r="AA88" s="341">
        <f t="shared" ref="AA88:AA98" si="96">IFERROR(YIELD($A$2,I88,K88,T88,100,L88,O88),0)</f>
        <v>0.17095299213756668</v>
      </c>
      <c r="AB88" s="341">
        <f t="shared" ref="AB88:AB98" si="97">IFERROR(MDURATION($A$2,I88,K88,AA88,L88,O88),0)</f>
        <v>5.0479435821758756</v>
      </c>
      <c r="AC88" s="341">
        <f t="shared" ref="AC88:AC98" si="98">Z88*AA88</f>
        <v>9.1408843831066908E-4</v>
      </c>
      <c r="AD88" s="341">
        <f t="shared" ref="AD88:AD98" si="99">Z88*AB88</f>
        <v>2.6991436698565584E-2</v>
      </c>
      <c r="AE88" s="341" t="s">
        <v>892</v>
      </c>
      <c r="AF88" s="341" t="s">
        <v>892</v>
      </c>
      <c r="AG88" s="347"/>
      <c r="AH88" s="347"/>
      <c r="AI88" s="342"/>
      <c r="AK88" s="6"/>
      <c r="AL88" s="6"/>
      <c r="AO88" s="348"/>
    </row>
    <row r="89" spans="2:41" s="341" customFormat="1">
      <c r="B89" s="341" t="s">
        <v>78</v>
      </c>
      <c r="C89" s="342"/>
      <c r="D89" s="341" t="s">
        <v>173</v>
      </c>
      <c r="E89" s="341" t="s">
        <v>761</v>
      </c>
      <c r="F89" s="342">
        <v>45700</v>
      </c>
      <c r="G89" s="342">
        <v>45702</v>
      </c>
      <c r="H89" s="343">
        <v>227500000</v>
      </c>
      <c r="I89" s="342" t="str">
        <f>VLOOKUP(B89,Справочник!A:L,2,0)</f>
        <v>13.08.2029</v>
      </c>
      <c r="J89" s="342"/>
      <c r="K89" s="366">
        <f>VLOOKUP(B89,Справочник!A:L,3,0)</f>
        <v>7.6799999999999993E-2</v>
      </c>
      <c r="L89" s="341">
        <f>VLOOKUP(B89,Справочник!A:L,4,0)</f>
        <v>1</v>
      </c>
      <c r="M89" s="341" t="str">
        <f>VLOOKUP(B89,Справочник!A:L,5,0)</f>
        <v>fix</v>
      </c>
      <c r="N89" s="341" t="str">
        <f>VLOOKUP(B89,Справочник!A:L,6,0)</f>
        <v>30/360</v>
      </c>
      <c r="O89" s="341">
        <f t="shared" si="89"/>
        <v>4</v>
      </c>
      <c r="P89" s="342">
        <f>Q89-(365/L89)</f>
        <v>45517</v>
      </c>
      <c r="Q89" s="344">
        <f t="shared" si="91"/>
        <v>45882</v>
      </c>
      <c r="S89" s="344">
        <f t="shared" si="92"/>
        <v>46247</v>
      </c>
      <c r="T89" s="345">
        <f>VLOOKUP(B89,Цены!C:K,4,0)</f>
        <v>75.371099999999998</v>
      </c>
      <c r="U89" s="371">
        <f t="shared" si="93"/>
        <v>17472000</v>
      </c>
      <c r="V89" s="374">
        <f t="shared" ca="1" si="88"/>
        <v>3251733.3333333335</v>
      </c>
      <c r="W89" s="346">
        <f t="shared" si="94"/>
        <v>171469252.5</v>
      </c>
      <c r="X89" s="393">
        <f t="shared" ca="1" si="95"/>
        <v>174720985.83333334</v>
      </c>
      <c r="Z89" s="341">
        <f t="shared" si="74"/>
        <v>7.7716841217240562E-3</v>
      </c>
      <c r="AA89" s="341">
        <f t="shared" si="96"/>
        <v>0.16926685599812577</v>
      </c>
      <c r="AB89" s="341">
        <f t="shared" si="97"/>
        <v>2.8519887117276146</v>
      </c>
      <c r="AC89" s="341">
        <f t="shared" si="98"/>
        <v>1.3154885370947865E-3</v>
      </c>
      <c r="AD89" s="341">
        <f t="shared" si="99"/>
        <v>2.216475538626975E-2</v>
      </c>
      <c r="AE89" s="341" t="s">
        <v>892</v>
      </c>
      <c r="AF89" s="341" t="s">
        <v>892</v>
      </c>
      <c r="AG89" s="347"/>
      <c r="AH89" s="347"/>
      <c r="AI89" s="342"/>
      <c r="AK89" s="6"/>
      <c r="AL89" s="6"/>
      <c r="AO89" s="348"/>
    </row>
    <row r="90" spans="2:41" s="341" customFormat="1">
      <c r="B90" s="341" t="s">
        <v>71</v>
      </c>
      <c r="C90" s="342"/>
      <c r="D90" s="341" t="s">
        <v>173</v>
      </c>
      <c r="E90" s="341" t="s">
        <v>761</v>
      </c>
      <c r="F90" s="342">
        <v>45727</v>
      </c>
      <c r="G90" s="342">
        <v>45729</v>
      </c>
      <c r="H90" s="343">
        <v>500000000</v>
      </c>
      <c r="I90" s="342" t="str">
        <f>VLOOKUP(B90,Справочник!A:L,2,0)</f>
        <v>10.12.2028</v>
      </c>
      <c r="J90" s="342"/>
      <c r="K90" s="366">
        <f>VLOOKUP(B90,Справочник!A:L,3,0)</f>
        <v>7.22E-2</v>
      </c>
      <c r="L90" s="341">
        <f>VLOOKUP(B90,Справочник!A:L,4,0)</f>
        <v>1</v>
      </c>
      <c r="M90" s="341" t="str">
        <f>VLOOKUP(B90,Справочник!A:L,5,0)</f>
        <v>fix</v>
      </c>
      <c r="N90" s="341" t="str">
        <f>VLOOKUP(B90,Справочник!A:L,6,0)</f>
        <v>30/360</v>
      </c>
      <c r="O90" s="341">
        <f t="shared" si="89"/>
        <v>4</v>
      </c>
      <c r="P90" s="342">
        <f t="shared" si="90"/>
        <v>45270</v>
      </c>
      <c r="Q90" s="344">
        <f t="shared" si="91"/>
        <v>45636</v>
      </c>
      <c r="S90" s="344">
        <f t="shared" si="92"/>
        <v>46001</v>
      </c>
      <c r="T90" s="345">
        <f>VLOOKUP(B90,Цены!C:K,4,0)</f>
        <v>77.740799999999993</v>
      </c>
      <c r="U90" s="371">
        <f t="shared" si="93"/>
        <v>36100000</v>
      </c>
      <c r="V90" s="374">
        <f t="shared" ca="1" si="88"/>
        <v>31086111.111111112</v>
      </c>
      <c r="W90" s="346">
        <f t="shared" si="94"/>
        <v>388703999.99999994</v>
      </c>
      <c r="X90" s="393">
        <f t="shared" ca="1" si="95"/>
        <v>419790111.11111104</v>
      </c>
      <c r="Z90" s="341">
        <f t="shared" si="74"/>
        <v>1.7617646667297548E-2</v>
      </c>
      <c r="AA90" s="341">
        <f t="shared" si="96"/>
        <v>0.16898871079641645</v>
      </c>
      <c r="AB90" s="341">
        <f t="shared" si="97"/>
        <v>2.2933380094947777</v>
      </c>
      <c r="AC90" s="341">
        <f t="shared" si="98"/>
        <v>2.9771833975733952E-3</v>
      </c>
      <c r="AD90" s="341">
        <f t="shared" si="99"/>
        <v>4.0403218739962464E-2</v>
      </c>
      <c r="AE90" s="341" t="s">
        <v>892</v>
      </c>
      <c r="AF90" s="341" t="s">
        <v>892</v>
      </c>
      <c r="AG90" s="347"/>
      <c r="AH90" s="347"/>
      <c r="AI90" s="342"/>
      <c r="AK90" s="6"/>
      <c r="AL90" s="6"/>
      <c r="AO90" s="348"/>
    </row>
    <row r="91" spans="2:41" s="341" customFormat="1">
      <c r="B91" s="341" t="s">
        <v>503</v>
      </c>
      <c r="C91" s="342"/>
      <c r="D91" s="341" t="s">
        <v>173</v>
      </c>
      <c r="E91" s="341" t="s">
        <v>761</v>
      </c>
      <c r="F91" s="342">
        <v>45748</v>
      </c>
      <c r="G91" s="342">
        <v>45750</v>
      </c>
      <c r="H91" s="343">
        <v>259000000</v>
      </c>
      <c r="I91" s="342">
        <f>VLOOKUP(B91,Справочник!A:L,2,0)</f>
        <v>47180</v>
      </c>
      <c r="J91" s="342"/>
      <c r="K91" s="366">
        <f>VLOOKUP(B91,Справочник!A:L,3,0)</f>
        <v>0.153</v>
      </c>
      <c r="L91" s="341">
        <f>VLOOKUP(B91,Справочник!A:L,4,0)</f>
        <v>1</v>
      </c>
      <c r="M91" s="341" t="str">
        <f>VLOOKUP(B91,Справочник!A:L,5,0)</f>
        <v>fix</v>
      </c>
      <c r="N91" s="341" t="str">
        <f>VLOOKUP(B91,Справочник!A:L,6,0)</f>
        <v>30/360</v>
      </c>
      <c r="O91" s="341">
        <f t="shared" si="89"/>
        <v>4</v>
      </c>
      <c r="P91" s="342">
        <f>Q91-(365/L91)</f>
        <v>45354</v>
      </c>
      <c r="Q91" s="344">
        <f t="shared" si="91"/>
        <v>45719</v>
      </c>
      <c r="S91" s="344">
        <f t="shared" si="92"/>
        <v>46084</v>
      </c>
      <c r="T91" s="345">
        <f>VLOOKUP(B91,Цены!C:K,4,0)</f>
        <v>95.883899999999997</v>
      </c>
      <c r="U91" s="371">
        <f t="shared" si="93"/>
        <v>39627000</v>
      </c>
      <c r="V91" s="374">
        <f t="shared" ca="1" si="88"/>
        <v>24987025</v>
      </c>
      <c r="W91" s="346">
        <f t="shared" si="94"/>
        <v>248339301</v>
      </c>
      <c r="X91" s="393">
        <f t="shared" ca="1" si="95"/>
        <v>273326326</v>
      </c>
      <c r="Z91" s="341">
        <f t="shared" si="74"/>
        <v>1.1255747454674132E-2</v>
      </c>
      <c r="AA91" s="341">
        <f t="shared" si="96"/>
        <v>0.16884291528442724</v>
      </c>
      <c r="AB91" s="341">
        <f t="shared" si="97"/>
        <v>2.2453882781627179</v>
      </c>
      <c r="AC91" s="341">
        <f t="shared" si="98"/>
        <v>1.900453213952452E-3</v>
      </c>
      <c r="AD91" s="341">
        <f t="shared" si="99"/>
        <v>2.5273523396685142E-2</v>
      </c>
      <c r="AE91" s="341" t="s">
        <v>892</v>
      </c>
      <c r="AF91" s="341" t="s">
        <v>892</v>
      </c>
      <c r="AG91" s="347"/>
      <c r="AH91" s="347"/>
      <c r="AI91" s="342"/>
      <c r="AK91" s="6"/>
      <c r="AL91" s="6"/>
      <c r="AO91" s="348"/>
    </row>
    <row r="92" spans="2:41" s="341" customFormat="1">
      <c r="B92" s="341" t="s">
        <v>53</v>
      </c>
      <c r="C92" s="342"/>
      <c r="D92" s="341" t="s">
        <v>173</v>
      </c>
      <c r="E92" s="341" t="s">
        <v>761</v>
      </c>
      <c r="F92" s="342">
        <v>45762</v>
      </c>
      <c r="G92" s="342">
        <v>45764</v>
      </c>
      <c r="H92" s="343">
        <v>500000000</v>
      </c>
      <c r="I92" s="342" t="str">
        <f>VLOOKUP(B92,Справочник!A:L,2,0)</f>
        <v>19.10.2027</v>
      </c>
      <c r="J92" s="342"/>
      <c r="K92" s="366">
        <f>VLOOKUP(B92,Справочник!A:L,3,0)</f>
        <v>5.2999999999999999E-2</v>
      </c>
      <c r="L92" s="341">
        <f>VLOOKUP(B92,Справочник!A:L,4,0)</f>
        <v>1</v>
      </c>
      <c r="M92" s="341" t="str">
        <f>VLOOKUP(B92,Справочник!A:L,5,0)</f>
        <v>fix</v>
      </c>
      <c r="N92" s="341" t="str">
        <f>VLOOKUP(B92,Справочник!A:L,6,0)</f>
        <v>30/360</v>
      </c>
      <c r="O92" s="341">
        <f t="shared" si="89"/>
        <v>4</v>
      </c>
      <c r="P92" s="342">
        <f>Q92-(365/L92)</f>
        <v>45584</v>
      </c>
      <c r="Q92" s="344">
        <f t="shared" si="91"/>
        <v>45949</v>
      </c>
      <c r="S92" s="344">
        <f t="shared" si="92"/>
        <v>46314</v>
      </c>
      <c r="T92" s="345">
        <f>VLOOKUP(B92,Цены!C:K,4,0)</f>
        <v>81.726799999999997</v>
      </c>
      <c r="U92" s="371">
        <f t="shared" si="93"/>
        <v>26500000</v>
      </c>
      <c r="V92" s="374">
        <f t="shared" ca="1" si="88"/>
        <v>73611.111111111109</v>
      </c>
      <c r="W92" s="346">
        <f t="shared" si="94"/>
        <v>408634000</v>
      </c>
      <c r="X92" s="393">
        <f t="shared" ca="1" si="95"/>
        <v>408707611.1111111</v>
      </c>
      <c r="Z92" s="341">
        <f t="shared" si="74"/>
        <v>1.852095534968631E-2</v>
      </c>
      <c r="AA92" s="341">
        <f t="shared" si="96"/>
        <v>0.16813354155227611</v>
      </c>
      <c r="AB92" s="341">
        <f t="shared" si="97"/>
        <v>1.662217626968729</v>
      </c>
      <c r="AC92" s="341">
        <f t="shared" si="98"/>
        <v>3.1139938158743336E-3</v>
      </c>
      <c r="AD92" s="341">
        <f t="shared" si="99"/>
        <v>3.0785858450549364E-2</v>
      </c>
      <c r="AE92" s="341" t="s">
        <v>892</v>
      </c>
      <c r="AF92" s="341" t="s">
        <v>892</v>
      </c>
      <c r="AG92" s="347"/>
      <c r="AH92" s="347"/>
      <c r="AI92" s="342"/>
      <c r="AK92" s="6"/>
      <c r="AL92" s="6"/>
      <c r="AO92" s="348"/>
    </row>
    <row r="93" spans="2:41" s="341" customFormat="1">
      <c r="B93" s="341" t="s">
        <v>476</v>
      </c>
      <c r="C93" s="342"/>
      <c r="D93" s="341" t="s">
        <v>173</v>
      </c>
      <c r="E93" s="341" t="s">
        <v>761</v>
      </c>
      <c r="F93" s="342">
        <v>45769</v>
      </c>
      <c r="G93" s="342">
        <v>45771</v>
      </c>
      <c r="H93" s="343">
        <v>737000000</v>
      </c>
      <c r="I93" s="342">
        <f>VLOOKUP(B93,Справочник!A:L,2,0)</f>
        <v>47518</v>
      </c>
      <c r="J93" s="342"/>
      <c r="K93" s="366">
        <f>VLOOKUP(B93,Справочник!A:L,3,0)</f>
        <v>0.11</v>
      </c>
      <c r="L93" s="341">
        <f>VLOOKUP(B93,Справочник!A:L,4,0)</f>
        <v>1</v>
      </c>
      <c r="M93" s="341" t="str">
        <f>VLOOKUP(B93,Справочник!A:L,5,0)</f>
        <v>fix</v>
      </c>
      <c r="N93" s="341" t="str">
        <f>VLOOKUP(B93,Справочник!A:L,6,0)</f>
        <v>30/360</v>
      </c>
      <c r="O93" s="341">
        <f t="shared" si="89"/>
        <v>4</v>
      </c>
      <c r="P93" s="342">
        <f t="shared" si="90"/>
        <v>45326</v>
      </c>
      <c r="Q93" s="344">
        <f t="shared" si="91"/>
        <v>45692</v>
      </c>
      <c r="S93" s="344">
        <f t="shared" si="92"/>
        <v>46057</v>
      </c>
      <c r="T93" s="345">
        <f>VLOOKUP(B93,Цены!C:K,4,0)</f>
        <v>82.604799999999997</v>
      </c>
      <c r="U93" s="371">
        <f t="shared" si="93"/>
        <v>81070000</v>
      </c>
      <c r="V93" s="374">
        <f t="shared" ca="1" si="88"/>
        <v>57649777.777777784</v>
      </c>
      <c r="W93" s="346">
        <f t="shared" si="94"/>
        <v>608797376</v>
      </c>
      <c r="X93" s="393">
        <f t="shared" ca="1" si="95"/>
        <v>666447153.77777779</v>
      </c>
      <c r="Z93" s="341">
        <f t="shared" si="74"/>
        <v>2.7593173886417157E-2</v>
      </c>
      <c r="AA93" s="341">
        <f t="shared" si="96"/>
        <v>0.16968978594937764</v>
      </c>
      <c r="AB93" s="341">
        <f t="shared" si="97"/>
        <v>2.8067892767991913</v>
      </c>
      <c r="AC93" s="341">
        <f t="shared" si="98"/>
        <v>4.6822797704500841E-3</v>
      </c>
      <c r="AD93" s="341">
        <f t="shared" si="99"/>
        <v>7.7448224577251146E-2</v>
      </c>
      <c r="AE93" s="341" t="s">
        <v>892</v>
      </c>
      <c r="AF93" s="341" t="s">
        <v>892</v>
      </c>
      <c r="AG93" s="347"/>
      <c r="AH93" s="347"/>
      <c r="AI93" s="342"/>
      <c r="AK93" s="6"/>
      <c r="AL93" s="6"/>
      <c r="AO93" s="348"/>
    </row>
    <row r="94" spans="2:41" s="341" customFormat="1">
      <c r="B94" s="341" t="s">
        <v>417</v>
      </c>
      <c r="C94" s="342"/>
      <c r="D94" s="341" t="s">
        <v>173</v>
      </c>
      <c r="E94" s="341" t="s">
        <v>761</v>
      </c>
      <c r="F94" s="342">
        <v>45771</v>
      </c>
      <c r="G94" s="342">
        <v>45775</v>
      </c>
      <c r="H94" s="343">
        <v>6000000</v>
      </c>
      <c r="I94" s="342">
        <f>VLOOKUP(B94,Справочник!A:L,2,0)</f>
        <v>47924</v>
      </c>
      <c r="J94" s="342"/>
      <c r="K94" s="366">
        <f>VLOOKUP(B94,Справочник!A:L,3,0)</f>
        <v>0.10299999999999999</v>
      </c>
      <c r="L94" s="341">
        <f>VLOOKUP(B94,Справочник!A:L,4,0)</f>
        <v>1</v>
      </c>
      <c r="M94" s="341" t="str">
        <f>VLOOKUP(B94,Справочник!A:L,5,0)</f>
        <v>fix</v>
      </c>
      <c r="N94" s="341" t="str">
        <f>VLOOKUP(B94,Справочник!A:L,6,0)</f>
        <v>30/360</v>
      </c>
      <c r="O94" s="341">
        <f t="shared" si="89"/>
        <v>4</v>
      </c>
      <c r="P94" s="342">
        <f t="shared" si="90"/>
        <v>45367</v>
      </c>
      <c r="Q94" s="344">
        <f t="shared" si="91"/>
        <v>45733</v>
      </c>
      <c r="S94" s="344">
        <f t="shared" si="92"/>
        <v>46098</v>
      </c>
      <c r="T94" s="345">
        <f>VLOOKUP(B94,Цены!C:K,4,0)</f>
        <v>77.3249</v>
      </c>
      <c r="U94" s="371">
        <f t="shared" si="93"/>
        <v>619716.66666666663</v>
      </c>
      <c r="V94" s="374">
        <f t="shared" ca="1" si="88"/>
        <v>365650</v>
      </c>
      <c r="W94" s="346">
        <f t="shared" si="94"/>
        <v>4639494</v>
      </c>
      <c r="X94" s="393">
        <f t="shared" ca="1" si="95"/>
        <v>5005144</v>
      </c>
      <c r="Z94" s="341">
        <f t="shared" si="74"/>
        <v>2.1028074320574778E-4</v>
      </c>
      <c r="AA94" s="341">
        <f t="shared" si="96"/>
        <v>0.16974219864232909</v>
      </c>
      <c r="AB94" s="341">
        <f t="shared" si="97"/>
        <v>3.3962248174434158</v>
      </c>
      <c r="AC94" s="341">
        <f t="shared" si="98"/>
        <v>3.5693515683886637E-5</v>
      </c>
      <c r="AD94" s="341">
        <f t="shared" si="99"/>
        <v>7.1416067870580654E-4</v>
      </c>
      <c r="AE94" s="341" t="s">
        <v>892</v>
      </c>
      <c r="AF94" s="341" t="s">
        <v>892</v>
      </c>
      <c r="AG94" s="347"/>
      <c r="AH94" s="347"/>
      <c r="AI94" s="342"/>
      <c r="AK94" s="6"/>
      <c r="AL94" s="6"/>
      <c r="AO94" s="348"/>
    </row>
    <row r="95" spans="2:41" s="341" customFormat="1">
      <c r="B95" s="341" t="s">
        <v>417</v>
      </c>
      <c r="C95" s="342"/>
      <c r="D95" s="341" t="s">
        <v>173</v>
      </c>
      <c r="E95" s="341" t="s">
        <v>761</v>
      </c>
      <c r="F95" s="342">
        <v>45771</v>
      </c>
      <c r="G95" s="342">
        <v>45775</v>
      </c>
      <c r="H95" s="343">
        <v>6000000</v>
      </c>
      <c r="I95" s="342">
        <f>VLOOKUP(B95,Справочник!A:L,2,0)</f>
        <v>47924</v>
      </c>
      <c r="J95" s="342"/>
      <c r="K95" s="366">
        <f>VLOOKUP(B95,Справочник!A:L,3,0)</f>
        <v>0.10299999999999999</v>
      </c>
      <c r="L95" s="341">
        <f>VLOOKUP(B95,Справочник!A:L,4,0)</f>
        <v>1</v>
      </c>
      <c r="M95" s="341" t="str">
        <f>VLOOKUP(B95,Справочник!A:L,5,0)</f>
        <v>fix</v>
      </c>
      <c r="N95" s="341" t="str">
        <f>VLOOKUP(B95,Справочник!A:L,6,0)</f>
        <v>30/360</v>
      </c>
      <c r="O95" s="341">
        <f t="shared" si="89"/>
        <v>4</v>
      </c>
      <c r="P95" s="342">
        <f t="shared" si="90"/>
        <v>45367</v>
      </c>
      <c r="Q95" s="344">
        <f t="shared" si="91"/>
        <v>45733</v>
      </c>
      <c r="S95" s="344">
        <f t="shared" si="92"/>
        <v>46098</v>
      </c>
      <c r="T95" s="345">
        <f>VLOOKUP(B95,Цены!C:K,4,0)</f>
        <v>77.3249</v>
      </c>
      <c r="U95" s="371">
        <f t="shared" si="93"/>
        <v>619716.66666666663</v>
      </c>
      <c r="V95" s="374">
        <f t="shared" ca="1" si="88"/>
        <v>365650</v>
      </c>
      <c r="W95" s="346">
        <f t="shared" si="94"/>
        <v>4639494</v>
      </c>
      <c r="X95" s="393">
        <f t="shared" ca="1" si="95"/>
        <v>5005144</v>
      </c>
      <c r="Z95" s="341">
        <f t="shared" si="74"/>
        <v>2.1028074320574778E-4</v>
      </c>
      <c r="AA95" s="341">
        <f t="shared" si="96"/>
        <v>0.16974219864232909</v>
      </c>
      <c r="AB95" s="341">
        <f t="shared" si="97"/>
        <v>3.3962248174434158</v>
      </c>
      <c r="AC95" s="341">
        <f t="shared" si="98"/>
        <v>3.5693515683886637E-5</v>
      </c>
      <c r="AD95" s="341">
        <f t="shared" si="99"/>
        <v>7.1416067870580654E-4</v>
      </c>
      <c r="AE95" s="341" t="s">
        <v>892</v>
      </c>
      <c r="AF95" s="341" t="s">
        <v>892</v>
      </c>
      <c r="AG95" s="347"/>
      <c r="AH95" s="347"/>
      <c r="AI95" s="342"/>
      <c r="AK95" s="6"/>
      <c r="AL95" s="6"/>
      <c r="AO95" s="348"/>
    </row>
    <row r="96" spans="2:41" s="341" customFormat="1">
      <c r="B96" s="341" t="s">
        <v>60</v>
      </c>
      <c r="C96" s="342"/>
      <c r="D96" s="341" t="s">
        <v>173</v>
      </c>
      <c r="E96" s="341" t="s">
        <v>761</v>
      </c>
      <c r="F96" s="342">
        <v>45811</v>
      </c>
      <c r="G96" s="342">
        <v>45813</v>
      </c>
      <c r="H96" s="343">
        <v>500000000</v>
      </c>
      <c r="I96" s="342" t="str">
        <f>VLOOKUP(B96,Справочник!A:L,2,0)</f>
        <v>18.04.2028</v>
      </c>
      <c r="J96" s="342"/>
      <c r="K96" s="366">
        <f>VLOOKUP(B96,Справочник!A:L,3,0)</f>
        <v>0.05</v>
      </c>
      <c r="L96" s="341">
        <f>VLOOKUP(B96,Справочник!A:L,4,0)</f>
        <v>1</v>
      </c>
      <c r="M96" s="341" t="str">
        <f>VLOOKUP(B96,Справочник!A:L,5,0)</f>
        <v>fix</v>
      </c>
      <c r="N96" s="341" t="str">
        <f>VLOOKUP(B96,Справочник!A:L,6,0)</f>
        <v>30/360</v>
      </c>
      <c r="O96" s="341">
        <f t="shared" si="89"/>
        <v>4</v>
      </c>
      <c r="P96" s="342">
        <f t="shared" si="90"/>
        <v>45399</v>
      </c>
      <c r="Q96" s="344">
        <f t="shared" si="91"/>
        <v>45765</v>
      </c>
      <c r="S96" s="344">
        <f t="shared" si="92"/>
        <v>46130</v>
      </c>
      <c r="T96" s="345">
        <f>VLOOKUP(B96,Цены!C:K,4,0)</f>
        <v>77.265900000000002</v>
      </c>
      <c r="U96" s="371">
        <f t="shared" si="93"/>
        <v>25069444.444444444</v>
      </c>
      <c r="V96" s="374">
        <f t="shared" ca="1" si="88"/>
        <v>12638888.888888888</v>
      </c>
      <c r="W96" s="346">
        <f t="shared" si="94"/>
        <v>386329500</v>
      </c>
      <c r="X96" s="393">
        <f t="shared" ca="1" si="95"/>
        <v>398968388.8888889</v>
      </c>
      <c r="Z96" s="341">
        <f t="shared" si="74"/>
        <v>1.7510024666979835E-2</v>
      </c>
      <c r="AA96" s="341">
        <f t="shared" si="96"/>
        <v>0.16849908225741811</v>
      </c>
      <c r="AB96" s="341">
        <f t="shared" si="97"/>
        <v>1.9929468826123538</v>
      </c>
      <c r="AC96" s="341">
        <f t="shared" si="98"/>
        <v>2.9504230866908552E-3</v>
      </c>
      <c r="AD96" s="341">
        <f t="shared" si="99"/>
        <v>3.489654907452288E-2</v>
      </c>
      <c r="AE96" s="341" t="s">
        <v>892</v>
      </c>
      <c r="AF96" s="341" t="s">
        <v>892</v>
      </c>
      <c r="AG96" s="347"/>
      <c r="AH96" s="347"/>
      <c r="AI96" s="342"/>
      <c r="AK96" s="6"/>
      <c r="AL96" s="6"/>
      <c r="AO96" s="348"/>
    </row>
    <row r="97" spans="2:41" s="341" customFormat="1">
      <c r="B97" s="341" t="s">
        <v>78</v>
      </c>
      <c r="C97" s="342"/>
      <c r="D97" s="341" t="s">
        <v>173</v>
      </c>
      <c r="E97" s="341" t="s">
        <v>761</v>
      </c>
      <c r="F97" s="342">
        <v>45811</v>
      </c>
      <c r="G97" s="342">
        <v>45813</v>
      </c>
      <c r="H97" s="343">
        <v>500000000</v>
      </c>
      <c r="I97" s="342" t="str">
        <f>VLOOKUP(B97,Справочник!A:L,2,0)</f>
        <v>13.08.2029</v>
      </c>
      <c r="J97" s="342"/>
      <c r="K97" s="366">
        <f>VLOOKUP(B97,Справочник!A:L,3,0)</f>
        <v>7.6799999999999993E-2</v>
      </c>
      <c r="L97" s="341">
        <f>VLOOKUP(B97,Справочник!A:L,4,0)</f>
        <v>1</v>
      </c>
      <c r="M97" s="341" t="str">
        <f>VLOOKUP(B97,Справочник!A:L,5,0)</f>
        <v>fix</v>
      </c>
      <c r="N97" s="341" t="str">
        <f>VLOOKUP(B97,Справочник!A:L,6,0)</f>
        <v>30/360</v>
      </c>
      <c r="O97" s="341">
        <f t="shared" si="89"/>
        <v>4</v>
      </c>
      <c r="P97" s="342">
        <f>Q97-(365/L97)</f>
        <v>45517</v>
      </c>
      <c r="Q97" s="344">
        <f t="shared" si="91"/>
        <v>45882</v>
      </c>
      <c r="S97" s="344">
        <f t="shared" si="92"/>
        <v>46247</v>
      </c>
      <c r="T97" s="345">
        <f>VLOOKUP(B97,Цены!C:K,4,0)</f>
        <v>75.371099999999998</v>
      </c>
      <c r="U97" s="371">
        <f t="shared" si="93"/>
        <v>38400000</v>
      </c>
      <c r="V97" s="374">
        <f t="shared" ca="1" si="88"/>
        <v>7146666.666666667</v>
      </c>
      <c r="W97" s="346">
        <f t="shared" si="94"/>
        <v>376855500</v>
      </c>
      <c r="X97" s="393">
        <f t="shared" ca="1" si="95"/>
        <v>384002166.66666669</v>
      </c>
      <c r="Z97" s="341">
        <f t="shared" si="74"/>
        <v>1.7080624443349575E-2</v>
      </c>
      <c r="AA97" s="341">
        <f t="shared" si="96"/>
        <v>0.16926685599812577</v>
      </c>
      <c r="AB97" s="341">
        <f t="shared" si="97"/>
        <v>2.8519887117276146</v>
      </c>
      <c r="AC97" s="341">
        <f t="shared" si="98"/>
        <v>2.8911835980105194E-3</v>
      </c>
      <c r="AD97" s="341">
        <f t="shared" si="99"/>
        <v>4.871374810169176E-2</v>
      </c>
      <c r="AE97" s="341" t="s">
        <v>892</v>
      </c>
      <c r="AF97" s="341" t="s">
        <v>892</v>
      </c>
      <c r="AG97" s="347"/>
      <c r="AH97" s="347"/>
      <c r="AI97" s="342"/>
      <c r="AK97" s="6"/>
      <c r="AL97" s="6"/>
      <c r="AO97" s="348"/>
    </row>
    <row r="98" spans="2:41" s="341" customFormat="1">
      <c r="B98" s="341" t="s">
        <v>448</v>
      </c>
      <c r="C98" s="342"/>
      <c r="D98" s="341" t="s">
        <v>173</v>
      </c>
      <c r="E98" s="341" t="s">
        <v>761</v>
      </c>
      <c r="F98" s="342">
        <v>45818</v>
      </c>
      <c r="G98" s="342">
        <v>45820</v>
      </c>
      <c r="H98" s="343">
        <v>200000000</v>
      </c>
      <c r="I98" s="342">
        <f>VLOOKUP(B98,Справочник!A:L,2,0)</f>
        <v>47327</v>
      </c>
      <c r="J98" s="342"/>
      <c r="K98" s="366">
        <f>VLOOKUP(B98,Справочник!A:L,3,0)</f>
        <v>0.1055</v>
      </c>
      <c r="L98" s="341">
        <f>VLOOKUP(B98,Справочник!A:L,4,0)</f>
        <v>1</v>
      </c>
      <c r="M98" s="341" t="str">
        <f>VLOOKUP(B98,Справочник!A:L,5,0)</f>
        <v>fix</v>
      </c>
      <c r="N98" s="341" t="str">
        <f>VLOOKUP(B98,Справочник!A:L,6,0)</f>
        <v>30/360</v>
      </c>
      <c r="O98" s="341">
        <f t="shared" si="89"/>
        <v>4</v>
      </c>
      <c r="P98" s="314">
        <f>Q98-(365/L98)</f>
        <v>45501</v>
      </c>
      <c r="Q98" s="344">
        <f t="shared" si="91"/>
        <v>45866</v>
      </c>
      <c r="S98" s="344">
        <f t="shared" si="92"/>
        <v>46231</v>
      </c>
      <c r="T98" s="345">
        <f>VLOOKUP(B98,Цены!C:K,4,0)</f>
        <v>83.111000000000004</v>
      </c>
      <c r="U98" s="371">
        <f t="shared" si="93"/>
        <v>21100000</v>
      </c>
      <c r="V98" s="374">
        <f t="shared" ca="1" si="88"/>
        <v>4806111.111111111</v>
      </c>
      <c r="W98" s="346">
        <f t="shared" si="94"/>
        <v>166222000</v>
      </c>
      <c r="X98" s="393">
        <f t="shared" ca="1" si="95"/>
        <v>171028111.1111111</v>
      </c>
      <c r="Z98" s="341">
        <f t="shared" si="74"/>
        <v>7.5338572907187309E-3</v>
      </c>
      <c r="AA98" s="341">
        <f t="shared" si="96"/>
        <v>0.16908946835178582</v>
      </c>
      <c r="AB98" s="341">
        <f t="shared" si="97"/>
        <v>2.7175797146221123</v>
      </c>
      <c r="AC98" s="341">
        <f t="shared" si="98"/>
        <v>1.2738959239258557E-3</v>
      </c>
      <c r="AD98" s="341">
        <f t="shared" si="99"/>
        <v>2.047385774611513E-2</v>
      </c>
      <c r="AE98" s="341" t="s">
        <v>892</v>
      </c>
      <c r="AF98" s="341" t="s">
        <v>892</v>
      </c>
      <c r="AG98" s="347"/>
      <c r="AH98" s="347"/>
      <c r="AI98" s="342"/>
      <c r="AK98" s="6"/>
      <c r="AL98" s="6"/>
      <c r="AO98" s="348"/>
    </row>
    <row r="99" spans="2:41" s="341" customFormat="1">
      <c r="B99" s="341" t="s">
        <v>516</v>
      </c>
      <c r="C99" s="342"/>
      <c r="D99" s="341" t="s">
        <v>173</v>
      </c>
      <c r="E99" s="341" t="s">
        <v>761</v>
      </c>
      <c r="F99" s="342">
        <v>45828</v>
      </c>
      <c r="G99" s="342">
        <v>45832</v>
      </c>
      <c r="H99" s="343">
        <v>500000000</v>
      </c>
      <c r="I99" s="342">
        <f>VLOOKUP(B99,Справочник!A:L,2,0)</f>
        <v>47549</v>
      </c>
      <c r="J99" s="342"/>
      <c r="K99" s="366">
        <f>VLOOKUP(B99,Справочник!A:L,3,0)</f>
        <v>0.12</v>
      </c>
      <c r="L99" s="341">
        <f>VLOOKUP(B99,Справочник!A:L,4,0)</f>
        <v>1</v>
      </c>
      <c r="M99" s="341" t="str">
        <f>VLOOKUP(B99,Справочник!A:L,5,0)</f>
        <v>fix</v>
      </c>
      <c r="N99" s="341" t="str">
        <f>VLOOKUP(B99,Справочник!A:L,6,0)</f>
        <v>30/360</v>
      </c>
      <c r="O99" s="341">
        <f t="shared" si="89"/>
        <v>4</v>
      </c>
      <c r="P99" s="342">
        <f t="shared" si="90"/>
        <v>45357</v>
      </c>
      <c r="Q99" s="344">
        <f t="shared" si="91"/>
        <v>45723</v>
      </c>
      <c r="S99" s="344">
        <f t="shared" si="92"/>
        <v>46088</v>
      </c>
      <c r="T99" s="345">
        <f>VLOOKUP(B99,Цены!C:K,4,0)</f>
        <v>85.3215</v>
      </c>
      <c r="U99" s="371">
        <f t="shared" ref="U99:U105" si="100">IF(P99="",0,H99*K99*IF(O99=4,DAYS360(P99,Q99,1)/360,IF(O99=3,DAYS360(P99,Q99,1)/365,IF(O99=2,(Q99-P99)/360,IF(AND(L99=1,O99=1),(Q99-P99)/(Q99-COUPPCD(Q99-1,I99,1,3)))))))</f>
        <v>60166666.666666664</v>
      </c>
      <c r="V99" s="374">
        <f t="shared" ref="V99:V105" ca="1" si="101">IF($A$2=DATE(YEAR(TODAY()),2,29),H99*K99*IF(O99=4,DAYS360(Q99,$A$2,1)/360,IF(O99=3,DAYS360(Q99,$A$2,1)/365,IF(O99=2,($A$2-Q99)/360,IF(AND(L99=1,O99=1),($A$2-Q99)/(Q99-COUPPCD(Q99-1,I99,1,3))))))+(H99*K99)/360,H99*K99*IF(O99=4,DAYS360(Q99,$A$2,1)/360,IF(O99=3,DAYS360(Q99,$A$2,1)/365,IF(O99=2,($A$2-Q99)/360,IF(AND(L99=1,O99=1),($A$2-Q99)/(Q99-COUPPCD(Q99-1,I99,1,3)))))))</f>
        <v>37166666.666666664</v>
      </c>
      <c r="W99" s="346">
        <f t="shared" ref="W99:W105" si="102">T99/100*H99</f>
        <v>426607500</v>
      </c>
      <c r="X99" s="393">
        <f t="shared" ref="X99:X105" ca="1" si="103">SUM(V99:W99)</f>
        <v>463774166.66666669</v>
      </c>
      <c r="Z99" s="341">
        <f t="shared" ref="Z99:Z134" si="104">IFERROR(W99/SUMIFS($W:$W,$D:$D,D99,$E:$E,E99),0)</f>
        <v>1.9335587492331288E-2</v>
      </c>
      <c r="AA99" s="341">
        <f t="shared" ref="AA99:AA105" si="105">IFERROR(YIELD($A$2,I99,K99,T99,100,L99,O99),0)</f>
        <v>0.16934957793798067</v>
      </c>
      <c r="AB99" s="341">
        <f t="shared" ref="AB99:AB105" si="106">IFERROR(MDURATION($A$2,I99,K99,AA99,L99,O99),0)</f>
        <v>2.8440770431456968</v>
      </c>
      <c r="AC99" s="341">
        <f t="shared" ref="AC99:AC105" si="107">Z99*AA99</f>
        <v>3.2744735810092017E-3</v>
      </c>
      <c r="AD99" s="341">
        <f t="shared" ref="AD99:AD105" si="108">Z99*AB99</f>
        <v>5.4991900502674489E-2</v>
      </c>
      <c r="AE99" s="341" t="s">
        <v>892</v>
      </c>
      <c r="AF99" s="341" t="s">
        <v>892</v>
      </c>
      <c r="AG99" s="347"/>
      <c r="AH99" s="347"/>
      <c r="AI99" s="342"/>
      <c r="AK99" s="6"/>
      <c r="AL99" s="6"/>
      <c r="AO99" s="348"/>
    </row>
    <row r="100" spans="2:41" s="341" customFormat="1">
      <c r="B100" s="341" t="s">
        <v>516</v>
      </c>
      <c r="C100" s="342"/>
      <c r="D100" s="341" t="s">
        <v>173</v>
      </c>
      <c r="E100" s="341" t="s">
        <v>761</v>
      </c>
      <c r="F100" s="342">
        <v>45828</v>
      </c>
      <c r="G100" s="342">
        <v>45832</v>
      </c>
      <c r="H100" s="343">
        <v>500000000</v>
      </c>
      <c r="I100" s="342">
        <f>VLOOKUP(B100,Справочник!A:L,2,0)</f>
        <v>47549</v>
      </c>
      <c r="J100" s="342"/>
      <c r="K100" s="366">
        <f>VLOOKUP(B100,Справочник!A:L,3,0)</f>
        <v>0.12</v>
      </c>
      <c r="L100" s="341">
        <f>VLOOKUP(B100,Справочник!A:L,4,0)</f>
        <v>1</v>
      </c>
      <c r="M100" s="341" t="str">
        <f>VLOOKUP(B100,Справочник!A:L,5,0)</f>
        <v>fix</v>
      </c>
      <c r="N100" s="341" t="str">
        <f>VLOOKUP(B100,Справочник!A:L,6,0)</f>
        <v>30/360</v>
      </c>
      <c r="O100" s="341">
        <f t="shared" si="89"/>
        <v>4</v>
      </c>
      <c r="P100" s="342">
        <f t="shared" si="90"/>
        <v>45357</v>
      </c>
      <c r="Q100" s="344">
        <f t="shared" si="91"/>
        <v>45723</v>
      </c>
      <c r="S100" s="344">
        <f t="shared" si="92"/>
        <v>46088</v>
      </c>
      <c r="T100" s="345">
        <f>VLOOKUP(B100,Цены!C:K,4,0)</f>
        <v>85.3215</v>
      </c>
      <c r="U100" s="371">
        <f t="shared" si="100"/>
        <v>60166666.666666664</v>
      </c>
      <c r="V100" s="374">
        <f t="shared" ca="1" si="101"/>
        <v>37166666.666666664</v>
      </c>
      <c r="W100" s="346">
        <f t="shared" si="102"/>
        <v>426607500</v>
      </c>
      <c r="X100" s="393">
        <f t="shared" ca="1" si="103"/>
        <v>463774166.66666669</v>
      </c>
      <c r="Z100" s="341">
        <f t="shared" si="104"/>
        <v>1.9335587492331288E-2</v>
      </c>
      <c r="AA100" s="341">
        <f t="shared" si="105"/>
        <v>0.16934957793798067</v>
      </c>
      <c r="AB100" s="341">
        <f t="shared" si="106"/>
        <v>2.8440770431456968</v>
      </c>
      <c r="AC100" s="341">
        <f t="shared" si="107"/>
        <v>3.2744735810092017E-3</v>
      </c>
      <c r="AD100" s="341">
        <f t="shared" si="108"/>
        <v>5.4991900502674489E-2</v>
      </c>
      <c r="AE100" s="341" t="s">
        <v>892</v>
      </c>
      <c r="AF100" s="341" t="s">
        <v>892</v>
      </c>
      <c r="AG100" s="347"/>
      <c r="AH100" s="347"/>
      <c r="AI100" s="342"/>
      <c r="AK100" s="6"/>
      <c r="AL100" s="6"/>
      <c r="AO100" s="348"/>
    </row>
    <row r="101" spans="2:41" s="341" customFormat="1">
      <c r="B101" s="341" t="s">
        <v>516</v>
      </c>
      <c r="C101" s="342"/>
      <c r="D101" s="341" t="s">
        <v>173</v>
      </c>
      <c r="E101" s="341" t="s">
        <v>761</v>
      </c>
      <c r="F101" s="342">
        <v>45828</v>
      </c>
      <c r="G101" s="342">
        <v>45832</v>
      </c>
      <c r="H101" s="343">
        <v>411421000</v>
      </c>
      <c r="I101" s="342">
        <f>VLOOKUP(B101,Справочник!A:L,2,0)</f>
        <v>47549</v>
      </c>
      <c r="J101" s="342"/>
      <c r="K101" s="366">
        <f>VLOOKUP(B101,Справочник!A:L,3,0)</f>
        <v>0.12</v>
      </c>
      <c r="L101" s="341">
        <f>VLOOKUP(B101,Справочник!A:L,4,0)</f>
        <v>1</v>
      </c>
      <c r="M101" s="341" t="str">
        <f>VLOOKUP(B101,Справочник!A:L,5,0)</f>
        <v>fix</v>
      </c>
      <c r="N101" s="341" t="str">
        <f>VLOOKUP(B101,Справочник!A:L,6,0)</f>
        <v>30/360</v>
      </c>
      <c r="O101" s="341">
        <f t="shared" si="89"/>
        <v>4</v>
      </c>
      <c r="P101" s="342">
        <f t="shared" si="90"/>
        <v>45357</v>
      </c>
      <c r="Q101" s="344">
        <f t="shared" si="91"/>
        <v>45723</v>
      </c>
      <c r="S101" s="344">
        <f t="shared" si="92"/>
        <v>46088</v>
      </c>
      <c r="T101" s="345">
        <f>VLOOKUP(B101,Цены!C:K,4,0)</f>
        <v>85.3215</v>
      </c>
      <c r="U101" s="371">
        <f t="shared" si="100"/>
        <v>49507660.333333336</v>
      </c>
      <c r="V101" s="374">
        <f t="shared" ca="1" si="101"/>
        <v>30582294.333333336</v>
      </c>
      <c r="W101" s="346">
        <f t="shared" si="102"/>
        <v>351030568.51500005</v>
      </c>
      <c r="X101" s="393">
        <f t="shared" ca="1" si="103"/>
        <v>381612862.84833336</v>
      </c>
      <c r="Z101" s="341">
        <f t="shared" si="104"/>
        <v>1.5910133483364862E-2</v>
      </c>
      <c r="AA101" s="341">
        <f t="shared" si="105"/>
        <v>0.16934957793798067</v>
      </c>
      <c r="AB101" s="341">
        <f t="shared" si="106"/>
        <v>2.8440770431456968</v>
      </c>
      <c r="AC101" s="341">
        <f t="shared" si="107"/>
        <v>2.6943743903447737E-3</v>
      </c>
      <c r="AD101" s="341">
        <f t="shared" si="108"/>
        <v>4.5249645393421682E-2</v>
      </c>
      <c r="AE101" s="341" t="s">
        <v>892</v>
      </c>
      <c r="AF101" s="341" t="s">
        <v>892</v>
      </c>
      <c r="AG101" s="347"/>
      <c r="AH101" s="347"/>
      <c r="AI101" s="342"/>
      <c r="AK101" s="6"/>
      <c r="AL101" s="6"/>
      <c r="AO101" s="348"/>
    </row>
    <row r="102" spans="2:41" s="341" customFormat="1">
      <c r="B102" s="341" t="s">
        <v>2617</v>
      </c>
      <c r="C102" s="342"/>
      <c r="D102" s="341" t="s">
        <v>173</v>
      </c>
      <c r="E102" s="341" t="s">
        <v>761</v>
      </c>
      <c r="F102" s="342">
        <v>45846</v>
      </c>
      <c r="G102" s="342">
        <v>45848</v>
      </c>
      <c r="H102" s="454">
        <f>500000000-271261000</f>
        <v>228739000</v>
      </c>
      <c r="I102" s="342">
        <f>VLOOKUP(B102,Справочник!A:L,2,0)</f>
        <v>48735</v>
      </c>
      <c r="J102" s="342"/>
      <c r="K102" s="366">
        <f>VLOOKUP(B102,Справочник!A:L,3,0)</f>
        <v>0.14449999999999999</v>
      </c>
      <c r="L102" s="341">
        <f>VLOOKUP(B102,Справочник!A:L,4,0)</f>
        <v>1</v>
      </c>
      <c r="M102" s="341" t="str">
        <f>VLOOKUP(B102,Справочник!A:L,5,0)</f>
        <v>fix</v>
      </c>
      <c r="N102" s="341" t="str">
        <f>VLOOKUP(B102,Справочник!A:L,6,0)</f>
        <v>30/360</v>
      </c>
      <c r="O102" s="341">
        <f>IF(N102="actual/actual",1,IF(N102="actual/360",2,IF(N102="actual/365",3,IF(N102="30/360",4))))</f>
        <v>4</v>
      </c>
      <c r="P102" s="342">
        <f>Q102-(366/L102)</f>
        <v>45447</v>
      </c>
      <c r="Q102" s="344">
        <f>COUPPCD($A$2,I102,L102,4)</f>
        <v>45813</v>
      </c>
      <c r="S102" s="344">
        <f>COUPNCD($A$2,I102,L102,0)</f>
        <v>46178</v>
      </c>
      <c r="T102" s="345">
        <f>VLOOKUP(B102,Цены!C:K,4,0)</f>
        <v>89.149699999999996</v>
      </c>
      <c r="U102" s="371">
        <f t="shared" si="100"/>
        <v>33144598.793055553</v>
      </c>
      <c r="V102" s="374">
        <f t="shared" ca="1" si="101"/>
        <v>12394794.562499998</v>
      </c>
      <c r="W102" s="346">
        <f t="shared" si="102"/>
        <v>203920132.28299999</v>
      </c>
      <c r="X102" s="393">
        <f t="shared" ca="1" si="103"/>
        <v>216314926.84549999</v>
      </c>
      <c r="Z102" s="341">
        <f t="shared" si="104"/>
        <v>9.2424900153084879E-3</v>
      </c>
      <c r="AA102" s="341">
        <f t="shared" si="105"/>
        <v>0.17030849449391633</v>
      </c>
      <c r="AB102" s="341">
        <f t="shared" si="106"/>
        <v>4.0098102225805583</v>
      </c>
      <c r="AC102" s="341">
        <f t="shared" si="107"/>
        <v>1.5740745598822423E-3</v>
      </c>
      <c r="AD102" s="341">
        <f t="shared" si="108"/>
        <v>3.7060630945482717E-2</v>
      </c>
      <c r="AE102" s="341" t="s">
        <v>892</v>
      </c>
      <c r="AF102" s="341" t="s">
        <v>892</v>
      </c>
      <c r="AG102" s="347"/>
      <c r="AH102" s="347"/>
      <c r="AI102" s="342"/>
      <c r="AK102" s="6"/>
      <c r="AL102" s="6"/>
      <c r="AO102" s="348"/>
    </row>
    <row r="103" spans="2:41" s="341" customFormat="1">
      <c r="B103" s="341" t="s">
        <v>92</v>
      </c>
      <c r="C103" s="346">
        <v>357881944.44</v>
      </c>
      <c r="D103" s="341" t="s">
        <v>173</v>
      </c>
      <c r="E103" s="341" t="s">
        <v>761</v>
      </c>
      <c r="F103" s="342">
        <v>45860</v>
      </c>
      <c r="G103" s="342">
        <v>45862</v>
      </c>
      <c r="H103" s="343">
        <f>Trades!N10676*Trades!O10676</f>
        <v>500000000</v>
      </c>
      <c r="I103" s="342" t="str">
        <f>VLOOKUP(B103,Справочник!A:L,2,0)</f>
        <v>10.05.2031</v>
      </c>
      <c r="J103" s="342"/>
      <c r="K103" s="366">
        <f>VLOOKUP(B103,Справочник!A:L,3,0)</f>
        <v>8.4399999999999989E-2</v>
      </c>
      <c r="L103" s="341">
        <f>VLOOKUP(B103,Справочник!A:L,4,0)</f>
        <v>1</v>
      </c>
      <c r="M103" s="341" t="str">
        <f>VLOOKUP(B103,Справочник!A:L,5,0)</f>
        <v>fix</v>
      </c>
      <c r="N103" s="341" t="str">
        <f>VLOOKUP(B103,Справочник!A:L,6,0)</f>
        <v>30/360</v>
      </c>
      <c r="O103" s="341">
        <f>IF(N103="actual/actual",1,IF(N103="actual/360",2,IF(N103="actual/365",3,IF(N103="30/360",4))))</f>
        <v>4</v>
      </c>
      <c r="P103" s="342">
        <f>Q103-(366/L103)</f>
        <v>45421</v>
      </c>
      <c r="Q103" s="344">
        <f>COUPPCD($A$2,I103,L103,4)</f>
        <v>45787</v>
      </c>
      <c r="S103" s="344">
        <f>COUPNCD($A$2,I103,L103,0)</f>
        <v>46152</v>
      </c>
      <c r="T103" s="345">
        <f>VLOOKUP(B103,Цены!C:K,4,0)</f>
        <v>70.569999999999993</v>
      </c>
      <c r="U103" s="371">
        <f t="shared" si="100"/>
        <v>42317222.222222216</v>
      </c>
      <c r="V103" s="374">
        <f t="shared" ca="1" si="101"/>
        <v>18755555.555555552</v>
      </c>
      <c r="W103" s="346">
        <f t="shared" si="102"/>
        <v>352849999.99999994</v>
      </c>
      <c r="X103" s="393">
        <f t="shared" ca="1" si="103"/>
        <v>371605555.55555546</v>
      </c>
      <c r="Z103" s="341">
        <f t="shared" si="104"/>
        <v>1.5992597520364957E-2</v>
      </c>
      <c r="AA103" s="341">
        <f t="shared" si="105"/>
        <v>0.16986046244557707</v>
      </c>
      <c r="AB103" s="341">
        <f t="shared" si="106"/>
        <v>3.646176715660896</v>
      </c>
      <c r="AC103" s="341">
        <f t="shared" si="107"/>
        <v>2.7165100105151804E-3</v>
      </c>
      <c r="AD103" s="341">
        <f t="shared" si="108"/>
        <v>5.8311836701690885E-2</v>
      </c>
      <c r="AE103" s="341" t="s">
        <v>892</v>
      </c>
      <c r="AF103" s="341" t="s">
        <v>892</v>
      </c>
      <c r="AG103" s="347"/>
      <c r="AH103" s="347"/>
      <c r="AI103" s="342"/>
      <c r="AK103" s="6"/>
      <c r="AL103" s="6"/>
      <c r="AO103" s="348"/>
    </row>
    <row r="104" spans="2:41" s="341" customFormat="1">
      <c r="B104" s="341" t="s">
        <v>2617</v>
      </c>
      <c r="C104" s="346">
        <v>460186416.67000002</v>
      </c>
      <c r="D104" s="341" t="s">
        <v>173</v>
      </c>
      <c r="E104" s="341" t="s">
        <v>761</v>
      </c>
      <c r="F104" s="342">
        <v>45881</v>
      </c>
      <c r="G104" s="342">
        <v>45883</v>
      </c>
      <c r="H104" s="343">
        <f>Trades!N11283*Trades!O11283</f>
        <v>500000000</v>
      </c>
      <c r="I104" s="342">
        <f>VLOOKUP(B104,Справочник!A:L,2,0)</f>
        <v>48735</v>
      </c>
      <c r="J104" s="342"/>
      <c r="K104" s="366">
        <f>VLOOKUP(B104,Справочник!A:L,3,0)</f>
        <v>0.14449999999999999</v>
      </c>
      <c r="L104" s="341">
        <f>VLOOKUP(B104,Справочник!A:L,4,0)</f>
        <v>1</v>
      </c>
      <c r="M104" s="341" t="str">
        <f>VLOOKUP(B104,Справочник!A:L,5,0)</f>
        <v>fix</v>
      </c>
      <c r="N104" s="341" t="str">
        <f>VLOOKUP(B104,Справочник!A:L,6,0)</f>
        <v>30/360</v>
      </c>
      <c r="O104" s="341">
        <f>IF(N104="actual/actual",1,IF(N104="actual/360",2,IF(N104="actual/365",3,IF(N104="30/360",4))))</f>
        <v>4</v>
      </c>
      <c r="P104" s="342">
        <f>Q104-(366/L104)</f>
        <v>45447</v>
      </c>
      <c r="Q104" s="344">
        <f>COUPPCD($A$2,I104,L104,4)</f>
        <v>45813</v>
      </c>
      <c r="S104" s="344">
        <f>COUPNCD($A$2,I104,L104,0)</f>
        <v>46178</v>
      </c>
      <c r="T104" s="345">
        <f>VLOOKUP(B104,Цены!C:K,4,0)</f>
        <v>89.149699999999996</v>
      </c>
      <c r="U104" s="371">
        <f t="shared" si="100"/>
        <v>72450694.444444448</v>
      </c>
      <c r="V104" s="374">
        <f t="shared" ca="1" si="101"/>
        <v>27093750</v>
      </c>
      <c r="W104" s="346">
        <f t="shared" si="102"/>
        <v>445748500</v>
      </c>
      <c r="X104" s="393">
        <f t="shared" ca="1" si="103"/>
        <v>472842250</v>
      </c>
      <c r="Z104" s="341">
        <f t="shared" si="104"/>
        <v>2.0203135484785036E-2</v>
      </c>
      <c r="AA104" s="341">
        <f t="shared" si="105"/>
        <v>0.17030849449391633</v>
      </c>
      <c r="AB104" s="341">
        <f t="shared" si="106"/>
        <v>4.0098102225805583</v>
      </c>
      <c r="AC104" s="341">
        <f t="shared" si="107"/>
        <v>3.4407655884703577E-3</v>
      </c>
      <c r="AD104" s="341">
        <f t="shared" si="108"/>
        <v>8.1010739195071055E-2</v>
      </c>
      <c r="AE104" s="341" t="s">
        <v>892</v>
      </c>
      <c r="AF104" s="341" t="s">
        <v>892</v>
      </c>
      <c r="AG104" s="347"/>
      <c r="AH104" s="347"/>
      <c r="AI104" s="342"/>
      <c r="AK104" s="6"/>
      <c r="AL104" s="6"/>
      <c r="AO104" s="348"/>
    </row>
    <row r="105" spans="2:41" s="341" customFormat="1">
      <c r="B105" s="341" t="s">
        <v>722</v>
      </c>
      <c r="C105" s="342"/>
      <c r="D105" s="341" t="s">
        <v>173</v>
      </c>
      <c r="E105" s="341" t="s">
        <v>761</v>
      </c>
      <c r="F105" s="342">
        <v>45888</v>
      </c>
      <c r="G105" s="342">
        <v>45525</v>
      </c>
      <c r="H105" s="513">
        <v>16841000</v>
      </c>
      <c r="I105" s="342">
        <v>50976</v>
      </c>
      <c r="J105" s="342"/>
      <c r="K105" s="366">
        <v>8.3500000000000005E-2</v>
      </c>
      <c r="L105" s="341">
        <v>1</v>
      </c>
      <c r="M105" s="341" t="s">
        <v>247</v>
      </c>
      <c r="N105" s="341" t="s">
        <v>245</v>
      </c>
      <c r="O105" s="341">
        <v>4</v>
      </c>
      <c r="P105" s="342">
        <f>Q105-(365/L105)</f>
        <v>45498</v>
      </c>
      <c r="Q105" s="344">
        <f t="shared" ref="Q105" si="109">COUPPCD($A$2,I105,L105,4)</f>
        <v>45863</v>
      </c>
      <c r="S105" s="344">
        <f t="shared" ref="S105" si="110">COUPNCD($A$2,I105,L105,0)</f>
        <v>46228</v>
      </c>
      <c r="T105" s="345">
        <f>VLOOKUP(B105,Цены!C:K,4,0)</f>
        <v>54.579599999999999</v>
      </c>
      <c r="U105" s="371">
        <f t="shared" si="100"/>
        <v>1406223.5</v>
      </c>
      <c r="V105" s="374">
        <f t="shared" ca="1" si="101"/>
        <v>332024.99305555556</v>
      </c>
      <c r="W105" s="346">
        <f t="shared" si="102"/>
        <v>9191750.4359999988</v>
      </c>
      <c r="X105" s="393">
        <f t="shared" ca="1" si="103"/>
        <v>9523775.4290555548</v>
      </c>
      <c r="Z105" s="341">
        <f t="shared" si="104"/>
        <v>4.1660752509731366E-4</v>
      </c>
      <c r="AA105" s="341">
        <f t="shared" si="105"/>
        <v>0.17087610305958323</v>
      </c>
      <c r="AB105" s="341">
        <f t="shared" si="106"/>
        <v>5.7033398287373851</v>
      </c>
      <c r="AC105" s="341">
        <f t="shared" si="107"/>
        <v>7.1188270393926471E-5</v>
      </c>
      <c r="AD105" s="341">
        <f t="shared" si="108"/>
        <v>2.3760542908392189E-3</v>
      </c>
      <c r="AE105" s="341" t="s">
        <v>892</v>
      </c>
      <c r="AF105" s="341" t="s">
        <v>892</v>
      </c>
      <c r="AG105" s="347"/>
      <c r="AH105" s="347"/>
      <c r="AI105" s="342"/>
      <c r="AJ105" s="345"/>
      <c r="AK105" s="6"/>
      <c r="AL105" s="6"/>
      <c r="AO105" s="348"/>
    </row>
    <row r="106" spans="2:41" s="349" customFormat="1">
      <c r="B106" s="349" t="s">
        <v>422</v>
      </c>
      <c r="C106" s="350"/>
      <c r="D106" s="349" t="s">
        <v>173</v>
      </c>
      <c r="E106" s="349" t="s">
        <v>763</v>
      </c>
      <c r="F106" s="350"/>
      <c r="G106" s="350"/>
      <c r="H106" s="351">
        <v>1897500000</v>
      </c>
      <c r="I106" s="350">
        <f>VLOOKUP(B106,Справочник!A:L,2,0)</f>
        <v>46855</v>
      </c>
      <c r="J106" s="350"/>
      <c r="K106" s="367">
        <f>VLOOKUP(B106,Справочник!A:L,3,0)</f>
        <v>0.104</v>
      </c>
      <c r="L106" s="349">
        <f>VLOOKUP(B106,Справочник!A:L,4,0)</f>
        <v>1</v>
      </c>
      <c r="M106" s="349" t="str">
        <f>VLOOKUP(B106,Справочник!A:L,5,0)</f>
        <v>fix</v>
      </c>
      <c r="N106" s="349" t="str">
        <f>VLOOKUP(B106,Справочник!A:L,6,0)</f>
        <v>30/360</v>
      </c>
      <c r="O106" s="349">
        <f t="shared" ref="O106:O130" si="111">IF(N106="actual/actual",1,IF(N106="actual/360",2,IF(N106="actual/365",3,IF(N106="30/360",4))))</f>
        <v>4</v>
      </c>
      <c r="P106" s="350">
        <f>Q106-(365/L106)</f>
        <v>45394</v>
      </c>
      <c r="Q106" s="352">
        <f t="shared" ref="Q106:Q130" si="112">COUPPCD($A$2,I106,L106,4)</f>
        <v>45759</v>
      </c>
      <c r="S106" s="352">
        <f t="shared" ref="S106:S130" si="113">COUPNCD($A$2,I106,L106,0)</f>
        <v>46124</v>
      </c>
      <c r="T106" s="353">
        <f>VLOOKUP(B106,Цены!C:K,4,0)</f>
        <v>87.546700000000001</v>
      </c>
      <c r="U106" s="372">
        <f t="shared" ref="U106:U130" si="114">IF(P106="",0,H106*K106*IF(O106=4,DAYS360(P106,Q106,1)/360,IF(O106=3,DAYS360(P106,Q106,1)/365,IF(O106=2,(Q106-P106)/360,IF(AND(L106=1,O106=1),(Q106-P106)/(Q106-COUPPCD(Q106-1,I106,1,3)))))))</f>
        <v>197340000</v>
      </c>
      <c r="V106" s="374">
        <f t="shared" ca="1" si="88"/>
        <v>103055333.33333334</v>
      </c>
      <c r="W106" s="354">
        <f t="shared" ref="W106:W130" si="115">T106/100*H106</f>
        <v>1661198632.5</v>
      </c>
      <c r="X106" s="394">
        <f t="shared" ref="X106:X130" ca="1" si="116">SUM(V106:W106)</f>
        <v>1764253965.8333333</v>
      </c>
      <c r="Z106" s="349">
        <f t="shared" si="104"/>
        <v>6.9642489947998931E-2</v>
      </c>
      <c r="AA106" s="349">
        <f t="shared" ref="AA106:AA130" si="117">IFERROR(YIELD($A$2,I106,K106,T106,100,L106,O106),0)</f>
        <v>0.16848391499834114</v>
      </c>
      <c r="AB106" s="349">
        <f t="shared" ref="AB106:AB130" si="118">IFERROR(MDURATION($A$2,I106,K106,AA106,L106,O106),0)</f>
        <v>1.8667297314588247</v>
      </c>
      <c r="AC106" s="349">
        <f t="shared" ref="AC106:AC130" si="119">Z106*AA106</f>
        <v>1.1733639356671479E-2</v>
      </c>
      <c r="AD106" s="349">
        <f t="shared" ref="AD106:AD130" si="120">Z106*AB106</f>
        <v>0.13000370655875193</v>
      </c>
      <c r="AE106" s="349" t="str">
        <f t="shared" ref="AE106:AE130" si="121">IF(S106-$A$2&lt;10,"Скоро погашение купона","Ok")</f>
        <v>Ok</v>
      </c>
      <c r="AF106" s="349" t="str">
        <f t="shared" ref="AF106:AF130" si="122">IF(I106-$A$2&lt;=0,"Погашено","Ok")</f>
        <v>Ok</v>
      </c>
      <c r="AG106" s="355"/>
      <c r="AH106" s="355"/>
      <c r="AI106" s="350"/>
      <c r="AJ106" s="350"/>
      <c r="AK106" s="350"/>
      <c r="AL106" s="350"/>
      <c r="AO106" s="356"/>
    </row>
    <row r="107" spans="2:41" s="349" customFormat="1">
      <c r="B107" s="349" t="s">
        <v>74</v>
      </c>
      <c r="C107" s="350"/>
      <c r="D107" s="349" t="s">
        <v>173</v>
      </c>
      <c r="E107" s="349" t="s">
        <v>763</v>
      </c>
      <c r="F107" s="350"/>
      <c r="G107" s="350"/>
      <c r="H107" s="351">
        <v>1897500000</v>
      </c>
      <c r="I107" s="350" t="str">
        <f>VLOOKUP(B107,Справочник!A:L,2,0)</f>
        <v>12.05.2034</v>
      </c>
      <c r="J107" s="350"/>
      <c r="K107" s="367">
        <f>VLOOKUP(B107,Справочник!A:L,3,0)</f>
        <v>8.0700000000000008E-2</v>
      </c>
      <c r="L107" s="349">
        <f>VLOOKUP(B107,Справочник!A:L,4,0)</f>
        <v>1</v>
      </c>
      <c r="M107" s="349" t="str">
        <f>VLOOKUP(B107,Справочник!A:L,5,0)</f>
        <v>fix</v>
      </c>
      <c r="N107" s="349" t="str">
        <f>VLOOKUP(B107,Справочник!A:L,6,0)</f>
        <v>30/360</v>
      </c>
      <c r="O107" s="349">
        <f t="shared" si="111"/>
        <v>4</v>
      </c>
      <c r="P107" s="314">
        <f>Q107-(366/L107)+1</f>
        <v>45424</v>
      </c>
      <c r="Q107" s="352">
        <f t="shared" si="112"/>
        <v>45789</v>
      </c>
      <c r="S107" s="352">
        <f t="shared" si="113"/>
        <v>46154</v>
      </c>
      <c r="T107" s="353">
        <f>VLOOKUP(B107,Цены!C:K,4,0)</f>
        <v>60.849699999999999</v>
      </c>
      <c r="U107" s="372">
        <f t="shared" si="114"/>
        <v>153128250</v>
      </c>
      <c r="V107" s="374">
        <f t="shared" ca="1" si="88"/>
        <v>67206287.5</v>
      </c>
      <c r="W107" s="354">
        <f t="shared" si="115"/>
        <v>1154623057.5</v>
      </c>
      <c r="X107" s="394">
        <f t="shared" ca="1" si="116"/>
        <v>1221829345</v>
      </c>
      <c r="Z107" s="349">
        <f t="shared" si="104"/>
        <v>4.8405303918808477E-2</v>
      </c>
      <c r="AA107" s="349">
        <f t="shared" si="117"/>
        <v>0.17053243050329317</v>
      </c>
      <c r="AB107" s="349">
        <f t="shared" si="118"/>
        <v>4.7573953663755661</v>
      </c>
      <c r="AC107" s="349">
        <f t="shared" si="119"/>
        <v>8.2546741265249919E-3</v>
      </c>
      <c r="AD107" s="349">
        <f t="shared" si="120"/>
        <v>0.23028316857134049</v>
      </c>
      <c r="AE107" s="349" t="str">
        <f t="shared" si="121"/>
        <v>Ok</v>
      </c>
      <c r="AF107" s="349" t="str">
        <f t="shared" si="122"/>
        <v>Ok</v>
      </c>
      <c r="AG107" s="355"/>
      <c r="AH107" s="355"/>
      <c r="AI107" s="350"/>
      <c r="AJ107" s="353"/>
      <c r="AK107" s="6"/>
      <c r="AL107" s="6"/>
      <c r="AO107" s="356"/>
    </row>
    <row r="108" spans="2:41" s="349" customFormat="1">
      <c r="B108" s="349" t="s">
        <v>81</v>
      </c>
      <c r="C108" s="350"/>
      <c r="D108" s="349" t="s">
        <v>173</v>
      </c>
      <c r="E108" s="349" t="s">
        <v>763</v>
      </c>
      <c r="F108" s="350"/>
      <c r="G108" s="350">
        <f>H108*K108</f>
        <v>153128250</v>
      </c>
      <c r="H108" s="351">
        <v>1897500000</v>
      </c>
      <c r="I108" s="350" t="str">
        <f>VLOOKUP(B108,Справочник!A:L,2,0)</f>
        <v>29.01.2035</v>
      </c>
      <c r="J108" s="350"/>
      <c r="K108" s="367">
        <f>VLOOKUP(B108,Справочник!A:L,3,0)</f>
        <v>8.0700000000000008E-2</v>
      </c>
      <c r="L108" s="349">
        <f>VLOOKUP(B108,Справочник!A:L,4,0)</f>
        <v>1</v>
      </c>
      <c r="M108" s="349" t="str">
        <f>VLOOKUP(B108,Справочник!A:L,5,0)</f>
        <v>fix</v>
      </c>
      <c r="N108" s="349" t="str">
        <f>VLOOKUP(B108,Справочник!A:L,6,0)</f>
        <v>30/360</v>
      </c>
      <c r="O108" s="349">
        <f t="shared" si="111"/>
        <v>4</v>
      </c>
      <c r="P108" s="350">
        <f>Q108-(366/L108)</f>
        <v>45320</v>
      </c>
      <c r="Q108" s="352">
        <f t="shared" si="112"/>
        <v>45686</v>
      </c>
      <c r="S108" s="352">
        <f t="shared" si="113"/>
        <v>46051</v>
      </c>
      <c r="T108" s="353">
        <f>VLOOKUP(B108,Цены!C:K,4,0)</f>
        <v>59.360199999999999</v>
      </c>
      <c r="U108" s="372">
        <f t="shared" si="114"/>
        <v>153128250</v>
      </c>
      <c r="V108" s="374">
        <f t="shared" ca="1" si="88"/>
        <v>111017981.25</v>
      </c>
      <c r="W108" s="354">
        <f t="shared" si="115"/>
        <v>1126359795</v>
      </c>
      <c r="X108" s="394">
        <f t="shared" ca="1" si="116"/>
        <v>1237377776.25</v>
      </c>
      <c r="Z108" s="349">
        <f t="shared" si="104"/>
        <v>4.72204221496779E-2</v>
      </c>
      <c r="AA108" s="349">
        <f t="shared" si="117"/>
        <v>0.17073363636769814</v>
      </c>
      <c r="AB108" s="349">
        <f t="shared" si="118"/>
        <v>4.7570165076445008</v>
      </c>
      <c r="AC108" s="349">
        <f t="shared" si="119"/>
        <v>8.0621143844323059E-3</v>
      </c>
      <c r="AD108" s="349">
        <f t="shared" si="120"/>
        <v>0.22462832766395979</v>
      </c>
      <c r="AE108" s="349" t="str">
        <f t="shared" si="121"/>
        <v>Ok</v>
      </c>
      <c r="AF108" s="349" t="str">
        <f t="shared" si="122"/>
        <v>Ok</v>
      </c>
      <c r="AG108" s="355"/>
      <c r="AH108" s="355"/>
      <c r="AI108" s="350"/>
      <c r="AJ108" s="353"/>
      <c r="AK108" s="6"/>
      <c r="AL108" s="6"/>
      <c r="AO108" s="356"/>
    </row>
    <row r="109" spans="2:41" s="349" customFormat="1">
      <c r="B109" s="349" t="s">
        <v>95</v>
      </c>
      <c r="C109" s="350"/>
      <c r="D109" s="349" t="s">
        <v>173</v>
      </c>
      <c r="E109" s="349" t="s">
        <v>763</v>
      </c>
      <c r="F109" s="350"/>
      <c r="G109" s="350"/>
      <c r="H109" s="351">
        <v>1897500000</v>
      </c>
      <c r="I109" s="350" t="str">
        <f>VLOOKUP(B109,Справочник!A:L,2,0)</f>
        <v>31.03.2029</v>
      </c>
      <c r="J109" s="350"/>
      <c r="K109" s="367">
        <f>VLOOKUP(B109,Справочник!A:L,3,0)</f>
        <v>0.11</v>
      </c>
      <c r="L109" s="349">
        <f>VLOOKUP(B109,Справочник!A:L,4,0)</f>
        <v>1</v>
      </c>
      <c r="M109" s="349" t="str">
        <f>VLOOKUP(B109,Справочник!A:L,5,0)</f>
        <v>fix</v>
      </c>
      <c r="N109" s="349" t="str">
        <f>VLOOKUP(B109,Справочник!A:L,6,0)</f>
        <v>30/360</v>
      </c>
      <c r="O109" s="349">
        <f t="shared" si="111"/>
        <v>4</v>
      </c>
      <c r="P109" s="350">
        <f>Q109-(365/L109)</f>
        <v>45382</v>
      </c>
      <c r="Q109" s="352">
        <f t="shared" si="112"/>
        <v>45747</v>
      </c>
      <c r="S109" s="352">
        <f t="shared" si="113"/>
        <v>46112</v>
      </c>
      <c r="T109" s="353">
        <f>VLOOKUP(B109,Цены!C:K,4,0)</f>
        <v>85.257800000000003</v>
      </c>
      <c r="U109" s="372">
        <f t="shared" si="114"/>
        <v>208725000</v>
      </c>
      <c r="V109" s="374">
        <f t="shared" ca="1" si="88"/>
        <v>115958333.33333334</v>
      </c>
      <c r="W109" s="354">
        <f t="shared" si="115"/>
        <v>1617766755</v>
      </c>
      <c r="X109" s="394">
        <f t="shared" ca="1" si="116"/>
        <v>1733725088.3333333</v>
      </c>
      <c r="Z109" s="349">
        <f t="shared" si="104"/>
        <v>6.7821693787298701E-2</v>
      </c>
      <c r="AA109" s="349">
        <f t="shared" si="117"/>
        <v>0.16903044998754008</v>
      </c>
      <c r="AB109" s="349">
        <f t="shared" si="118"/>
        <v>2.4235027949626344</v>
      </c>
      <c r="AC109" s="349">
        <f t="shared" si="119"/>
        <v>1.1463931419784251E-2</v>
      </c>
      <c r="AD109" s="349">
        <f t="shared" si="120"/>
        <v>0.16436606445261834</v>
      </c>
      <c r="AE109" s="349" t="str">
        <f t="shared" si="121"/>
        <v>Ok</v>
      </c>
      <c r="AF109" s="349" t="str">
        <f t="shared" si="122"/>
        <v>Ok</v>
      </c>
      <c r="AG109" s="355"/>
      <c r="AH109" s="355"/>
      <c r="AI109" s="350"/>
      <c r="AJ109" s="353"/>
      <c r="AK109" s="6"/>
      <c r="AL109" s="6"/>
      <c r="AO109" s="356"/>
    </row>
    <row r="110" spans="2:41" s="349" customFormat="1">
      <c r="B110" s="349" t="s">
        <v>448</v>
      </c>
      <c r="C110" s="350">
        <v>44405</v>
      </c>
      <c r="D110" s="349" t="s">
        <v>173</v>
      </c>
      <c r="E110" s="349" t="s">
        <v>763</v>
      </c>
      <c r="F110" s="350">
        <v>44405</v>
      </c>
      <c r="G110" s="350">
        <v>44405</v>
      </c>
      <c r="H110" s="351">
        <f>1897500000</f>
        <v>1897500000</v>
      </c>
      <c r="I110" s="350">
        <f>VLOOKUP(B110,Справочник!A:L,2,0)</f>
        <v>47327</v>
      </c>
      <c r="J110" s="350"/>
      <c r="K110" s="367">
        <f>VLOOKUP(B110,Справочник!A:L,3,0)</f>
        <v>0.1055</v>
      </c>
      <c r="L110" s="349">
        <f>VLOOKUP(B110,Справочник!A:L,4,0)</f>
        <v>1</v>
      </c>
      <c r="M110" s="349" t="str">
        <f>VLOOKUP(B110,Справочник!A:L,5,0)</f>
        <v>fix</v>
      </c>
      <c r="N110" s="349" t="str">
        <f>VLOOKUP(B110,Справочник!A:L,6,0)</f>
        <v>30/360</v>
      </c>
      <c r="O110" s="349">
        <f t="shared" si="111"/>
        <v>4</v>
      </c>
      <c r="P110" s="314">
        <f>Q110-(365/L110)</f>
        <v>45501</v>
      </c>
      <c r="Q110" s="352">
        <f t="shared" si="112"/>
        <v>45866</v>
      </c>
      <c r="S110" s="352">
        <f t="shared" si="113"/>
        <v>46231</v>
      </c>
      <c r="T110" s="353">
        <f>VLOOKUP(B110,Цены!C:K,4,0)</f>
        <v>83.111000000000004</v>
      </c>
      <c r="U110" s="372">
        <f t="shared" si="114"/>
        <v>200186250</v>
      </c>
      <c r="V110" s="374">
        <f t="shared" ca="1" si="88"/>
        <v>45597979.166666664</v>
      </c>
      <c r="W110" s="354">
        <f t="shared" si="115"/>
        <v>1577031225</v>
      </c>
      <c r="X110" s="394">
        <f t="shared" ca="1" si="116"/>
        <v>1622629204.1666667</v>
      </c>
      <c r="Z110" s="349">
        <f t="shared" si="104"/>
        <v>6.6113936699705861E-2</v>
      </c>
      <c r="AA110" s="349">
        <f t="shared" si="117"/>
        <v>0.16908946835178582</v>
      </c>
      <c r="AB110" s="349">
        <f t="shared" si="118"/>
        <v>2.7175797146221123</v>
      </c>
      <c r="AC110" s="349">
        <f t="shared" si="119"/>
        <v>1.1179170407196884E-2</v>
      </c>
      <c r="AD110" s="349">
        <f t="shared" si="120"/>
        <v>0.17966989322893107</v>
      </c>
      <c r="AE110" s="349" t="str">
        <f t="shared" si="121"/>
        <v>Ok</v>
      </c>
      <c r="AF110" s="349" t="str">
        <f t="shared" si="122"/>
        <v>Ok</v>
      </c>
      <c r="AG110" s="355"/>
      <c r="AH110" s="355"/>
      <c r="AI110" s="350"/>
      <c r="AJ110" s="353"/>
      <c r="AK110" s="6"/>
      <c r="AL110" s="6"/>
      <c r="AO110" s="356"/>
    </row>
    <row r="111" spans="2:41" s="349" customFormat="1">
      <c r="B111" s="349" t="s">
        <v>417</v>
      </c>
      <c r="C111" s="350"/>
      <c r="D111" s="349" t="s">
        <v>173</v>
      </c>
      <c r="E111" s="349" t="s">
        <v>763</v>
      </c>
      <c r="F111" s="350">
        <v>44447</v>
      </c>
      <c r="G111" s="350">
        <v>44447</v>
      </c>
      <c r="H111" s="351">
        <v>1897500000</v>
      </c>
      <c r="I111" s="350">
        <f>VLOOKUP(B111,Справочник!A:L,2,0)</f>
        <v>47924</v>
      </c>
      <c r="J111" s="350"/>
      <c r="K111" s="367">
        <f>VLOOKUP(B111,Справочник!A:L,3,0)</f>
        <v>0.10299999999999999</v>
      </c>
      <c r="L111" s="349">
        <f>VLOOKUP(B111,Справочник!A:L,4,0)</f>
        <v>1</v>
      </c>
      <c r="M111" s="349" t="str">
        <f>VLOOKUP(B111,Справочник!A:L,5,0)</f>
        <v>fix</v>
      </c>
      <c r="N111" s="349" t="str">
        <f>VLOOKUP(B111,Справочник!A:L,6,0)</f>
        <v>30/360</v>
      </c>
      <c r="O111" s="349">
        <f t="shared" si="111"/>
        <v>4</v>
      </c>
      <c r="P111" s="350">
        <f>Q111-(365/L111)</f>
        <v>45368</v>
      </c>
      <c r="Q111" s="352">
        <f t="shared" si="112"/>
        <v>45733</v>
      </c>
      <c r="S111" s="352">
        <f t="shared" si="113"/>
        <v>46098</v>
      </c>
      <c r="T111" s="353">
        <f>VLOOKUP(B111,Цены!C:K,4,0)</f>
        <v>77.3249</v>
      </c>
      <c r="U111" s="372">
        <f t="shared" si="114"/>
        <v>195442500</v>
      </c>
      <c r="V111" s="374">
        <f t="shared" ca="1" si="88"/>
        <v>115636812.5</v>
      </c>
      <c r="W111" s="354">
        <f t="shared" si="115"/>
        <v>1467239977.5</v>
      </c>
      <c r="X111" s="394">
        <f t="shared" ca="1" si="116"/>
        <v>1582876790</v>
      </c>
      <c r="Z111" s="349">
        <f t="shared" si="104"/>
        <v>6.1511154286569593E-2</v>
      </c>
      <c r="AA111" s="349">
        <f t="shared" si="117"/>
        <v>0.16974219864232909</v>
      </c>
      <c r="AB111" s="349">
        <f t="shared" si="118"/>
        <v>3.3962248174434158</v>
      </c>
      <c r="AC111" s="349">
        <f t="shared" si="119"/>
        <v>1.0441038569629848E-2</v>
      </c>
      <c r="AD111" s="349">
        <f t="shared" si="120"/>
        <v>0.20890570873763858</v>
      </c>
      <c r="AE111" s="349" t="str">
        <f t="shared" si="121"/>
        <v>Ok</v>
      </c>
      <c r="AF111" s="349" t="str">
        <f t="shared" si="122"/>
        <v>Ok</v>
      </c>
      <c r="AG111" s="355"/>
      <c r="AH111" s="355"/>
      <c r="AI111" s="350"/>
      <c r="AJ111" s="353"/>
      <c r="AK111" s="6"/>
      <c r="AL111" s="6"/>
      <c r="AO111" s="356"/>
    </row>
    <row r="112" spans="2:41" s="349" customFormat="1">
      <c r="B112" s="349" t="s">
        <v>473</v>
      </c>
      <c r="C112" s="350"/>
      <c r="D112" s="349" t="s">
        <v>173</v>
      </c>
      <c r="E112" s="349" t="s">
        <v>763</v>
      </c>
      <c r="F112" s="350">
        <v>44636</v>
      </c>
      <c r="G112" s="350">
        <v>44638</v>
      </c>
      <c r="H112" s="351">
        <v>2530000000</v>
      </c>
      <c r="I112" s="350">
        <f>VLOOKUP(B112,Справочник!A:L,2,0)</f>
        <v>46043</v>
      </c>
      <c r="J112" s="350"/>
      <c r="K112" s="367">
        <f>VLOOKUP(B112,Справочник!A:L,3,0)</f>
        <v>0.1067</v>
      </c>
      <c r="L112" s="349">
        <f>VLOOKUP(B112,Справочник!A:L,4,0)</f>
        <v>2</v>
      </c>
      <c r="M112" s="349" t="str">
        <f>VLOOKUP(B112,Справочник!A:L,5,0)</f>
        <v>fix</v>
      </c>
      <c r="N112" s="349" t="str">
        <f>VLOOKUP(B112,Справочник!A:L,6,0)</f>
        <v>30/360</v>
      </c>
      <c r="O112" s="349">
        <f t="shared" si="111"/>
        <v>4</v>
      </c>
      <c r="P112" s="314">
        <f>Q112-(362/L112)</f>
        <v>45678</v>
      </c>
      <c r="Q112" s="352">
        <f t="shared" si="112"/>
        <v>45859</v>
      </c>
      <c r="S112" s="352">
        <f t="shared" si="113"/>
        <v>46043</v>
      </c>
      <c r="T112" s="353">
        <f>VLOOKUP(B112,Цены!C:K,4,0)</f>
        <v>98.584699999999998</v>
      </c>
      <c r="U112" s="372">
        <f t="shared" si="114"/>
        <v>134975500</v>
      </c>
      <c r="V112" s="374">
        <f t="shared" ca="1" si="88"/>
        <v>66737886.111111112</v>
      </c>
      <c r="W112" s="354">
        <f t="shared" si="115"/>
        <v>2494192910</v>
      </c>
      <c r="X112" s="394">
        <f t="shared" ca="1" si="116"/>
        <v>2560930796.1111112</v>
      </c>
      <c r="Z112" s="349">
        <f t="shared" si="104"/>
        <v>0.10456413896851989</v>
      </c>
      <c r="AA112" s="349">
        <f t="shared" si="117"/>
        <v>0.16072492962444065</v>
      </c>
      <c r="AB112" s="349">
        <f t="shared" si="118"/>
        <v>0.23397497229942502</v>
      </c>
      <c r="AC112" s="349">
        <f t="shared" si="119"/>
        <v>1.6806063876955591E-2</v>
      </c>
      <c r="AD112" s="349">
        <f t="shared" si="120"/>
        <v>2.446539151867267E-2</v>
      </c>
      <c r="AE112" s="349" t="str">
        <f t="shared" si="121"/>
        <v>Ok</v>
      </c>
      <c r="AF112" s="349" t="str">
        <f t="shared" si="122"/>
        <v>Ok</v>
      </c>
      <c r="AG112" s="355"/>
      <c r="AH112" s="355"/>
      <c r="AI112" s="350"/>
      <c r="AJ112" s="353"/>
      <c r="AK112" s="6"/>
      <c r="AL112" s="6"/>
      <c r="AO112" s="356"/>
    </row>
    <row r="113" spans="2:41" s="349" customFormat="1">
      <c r="B113" s="349" t="s">
        <v>90</v>
      </c>
      <c r="C113" s="350"/>
      <c r="D113" s="349" t="s">
        <v>173</v>
      </c>
      <c r="E113" s="349" t="s">
        <v>763</v>
      </c>
      <c r="F113" s="350"/>
      <c r="G113" s="350"/>
      <c r="H113" s="351">
        <v>1897500000</v>
      </c>
      <c r="I113" s="350" t="str">
        <f>VLOOKUP(B113,Справочник!A:L,2,0)</f>
        <v>16.04.2032</v>
      </c>
      <c r="J113" s="350"/>
      <c r="K113" s="367">
        <f>VLOOKUP(B113,Справочник!A:L,3,0)</f>
        <v>8.4499999999999992E-2</v>
      </c>
      <c r="L113" s="349">
        <f>VLOOKUP(B113,Справочник!A:L,4,0)</f>
        <v>1</v>
      </c>
      <c r="M113" s="349" t="str">
        <f>VLOOKUP(B113,Справочник!A:L,5,0)</f>
        <v>fix</v>
      </c>
      <c r="N113" s="349" t="str">
        <f>VLOOKUP(B113,Справочник!A:L,6,0)</f>
        <v>30/360</v>
      </c>
      <c r="O113" s="349">
        <f t="shared" si="111"/>
        <v>4</v>
      </c>
      <c r="P113" s="350">
        <f>Q113-(365/L113)</f>
        <v>45398</v>
      </c>
      <c r="Q113" s="352">
        <f t="shared" si="112"/>
        <v>45763</v>
      </c>
      <c r="S113" s="352">
        <f t="shared" si="113"/>
        <v>46128</v>
      </c>
      <c r="T113" s="353">
        <f>VLOOKUP(B113,Цены!C:K,4,0)</f>
        <v>67.637699999999995</v>
      </c>
      <c r="U113" s="372">
        <f t="shared" si="114"/>
        <v>160338749.99999997</v>
      </c>
      <c r="V113" s="374">
        <f t="shared" ca="1" si="88"/>
        <v>81950916.666666642</v>
      </c>
      <c r="W113" s="354">
        <f t="shared" si="115"/>
        <v>1283425357.5</v>
      </c>
      <c r="X113" s="394">
        <f t="shared" ca="1" si="116"/>
        <v>1365376274.1666667</v>
      </c>
      <c r="Z113" s="349">
        <f t="shared" si="104"/>
        <v>5.3805087368864468E-2</v>
      </c>
      <c r="AA113" s="349">
        <f t="shared" si="117"/>
        <v>0.17020940812922938</v>
      </c>
      <c r="AB113" s="349">
        <f t="shared" si="118"/>
        <v>4.0035586002643297</v>
      </c>
      <c r="AC113" s="349">
        <f t="shared" si="119"/>
        <v>9.1581320753958972E-3</v>
      </c>
      <c r="AD113" s="349">
        <f t="shared" si="120"/>
        <v>0.21541182027359099</v>
      </c>
      <c r="AE113" s="349" t="str">
        <f t="shared" si="121"/>
        <v>Ok</v>
      </c>
      <c r="AF113" s="349" t="str">
        <f t="shared" si="122"/>
        <v>Ok</v>
      </c>
      <c r="AG113" s="355"/>
      <c r="AH113" s="355"/>
      <c r="AI113" s="350"/>
      <c r="AJ113" s="353"/>
      <c r="AK113" s="6"/>
      <c r="AL113" s="6"/>
      <c r="AO113" s="356"/>
    </row>
    <row r="114" spans="2:41" s="349" customFormat="1">
      <c r="B114" s="349" t="s">
        <v>59</v>
      </c>
      <c r="C114" s="350"/>
      <c r="D114" s="349" t="s">
        <v>173</v>
      </c>
      <c r="E114" s="349" t="s">
        <v>763</v>
      </c>
      <c r="F114" s="350"/>
      <c r="G114" s="350"/>
      <c r="H114" s="351">
        <v>3162500000</v>
      </c>
      <c r="I114" s="350" t="str">
        <f>VLOOKUP(B114,Справочник!A:L,2,0)</f>
        <v>27.03.2027</v>
      </c>
      <c r="J114" s="350"/>
      <c r="K114" s="367">
        <f>VLOOKUP(B114,Справочник!A:L,3,0)</f>
        <v>5.4900000000000004E-2</v>
      </c>
      <c r="L114" s="349">
        <f>VLOOKUP(B114,Справочник!A:L,4,0)</f>
        <v>1</v>
      </c>
      <c r="M114" s="349" t="str">
        <f>VLOOKUP(B114,Справочник!A:L,5,0)</f>
        <v>fix</v>
      </c>
      <c r="N114" s="349" t="str">
        <f>VLOOKUP(B114,Справочник!A:L,6,0)</f>
        <v>30/360</v>
      </c>
      <c r="O114" s="349">
        <f t="shared" si="111"/>
        <v>4</v>
      </c>
      <c r="P114" s="350">
        <f>Q114-(365/L114)</f>
        <v>45378</v>
      </c>
      <c r="Q114" s="352">
        <f t="shared" si="112"/>
        <v>45743</v>
      </c>
      <c r="S114" s="352">
        <f t="shared" si="113"/>
        <v>46108</v>
      </c>
      <c r="T114" s="353">
        <f>VLOOKUP(B114,Цены!C:K,4,0)</f>
        <v>86.486599999999996</v>
      </c>
      <c r="U114" s="372">
        <f t="shared" si="114"/>
        <v>173621250</v>
      </c>
      <c r="V114" s="374">
        <f t="shared" ca="1" si="88"/>
        <v>97903093.75</v>
      </c>
      <c r="W114" s="354">
        <f t="shared" si="115"/>
        <v>2735138724.9999995</v>
      </c>
      <c r="X114" s="394">
        <f t="shared" ca="1" si="116"/>
        <v>2833041818.7499995</v>
      </c>
      <c r="Z114" s="349">
        <f t="shared" si="104"/>
        <v>0.11466531902661861</v>
      </c>
      <c r="AA114" s="349">
        <f t="shared" si="117"/>
        <v>0.16753435390603935</v>
      </c>
      <c r="AB114" s="349">
        <f t="shared" si="118"/>
        <v>1.1809757969098089</v>
      </c>
      <c r="AC114" s="349">
        <f t="shared" si="119"/>
        <v>1.9210380138554431E-2</v>
      </c>
      <c r="AD114" s="349">
        <f t="shared" si="120"/>
        <v>0.13541696651537838</v>
      </c>
      <c r="AE114" s="349" t="str">
        <f t="shared" si="121"/>
        <v>Ok</v>
      </c>
      <c r="AF114" s="349" t="str">
        <f t="shared" si="122"/>
        <v>Ok</v>
      </c>
      <c r="AG114" s="355"/>
      <c r="AH114" s="355"/>
      <c r="AI114" s="350"/>
      <c r="AJ114" s="353"/>
      <c r="AK114" s="6"/>
      <c r="AL114" s="6"/>
      <c r="AO114" s="356"/>
    </row>
    <row r="115" spans="2:41" s="349" customFormat="1">
      <c r="B115" s="349" t="s">
        <v>446</v>
      </c>
      <c r="C115" s="350"/>
      <c r="D115" s="349" t="s">
        <v>173</v>
      </c>
      <c r="E115" s="349" t="s">
        <v>763</v>
      </c>
      <c r="F115" s="350">
        <v>45468</v>
      </c>
      <c r="G115" s="350">
        <v>45475</v>
      </c>
      <c r="H115" s="351">
        <v>1897500000</v>
      </c>
      <c r="I115" s="350">
        <f>VLOOKUP(B115,Справочник!A:L,2,0)</f>
        <v>48421</v>
      </c>
      <c r="J115" s="350"/>
      <c r="K115" s="367">
        <f>VLOOKUP(B115,Справочник!A:L,3,0)</f>
        <v>0.1065</v>
      </c>
      <c r="L115" s="349">
        <f>VLOOKUP(B115,Справочник!A:L,4,0)</f>
        <v>1</v>
      </c>
      <c r="M115" s="349" t="str">
        <f>VLOOKUP(B115,Справочник!A:L,5,0)</f>
        <v>fix</v>
      </c>
      <c r="N115" s="349" t="str">
        <f>VLOOKUP(B115,Справочник!A:L,6,0)</f>
        <v>30/360</v>
      </c>
      <c r="O115" s="349">
        <f t="shared" si="111"/>
        <v>4</v>
      </c>
      <c r="P115" s="314">
        <f>Q115-(365/L115)</f>
        <v>45499</v>
      </c>
      <c r="Q115" s="352">
        <f t="shared" si="112"/>
        <v>45864</v>
      </c>
      <c r="S115" s="352">
        <f t="shared" si="113"/>
        <v>46229</v>
      </c>
      <c r="T115" s="353">
        <f>VLOOKUP(B115,Цены!C:K,4,0)</f>
        <v>75.357399999999998</v>
      </c>
      <c r="U115" s="372">
        <f t="shared" si="114"/>
        <v>202083750</v>
      </c>
      <c r="V115" s="374">
        <f t="shared" ca="1" si="88"/>
        <v>47152875</v>
      </c>
      <c r="W115" s="354">
        <f t="shared" si="115"/>
        <v>1429906665</v>
      </c>
      <c r="X115" s="394">
        <f t="shared" ca="1" si="116"/>
        <v>1477059540</v>
      </c>
      <c r="Z115" s="349">
        <f t="shared" si="104"/>
        <v>5.9946028485452156E-2</v>
      </c>
      <c r="AA115" s="349">
        <f t="shared" si="117"/>
        <v>0.1701657954073986</v>
      </c>
      <c r="AB115" s="349">
        <f t="shared" si="118"/>
        <v>4.0632393954712009</v>
      </c>
      <c r="AC115" s="349">
        <f t="shared" si="119"/>
        <v>1.020076361874154E-2</v>
      </c>
      <c r="AD115" s="349">
        <f t="shared" si="120"/>
        <v>0.243575064544128</v>
      </c>
      <c r="AE115" s="349" t="str">
        <f t="shared" si="121"/>
        <v>Ok</v>
      </c>
      <c r="AF115" s="349" t="str">
        <f t="shared" si="122"/>
        <v>Ok</v>
      </c>
      <c r="AG115" s="355"/>
      <c r="AH115" s="355"/>
      <c r="AI115" s="350"/>
      <c r="AJ115" s="353"/>
      <c r="AK115" s="6"/>
      <c r="AL115" s="6"/>
      <c r="AO115" s="356"/>
    </row>
    <row r="116" spans="2:41" s="349" customFormat="1">
      <c r="B116" s="349" t="s">
        <v>516</v>
      </c>
      <c r="C116" s="350"/>
      <c r="D116" s="349" t="s">
        <v>173</v>
      </c>
      <c r="E116" s="349" t="s">
        <v>763</v>
      </c>
      <c r="F116" s="350">
        <v>45727</v>
      </c>
      <c r="G116" s="350">
        <v>45729</v>
      </c>
      <c r="H116" s="351">
        <v>550000000</v>
      </c>
      <c r="I116" s="350">
        <f>VLOOKUP(B116,Справочник!A:L,2,0)</f>
        <v>47549</v>
      </c>
      <c r="J116" s="350"/>
      <c r="K116" s="367">
        <f>VLOOKUP(B116,Справочник!A:L,3,0)</f>
        <v>0.12</v>
      </c>
      <c r="L116" s="349">
        <f>VLOOKUP(B116,Справочник!A:L,4,0)</f>
        <v>1</v>
      </c>
      <c r="M116" s="349" t="str">
        <f>VLOOKUP(B116,Справочник!A:L,5,0)</f>
        <v>fix</v>
      </c>
      <c r="N116" s="349" t="str">
        <f>VLOOKUP(B116,Справочник!A:L,6,0)</f>
        <v>30/360</v>
      </c>
      <c r="O116" s="349">
        <f t="shared" si="111"/>
        <v>4</v>
      </c>
      <c r="P116" s="350">
        <f>Q116-(366/L116)</f>
        <v>45357</v>
      </c>
      <c r="Q116" s="352">
        <f t="shared" si="112"/>
        <v>45723</v>
      </c>
      <c r="S116" s="352">
        <f t="shared" si="113"/>
        <v>46088</v>
      </c>
      <c r="T116" s="353">
        <f>VLOOKUP(B116,Цены!C:K,4,0)</f>
        <v>85.3215</v>
      </c>
      <c r="U116" s="372">
        <f t="shared" si="114"/>
        <v>66183333.333333336</v>
      </c>
      <c r="V116" s="374">
        <f t="shared" ca="1" si="88"/>
        <v>40883333.333333336</v>
      </c>
      <c r="W116" s="354">
        <f t="shared" si="115"/>
        <v>469268250.00000006</v>
      </c>
      <c r="X116" s="394">
        <f t="shared" ca="1" si="116"/>
        <v>510151583.33333337</v>
      </c>
      <c r="Z116" s="349">
        <f t="shared" si="104"/>
        <v>1.96731497029691E-2</v>
      </c>
      <c r="AA116" s="349">
        <f t="shared" si="117"/>
        <v>0.16934957793798067</v>
      </c>
      <c r="AB116" s="349">
        <f t="shared" si="118"/>
        <v>2.8440770431456968</v>
      </c>
      <c r="AC116" s="349">
        <f t="shared" si="119"/>
        <v>3.3316395989085269E-3</v>
      </c>
      <c r="AD116" s="349">
        <f t="shared" si="120"/>
        <v>5.5951953436583005E-2</v>
      </c>
      <c r="AE116" s="349" t="str">
        <f t="shared" si="121"/>
        <v>Ok</v>
      </c>
      <c r="AF116" s="349" t="str">
        <f t="shared" si="122"/>
        <v>Ok</v>
      </c>
      <c r="AG116" s="355"/>
      <c r="AH116" s="355"/>
      <c r="AI116" s="350"/>
      <c r="AJ116" s="353"/>
      <c r="AK116" s="6"/>
      <c r="AL116" s="6"/>
      <c r="AO116" s="356"/>
    </row>
    <row r="117" spans="2:41" s="349" customFormat="1">
      <c r="B117" s="349" t="s">
        <v>1041</v>
      </c>
      <c r="C117" s="350"/>
      <c r="D117" s="349" t="s">
        <v>173</v>
      </c>
      <c r="E117" s="349" t="s">
        <v>763</v>
      </c>
      <c r="F117" s="350">
        <v>45727</v>
      </c>
      <c r="G117" s="350">
        <v>45729</v>
      </c>
      <c r="H117" s="351">
        <v>1142400000</v>
      </c>
      <c r="I117" s="350">
        <f>VLOOKUP(B117,Справочник!A:L,2,0)</f>
        <v>46059</v>
      </c>
      <c r="J117" s="350"/>
      <c r="K117" s="367">
        <f>VLOOKUP(B117,Справочник!A:L,3,0)</f>
        <v>0</v>
      </c>
      <c r="L117" s="349">
        <f>VLOOKUP(B117,Справочник!A:L,4,0)</f>
        <v>1</v>
      </c>
      <c r="M117" s="349" t="str">
        <f>VLOOKUP(B117,Справочник!A:L,5,0)</f>
        <v>fix</v>
      </c>
      <c r="N117" s="349" t="str">
        <f>VLOOKUP(B117,Справочник!A:L,6,0)</f>
        <v>actual/actual</v>
      </c>
      <c r="O117" s="349">
        <f t="shared" si="111"/>
        <v>1</v>
      </c>
      <c r="P117" s="350">
        <f>Q117-(366/L117)</f>
        <v>45328</v>
      </c>
      <c r="Q117" s="352">
        <f t="shared" si="112"/>
        <v>45694</v>
      </c>
      <c r="S117" s="352">
        <f t="shared" si="113"/>
        <v>46059</v>
      </c>
      <c r="T117" s="353">
        <f>VLOOKUP(B117,Цены!C:K,4,0)</f>
        <v>95.442800000000005</v>
      </c>
      <c r="U117" s="372">
        <f t="shared" si="114"/>
        <v>0</v>
      </c>
      <c r="V117" s="374">
        <f t="shared" ca="1" si="88"/>
        <v>0</v>
      </c>
      <c r="W117" s="354">
        <f t="shared" si="115"/>
        <v>1090338547.2</v>
      </c>
      <c r="X117" s="394">
        <f t="shared" ca="1" si="116"/>
        <v>1090338547.2</v>
      </c>
      <c r="Z117" s="349">
        <f t="shared" si="104"/>
        <v>4.5710302084113807E-2</v>
      </c>
      <c r="AA117" s="349">
        <f t="shared" si="117"/>
        <v>0.15988999299950538</v>
      </c>
      <c r="AB117" s="349">
        <f t="shared" si="118"/>
        <v>0.2574641895254533</v>
      </c>
      <c r="AC117" s="349">
        <f t="shared" si="119"/>
        <v>7.3086198802342324E-3</v>
      </c>
      <c r="AD117" s="349">
        <f t="shared" si="120"/>
        <v>1.176876587905E-2</v>
      </c>
      <c r="AE117" s="349" t="str">
        <f t="shared" si="121"/>
        <v>Ok</v>
      </c>
      <c r="AF117" s="349" t="str">
        <f t="shared" si="122"/>
        <v>Ok</v>
      </c>
      <c r="AG117" s="355"/>
      <c r="AH117" s="355"/>
      <c r="AI117" s="350"/>
      <c r="AJ117" s="353"/>
      <c r="AK117" s="6"/>
      <c r="AL117" s="6"/>
      <c r="AO117" s="356"/>
    </row>
    <row r="118" spans="2:41" s="349" customFormat="1">
      <c r="B118" s="349" t="s">
        <v>78</v>
      </c>
      <c r="C118" s="350"/>
      <c r="D118" s="349" t="s">
        <v>173</v>
      </c>
      <c r="E118" s="349" t="s">
        <v>763</v>
      </c>
      <c r="F118" s="350">
        <v>45846</v>
      </c>
      <c r="G118" s="350">
        <v>45848</v>
      </c>
      <c r="H118" s="351">
        <v>2469500000</v>
      </c>
      <c r="I118" s="350" t="str">
        <f>VLOOKUP(B118,Справочник!A:L,2,0)</f>
        <v>13.08.2029</v>
      </c>
      <c r="J118" s="350"/>
      <c r="K118" s="367">
        <f>VLOOKUP(B118,Справочник!A:L,3,0)</f>
        <v>7.6799999999999993E-2</v>
      </c>
      <c r="L118" s="349">
        <f>VLOOKUP(B118,Справочник!A:L,4,0)</f>
        <v>1</v>
      </c>
      <c r="M118" s="349" t="str">
        <f>VLOOKUP(B118,Справочник!A:L,5,0)</f>
        <v>fix</v>
      </c>
      <c r="N118" s="349" t="str">
        <f>VLOOKUP(B118,Справочник!A:L,6,0)</f>
        <v>30/360</v>
      </c>
      <c r="O118" s="349">
        <f>IF(N118="actual/actual",1,IF(N118="actual/360",2,IF(N118="actual/365",3,IF(N118="30/360",4))))</f>
        <v>4</v>
      </c>
      <c r="P118" s="350">
        <f>Q118-(365/L118)</f>
        <v>45517</v>
      </c>
      <c r="Q118" s="352">
        <f>COUPPCD($A$2,I118,L118,4)</f>
        <v>45882</v>
      </c>
      <c r="S118" s="352">
        <f>COUPNCD($A$2,I118,L118,0)</f>
        <v>46247</v>
      </c>
      <c r="T118" s="353">
        <f>VLOOKUP(B118,Цены!C:K,4,0)</f>
        <v>75.371099999999998</v>
      </c>
      <c r="U118" s="372">
        <f>IF(P118="",0,H118*K118*IF(O118=4,DAYS360(P118,Q118,1)/360,IF(O118=3,DAYS360(P118,Q118,1)/365,IF(O118=2,(Q118-P118)/360,IF(AND(L118=1,O118=1),(Q118-P118)/(Q118-COUPPCD(Q118-1,I118,1,3)))))))</f>
        <v>189657599.99999997</v>
      </c>
      <c r="V118" s="374">
        <f ca="1">IF($A$2=DATE(YEAR(TODAY()),2,29),H118*K118*IF(O118=4,DAYS360(Q118,$A$2,1)/360,IF(O118=3,DAYS360(Q118,$A$2,1)/365,IF(O118=2,($A$2-Q118)/360,IF(AND(L118=1,O118=1),($A$2-Q118)/(Q118-COUPPCD(Q118-1,I118,1,3))))))+(H118*K118)/360,H118*K118*IF(O118=4,DAYS360(Q118,$A$2,1)/360,IF(O118=3,DAYS360(Q118,$A$2,1)/365,IF(O118=2,($A$2-Q118)/360,IF(AND(L118=1,O118=1),($A$2-Q118)/(Q118-COUPPCD(Q118-1,I118,1,3)))))))</f>
        <v>35297386.666666664</v>
      </c>
      <c r="W118" s="354">
        <f>T118/100*H118</f>
        <v>1861289314.5</v>
      </c>
      <c r="X118" s="394">
        <f ca="1">SUM(V118:W118)</f>
        <v>1896586701.1666667</v>
      </c>
      <c r="Z118" s="349">
        <f t="shared" si="104"/>
        <v>7.8030898797639164E-2</v>
      </c>
      <c r="AA118" s="349">
        <f>IFERROR(YIELD($A$2,I118,K118,T118,100,L118,O118),0)</f>
        <v>0.16926685599812577</v>
      </c>
      <c r="AB118" s="349">
        <f>IFERROR(MDURATION($A$2,I118,K118,AA118,L118,O118),0)</f>
        <v>2.8519887117276146</v>
      </c>
      <c r="AC118" s="349">
        <f>Z118*AA118</f>
        <v>1.3208044910184314E-2</v>
      </c>
      <c r="AD118" s="349">
        <f>Z118*AB118</f>
        <v>0.22254324253682678</v>
      </c>
      <c r="AE118" s="349" t="str">
        <f>IF(S118-$A$2&lt;10,"Скоро погашение купона","Ok")</f>
        <v>Ok</v>
      </c>
      <c r="AF118" s="349" t="str">
        <f>IF(I118-$A$2&lt;=0,"Погашено","Ok")</f>
        <v>Ok</v>
      </c>
      <c r="AG118" s="355"/>
      <c r="AH118" s="355"/>
      <c r="AI118" s="350"/>
      <c r="AJ118" s="353"/>
      <c r="AK118" s="6"/>
      <c r="AL118" s="6"/>
      <c r="AO118" s="356"/>
    </row>
    <row r="119" spans="2:41" s="349" customFormat="1">
      <c r="B119" s="349" t="str">
        <f>Trades!G10697</f>
        <v>KZKD00000477</v>
      </c>
      <c r="C119" s="350"/>
      <c r="D119" s="349" t="s">
        <v>173</v>
      </c>
      <c r="E119" s="349" t="str">
        <f>Trades!D10697</f>
        <v>UD Capital</v>
      </c>
      <c r="F119" s="350">
        <f>Trades!A10697</f>
        <v>45860</v>
      </c>
      <c r="G119" s="350">
        <f>Trades!B10697</f>
        <v>45862</v>
      </c>
      <c r="H119" s="351">
        <f>Trades!N10697*Trades!O10697</f>
        <v>2391500000</v>
      </c>
      <c r="I119" s="350" t="str">
        <f>VLOOKUP(B119,Справочник!A:L,2,0)</f>
        <v>19.10.2027</v>
      </c>
      <c r="J119" s="350"/>
      <c r="K119" s="367">
        <f>VLOOKUP(B119,Справочник!A:L,3,0)</f>
        <v>5.2999999999999999E-2</v>
      </c>
      <c r="L119" s="349">
        <f>VLOOKUP(B119,Справочник!A:L,4,0)</f>
        <v>1</v>
      </c>
      <c r="M119" s="349" t="str">
        <f>VLOOKUP(B119,Справочник!A:L,5,0)</f>
        <v>fix</v>
      </c>
      <c r="N119" s="349" t="str">
        <f>VLOOKUP(B119,Справочник!A:L,6,0)</f>
        <v>30/360</v>
      </c>
      <c r="O119" s="349">
        <f>IF(N119="actual/actual",1,IF(N119="actual/360",2,IF(N119="actual/365",3,IF(N119="30/360",4))))</f>
        <v>4</v>
      </c>
      <c r="P119" s="350">
        <f>Q119-(365/L119)</f>
        <v>45584</v>
      </c>
      <c r="Q119" s="352">
        <f>COUPPCD($A$2,I119,L119,4)</f>
        <v>45949</v>
      </c>
      <c r="S119" s="352">
        <f>COUPNCD($A$2,I119,L119,0)</f>
        <v>46314</v>
      </c>
      <c r="T119" s="353">
        <f>VLOOKUP(B119,Цены!C:K,4,0)</f>
        <v>81.726799999999997</v>
      </c>
      <c r="U119" s="372">
        <f>IF(P119="",0,H119*K119*IF(O119=4,DAYS360(P119,Q119,1)/360,IF(O119=3,DAYS360(P119,Q119,1)/365,IF(O119=2,(Q119-P119)/360,IF(AND(L119=1,O119=1),(Q119-P119)/(Q119-COUPPCD(Q119-1,I119,1,3)))))))</f>
        <v>126749500</v>
      </c>
      <c r="V119" s="374">
        <f ca="1">IF($A$2=DATE(YEAR(TODAY()),2,29),H119*K119*IF(O119=4,DAYS360(Q119,$A$2,1)/360,IF(O119=3,DAYS360(Q119,$A$2,1)/365,IF(O119=2,($A$2-Q119)/360,IF(AND(L119=1,O119=1),($A$2-Q119)/(Q119-COUPPCD(Q119-1,I119,1,3))))))+(H119*K119)/360,H119*K119*IF(O119=4,DAYS360(Q119,$A$2,1)/360,IF(O119=3,DAYS360(Q119,$A$2,1)/365,IF(O119=2,($A$2-Q119)/360,IF(AND(L119=1,O119=1),($A$2-Q119)/(Q119-COUPPCD(Q119-1,I119,1,3)))))))</f>
        <v>352081.94444444444</v>
      </c>
      <c r="W119" s="354">
        <f>T119/100*H119</f>
        <v>1954496422</v>
      </c>
      <c r="X119" s="394">
        <f ca="1">SUM(V119:W119)</f>
        <v>1954848503.9444444</v>
      </c>
      <c r="Z119" s="349">
        <f t="shared" si="104"/>
        <v>8.1938423713778769E-2</v>
      </c>
      <c r="AA119" s="349">
        <f>IFERROR(YIELD($A$2,I119,K119,T119,100,L119,O119),0)</f>
        <v>0.16813354155227611</v>
      </c>
      <c r="AB119" s="349">
        <f>IFERROR(MDURATION($A$2,I119,K119,AA119,L119,O119),0)</f>
        <v>1.662217626968729</v>
      </c>
      <c r="AC119" s="349">
        <f>Z119*AA119</f>
        <v>1.3776597368208628E-2</v>
      </c>
      <c r="AD119" s="349">
        <f>Z119*AB119</f>
        <v>0.13619949222307556</v>
      </c>
      <c r="AE119" s="349" t="str">
        <f>IF(S119-$A$2&lt;10,"Скоро погашение купона","Ok")</f>
        <v>Ok</v>
      </c>
      <c r="AF119" s="349" t="str">
        <f>IF(I119-$A$2&lt;=0,"Погашено","Ok")</f>
        <v>Ok</v>
      </c>
      <c r="AG119" s="355"/>
      <c r="AH119" s="355"/>
      <c r="AI119" s="350"/>
      <c r="AJ119" s="353"/>
      <c r="AK119" s="6"/>
      <c r="AL119" s="6"/>
      <c r="AO119" s="356"/>
    </row>
    <row r="120" spans="2:41" s="349" customFormat="1">
      <c r="B120" s="349" t="s">
        <v>2940</v>
      </c>
      <c r="C120" s="354">
        <v>899952329.45000005</v>
      </c>
      <c r="D120" s="349" t="s">
        <v>173</v>
      </c>
      <c r="E120" s="349" t="str">
        <f>Trades!D11379</f>
        <v>UD Capital</v>
      </c>
      <c r="F120" s="350">
        <f>Trades!A11379</f>
        <v>45883</v>
      </c>
      <c r="G120" s="350">
        <f>Trades!B11379</f>
        <v>45883</v>
      </c>
      <c r="H120" s="351">
        <f>Trades!N11379*Trades!O11379</f>
        <v>897100000</v>
      </c>
      <c r="I120" s="350">
        <f>VLOOKUP(B120,Справочник!A:L,2,0)</f>
        <v>47337</v>
      </c>
      <c r="J120" s="350"/>
      <c r="K120" s="367">
        <f>VLOOKUP(B120,Справочник!A:L,3,0)</f>
        <v>0.1701</v>
      </c>
      <c r="L120" s="349">
        <f>VLOOKUP(B120,Справочник!A:L,4,0)</f>
        <v>2</v>
      </c>
      <c r="M120" s="349" t="str">
        <f>VLOOKUP(B120,Справочник!A:L,5,0)</f>
        <v>fix</v>
      </c>
      <c r="N120" s="349" t="str">
        <f>VLOOKUP(B120,Справочник!A:L,6,0)</f>
        <v>30/360</v>
      </c>
      <c r="O120" s="349">
        <f>IF(N120="actual/actual",1,IF(N120="actual/360",2,IF(N120="actual/365",3,IF(N120="30/360",4))))</f>
        <v>4</v>
      </c>
      <c r="P120" s="350">
        <f>Q120-(366/L120)</f>
        <v>45693</v>
      </c>
      <c r="Q120" s="352">
        <f>COUPPCD($A$2,I120,L120,4)</f>
        <v>45876</v>
      </c>
      <c r="S120" s="352">
        <f>COUPNCD($A$2,I120,L120,0)</f>
        <v>46060</v>
      </c>
      <c r="T120" s="353">
        <f>VLOOKUP(B120,Цены!C:K,4,0)</f>
        <v>101.9787</v>
      </c>
      <c r="U120" s="372">
        <f>IF(P120="",0,H120*K120*IF(O120=4,DAYS360(P120,Q120,1)/360,IF(O120=3,DAYS360(P120,Q120,1)/365,IF(O120=2,(Q120-P120)/360,IF(AND(L120=1,O120=1),(Q120-P120)/(Q120-COUPPCD(Q120-1,I120,1,3)))))))</f>
        <v>77146114.5</v>
      </c>
      <c r="V120" s="374">
        <f ca="1">IF($A$2=DATE(YEAR(TODAY()),2,29),H120*K120*IF(O120=4,DAYS360(Q120,$A$2,1)/360,IF(O120=3,DAYS360(Q120,$A$2,1)/365,IF(O120=2,($A$2-Q120)/360,IF(AND(L120=1,O120=1),($A$2-Q120)/(Q120-COUPPCD(Q120-1,I120,1,3))))))+(H120*K120)/360,H120*K120*IF(O120=4,DAYS360(Q120,$A$2,1)/360,IF(O120=3,DAYS360(Q120,$A$2,1)/365,IF(O120=2,($A$2-Q120)/360,IF(AND(L120=1,O120=1),($A$2-Q120)/(Q120-COUPPCD(Q120-1,I120,1,3)))))))</f>
        <v>30943221.75</v>
      </c>
      <c r="W120" s="354">
        <f>T120/100*H120</f>
        <v>914850917.70000005</v>
      </c>
      <c r="X120" s="394">
        <f ca="1">SUM(V120:W120)</f>
        <v>945794139.45000005</v>
      </c>
      <c r="Z120" s="349">
        <f t="shared" si="104"/>
        <v>3.8353327888283009E-2</v>
      </c>
      <c r="AA120" s="349">
        <f>IFERROR(YIELD($A$2,I120,K120,T120,100,L120,O120),0)</f>
        <v>0.16262246312028777</v>
      </c>
      <c r="AB120" s="349">
        <f>IFERROR(MDURATION($A$2,I120,K120,AA120,L120,O120),0)</f>
        <v>2.6513107258790489</v>
      </c>
      <c r="AC120" s="349">
        <f>Z120*AA120</f>
        <v>6.2371126500526085E-3</v>
      </c>
      <c r="AD120" s="349">
        <f>Z120*AB120</f>
        <v>0.1016865896033608</v>
      </c>
      <c r="AE120" s="349" t="str">
        <f>IF(S120-$A$2&lt;10,"Скоро погашение купона","Ok")</f>
        <v>Ok</v>
      </c>
      <c r="AF120" s="349" t="str">
        <f>IF(I120-$A$2&lt;=0,"Погашено","Ok")</f>
        <v>Ok</v>
      </c>
      <c r="AG120" s="355"/>
      <c r="AH120" s="355"/>
      <c r="AI120" s="350"/>
      <c r="AJ120" s="353"/>
      <c r="AK120" s="6"/>
      <c r="AL120" s="6"/>
      <c r="AO120" s="356"/>
    </row>
    <row r="121" spans="2:41" s="349" customFormat="1">
      <c r="B121" s="349" t="s">
        <v>50</v>
      </c>
      <c r="C121" s="354"/>
      <c r="D121" s="349" t="s">
        <v>173</v>
      </c>
      <c r="E121" s="349" t="s">
        <v>763</v>
      </c>
      <c r="F121" s="350">
        <v>45888</v>
      </c>
      <c r="G121" s="3">
        <v>45890</v>
      </c>
      <c r="H121" s="351">
        <v>1106600000</v>
      </c>
      <c r="I121" s="350" t="str">
        <f>VLOOKUP(B121,Справочник!A:L,2,0)</f>
        <v>18.08.2026</v>
      </c>
      <c r="J121" s="350"/>
      <c r="K121" s="367">
        <f>VLOOKUP(B121,Справочник!A:L,3,0)</f>
        <v>5.5E-2</v>
      </c>
      <c r="L121" s="349">
        <f>VLOOKUP(B121,Справочник!A:L,4,0)</f>
        <v>1</v>
      </c>
      <c r="M121" s="349" t="str">
        <f>VLOOKUP(B121,Справочник!A:L,5,0)</f>
        <v>fix</v>
      </c>
      <c r="N121" s="349" t="str">
        <f>VLOOKUP(B121,Справочник!A:L,6,0)</f>
        <v>30/360</v>
      </c>
      <c r="O121" s="349">
        <f>IF(N121="actual/actual",1,IF(N121="actual/360",2,IF(N121="actual/365",3,IF(N121="30/360",4))))</f>
        <v>4</v>
      </c>
      <c r="P121" s="350">
        <f>Q121-(366/L121)</f>
        <v>45521</v>
      </c>
      <c r="Q121" s="352">
        <f>COUPPCD($A$2,I121,L121,4)</f>
        <v>45887</v>
      </c>
      <c r="S121" s="352">
        <f>COUPNCD($A$2,I121,L121,0)</f>
        <v>46252</v>
      </c>
      <c r="T121" s="353">
        <f>VLOOKUP(B121,Цены!C:K,4,0)</f>
        <v>91.822500000000005</v>
      </c>
      <c r="U121" s="372">
        <f>IF(P121="",0,H121*K121*IF(O121=4,DAYS360(P121,Q121,1)/360,IF(O121=3,DAYS360(P121,Q121,1)/365,IF(O121=2,(Q121-P121)/360,IF(AND(L121=1,O121=1),(Q121-P121)/(Q121-COUPPCD(Q121-1,I121,1,3)))))))</f>
        <v>61032063.888888888</v>
      </c>
      <c r="V121" s="374">
        <f ca="1">IF($A$2=DATE(YEAR(TODAY()),2,29),H121*K121*IF(O121=4,DAYS360(Q121,$A$2,1)/360,IF(O121=3,DAYS360(Q121,$A$2,1)/365,IF(O121=2,($A$2-Q121)/360,IF(AND(L121=1,O121=1),($A$2-Q121)/(Q121-COUPPCD(Q121-1,I121,1,3))))))+(H121*K121)/360,H121*K121*IF(O121=4,DAYS360(Q121,$A$2,1)/360,IF(O121=3,DAYS360(Q121,$A$2,1)/365,IF(O121=2,($A$2-Q121)/360,IF(AND(L121=1,O121=1),($A$2-Q121)/(Q121-COUPPCD(Q121-1,I121,1,3)))))))</f>
        <v>10481961.111111112</v>
      </c>
      <c r="W121" s="354">
        <f>T121/100*H121</f>
        <v>1016107785.0000001</v>
      </c>
      <c r="X121" s="394">
        <f ca="1">SUM(V121:W121)</f>
        <v>1026589746.1111113</v>
      </c>
      <c r="Z121" s="349">
        <f t="shared" si="104"/>
        <v>4.2598323173701484E-2</v>
      </c>
      <c r="AA121" s="349">
        <f>IFERROR(YIELD($A$2,I121,K121,T121,100,L121,O121),0)</f>
        <v>0.1657745511360256</v>
      </c>
      <c r="AB121" s="349">
        <f>IFERROR(MDURATION($A$2,I121,K121,AA121,L121,O121),0)</f>
        <v>0.7100667766088421</v>
      </c>
      <c r="AC121" s="349">
        <f>Z121*AA121</f>
        <v>7.0617179032677214E-3</v>
      </c>
      <c r="AD121" s="349">
        <f>Z121*AB121</f>
        <v>3.0247654024891952E-2</v>
      </c>
      <c r="AE121" s="349" t="str">
        <f>IF(S121-$A$2&lt;10,"Скоро погашение купона","Ok")</f>
        <v>Ok</v>
      </c>
      <c r="AF121" s="349" t="str">
        <f>IF(I121-$A$2&lt;=0,"Погашено","Ok")</f>
        <v>Ok</v>
      </c>
      <c r="AG121" s="355"/>
      <c r="AH121" s="355"/>
      <c r="AI121" s="350"/>
      <c r="AJ121" s="353"/>
      <c r="AK121" s="6"/>
      <c r="AL121" s="6"/>
      <c r="AO121" s="356"/>
    </row>
    <row r="122" spans="2:41" s="357" customFormat="1">
      <c r="B122" s="357" t="s">
        <v>473</v>
      </c>
      <c r="C122" s="358"/>
      <c r="D122" s="357" t="s">
        <v>173</v>
      </c>
      <c r="E122" s="357" t="s">
        <v>764</v>
      </c>
      <c r="F122" s="358">
        <v>45491</v>
      </c>
      <c r="G122" s="358">
        <v>45491</v>
      </c>
      <c r="H122" s="359">
        <f>2034000000-8500000-14490000-2000-1000</f>
        <v>2011007000</v>
      </c>
      <c r="I122" s="358">
        <f>VLOOKUP(B122,Справочник!A:L,2,0)</f>
        <v>46043</v>
      </c>
      <c r="J122" s="358"/>
      <c r="K122" s="368">
        <f>VLOOKUP(B122,Справочник!A:L,3,0)</f>
        <v>0.1067</v>
      </c>
      <c r="L122" s="357">
        <f>VLOOKUP(B122,Справочник!A:L,4,0)</f>
        <v>2</v>
      </c>
      <c r="M122" s="357" t="str">
        <f>VLOOKUP(B122,Справочник!A:L,5,0)</f>
        <v>fix</v>
      </c>
      <c r="N122" s="357" t="str">
        <f>VLOOKUP(B122,Справочник!A:L,6,0)</f>
        <v>30/360</v>
      </c>
      <c r="O122" s="357">
        <f t="shared" si="111"/>
        <v>4</v>
      </c>
      <c r="P122" s="314">
        <f>Q122-(362/L122)</f>
        <v>45678</v>
      </c>
      <c r="Q122" s="360">
        <f t="shared" si="112"/>
        <v>45859</v>
      </c>
      <c r="S122" s="360">
        <f t="shared" si="113"/>
        <v>46043</v>
      </c>
      <c r="T122" s="361">
        <f>VLOOKUP(B122,Цены!C:K,4,0)</f>
        <v>98.584699999999998</v>
      </c>
      <c r="U122" s="373">
        <f t="shared" si="114"/>
        <v>107287223.45</v>
      </c>
      <c r="V122" s="374">
        <f t="shared" ca="1" si="88"/>
        <v>53047571.594722226</v>
      </c>
      <c r="W122" s="362">
        <f t="shared" si="115"/>
        <v>1982545217.9290001</v>
      </c>
      <c r="X122" s="395">
        <f t="shared" ca="1" si="116"/>
        <v>2035592789.5237224</v>
      </c>
      <c r="Z122" s="357">
        <f t="shared" si="104"/>
        <v>0.13121985705022618</v>
      </c>
      <c r="AA122" s="357">
        <f t="shared" si="117"/>
        <v>0.16072492962444065</v>
      </c>
      <c r="AB122" s="357">
        <f t="shared" si="118"/>
        <v>0.23397497229942502</v>
      </c>
      <c r="AC122" s="357">
        <f t="shared" si="119"/>
        <v>2.1090302289726765E-2</v>
      </c>
      <c r="AD122" s="357">
        <f t="shared" si="120"/>
        <v>3.070216241846118E-2</v>
      </c>
      <c r="AE122" s="357" t="str">
        <f t="shared" si="121"/>
        <v>Ok</v>
      </c>
      <c r="AF122" s="357" t="str">
        <f t="shared" si="122"/>
        <v>Ok</v>
      </c>
      <c r="AG122" s="363"/>
      <c r="AH122" s="363"/>
      <c r="AI122" s="358"/>
      <c r="AJ122" s="353"/>
      <c r="AK122" s="6"/>
      <c r="AL122" s="6"/>
      <c r="AO122" s="364"/>
    </row>
    <row r="123" spans="2:41" s="357" customFormat="1">
      <c r="B123" s="357" t="s">
        <v>59</v>
      </c>
      <c r="C123" s="358"/>
      <c r="D123" s="357" t="s">
        <v>173</v>
      </c>
      <c r="E123" s="357" t="s">
        <v>764</v>
      </c>
      <c r="F123" s="358">
        <v>45491</v>
      </c>
      <c r="G123" s="358">
        <v>45491</v>
      </c>
      <c r="H123" s="359">
        <v>2550000000</v>
      </c>
      <c r="I123" s="358" t="str">
        <f>VLOOKUP(B123,Справочник!A:L,2,0)</f>
        <v>27.03.2027</v>
      </c>
      <c r="J123" s="358"/>
      <c r="K123" s="368">
        <f>VLOOKUP(B123,Справочник!A:L,3,0)</f>
        <v>5.4900000000000004E-2</v>
      </c>
      <c r="L123" s="357">
        <f>VLOOKUP(B123,Справочник!A:L,4,0)</f>
        <v>1</v>
      </c>
      <c r="M123" s="357" t="str">
        <f>VLOOKUP(B123,Справочник!A:L,5,0)</f>
        <v>fix</v>
      </c>
      <c r="N123" s="357" t="str">
        <f>VLOOKUP(B123,Справочник!A:L,6,0)</f>
        <v>30/360</v>
      </c>
      <c r="O123" s="357">
        <f t="shared" si="111"/>
        <v>4</v>
      </c>
      <c r="P123" s="358">
        <f t="shared" ref="P123:P129" si="123">Q123-(365/L123)</f>
        <v>45378</v>
      </c>
      <c r="Q123" s="360">
        <f t="shared" si="112"/>
        <v>45743</v>
      </c>
      <c r="S123" s="360">
        <f t="shared" si="113"/>
        <v>46108</v>
      </c>
      <c r="T123" s="361">
        <f>VLOOKUP(B123,Цены!C:K,4,0)</f>
        <v>86.486599999999996</v>
      </c>
      <c r="U123" s="373">
        <f t="shared" si="114"/>
        <v>139995000</v>
      </c>
      <c r="V123" s="374">
        <f t="shared" ca="1" si="88"/>
        <v>78941625</v>
      </c>
      <c r="W123" s="362">
        <f t="shared" si="115"/>
        <v>2205408300</v>
      </c>
      <c r="X123" s="395">
        <f t="shared" ca="1" si="116"/>
        <v>2284349925</v>
      </c>
      <c r="Z123" s="357">
        <f t="shared" si="104"/>
        <v>0.14597062364392752</v>
      </c>
      <c r="AA123" s="357">
        <f t="shared" si="117"/>
        <v>0.16753435390603935</v>
      </c>
      <c r="AB123" s="357">
        <f t="shared" si="118"/>
        <v>1.1809757969098089</v>
      </c>
      <c r="AC123" s="357">
        <f t="shared" si="119"/>
        <v>2.445509412144703E-2</v>
      </c>
      <c r="AD123" s="357">
        <f t="shared" si="120"/>
        <v>0.17238777358330909</v>
      </c>
      <c r="AE123" s="357" t="str">
        <f t="shared" si="121"/>
        <v>Ok</v>
      </c>
      <c r="AF123" s="357" t="str">
        <f t="shared" si="122"/>
        <v>Ok</v>
      </c>
      <c r="AG123" s="363"/>
      <c r="AH123" s="363"/>
      <c r="AI123" s="358"/>
      <c r="AJ123" s="361"/>
      <c r="AK123" s="6"/>
      <c r="AL123" s="6"/>
      <c r="AO123" s="364"/>
    </row>
    <row r="124" spans="2:41" s="357" customFormat="1">
      <c r="B124" s="357" t="s">
        <v>422</v>
      </c>
      <c r="C124" s="358"/>
      <c r="D124" s="357" t="s">
        <v>173</v>
      </c>
      <c r="E124" s="357" t="s">
        <v>764</v>
      </c>
      <c r="F124" s="358">
        <v>45491</v>
      </c>
      <c r="G124" s="358">
        <v>45491</v>
      </c>
      <c r="H124" s="359">
        <v>1530000000</v>
      </c>
      <c r="I124" s="358">
        <f>VLOOKUP(B124,Справочник!A:L,2,0)</f>
        <v>46855</v>
      </c>
      <c r="J124" s="358"/>
      <c r="K124" s="368">
        <f>VLOOKUP(B124,Справочник!A:L,3,0)</f>
        <v>0.104</v>
      </c>
      <c r="L124" s="357">
        <f>VLOOKUP(B124,Справочник!A:L,4,0)</f>
        <v>1</v>
      </c>
      <c r="M124" s="357" t="str">
        <f>VLOOKUP(B124,Справочник!A:L,5,0)</f>
        <v>fix</v>
      </c>
      <c r="N124" s="357" t="str">
        <f>VLOOKUP(B124,Справочник!A:L,6,0)</f>
        <v>30/360</v>
      </c>
      <c r="O124" s="357">
        <f t="shared" si="111"/>
        <v>4</v>
      </c>
      <c r="P124" s="358">
        <f t="shared" si="123"/>
        <v>45394</v>
      </c>
      <c r="Q124" s="360">
        <f t="shared" si="112"/>
        <v>45759</v>
      </c>
      <c r="S124" s="360">
        <f t="shared" si="113"/>
        <v>46124</v>
      </c>
      <c r="T124" s="361">
        <f>VLOOKUP(B124,Цены!C:K,4,0)</f>
        <v>87.546700000000001</v>
      </c>
      <c r="U124" s="373">
        <f t="shared" si="114"/>
        <v>159120000</v>
      </c>
      <c r="V124" s="374">
        <f t="shared" ca="1" si="88"/>
        <v>83096000</v>
      </c>
      <c r="W124" s="362">
        <f t="shared" si="115"/>
        <v>1339464510</v>
      </c>
      <c r="X124" s="395">
        <f t="shared" ca="1" si="116"/>
        <v>1422560510</v>
      </c>
      <c r="Z124" s="357">
        <f t="shared" si="104"/>
        <v>8.8655905518088329E-2</v>
      </c>
      <c r="AA124" s="357">
        <f t="shared" si="117"/>
        <v>0.16848391499834114</v>
      </c>
      <c r="AB124" s="357">
        <f t="shared" si="118"/>
        <v>1.8667297314588247</v>
      </c>
      <c r="AC124" s="357">
        <f t="shared" si="119"/>
        <v>1.4937094049410557E-2</v>
      </c>
      <c r="AD124" s="357">
        <f t="shared" si="120"/>
        <v>0.16549661470001997</v>
      </c>
      <c r="AE124" s="357" t="str">
        <f t="shared" si="121"/>
        <v>Ok</v>
      </c>
      <c r="AF124" s="357" t="str">
        <f t="shared" si="122"/>
        <v>Ok</v>
      </c>
      <c r="AG124" s="363"/>
      <c r="AH124" s="363"/>
      <c r="AI124" s="358"/>
      <c r="AJ124" s="361"/>
      <c r="AK124" s="6"/>
      <c r="AL124" s="6"/>
      <c r="AO124" s="364"/>
    </row>
    <row r="125" spans="2:41" s="357" customFormat="1">
      <c r="B125" s="357" t="s">
        <v>95</v>
      </c>
      <c r="C125" s="358"/>
      <c r="D125" s="357" t="s">
        <v>173</v>
      </c>
      <c r="E125" s="357" t="s">
        <v>764</v>
      </c>
      <c r="F125" s="358">
        <v>45491</v>
      </c>
      <c r="G125" s="358">
        <v>45491</v>
      </c>
      <c r="H125" s="359">
        <v>1530000000</v>
      </c>
      <c r="I125" s="358" t="str">
        <f>VLOOKUP(B125,Справочник!A:L,2,0)</f>
        <v>31.03.2029</v>
      </c>
      <c r="J125" s="358"/>
      <c r="K125" s="368">
        <f>VLOOKUP(B125,Справочник!A:L,3,0)</f>
        <v>0.11</v>
      </c>
      <c r="L125" s="357">
        <f>VLOOKUP(B125,Справочник!A:L,4,0)</f>
        <v>1</v>
      </c>
      <c r="M125" s="357" t="str">
        <f>VLOOKUP(B125,Справочник!A:L,5,0)</f>
        <v>fix</v>
      </c>
      <c r="N125" s="357" t="str">
        <f>VLOOKUP(B125,Справочник!A:L,6,0)</f>
        <v>30/360</v>
      </c>
      <c r="O125" s="357">
        <f t="shared" si="111"/>
        <v>4</v>
      </c>
      <c r="P125" s="358">
        <f t="shared" si="123"/>
        <v>45382</v>
      </c>
      <c r="Q125" s="360">
        <f t="shared" si="112"/>
        <v>45747</v>
      </c>
      <c r="S125" s="360">
        <f t="shared" si="113"/>
        <v>46112</v>
      </c>
      <c r="T125" s="361">
        <f>VLOOKUP(B125,Цены!C:K,4,0)</f>
        <v>85.257800000000003</v>
      </c>
      <c r="U125" s="373">
        <f t="shared" si="114"/>
        <v>168300000</v>
      </c>
      <c r="V125" s="374">
        <f t="shared" ca="1" si="88"/>
        <v>93500000</v>
      </c>
      <c r="W125" s="362">
        <f t="shared" si="115"/>
        <v>1304444340</v>
      </c>
      <c r="X125" s="395">
        <f t="shared" ca="1" si="116"/>
        <v>1397944340</v>
      </c>
      <c r="Z125" s="357">
        <f t="shared" si="104"/>
        <v>8.6338005447150729E-2</v>
      </c>
      <c r="AA125" s="357">
        <f t="shared" si="117"/>
        <v>0.16903044998754008</v>
      </c>
      <c r="AB125" s="357">
        <f t="shared" si="118"/>
        <v>2.4235027949626344</v>
      </c>
      <c r="AC125" s="357">
        <f t="shared" si="119"/>
        <v>1.4593751911758573E-2</v>
      </c>
      <c r="AD125" s="357">
        <f t="shared" si="120"/>
        <v>0.20924039751266896</v>
      </c>
      <c r="AE125" s="357" t="str">
        <f t="shared" si="121"/>
        <v>Ok</v>
      </c>
      <c r="AF125" s="357" t="str">
        <f t="shared" si="122"/>
        <v>Ok</v>
      </c>
      <c r="AG125" s="363"/>
      <c r="AH125" s="363"/>
      <c r="AI125" s="358"/>
      <c r="AJ125" s="361"/>
      <c r="AK125" s="6"/>
      <c r="AL125" s="6"/>
      <c r="AO125" s="364"/>
    </row>
    <row r="126" spans="2:41" s="357" customFormat="1">
      <c r="B126" s="357" t="s">
        <v>448</v>
      </c>
      <c r="C126" s="358"/>
      <c r="D126" s="357" t="s">
        <v>173</v>
      </c>
      <c r="E126" s="357" t="s">
        <v>764</v>
      </c>
      <c r="F126" s="358">
        <v>45491</v>
      </c>
      <c r="G126" s="358">
        <v>45491</v>
      </c>
      <c r="H126" s="359">
        <v>1530000000</v>
      </c>
      <c r="I126" s="358">
        <f>VLOOKUP(B126,Справочник!A:L,2,0)</f>
        <v>47327</v>
      </c>
      <c r="J126" s="358"/>
      <c r="K126" s="368">
        <f>VLOOKUP(B126,Справочник!A:L,3,0)</f>
        <v>0.1055</v>
      </c>
      <c r="L126" s="357">
        <f>VLOOKUP(B126,Справочник!A:L,4,0)</f>
        <v>1</v>
      </c>
      <c r="M126" s="357" t="str">
        <f>VLOOKUP(B126,Справочник!A:L,5,0)</f>
        <v>fix</v>
      </c>
      <c r="N126" s="357" t="str">
        <f>VLOOKUP(B126,Справочник!A:L,6,0)</f>
        <v>30/360</v>
      </c>
      <c r="O126" s="357">
        <f t="shared" si="111"/>
        <v>4</v>
      </c>
      <c r="P126" s="314">
        <f t="shared" si="123"/>
        <v>45501</v>
      </c>
      <c r="Q126" s="360">
        <f t="shared" si="112"/>
        <v>45866</v>
      </c>
      <c r="S126" s="360">
        <f>COUPNCD($A$2,I126,L126,0)</f>
        <v>46231</v>
      </c>
      <c r="T126" s="361">
        <f>VLOOKUP(B126,Цены!C:K,4,0)</f>
        <v>83.111000000000004</v>
      </c>
      <c r="U126" s="373">
        <f t="shared" si="114"/>
        <v>161415000</v>
      </c>
      <c r="V126" s="374">
        <f t="shared" ca="1" si="88"/>
        <v>36766750</v>
      </c>
      <c r="W126" s="362">
        <f t="shared" si="115"/>
        <v>1271598300</v>
      </c>
      <c r="X126" s="395">
        <f t="shared" ca="1" si="116"/>
        <v>1308365050</v>
      </c>
      <c r="Z126" s="357">
        <f t="shared" si="104"/>
        <v>8.4164005765081248E-2</v>
      </c>
      <c r="AA126" s="357">
        <f t="shared" si="117"/>
        <v>0.16908946835178582</v>
      </c>
      <c r="AB126" s="357">
        <f t="shared" si="118"/>
        <v>2.7175797146221123</v>
      </c>
      <c r="AC126" s="357">
        <f t="shared" si="119"/>
        <v>1.4231246989174225E-2</v>
      </c>
      <c r="AD126" s="357">
        <f t="shared" si="120"/>
        <v>0.22872239476852332</v>
      </c>
      <c r="AE126" s="357" t="str">
        <f t="shared" si="121"/>
        <v>Ok</v>
      </c>
      <c r="AF126" s="357" t="str">
        <f t="shared" si="122"/>
        <v>Ok</v>
      </c>
      <c r="AG126" s="363"/>
      <c r="AH126" s="363"/>
      <c r="AI126" s="358"/>
      <c r="AJ126" s="361"/>
      <c r="AK126" s="6"/>
      <c r="AL126" s="6"/>
      <c r="AO126" s="364"/>
    </row>
    <row r="127" spans="2:41" s="357" customFormat="1">
      <c r="B127" s="357" t="s">
        <v>417</v>
      </c>
      <c r="C127" s="358"/>
      <c r="D127" s="357" t="s">
        <v>173</v>
      </c>
      <c r="E127" s="357" t="s">
        <v>764</v>
      </c>
      <c r="F127" s="358">
        <v>45491</v>
      </c>
      <c r="G127" s="358">
        <v>45491</v>
      </c>
      <c r="H127" s="359">
        <v>1530000000</v>
      </c>
      <c r="I127" s="358">
        <f>VLOOKUP(B127,Справочник!A:L,2,0)</f>
        <v>47924</v>
      </c>
      <c r="J127" s="358"/>
      <c r="K127" s="368">
        <f>VLOOKUP(B127,Справочник!A:L,3,0)</f>
        <v>0.10299999999999999</v>
      </c>
      <c r="L127" s="357">
        <f>VLOOKUP(B127,Справочник!A:L,4,0)</f>
        <v>1</v>
      </c>
      <c r="M127" s="357" t="str">
        <f>VLOOKUP(B127,Справочник!A:L,5,0)</f>
        <v>fix</v>
      </c>
      <c r="N127" s="357" t="str">
        <f>VLOOKUP(B127,Справочник!A:L,6,0)</f>
        <v>30/360</v>
      </c>
      <c r="O127" s="357">
        <f t="shared" si="111"/>
        <v>4</v>
      </c>
      <c r="P127" s="358">
        <f t="shared" si="123"/>
        <v>45368</v>
      </c>
      <c r="Q127" s="360">
        <f t="shared" si="112"/>
        <v>45733</v>
      </c>
      <c r="S127" s="360">
        <f t="shared" si="113"/>
        <v>46098</v>
      </c>
      <c r="T127" s="361">
        <f>VLOOKUP(B127,Цены!C:K,4,0)</f>
        <v>77.3249</v>
      </c>
      <c r="U127" s="373">
        <f t="shared" si="114"/>
        <v>157590000</v>
      </c>
      <c r="V127" s="374">
        <f t="shared" ca="1" si="88"/>
        <v>93240750</v>
      </c>
      <c r="W127" s="362">
        <f t="shared" si="115"/>
        <v>1183070970</v>
      </c>
      <c r="X127" s="395">
        <f t="shared" ca="1" si="116"/>
        <v>1276311720</v>
      </c>
      <c r="Z127" s="357">
        <f t="shared" si="104"/>
        <v>7.8304596616384489E-2</v>
      </c>
      <c r="AA127" s="357">
        <f t="shared" si="117"/>
        <v>0.16974219864232909</v>
      </c>
      <c r="AB127" s="357">
        <f t="shared" si="118"/>
        <v>3.3962248174434158</v>
      </c>
      <c r="AC127" s="357">
        <f t="shared" si="119"/>
        <v>1.3291594393465786E-2</v>
      </c>
      <c r="AD127" s="357">
        <f t="shared" si="120"/>
        <v>0.26594001434846071</v>
      </c>
      <c r="AE127" s="357" t="str">
        <f t="shared" si="121"/>
        <v>Ok</v>
      </c>
      <c r="AF127" s="357" t="str">
        <f t="shared" si="122"/>
        <v>Ok</v>
      </c>
      <c r="AG127" s="363"/>
      <c r="AH127" s="363"/>
      <c r="AI127" s="358"/>
      <c r="AJ127" s="361"/>
      <c r="AK127" s="6"/>
      <c r="AL127" s="6"/>
      <c r="AO127" s="364"/>
    </row>
    <row r="128" spans="2:41" s="357" customFormat="1">
      <c r="B128" s="357" t="s">
        <v>90</v>
      </c>
      <c r="C128" s="358"/>
      <c r="D128" s="357" t="s">
        <v>173</v>
      </c>
      <c r="E128" s="357" t="s">
        <v>764</v>
      </c>
      <c r="F128" s="358">
        <v>45491</v>
      </c>
      <c r="G128" s="358">
        <v>45491</v>
      </c>
      <c r="H128" s="359">
        <v>1530000000</v>
      </c>
      <c r="I128" s="358" t="str">
        <f>VLOOKUP(B128,Справочник!A:L,2,0)</f>
        <v>16.04.2032</v>
      </c>
      <c r="J128" s="358"/>
      <c r="K128" s="368">
        <f>VLOOKUP(B128,Справочник!A:L,3,0)</f>
        <v>8.4499999999999992E-2</v>
      </c>
      <c r="L128" s="357">
        <f>VLOOKUP(B128,Справочник!A:L,4,0)</f>
        <v>1</v>
      </c>
      <c r="M128" s="357" t="str">
        <f>VLOOKUP(B128,Справочник!A:L,5,0)</f>
        <v>fix</v>
      </c>
      <c r="N128" s="357" t="str">
        <f>VLOOKUP(B128,Справочник!A:L,6,0)</f>
        <v>30/360</v>
      </c>
      <c r="O128" s="357">
        <f t="shared" si="111"/>
        <v>4</v>
      </c>
      <c r="P128" s="358">
        <f t="shared" si="123"/>
        <v>45398</v>
      </c>
      <c r="Q128" s="360">
        <f t="shared" si="112"/>
        <v>45763</v>
      </c>
      <c r="S128" s="360">
        <f t="shared" si="113"/>
        <v>46128</v>
      </c>
      <c r="T128" s="361">
        <f>VLOOKUP(B128,Цены!C:K,4,0)</f>
        <v>67.637699999999995</v>
      </c>
      <c r="U128" s="373">
        <f t="shared" si="114"/>
        <v>129284999.99999999</v>
      </c>
      <c r="V128" s="374">
        <f t="shared" ca="1" si="88"/>
        <v>66078999.999999985</v>
      </c>
      <c r="W128" s="362">
        <f t="shared" si="115"/>
        <v>1034856810</v>
      </c>
      <c r="X128" s="395">
        <f t="shared" ca="1" si="116"/>
        <v>1100935810</v>
      </c>
      <c r="Z128" s="357">
        <f t="shared" si="104"/>
        <v>6.8494661028465978E-2</v>
      </c>
      <c r="AA128" s="357">
        <f t="shared" si="117"/>
        <v>0.17020940812922938</v>
      </c>
      <c r="AB128" s="357">
        <f t="shared" si="118"/>
        <v>4.0035586002643297</v>
      </c>
      <c r="AC128" s="357">
        <f t="shared" si="119"/>
        <v>1.1658435713667387E-2</v>
      </c>
      <c r="AD128" s="357">
        <f t="shared" si="120"/>
        <v>0.27422238923270498</v>
      </c>
      <c r="AE128" s="357" t="str">
        <f t="shared" si="121"/>
        <v>Ok</v>
      </c>
      <c r="AF128" s="357" t="str">
        <f t="shared" si="122"/>
        <v>Ok</v>
      </c>
      <c r="AG128" s="363"/>
      <c r="AH128" s="363"/>
      <c r="AI128" s="358"/>
      <c r="AJ128" s="361"/>
      <c r="AK128" s="6"/>
      <c r="AL128" s="6"/>
      <c r="AO128" s="364"/>
    </row>
    <row r="129" spans="2:41" s="357" customFormat="1">
      <c r="B129" s="357" t="s">
        <v>446</v>
      </c>
      <c r="C129" s="358"/>
      <c r="D129" s="357" t="s">
        <v>173</v>
      </c>
      <c r="E129" s="357" t="s">
        <v>764</v>
      </c>
      <c r="F129" s="358">
        <v>45491</v>
      </c>
      <c r="G129" s="358">
        <v>45491</v>
      </c>
      <c r="H129" s="359">
        <v>1530000000</v>
      </c>
      <c r="I129" s="358">
        <f>VLOOKUP(B129,Справочник!A:L,2,0)</f>
        <v>48421</v>
      </c>
      <c r="J129" s="358"/>
      <c r="K129" s="368">
        <f>VLOOKUP(B129,Справочник!A:L,3,0)</f>
        <v>0.1065</v>
      </c>
      <c r="L129" s="357">
        <f>VLOOKUP(B129,Справочник!A:L,4,0)</f>
        <v>1</v>
      </c>
      <c r="M129" s="357" t="str">
        <f>VLOOKUP(B129,Справочник!A:L,5,0)</f>
        <v>fix</v>
      </c>
      <c r="N129" s="357" t="str">
        <f>VLOOKUP(B129,Справочник!A:L,6,0)</f>
        <v>30/360</v>
      </c>
      <c r="O129" s="357">
        <f t="shared" si="111"/>
        <v>4</v>
      </c>
      <c r="P129" s="314">
        <f t="shared" si="123"/>
        <v>45499</v>
      </c>
      <c r="Q129" s="360">
        <f t="shared" si="112"/>
        <v>45864</v>
      </c>
      <c r="S129" s="360">
        <f t="shared" si="113"/>
        <v>46229</v>
      </c>
      <c r="T129" s="361">
        <f>VLOOKUP(B129,Цены!C:K,4,0)</f>
        <v>75.357399999999998</v>
      </c>
      <c r="U129" s="373">
        <f t="shared" si="114"/>
        <v>162945000</v>
      </c>
      <c r="V129" s="374">
        <f t="shared" ca="1" si="88"/>
        <v>38020500</v>
      </c>
      <c r="W129" s="362">
        <f t="shared" si="115"/>
        <v>1152968220</v>
      </c>
      <c r="X129" s="395">
        <f t="shared" ca="1" si="116"/>
        <v>1190988720</v>
      </c>
      <c r="Z129" s="357">
        <f t="shared" si="104"/>
        <v>7.6312168642436437E-2</v>
      </c>
      <c r="AA129" s="357">
        <f t="shared" si="117"/>
        <v>0.1701657954073986</v>
      </c>
      <c r="AB129" s="357">
        <f t="shared" si="118"/>
        <v>4.0632393954712009</v>
      </c>
      <c r="AC129" s="357">
        <f t="shared" si="119"/>
        <v>1.2985720876303737E-2</v>
      </c>
      <c r="AD129" s="357">
        <f t="shared" si="120"/>
        <v>0.31007460998178976</v>
      </c>
      <c r="AE129" s="357" t="str">
        <f t="shared" si="121"/>
        <v>Ok</v>
      </c>
      <c r="AF129" s="357" t="str">
        <f t="shared" si="122"/>
        <v>Ok</v>
      </c>
      <c r="AG129" s="363"/>
      <c r="AH129" s="363"/>
      <c r="AI129" s="358"/>
      <c r="AJ129" s="361"/>
      <c r="AK129" s="6"/>
      <c r="AL129" s="6"/>
      <c r="AO129" s="364"/>
    </row>
    <row r="130" spans="2:41" s="357" customFormat="1">
      <c r="B130" s="357" t="s">
        <v>81</v>
      </c>
      <c r="C130" s="358"/>
      <c r="D130" s="357" t="s">
        <v>173</v>
      </c>
      <c r="E130" s="357" t="s">
        <v>764</v>
      </c>
      <c r="F130" s="358">
        <v>45491</v>
      </c>
      <c r="G130" s="358">
        <v>45491</v>
      </c>
      <c r="H130" s="359">
        <v>1530000000</v>
      </c>
      <c r="I130" s="358" t="str">
        <f>VLOOKUP(B130,Справочник!A:L,2,0)</f>
        <v>29.01.2035</v>
      </c>
      <c r="J130" s="358"/>
      <c r="K130" s="368">
        <f>VLOOKUP(B130,Справочник!A:L,3,0)</f>
        <v>8.0700000000000008E-2</v>
      </c>
      <c r="L130" s="357">
        <f>VLOOKUP(B130,Справочник!A:L,4,0)</f>
        <v>1</v>
      </c>
      <c r="M130" s="357" t="str">
        <f>VLOOKUP(B130,Справочник!A:L,5,0)</f>
        <v>fix</v>
      </c>
      <c r="N130" s="357" t="str">
        <f>VLOOKUP(B130,Справочник!A:L,6,0)</f>
        <v>30/360</v>
      </c>
      <c r="O130" s="357">
        <f t="shared" si="111"/>
        <v>4</v>
      </c>
      <c r="P130" s="358">
        <f>Q130-(366/L130)</f>
        <v>45320</v>
      </c>
      <c r="Q130" s="360">
        <f t="shared" si="112"/>
        <v>45686</v>
      </c>
      <c r="S130" s="360">
        <f t="shared" si="113"/>
        <v>46051</v>
      </c>
      <c r="T130" s="361">
        <f>VLOOKUP(B130,Цены!C:K,4,0)</f>
        <v>59.360199999999999</v>
      </c>
      <c r="U130" s="373">
        <f t="shared" si="114"/>
        <v>123471000.00000001</v>
      </c>
      <c r="V130" s="374">
        <f t="shared" ca="1" si="88"/>
        <v>89516475.000000015</v>
      </c>
      <c r="W130" s="362">
        <f t="shared" si="115"/>
        <v>908211060</v>
      </c>
      <c r="X130" s="395">
        <f t="shared" ca="1" si="116"/>
        <v>997727535</v>
      </c>
      <c r="Z130" s="357">
        <f t="shared" si="104"/>
        <v>6.0112286159670514E-2</v>
      </c>
      <c r="AA130" s="357">
        <f t="shared" si="117"/>
        <v>0.17073363636769814</v>
      </c>
      <c r="AB130" s="357">
        <f t="shared" si="118"/>
        <v>4.7570165076445008</v>
      </c>
      <c r="AC130" s="357">
        <f t="shared" si="119"/>
        <v>1.0263189206416199E-2</v>
      </c>
      <c r="AD130" s="357">
        <f t="shared" si="120"/>
        <v>0.2859551375738027</v>
      </c>
      <c r="AE130" s="357" t="str">
        <f t="shared" si="121"/>
        <v>Ok</v>
      </c>
      <c r="AF130" s="357" t="str">
        <f t="shared" si="122"/>
        <v>Ok</v>
      </c>
      <c r="AG130" s="363"/>
      <c r="AH130" s="363"/>
      <c r="AI130" s="358"/>
      <c r="AJ130" s="361"/>
      <c r="AK130" s="6"/>
      <c r="AL130" s="6"/>
      <c r="AO130" s="364"/>
    </row>
    <row r="131" spans="2:41" s="357" customFormat="1">
      <c r="B131" s="357" t="s">
        <v>516</v>
      </c>
      <c r="C131" s="358"/>
      <c r="D131" s="357" t="s">
        <v>173</v>
      </c>
      <c r="E131" s="357" t="s">
        <v>764</v>
      </c>
      <c r="F131" s="358" t="s">
        <v>887</v>
      </c>
      <c r="G131" s="358">
        <v>45498</v>
      </c>
      <c r="H131" s="395">
        <v>1013000000</v>
      </c>
      <c r="I131" s="358">
        <f>VLOOKUP(B131,Справочник!A:L,2,0)</f>
        <v>47549</v>
      </c>
      <c r="J131" s="358"/>
      <c r="K131" s="368">
        <f>VLOOKUP(B131,Справочник!A:L,3,0)</f>
        <v>0.12</v>
      </c>
      <c r="L131" s="357">
        <f>VLOOKUP(B131,Справочник!A:L,4,0)</f>
        <v>1</v>
      </c>
      <c r="M131" s="357" t="str">
        <f>VLOOKUP(B131,Справочник!A:L,5,0)</f>
        <v>fix</v>
      </c>
      <c r="N131" s="357" t="str">
        <f>VLOOKUP(B131,Справочник!A:L,6,0)</f>
        <v>30/360</v>
      </c>
      <c r="O131" s="357">
        <f>IF(N131="actual/actual",1,IF(N131="actual/360",2,IF(N131="actual/365",3,IF(N131="30/360",4))))</f>
        <v>4</v>
      </c>
      <c r="P131" s="358">
        <f>Q131-(365/L131)</f>
        <v>45358</v>
      </c>
      <c r="Q131" s="360">
        <f>COUPPCD($A$2,I131,L131,4)</f>
        <v>45723</v>
      </c>
      <c r="S131" s="360">
        <f>COUPNCD($A$2,I131,L131,0)</f>
        <v>46088</v>
      </c>
      <c r="T131" s="361">
        <f>VLOOKUP(B131,Цены!C:K,4,0)</f>
        <v>85.3215</v>
      </c>
      <c r="U131" s="373">
        <f>IF(P131="",0,H131*K131*IF(O131=4,DAYS360(P131,Q131,1)/360,IF(O131=3,DAYS360(P131,Q131,1)/365,IF(O131=2,(Q131-P131)/360,IF(AND(L131=1,O131=1),(Q131-P131)/(Q131-COUPPCD(Q131-1,I131,1,3)))))))</f>
        <v>121560000</v>
      </c>
      <c r="V131" s="374">
        <f t="shared" ca="1" si="88"/>
        <v>75299666.666666672</v>
      </c>
      <c r="W131" s="362">
        <f>T131/100*H131</f>
        <v>864306795</v>
      </c>
      <c r="X131" s="395">
        <f ca="1">SUM(V131:W131)</f>
        <v>939606461.66666663</v>
      </c>
      <c r="Z131" s="357">
        <f t="shared" si="104"/>
        <v>5.7206369399187544E-2</v>
      </c>
      <c r="AA131" s="357">
        <f>IFERROR(YIELD($A$2,I131,K131,T131,100,L131,O131),0)</f>
        <v>0.16934957793798067</v>
      </c>
      <c r="AB131" s="357">
        <f>IFERROR(MDURATION($A$2,I131,K131,AA131,L131,O131),0)</f>
        <v>2.8440770431456968</v>
      </c>
      <c r="AC131" s="357">
        <f>Z131*AA131</f>
        <v>9.6878745131166229E-3</v>
      </c>
      <c r="AD131" s="357">
        <f>Z131*AB131</f>
        <v>0.16269932192994177</v>
      </c>
      <c r="AE131" s="357" t="str">
        <f>IF(S131-$A$2&lt;10,"Скоро погашение купона","Ok")</f>
        <v>Ok</v>
      </c>
      <c r="AF131" s="357" t="str">
        <f>IF(I131-$A$2&lt;=0,"Погашено","Ok")</f>
        <v>Ok</v>
      </c>
      <c r="AG131" s="363"/>
      <c r="AH131" s="363"/>
      <c r="AI131" s="358"/>
      <c r="AJ131" s="361"/>
      <c r="AK131" s="6"/>
      <c r="AL131" s="6"/>
      <c r="AO131" s="364"/>
    </row>
    <row r="132" spans="2:41" s="357" customFormat="1">
      <c r="B132" s="357" t="s">
        <v>61</v>
      </c>
      <c r="C132" s="358"/>
      <c r="D132" s="357" t="s">
        <v>173</v>
      </c>
      <c r="E132" s="357" t="s">
        <v>764</v>
      </c>
      <c r="F132" s="358" t="s">
        <v>887</v>
      </c>
      <c r="G132" s="358">
        <v>45498</v>
      </c>
      <c r="H132" s="395">
        <v>1555000000</v>
      </c>
      <c r="I132" s="358">
        <f>VLOOKUP(B132,Справочник!A:L,2,0)</f>
        <v>48328</v>
      </c>
      <c r="J132" s="358"/>
      <c r="K132" s="368">
        <f>VLOOKUP(B132,Справочник!A:L,3,0)</f>
        <v>5.5E-2</v>
      </c>
      <c r="L132" s="357">
        <f>VLOOKUP(B132,Справочник!A:L,4,0)</f>
        <v>1</v>
      </c>
      <c r="M132" s="357" t="str">
        <f>VLOOKUP(B132,Справочник!A:L,5,0)</f>
        <v>fix</v>
      </c>
      <c r="N132" s="357" t="str">
        <f>VLOOKUP(B132,Справочник!A:L,6,0)</f>
        <v>30/360</v>
      </c>
      <c r="O132" s="357">
        <f>IF(N132="actual/actual",1,IF(N132="actual/360",2,IF(N132="actual/365",3,IF(N132="30/360",4))))</f>
        <v>4</v>
      </c>
      <c r="P132" s="358">
        <f>Q132-(365/L132)</f>
        <v>45406</v>
      </c>
      <c r="Q132" s="360">
        <f>COUPPCD($A$2,I132,L132,4)</f>
        <v>45771</v>
      </c>
      <c r="S132" s="360">
        <f>COUPNCD($A$2,I132,L132,0)</f>
        <v>46136</v>
      </c>
      <c r="T132" s="361">
        <f>VLOOKUP(B132,Цены!C:K,4,0)</f>
        <v>56.507199999999997</v>
      </c>
      <c r="U132" s="373">
        <f>IF(P132="",0,H132*K132*IF(O132=4,DAYS360(P132,Q132,1)/360,IF(O132=3,DAYS360(P132,Q132,1)/365,IF(O132=2,(Q132-P132)/360,IF(AND(L132=1,O132=1),(Q132-P132)/(Q132-COUPPCD(Q132-1,I132,1,3)))))))</f>
        <v>85525000</v>
      </c>
      <c r="V132" s="374">
        <f t="shared" ca="1" si="88"/>
        <v>41812222.222222224</v>
      </c>
      <c r="W132" s="362">
        <f>T132/100*H132</f>
        <v>878686960</v>
      </c>
      <c r="X132" s="395">
        <f ca="1">SUM(V132:W132)</f>
        <v>920499182.22222221</v>
      </c>
      <c r="Z132" s="357">
        <f t="shared" si="104"/>
        <v>5.815815762504694E-2</v>
      </c>
      <c r="AA132" s="357">
        <f>IFERROR(YIELD($A$2,I132,K132,T132,100,L132,O132),0)</f>
        <v>0.17029450814885375</v>
      </c>
      <c r="AB132" s="357">
        <f>IFERROR(MDURATION($A$2,I132,K132,AA132,L132,O132),0)</f>
        <v>4.3485233860720971</v>
      </c>
      <c r="AC132" s="357">
        <f>Z132*AA132</f>
        <v>9.9040148476008776E-3</v>
      </c>
      <c r="AD132" s="357">
        <f>Z132*AB132</f>
        <v>0.25290210852338385</v>
      </c>
      <c r="AE132" s="357" t="str">
        <f>IF(S132-$A$2&lt;10,"Скоро погашение купона","Ok")</f>
        <v>Ok</v>
      </c>
      <c r="AF132" s="357" t="str">
        <f>IF(I132-$A$2&lt;=0,"Погашено","Ok")</f>
        <v>Ok</v>
      </c>
      <c r="AG132" s="363"/>
      <c r="AH132" s="363"/>
      <c r="AI132" s="358"/>
      <c r="AJ132" s="361"/>
      <c r="AK132" s="6"/>
      <c r="AL132" s="6"/>
      <c r="AO132" s="364"/>
    </row>
    <row r="133" spans="2:41" s="357" customFormat="1">
      <c r="B133" s="357" t="s">
        <v>516</v>
      </c>
      <c r="C133" s="358"/>
      <c r="D133" s="357" t="s">
        <v>173</v>
      </c>
      <c r="E133" s="357" t="s">
        <v>764</v>
      </c>
      <c r="F133" s="358">
        <v>45559</v>
      </c>
      <c r="G133" s="358">
        <v>45561</v>
      </c>
      <c r="H133" s="395">
        <v>491068000</v>
      </c>
      <c r="I133" s="358">
        <f>VLOOKUP(B133,Справочник!A:L,2,0)</f>
        <v>47549</v>
      </c>
      <c r="J133" s="358"/>
      <c r="K133" s="368">
        <f>VLOOKUP(B133,Справочник!A:L,3,0)</f>
        <v>0.12</v>
      </c>
      <c r="L133" s="357">
        <f>VLOOKUP(B133,Справочник!A:L,4,0)</f>
        <v>1</v>
      </c>
      <c r="M133" s="357" t="str">
        <f>VLOOKUP(B133,Справочник!A:L,5,0)</f>
        <v>fix</v>
      </c>
      <c r="N133" s="357" t="str">
        <f>VLOOKUP(B133,Справочник!A:L,6,0)</f>
        <v>30/360</v>
      </c>
      <c r="O133" s="357">
        <f>IF(N133="actual/actual",1,IF(N133="actual/360",2,IF(N133="actual/365",3,IF(N133="30/360",4))))</f>
        <v>4</v>
      </c>
      <c r="P133" s="358">
        <f>Q133-(365/L133)</f>
        <v>45358</v>
      </c>
      <c r="Q133" s="360">
        <f>COUPPCD($A$2,I133,L133,4)</f>
        <v>45723</v>
      </c>
      <c r="S133" s="360">
        <f>COUPNCD($A$2,I133,L133,0)</f>
        <v>46088</v>
      </c>
      <c r="T133" s="361">
        <f>VLOOKUP(B133,Цены!C:K,4,0)</f>
        <v>85.3215</v>
      </c>
      <c r="U133" s="373">
        <f>IF(P133="",0,H133*K133*IF(O133=4,DAYS360(P133,Q133,1)/360,IF(O133=3,DAYS360(P133,Q133,1)/365,IF(O133=2,(Q133-P133)/360,IF(AND(L133=1,O133=1),(Q133-P133)/(Q133-COUPPCD(Q133-1,I133,1,3)))))))</f>
        <v>58928160</v>
      </c>
      <c r="V133" s="374">
        <f t="shared" ca="1" si="88"/>
        <v>36502721.333333336</v>
      </c>
      <c r="W133" s="362">
        <f>T133/100*H133</f>
        <v>418986583.62</v>
      </c>
      <c r="X133" s="395">
        <f ca="1">SUM(V133:W133)</f>
        <v>455489304.95333332</v>
      </c>
      <c r="Z133" s="357">
        <f t="shared" si="104"/>
        <v>2.7731705240000227E-2</v>
      </c>
      <c r="AA133" s="357">
        <f>IFERROR(YIELD($A$2,I133,K133,T133,100,L133,O133),0)</f>
        <v>0.16934957793798067</v>
      </c>
      <c r="AB133" s="357">
        <f>IFERROR(MDURATION($A$2,I133,K133,AA133,L133,O133),0)</f>
        <v>2.8440770431456968</v>
      </c>
      <c r="AC133" s="357">
        <f>Z133*AA133</f>
        <v>4.6963525778945256E-3</v>
      </c>
      <c r="AD133" s="357">
        <f>Z133*AB133</f>
        <v>7.8871106240367875E-2</v>
      </c>
      <c r="AE133" s="357" t="str">
        <f>IF(S133-$A$2&lt;10,"Скоро погашение купона","Ok")</f>
        <v>Ok</v>
      </c>
      <c r="AF133" s="357" t="str">
        <f>IF(I133-$A$2&lt;=0,"Погашено","Ok")</f>
        <v>Ok</v>
      </c>
      <c r="AG133" s="363"/>
      <c r="AH133" s="363"/>
      <c r="AI133" s="358"/>
      <c r="AJ133" s="361"/>
      <c r="AK133" s="6"/>
      <c r="AL133" s="6"/>
      <c r="AO133" s="364"/>
    </row>
    <row r="134" spans="2:41" s="357" customFormat="1">
      <c r="B134" s="357" t="s">
        <v>1017</v>
      </c>
      <c r="C134" s="358"/>
      <c r="D134" s="357" t="s">
        <v>173</v>
      </c>
      <c r="E134" s="357" t="s">
        <v>764</v>
      </c>
      <c r="F134" s="358">
        <v>45587</v>
      </c>
      <c r="G134" s="358">
        <v>45589</v>
      </c>
      <c r="H134" s="395">
        <v>565000000</v>
      </c>
      <c r="I134" s="358">
        <f>VLOOKUP(B134,[4]Справочник!A:L,2,0)</f>
        <v>45954</v>
      </c>
      <c r="J134" s="358"/>
      <c r="K134" s="368">
        <f>VLOOKUP(B134,[4]Справочник!A:L,3,0)</f>
        <v>0</v>
      </c>
      <c r="L134" s="357">
        <f>VLOOKUP(B134,[4]Справочник!A:L,4,0)</f>
        <v>1</v>
      </c>
      <c r="M134" s="357" t="str">
        <f>VLOOKUP(B134,[4]Справочник!A:L,5,0)</f>
        <v>fix</v>
      </c>
      <c r="N134" s="357" t="str">
        <f>VLOOKUP(B134,[4]Справочник!A:L,6,0)</f>
        <v>actual/actual</v>
      </c>
      <c r="O134" s="357">
        <f>IF(N134="actual/actual",1,IF(N134="actual/360",2,IF(N134="actual/365",3,IF(N134="30/360",4))))</f>
        <v>1</v>
      </c>
      <c r="P134" s="358"/>
      <c r="Q134" s="358">
        <f>COUPPCD($A$2,I134,L134,4)</f>
        <v>45589</v>
      </c>
      <c r="S134" s="358">
        <f>COUPNCD($A$2,I134,L134,0)</f>
        <v>45954</v>
      </c>
      <c r="T134" s="361">
        <f>VLOOKUP(B134,Цены!C:K,4,0)</f>
        <v>99.828000000000003</v>
      </c>
      <c r="U134" s="373">
        <f>IF(P134="",0,H134*K134*IF(O134=4,DAYS360(P134,Q134,1)/360,IF(O134=3,DAYS360(P134,Q134,1)/365,IF(O134=2,(Q134-P134)/360,IF(AND(L134=1,O134=1),(Q134-P134)/(Q134-COUPPCD(Q134-1,I134,1,3)))))))</f>
        <v>0</v>
      </c>
      <c r="V134" s="362">
        <f ca="1">IF($A$2=DATE(YEAR(TODAY()),2,29),H134*K134*IF(O134=4,DAYS360(Q134,$A$2,1)/360,IF(O134=3,DAYS360(Q134,$A$2,1)/365,IF(O134=2,($A$2-Q134)/360,IF(AND(L134=1,O134=1),($A$2-Q134)/(Q134-COUPPCD(Q134-1,I134,1,3))))))+(H134*K134)/360,H134*K134*IF(O134=4,DAYS360(Q134,$A$2,1)/360,IF(O134=3,DAYS360(Q134,$A$2,1)/365,IF(O134=2,($A$2-Q134)/360,IF(AND(L134=1,O134=1),($A$2-Q134)/(Q134-COUPPCD(Q134-1,I134,1,3)))))))</f>
        <v>0</v>
      </c>
      <c r="W134" s="362">
        <f>T134/100*H134</f>
        <v>564028200</v>
      </c>
      <c r="X134" s="395">
        <f ca="1">SUM(V134:W134)</f>
        <v>564028200</v>
      </c>
      <c r="Z134" s="357">
        <f t="shared" si="104"/>
        <v>3.7331657864333734E-2</v>
      </c>
      <c r="AA134" s="357">
        <f>IFERROR(YIELD($A$2,I134,K134,T134,100,L134,O134),0)</f>
        <v>0.15722041912088278</v>
      </c>
      <c r="AB134" s="357">
        <f>IFERROR(MDURATION($A$2,I134,K134,AA134,L134,O134),0)</f>
        <v>9.4700231075375042E-3</v>
      </c>
      <c r="AC134" s="357">
        <f>Z134*AA134</f>
        <v>5.8692988959079496E-3</v>
      </c>
      <c r="AD134" s="357">
        <f>Z134*AB134</f>
        <v>3.5353166261792464E-4</v>
      </c>
      <c r="AE134" s="357" t="str">
        <f>IF(S134-$A$2&lt;10,"Скоро погашение купона","Ok")</f>
        <v>Скоро погашение купона</v>
      </c>
      <c r="AF134" s="357" t="str">
        <f>IF(I134-$A$2&lt;=0,"Погашено","Ok")</f>
        <v>Ok</v>
      </c>
      <c r="AG134" s="363"/>
      <c r="AH134" s="363"/>
      <c r="AI134" s="358"/>
      <c r="AJ134" s="361"/>
      <c r="AK134" s="6"/>
      <c r="AL134" s="6"/>
      <c r="AO134" s="364"/>
    </row>
    <row r="135" spans="2:41">
      <c r="Q135" s="225"/>
      <c r="S135" s="225"/>
    </row>
    <row r="136" spans="2:41">
      <c r="Q136" s="225"/>
      <c r="S136" s="225"/>
    </row>
    <row r="137" spans="2:41">
      <c r="Q137" s="225"/>
      <c r="S137" s="225"/>
    </row>
    <row r="138" spans="2:41">
      <c r="Q138" s="225"/>
      <c r="S138" s="225"/>
    </row>
    <row r="139" spans="2:41">
      <c r="Q139" s="225"/>
      <c r="S139" s="225"/>
    </row>
    <row r="140" spans="2:41">
      <c r="Q140" s="225"/>
      <c r="S140" s="225"/>
    </row>
    <row r="141" spans="2:41">
      <c r="Q141" s="225"/>
      <c r="S141" s="225"/>
    </row>
    <row r="142" spans="2:41">
      <c r="E142" s="500"/>
      <c r="Q142" s="225"/>
      <c r="S142" s="225"/>
    </row>
    <row r="143" spans="2:41">
      <c r="Q143" s="225"/>
      <c r="S143" s="225"/>
    </row>
    <row r="144" spans="2:41">
      <c r="Q144" s="225"/>
      <c r="S144" s="225"/>
    </row>
    <row r="145" spans="17:19">
      <c r="Q145" s="225"/>
      <c r="S145" s="225"/>
    </row>
    <row r="146" spans="17:19">
      <c r="Q146" s="225"/>
      <c r="S146" s="225"/>
    </row>
    <row r="147" spans="17:19">
      <c r="Q147" s="225"/>
      <c r="S147" s="225"/>
    </row>
    <row r="148" spans="17:19">
      <c r="Q148" s="225"/>
      <c r="S148" s="225"/>
    </row>
    <row r="149" spans="17:19">
      <c r="Q149" s="225"/>
      <c r="S149" s="225"/>
    </row>
    <row r="150" spans="17:19">
      <c r="Q150" s="225"/>
      <c r="S150" s="225"/>
    </row>
    <row r="151" spans="17:19">
      <c r="Q151" s="225"/>
      <c r="S151" s="225"/>
    </row>
    <row r="152" spans="17:19">
      <c r="Q152" s="225"/>
      <c r="S152" s="225"/>
    </row>
    <row r="153" spans="17:19">
      <c r="Q153" s="225"/>
      <c r="S153" s="225"/>
    </row>
    <row r="154" spans="17:19">
      <c r="Q154" s="225"/>
      <c r="S154" s="225"/>
    </row>
    <row r="155" spans="17:19">
      <c r="Q155" s="225"/>
      <c r="S155" s="225"/>
    </row>
    <row r="156" spans="17:19">
      <c r="Q156" s="225"/>
      <c r="S156" s="225"/>
    </row>
    <row r="157" spans="17:19">
      <c r="Q157" s="225"/>
      <c r="S157" s="225"/>
    </row>
    <row r="158" spans="17:19">
      <c r="Q158" s="225"/>
      <c r="S158" s="225"/>
    </row>
    <row r="159" spans="17:19">
      <c r="Q159" s="225"/>
      <c r="S159" s="225"/>
    </row>
    <row r="160" spans="17:19">
      <c r="Q160" s="225"/>
      <c r="S160" s="225"/>
    </row>
    <row r="161" spans="17:19">
      <c r="Q161" s="225"/>
      <c r="S161" s="225"/>
    </row>
    <row r="162" spans="17:19">
      <c r="Q162" s="225"/>
      <c r="S162" s="225"/>
    </row>
    <row r="163" spans="17:19">
      <c r="Q163" s="225"/>
      <c r="S163" s="225"/>
    </row>
    <row r="164" spans="17:19">
      <c r="Q164" s="225"/>
      <c r="S164" s="225"/>
    </row>
    <row r="165" spans="17:19">
      <c r="Q165" s="225"/>
      <c r="S165" s="225"/>
    </row>
    <row r="166" spans="17:19">
      <c r="Q166" s="225"/>
      <c r="S166" s="225"/>
    </row>
    <row r="167" spans="17:19">
      <c r="Q167" s="225"/>
      <c r="S167" s="225"/>
    </row>
    <row r="168" spans="17:19">
      <c r="Q168" s="225"/>
      <c r="S168" s="225"/>
    </row>
    <row r="169" spans="17:19">
      <c r="Q169" s="225"/>
      <c r="S169" s="225"/>
    </row>
    <row r="170" spans="17:19">
      <c r="Q170" s="225"/>
      <c r="S170" s="225"/>
    </row>
    <row r="171" spans="17:19">
      <c r="Q171" s="225"/>
      <c r="S171" s="225"/>
    </row>
    <row r="172" spans="17:19">
      <c r="Q172" s="225"/>
      <c r="S172" s="225"/>
    </row>
    <row r="173" spans="17:19">
      <c r="Q173" s="225"/>
      <c r="S173" s="225"/>
    </row>
    <row r="174" spans="17:19">
      <c r="Q174" s="225"/>
      <c r="S174" s="225"/>
    </row>
    <row r="175" spans="17:19">
      <c r="Q175" s="225"/>
      <c r="S175" s="225"/>
    </row>
    <row r="176" spans="17:19">
      <c r="Q176" s="225"/>
      <c r="S176" s="225"/>
    </row>
    <row r="177" spans="17:19">
      <c r="Q177" s="225"/>
      <c r="S177" s="225"/>
    </row>
    <row r="178" spans="17:19">
      <c r="Q178" s="225"/>
      <c r="S178" s="225"/>
    </row>
    <row r="179" spans="17:19">
      <c r="Q179" s="225"/>
      <c r="S179" s="225"/>
    </row>
    <row r="180" spans="17:19">
      <c r="Q180" s="225"/>
      <c r="S180" s="225"/>
    </row>
    <row r="181" spans="17:19">
      <c r="Q181" s="225"/>
      <c r="S181" s="225"/>
    </row>
    <row r="182" spans="17:19">
      <c r="Q182" s="225"/>
      <c r="S182" s="225"/>
    </row>
    <row r="183" spans="17:19">
      <c r="Q183" s="225"/>
      <c r="S183" s="225"/>
    </row>
    <row r="184" spans="17:19">
      <c r="Q184" s="225"/>
      <c r="S184" s="225"/>
    </row>
    <row r="185" spans="17:19">
      <c r="Q185" s="225"/>
      <c r="S185" s="225"/>
    </row>
    <row r="186" spans="17:19">
      <c r="Q186" s="225"/>
      <c r="S186" s="225"/>
    </row>
    <row r="187" spans="17:19">
      <c r="Q187" s="225"/>
      <c r="S187" s="225"/>
    </row>
    <row r="188" spans="17:19">
      <c r="Q188" s="225"/>
      <c r="S188" s="225"/>
    </row>
    <row r="189" spans="17:19">
      <c r="Q189" s="225"/>
      <c r="S189" s="225"/>
    </row>
    <row r="190" spans="17:19">
      <c r="Q190" s="225"/>
      <c r="S190" s="225"/>
    </row>
    <row r="191" spans="17:19">
      <c r="Q191" s="225"/>
      <c r="S191" s="225"/>
    </row>
    <row r="192" spans="17:19">
      <c r="Q192" s="225"/>
      <c r="S192" s="225"/>
    </row>
    <row r="193" spans="17:19">
      <c r="Q193" s="225"/>
      <c r="S193" s="225"/>
    </row>
    <row r="194" spans="17:19">
      <c r="Q194" s="225"/>
      <c r="S194" s="225"/>
    </row>
    <row r="195" spans="17:19">
      <c r="Q195" s="225"/>
      <c r="S195" s="225"/>
    </row>
    <row r="196" spans="17:19">
      <c r="Q196" s="225"/>
      <c r="S196" s="225"/>
    </row>
    <row r="197" spans="17:19">
      <c r="Q197" s="225"/>
      <c r="S197" s="225"/>
    </row>
    <row r="198" spans="17:19">
      <c r="Q198" s="225"/>
      <c r="S198" s="225"/>
    </row>
    <row r="199" spans="17:19">
      <c r="Q199" s="225"/>
      <c r="S199" s="225"/>
    </row>
    <row r="200" spans="17:19">
      <c r="Q200" s="225"/>
      <c r="S200" s="225"/>
    </row>
    <row r="201" spans="17:19">
      <c r="Q201" s="225"/>
      <c r="S201" s="225"/>
    </row>
    <row r="202" spans="17:19">
      <c r="Q202" s="225"/>
      <c r="S202" s="225"/>
    </row>
    <row r="203" spans="17:19">
      <c r="Q203" s="225"/>
      <c r="S203" s="225"/>
    </row>
    <row r="204" spans="17:19">
      <c r="Q204" s="225"/>
      <c r="S204" s="225"/>
    </row>
    <row r="205" spans="17:19">
      <c r="Q205" s="225"/>
      <c r="S205" s="225"/>
    </row>
    <row r="206" spans="17:19">
      <c r="Q206" s="225"/>
      <c r="S206" s="225"/>
    </row>
    <row r="207" spans="17:19">
      <c r="Q207" s="225"/>
      <c r="S207" s="225"/>
    </row>
    <row r="208" spans="17:19">
      <c r="Q208" s="225"/>
      <c r="S208" s="225"/>
    </row>
    <row r="209" spans="17:19">
      <c r="Q209" s="225"/>
      <c r="S209" s="225"/>
    </row>
    <row r="210" spans="17:19">
      <c r="Q210" s="225"/>
      <c r="S210" s="225"/>
    </row>
    <row r="211" spans="17:19">
      <c r="Q211" s="225"/>
      <c r="S211" s="225"/>
    </row>
    <row r="212" spans="17:19">
      <c r="Q212" s="225"/>
      <c r="S212" s="225"/>
    </row>
    <row r="213" spans="17:19">
      <c r="Q213" s="225"/>
      <c r="S213" s="225"/>
    </row>
    <row r="214" spans="17:19">
      <c r="Q214" s="225"/>
      <c r="S214" s="225"/>
    </row>
    <row r="215" spans="17:19">
      <c r="Q215" s="225"/>
      <c r="S215" s="225"/>
    </row>
    <row r="216" spans="17:19">
      <c r="Q216" s="225"/>
      <c r="S216" s="225"/>
    </row>
    <row r="217" spans="17:19">
      <c r="Q217" s="225"/>
      <c r="S217" s="225"/>
    </row>
    <row r="218" spans="17:19">
      <c r="Q218" s="225"/>
      <c r="S218" s="225"/>
    </row>
    <row r="219" spans="17:19">
      <c r="Q219" s="225"/>
      <c r="S219" s="225"/>
    </row>
    <row r="220" spans="17:19">
      <c r="Q220" s="225"/>
      <c r="S220" s="225"/>
    </row>
    <row r="221" spans="17:19">
      <c r="Q221" s="225"/>
      <c r="S221" s="225"/>
    </row>
    <row r="222" spans="17:19">
      <c r="Q222" s="225"/>
      <c r="S222" s="225"/>
    </row>
    <row r="223" spans="17:19">
      <c r="Q223" s="225"/>
      <c r="S223" s="225"/>
    </row>
    <row r="224" spans="17:19">
      <c r="Q224" s="225"/>
      <c r="S224" s="225"/>
    </row>
    <row r="225" spans="17:19">
      <c r="Q225" s="225"/>
      <c r="S225" s="225"/>
    </row>
    <row r="226" spans="17:19">
      <c r="Q226" s="225"/>
      <c r="S226" s="225"/>
    </row>
    <row r="227" spans="17:19">
      <c r="Q227" s="225"/>
      <c r="S227" s="225"/>
    </row>
    <row r="228" spans="17:19">
      <c r="Q228" s="225"/>
      <c r="S228" s="225"/>
    </row>
    <row r="229" spans="17:19">
      <c r="Q229" s="225"/>
      <c r="S229" s="225"/>
    </row>
    <row r="230" spans="17:19">
      <c r="Q230" s="225"/>
      <c r="S230" s="225"/>
    </row>
    <row r="231" spans="17:19">
      <c r="Q231" s="225"/>
      <c r="S231" s="225"/>
    </row>
    <row r="232" spans="17:19">
      <c r="Q232" s="225"/>
      <c r="S232" s="225"/>
    </row>
  </sheetData>
  <autoFilter ref="A2:AI134" xr:uid="{00000000-0009-0000-0000-000005000000}"/>
  <sortState xmlns:xlrd2="http://schemas.microsoft.com/office/spreadsheetml/2017/richdata2" ref="A57:AQ77">
    <sortCondition ref="B57:B77"/>
  </sortState>
  <phoneticPr fontId="115" type="noConversion"/>
  <conditionalFormatting sqref="AF135:AF1048576 AF41:AF52 AF106:AF117 AF31 AF28:AF29 AF1:AF26 AF122:AF130 AF57:AF66">
    <cfRule type="containsText" dxfId="1290" priority="953" operator="containsText" text="Погашено">
      <formula>NOT(ISERROR(SEARCH("Погашено",AF1)))</formula>
    </cfRule>
  </conditionalFormatting>
  <conditionalFormatting sqref="U135:U1048576 U41:U52 U106:U117 U31 U28:U29 U3:U26 U122:U130 U57:U66">
    <cfRule type="cellIs" dxfId="1289" priority="952" operator="greaterThan">
      <formula>0</formula>
    </cfRule>
  </conditionalFormatting>
  <conditionalFormatting sqref="V135:V1048576 V31 V80:V98 V106:V117 V4:V29 V122:V133 V41:V55 V57:V78">
    <cfRule type="cellIs" dxfId="1288" priority="950" operator="equal">
      <formula>0</formula>
    </cfRule>
  </conditionalFormatting>
  <conditionalFormatting sqref="U1">
    <cfRule type="cellIs" dxfId="1287" priority="662" operator="greaterThan">
      <formula>0</formula>
    </cfRule>
  </conditionalFormatting>
  <conditionalFormatting sqref="V1">
    <cfRule type="cellIs" dxfId="1286" priority="661" operator="greaterThan">
      <formula>0</formula>
    </cfRule>
  </conditionalFormatting>
  <conditionalFormatting sqref="AE3:AE16">
    <cfRule type="containsText" dxfId="1285" priority="660" operator="containsText" text="Скоро погашение купона">
      <formula>NOT(ISERROR(SEARCH("Скоро погашение купона",AE3)))</formula>
    </cfRule>
  </conditionalFormatting>
  <conditionalFormatting sqref="AF68">
    <cfRule type="containsText" dxfId="1284" priority="260" operator="containsText" text="Погашено">
      <formula>NOT(ISERROR(SEARCH("Погашено",AF68)))</formula>
    </cfRule>
  </conditionalFormatting>
  <conditionalFormatting sqref="U68">
    <cfRule type="cellIs" dxfId="1283" priority="259" operator="greaterThan">
      <formula>0</formula>
    </cfRule>
  </conditionalFormatting>
  <conditionalFormatting sqref="AF131:AF132">
    <cfRule type="containsText" dxfId="1282" priority="255" operator="containsText" text="Погашено">
      <formula>NOT(ISERROR(SEARCH("Погашено",AF131)))</formula>
    </cfRule>
  </conditionalFormatting>
  <conditionalFormatting sqref="U131:U132">
    <cfRule type="cellIs" dxfId="1281" priority="254" operator="greaterThan">
      <formula>0</formula>
    </cfRule>
  </conditionalFormatting>
  <conditionalFormatting sqref="AF27">
    <cfRule type="containsText" dxfId="1280" priority="241" operator="containsText" text="Погашено">
      <formula>NOT(ISERROR(SEARCH("Погашено",AF27)))</formula>
    </cfRule>
  </conditionalFormatting>
  <conditionalFormatting sqref="U27">
    <cfRule type="cellIs" dxfId="1279" priority="240" operator="greaterThan">
      <formula>0</formula>
    </cfRule>
  </conditionalFormatting>
  <conditionalFormatting sqref="AF69">
    <cfRule type="containsText" dxfId="1278" priority="236" operator="containsText" text="Погашено">
      <formula>NOT(ISERROR(SEARCH("Погашено",AF69)))</formula>
    </cfRule>
  </conditionalFormatting>
  <conditionalFormatting sqref="U69">
    <cfRule type="cellIs" dxfId="1277" priority="235" operator="greaterThan">
      <formula>0</formula>
    </cfRule>
  </conditionalFormatting>
  <conditionalFormatting sqref="AF70">
    <cfRule type="containsText" dxfId="1276" priority="231" operator="containsText" text="Погашено">
      <formula>NOT(ISERROR(SEARCH("Погашено",AF70)))</formula>
    </cfRule>
  </conditionalFormatting>
  <conditionalFormatting sqref="U70">
    <cfRule type="cellIs" dxfId="1275" priority="230" operator="greaterThan">
      <formula>0</formula>
    </cfRule>
  </conditionalFormatting>
  <conditionalFormatting sqref="AF71:AF73">
    <cfRule type="containsText" dxfId="1274" priority="226" operator="containsText" text="Погашено">
      <formula>NOT(ISERROR(SEARCH("Погашено",AF71)))</formula>
    </cfRule>
  </conditionalFormatting>
  <conditionalFormatting sqref="U71:U73">
    <cfRule type="cellIs" dxfId="1273" priority="225" operator="greaterThan">
      <formula>0</formula>
    </cfRule>
  </conditionalFormatting>
  <conditionalFormatting sqref="AF67">
    <cfRule type="containsText" dxfId="1272" priority="221" operator="containsText" text="Погашено">
      <formula>NOT(ISERROR(SEARCH("Погашено",AF67)))</formula>
    </cfRule>
  </conditionalFormatting>
  <conditionalFormatting sqref="U67">
    <cfRule type="cellIs" dxfId="1271" priority="220" operator="greaterThan">
      <formula>0</formula>
    </cfRule>
  </conditionalFormatting>
  <conditionalFormatting sqref="AF41:AF42">
    <cfRule type="containsText" dxfId="1270" priority="200" operator="containsText" text="Погашено">
      <formula>NOT(ISERROR(SEARCH("Погашено",AF41)))</formula>
    </cfRule>
  </conditionalFormatting>
  <conditionalFormatting sqref="U41:U42">
    <cfRule type="cellIs" dxfId="1269" priority="199" operator="greaterThan">
      <formula>0</formula>
    </cfRule>
  </conditionalFormatting>
  <conditionalFormatting sqref="AF74">
    <cfRule type="containsText" dxfId="1268" priority="183" operator="containsText" text="Погашено">
      <formula>NOT(ISERROR(SEARCH("Погашено",AF74)))</formula>
    </cfRule>
  </conditionalFormatting>
  <conditionalFormatting sqref="U74">
    <cfRule type="cellIs" dxfId="1267" priority="182" operator="greaterThan">
      <formula>0</formula>
    </cfRule>
  </conditionalFormatting>
  <conditionalFormatting sqref="AF133">
    <cfRule type="containsText" dxfId="1266" priority="178" operator="containsText" text="Погашено">
      <formula>NOT(ISERROR(SEARCH("Погашено",AF133)))</formula>
    </cfRule>
  </conditionalFormatting>
  <conditionalFormatting sqref="U133">
    <cfRule type="cellIs" dxfId="1265" priority="177" operator="greaterThan">
      <formula>0</formula>
    </cfRule>
  </conditionalFormatting>
  <conditionalFormatting sqref="V134">
    <cfRule type="cellIs" dxfId="1264" priority="176" operator="equal">
      <formula>0</formula>
    </cfRule>
  </conditionalFormatting>
  <conditionalFormatting sqref="AF75">
    <cfRule type="containsText" dxfId="1263" priority="173" operator="containsText" text="Погашено">
      <formula>NOT(ISERROR(SEARCH("Погашено",AF75)))</formula>
    </cfRule>
  </conditionalFormatting>
  <conditionalFormatting sqref="U75">
    <cfRule type="cellIs" dxfId="1262" priority="172" operator="greaterThan">
      <formula>0</formula>
    </cfRule>
  </conditionalFormatting>
  <conditionalFormatting sqref="AF53:AF54">
    <cfRule type="containsText" dxfId="1261" priority="162" operator="containsText" text="Погашено">
      <formula>NOT(ISERROR(SEARCH("Погашено",AF53)))</formula>
    </cfRule>
  </conditionalFormatting>
  <conditionalFormatting sqref="U53:U55">
    <cfRule type="cellIs" dxfId="1260" priority="161" operator="greaterThan">
      <formula>0</formula>
    </cfRule>
  </conditionalFormatting>
  <conditionalFormatting sqref="AF77">
    <cfRule type="containsText" dxfId="1259" priority="157" operator="containsText" text="Погашено">
      <formula>NOT(ISERROR(SEARCH("Погашено",AF77)))</formula>
    </cfRule>
  </conditionalFormatting>
  <conditionalFormatting sqref="U77">
    <cfRule type="cellIs" dxfId="1258" priority="156" operator="greaterThan">
      <formula>0</formula>
    </cfRule>
  </conditionalFormatting>
  <conditionalFormatting sqref="AF134">
    <cfRule type="containsText" dxfId="1257" priority="150" operator="containsText" text="Погашено">
      <formula>NOT(ISERROR(SEARCH("Погашено",AF134)))</formula>
    </cfRule>
  </conditionalFormatting>
  <conditionalFormatting sqref="U134">
    <cfRule type="cellIs" dxfId="1256" priority="149" operator="greaterThan">
      <formula>0</formula>
    </cfRule>
  </conditionalFormatting>
  <conditionalFormatting sqref="AF76">
    <cfRule type="containsText" dxfId="1255" priority="145" operator="containsText" text="Погашено">
      <formula>NOT(ISERROR(SEARCH("Погашено",AF76)))</formula>
    </cfRule>
  </conditionalFormatting>
  <conditionalFormatting sqref="U76">
    <cfRule type="cellIs" dxfId="1254" priority="144" operator="greaterThan">
      <formula>0</formula>
    </cfRule>
  </conditionalFormatting>
  <conditionalFormatting sqref="U78 U80">
    <cfRule type="cellIs" dxfId="1253" priority="131" operator="greaterThan">
      <formula>0</formula>
    </cfRule>
  </conditionalFormatting>
  <conditionalFormatting sqref="AF78 AF80">
    <cfRule type="containsText" dxfId="1252" priority="129" operator="containsText" text="Погашено">
      <formula>NOT(ISERROR(SEARCH("Погашено",AF78)))</formula>
    </cfRule>
  </conditionalFormatting>
  <conditionalFormatting sqref="AF81">
    <cfRule type="containsText" dxfId="1251" priority="128" operator="containsText" text="Погашено">
      <formula>NOT(ISERROR(SEARCH("Погашено",AF81)))</formula>
    </cfRule>
  </conditionalFormatting>
  <conditionalFormatting sqref="U81">
    <cfRule type="cellIs" dxfId="1250" priority="127" operator="greaterThan">
      <formula>0</formula>
    </cfRule>
  </conditionalFormatting>
  <conditionalFormatting sqref="AF82">
    <cfRule type="containsText" dxfId="1249" priority="123" operator="containsText" text="Погашено">
      <formula>NOT(ISERROR(SEARCH("Погашено",AF82)))</formula>
    </cfRule>
  </conditionalFormatting>
  <conditionalFormatting sqref="U82:U83">
    <cfRule type="cellIs" dxfId="1248" priority="122" operator="greaterThan">
      <formula>0</formula>
    </cfRule>
  </conditionalFormatting>
  <conditionalFormatting sqref="AF83">
    <cfRule type="containsText" dxfId="1247" priority="118" operator="containsText" text="Погашено">
      <formula>NOT(ISERROR(SEARCH("Погашено",AF83)))</formula>
    </cfRule>
  </conditionalFormatting>
  <conditionalFormatting sqref="U84">
    <cfRule type="cellIs" dxfId="1246" priority="116" operator="greaterThan">
      <formula>0</formula>
    </cfRule>
  </conditionalFormatting>
  <conditionalFormatting sqref="AF84">
    <cfRule type="containsText" dxfId="1245" priority="112" operator="containsText" text="Погашено">
      <formula>NOT(ISERROR(SEARCH("Погашено",AF84)))</formula>
    </cfRule>
  </conditionalFormatting>
  <conditionalFormatting sqref="AF85">
    <cfRule type="containsText" dxfId="1244" priority="111" operator="containsText" text="Погашено">
      <formula>NOT(ISERROR(SEARCH("Погашено",AF85)))</formula>
    </cfRule>
  </conditionalFormatting>
  <conditionalFormatting sqref="U85">
    <cfRule type="cellIs" dxfId="1243" priority="110" operator="greaterThan">
      <formula>0</formula>
    </cfRule>
  </conditionalFormatting>
  <conditionalFormatting sqref="U86">
    <cfRule type="cellIs" dxfId="1242" priority="100" operator="greaterThan">
      <formula>0</formula>
    </cfRule>
  </conditionalFormatting>
  <conditionalFormatting sqref="AF86">
    <cfRule type="containsText" dxfId="1241" priority="98" operator="containsText" text="Погашено">
      <formula>NOT(ISERROR(SEARCH("Погашено",AF86)))</formula>
    </cfRule>
  </conditionalFormatting>
  <conditionalFormatting sqref="AF87">
    <cfRule type="containsText" dxfId="1240" priority="97" operator="containsText" text="Погашено">
      <formula>NOT(ISERROR(SEARCH("Погашено",AF87)))</formula>
    </cfRule>
  </conditionalFormatting>
  <conditionalFormatting sqref="U87">
    <cfRule type="cellIs" dxfId="1239" priority="96" operator="greaterThan">
      <formula>0</formula>
    </cfRule>
  </conditionalFormatting>
  <conditionalFormatting sqref="AF88:AF98">
    <cfRule type="containsText" dxfId="1238" priority="92" operator="containsText" text="Погашено">
      <formula>NOT(ISERROR(SEARCH("Погашено",AF88)))</formula>
    </cfRule>
  </conditionalFormatting>
  <conditionalFormatting sqref="U88:U98">
    <cfRule type="cellIs" dxfId="1237" priority="91" operator="greaterThan">
      <formula>0</formula>
    </cfRule>
  </conditionalFormatting>
  <conditionalFormatting sqref="V3">
    <cfRule type="cellIs" dxfId="1236" priority="84" operator="equal">
      <formula>0</formula>
    </cfRule>
  </conditionalFormatting>
  <conditionalFormatting sqref="V32:V38">
    <cfRule type="cellIs" dxfId="1235" priority="82" operator="equal">
      <formula>0</formula>
    </cfRule>
  </conditionalFormatting>
  <conditionalFormatting sqref="AF32:AF34">
    <cfRule type="containsText" dxfId="1234" priority="81" operator="containsText" text="Погашено">
      <formula>NOT(ISERROR(SEARCH("Погашено",AF32)))</formula>
    </cfRule>
  </conditionalFormatting>
  <conditionalFormatting sqref="U32:U38">
    <cfRule type="cellIs" dxfId="1233" priority="80" operator="greaterThan">
      <formula>0</formula>
    </cfRule>
  </conditionalFormatting>
  <conditionalFormatting sqref="AF30">
    <cfRule type="containsText" dxfId="1232" priority="75" operator="containsText" text="Погашено">
      <formula>NOT(ISERROR(SEARCH("Погашено",AF30)))</formula>
    </cfRule>
  </conditionalFormatting>
  <conditionalFormatting sqref="U30">
    <cfRule type="cellIs" dxfId="1231" priority="74" operator="greaterThan">
      <formula>0</formula>
    </cfRule>
  </conditionalFormatting>
  <conditionalFormatting sqref="V30">
    <cfRule type="cellIs" dxfId="1230" priority="73" operator="equal">
      <formula>0</formula>
    </cfRule>
  </conditionalFormatting>
  <conditionalFormatting sqref="V79">
    <cfRule type="cellIs" dxfId="1229" priority="70" operator="equal">
      <formula>0</formula>
    </cfRule>
  </conditionalFormatting>
  <conditionalFormatting sqref="U79">
    <cfRule type="cellIs" dxfId="1228" priority="65" operator="greaterThan">
      <formula>0</formula>
    </cfRule>
  </conditionalFormatting>
  <conditionalFormatting sqref="AF79">
    <cfRule type="containsText" dxfId="1227" priority="64" operator="containsText" text="Погашено">
      <formula>NOT(ISERROR(SEARCH("Погашено",AF79)))</formula>
    </cfRule>
  </conditionalFormatting>
  <conditionalFormatting sqref="AF35">
    <cfRule type="containsText" dxfId="1226" priority="63" operator="containsText" text="Погашено">
      <formula>NOT(ISERROR(SEARCH("Погашено",AF35)))</formula>
    </cfRule>
  </conditionalFormatting>
  <conditionalFormatting sqref="AF36">
    <cfRule type="containsText" dxfId="1225" priority="62" operator="containsText" text="Погашено">
      <formula>NOT(ISERROR(SEARCH("Погашено",AF36)))</formula>
    </cfRule>
  </conditionalFormatting>
  <conditionalFormatting sqref="AF37">
    <cfRule type="containsText" dxfId="1224" priority="61" operator="containsText" text="Погашено">
      <formula>NOT(ISERROR(SEARCH("Погашено",AF37)))</formula>
    </cfRule>
  </conditionalFormatting>
  <conditionalFormatting sqref="V99">
    <cfRule type="cellIs" dxfId="1223" priority="60" operator="equal">
      <formula>0</formula>
    </cfRule>
  </conditionalFormatting>
  <conditionalFormatting sqref="AF99">
    <cfRule type="containsText" dxfId="1222" priority="59" operator="containsText" text="Погашено">
      <formula>NOT(ISERROR(SEARCH("Погашено",AF99)))</formula>
    </cfRule>
  </conditionalFormatting>
  <conditionalFormatting sqref="U99">
    <cfRule type="cellIs" dxfId="1221" priority="58" operator="greaterThan">
      <formula>0</formula>
    </cfRule>
  </conditionalFormatting>
  <conditionalFormatting sqref="V100">
    <cfRule type="cellIs" dxfId="1220" priority="57" operator="equal">
      <formula>0</formula>
    </cfRule>
  </conditionalFormatting>
  <conditionalFormatting sqref="AF100">
    <cfRule type="containsText" dxfId="1219" priority="56" operator="containsText" text="Погашено">
      <formula>NOT(ISERROR(SEARCH("Погашено",AF100)))</formula>
    </cfRule>
  </conditionalFormatting>
  <conditionalFormatting sqref="U100">
    <cfRule type="cellIs" dxfId="1218" priority="55" operator="greaterThan">
      <formula>0</formula>
    </cfRule>
  </conditionalFormatting>
  <conditionalFormatting sqref="V101">
    <cfRule type="cellIs" dxfId="1217" priority="54" operator="equal">
      <formula>0</formula>
    </cfRule>
  </conditionalFormatting>
  <conditionalFormatting sqref="AF101">
    <cfRule type="containsText" dxfId="1216" priority="53" operator="containsText" text="Погашено">
      <formula>NOT(ISERROR(SEARCH("Погашено",AF101)))</formula>
    </cfRule>
  </conditionalFormatting>
  <conditionalFormatting sqref="U101">
    <cfRule type="cellIs" dxfId="1215" priority="52" operator="greaterThan">
      <formula>0</formula>
    </cfRule>
  </conditionalFormatting>
  <conditionalFormatting sqref="AF55">
    <cfRule type="containsText" dxfId="1214" priority="51" operator="containsText" text="Погашено">
      <formula>NOT(ISERROR(SEARCH("Погашено",AF55)))</formula>
    </cfRule>
  </conditionalFormatting>
  <conditionalFormatting sqref="AF38">
    <cfRule type="containsText" dxfId="1213" priority="50" operator="containsText" text="Погашено">
      <formula>NOT(ISERROR(SEARCH("Погашено",AF38)))</formula>
    </cfRule>
  </conditionalFormatting>
  <conditionalFormatting sqref="V39">
    <cfRule type="cellIs" dxfId="1212" priority="49" operator="equal">
      <formula>0</formula>
    </cfRule>
  </conditionalFormatting>
  <conditionalFormatting sqref="U39">
    <cfRule type="cellIs" dxfId="1211" priority="48" operator="greaterThan">
      <formula>0</formula>
    </cfRule>
  </conditionalFormatting>
  <conditionalFormatting sqref="AF39">
    <cfRule type="containsText" dxfId="1210" priority="43" operator="containsText" text="Погашено">
      <formula>NOT(ISERROR(SEARCH("Погашено",AF39)))</formula>
    </cfRule>
  </conditionalFormatting>
  <conditionalFormatting sqref="V40">
    <cfRule type="cellIs" dxfId="1209" priority="42" operator="equal">
      <formula>0</formula>
    </cfRule>
  </conditionalFormatting>
  <conditionalFormatting sqref="U40">
    <cfRule type="cellIs" dxfId="1208" priority="41" operator="greaterThan">
      <formula>0</formula>
    </cfRule>
  </conditionalFormatting>
  <conditionalFormatting sqref="AF40">
    <cfRule type="containsText" dxfId="1207" priority="36" operator="containsText" text="Погашено">
      <formula>NOT(ISERROR(SEARCH("Погашено",AF40)))</formula>
    </cfRule>
  </conditionalFormatting>
  <conditionalFormatting sqref="V102">
    <cfRule type="cellIs" dxfId="1206" priority="33" operator="equal">
      <formula>0</formula>
    </cfRule>
  </conditionalFormatting>
  <conditionalFormatting sqref="AF102">
    <cfRule type="containsText" dxfId="1205" priority="32" operator="containsText" text="Погашено">
      <formula>NOT(ISERROR(SEARCH("Погашено",AF102)))</formula>
    </cfRule>
  </conditionalFormatting>
  <conditionalFormatting sqref="U102">
    <cfRule type="cellIs" dxfId="1204" priority="31" operator="greaterThan">
      <formula>0</formula>
    </cfRule>
  </conditionalFormatting>
  <conditionalFormatting sqref="AF118">
    <cfRule type="containsText" dxfId="1203" priority="30" operator="containsText" text="Погашено">
      <formula>NOT(ISERROR(SEARCH("Погашено",AF118)))</formula>
    </cfRule>
  </conditionalFormatting>
  <conditionalFormatting sqref="U118">
    <cfRule type="cellIs" dxfId="1202" priority="29" operator="greaterThan">
      <formula>0</formula>
    </cfRule>
  </conditionalFormatting>
  <conditionalFormatting sqref="V118">
    <cfRule type="cellIs" dxfId="1201" priority="28" operator="equal">
      <formula>0</formula>
    </cfRule>
  </conditionalFormatting>
  <conditionalFormatting sqref="V103">
    <cfRule type="cellIs" dxfId="1200" priority="23" operator="equal">
      <formula>0</formula>
    </cfRule>
  </conditionalFormatting>
  <conditionalFormatting sqref="AF103">
    <cfRule type="containsText" dxfId="1199" priority="22" operator="containsText" text="Погашено">
      <formula>NOT(ISERROR(SEARCH("Погашено",AF103)))</formula>
    </cfRule>
  </conditionalFormatting>
  <conditionalFormatting sqref="U103">
    <cfRule type="cellIs" dxfId="1198" priority="21" operator="greaterThan">
      <formula>0</formula>
    </cfRule>
  </conditionalFormatting>
  <conditionalFormatting sqref="AF119">
    <cfRule type="containsText" dxfId="1197" priority="20" operator="containsText" text="Погашено">
      <formula>NOT(ISERROR(SEARCH("Погашено",AF119)))</formula>
    </cfRule>
  </conditionalFormatting>
  <conditionalFormatting sqref="U119">
    <cfRule type="cellIs" dxfId="1196" priority="19" operator="greaterThan">
      <formula>0</formula>
    </cfRule>
  </conditionalFormatting>
  <conditionalFormatting sqref="V119">
    <cfRule type="cellIs" dxfId="1195" priority="18" operator="equal">
      <formula>0</formula>
    </cfRule>
  </conditionalFormatting>
  <conditionalFormatting sqref="V104">
    <cfRule type="cellIs" dxfId="1194" priority="15" operator="equal">
      <formula>0</formula>
    </cfRule>
  </conditionalFormatting>
  <conditionalFormatting sqref="AF104">
    <cfRule type="containsText" dxfId="1193" priority="14" operator="containsText" text="Погашено">
      <formula>NOT(ISERROR(SEARCH("Погашено",AF104)))</formula>
    </cfRule>
  </conditionalFormatting>
  <conditionalFormatting sqref="U104">
    <cfRule type="cellIs" dxfId="1192" priority="13" operator="greaterThan">
      <formula>0</formula>
    </cfRule>
  </conditionalFormatting>
  <conditionalFormatting sqref="AF120:AF121">
    <cfRule type="containsText" dxfId="1191" priority="12" operator="containsText" text="Погашено">
      <formula>NOT(ISERROR(SEARCH("Погашено",AF120)))</formula>
    </cfRule>
  </conditionalFormatting>
  <conditionalFormatting sqref="U120:U121">
    <cfRule type="cellIs" dxfId="1190" priority="11" operator="greaterThan">
      <formula>0</formula>
    </cfRule>
  </conditionalFormatting>
  <conditionalFormatting sqref="V120:V121">
    <cfRule type="cellIs" dxfId="1189" priority="10" operator="equal">
      <formula>0</formula>
    </cfRule>
  </conditionalFormatting>
  <conditionalFormatting sqref="AF105">
    <cfRule type="containsText" dxfId="1188" priority="6" operator="containsText" text="Погашено">
      <formula>NOT(ISERROR(SEARCH("Погашено",AF105)))</formula>
    </cfRule>
  </conditionalFormatting>
  <conditionalFormatting sqref="U105">
    <cfRule type="cellIs" dxfId="1187" priority="5" operator="greaterThan">
      <formula>0</formula>
    </cfRule>
  </conditionalFormatting>
  <conditionalFormatting sqref="V105">
    <cfRule type="cellIs" dxfId="1186" priority="4" operator="equal">
      <formula>0</formula>
    </cfRule>
  </conditionalFormatting>
  <conditionalFormatting sqref="V56">
    <cfRule type="cellIs" dxfId="1185" priority="3" operator="equal">
      <formula>0</formula>
    </cfRule>
  </conditionalFormatting>
  <conditionalFormatting sqref="U56">
    <cfRule type="cellIs" dxfId="1184" priority="2" operator="greaterThan">
      <formula>0</formula>
    </cfRule>
  </conditionalFormatting>
  <conditionalFormatting sqref="AF56">
    <cfRule type="containsText" dxfId="1183" priority="1" operator="containsText" text="Погашено">
      <formula>NOT(ISERROR(SEARCH("Погашено",AF56)))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7">
    <tabColor theme="8" tint="0.79998168889431442"/>
  </sheetPr>
  <dimension ref="A2:AE47"/>
  <sheetViews>
    <sheetView zoomScaleNormal="100" workbookViewId="0">
      <pane xSplit="3" ySplit="2" topLeftCell="N7" activePane="bottomRight" state="frozen"/>
      <selection activeCell="D35" sqref="D35"/>
      <selection pane="topRight" activeCell="D35" sqref="D35"/>
      <selection pane="bottomLeft" activeCell="D35" sqref="D35"/>
      <selection pane="bottomRight" activeCell="X11" sqref="X11"/>
    </sheetView>
  </sheetViews>
  <sheetFormatPr defaultColWidth="15.42578125" defaultRowHeight="12.75"/>
  <cols>
    <col min="1" max="2" width="15.42578125" style="2"/>
    <col min="3" max="3" width="53.7109375" style="2" bestFit="1" customWidth="1"/>
    <col min="4" max="5" width="15.42578125" style="2" customWidth="1"/>
    <col min="6" max="7" width="17.5703125" style="4" customWidth="1"/>
    <col min="8" max="8" width="17.5703125" style="270" customWidth="1"/>
    <col min="9" max="9" width="15.42578125" style="2" customWidth="1"/>
    <col min="10" max="12" width="15.42578125" style="2"/>
    <col min="13" max="13" width="17.5703125" style="2" bestFit="1" customWidth="1"/>
    <col min="14" max="17" width="15.42578125" style="2"/>
    <col min="18" max="18" width="17.85546875" style="2" bestFit="1" customWidth="1"/>
    <col min="19" max="19" width="15.85546875" style="6" bestFit="1" customWidth="1"/>
    <col min="20" max="20" width="16.42578125" style="2" bestFit="1" customWidth="1"/>
    <col min="21" max="21" width="15.5703125" style="2" bestFit="1" customWidth="1"/>
    <col min="22" max="22" width="17.5703125" style="2" customWidth="1"/>
    <col min="23" max="23" width="17" style="2" bestFit="1" customWidth="1"/>
    <col min="24" max="28" width="17" style="2" customWidth="1"/>
    <col min="29" max="29" width="22.85546875" style="15" bestFit="1" customWidth="1"/>
    <col min="30" max="30" width="22.85546875" style="15" customWidth="1"/>
    <col min="31" max="16384" width="15.42578125" style="2"/>
  </cols>
  <sheetData>
    <row r="2" spans="1:31" ht="25.5">
      <c r="A2" s="3">
        <f>Report!B2</f>
        <v>45950</v>
      </c>
      <c r="B2" s="2" t="s">
        <v>105</v>
      </c>
      <c r="C2" s="2" t="s">
        <v>243</v>
      </c>
      <c r="D2" s="2" t="s">
        <v>171</v>
      </c>
      <c r="E2" s="2" t="s">
        <v>172</v>
      </c>
      <c r="F2" s="4" t="s">
        <v>169</v>
      </c>
      <c r="G2" s="4" t="s">
        <v>2845</v>
      </c>
      <c r="H2" s="270" t="s">
        <v>158</v>
      </c>
      <c r="I2" s="2" t="s">
        <v>163</v>
      </c>
      <c r="J2" s="2" t="s">
        <v>164</v>
      </c>
      <c r="K2" s="2" t="s">
        <v>161</v>
      </c>
      <c r="L2" s="2" t="s">
        <v>246</v>
      </c>
      <c r="M2" s="2" t="s">
        <v>162</v>
      </c>
      <c r="N2" s="2" t="s">
        <v>261</v>
      </c>
      <c r="O2" s="2" t="s">
        <v>250</v>
      </c>
      <c r="P2" s="2" t="s">
        <v>159</v>
      </c>
      <c r="Q2" s="2" t="s">
        <v>260</v>
      </c>
      <c r="R2" s="2" t="s">
        <v>160</v>
      </c>
      <c r="S2" s="6" t="s">
        <v>166</v>
      </c>
      <c r="T2" s="2" t="s">
        <v>2630</v>
      </c>
      <c r="U2" s="2" t="s">
        <v>165</v>
      </c>
      <c r="V2" s="2" t="s">
        <v>167</v>
      </c>
      <c r="W2" s="2" t="s">
        <v>168</v>
      </c>
      <c r="X2" s="2" t="s">
        <v>305</v>
      </c>
      <c r="Y2" s="2" t="s">
        <v>303</v>
      </c>
      <c r="Z2" s="2" t="s">
        <v>304</v>
      </c>
      <c r="AA2" s="2" t="s">
        <v>306</v>
      </c>
      <c r="AB2" s="2" t="s">
        <v>307</v>
      </c>
      <c r="AC2" s="43" t="s">
        <v>262</v>
      </c>
      <c r="AD2" s="43" t="s">
        <v>2633</v>
      </c>
    </row>
    <row r="3" spans="1:31" s="282" customFormat="1" ht="12.75" customHeight="1">
      <c r="B3" s="282" t="s">
        <v>903</v>
      </c>
      <c r="C3" s="282" t="str">
        <f>VLOOKUP(B3,Справочник!A:N,7,0)</f>
        <v>АО "Казахстанский фонд устойчивости"</v>
      </c>
      <c r="D3" s="282" t="s">
        <v>173</v>
      </c>
      <c r="E3" s="282" t="s">
        <v>762</v>
      </c>
      <c r="F3" s="283">
        <v>45512</v>
      </c>
      <c r="G3" s="283">
        <v>45512</v>
      </c>
      <c r="H3" s="435">
        <f>500000000-150000000</f>
        <v>350000000</v>
      </c>
      <c r="I3" s="283">
        <f>VLOOKUP(B3,Справочник!$A:$G,2,0)</f>
        <v>45863</v>
      </c>
      <c r="J3" s="284">
        <f>VLOOKUP(B3,Справочник!A:N,3,0)</f>
        <v>0.125</v>
      </c>
      <c r="K3" s="282">
        <f>VLOOKUP(B3,Справочник!A:N,4,0)</f>
        <v>1</v>
      </c>
      <c r="L3" s="282" t="str">
        <f>VLOOKUP(B3,Справочник!A:N,5,0)</f>
        <v>fix</v>
      </c>
      <c r="M3" s="283" t="str">
        <f>VLOOKUP(B3,Справочник!A:N,6,0)</f>
        <v>30/360</v>
      </c>
      <c r="N3" s="285">
        <f>IF(M3="actual/actual",1,IF(M3="actual/360",2,IF(M3="actual/365",3,IF(M3="30/360",4))))</f>
        <v>4</v>
      </c>
      <c r="O3" s="283" t="e">
        <f>P3-(367/K3)</f>
        <v>#NUM!</v>
      </c>
      <c r="P3" s="289" t="e">
        <f>COUPPCD($A$2,I3,K3,4)</f>
        <v>#NUM!</v>
      </c>
      <c r="Q3" s="283">
        <v>45877</v>
      </c>
      <c r="R3" s="289">
        <v>45877</v>
      </c>
      <c r="S3" s="287">
        <v>100</v>
      </c>
      <c r="T3" s="286" t="e">
        <f t="shared" ref="T3:T15" si="0">IF(O3="",0,H3*J3*IF(N3=4,DAYS360(O3,P3,1)/360,IF(N3=3,DAYS360(O3,P3,1)/365,IF(N3=2,(P3-O3)/360,IF(AND(K3=1,N3=1),(P3-O3)/(P3-COUPPCD(P3-1,I3,1,3)))))))</f>
        <v>#NUM!</v>
      </c>
      <c r="U3" s="286" t="e">
        <f t="shared" ref="U3:U12" ca="1" si="1">IF($A$2=DATE(YEAR(TODAY()),2,29),H3*J3*IF(N3=4,DAYS360(P3,$A$2,1)/360,IF(N3=3,DAYS360(P3,$A$2,1)/365,IF(N3=2,($A$2-P3)/360,IF(AND(K3=1,N3=1),($A$2-P3)/(P3-COUPPCD(P3-1,I3,1,3))))))+(H3*J3)/360,H3*J3*IF(N3=4,DAYS360(P3,$A$2,1)/360,IF(N3=3,DAYS360(P3,$A$2,1)/365,IF(N3=2,($A$2-P3)/360,IF(AND(K3=1,N3=1),($A$2-P3)/(P3-COUPPCD(P3-1,I3,1,3)))))))</f>
        <v>#NUM!</v>
      </c>
      <c r="V3" s="243">
        <f t="shared" ref="V3:V12" si="2">IF(OR($A$2-I3&gt;=0,G3-$A$2&gt;0),0,1)*S3/100*H3</f>
        <v>0</v>
      </c>
      <c r="W3" s="498">
        <f ca="1">IFERROR(U3+V3,0)</f>
        <v>0</v>
      </c>
      <c r="X3" s="99">
        <f t="shared" ref="X3:X13" si="3">IFERROR(V3/SUMIFS($V:$V,$D:$D,D3,$E:$E,E3),0)</f>
        <v>0</v>
      </c>
      <c r="Y3" s="99">
        <f t="shared" ref="Y3:Y12" si="4">IFERROR(YIELD($A$2,I3,J3,S3,100,K3,N3),0)</f>
        <v>0</v>
      </c>
      <c r="Z3" s="286">
        <f t="shared" ref="Z3:Z12" si="5">IFERROR(MDURATION($A$2,I3,J3,Y3,K3,N3),0)</f>
        <v>0</v>
      </c>
      <c r="AA3" s="99">
        <f t="shared" ref="AA3:AA12" si="6">X3*Y3</f>
        <v>0</v>
      </c>
      <c r="AB3" s="286">
        <f t="shared" ref="AB3:AB12" si="7">X3*Z3</f>
        <v>0</v>
      </c>
      <c r="AC3" s="100" t="str">
        <f t="shared" ref="AC3:AC12" si="8">IF(R3-$A$2&lt;10,"Скоро погашение купона","Ok")</f>
        <v>Скоро погашение купона</v>
      </c>
      <c r="AD3" s="282" t="str">
        <f t="shared" ref="AD3:AD12" si="9">IF(I3-$A$2&lt;=0,"Погашено","Ok")</f>
        <v>Погашено</v>
      </c>
      <c r="AE3" s="282" t="str">
        <f t="shared" ref="AE3:AE12" si="10">IF((I3-$A$2)&lt;(365*3),"ok","breach")</f>
        <v>ok</v>
      </c>
    </row>
    <row r="4" spans="1:31" s="282" customFormat="1" ht="12.75" customHeight="1">
      <c r="B4" s="282" t="s">
        <v>925</v>
      </c>
      <c r="C4" s="282" t="str">
        <f>VLOOKUP(B4,Справочник!A:N,7,0)</f>
        <v>АО "Национальный управляющий холдинг "Байтерек"</v>
      </c>
      <c r="D4" s="282" t="s">
        <v>173</v>
      </c>
      <c r="E4" s="282" t="s">
        <v>762</v>
      </c>
      <c r="F4" s="283">
        <v>45545</v>
      </c>
      <c r="G4" s="283">
        <v>45545</v>
      </c>
      <c r="H4" s="435">
        <v>1500000000</v>
      </c>
      <c r="I4" s="283">
        <f>VLOOKUP(B4,Справочник!$A:$G,2,0)</f>
        <v>45910</v>
      </c>
      <c r="J4" s="284">
        <f>VLOOKUP(B4,Справочник!A:N,3,0)</f>
        <v>0.13869999999999999</v>
      </c>
      <c r="K4" s="282">
        <f>VLOOKUP(B4,Справочник!A:N,4,0)</f>
        <v>2</v>
      </c>
      <c r="L4" s="282" t="str">
        <f>VLOOKUP(B4,Справочник!A:N,5,0)</f>
        <v>fix</v>
      </c>
      <c r="M4" s="283" t="str">
        <f>VLOOKUP(B4,Справочник!A:N,6,0)</f>
        <v>30/360</v>
      </c>
      <c r="N4" s="285">
        <f>IF(M4="actual/actual",1,IF(M4="actual/360",2,IF(M4="actual/365",3,IF(M4="30/360",4))))</f>
        <v>4</v>
      </c>
      <c r="O4" s="283">
        <v>45545</v>
      </c>
      <c r="P4" s="289" t="e">
        <f>COUPPCD($A$2,I4,K4,4)</f>
        <v>#NUM!</v>
      </c>
      <c r="Q4" s="283">
        <v>45929</v>
      </c>
      <c r="R4" s="289" t="e">
        <f>COUPNCD($A$2,I4,K4,4)</f>
        <v>#NUM!</v>
      </c>
      <c r="S4" s="287" t="e">
        <f>VLOOKUP(B4,Цены!C:K,4,0)</f>
        <v>#N/A</v>
      </c>
      <c r="T4" s="286" t="e">
        <f t="shared" si="0"/>
        <v>#NUM!</v>
      </c>
      <c r="U4" s="286" t="e">
        <f t="shared" ca="1" si="1"/>
        <v>#NUM!</v>
      </c>
      <c r="V4" s="243" t="e">
        <f t="shared" si="2"/>
        <v>#N/A</v>
      </c>
      <c r="W4" s="498">
        <f ca="1">IFERROR(U4+V4,0)</f>
        <v>0</v>
      </c>
      <c r="X4" s="99">
        <f t="shared" si="3"/>
        <v>0</v>
      </c>
      <c r="Y4" s="99">
        <f t="shared" si="4"/>
        <v>0</v>
      </c>
      <c r="Z4" s="286">
        <f t="shared" si="5"/>
        <v>0</v>
      </c>
      <c r="AA4" s="99">
        <f t="shared" si="6"/>
        <v>0</v>
      </c>
      <c r="AB4" s="286">
        <f t="shared" si="7"/>
        <v>0</v>
      </c>
      <c r="AC4" s="100" t="e">
        <f>IF(R4-$A$2&lt;10,"Скоро погашение купона","Ok")</f>
        <v>#NUM!</v>
      </c>
      <c r="AD4" s="282" t="str">
        <f t="shared" si="9"/>
        <v>Погашено</v>
      </c>
      <c r="AE4" s="282" t="str">
        <f t="shared" si="10"/>
        <v>ok</v>
      </c>
    </row>
    <row r="5" spans="1:31" s="282" customFormat="1" ht="12.75" customHeight="1">
      <c r="B5" s="282" t="s">
        <v>1027</v>
      </c>
      <c r="C5" s="282" t="str">
        <f>VLOOKUP(B5,Справочник!A:N,7,0)</f>
        <v>АО "Национальный управляющий холдинг "Байтерек"</v>
      </c>
      <c r="D5" s="282" t="s">
        <v>173</v>
      </c>
      <c r="E5" s="282" t="s">
        <v>762</v>
      </c>
      <c r="F5" s="283">
        <v>45624</v>
      </c>
      <c r="G5" s="283">
        <v>45624</v>
      </c>
      <c r="H5" s="435">
        <f>2000000000-200000000-50000000</f>
        <v>1750000000</v>
      </c>
      <c r="I5" s="283">
        <f>VLOOKUP(B5,Справочник!$A:$G,2,0)</f>
        <v>46109</v>
      </c>
      <c r="J5" s="284">
        <f>VLOOKUP(B5,Справочник!A:N,3,0)</f>
        <v>0.1389</v>
      </c>
      <c r="K5" s="282">
        <f>VLOOKUP(B5,Справочник!A:N,4,0)</f>
        <v>2</v>
      </c>
      <c r="L5" s="282" t="str">
        <f>VLOOKUP(B5,Справочник!A:N,5,0)</f>
        <v>fix</v>
      </c>
      <c r="M5" s="283" t="str">
        <f>VLOOKUP(B5,Справочник!A:N,6,0)</f>
        <v>30/360</v>
      </c>
      <c r="N5" s="285">
        <f t="shared" ref="N5:N12" si="11">IF(M5="actual/actual",1,IF(M5="actual/360",2,IF(M5="actual/365",3,IF(M5="30/360",4))))</f>
        <v>4</v>
      </c>
      <c r="O5" s="283"/>
      <c r="P5" s="283">
        <v>45805</v>
      </c>
      <c r="Q5" s="283">
        <v>46008</v>
      </c>
      <c r="R5" s="289">
        <v>45989</v>
      </c>
      <c r="S5" s="287">
        <f>VLOOKUP(B5,Цены!C:K,4,0)</f>
        <v>98.515840081678121</v>
      </c>
      <c r="T5" s="286">
        <f t="shared" si="0"/>
        <v>0</v>
      </c>
      <c r="U5" s="286">
        <f t="shared" ca="1" si="1"/>
        <v>95879583.333333328</v>
      </c>
      <c r="V5" s="243">
        <f t="shared" si="2"/>
        <v>1724027201.4293671</v>
      </c>
      <c r="W5" s="498">
        <f ca="1">IFERROR(U5+V5,0)</f>
        <v>1819906784.7627003</v>
      </c>
      <c r="X5" s="99">
        <f t="shared" si="3"/>
        <v>0</v>
      </c>
      <c r="Y5" s="99">
        <f t="shared" si="4"/>
        <v>0.17382063061292669</v>
      </c>
      <c r="Z5" s="286">
        <f t="shared" si="5"/>
        <v>0.40379494306771807</v>
      </c>
      <c r="AA5" s="99">
        <f t="shared" si="6"/>
        <v>0</v>
      </c>
      <c r="AB5" s="286">
        <f t="shared" si="7"/>
        <v>0</v>
      </c>
      <c r="AC5" s="100" t="str">
        <f t="shared" si="8"/>
        <v>Ok</v>
      </c>
      <c r="AD5" s="282" t="str">
        <f t="shared" si="9"/>
        <v>Ok</v>
      </c>
      <c r="AE5" s="282" t="str">
        <f t="shared" si="10"/>
        <v>ok</v>
      </c>
    </row>
    <row r="6" spans="1:31" s="282" customFormat="1" ht="12.75" customHeight="1">
      <c r="B6" s="282" t="s">
        <v>1027</v>
      </c>
      <c r="C6" s="282" t="str">
        <f>VLOOKUP(B6,Справочник!A:N,7,0)</f>
        <v>АО "Национальный управляющий холдинг "Байтерек"</v>
      </c>
      <c r="D6" s="282" t="s">
        <v>173</v>
      </c>
      <c r="E6" s="282" t="s">
        <v>761</v>
      </c>
      <c r="F6" s="283">
        <v>45624</v>
      </c>
      <c r="G6" s="283">
        <v>45624</v>
      </c>
      <c r="H6" s="435">
        <v>300000000</v>
      </c>
      <c r="I6" s="283">
        <f>VLOOKUP(B6,Справочник!$A:$G,2,0)</f>
        <v>46109</v>
      </c>
      <c r="J6" s="284">
        <f>VLOOKUP(B6,Справочник!A:N,3,0)</f>
        <v>0.1389</v>
      </c>
      <c r="K6" s="282">
        <f>VLOOKUP(B6,Справочник!A:N,4,0)</f>
        <v>2</v>
      </c>
      <c r="L6" s="282" t="str">
        <f>VLOOKUP(B6,Справочник!A:N,5,0)</f>
        <v>fix</v>
      </c>
      <c r="M6" s="283" t="str">
        <f>VLOOKUP(B6,Справочник!A:N,6,0)</f>
        <v>30/360</v>
      </c>
      <c r="N6" s="285">
        <f t="shared" si="11"/>
        <v>4</v>
      </c>
      <c r="O6" s="283"/>
      <c r="P6" s="283">
        <v>45805</v>
      </c>
      <c r="Q6" s="283">
        <v>46008</v>
      </c>
      <c r="R6" s="289">
        <v>45989</v>
      </c>
      <c r="S6" s="287">
        <f>VLOOKUP(B6,Цены!C:K,4,0)</f>
        <v>98.515840081678121</v>
      </c>
      <c r="T6" s="286">
        <f t="shared" si="0"/>
        <v>0</v>
      </c>
      <c r="U6" s="286">
        <f t="shared" ca="1" si="1"/>
        <v>16436500</v>
      </c>
      <c r="V6" s="243">
        <f t="shared" si="2"/>
        <v>295547520.24503434</v>
      </c>
      <c r="W6" s="498">
        <f ca="1">IFERROR(U6+V6,0)</f>
        <v>311984020.24503434</v>
      </c>
      <c r="X6" s="99">
        <f t="shared" si="3"/>
        <v>0.19964074262801532</v>
      </c>
      <c r="Y6" s="99">
        <f t="shared" si="4"/>
        <v>0.17382063061292669</v>
      </c>
      <c r="Z6" s="286">
        <f t="shared" si="5"/>
        <v>0.40379494306771807</v>
      </c>
      <c r="AA6" s="99">
        <f t="shared" si="6"/>
        <v>3.470167977963462E-2</v>
      </c>
      <c r="AB6" s="286">
        <f t="shared" si="7"/>
        <v>8.0613922303476401E-2</v>
      </c>
      <c r="AC6" s="100" t="str">
        <f t="shared" si="8"/>
        <v>Ok</v>
      </c>
      <c r="AD6" s="282" t="str">
        <f t="shared" si="9"/>
        <v>Ok</v>
      </c>
      <c r="AE6" s="282" t="str">
        <f>IF((I6-$A$2)&lt;(365*3),"ok","breach")</f>
        <v>ok</v>
      </c>
    </row>
    <row r="7" spans="1:31">
      <c r="B7" s="282" t="s">
        <v>1053</v>
      </c>
      <c r="C7" s="282" t="str">
        <f>VLOOKUP(B7,Справочник!A:N,7,0)</f>
        <v>АО "Национальный управляющий холдинг "Байтерек"</v>
      </c>
      <c r="D7" s="282" t="s">
        <v>173</v>
      </c>
      <c r="E7" s="282" t="s">
        <v>761</v>
      </c>
      <c r="F7" s="283">
        <v>45757</v>
      </c>
      <c r="G7" s="283">
        <v>45757</v>
      </c>
      <c r="H7" s="435">
        <v>200000000</v>
      </c>
      <c r="I7" s="283">
        <f>VLOOKUP(B7,Справочник!$A:$G,2,0)</f>
        <v>46122</v>
      </c>
      <c r="J7" s="284">
        <f>VLOOKUP(B7,Справочник!A:N,3,0)</f>
        <v>0.16700000000000001</v>
      </c>
      <c r="K7" s="282">
        <f>VLOOKUP(B7,Справочник!A:N,4,0)</f>
        <v>2</v>
      </c>
      <c r="L7" s="282" t="str">
        <f>VLOOKUP(B7,Справочник!A:N,5,0)</f>
        <v>fix</v>
      </c>
      <c r="M7" s="283" t="str">
        <f>VLOOKUP(B7,Справочник!A:N,6,0)</f>
        <v>30/360</v>
      </c>
      <c r="N7" s="285">
        <f>IF(M7="actual/actual",1,IF(M7="actual/360",2,IF(M7="actual/365",3,IF(M7="30/360",4))))</f>
        <v>4</v>
      </c>
      <c r="O7" s="97"/>
      <c r="P7" s="256">
        <f>COUPPCD($A$2,I7,K7,4)</f>
        <v>45940</v>
      </c>
      <c r="Q7" s="4">
        <v>45959</v>
      </c>
      <c r="R7" s="289">
        <f>COUPNCD($A$2,I7,K7,4)</f>
        <v>46122</v>
      </c>
      <c r="S7" s="456">
        <f>VLOOKUP(B7,Цены!C:K,4,0)</f>
        <v>99.594384124241387</v>
      </c>
      <c r="T7" s="11">
        <f t="shared" si="0"/>
        <v>0</v>
      </c>
      <c r="U7" s="286">
        <f t="shared" ca="1" si="1"/>
        <v>927777.77777777787</v>
      </c>
      <c r="V7" s="243">
        <f>IF(OR($A$2-I7&gt;=0,G7-$A$2&gt;0),0,1)*S7/100*H7</f>
        <v>199188768.24848276</v>
      </c>
      <c r="W7" s="498">
        <f t="shared" ref="W7:W14" ca="1" si="12">IFERROR(U7+V7,0)</f>
        <v>200116546.02626055</v>
      </c>
      <c r="X7" s="99">
        <f t="shared" si="3"/>
        <v>0.13455092968913132</v>
      </c>
      <c r="Y7" s="99">
        <f>IFERROR(YIELD($A$2,I7,J7,S7,100,K7,N7),0)</f>
        <v>0.17548725095433262</v>
      </c>
      <c r="Z7" s="286">
        <f>IFERROR(MDURATION($A$2,I7,J7,Y7,K7,N7),0)</f>
        <v>0.43413007547166266</v>
      </c>
      <c r="AA7" s="99">
        <f>X7*Y7</f>
        <v>2.3611972764495351E-2</v>
      </c>
      <c r="AB7" s="286">
        <f>X7*Z7</f>
        <v>5.8412605260724955E-2</v>
      </c>
      <c r="AC7" s="100" t="str">
        <f>IF(R7-$A$2&lt;10,"Скоро погашение купона","Ok")</f>
        <v>Ok</v>
      </c>
      <c r="AD7" s="282" t="str">
        <f>IF(I7-$A$2&lt;=0,"Погашено","Ok")</f>
        <v>Ok</v>
      </c>
      <c r="AE7" s="282" t="str">
        <f>IF((I7-$A$2)&lt;(365*3),"ok","breach")</f>
        <v>ok</v>
      </c>
    </row>
    <row r="8" spans="1:31">
      <c r="B8" s="282" t="s">
        <v>2515</v>
      </c>
      <c r="C8" s="282" t="str">
        <f>VLOOKUP(B8,Справочник!A:N,7,0)</f>
        <v>АО "Банк Развития Казахстана"</v>
      </c>
      <c r="D8" s="282" t="s">
        <v>173</v>
      </c>
      <c r="E8" s="282" t="s">
        <v>761</v>
      </c>
      <c r="F8" s="283">
        <v>45782</v>
      </c>
      <c r="G8" s="283">
        <v>45782</v>
      </c>
      <c r="H8" s="435">
        <v>500000000</v>
      </c>
      <c r="I8" s="283">
        <f>VLOOKUP(B8,Справочник!$A:$G,2,0)</f>
        <v>46147</v>
      </c>
      <c r="J8" s="284">
        <f>VLOOKUP(B8,Справочник!A:N,3,0)</f>
        <v>0.17</v>
      </c>
      <c r="K8" s="282">
        <f>VLOOKUP(B8,Справочник!A:N,4,0)</f>
        <v>2</v>
      </c>
      <c r="L8" s="282" t="str">
        <f>VLOOKUP(B8,Справочник!A:N,5,0)</f>
        <v>fix</v>
      </c>
      <c r="M8" s="283" t="str">
        <f>VLOOKUP(B8,Справочник!A:N,6,0)</f>
        <v>30/360</v>
      </c>
      <c r="N8" s="285">
        <f>IF(M8="actual/actual",1,IF(M8="actual/360",2,IF(M8="actual/365",3,IF(M8="30/360",4))))</f>
        <v>4</v>
      </c>
      <c r="O8" s="97"/>
      <c r="P8" s="256">
        <f>COUPPCD($A$2,I8,K8,4)</f>
        <v>45782</v>
      </c>
      <c r="Q8" s="4">
        <v>45980</v>
      </c>
      <c r="R8" s="289">
        <f>COUPNCD($A$2,I8,K8,4)</f>
        <v>45966</v>
      </c>
      <c r="S8" s="456">
        <v>100</v>
      </c>
      <c r="T8" s="11">
        <f t="shared" si="0"/>
        <v>0</v>
      </c>
      <c r="U8" s="286">
        <f t="shared" ca="1" si="1"/>
        <v>38958333.333333328</v>
      </c>
      <c r="V8" s="243">
        <f>IF(OR($A$2-I8&gt;=0,G8-$A$2&gt;0),0,1)*S8/100*H8</f>
        <v>500000000</v>
      </c>
      <c r="W8" s="498">
        <f t="shared" ca="1" si="12"/>
        <v>538958333.33333337</v>
      </c>
      <c r="X8" s="99">
        <f t="shared" si="3"/>
        <v>0.33774728081375194</v>
      </c>
      <c r="Y8" s="99">
        <f>IFERROR(YIELD($A$2,I8,J8,S8,100,K8,N8),0)</f>
        <v>0.16946348083049426</v>
      </c>
      <c r="Z8" s="286">
        <f>IFERROR(MDURATION($A$2,I8,J8,Y8,K8,N8),0)</f>
        <v>0.46325286443200409</v>
      </c>
      <c r="AA8" s="99">
        <f>X8*Y8</f>
        <v>5.723582984773281E-2</v>
      </c>
      <c r="AB8" s="286">
        <f>X8*Z8</f>
        <v>0.15646239529109104</v>
      </c>
      <c r="AC8" s="100" t="str">
        <f>IF(R8-$A$2&lt;10,"Скоро погашение купона","Ok")</f>
        <v>Ok</v>
      </c>
      <c r="AD8" s="282" t="str">
        <f>IF(I8-$A$2&lt;=0,"Погашено","Ok")</f>
        <v>Ok</v>
      </c>
      <c r="AE8" s="282" t="str">
        <f>IF((I8-$A$2)&lt;(365*3),"ok","breach")</f>
        <v>ok</v>
      </c>
    </row>
    <row r="9" spans="1:31" s="282" customFormat="1" ht="12.75" customHeight="1">
      <c r="B9" s="282" t="s">
        <v>1027</v>
      </c>
      <c r="C9" s="282" t="str">
        <f>VLOOKUP(B9,Справочник!A:N,7,0)</f>
        <v>АО "Национальный управляющий холдинг "Байтерек"</v>
      </c>
      <c r="D9" s="282" t="s">
        <v>173</v>
      </c>
      <c r="E9" s="282" t="s">
        <v>760</v>
      </c>
      <c r="F9" s="283">
        <v>45624</v>
      </c>
      <c r="G9" s="283">
        <v>45624</v>
      </c>
      <c r="H9" s="435">
        <v>1000000000</v>
      </c>
      <c r="I9" s="283">
        <f>VLOOKUP(B9,Справочник!$A:$G,2,0)</f>
        <v>46109</v>
      </c>
      <c r="J9" s="284">
        <f>VLOOKUP(B9,Справочник!A:N,3,0)</f>
        <v>0.1389</v>
      </c>
      <c r="K9" s="282">
        <f>VLOOKUP(B9,Справочник!A:N,4,0)</f>
        <v>2</v>
      </c>
      <c r="L9" s="282" t="str">
        <f>VLOOKUP(B9,Справочник!A:N,5,0)</f>
        <v>fix</v>
      </c>
      <c r="M9" s="283" t="str">
        <f>VLOOKUP(B9,Справочник!A:N,6,0)</f>
        <v>30/360</v>
      </c>
      <c r="N9" s="285">
        <f t="shared" si="11"/>
        <v>4</v>
      </c>
      <c r="O9" s="283"/>
      <c r="P9" s="283">
        <v>45805</v>
      </c>
      <c r="Q9" s="283">
        <v>46008</v>
      </c>
      <c r="R9" s="289">
        <v>45989</v>
      </c>
      <c r="S9" s="287">
        <f>VLOOKUP(B9,Цены!C:K,4,0)</f>
        <v>98.515840081678121</v>
      </c>
      <c r="T9" s="286">
        <f t="shared" si="0"/>
        <v>0</v>
      </c>
      <c r="U9" s="286">
        <f t="shared" ca="1" si="1"/>
        <v>54788333.333333328</v>
      </c>
      <c r="V9" s="243">
        <f t="shared" si="2"/>
        <v>985158400.81678116</v>
      </c>
      <c r="W9" s="498">
        <f t="shared" ca="1" si="12"/>
        <v>1039946734.1501145</v>
      </c>
      <c r="X9" s="99">
        <f t="shared" si="3"/>
        <v>0</v>
      </c>
      <c r="Y9" s="99">
        <f>IFERROR(YIELD($A$2,I9,J9,S9,100,K9,N9),0)</f>
        <v>0.17382063061292669</v>
      </c>
      <c r="Z9" s="286">
        <f t="shared" si="5"/>
        <v>0.40379494306771807</v>
      </c>
      <c r="AA9" s="99">
        <f t="shared" si="6"/>
        <v>0</v>
      </c>
      <c r="AB9" s="286">
        <f t="shared" si="7"/>
        <v>0</v>
      </c>
      <c r="AC9" s="100" t="str">
        <f t="shared" si="8"/>
        <v>Ok</v>
      </c>
      <c r="AD9" s="282" t="str">
        <f t="shared" si="9"/>
        <v>Ok</v>
      </c>
      <c r="AE9" s="282" t="str">
        <f t="shared" si="10"/>
        <v>ok</v>
      </c>
    </row>
    <row r="10" spans="1:31">
      <c r="B10" s="282" t="s">
        <v>2644</v>
      </c>
      <c r="C10" s="282" t="str">
        <f>VLOOKUP(B10,Справочник!A:N,7,0)</f>
        <v>АО "Казахстанский фонд устойчивости"</v>
      </c>
      <c r="D10" s="282" t="s">
        <v>173</v>
      </c>
      <c r="E10" s="282" t="s">
        <v>760</v>
      </c>
      <c r="F10" s="283">
        <v>45825</v>
      </c>
      <c r="G10" s="239">
        <v>45827</v>
      </c>
      <c r="H10" s="435">
        <v>165739000</v>
      </c>
      <c r="I10" s="283">
        <f>VLOOKUP(B10,Справочник!$A:$G,2,0)</f>
        <v>46185</v>
      </c>
      <c r="J10" s="284">
        <f>VLOOKUP(B10,Справочник!A:N,3,0)</f>
        <v>0.125</v>
      </c>
      <c r="K10" s="282">
        <f>VLOOKUP(B10,Справочник!A:N,4,0)</f>
        <v>1</v>
      </c>
      <c r="L10" s="282" t="str">
        <f>VLOOKUP(B10,Справочник!A:N,5,0)</f>
        <v>fix</v>
      </c>
      <c r="M10" s="283" t="str">
        <f>VLOOKUP(B10,Справочник!A:N,6,0)</f>
        <v>30/360</v>
      </c>
      <c r="N10" s="285">
        <f>IF(M10="actual/actual",1,IF(M10="actual/360",2,IF(M10="actual/365",3,IF(M10="30/360",4))))</f>
        <v>4</v>
      </c>
      <c r="O10" s="283">
        <v>45545</v>
      </c>
      <c r="P10" s="256">
        <f>COUPPCD($A$2,I10,K10,4)</f>
        <v>45820</v>
      </c>
      <c r="Q10" s="4">
        <v>45980</v>
      </c>
      <c r="R10" s="289">
        <f>COUPNCD($A$2,I10,K10,4)</f>
        <v>46185</v>
      </c>
      <c r="S10" s="456">
        <f>VLOOKUP(B10,Цены!C:K,4,0)</f>
        <v>96.356516041010991</v>
      </c>
      <c r="T10" s="11">
        <f t="shared" si="0"/>
        <v>15653127.777777778</v>
      </c>
      <c r="U10" s="286">
        <f t="shared" ca="1" si="1"/>
        <v>7366177.777777778</v>
      </c>
      <c r="V10" s="243">
        <f>IF(OR($A$2-I10&gt;=0,G10-$A$2&gt;0),0,1)*S10/100*H10</f>
        <v>159700326.1212112</v>
      </c>
      <c r="W10" s="498">
        <f t="shared" ca="1" si="12"/>
        <v>167066503.89898899</v>
      </c>
      <c r="X10" s="99">
        <f t="shared" si="3"/>
        <v>0</v>
      </c>
      <c r="Y10" s="99">
        <f>IFERROR(YIELD($A$2,I10,J10,S10,100,K10,N10),0)</f>
        <v>0.18009433558866894</v>
      </c>
      <c r="Z10" s="286">
        <f>IFERROR(MDURATION($A$2,I10,J10,Y10,K10,N10),0)</f>
        <v>0.54609570185164469</v>
      </c>
      <c r="AA10" s="99">
        <f>X10*Y10</f>
        <v>0</v>
      </c>
      <c r="AB10" s="286">
        <f>X10*Z10</f>
        <v>0</v>
      </c>
      <c r="AC10" s="100" t="str">
        <f>IF(R10-$A$2&lt;10,"Скоро погашение купона","Ok")</f>
        <v>Ok</v>
      </c>
      <c r="AD10" s="282" t="str">
        <f>IF(I10-$A$2&lt;=0,"Погашено","Ok")</f>
        <v>Ok</v>
      </c>
      <c r="AE10" s="282" t="str">
        <f>IF((I10-$A$2)&lt;(365*3),"ok","breach")</f>
        <v>ok</v>
      </c>
    </row>
    <row r="11" spans="1:31" s="282" customFormat="1" ht="12.75" customHeight="1">
      <c r="B11" s="282" t="s">
        <v>925</v>
      </c>
      <c r="C11" s="282" t="str">
        <f>VLOOKUP(B11,Справочник!A:N,7,0)</f>
        <v>АО "Национальный управляющий холдинг "Байтерек"</v>
      </c>
      <c r="D11" s="282" t="s">
        <v>173</v>
      </c>
      <c r="E11" s="282" t="s">
        <v>760</v>
      </c>
      <c r="F11" s="283">
        <v>45545</v>
      </c>
      <c r="G11" s="283">
        <v>45545</v>
      </c>
      <c r="H11" s="435">
        <v>1100000000</v>
      </c>
      <c r="I11" s="283">
        <f>VLOOKUP(B11,Справочник!$A:$G,2,0)</f>
        <v>45910</v>
      </c>
      <c r="J11" s="284">
        <f>VLOOKUP(B11,Справочник!A:N,3,0)</f>
        <v>0.13869999999999999</v>
      </c>
      <c r="K11" s="282">
        <f>VLOOKUP(B11,Справочник!A:N,4,0)</f>
        <v>2</v>
      </c>
      <c r="L11" s="282" t="str">
        <f>VLOOKUP(B11,Справочник!A:N,5,0)</f>
        <v>fix</v>
      </c>
      <c r="M11" s="283" t="str">
        <f>VLOOKUP(B11,Справочник!A:N,6,0)</f>
        <v>30/360</v>
      </c>
      <c r="N11" s="285">
        <f>IF(M11="actual/actual",1,IF(M11="actual/360",2,IF(M11="actual/365",3,IF(M11="30/360",4))))</f>
        <v>4</v>
      </c>
      <c r="O11" s="283">
        <v>45545</v>
      </c>
      <c r="P11" s="289" t="e">
        <f>COUPPCD($A$2,I11,K11,4)</f>
        <v>#NUM!</v>
      </c>
      <c r="Q11" s="283">
        <v>45929</v>
      </c>
      <c r="R11" s="289" t="e">
        <f>COUPNCD($A$2,I11,K11,4)</f>
        <v>#NUM!</v>
      </c>
      <c r="S11" s="287" t="e">
        <f>VLOOKUP(B11,Цены!C:K,4,0)</f>
        <v>#N/A</v>
      </c>
      <c r="T11" s="286" t="e">
        <f t="shared" si="0"/>
        <v>#NUM!</v>
      </c>
      <c r="U11" s="286" t="e">
        <f t="shared" ca="1" si="1"/>
        <v>#NUM!</v>
      </c>
      <c r="V11" s="243" t="e">
        <f>IF(OR($A$2-I11&gt;=0,G11-$A$2&gt;0),0,1)*S11/100*H11</f>
        <v>#N/A</v>
      </c>
      <c r="W11" s="498">
        <f t="shared" ca="1" si="12"/>
        <v>0</v>
      </c>
      <c r="X11" s="99">
        <f t="shared" si="3"/>
        <v>0</v>
      </c>
      <c r="Y11" s="99">
        <f>IFERROR(YIELD($A$2,I11,J11,S11,100,K11,N11),0)</f>
        <v>0</v>
      </c>
      <c r="Z11" s="286">
        <f>IFERROR(MDURATION($A$2,I11,J11,Y11,K11,N11),0)</f>
        <v>0</v>
      </c>
      <c r="AA11" s="99">
        <f>X11*Y11</f>
        <v>0</v>
      </c>
      <c r="AB11" s="286">
        <f>X11*Z11</f>
        <v>0</v>
      </c>
      <c r="AC11" s="100" t="e">
        <f>IF(R11-$A$2&lt;10,"Скоро погашение купона","Ok")</f>
        <v>#NUM!</v>
      </c>
      <c r="AD11" s="282" t="str">
        <f>IF(I11-$A$2&lt;=0,"Погашено","Ok")</f>
        <v>Погашено</v>
      </c>
      <c r="AE11" s="282" t="str">
        <f>IF((I11-$A$2)&lt;(365*3),"ok","breach")</f>
        <v>ok</v>
      </c>
    </row>
    <row r="12" spans="1:31" s="282" customFormat="1" ht="12.75" customHeight="1">
      <c r="B12" s="282" t="s">
        <v>1027</v>
      </c>
      <c r="C12" s="282" t="str">
        <f>VLOOKUP(B12,Справочник!A:N,7,0)</f>
        <v>АО "Национальный управляющий холдинг "Байтерек"</v>
      </c>
      <c r="D12" s="282" t="s">
        <v>173</v>
      </c>
      <c r="E12" s="282" t="s">
        <v>764</v>
      </c>
      <c r="F12" s="283">
        <v>45624</v>
      </c>
      <c r="G12" s="283">
        <v>45624</v>
      </c>
      <c r="H12" s="435">
        <v>500000000</v>
      </c>
      <c r="I12" s="283">
        <f>VLOOKUP(B12,Справочник!$A:$G,2,0)</f>
        <v>46109</v>
      </c>
      <c r="J12" s="284">
        <f>VLOOKUP(B12,Справочник!A:N,3,0)</f>
        <v>0.1389</v>
      </c>
      <c r="K12" s="282">
        <f>VLOOKUP(B12,Справочник!A:N,4,0)</f>
        <v>2</v>
      </c>
      <c r="L12" s="282" t="str">
        <f>VLOOKUP(B12,Справочник!A:N,5,0)</f>
        <v>fix</v>
      </c>
      <c r="M12" s="283" t="str">
        <f>VLOOKUP(B12,Справочник!A:N,6,0)</f>
        <v>30/360</v>
      </c>
      <c r="N12" s="285">
        <f t="shared" si="11"/>
        <v>4</v>
      </c>
      <c r="O12" s="283"/>
      <c r="P12" s="283">
        <v>45805</v>
      </c>
      <c r="Q12" s="283">
        <v>46008</v>
      </c>
      <c r="R12" s="289">
        <v>45989</v>
      </c>
      <c r="S12" s="287">
        <f>VLOOKUP(B12,Цены!C:K,4,0)</f>
        <v>98.515840081678121</v>
      </c>
      <c r="T12" s="286">
        <f t="shared" si="0"/>
        <v>0</v>
      </c>
      <c r="U12" s="286">
        <f t="shared" ca="1" si="1"/>
        <v>27394166.666666664</v>
      </c>
      <c r="V12" s="243">
        <f t="shared" si="2"/>
        <v>492579200.40839058</v>
      </c>
      <c r="W12" s="498">
        <f t="shared" ca="1" si="12"/>
        <v>519973367.07505727</v>
      </c>
      <c r="X12" s="99">
        <f t="shared" si="3"/>
        <v>0.33169905295687974</v>
      </c>
      <c r="Y12" s="99">
        <f t="shared" si="4"/>
        <v>0.17382063061292669</v>
      </c>
      <c r="Z12" s="286">
        <f t="shared" si="5"/>
        <v>0.40379494306771807</v>
      </c>
      <c r="AA12" s="99">
        <f t="shared" si="6"/>
        <v>5.76561385586754E-2</v>
      </c>
      <c r="AB12" s="286">
        <f t="shared" si="7"/>
        <v>0.13393840020433925</v>
      </c>
      <c r="AC12" s="100" t="str">
        <f t="shared" si="8"/>
        <v>Ok</v>
      </c>
      <c r="AD12" s="282" t="str">
        <f t="shared" si="9"/>
        <v>Ok</v>
      </c>
      <c r="AE12" s="282" t="str">
        <f t="shared" si="10"/>
        <v>ok</v>
      </c>
    </row>
    <row r="13" spans="1:31" s="282" customFormat="1" ht="12.75" customHeight="1">
      <c r="B13" s="282" t="s">
        <v>1027</v>
      </c>
      <c r="C13" s="282" t="str">
        <f>VLOOKUP(B13,Справочник!A:N,7,0)</f>
        <v>АО "Национальный управляющий холдинг "Байтерек"</v>
      </c>
      <c r="D13" s="282" t="s">
        <v>173</v>
      </c>
      <c r="E13" s="282" t="s">
        <v>764</v>
      </c>
      <c r="F13" s="283">
        <v>45624</v>
      </c>
      <c r="G13" s="283">
        <v>45624</v>
      </c>
      <c r="H13" s="435">
        <v>500000000</v>
      </c>
      <c r="I13" s="283">
        <f>VLOOKUP(B13,Справочник!$A:$G,2,0)</f>
        <v>46109</v>
      </c>
      <c r="J13" s="284">
        <f>VLOOKUP(B13,Справочник!A:N,3,0)</f>
        <v>0.1389</v>
      </c>
      <c r="K13" s="282">
        <f>VLOOKUP(B13,Справочник!A:N,4,0)</f>
        <v>2</v>
      </c>
      <c r="L13" s="282" t="str">
        <f>VLOOKUP(B13,Справочник!A:N,5,0)</f>
        <v>fix</v>
      </c>
      <c r="M13" s="283" t="str">
        <f>VLOOKUP(B13,Справочник!A:N,6,0)</f>
        <v>30/360</v>
      </c>
      <c r="N13" s="285">
        <f>IF(M13="actual/actual",1,IF(M13="actual/360",2,IF(M13="actual/365",3,IF(M13="30/360",4))))</f>
        <v>4</v>
      </c>
      <c r="O13" s="283"/>
      <c r="P13" s="283">
        <v>45805</v>
      </c>
      <c r="Q13" s="283">
        <v>46008</v>
      </c>
      <c r="R13" s="289">
        <v>45989</v>
      </c>
      <c r="S13" s="287">
        <f>VLOOKUP(B13,Цены!C:K,4,0)</f>
        <v>98.515840081678121</v>
      </c>
      <c r="T13" s="286">
        <f t="shared" si="0"/>
        <v>0</v>
      </c>
      <c r="U13" s="11">
        <f ca="1">IF($A$2=DATE(YEAR(TODAY()),2,29),H13*J13*IF(N13=4,DAYS360(P13,$A$2,1)/360,IF(N13=3,($A$2-P13)/365,IF(N13=2,($A$2-P13)/360,IF(AND(K13=1,N13=1),($A$2-P13)/(P13-COUPPCD(P13-1,I13,1,3))))))+(H13*J13)/360,H13*J13*IF(N13=4,DAYS360(P13,$A$2,1)/360,IF(N13=3,($A$2-P13)/365,IF(N13=2,($A$2-P13)/360,IF(AND(K13=1,N13=1),($A$2-P13)/(P13-COUPPCD(P13-1,I13,1,3)))))))</f>
        <v>27394166.666666664</v>
      </c>
      <c r="V13" s="243">
        <f>IF(OR($A$2-I13&gt;=0,G13-$A$2&gt;0),0,1)*S13/100*H13</f>
        <v>492579200.40839058</v>
      </c>
      <c r="W13" s="498">
        <f t="shared" ca="1" si="12"/>
        <v>519973367.07505727</v>
      </c>
      <c r="X13" s="99">
        <f t="shared" si="3"/>
        <v>0.33169905295687974</v>
      </c>
      <c r="Y13" s="99">
        <f>IFERROR(YIELD($A$2,I13,J13,S13,100,K13,N13),0)</f>
        <v>0.17382063061292669</v>
      </c>
      <c r="Z13" s="286">
        <f>IFERROR(MDURATION($A$2,I13,J13,Y13,K13,N13),0)</f>
        <v>0.40379494306771807</v>
      </c>
      <c r="AA13" s="99">
        <f>X13*Y13</f>
        <v>5.76561385586754E-2</v>
      </c>
      <c r="AB13" s="286">
        <f>X13*Z13</f>
        <v>0.13393840020433925</v>
      </c>
      <c r="AC13" s="100" t="str">
        <f>IF(R13-$A$2&lt;10,"Скоро погашение купона","Ok")</f>
        <v>Ok</v>
      </c>
      <c r="AD13" s="282" t="str">
        <f>IF(I13-$A$2&lt;=0,"Погашено","Ok")</f>
        <v>Ok</v>
      </c>
      <c r="AE13" s="282" t="str">
        <f>IF((I13-$A$2)&lt;(365*3),"ok","breach")</f>
        <v>ok</v>
      </c>
    </row>
    <row r="14" spans="1:31">
      <c r="B14" s="2" t="str">
        <f>Trades!G10648</f>
        <v>KZ2C00014520</v>
      </c>
      <c r="C14" s="282" t="str">
        <f>VLOOKUP(B14,Справочник!A:N,7,0)</f>
        <v>АО "Национальный управляющий холдинг "Байтерек"</v>
      </c>
      <c r="D14" s="282" t="s">
        <v>173</v>
      </c>
      <c r="E14" s="282" t="s">
        <v>764</v>
      </c>
      <c r="F14" s="4">
        <f>Trades!A10648</f>
        <v>45859</v>
      </c>
      <c r="G14" s="4">
        <f>Trades!B10648</f>
        <v>45859</v>
      </c>
      <c r="H14" s="270">
        <f>Trades!N10648*Trades!O10648</f>
        <v>500000000</v>
      </c>
      <c r="I14" s="283">
        <f>VLOOKUP(B14,Справочник!$A:$G,2,0)</f>
        <v>46229</v>
      </c>
      <c r="J14" s="284">
        <f>VLOOKUP(B14,Справочник!A:N,3,0)</f>
        <v>0.17699999999999999</v>
      </c>
      <c r="K14" s="282">
        <f>VLOOKUP(B14,Справочник!A:N,4,0)</f>
        <v>2</v>
      </c>
      <c r="L14" s="282" t="str">
        <f>VLOOKUP(B14,Справочник!A:N,5,0)</f>
        <v>fix</v>
      </c>
      <c r="M14" s="283" t="str">
        <f>VLOOKUP(B14,Справочник!A:N,6,0)</f>
        <v>actual/365</v>
      </c>
      <c r="N14" s="285">
        <f>IF(M14="actual/actual",1,IF(M14="actual/360",2,IF(M14="actual/365",3,IF(M14="30/360",4))))</f>
        <v>3</v>
      </c>
      <c r="P14" s="289">
        <v>45859</v>
      </c>
      <c r="R14" s="289">
        <v>46043</v>
      </c>
      <c r="S14" s="287">
        <f>VLOOKUP(B14,Цены!C:K,4,0)</f>
        <v>99.972001949914684</v>
      </c>
      <c r="T14" s="286">
        <f t="shared" si="0"/>
        <v>0</v>
      </c>
      <c r="U14" s="11">
        <f ca="1">IF($A$2=DATE(YEAR(TODAY()),2,29),H14*J14*IF(N14=4,DAYS360(P14,$A$2,1)/360,IF(N14=3,($A$2-P14)/365,IF(N14=2,($A$2-P14)/360,IF(AND(K14=1,N14=1),($A$2-P14)/(P14-COUPPCD(P14-1,I14,1,3))))))+(H14*J14)/360,H14*J14*IF(N14=4,DAYS360(P14,$A$2,1)/360,IF(N14=3,($A$2-P14)/365,IF(N14=2,($A$2-P14)/360,IF(AND(K14=1,N14=1),($A$2-P14)/(P14-COUPPCD(P14-1,I14,1,3)))))))</f>
        <v>22064383.561643835</v>
      </c>
      <c r="V14" s="243">
        <f>IF(OR($A$2-I14&gt;=0,G14-$A$2&gt;0),0,1)*S14/100*H14</f>
        <v>499860009.74957341</v>
      </c>
      <c r="W14" s="498">
        <f t="shared" ca="1" si="12"/>
        <v>521924393.31121725</v>
      </c>
      <c r="X14" s="99">
        <f>IFERROR(V14/SUMIFS($V:$V,$D:$D,D14,$E:$E,E14),0)</f>
        <v>0.33660189408624058</v>
      </c>
      <c r="Y14" s="99">
        <f>IFERROR(YIELD($A$2,I14,J14,S14,100,K14,N14),0)</f>
        <v>0.17605524559194943</v>
      </c>
      <c r="Z14" s="286">
        <f>IFERROR(MDURATION($A$2,I14,J14,Y14,K14,N14),0)</f>
        <v>0.66519220726887562</v>
      </c>
      <c r="AA14" s="99">
        <f>X14*Y14</f>
        <v>5.9260529130068434E-2</v>
      </c>
      <c r="AB14" s="286">
        <f>X14*Z14</f>
        <v>0.22390495689811066</v>
      </c>
      <c r="AC14" s="100" t="str">
        <f>IF(R14-$A$2&lt;10,"Скоро погашение купона","Ok")</f>
        <v>Ok</v>
      </c>
      <c r="AD14" s="282" t="str">
        <f>IF(I14-$A$2&lt;=0,"Погашено","Ok")</f>
        <v>Ok</v>
      </c>
      <c r="AE14" s="282" t="str">
        <f>IF((I14-$A$2)&lt;(365*3),"ok","breach")</f>
        <v>ok</v>
      </c>
    </row>
    <row r="15" spans="1:31">
      <c r="B15" s="282" t="str">
        <f>Trades!G11722</f>
        <v>KZ2C00014744</v>
      </c>
      <c r="C15" s="282" t="str">
        <f>VLOOKUP(B15,Справочник!A:N,7,0)</f>
        <v>АО "Казахстанская Жилищная Компания"</v>
      </c>
      <c r="D15" s="282" t="s">
        <v>173</v>
      </c>
      <c r="E15" s="100" t="s">
        <v>761</v>
      </c>
      <c r="F15" s="4">
        <f>Trades!A11722</f>
        <v>45896</v>
      </c>
      <c r="G15" s="4">
        <f>Trades!B11722</f>
        <v>45896</v>
      </c>
      <c r="H15" s="270">
        <f>Trades!N11722*Trades!O11722</f>
        <v>500000000</v>
      </c>
      <c r="I15" s="283">
        <f>VLOOKUP(B15,Справочник!$A:$G,2,0)</f>
        <v>46992</v>
      </c>
      <c r="J15" s="284">
        <f>VLOOKUP(B15,Справочник!A:N,3,0)</f>
        <v>0.187</v>
      </c>
      <c r="K15" s="282">
        <f>VLOOKUP(B15,Справочник!A:N,4,0)</f>
        <v>1</v>
      </c>
      <c r="L15" s="282" t="str">
        <f>VLOOKUP(B15,Справочник!A:N,5,0)</f>
        <v>fix</v>
      </c>
      <c r="M15" s="283" t="str">
        <f>VLOOKUP(B15,Справочник!A:N,6,0)</f>
        <v>30/360</v>
      </c>
      <c r="N15" s="285">
        <f>IF(M15="actual/actual",1,IF(M15="actual/360",2,IF(M15="actual/365",3,IF(M15="30/360",4))))</f>
        <v>4</v>
      </c>
      <c r="O15" s="289">
        <f>P15-(365/K15)</f>
        <v>45531</v>
      </c>
      <c r="P15" s="289">
        <f>COUPPCD($A$2,I15,K15,4)</f>
        <v>45896</v>
      </c>
      <c r="R15" s="289">
        <f>COUPNCD($A$2,I15,K15,4)</f>
        <v>46261</v>
      </c>
      <c r="S15" s="287">
        <f>VLOOKUP(B15,Цены!C:K,4,0)</f>
        <v>97.132106016867695</v>
      </c>
      <c r="T15" s="286">
        <f t="shared" si="0"/>
        <v>93500000</v>
      </c>
      <c r="U15" s="11">
        <f ca="1">IF($A$2=DATE(YEAR(TODAY()),2,29),H15*J15*IF(N15=4,DAYS360(P15,$A$2,1)/360,IF(N15=3,($A$2-P15)/365,IF(N15=2,($A$2-P15)/360,IF(AND(K15=1,N15=1),($A$2-P15)/(P15-COUPPCD(P15-1,I15,1,3))))))+(H15*J15)/360,H15*J15*IF(N15=4,DAYS360(P15,$A$2,1)/360,IF(N15=3,($A$2-P15)/365,IF(N15=2,($A$2-P15)/360,IF(AND(K15=1,N15=1),($A$2-P15)/(P15-COUPPCD(P15-1,I15,1,3)))))))</f>
        <v>13765277.777777778</v>
      </c>
      <c r="V15" s="243">
        <f>IF(OR($A$2-I15&gt;=0,G15-$A$2&gt;0),0,1)*S15/100*H15</f>
        <v>485660530.08433849</v>
      </c>
      <c r="W15" s="498">
        <f ca="1">IFERROR(U15+V15,0)</f>
        <v>499425807.86211628</v>
      </c>
      <c r="X15" s="99">
        <f>IFERROR(V15/SUMIFS($V:$V,$D:$D,D15,$E:$E,E15),0)</f>
        <v>0.32806104686910142</v>
      </c>
      <c r="Y15" s="99">
        <f>IFERROR(YIELD($A$2,I15,J15,S15,100,K15,N15),0)</f>
        <v>0.20011237780414895</v>
      </c>
      <c r="Z15" s="286">
        <f>IFERROR(MDURATION($A$2,I15,J15,Y15,K15,N15),0)</f>
        <v>1.9987840206741088</v>
      </c>
      <c r="AA15" s="99">
        <f>X15*Y15</f>
        <v>6.5649076153894245E-2</v>
      </c>
      <c r="AB15" s="286">
        <f>X15*Z15</f>
        <v>0.65572317828757976</v>
      </c>
      <c r="AC15" s="100" t="str">
        <f>IF(R15-$A$2&lt;10,"Скоро погашение купона","Ok")</f>
        <v>Ok</v>
      </c>
      <c r="AD15" s="282" t="str">
        <f>IF(I15-$A$2&lt;=0,"Погашено","Ok")</f>
        <v>Ok</v>
      </c>
      <c r="AE15" s="282" t="str">
        <f>IF((I15-$A$2)&lt;(365*3),"ok","breach")</f>
        <v>ok</v>
      </c>
    </row>
    <row r="16" spans="1:31">
      <c r="B16" s="282" t="s">
        <v>3062</v>
      </c>
      <c r="C16" s="282" t="str">
        <f>VLOOKUP(B16,Справочник!A:N,7,0)</f>
        <v>АО "Казахстанская Жилищная Компания"</v>
      </c>
      <c r="D16" s="282" t="s">
        <v>173</v>
      </c>
      <c r="E16" s="2" t="s">
        <v>762</v>
      </c>
      <c r="F16" s="4">
        <v>45924</v>
      </c>
      <c r="G16" s="4">
        <v>45924</v>
      </c>
      <c r="H16" s="270">
        <v>1000000000</v>
      </c>
      <c r="I16" s="283">
        <f>VLOOKUP(B16,Справочник!$A:$G,2,0)</f>
        <v>47020</v>
      </c>
      <c r="J16" s="284">
        <f>VLOOKUP(B16,Справочник!A:N,3,0)</f>
        <v>0.1885</v>
      </c>
      <c r="K16" s="282">
        <f>VLOOKUP(B16,Справочник!A:N,4,0)</f>
        <v>1</v>
      </c>
      <c r="L16" s="282" t="str">
        <f>VLOOKUP(B16,Справочник!A:N,5,0)</f>
        <v>fix</v>
      </c>
      <c r="M16" s="283" t="str">
        <f>VLOOKUP(B16,Справочник!A:N,6,0)</f>
        <v>30/360</v>
      </c>
      <c r="N16" s="285">
        <f>IF(M16="actual/actual",1,IF(M16="actual/360",2,IF(M16="actual/365",3,IF(M16="30/360",4))))</f>
        <v>4</v>
      </c>
      <c r="O16" s="289">
        <f>P16-(365/K16)</f>
        <v>45559</v>
      </c>
      <c r="P16" s="289">
        <f>COUPPCD($A$2,I16,K16,4)</f>
        <v>45924</v>
      </c>
      <c r="Q16" s="603">
        <v>46308</v>
      </c>
      <c r="R16" s="289">
        <f>COUPNCD($A$2,I16,K16,4)</f>
        <v>46289</v>
      </c>
      <c r="S16" s="243">
        <v>100</v>
      </c>
      <c r="T16" s="286">
        <f t="shared" ref="T16" si="13">IF(O16="",0,H16*J16*IF(N16=4,DAYS360(O16,P16,1)/360,IF(N16=3,DAYS360(O16,P16,1)/365,IF(N16=2,(P16-O16)/360,IF(AND(K16=1,N16=1),(P16-O16)/(P16-COUPPCD(P16-1,I16,1,3)))))))</f>
        <v>188500000</v>
      </c>
      <c r="U16" s="11">
        <f ca="1">IF($A$2=DATE(YEAR(TODAY()),2,29),H16*J16*IF(N16=4,DAYS360(P16,$A$2,1)/360,IF(N16=3,($A$2-P16)/365,IF(N16=2,($A$2-P16)/360,IF(AND(K16=1,N16=1),($A$2-P16)/(P16-COUPPCD(P16-1,I16,1,3))))))+(H16*J16)/360,H16*J16*IF(N16=4,DAYS360(P16,$A$2,1)/360,IF(N16=3,($A$2-P16)/365,IF(N16=2,($A$2-P16)/360,IF(AND(K16=1,N16=1),($A$2-P16)/(P16-COUPPCD(P16-1,I16,1,3)))))))</f>
        <v>13613888.888888888</v>
      </c>
      <c r="V16" s="243">
        <f>IF(OR($A$2-I16&gt;=0,G16-$A$2&gt;0),0,1)*S16/100*H16</f>
        <v>1000000000</v>
      </c>
      <c r="W16" s="498">
        <f ca="1">IFERROR(U16+V16,0)</f>
        <v>1013613888.8888888</v>
      </c>
      <c r="X16" s="99">
        <f>IFERROR(S16/SUMIFS($V:$V,$D:$D,D16,$E:$E,E16),0)</f>
        <v>0</v>
      </c>
      <c r="Y16" s="99">
        <f>IFERROR(YIELD($A$2,I16,J16,#REF!,100,K16,N16),0)</f>
        <v>0</v>
      </c>
      <c r="Z16" s="286">
        <f>IFERROR(MDURATION($A$2,I16,J16,Y16,K16,N16),0)</f>
        <v>2.5665513325526104</v>
      </c>
      <c r="AA16" s="99">
        <f>X16*Y16</f>
        <v>0</v>
      </c>
      <c r="AB16" s="286">
        <f>X16*Z16</f>
        <v>0</v>
      </c>
      <c r="AC16" s="100" t="str">
        <f>IF(R16-$A$2&lt;10,"Скоро погашение купона","Ok")</f>
        <v>Ok</v>
      </c>
      <c r="AD16" s="282" t="str">
        <f>IF(I16-$A$2&lt;=0,"Погашено","Ok")</f>
        <v>Ok</v>
      </c>
    </row>
    <row r="18" spans="2:29">
      <c r="B18" s="96"/>
      <c r="D18" s="96"/>
      <c r="E18" s="282"/>
      <c r="F18" s="237"/>
      <c r="G18" s="239"/>
      <c r="H18" s="237"/>
      <c r="I18" s="240"/>
      <c r="O18" s="97"/>
      <c r="AC18" s="95"/>
    </row>
    <row r="19" spans="2:29">
      <c r="B19" s="96"/>
      <c r="D19" s="96"/>
      <c r="E19" s="282"/>
      <c r="F19" s="237"/>
      <c r="G19" s="237">
        <f>H5*J5/360*180</f>
        <v>121537500</v>
      </c>
      <c r="H19" s="237"/>
      <c r="I19" s="240"/>
      <c r="O19" s="97"/>
      <c r="AC19" s="95"/>
    </row>
    <row r="20" spans="2:29">
      <c r="B20" s="96"/>
      <c r="G20" s="237">
        <f>H6*J6/360*180</f>
        <v>20835000</v>
      </c>
      <c r="O20" s="97"/>
      <c r="AC20" s="95"/>
    </row>
    <row r="21" spans="2:29">
      <c r="B21" s="96"/>
      <c r="G21" s="237">
        <f>H9*J9/360*180</f>
        <v>69450000</v>
      </c>
      <c r="L21" s="4"/>
      <c r="O21" s="97"/>
      <c r="S21" s="7"/>
      <c r="AC21" s="95"/>
    </row>
    <row r="22" spans="2:29">
      <c r="B22" s="96"/>
      <c r="G22" s="237">
        <f>H12*J12/360*180</f>
        <v>34725000</v>
      </c>
      <c r="L22" s="13"/>
      <c r="O22" s="97"/>
      <c r="S22" s="8"/>
    </row>
    <row r="23" spans="2:29">
      <c r="B23" s="96"/>
      <c r="AC23" s="95"/>
    </row>
    <row r="26" spans="2:29" ht="15">
      <c r="F26" s="516"/>
      <c r="G26" s="516"/>
      <c r="H26" s="278"/>
      <c r="I26"/>
      <c r="J26"/>
      <c r="K26"/>
      <c r="L26"/>
      <c r="M26"/>
      <c r="N26"/>
      <c r="O26"/>
      <c r="P26" s="264"/>
      <c r="Q26"/>
    </row>
    <row r="27" spans="2:29">
      <c r="G27" s="680" t="s">
        <v>2</v>
      </c>
      <c r="H27" s="683" t="s">
        <v>105</v>
      </c>
      <c r="I27" s="680" t="s">
        <v>314</v>
      </c>
      <c r="J27" s="680" t="s">
        <v>106</v>
      </c>
      <c r="K27" s="680" t="s">
        <v>315</v>
      </c>
      <c r="L27" s="680" t="s">
        <v>396</v>
      </c>
      <c r="M27" s="680" t="s">
        <v>397</v>
      </c>
      <c r="N27" s="680" t="s">
        <v>3</v>
      </c>
      <c r="O27" s="680" t="s">
        <v>132</v>
      </c>
      <c r="P27" s="264" t="s">
        <v>316</v>
      </c>
      <c r="Q27"/>
    </row>
    <row r="28" spans="2:29" ht="12.75" customHeight="1">
      <c r="G28" s="682"/>
      <c r="H28" s="684"/>
      <c r="I28" s="681"/>
      <c r="J28" s="681"/>
      <c r="K28" s="681"/>
      <c r="L28" s="681"/>
      <c r="M28" s="681"/>
      <c r="N28" s="681"/>
      <c r="O28" s="681"/>
      <c r="P28" s="264"/>
      <c r="Q28"/>
    </row>
    <row r="29" spans="2:29">
      <c r="G29" s="517" t="s">
        <v>403</v>
      </c>
      <c r="H29" s="515" t="s">
        <v>404</v>
      </c>
      <c r="I29" s="185" t="s">
        <v>343</v>
      </c>
      <c r="J29" s="185" t="s">
        <v>144</v>
      </c>
      <c r="K29" s="185">
        <v>100.11673769335924</v>
      </c>
      <c r="L29" s="186" t="s">
        <v>438</v>
      </c>
      <c r="M29" s="186" t="s">
        <v>434</v>
      </c>
      <c r="N29" s="186" t="s">
        <v>439</v>
      </c>
      <c r="O29" s="185" t="s">
        <v>319</v>
      </c>
      <c r="P29" s="264" t="s">
        <v>318</v>
      </c>
      <c r="Q29">
        <f>N29/365</f>
        <v>9.2356164383561641</v>
      </c>
    </row>
    <row r="30" spans="2:29">
      <c r="G30" s="517" t="s">
        <v>406</v>
      </c>
      <c r="H30" s="515" t="s">
        <v>401</v>
      </c>
      <c r="I30" s="185" t="s">
        <v>343</v>
      </c>
      <c r="J30" s="185" t="s">
        <v>144</v>
      </c>
      <c r="K30" s="185">
        <v>100.57640276289018</v>
      </c>
      <c r="L30" s="186" t="s">
        <v>440</v>
      </c>
      <c r="M30" s="186" t="s">
        <v>432</v>
      </c>
      <c r="N30" s="186" t="s">
        <v>437</v>
      </c>
      <c r="O30" s="185" t="s">
        <v>319</v>
      </c>
      <c r="P30" s="264" t="s">
        <v>318</v>
      </c>
      <c r="Q30">
        <f>N30/365</f>
        <v>6.353424657534247</v>
      </c>
    </row>
    <row r="31" spans="2:29">
      <c r="G31" s="517" t="s">
        <v>407</v>
      </c>
      <c r="H31" s="515" t="s">
        <v>402</v>
      </c>
      <c r="I31" s="185" t="s">
        <v>343</v>
      </c>
      <c r="J31" s="185" t="s">
        <v>144</v>
      </c>
      <c r="K31" s="185">
        <v>100.12279383308662</v>
      </c>
      <c r="L31" s="186" t="s">
        <v>441</v>
      </c>
      <c r="M31" s="186" t="s">
        <v>435</v>
      </c>
      <c r="N31" s="186" t="s">
        <v>436</v>
      </c>
      <c r="O31" s="185" t="s">
        <v>319</v>
      </c>
      <c r="P31" s="264" t="s">
        <v>318</v>
      </c>
      <c r="Q31">
        <f>N31/365</f>
        <v>9.3123287671232884</v>
      </c>
    </row>
    <row r="32" spans="2:29">
      <c r="G32" s="517" t="s">
        <v>425</v>
      </c>
      <c r="H32" s="515" t="s">
        <v>418</v>
      </c>
      <c r="I32" s="185" t="s">
        <v>343</v>
      </c>
      <c r="J32" s="185" t="s">
        <v>144</v>
      </c>
      <c r="K32" s="185">
        <v>98.796199999999999</v>
      </c>
      <c r="L32" s="186" t="s">
        <v>442</v>
      </c>
      <c r="M32" s="186" t="s">
        <v>431</v>
      </c>
      <c r="N32" s="186" t="s">
        <v>443</v>
      </c>
      <c r="O32" s="185" t="s">
        <v>319</v>
      </c>
      <c r="P32" s="264" t="s">
        <v>317</v>
      </c>
      <c r="Q32">
        <f>N32/365</f>
        <v>9.5863013698630137</v>
      </c>
    </row>
    <row r="36" spans="9:11">
      <c r="I36" s="165"/>
      <c r="J36" s="166" t="s">
        <v>388</v>
      </c>
    </row>
    <row r="37" spans="9:11">
      <c r="I37" s="167" t="s">
        <v>313</v>
      </c>
      <c r="J37" s="167">
        <f>A2</f>
        <v>45950</v>
      </c>
    </row>
    <row r="38" spans="9:11" ht="25.5">
      <c r="I38" s="167" t="s">
        <v>380</v>
      </c>
      <c r="J38" s="166" t="s">
        <v>444</v>
      </c>
    </row>
    <row r="39" spans="9:11">
      <c r="I39" s="167" t="s">
        <v>1</v>
      </c>
      <c r="J39" s="166" t="s">
        <v>151</v>
      </c>
    </row>
    <row r="40" spans="9:11">
      <c r="I40" s="167" t="s">
        <v>381</v>
      </c>
      <c r="J40" s="168">
        <v>0.14499999999999999</v>
      </c>
    </row>
    <row r="41" spans="9:11">
      <c r="I41" s="166" t="s">
        <v>382</v>
      </c>
      <c r="J41" s="167">
        <f>A2</f>
        <v>45950</v>
      </c>
    </row>
    <row r="42" spans="9:11">
      <c r="I42" s="167" t="s">
        <v>383</v>
      </c>
      <c r="J42" s="167">
        <v>46933</v>
      </c>
    </row>
    <row r="43" spans="9:11">
      <c r="I43" s="167" t="s">
        <v>384</v>
      </c>
      <c r="J43" s="169" t="e">
        <f>K43</f>
        <v>#REF!</v>
      </c>
      <c r="K43" s="13" t="e">
        <f>(VLOOKUP(H29,Цены!#REF!,6,0)/100+VLOOKUP(H30,Цены!#REF!,6,0)/100+VLOOKUP(H31,Цены!#REF!,6,0)/100+VLOOKUP(H32,Цены!#REF!,6,0)/100)/4</f>
        <v>#REF!</v>
      </c>
    </row>
    <row r="44" spans="9:11">
      <c r="I44" s="167" t="s">
        <v>385</v>
      </c>
      <c r="J44" s="166">
        <v>1</v>
      </c>
    </row>
    <row r="45" spans="9:11">
      <c r="I45" s="170" t="s">
        <v>386</v>
      </c>
      <c r="J45" s="181" t="e">
        <f>ROUND(PRICE(J41,J42,J40,J43,100,J44,4),4)</f>
        <v>#REF!</v>
      </c>
    </row>
    <row r="47" spans="9:11">
      <c r="J47" s="5">
        <f>(J42-A2)/365</f>
        <v>2.6931506849315068</v>
      </c>
      <c r="K47" s="13"/>
    </row>
  </sheetData>
  <autoFilter ref="A2:W16" xr:uid="{00000000-0009-0000-0000-00000A000000}"/>
  <mergeCells count="9">
    <mergeCell ref="L27:L28"/>
    <mergeCell ref="M27:M28"/>
    <mergeCell ref="N27:N28"/>
    <mergeCell ref="O27:O28"/>
    <mergeCell ref="G27:G28"/>
    <mergeCell ref="H27:H28"/>
    <mergeCell ref="I27:I28"/>
    <mergeCell ref="J27:J28"/>
    <mergeCell ref="K27:K28"/>
  </mergeCells>
  <phoneticPr fontId="115" type="noConversion"/>
  <conditionalFormatting sqref="AC5:AC12 AC18:AD1048576 AC11:AD11">
    <cfRule type="containsText" dxfId="1182" priority="242" operator="containsText" text="Скоро погашение купона">
      <formula>NOT(ISERROR(SEARCH("Скоро погашение купона",AC5)))</formula>
    </cfRule>
  </conditionalFormatting>
  <conditionalFormatting sqref="AC1:AD1">
    <cfRule type="containsText" dxfId="1181" priority="241" operator="containsText" text="Скоро погашение купона">
      <formula>NOT(ISERROR(SEARCH("Скоро погашение купона",AC1)))</formula>
    </cfRule>
  </conditionalFormatting>
  <conditionalFormatting sqref="Q7:Q8 T18:T1048576 T5:T12">
    <cfRule type="cellIs" dxfId="1180" priority="238" operator="greaterThan">
      <formula>0</formula>
    </cfRule>
  </conditionalFormatting>
  <conditionalFormatting sqref="U18:U1048576 U3:U12">
    <cfRule type="cellIs" dxfId="1179" priority="237" operator="equal">
      <formula>0</formula>
    </cfRule>
  </conditionalFormatting>
  <conditionalFormatting sqref="T3">
    <cfRule type="cellIs" dxfId="1178" priority="78" operator="greaterThan">
      <formula>0</formula>
    </cfRule>
  </conditionalFormatting>
  <conditionalFormatting sqref="AC3">
    <cfRule type="containsText" dxfId="1177" priority="76" operator="containsText" text="Скоро погашение купона">
      <formula>NOT(ISERROR(SEARCH("Скоро погашение купона",AC3)))</formula>
    </cfRule>
  </conditionalFormatting>
  <conditionalFormatting sqref="AD3 AD5:AD12">
    <cfRule type="containsText" dxfId="1176" priority="75" operator="containsText" text="Погашено">
      <formula>NOT(ISERROR(SEARCH("Погашено",AD3)))</formula>
    </cfRule>
  </conditionalFormatting>
  <conditionalFormatting sqref="T4">
    <cfRule type="cellIs" dxfId="1175" priority="70" operator="greaterThan">
      <formula>0</formula>
    </cfRule>
  </conditionalFormatting>
  <conditionalFormatting sqref="AC4">
    <cfRule type="containsText" dxfId="1174" priority="68" operator="containsText" text="Скоро погашение купона">
      <formula>NOT(ISERROR(SEARCH("Скоро погашение купона",AC4)))</formula>
    </cfRule>
  </conditionalFormatting>
  <conditionalFormatting sqref="AD4">
    <cfRule type="containsText" dxfId="1173" priority="67" operator="containsText" text="Погашено">
      <formula>NOT(ISERROR(SEARCH("Погашено",AD4)))</formula>
    </cfRule>
  </conditionalFormatting>
  <conditionalFormatting sqref="T7">
    <cfRule type="cellIs" dxfId="1172" priority="48" operator="greaterThan">
      <formula>0</formula>
    </cfRule>
  </conditionalFormatting>
  <conditionalFormatting sqref="U7">
    <cfRule type="cellIs" dxfId="1171" priority="47" operator="equal">
      <formula>0</formula>
    </cfRule>
  </conditionalFormatting>
  <conditionalFormatting sqref="AC7">
    <cfRule type="containsText" dxfId="1170" priority="46" operator="containsText" text="Скоро погашение купона">
      <formula>NOT(ISERROR(SEARCH("Скоро погашение купона",AC7)))</formula>
    </cfRule>
  </conditionalFormatting>
  <conditionalFormatting sqref="T8">
    <cfRule type="cellIs" dxfId="1169" priority="41" operator="greaterThan">
      <formula>0</formula>
    </cfRule>
  </conditionalFormatting>
  <conditionalFormatting sqref="U8">
    <cfRule type="cellIs" dxfId="1168" priority="40" operator="equal">
      <formula>0</formula>
    </cfRule>
  </conditionalFormatting>
  <conditionalFormatting sqref="AC8">
    <cfRule type="containsText" dxfId="1167" priority="39" operator="containsText" text="Скоро погашение купона">
      <formula>NOT(ISERROR(SEARCH("Скоро погашение купона",AC8)))</formula>
    </cfRule>
  </conditionalFormatting>
  <conditionalFormatting sqref="AD7">
    <cfRule type="containsText" dxfId="1166" priority="38" operator="containsText" text="Погашено">
      <formula>NOT(ISERROR(SEARCH("Погашено",AD7)))</formula>
    </cfRule>
  </conditionalFormatting>
  <conditionalFormatting sqref="AD8">
    <cfRule type="containsText" dxfId="1165" priority="37" operator="containsText" text="Погашено">
      <formula>NOT(ISERROR(SEARCH("Погашено",AD8)))</formula>
    </cfRule>
  </conditionalFormatting>
  <conditionalFormatting sqref="T13">
    <cfRule type="cellIs" dxfId="1164" priority="34" operator="greaterThan">
      <formula>0</formula>
    </cfRule>
  </conditionalFormatting>
  <conditionalFormatting sqref="AC13">
    <cfRule type="containsText" dxfId="1163" priority="33" operator="containsText" text="Скоро погашение купона">
      <formula>NOT(ISERROR(SEARCH("Скоро погашение купона",AC13)))</formula>
    </cfRule>
  </conditionalFormatting>
  <conditionalFormatting sqref="AD13">
    <cfRule type="containsText" dxfId="1162" priority="32" operator="containsText" text="Погашено">
      <formula>NOT(ISERROR(SEARCH("Погашено",AD13)))</formula>
    </cfRule>
  </conditionalFormatting>
  <conditionalFormatting sqref="Q10">
    <cfRule type="cellIs" dxfId="1161" priority="28" operator="greaterThan">
      <formula>0</formula>
    </cfRule>
  </conditionalFormatting>
  <conditionalFormatting sqref="T10">
    <cfRule type="cellIs" dxfId="1160" priority="25" operator="greaterThan">
      <formula>0</formula>
    </cfRule>
  </conditionalFormatting>
  <conditionalFormatting sqref="U10">
    <cfRule type="cellIs" dxfId="1159" priority="24" operator="equal">
      <formula>0</formula>
    </cfRule>
  </conditionalFormatting>
  <conditionalFormatting sqref="AC10">
    <cfRule type="containsText" dxfId="1158" priority="23" operator="containsText" text="Скоро погашение купона">
      <formula>NOT(ISERROR(SEARCH("Скоро погашение купона",AC10)))</formula>
    </cfRule>
  </conditionalFormatting>
  <conditionalFormatting sqref="AD10">
    <cfRule type="containsText" dxfId="1157" priority="22" operator="containsText" text="Погашено">
      <formula>NOT(ISERROR(SEARCH("Погашено",AD10)))</formula>
    </cfRule>
  </conditionalFormatting>
  <conditionalFormatting sqref="T14">
    <cfRule type="cellIs" dxfId="1156" priority="17" operator="greaterThan">
      <formula>0</formula>
    </cfRule>
  </conditionalFormatting>
  <conditionalFormatting sqref="AC14">
    <cfRule type="containsText" dxfId="1155" priority="15" operator="containsText" text="Скоро погашение купона">
      <formula>NOT(ISERROR(SEARCH("Скоро погашение купона",AC14)))</formula>
    </cfRule>
  </conditionalFormatting>
  <conditionalFormatting sqref="AD14">
    <cfRule type="containsText" dxfId="1154" priority="14" operator="containsText" text="Погашено">
      <formula>NOT(ISERROR(SEARCH("Погашено",AD14)))</formula>
    </cfRule>
  </conditionalFormatting>
  <conditionalFormatting sqref="U14">
    <cfRule type="cellIs" dxfId="1153" priority="9" operator="equal">
      <formula>0</formula>
    </cfRule>
  </conditionalFormatting>
  <conditionalFormatting sqref="U13">
    <cfRule type="cellIs" dxfId="1152" priority="8" operator="equal">
      <formula>0</formula>
    </cfRule>
  </conditionalFormatting>
  <conditionalFormatting sqref="U15:U16">
    <cfRule type="cellIs" dxfId="1151" priority="2" operator="equal">
      <formula>0</formula>
    </cfRule>
  </conditionalFormatting>
  <conditionalFormatting sqref="T15:T16">
    <cfRule type="cellIs" dxfId="1150" priority="7" operator="greaterThan">
      <formula>0</formula>
    </cfRule>
  </conditionalFormatting>
  <conditionalFormatting sqref="AC15:AC16">
    <cfRule type="containsText" dxfId="1149" priority="6" operator="containsText" text="Скоро погашение купона">
      <formula>NOT(ISERROR(SEARCH("Скоро погашение купона",AC15)))</formula>
    </cfRule>
  </conditionalFormatting>
  <conditionalFormatting sqref="AD15:AD16">
    <cfRule type="containsText" dxfId="1148" priority="5" operator="containsText" text="Погашено">
      <formula>NOT(ISERROR(SEARCH("Погашено",AD15)))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8">
    <tabColor theme="8" tint="0.79998168889431442"/>
  </sheetPr>
  <dimension ref="A2:AI109"/>
  <sheetViews>
    <sheetView zoomScaleNormal="100" workbookViewId="0">
      <pane xSplit="3" ySplit="2" topLeftCell="I19" activePane="bottomRight" state="frozen"/>
      <selection pane="topRight" activeCell="D1" sqref="D1"/>
      <selection pane="bottomLeft" activeCell="A3" sqref="A3"/>
      <selection pane="bottomRight" activeCell="S21" sqref="S21"/>
    </sheetView>
  </sheetViews>
  <sheetFormatPr defaultColWidth="15.42578125" defaultRowHeight="12.75"/>
  <cols>
    <col min="1" max="2" width="15.42578125" style="2"/>
    <col min="3" max="3" width="53.7109375" style="2" bestFit="1" customWidth="1"/>
    <col min="4" max="5" width="15.42578125" style="2" customWidth="1"/>
    <col min="6" max="7" width="17.5703125" style="4" customWidth="1"/>
    <col min="8" max="8" width="17.5703125" style="2" customWidth="1"/>
    <col min="9" max="9" width="19.5703125" style="2" bestFit="1" customWidth="1"/>
    <col min="10" max="13" width="16.140625" style="2" bestFit="1" customWidth="1"/>
    <col min="14" max="14" width="14" style="2" customWidth="1"/>
    <col min="15" max="16" width="15.42578125" style="2"/>
    <col min="17" max="17" width="16.42578125" style="4" bestFit="1" customWidth="1"/>
    <col min="18" max="18" width="15.42578125" style="2"/>
    <col min="19" max="19" width="15.85546875" style="6" bestFit="1" customWidth="1"/>
    <col min="20" max="20" width="16.42578125" style="2" bestFit="1" customWidth="1"/>
    <col min="21" max="21" width="15.5703125" style="2" bestFit="1" customWidth="1"/>
    <col min="22" max="22" width="18.140625" style="2" bestFit="1" customWidth="1"/>
    <col min="23" max="23" width="17.85546875" style="2" bestFit="1" customWidth="1"/>
    <col min="24" max="28" width="17" style="2" customWidth="1"/>
    <col min="29" max="29" width="25.85546875" style="8" customWidth="1"/>
    <col min="30" max="30" width="15.42578125" style="2"/>
    <col min="31" max="31" width="15.42578125" style="20"/>
    <col min="32" max="32" width="22.85546875" style="152" bestFit="1" customWidth="1"/>
    <col min="33" max="33" width="15.42578125" style="4"/>
    <col min="34" max="34" width="15.5703125" style="5" bestFit="1" customWidth="1"/>
    <col min="35" max="35" width="16.140625" style="164" bestFit="1" customWidth="1"/>
    <col min="36" max="16384" width="15.42578125" style="2"/>
  </cols>
  <sheetData>
    <row r="2" spans="1:35" ht="25.5">
      <c r="A2" s="3">
        <f>Report!B2</f>
        <v>45950</v>
      </c>
      <c r="B2" s="2" t="s">
        <v>105</v>
      </c>
      <c r="C2" s="2" t="s">
        <v>243</v>
      </c>
      <c r="D2" s="2" t="s">
        <v>171</v>
      </c>
      <c r="E2" s="2" t="s">
        <v>172</v>
      </c>
      <c r="F2" s="4" t="s">
        <v>169</v>
      </c>
      <c r="G2" s="4" t="s">
        <v>2845</v>
      </c>
      <c r="H2" s="2" t="s">
        <v>158</v>
      </c>
      <c r="I2" s="2" t="s">
        <v>163</v>
      </c>
      <c r="J2" s="2" t="s">
        <v>164</v>
      </c>
      <c r="K2" s="2" t="s">
        <v>161</v>
      </c>
      <c r="L2" s="2" t="s">
        <v>246</v>
      </c>
      <c r="M2" s="2" t="s">
        <v>162</v>
      </c>
      <c r="N2" s="2" t="s">
        <v>261</v>
      </c>
      <c r="O2" s="2" t="s">
        <v>250</v>
      </c>
      <c r="P2" s="2" t="s">
        <v>159</v>
      </c>
      <c r="Q2" s="4" t="s">
        <v>251</v>
      </c>
      <c r="R2" s="2" t="s">
        <v>160</v>
      </c>
      <c r="S2" s="6" t="s">
        <v>166</v>
      </c>
      <c r="T2" s="2" t="s">
        <v>249</v>
      </c>
      <c r="U2" s="2" t="s">
        <v>165</v>
      </c>
      <c r="V2" s="2" t="s">
        <v>167</v>
      </c>
      <c r="W2" s="2" t="s">
        <v>168</v>
      </c>
      <c r="X2" s="2" t="s">
        <v>305</v>
      </c>
      <c r="Y2" s="2" t="s">
        <v>303</v>
      </c>
      <c r="Z2" s="2" t="s">
        <v>304</v>
      </c>
      <c r="AA2" s="2" t="s">
        <v>306</v>
      </c>
      <c r="AB2" s="2" t="s">
        <v>307</v>
      </c>
      <c r="AC2" s="8" t="s">
        <v>262</v>
      </c>
      <c r="AD2" s="2" t="s">
        <v>2633</v>
      </c>
    </row>
    <row r="3" spans="1:35" s="221" customFormat="1" ht="13.15" hidden="1" customHeight="1">
      <c r="A3" s="221">
        <v>1000000</v>
      </c>
      <c r="B3" s="230" t="s">
        <v>131</v>
      </c>
      <c r="C3" s="209" t="str">
        <f>VLOOKUP(B3,Справочник!A:N,7,0)</f>
        <v>Международная финансовая корпорация</v>
      </c>
      <c r="D3" s="209" t="s">
        <v>173</v>
      </c>
      <c r="E3" s="221" t="s">
        <v>174</v>
      </c>
      <c r="F3" s="218"/>
      <c r="G3" s="218"/>
      <c r="H3" s="233"/>
      <c r="I3" s="210">
        <f>VLOOKUP(B3,Справочник!A:N,2,0)</f>
        <v>46040</v>
      </c>
      <c r="J3" s="316">
        <f>VLOOKUP(B3,Справочник!A:N,3,0)</f>
        <v>8.3000000000000004E-2</v>
      </c>
      <c r="K3" s="209">
        <f>VLOOKUP(B3,Справочник!A:N,4,0)</f>
        <v>2</v>
      </c>
      <c r="L3" s="209" t="str">
        <f>VLOOKUP(B3,Справочник!A:N,5,0)</f>
        <v>fix</v>
      </c>
      <c r="M3" s="210" t="str">
        <f>VLOOKUP(B3,Справочник!A:N,6,0)</f>
        <v>30/360</v>
      </c>
      <c r="N3" s="211">
        <f>IF(M3="actual/actual",1,IF(M3="actual/360",2,IF(M3="actual/365",3,IF(M3="30/360",4))))</f>
        <v>4</v>
      </c>
      <c r="O3" s="225">
        <f>P3-(367/K3)</f>
        <v>45672.5</v>
      </c>
      <c r="P3" s="210">
        <f t="shared" ref="P3:P17" si="0">COUPPCD($A$2,I3,K3,0)</f>
        <v>45856</v>
      </c>
      <c r="Q3" s="225">
        <f t="shared" ref="Q3:Q8" si="1">P3</f>
        <v>45856</v>
      </c>
      <c r="R3" s="225">
        <f t="shared" ref="R3:R17" si="2">COUPNCD($A$2,I3,K3,N3)</f>
        <v>46040</v>
      </c>
      <c r="S3" s="287">
        <f>VLOOKUP(B3,Цены!C:K,4,0)</f>
        <v>75582.677239111115</v>
      </c>
      <c r="T3" s="213">
        <f>IF(O3="",0,H3*J3*IF(N3=4,DAYS360(O3,P3,1)/360,IF(N3=3,DAYS360(O3,P3,1)/365,IF(N3=2,(P3-O3)/360,IF(AND(K3=1,N3=1),(P3-O3)/(P3-COUPPCD(P3-1,I3,1,3)))))))</f>
        <v>0</v>
      </c>
      <c r="U3" s="231">
        <f ca="1">IF($A$2=DATE(YEAR(TODAY()),2,29),H3*J3*IF(N3=4,DAYS360(P3,$A$2,1)/360,IF(N3=3,DAYS360(P3,$A$2,1)/365,IF(N3=2,($A$2-P3)/360,IF(AND(K3=1,N3=1),($A$2-P3)/(P3-COUPPCD(P3-1,I3,1,3))))))+(H3*J3)/360,H3*J3*IF(N3=4,DAYS360(P3,$A$2,1)/360,IF(N3=3,DAYS360(P3,$A$2,1)/365,IF(N3=2,($A$2-P3)/360,IF(AND(K3=1,N3=1),($A$2-P3)/(P3-COUPPCD(P3-1,I3,1,3)))))))</f>
        <v>0</v>
      </c>
      <c r="V3" s="213">
        <f>S3*H3*997</f>
        <v>0</v>
      </c>
      <c r="W3" s="98">
        <f ca="1">IF(Q3&lt;$A$2,V3+U3,V3+U3+T3)</f>
        <v>0</v>
      </c>
      <c r="X3" s="232">
        <f>IFERROR(V3/SUMIFS($V:$V,$D:$D,D3,$E:$E,E3),0)</f>
        <v>0</v>
      </c>
      <c r="Y3" s="232">
        <f t="shared" ref="Y3:Y17" si="3">IFERROR(YIELD($A$2,I3,J3,S3,100,K3,N3),0)</f>
        <v>-4.0852721349190251</v>
      </c>
      <c r="Z3" s="213">
        <f>IFERROR(MDURATION($A$2,I3,J3,Y3,K3,N3),0)</f>
        <v>0</v>
      </c>
      <c r="AA3" s="232">
        <f t="shared" ref="AA3:AA17" si="4">X3*Y3</f>
        <v>0</v>
      </c>
      <c r="AB3" s="213">
        <f t="shared" ref="AB3:AB17" si="5">X3*Z3</f>
        <v>0</v>
      </c>
      <c r="AC3" s="215" t="str">
        <f t="shared" ref="AC3:AC17" si="6">IF(R3-$A$2&lt;10,"Скоро погашение купона","Ok")</f>
        <v>Ok</v>
      </c>
      <c r="AD3" s="209" t="str">
        <f t="shared" ref="AD3:AD17" si="7">IF(I3-$A$2&lt;=0,"Погашено","Ok")</f>
        <v>Ok</v>
      </c>
      <c r="AE3" s="228"/>
      <c r="AF3" s="220"/>
      <c r="AG3" s="225"/>
      <c r="AH3" s="224"/>
      <c r="AI3" s="229"/>
    </row>
    <row r="4" spans="1:35" s="221" customFormat="1" ht="13.15" hidden="1" customHeight="1">
      <c r="B4" s="219" t="s">
        <v>123</v>
      </c>
      <c r="C4" s="221" t="str">
        <f>VLOOKUP(B4,Справочник!A:N,7,0)</f>
        <v>Европейский банк реконструкции и развития</v>
      </c>
      <c r="D4" s="221" t="s">
        <v>173</v>
      </c>
      <c r="E4" s="221" t="s">
        <v>174</v>
      </c>
      <c r="F4" s="155"/>
      <c r="G4" s="155"/>
      <c r="H4" s="12"/>
      <c r="I4" s="225">
        <f>VLOOKUP(B4,Справочник!A:N,2,0)</f>
        <v>46586</v>
      </c>
      <c r="J4" s="255">
        <f>VLOOKUP(B4,Справочник!A:N,3,0)</f>
        <v>9.9600000000000008E-2</v>
      </c>
      <c r="K4" s="221">
        <f>VLOOKUP(B4,Справочник!A:N,4,0)</f>
        <v>2</v>
      </c>
      <c r="L4" s="221" t="str">
        <f>VLOOKUP(B4,Справочник!A:N,5,0)</f>
        <v>float</v>
      </c>
      <c r="M4" s="225" t="str">
        <f>VLOOKUP(B4,Справочник!A:N,6,0)</f>
        <v>30/360</v>
      </c>
      <c r="N4" s="227">
        <v>4</v>
      </c>
      <c r="O4" s="225">
        <f>P4-(367/K4)</f>
        <v>45672.5</v>
      </c>
      <c r="P4" s="225">
        <f t="shared" si="0"/>
        <v>45856</v>
      </c>
      <c r="Q4" s="225">
        <f t="shared" si="1"/>
        <v>45856</v>
      </c>
      <c r="R4" s="225">
        <f t="shared" si="2"/>
        <v>46040</v>
      </c>
      <c r="S4" s="287">
        <f>VLOOKUP(B4,Цены!C:K,4,0)</f>
        <v>95.620001962656488</v>
      </c>
      <c r="T4" s="231">
        <f>IF(O4="",0,H4*J4*IF(N4=4,DAYS360(O4,P4,1)/360,IF(N4=3,DAYS360(O4,P4,1)/365,IF(N4=2,(P4-O4)/360,IF(AND(K4=1,N4=1),(P4-O4)/(P4-COUPPCD(P4-1,I4,1,3)))))))</f>
        <v>0</v>
      </c>
      <c r="U4" s="231">
        <f t="shared" ref="U4:U17" ca="1" si="8">IF($A$2=DATE(YEAR(TODAY()),2,29),H4*J4*IF(N4=4,DAYS360(P4,$A$2,1)/360,IF(N4=3,DAYS360(P4,$A$2,1)/365,IF(N4=2,($A$2-P4)/360,IF(AND(K4=1,N4=1),($A$2-P4)/(P4-COUPPCD(P4-1,I4,1,3))))))+(H4*J4)/360,H4*J4*IF(N4=4,DAYS360(P4,$A$2,1)/360,IF(N4=3,DAYS360(P4,$A$2,1)/365,IF(N4=2,($A$2-P4)/360,IF(AND(K4=1,N4=1),($A$2-P4)/(P4-COUPPCD(P4-1,I4,1,3)))))))</f>
        <v>0</v>
      </c>
      <c r="V4" s="231">
        <f t="shared" ref="V4:V18" si="9">IF(OR($A$2-I4&gt;=0,G4-$A$2&gt;0),0,1)*S4/100*H4</f>
        <v>0</v>
      </c>
      <c r="W4" s="98">
        <f ca="1">IF(Q4&lt;$A$2,V4+U4,V4+U4+T4)</f>
        <v>0</v>
      </c>
      <c r="X4" s="99">
        <f t="shared" ref="X4:X17" si="10">IFERROR(V4/SUMIFS($V:$V,$D:$D,D4,$E:$E,E4),0)</f>
        <v>0</v>
      </c>
      <c r="Y4" s="99">
        <f t="shared" si="3"/>
        <v>0.12815809950166868</v>
      </c>
      <c r="Z4" s="231">
        <f t="shared" ref="Z4:Z17" si="11">IFERROR(MDURATION($A$2,I4,J4,Y4,K4,N4),0)</f>
        <v>1.5061306775669898</v>
      </c>
      <c r="AA4" s="99">
        <f t="shared" si="4"/>
        <v>0</v>
      </c>
      <c r="AB4" s="231">
        <f t="shared" si="5"/>
        <v>0</v>
      </c>
      <c r="AC4" s="226" t="str">
        <f t="shared" si="6"/>
        <v>Ok</v>
      </c>
      <c r="AD4" s="221" t="str">
        <f t="shared" si="7"/>
        <v>Ok</v>
      </c>
      <c r="AE4" s="228"/>
      <c r="AF4" s="220"/>
      <c r="AG4" s="225"/>
      <c r="AH4" s="224"/>
      <c r="AI4" s="229"/>
    </row>
    <row r="5" spans="1:35" s="221" customFormat="1" ht="13.15" hidden="1" customHeight="1">
      <c r="B5" s="219" t="s">
        <v>124</v>
      </c>
      <c r="C5" s="221" t="str">
        <f>VLOOKUP(B5,Справочник!A:N,7,0)</f>
        <v>Европейский банк реконструкции и развития</v>
      </c>
      <c r="D5" s="221" t="s">
        <v>173</v>
      </c>
      <c r="E5" s="221" t="s">
        <v>174</v>
      </c>
      <c r="F5" s="155"/>
      <c r="G5" s="155"/>
      <c r="H5" s="12"/>
      <c r="I5" s="225">
        <f>VLOOKUP(B5,Справочник!A:N,2,0)</f>
        <v>46375</v>
      </c>
      <c r="J5" s="255">
        <f>VLOOKUP(B5,Справочник!A:N,3,0)</f>
        <v>9.8400000000000001E-2</v>
      </c>
      <c r="K5" s="221">
        <f>VLOOKUP(B5,Справочник!A:N,4,0)</f>
        <v>2</v>
      </c>
      <c r="L5" s="221" t="str">
        <f>VLOOKUP(B5,Справочник!A:N,5,0)</f>
        <v>float</v>
      </c>
      <c r="M5" s="225" t="str">
        <f>VLOOKUP(B5,Справочник!A:N,6,0)</f>
        <v>30/360</v>
      </c>
      <c r="N5" s="227">
        <f t="shared" ref="N5:N21" si="12">IF(M5="actual/actual",1,IF(M5="actual/360",2,IF(M5="actual/365",3,IF(M5="30/360",4))))</f>
        <v>4</v>
      </c>
      <c r="O5" s="225">
        <f>P5-(366/K5)</f>
        <v>45644</v>
      </c>
      <c r="P5" s="225">
        <f t="shared" si="0"/>
        <v>45827</v>
      </c>
      <c r="Q5" s="225">
        <f t="shared" si="1"/>
        <v>45827</v>
      </c>
      <c r="R5" s="225">
        <f t="shared" si="2"/>
        <v>46010</v>
      </c>
      <c r="S5" s="287">
        <f>VLOOKUP(B5,Цены!C:K,4,0)</f>
        <v>97.470886688556476</v>
      </c>
      <c r="T5" s="231">
        <f t="shared" ref="T5:T17" si="13">IF(O5="",0,H5*J5*IF(N5=4,DAYS360(O5,P5,1)/360,IF(N5=3,DAYS360(O5,P5,1)/365,IF(N5=2,(P5-O5)/360,IF(AND(K5=1,N5=1),(P5-O5)/(P5-COUPPCD(P5-1,I5,1,3)))))))</f>
        <v>0</v>
      </c>
      <c r="U5" s="231">
        <f t="shared" ca="1" si="8"/>
        <v>0</v>
      </c>
      <c r="V5" s="231">
        <f t="shared" si="9"/>
        <v>0</v>
      </c>
      <c r="W5" s="98">
        <f ca="1">IF(Q5&lt;$A$2,V5+U5,V5+U5+T5)</f>
        <v>0</v>
      </c>
      <c r="X5" s="99">
        <f t="shared" si="10"/>
        <v>0</v>
      </c>
      <c r="Y5" s="99">
        <f t="shared" si="3"/>
        <v>0.12206008916904504</v>
      </c>
      <c r="Z5" s="231">
        <f t="shared" si="11"/>
        <v>1.0305495860328546</v>
      </c>
      <c r="AA5" s="99">
        <f t="shared" si="4"/>
        <v>0</v>
      </c>
      <c r="AB5" s="231">
        <f t="shared" si="5"/>
        <v>0</v>
      </c>
      <c r="AC5" s="226" t="str">
        <f t="shared" si="6"/>
        <v>Ok</v>
      </c>
      <c r="AD5" s="221" t="str">
        <f t="shared" si="7"/>
        <v>Ok</v>
      </c>
      <c r="AE5" s="228"/>
      <c r="AF5" s="220"/>
      <c r="AG5" s="225"/>
      <c r="AH5" s="224"/>
      <c r="AI5" s="229"/>
    </row>
    <row r="6" spans="1:35" s="221" customFormat="1" ht="13.15" hidden="1" customHeight="1">
      <c r="B6" s="219" t="s">
        <v>124</v>
      </c>
      <c r="C6" s="221" t="str">
        <f>VLOOKUP(B6,Справочник!A:N,7,0)</f>
        <v>Европейский банк реконструкции и развития</v>
      </c>
      <c r="D6" s="221" t="s">
        <v>173</v>
      </c>
      <c r="E6" s="221" t="s">
        <v>174</v>
      </c>
      <c r="F6" s="155"/>
      <c r="G6" s="155"/>
      <c r="H6" s="12"/>
      <c r="I6" s="225">
        <f>VLOOKUP(B6,Справочник!A:N,2,0)</f>
        <v>46375</v>
      </c>
      <c r="J6" s="255">
        <f>VLOOKUP(B6,Справочник!A:N,3,0)</f>
        <v>9.8400000000000001E-2</v>
      </c>
      <c r="K6" s="221">
        <f>VLOOKUP(B6,Справочник!A:N,4,0)</f>
        <v>2</v>
      </c>
      <c r="L6" s="221" t="str">
        <f>VLOOKUP(B6,Справочник!A:N,5,0)</f>
        <v>float</v>
      </c>
      <c r="M6" s="225" t="str">
        <f>VLOOKUP(B6,Справочник!A:N,6,0)</f>
        <v>30/360</v>
      </c>
      <c r="N6" s="227">
        <f t="shared" si="12"/>
        <v>4</v>
      </c>
      <c r="O6" s="225">
        <f>P6-(366/K6)</f>
        <v>45644</v>
      </c>
      <c r="P6" s="225">
        <f t="shared" si="0"/>
        <v>45827</v>
      </c>
      <c r="Q6" s="225">
        <f t="shared" si="1"/>
        <v>45827</v>
      </c>
      <c r="R6" s="225">
        <f t="shared" si="2"/>
        <v>46010</v>
      </c>
      <c r="S6" s="287">
        <f>VLOOKUP(B6,Цены!C:K,4,0)</f>
        <v>97.470886688556476</v>
      </c>
      <c r="T6" s="231">
        <f t="shared" si="13"/>
        <v>0</v>
      </c>
      <c r="U6" s="231">
        <f t="shared" ca="1" si="8"/>
        <v>0</v>
      </c>
      <c r="V6" s="231">
        <f t="shared" si="9"/>
        <v>0</v>
      </c>
      <c r="W6" s="98">
        <f ca="1">IF(Q6&lt;$A$2,V6+U6,V6+U6+T6)</f>
        <v>0</v>
      </c>
      <c r="X6" s="99">
        <f t="shared" si="10"/>
        <v>0</v>
      </c>
      <c r="Y6" s="99">
        <f t="shared" si="3"/>
        <v>0.12206008916904504</v>
      </c>
      <c r="Z6" s="231">
        <f t="shared" si="11"/>
        <v>1.0305495860328546</v>
      </c>
      <c r="AA6" s="99">
        <f t="shared" si="4"/>
        <v>0</v>
      </c>
      <c r="AB6" s="231">
        <f t="shared" si="5"/>
        <v>0</v>
      </c>
      <c r="AC6" s="226" t="str">
        <f t="shared" si="6"/>
        <v>Ok</v>
      </c>
      <c r="AD6" s="221" t="str">
        <f t="shared" si="7"/>
        <v>Ok</v>
      </c>
      <c r="AE6" s="228"/>
      <c r="AF6" s="220"/>
      <c r="AG6" s="225"/>
      <c r="AH6" s="224"/>
      <c r="AI6" s="229"/>
    </row>
    <row r="7" spans="1:35" s="221" customFormat="1" ht="13.15" hidden="1" customHeight="1">
      <c r="B7" s="219" t="s">
        <v>125</v>
      </c>
      <c r="C7" s="221" t="str">
        <f>VLOOKUP(B7,Справочник!A:N,7,0)</f>
        <v>Европейский банк реконструкции и развития</v>
      </c>
      <c r="D7" s="221" t="s">
        <v>173</v>
      </c>
      <c r="E7" s="221" t="s">
        <v>174</v>
      </c>
      <c r="F7" s="155"/>
      <c r="G7" s="155"/>
      <c r="H7" s="12"/>
      <c r="I7" s="225">
        <f>VLOOKUP(B7,Справочник!A:N,2,0)</f>
        <v>46740</v>
      </c>
      <c r="J7" s="255">
        <f>VLOOKUP(B7,Справочник!A:N,3,0)</f>
        <v>9.8400000000000001E-2</v>
      </c>
      <c r="K7" s="221">
        <f>VLOOKUP(B7,Справочник!A:N,4,0)</f>
        <v>2</v>
      </c>
      <c r="L7" s="221" t="str">
        <f>VLOOKUP(B7,Справочник!A:N,5,0)</f>
        <v>float</v>
      </c>
      <c r="M7" s="225" t="str">
        <f>VLOOKUP(B7,Справочник!A:N,6,0)</f>
        <v>30/360</v>
      </c>
      <c r="N7" s="227">
        <f t="shared" si="12"/>
        <v>4</v>
      </c>
      <c r="O7" s="225">
        <f>P7-(366/K7)</f>
        <v>45644</v>
      </c>
      <c r="P7" s="225">
        <f t="shared" si="0"/>
        <v>45827</v>
      </c>
      <c r="Q7" s="225">
        <f t="shared" si="1"/>
        <v>45827</v>
      </c>
      <c r="R7" s="225">
        <f t="shared" si="2"/>
        <v>46010</v>
      </c>
      <c r="S7" s="287">
        <f>VLOOKUP(B7,Цены!C:K,4,0)</f>
        <v>95.361885014033803</v>
      </c>
      <c r="T7" s="231">
        <f t="shared" si="13"/>
        <v>0</v>
      </c>
      <c r="U7" s="231">
        <f t="shared" ca="1" si="8"/>
        <v>0</v>
      </c>
      <c r="V7" s="231">
        <f>IF(OR($A$2-I7&gt;=0,G7-$A$2&gt;0),0,1)*S7/100*H7</f>
        <v>0</v>
      </c>
      <c r="W7" s="98">
        <f ca="1">IF(Q7&lt;$A$2,V7+U7,V7+U7+T7)</f>
        <v>0</v>
      </c>
      <c r="X7" s="99">
        <f t="shared" si="10"/>
        <v>0</v>
      </c>
      <c r="Y7" s="99">
        <f t="shared" si="3"/>
        <v>0.12329491367385204</v>
      </c>
      <c r="Z7" s="231">
        <f t="shared" si="11"/>
        <v>1.8209443332183066</v>
      </c>
      <c r="AA7" s="99">
        <f t="shared" si="4"/>
        <v>0</v>
      </c>
      <c r="AB7" s="231">
        <f t="shared" si="5"/>
        <v>0</v>
      </c>
      <c r="AC7" s="226" t="str">
        <f t="shared" si="6"/>
        <v>Ok</v>
      </c>
      <c r="AD7" s="221" t="str">
        <f t="shared" si="7"/>
        <v>Ok</v>
      </c>
      <c r="AE7" s="228"/>
      <c r="AF7" s="220"/>
      <c r="AG7" s="225"/>
      <c r="AH7" s="224"/>
      <c r="AI7" s="229"/>
    </row>
    <row r="8" spans="1:35" s="221" customFormat="1" ht="13.15" hidden="1" customHeight="1">
      <c r="B8" s="219" t="s">
        <v>109</v>
      </c>
      <c r="C8" s="221" t="str">
        <f>VLOOKUP(B8,Справочник!A:N,7,0)</f>
        <v>Азиатский банк развития</v>
      </c>
      <c r="D8" s="221" t="s">
        <v>173</v>
      </c>
      <c r="E8" s="221" t="s">
        <v>174</v>
      </c>
      <c r="F8" s="155"/>
      <c r="G8" s="155"/>
      <c r="H8" s="12"/>
      <c r="I8" s="225">
        <f>VLOOKUP(B8,Справочник!A:N,2,0)</f>
        <v>46052</v>
      </c>
      <c r="J8" s="255">
        <f>VLOOKUP(B8,Справочник!A:N,3,0)</f>
        <v>0.1179</v>
      </c>
      <c r="K8" s="221">
        <f>VLOOKUP(B8,Справочник!A:N,4,0)</f>
        <v>4</v>
      </c>
      <c r="L8" s="221" t="str">
        <f>VLOOKUP(B8,Справочник!A:N,5,0)</f>
        <v>float</v>
      </c>
      <c r="M8" s="225" t="str">
        <f>VLOOKUP(B8,Справочник!A:N,6,0)</f>
        <v>actual/360</v>
      </c>
      <c r="N8" s="227">
        <v>2</v>
      </c>
      <c r="O8" s="225">
        <f>P8-(367/K8)</f>
        <v>45776.25</v>
      </c>
      <c r="P8" s="225">
        <f t="shared" si="0"/>
        <v>45868</v>
      </c>
      <c r="Q8" s="225">
        <f t="shared" si="1"/>
        <v>45868</v>
      </c>
      <c r="R8" s="225">
        <f t="shared" si="2"/>
        <v>45960</v>
      </c>
      <c r="S8" s="287">
        <f>VLOOKUP(B8,Цены!C:K,4,0)</f>
        <v>99.121981705636742</v>
      </c>
      <c r="T8" s="231">
        <f>IF(O8="",0,H8*J8*IF(N8=4,DAYS360(O8,P8,1)/360,IF(N8=3,DAYS360(O8,P8,1)/365,IF(N8=2,(P8-O8)/360,IF(AND(K8=1,N8=1),(P8-O8)/(P8-COUPPCD(P8-1,I8,1,3)))))))</f>
        <v>0</v>
      </c>
      <c r="U8" s="231">
        <f ca="1">IF($A$2=DATE(YEAR(TODAY()),2,29),H8*J8*IF(N8=4,DAYS360(P8,$A$2,1)/360,IF(N8=3,DAYS360(P8,$A$2,1)/365,IF(N8=2,($A$2-P8)/360,IF(AND(K8=1,N8=1),($A$2-P8)/(P8-COUPPCD(P8-1,I8,1,3))))))+(H8*J8)/360,H8*J8*IF(N8=4,DAYS360(P8,$A$2,1)/360,IF(N8=3,DAYS360(P8,$A$2,1)/365,IF(N8=2,($A$2-P8)/360,IF(AND(K8=1,N8=1),($A$2-P8)/(P8-COUPPCD(P8-1,I8,1,3)))))))</f>
        <v>0</v>
      </c>
      <c r="V8" s="231">
        <f>IF(OR($A$2-I8&gt;=0,G8-$A$2&gt;0),0,1)*S8/100*H8</f>
        <v>0</v>
      </c>
      <c r="W8" s="315">
        <f ca="1">IF(Q8&lt;$A$2,V8+U8,V8+U8+T8)-T8</f>
        <v>0</v>
      </c>
      <c r="X8" s="99">
        <f t="shared" si="10"/>
        <v>0</v>
      </c>
      <c r="Y8" s="99">
        <f t="shared" si="3"/>
        <v>0.15125827234896716</v>
      </c>
      <c r="Z8" s="231">
        <f t="shared" si="11"/>
        <v>0.25535210749062093</v>
      </c>
      <c r="AA8" s="99">
        <f t="shared" si="4"/>
        <v>0</v>
      </c>
      <c r="AB8" s="231">
        <f t="shared" si="5"/>
        <v>0</v>
      </c>
      <c r="AC8" s="226" t="str">
        <f t="shared" si="6"/>
        <v>Ok</v>
      </c>
      <c r="AD8" s="221" t="str">
        <f t="shared" si="7"/>
        <v>Ok</v>
      </c>
      <c r="AE8" s="228"/>
      <c r="AF8" s="220"/>
      <c r="AG8" s="225"/>
      <c r="AH8" s="224"/>
      <c r="AI8" s="229"/>
    </row>
    <row r="9" spans="1:35" s="221" customFormat="1" ht="13.15" hidden="1" customHeight="1">
      <c r="B9" s="219" t="s">
        <v>128</v>
      </c>
      <c r="C9" s="221" t="str">
        <f>VLOOKUP(B9,Справочник!A:N,7,0)</f>
        <v>Европейский банк реконструкции и развития</v>
      </c>
      <c r="D9" s="221" t="s">
        <v>173</v>
      </c>
      <c r="E9" s="221" t="s">
        <v>174</v>
      </c>
      <c r="F9" s="155"/>
      <c r="G9" s="155"/>
      <c r="H9" s="12"/>
      <c r="I9" s="225">
        <f>VLOOKUP(B9,Справочник!A:N,2,0)</f>
        <v>46081</v>
      </c>
      <c r="J9" s="255">
        <f>VLOOKUP(B9,Справочник!A:N,3,0)</f>
        <v>0.11209</v>
      </c>
      <c r="K9" s="221">
        <f>VLOOKUP(B9,Справочник!A:N,4,0)</f>
        <v>2</v>
      </c>
      <c r="L9" s="221" t="str">
        <f>VLOOKUP(B9,Справочник!A:N,5,0)</f>
        <v>float</v>
      </c>
      <c r="M9" s="225" t="str">
        <f>VLOOKUP(B9,Справочник!A:N,6,0)</f>
        <v>30/360</v>
      </c>
      <c r="N9" s="227">
        <f t="shared" si="12"/>
        <v>4</v>
      </c>
      <c r="O9" s="225">
        <f>P9-(360/K9)-1</f>
        <v>45718</v>
      </c>
      <c r="P9" s="256">
        <f>COUPPCD($A$2,I9,K9,0)-1</f>
        <v>45899</v>
      </c>
      <c r="Q9" s="225">
        <f>P9+10</f>
        <v>45909</v>
      </c>
      <c r="R9" s="225">
        <f>COUPNCD($A$2,I9,K9,N9)</f>
        <v>46081</v>
      </c>
      <c r="S9" s="287">
        <f>VLOOKUP(B9,Цены!C:K,4,0)</f>
        <v>99.293608408342777</v>
      </c>
      <c r="T9" s="231">
        <f>IF(O9="",0,H9*J9*IF(N9=4,DAYS360(O9,P9,1)/360,IF(N9=3,DAYS360(O9,P9,1)/365,IF(N9=2,(P9-O9)/360,IF(AND(K9=1,N9=1),(P9-O9)/(P9-COUPPCD(P9-1,I9,1,3)))))))</f>
        <v>0</v>
      </c>
      <c r="U9" s="231">
        <f t="shared" ca="1" si="8"/>
        <v>0</v>
      </c>
      <c r="V9" s="231">
        <f t="shared" si="9"/>
        <v>0</v>
      </c>
      <c r="W9" s="98">
        <f ca="1">IF(Q9&lt;$A$2,V9+U9,V9+U9+T9)</f>
        <v>0</v>
      </c>
      <c r="X9" s="99">
        <f t="shared" si="10"/>
        <v>0</v>
      </c>
      <c r="Y9" s="99">
        <f t="shared" si="3"/>
        <v>0.13258118088957285</v>
      </c>
      <c r="Z9" s="231">
        <f t="shared" si="11"/>
        <v>0.33866106889349862</v>
      </c>
      <c r="AA9" s="99">
        <f t="shared" si="4"/>
        <v>0</v>
      </c>
      <c r="AB9" s="231">
        <f t="shared" si="5"/>
        <v>0</v>
      </c>
      <c r="AC9" s="226" t="str">
        <f t="shared" si="6"/>
        <v>Ok</v>
      </c>
      <c r="AD9" s="221" t="str">
        <f t="shared" si="7"/>
        <v>Ok</v>
      </c>
      <c r="AE9" s="228"/>
      <c r="AF9" s="220"/>
      <c r="AG9" s="225"/>
      <c r="AH9" s="224"/>
      <c r="AI9" s="229"/>
    </row>
    <row r="10" spans="1:35" s="221" customFormat="1" ht="13.15" hidden="1" customHeight="1">
      <c r="B10" s="248" t="s">
        <v>356</v>
      </c>
      <c r="C10" s="221" t="str">
        <f>VLOOKUP(B10,Справочник!A:N,7,0)</f>
        <v>Европейский банк реконструкции и развития</v>
      </c>
      <c r="D10" s="221" t="s">
        <v>173</v>
      </c>
      <c r="E10" s="221" t="s">
        <v>174</v>
      </c>
      <c r="F10" s="223">
        <v>44060</v>
      </c>
      <c r="G10" s="223">
        <v>44062</v>
      </c>
      <c r="H10" s="250"/>
      <c r="I10" s="225">
        <f>VLOOKUP(B10,Справочник!A:N,2,0)</f>
        <v>46984</v>
      </c>
      <c r="J10" s="255">
        <f>VLOOKUP(B10,Справочник!A:N,3,0)</f>
        <v>0.11377000000000001</v>
      </c>
      <c r="K10" s="221">
        <f>VLOOKUP(B10,Справочник!A:N,4,0)</f>
        <v>2</v>
      </c>
      <c r="L10" s="221" t="str">
        <f>VLOOKUP(B10,Справочник!A:N,5,0)</f>
        <v>float</v>
      </c>
      <c r="M10" s="225" t="str">
        <f>VLOOKUP(B10,Справочник!A:N,6,0)</f>
        <v>30/360</v>
      </c>
      <c r="N10" s="227">
        <f t="shared" si="12"/>
        <v>4</v>
      </c>
      <c r="O10" s="225">
        <f>P10-(367/K10)</f>
        <v>45704.5</v>
      </c>
      <c r="P10" s="225">
        <f t="shared" si="0"/>
        <v>45888</v>
      </c>
      <c r="Q10" s="225">
        <f>P10+2</f>
        <v>45890</v>
      </c>
      <c r="R10" s="225">
        <f t="shared" si="2"/>
        <v>46072</v>
      </c>
      <c r="S10" s="287">
        <f>VLOOKUP(B10,Цены!C:K,4,0)</f>
        <v>95.247834163740336</v>
      </c>
      <c r="T10" s="231">
        <f>IF(O10="",0,H10*J10*IF(N10=4,DAYS360(O10,P10,1)/360,IF(N10=3,DAYS360(O10,P10,1)/365,IF(N10=2,(P10-O10)/360,IF(AND(K10=1,N10=1),(P10-O10)/(P10-COUPPCD(P10-1,I10,1,3)))))))</f>
        <v>0</v>
      </c>
      <c r="U10" s="231">
        <f ca="1">IF($A$2=DATE(YEAR(TODAY()),2,29),H10*J10*IF(N10=4,DAYS360(P10,$A$2,1)/360,IF(N10=3,DAYS360(P10,$A$2,1)/365,IF(N10=2,($A$2-P10)/360,IF(AND(K10=1,N10=1),($A$2-P10)/(P10-COUPPCD(P10-1,I10,1,3))))))+(H10*J10)/360,H10*J10*IF(N10=4,DAYS360(P10,$A$2,1)/360,IF(N10=3,DAYS360(P10,$A$2,1)/365,IF(N10=2,($A$2-P10)/360,IF(AND(K10=1,N10=1),($A$2-P10)/(P10-COUPPCD(P10-1,I10,1,3)))))))</f>
        <v>0</v>
      </c>
      <c r="V10" s="231">
        <f>IF(OR($A$2-I10&gt;=0,G10-$A$2&gt;0),0,1)*S10/100*H10</f>
        <v>0</v>
      </c>
      <c r="W10" s="98">
        <f t="shared" ref="W10:W18" ca="1" si="14">IF(Q10&lt;$A$2,V10+U10,V10+U10+T10)</f>
        <v>0</v>
      </c>
      <c r="X10" s="99">
        <f>IFERROR(V10/SUMIFS($V:$V,$D:$D,D10,$E:$E,E10),0)</f>
        <v>0</v>
      </c>
      <c r="Y10" s="99">
        <f t="shared" si="3"/>
        <v>0.13432334842120427</v>
      </c>
      <c r="Z10" s="231">
        <f t="shared" si="11"/>
        <v>2.289861521160125</v>
      </c>
      <c r="AA10" s="99">
        <f t="shared" si="4"/>
        <v>0</v>
      </c>
      <c r="AB10" s="231">
        <f t="shared" si="5"/>
        <v>0</v>
      </c>
      <c r="AC10" s="226" t="str">
        <f t="shared" si="6"/>
        <v>Ok</v>
      </c>
      <c r="AD10" s="221" t="str">
        <f t="shared" si="7"/>
        <v>Ok</v>
      </c>
      <c r="AE10" s="228"/>
      <c r="AF10" s="220"/>
      <c r="AG10" s="225"/>
      <c r="AH10" s="224"/>
      <c r="AI10" s="229"/>
    </row>
    <row r="11" spans="1:35" s="221" customFormat="1" ht="13.15" hidden="1" customHeight="1">
      <c r="B11" s="248" t="s">
        <v>356</v>
      </c>
      <c r="C11" s="221" t="str">
        <f>VLOOKUP(B11,Справочник!A:N,7,0)</f>
        <v>Европейский банк реконструкции и развития</v>
      </c>
      <c r="D11" s="221" t="s">
        <v>173</v>
      </c>
      <c r="E11" s="221" t="s">
        <v>174</v>
      </c>
      <c r="F11" s="223">
        <v>44060</v>
      </c>
      <c r="G11" s="223">
        <v>44062</v>
      </c>
      <c r="H11" s="250"/>
      <c r="I11" s="225">
        <f>VLOOKUP(B11,Справочник!A:N,2,0)</f>
        <v>46984</v>
      </c>
      <c r="J11" s="255">
        <f>VLOOKUP(B11,Справочник!A:N,3,0)</f>
        <v>0.11377000000000001</v>
      </c>
      <c r="K11" s="221">
        <f>VLOOKUP(B11,Справочник!A:N,4,0)</f>
        <v>2</v>
      </c>
      <c r="L11" s="221" t="str">
        <f>VLOOKUP(B11,Справочник!A:N,5,0)</f>
        <v>float</v>
      </c>
      <c r="M11" s="225" t="str">
        <f>VLOOKUP(B11,Справочник!A:N,6,0)</f>
        <v>30/360</v>
      </c>
      <c r="N11" s="227">
        <f t="shared" si="12"/>
        <v>4</v>
      </c>
      <c r="O11" s="225">
        <f>P11-(367/K11)</f>
        <v>45704.5</v>
      </c>
      <c r="P11" s="225">
        <f t="shared" si="0"/>
        <v>45888</v>
      </c>
      <c r="Q11" s="289">
        <f>P11+2</f>
        <v>45890</v>
      </c>
      <c r="R11" s="225">
        <f t="shared" si="2"/>
        <v>46072</v>
      </c>
      <c r="S11" s="287">
        <f>VLOOKUP(B11,Цены!C:K,4,0)</f>
        <v>95.247834163740336</v>
      </c>
      <c r="T11" s="231">
        <f t="shared" si="13"/>
        <v>0</v>
      </c>
      <c r="U11" s="231">
        <f t="shared" ca="1" si="8"/>
        <v>0</v>
      </c>
      <c r="V11" s="231">
        <f t="shared" si="9"/>
        <v>0</v>
      </c>
      <c r="W11" s="98">
        <f t="shared" ca="1" si="14"/>
        <v>0</v>
      </c>
      <c r="X11" s="99">
        <f t="shared" si="10"/>
        <v>0</v>
      </c>
      <c r="Y11" s="99">
        <f t="shared" si="3"/>
        <v>0.13432334842120427</v>
      </c>
      <c r="Z11" s="231">
        <f t="shared" si="11"/>
        <v>2.289861521160125</v>
      </c>
      <c r="AA11" s="99">
        <f t="shared" si="4"/>
        <v>0</v>
      </c>
      <c r="AB11" s="231">
        <f t="shared" si="5"/>
        <v>0</v>
      </c>
      <c r="AC11" s="226" t="str">
        <f t="shared" si="6"/>
        <v>Ok</v>
      </c>
      <c r="AD11" s="221" t="str">
        <f t="shared" si="7"/>
        <v>Ok</v>
      </c>
      <c r="AE11" s="228"/>
      <c r="AF11" s="220"/>
      <c r="AG11" s="225"/>
      <c r="AH11" s="224"/>
      <c r="AI11" s="229"/>
    </row>
    <row r="12" spans="1:35" s="221" customFormat="1" ht="13.15" hidden="1" customHeight="1">
      <c r="B12" s="221" t="s">
        <v>356</v>
      </c>
      <c r="C12" s="221" t="str">
        <f>VLOOKUP(B12,Справочник!A:N,7,0)</f>
        <v>Европейский банк реконструкции и развития</v>
      </c>
      <c r="D12" s="221" t="s">
        <v>173</v>
      </c>
      <c r="E12" s="221" t="s">
        <v>175</v>
      </c>
      <c r="F12" s="223">
        <v>44060</v>
      </c>
      <c r="G12" s="223">
        <v>44062</v>
      </c>
      <c r="H12" s="217"/>
      <c r="I12" s="225">
        <f>VLOOKUP(B12,Справочник!A:N,2,0)</f>
        <v>46984</v>
      </c>
      <c r="J12" s="255">
        <f>VLOOKUP(B12,Справочник!A:N,3,0)</f>
        <v>0.11377000000000001</v>
      </c>
      <c r="K12" s="221">
        <f>VLOOKUP(B12,Справочник!A:N,4,0)</f>
        <v>2</v>
      </c>
      <c r="L12" s="221" t="str">
        <f>VLOOKUP(B12,Справочник!A:N,5,0)</f>
        <v>float</v>
      </c>
      <c r="M12" s="225" t="str">
        <f>VLOOKUP(B12,Справочник!A:N,6,0)</f>
        <v>30/360</v>
      </c>
      <c r="N12" s="227">
        <f t="shared" si="12"/>
        <v>4</v>
      </c>
      <c r="O12" s="225">
        <f>P12-(367/K12)</f>
        <v>45704.5</v>
      </c>
      <c r="P12" s="225">
        <f t="shared" si="0"/>
        <v>45888</v>
      </c>
      <c r="Q12" s="289">
        <f>P12+2</f>
        <v>45890</v>
      </c>
      <c r="R12" s="225">
        <f t="shared" si="2"/>
        <v>46072</v>
      </c>
      <c r="S12" s="287">
        <f>VLOOKUP(B12,Цены!C:K,4,0)</f>
        <v>95.247834163740336</v>
      </c>
      <c r="T12" s="231">
        <f t="shared" si="13"/>
        <v>0</v>
      </c>
      <c r="U12" s="231">
        <f t="shared" ca="1" si="8"/>
        <v>0</v>
      </c>
      <c r="V12" s="231">
        <f t="shared" si="9"/>
        <v>0</v>
      </c>
      <c r="W12" s="98">
        <f t="shared" ca="1" si="14"/>
        <v>0</v>
      </c>
      <c r="X12" s="99">
        <f t="shared" si="10"/>
        <v>0</v>
      </c>
      <c r="Y12" s="99">
        <f t="shared" si="3"/>
        <v>0.13432334842120427</v>
      </c>
      <c r="Z12" s="231">
        <f t="shared" si="11"/>
        <v>2.289861521160125</v>
      </c>
      <c r="AA12" s="99">
        <f t="shared" si="4"/>
        <v>0</v>
      </c>
      <c r="AB12" s="231">
        <f t="shared" si="5"/>
        <v>0</v>
      </c>
      <c r="AC12" s="226" t="str">
        <f t="shared" si="6"/>
        <v>Ok</v>
      </c>
      <c r="AD12" s="221" t="str">
        <f t="shared" si="7"/>
        <v>Ok</v>
      </c>
      <c r="AE12" s="228"/>
      <c r="AF12" s="220"/>
      <c r="AG12" s="225"/>
      <c r="AH12" s="224"/>
      <c r="AI12" s="229"/>
    </row>
    <row r="13" spans="1:35" s="221" customFormat="1" ht="13.15" hidden="1" customHeight="1">
      <c r="B13" s="249" t="s">
        <v>126</v>
      </c>
      <c r="C13" s="221" t="str">
        <f>VLOOKUP(B13,Справочник!A:N,7,0)</f>
        <v>Европейский банк реконструкции и развития</v>
      </c>
      <c r="D13" s="221" t="s">
        <v>173</v>
      </c>
      <c r="E13" s="221" t="s">
        <v>175</v>
      </c>
      <c r="F13" s="155"/>
      <c r="G13" s="155"/>
      <c r="H13" s="21"/>
      <c r="I13" s="225">
        <f>VLOOKUP(B13,Справочник!A:N,2,0)</f>
        <v>46194</v>
      </c>
      <c r="J13" s="255">
        <f>VLOOKUP(B13,Справочник!A:N,3,0)</f>
        <v>9.3399999999999997E-2</v>
      </c>
      <c r="K13" s="221">
        <f>VLOOKUP(B13,Справочник!A:N,4,0)</f>
        <v>2</v>
      </c>
      <c r="L13" s="221" t="str">
        <f>VLOOKUP(B13,Справочник!A:N,5,0)</f>
        <v>float</v>
      </c>
      <c r="M13" s="225" t="str">
        <f>VLOOKUP(B13,Справочник!A:N,6,0)</f>
        <v>30/360</v>
      </c>
      <c r="N13" s="227">
        <f t="shared" si="12"/>
        <v>4</v>
      </c>
      <c r="O13" s="225">
        <f t="shared" ref="O13:O18" si="15">P13-(366/K13)</f>
        <v>45646</v>
      </c>
      <c r="P13" s="225">
        <f t="shared" si="0"/>
        <v>45829</v>
      </c>
      <c r="Q13" s="225">
        <f t="shared" ref="Q13:Q18" si="16">P13</f>
        <v>45829</v>
      </c>
      <c r="R13" s="225">
        <f t="shared" si="2"/>
        <v>46012</v>
      </c>
      <c r="S13" s="287">
        <f>VLOOKUP(B13,Цены!C:K,4,0)</f>
        <v>98.204768075447205</v>
      </c>
      <c r="T13" s="231">
        <f t="shared" si="13"/>
        <v>0</v>
      </c>
      <c r="U13" s="231">
        <f t="shared" ca="1" si="8"/>
        <v>0</v>
      </c>
      <c r="V13" s="231">
        <f t="shared" si="9"/>
        <v>0</v>
      </c>
      <c r="W13" s="98">
        <f t="shared" ca="1" si="14"/>
        <v>0</v>
      </c>
      <c r="X13" s="99">
        <f t="shared" si="10"/>
        <v>0</v>
      </c>
      <c r="Y13" s="99">
        <f t="shared" si="3"/>
        <v>0.12163454697901677</v>
      </c>
      <c r="Z13" s="231">
        <f t="shared" si="11"/>
        <v>0.609764726652958</v>
      </c>
      <c r="AA13" s="99">
        <f t="shared" si="4"/>
        <v>0</v>
      </c>
      <c r="AB13" s="231">
        <f t="shared" si="5"/>
        <v>0</v>
      </c>
      <c r="AC13" s="226" t="str">
        <f t="shared" si="6"/>
        <v>Ok</v>
      </c>
      <c r="AD13" s="221" t="str">
        <f t="shared" si="7"/>
        <v>Ok</v>
      </c>
      <c r="AE13" s="228"/>
      <c r="AF13" s="220"/>
      <c r="AG13" s="225"/>
      <c r="AH13" s="224"/>
      <c r="AI13" s="229"/>
    </row>
    <row r="14" spans="1:35" s="221" customFormat="1" ht="13.15" hidden="1" customHeight="1">
      <c r="B14" s="249" t="s">
        <v>125</v>
      </c>
      <c r="C14" s="221" t="str">
        <f>VLOOKUP(B14,Справочник!A:N,7,0)</f>
        <v>Европейский банк реконструкции и развития</v>
      </c>
      <c r="D14" s="221" t="s">
        <v>173</v>
      </c>
      <c r="E14" s="221" t="s">
        <v>175</v>
      </c>
      <c r="F14" s="155"/>
      <c r="G14" s="155"/>
      <c r="H14" s="21"/>
      <c r="I14" s="225">
        <f>VLOOKUP(B14,Справочник!A:N,2,0)</f>
        <v>46740</v>
      </c>
      <c r="J14" s="255">
        <f>VLOOKUP(B14,Справочник!A:N,3,0)</f>
        <v>9.8400000000000001E-2</v>
      </c>
      <c r="K14" s="221">
        <f>VLOOKUP(B14,Справочник!A:N,4,0)</f>
        <v>2</v>
      </c>
      <c r="L14" s="221" t="str">
        <f>VLOOKUP(B14,Справочник!A:N,5,0)</f>
        <v>float</v>
      </c>
      <c r="M14" s="225" t="str">
        <f>VLOOKUP(B14,Справочник!A:N,6,0)</f>
        <v>30/360</v>
      </c>
      <c r="N14" s="227">
        <f t="shared" si="12"/>
        <v>4</v>
      </c>
      <c r="O14" s="225">
        <f t="shared" si="15"/>
        <v>45644</v>
      </c>
      <c r="P14" s="225">
        <f t="shared" si="0"/>
        <v>45827</v>
      </c>
      <c r="Q14" s="225">
        <f t="shared" si="16"/>
        <v>45827</v>
      </c>
      <c r="R14" s="225">
        <f t="shared" si="2"/>
        <v>46010</v>
      </c>
      <c r="S14" s="287">
        <f>VLOOKUP(B14,Цены!C:K,4,0)</f>
        <v>95.361885014033803</v>
      </c>
      <c r="T14" s="231">
        <f t="shared" si="13"/>
        <v>0</v>
      </c>
      <c r="U14" s="231">
        <f t="shared" ca="1" si="8"/>
        <v>0</v>
      </c>
      <c r="V14" s="231">
        <f t="shared" si="9"/>
        <v>0</v>
      </c>
      <c r="W14" s="98">
        <f t="shared" ca="1" si="14"/>
        <v>0</v>
      </c>
      <c r="X14" s="99">
        <f t="shared" si="10"/>
        <v>0</v>
      </c>
      <c r="Y14" s="99">
        <f t="shared" si="3"/>
        <v>0.12329491367385204</v>
      </c>
      <c r="Z14" s="231">
        <f t="shared" si="11"/>
        <v>1.8209443332183066</v>
      </c>
      <c r="AA14" s="99">
        <f t="shared" si="4"/>
        <v>0</v>
      </c>
      <c r="AB14" s="231">
        <f t="shared" si="5"/>
        <v>0</v>
      </c>
      <c r="AC14" s="226" t="str">
        <f t="shared" si="6"/>
        <v>Ok</v>
      </c>
      <c r="AD14" s="221" t="str">
        <f t="shared" si="7"/>
        <v>Ok</v>
      </c>
      <c r="AE14" s="228"/>
      <c r="AF14" s="220"/>
      <c r="AG14" s="225"/>
      <c r="AH14" s="224"/>
      <c r="AI14" s="229"/>
    </row>
    <row r="15" spans="1:35" s="221" customFormat="1" ht="13.15" hidden="1" customHeight="1">
      <c r="B15" s="221" t="s">
        <v>399</v>
      </c>
      <c r="C15" s="221" t="str">
        <f>VLOOKUP(B15,Справочник!A:N,7,0)</f>
        <v>Европейский банк реконструкции и развития</v>
      </c>
      <c r="D15" s="221" t="s">
        <v>173</v>
      </c>
      <c r="E15" s="221" t="s">
        <v>175</v>
      </c>
      <c r="F15" s="223">
        <v>44169</v>
      </c>
      <c r="G15" s="223">
        <v>44173</v>
      </c>
      <c r="H15" s="217"/>
      <c r="I15" s="225">
        <f>VLOOKUP(B15,Справочник!A:N,2,0)</f>
        <v>47460</v>
      </c>
      <c r="J15" s="255">
        <f>VLOOKUP(B15,Справочник!A:N,3,0)</f>
        <v>0.10339999999999999</v>
      </c>
      <c r="K15" s="221">
        <f>VLOOKUP(B15,Справочник!A:N,4,0)</f>
        <v>2</v>
      </c>
      <c r="L15" s="221" t="str">
        <f>VLOOKUP(B15,Справочник!A:N,5,0)</f>
        <v>float</v>
      </c>
      <c r="M15" s="225" t="str">
        <f>VLOOKUP(B15,Справочник!A:N,6,0)</f>
        <v>30/360</v>
      </c>
      <c r="N15" s="227">
        <f t="shared" si="12"/>
        <v>4</v>
      </c>
      <c r="O15" s="225">
        <f t="shared" si="15"/>
        <v>45633</v>
      </c>
      <c r="P15" s="225">
        <f t="shared" si="0"/>
        <v>45816</v>
      </c>
      <c r="Q15" s="225">
        <f t="shared" si="16"/>
        <v>45816</v>
      </c>
      <c r="R15" s="225">
        <f t="shared" si="2"/>
        <v>45999</v>
      </c>
      <c r="S15" s="287">
        <f>VLOOKUP(B15,Цены!C:K,4,0)</f>
        <v>93.240429955623938</v>
      </c>
      <c r="T15" s="231">
        <f t="shared" si="13"/>
        <v>0</v>
      </c>
      <c r="U15" s="231">
        <f t="shared" ca="1" si="8"/>
        <v>0</v>
      </c>
      <c r="V15" s="231">
        <f t="shared" si="9"/>
        <v>0</v>
      </c>
      <c r="W15" s="98">
        <f t="shared" ca="1" si="14"/>
        <v>0</v>
      </c>
      <c r="X15" s="99">
        <f t="shared" si="10"/>
        <v>0</v>
      </c>
      <c r="Y15" s="99">
        <f t="shared" si="3"/>
        <v>0.12472661671576625</v>
      </c>
      <c r="Z15" s="231">
        <f t="shared" si="11"/>
        <v>3.1139420247908967</v>
      </c>
      <c r="AA15" s="99">
        <f t="shared" si="4"/>
        <v>0</v>
      </c>
      <c r="AB15" s="231">
        <f t="shared" si="5"/>
        <v>0</v>
      </c>
      <c r="AC15" s="226" t="str">
        <f t="shared" si="6"/>
        <v>Ok</v>
      </c>
      <c r="AD15" s="221" t="str">
        <f t="shared" si="7"/>
        <v>Ok</v>
      </c>
      <c r="AE15" s="228"/>
      <c r="AF15" s="220"/>
      <c r="AG15" s="225"/>
      <c r="AH15" s="224"/>
      <c r="AI15" s="222"/>
    </row>
    <row r="16" spans="1:35" s="221" customFormat="1" ht="13.15" hidden="1" customHeight="1">
      <c r="B16" s="221" t="s">
        <v>399</v>
      </c>
      <c r="C16" s="221" t="str">
        <f>VLOOKUP(B16,Справочник!A:N,7,0)</f>
        <v>Европейский банк реконструкции и развития</v>
      </c>
      <c r="D16" s="221" t="s">
        <v>173</v>
      </c>
      <c r="E16" s="221" t="s">
        <v>175</v>
      </c>
      <c r="F16" s="223">
        <v>44169</v>
      </c>
      <c r="G16" s="223">
        <v>44173</v>
      </c>
      <c r="H16" s="217"/>
      <c r="I16" s="225">
        <f>VLOOKUP(B16,Справочник!A:N,2,0)</f>
        <v>47460</v>
      </c>
      <c r="J16" s="255">
        <f>VLOOKUP(B16,Справочник!A:N,3,0)</f>
        <v>0.10339999999999999</v>
      </c>
      <c r="K16" s="221">
        <f>VLOOKUP(B16,Справочник!A:N,4,0)</f>
        <v>2</v>
      </c>
      <c r="L16" s="221" t="str">
        <f>VLOOKUP(B16,Справочник!A:N,5,0)</f>
        <v>float</v>
      </c>
      <c r="M16" s="225" t="str">
        <f>VLOOKUP(B16,Справочник!A:N,6,0)</f>
        <v>30/360</v>
      </c>
      <c r="N16" s="227">
        <f t="shared" si="12"/>
        <v>4</v>
      </c>
      <c r="O16" s="225">
        <f t="shared" si="15"/>
        <v>45633</v>
      </c>
      <c r="P16" s="225">
        <f t="shared" si="0"/>
        <v>45816</v>
      </c>
      <c r="Q16" s="225">
        <f t="shared" si="16"/>
        <v>45816</v>
      </c>
      <c r="R16" s="225">
        <f t="shared" si="2"/>
        <v>45999</v>
      </c>
      <c r="S16" s="287">
        <f>VLOOKUP(B16,Цены!C:K,4,0)</f>
        <v>93.240429955623938</v>
      </c>
      <c r="T16" s="231">
        <f t="shared" si="13"/>
        <v>0</v>
      </c>
      <c r="U16" s="231">
        <f t="shared" ca="1" si="8"/>
        <v>0</v>
      </c>
      <c r="V16" s="231">
        <f t="shared" si="9"/>
        <v>0</v>
      </c>
      <c r="W16" s="98">
        <f t="shared" ca="1" si="14"/>
        <v>0</v>
      </c>
      <c r="X16" s="99">
        <f t="shared" si="10"/>
        <v>0</v>
      </c>
      <c r="Y16" s="99">
        <f t="shared" si="3"/>
        <v>0.12472661671576625</v>
      </c>
      <c r="Z16" s="231">
        <f t="shared" si="11"/>
        <v>3.1139420247908967</v>
      </c>
      <c r="AA16" s="99">
        <f t="shared" si="4"/>
        <v>0</v>
      </c>
      <c r="AB16" s="231">
        <f t="shared" si="5"/>
        <v>0</v>
      </c>
      <c r="AC16" s="226" t="str">
        <f t="shared" si="6"/>
        <v>Ok</v>
      </c>
      <c r="AD16" s="221" t="str">
        <f t="shared" si="7"/>
        <v>Ok</v>
      </c>
      <c r="AE16" s="228"/>
      <c r="AF16" s="220"/>
      <c r="AG16" s="225"/>
      <c r="AH16" s="224"/>
      <c r="AI16" s="222"/>
    </row>
    <row r="17" spans="2:35" s="221" customFormat="1" ht="13.15" hidden="1" customHeight="1" thickBot="1">
      <c r="B17" s="221" t="s">
        <v>399</v>
      </c>
      <c r="C17" s="221" t="str">
        <f>VLOOKUP(B17,Справочник!A:N,7,0)</f>
        <v>Европейский банк реконструкции и развития</v>
      </c>
      <c r="D17" s="221" t="s">
        <v>173</v>
      </c>
      <c r="E17" s="221" t="s">
        <v>175</v>
      </c>
      <c r="F17" s="223">
        <v>44169</v>
      </c>
      <c r="G17" s="223">
        <v>44173</v>
      </c>
      <c r="H17" s="217"/>
      <c r="I17" s="225">
        <f>VLOOKUP(B17,Справочник!A:N,2,0)</f>
        <v>47460</v>
      </c>
      <c r="J17" s="255">
        <f>VLOOKUP(B17,Справочник!A:N,3,0)</f>
        <v>0.10339999999999999</v>
      </c>
      <c r="K17" s="221">
        <f>VLOOKUP(B17,Справочник!A:N,4,0)</f>
        <v>2</v>
      </c>
      <c r="L17" s="221" t="str">
        <f>VLOOKUP(B17,Справочник!A:N,5,0)</f>
        <v>float</v>
      </c>
      <c r="M17" s="225" t="str">
        <f>VLOOKUP(B17,Справочник!A:N,6,0)</f>
        <v>30/360</v>
      </c>
      <c r="N17" s="227">
        <f t="shared" si="12"/>
        <v>4</v>
      </c>
      <c r="O17" s="225">
        <f t="shared" si="15"/>
        <v>45633</v>
      </c>
      <c r="P17" s="225">
        <f t="shared" si="0"/>
        <v>45816</v>
      </c>
      <c r="Q17" s="225">
        <f t="shared" si="16"/>
        <v>45816</v>
      </c>
      <c r="R17" s="225">
        <f t="shared" si="2"/>
        <v>45999</v>
      </c>
      <c r="S17" s="287">
        <f>VLOOKUP(B17,Цены!C:K,4,0)</f>
        <v>93.240429955623938</v>
      </c>
      <c r="T17" s="271">
        <f t="shared" si="13"/>
        <v>0</v>
      </c>
      <c r="U17" s="231">
        <f t="shared" ca="1" si="8"/>
        <v>0</v>
      </c>
      <c r="V17" s="271">
        <f t="shared" si="9"/>
        <v>0</v>
      </c>
      <c r="W17" s="272">
        <f t="shared" ca="1" si="14"/>
        <v>0</v>
      </c>
      <c r="X17" s="99">
        <f t="shared" si="10"/>
        <v>0</v>
      </c>
      <c r="Y17" s="99">
        <f t="shared" si="3"/>
        <v>0.12472661671576625</v>
      </c>
      <c r="Z17" s="231">
        <f t="shared" si="11"/>
        <v>3.1139420247908967</v>
      </c>
      <c r="AA17" s="99">
        <f t="shared" si="4"/>
        <v>0</v>
      </c>
      <c r="AB17" s="231">
        <f t="shared" si="5"/>
        <v>0</v>
      </c>
      <c r="AC17" s="226" t="str">
        <f t="shared" si="6"/>
        <v>Ok</v>
      </c>
      <c r="AD17" s="221" t="str">
        <f t="shared" si="7"/>
        <v>Ok</v>
      </c>
      <c r="AE17" s="228"/>
      <c r="AF17" s="220"/>
      <c r="AG17" s="225"/>
      <c r="AH17" s="224"/>
      <c r="AI17" s="222"/>
    </row>
    <row r="18" spans="2:35" hidden="1">
      <c r="B18" s="2" t="s">
        <v>740</v>
      </c>
      <c r="C18" s="221" t="str">
        <f>VLOOKUP(B18,Справочник!A:N,7,0)</f>
        <v>Евразийский банк развития</v>
      </c>
      <c r="D18" s="221" t="s">
        <v>173</v>
      </c>
      <c r="E18" s="221" t="s">
        <v>175</v>
      </c>
      <c r="F18" s="156">
        <v>45467</v>
      </c>
      <c r="G18" s="156">
        <v>45474</v>
      </c>
      <c r="H18" s="9"/>
      <c r="I18" s="314">
        <v>46749</v>
      </c>
      <c r="J18" s="255">
        <f>VLOOKUP(B18,Справочник!A:N,3,0)</f>
        <v>0.14199999999999999</v>
      </c>
      <c r="K18" s="221">
        <f>VLOOKUP(B18,Справочник!A:N,4,0)</f>
        <v>1</v>
      </c>
      <c r="L18" s="221" t="str">
        <f>VLOOKUP(B18,Справочник!A:N,5,0)</f>
        <v>fix</v>
      </c>
      <c r="M18" s="289" t="str">
        <f>VLOOKUP(B18,Справочник!A:N,6,0)</f>
        <v>30/360</v>
      </c>
      <c r="N18" s="227">
        <f t="shared" si="12"/>
        <v>4</v>
      </c>
      <c r="O18" s="289">
        <f t="shared" si="15"/>
        <v>45288</v>
      </c>
      <c r="P18" s="289">
        <f t="shared" ref="P18:P23" si="17">COUPPCD($A$2,I18,K18,0)</f>
        <v>45654</v>
      </c>
      <c r="Q18" s="289">
        <f t="shared" si="16"/>
        <v>45654</v>
      </c>
      <c r="R18" s="289">
        <f t="shared" ref="R18:R23" si="18">COUPNCD($A$2,I18,K18,N18)</f>
        <v>46019</v>
      </c>
      <c r="S18" s="287">
        <f>VLOOKUP(B18,Цены!C:K,4,0)</f>
        <v>95.509211352752374</v>
      </c>
      <c r="T18" s="463">
        <f t="shared" ref="T18:T23" si="19">IF(O18="",0,H18*J18*IF(N18=4,DAYS360(O18,P18,1)/360,IF(N18=3,DAYS360(O18,P18,1)/365,IF(N18=2,(P18-O18)/360,IF(AND(K18=1,N18=1),(P18-O18)/(P18-COUPPCD(P18-1,I18,1,3)))))))</f>
        <v>0</v>
      </c>
      <c r="U18" s="231">
        <f t="shared" ref="U18:U23" ca="1" si="20">IF($A$2=DATE(YEAR(TODAY()),2,29),H18*J18*IF(N18=4,DAYS360(P18,$A$2,1)/360,IF(N18=3,DAYS360(P18,$A$2,1)/365,IF(N18=2,($A$2-P18)/360,IF(AND(K18=1,N18=1),($A$2-P18)/(P18-COUPPCD(P18-1,I18,1,3))))))+(H18*J18)/360,H18*J18*IF(N18=4,DAYS360(P18,$A$2,1)/360,IF(N18=3,DAYS360(P18,$A$2,1)/365,IF(N18=2,($A$2-P18)/360,IF(AND(K18=1,N18=1),($A$2-P18)/(P18-COUPPCD(P18-1,I18,1,3)))))))</f>
        <v>0</v>
      </c>
      <c r="V18" s="463">
        <f t="shared" si="9"/>
        <v>0</v>
      </c>
      <c r="W18" s="464">
        <f t="shared" ca="1" si="14"/>
        <v>0</v>
      </c>
      <c r="X18" s="99">
        <f t="shared" ref="X18:X23" si="21">IFERROR(V18/SUMIFS($V:$V,$D:$D,D18,$E:$E,E18),0)</f>
        <v>0</v>
      </c>
      <c r="Y18" s="99">
        <f t="shared" ref="Y18:Y23" si="22">IFERROR(YIELD($A$2,I18,J18,S18,100,K18,N18),0)</f>
        <v>0.16715690587041121</v>
      </c>
      <c r="Z18" s="231">
        <f t="shared" ref="Z18:Z23" si="23">IFERROR(MDURATION($A$2,I18,J18,Y18,K18,N18),0)</f>
        <v>1.560001433270749</v>
      </c>
      <c r="AA18" s="99">
        <f t="shared" ref="AA18:AA23" si="24">X18*Y18</f>
        <v>0</v>
      </c>
      <c r="AB18" s="231">
        <f t="shared" ref="AB18:AB23" si="25">X18*Z18</f>
        <v>0</v>
      </c>
      <c r="AC18" s="226" t="str">
        <f t="shared" ref="AC18:AC23" si="26">IF(R18-$A$2&lt;10,"Скоро погашение купона","Ok")</f>
        <v>Ok</v>
      </c>
      <c r="AD18" s="221" t="str">
        <f t="shared" ref="AD18:AD23" si="27">IF(I18-$A$2&lt;=0,"Погашено","Ok")</f>
        <v>Ok</v>
      </c>
    </row>
    <row r="19" spans="2:35">
      <c r="B19" s="4" t="s">
        <v>914</v>
      </c>
      <c r="C19" s="221" t="str">
        <f>VLOOKUP(B19,Справочник!A:N,7,0)</f>
        <v>Евразийский Банк Развития</v>
      </c>
      <c r="D19" s="221" t="s">
        <v>173</v>
      </c>
      <c r="E19" s="221" t="s">
        <v>761</v>
      </c>
      <c r="F19" s="156">
        <v>45538</v>
      </c>
      <c r="G19" s="156">
        <v>45538</v>
      </c>
      <c r="H19" s="9">
        <v>1700000000</v>
      </c>
      <c r="I19" s="289">
        <f>VLOOKUP(B19,Справочник!A:N,2,0)</f>
        <v>46633</v>
      </c>
      <c r="J19" s="255">
        <f>VLOOKUP(B19,Справочник!A:N,3,0)</f>
        <v>0.14299999999999999</v>
      </c>
      <c r="K19" s="221">
        <f>VLOOKUP(B19,Справочник!A:N,4,0)</f>
        <v>1</v>
      </c>
      <c r="L19" s="221" t="str">
        <f>VLOOKUP(B19,Справочник!A:N,5,0)</f>
        <v>fix</v>
      </c>
      <c r="M19" s="289" t="str">
        <f>VLOOKUP(B19,Справочник!A:N,6,0)</f>
        <v>30/360</v>
      </c>
      <c r="N19" s="227">
        <f t="shared" si="12"/>
        <v>4</v>
      </c>
      <c r="O19" s="283">
        <f>P19-(365/K19)</f>
        <v>45538</v>
      </c>
      <c r="P19" s="289">
        <f t="shared" si="17"/>
        <v>45903</v>
      </c>
      <c r="Q19" s="289">
        <v>45912</v>
      </c>
      <c r="R19" s="289">
        <f t="shared" si="18"/>
        <v>46268</v>
      </c>
      <c r="S19" s="6">
        <f>VLOOKUP(B19,Цены!C:F,4,0)</f>
        <v>95.038429031394529</v>
      </c>
      <c r="T19" s="463">
        <f t="shared" si="19"/>
        <v>243099999.99999997</v>
      </c>
      <c r="U19" s="463">
        <f t="shared" ca="1" si="20"/>
        <v>31738055.555555552</v>
      </c>
      <c r="V19" s="463">
        <f>IF(OR($A$2-I19&gt;=0,G19-$A$2&gt;0),0,1)*S19/100*H19</f>
        <v>1615653293.5337071</v>
      </c>
      <c r="W19" s="576">
        <f ca="1">SUM(U19:V19)</f>
        <v>1647391349.0892627</v>
      </c>
      <c r="X19" s="99">
        <f t="shared" si="21"/>
        <v>1</v>
      </c>
      <c r="Y19" s="99">
        <f t="shared" si="22"/>
        <v>0.17551474632357902</v>
      </c>
      <c r="Z19" s="231">
        <f t="shared" si="23"/>
        <v>1.4812510213351635</v>
      </c>
      <c r="AA19" s="99">
        <f>X19*Y19</f>
        <v>0.17551474632357902</v>
      </c>
      <c r="AB19" s="231">
        <f t="shared" si="25"/>
        <v>1.4812510213351635</v>
      </c>
      <c r="AC19" s="226" t="str">
        <f t="shared" si="26"/>
        <v>Ok</v>
      </c>
      <c r="AD19" s="221" t="str">
        <f t="shared" si="27"/>
        <v>Ok</v>
      </c>
      <c r="AE19" s="282" t="str">
        <f>IF((I19-$A$2)&lt;(365*3),"ok","breach")</f>
        <v>ok</v>
      </c>
      <c r="AF19" s="434"/>
      <c r="AG19" s="270"/>
    </row>
    <row r="20" spans="2:35">
      <c r="B20" s="4" t="s">
        <v>914</v>
      </c>
      <c r="C20" s="221" t="str">
        <f>VLOOKUP(B20,Справочник!A:N,7,0)</f>
        <v>Евразийский Банк Развития</v>
      </c>
      <c r="D20" s="221" t="s">
        <v>173</v>
      </c>
      <c r="E20" s="2" t="s">
        <v>759</v>
      </c>
      <c r="F20" s="156">
        <v>45538</v>
      </c>
      <c r="G20" s="156">
        <v>45538</v>
      </c>
      <c r="H20" s="9">
        <v>2000000000</v>
      </c>
      <c r="I20" s="289">
        <f>VLOOKUP(B20,Справочник!A:N,2,0)</f>
        <v>46633</v>
      </c>
      <c r="J20" s="255">
        <f>VLOOKUP(B20,Справочник!A:N,3,0)</f>
        <v>0.14299999999999999</v>
      </c>
      <c r="K20" s="221">
        <f>VLOOKUP(B20,Справочник!A:N,4,0)</f>
        <v>1</v>
      </c>
      <c r="L20" s="221" t="str">
        <f>VLOOKUP(B20,Справочник!A:N,5,0)</f>
        <v>fix</v>
      </c>
      <c r="M20" s="289" t="str">
        <f>VLOOKUP(B20,Справочник!A:N,6,0)</f>
        <v>30/360</v>
      </c>
      <c r="N20" s="227">
        <f t="shared" si="12"/>
        <v>4</v>
      </c>
      <c r="O20" s="283">
        <f>P20-(365/K20)</f>
        <v>45538</v>
      </c>
      <c r="P20" s="289">
        <f t="shared" si="17"/>
        <v>45903</v>
      </c>
      <c r="Q20" s="289">
        <v>45912</v>
      </c>
      <c r="R20" s="289">
        <f t="shared" si="18"/>
        <v>46268</v>
      </c>
      <c r="S20" s="6">
        <f>VLOOKUP(B20,Цены!C:F,4,0)</f>
        <v>95.038429031394529</v>
      </c>
      <c r="T20" s="463">
        <f t="shared" si="19"/>
        <v>286000000</v>
      </c>
      <c r="U20" s="463">
        <f t="shared" ca="1" si="20"/>
        <v>37338888.888888888</v>
      </c>
      <c r="V20" s="463">
        <f>IF(OR($A$2-I20&gt;=0,G20-$A$2&gt;0),0,1)*S20/100*H20</f>
        <v>1900768580.6278906</v>
      </c>
      <c r="W20" s="576">
        <f t="shared" ref="W20:W23" ca="1" si="28">SUM(U20:V20)</f>
        <v>1938107469.5167794</v>
      </c>
      <c r="X20" s="99">
        <f t="shared" si="21"/>
        <v>1</v>
      </c>
      <c r="Y20" s="99">
        <f t="shared" si="22"/>
        <v>0.17551474632357902</v>
      </c>
      <c r="Z20" s="231">
        <f t="shared" si="23"/>
        <v>1.4812510213351635</v>
      </c>
      <c r="AA20" s="99">
        <f t="shared" si="24"/>
        <v>0.17551474632357902</v>
      </c>
      <c r="AB20" s="231">
        <f t="shared" si="25"/>
        <v>1.4812510213351635</v>
      </c>
      <c r="AC20" s="226" t="str">
        <f t="shared" si="26"/>
        <v>Ok</v>
      </c>
      <c r="AD20" s="221" t="str">
        <f>IF(I20-$A$2&lt;=0,"Погашено","Ok")</f>
        <v>Ok</v>
      </c>
      <c r="AE20" s="282" t="str">
        <f>IF((I20-$A$2)&lt;(365*3),"ok","breach")</f>
        <v>ok</v>
      </c>
      <c r="AF20" s="434"/>
      <c r="AG20" s="270"/>
    </row>
    <row r="21" spans="2:35">
      <c r="B21" s="4" t="s">
        <v>914</v>
      </c>
      <c r="C21" s="221" t="str">
        <f>VLOOKUP(B21,Справочник!A:N,7,0)</f>
        <v>Евразийский Банк Развития</v>
      </c>
      <c r="D21" s="221" t="s">
        <v>173</v>
      </c>
      <c r="E21" s="2" t="s">
        <v>760</v>
      </c>
      <c r="F21" s="156">
        <v>45538</v>
      </c>
      <c r="G21" s="156">
        <v>45538</v>
      </c>
      <c r="H21" s="9">
        <v>2100000000</v>
      </c>
      <c r="I21" s="289">
        <f>VLOOKUP(B21,Справочник!A:N,2,0)</f>
        <v>46633</v>
      </c>
      <c r="J21" s="255">
        <f>VLOOKUP(B21,Справочник!A:N,3,0)</f>
        <v>0.14299999999999999</v>
      </c>
      <c r="K21" s="221">
        <f>VLOOKUP(B21,Справочник!A:N,4,0)</f>
        <v>1</v>
      </c>
      <c r="L21" s="221" t="str">
        <f>VLOOKUP(B21,Справочник!A:N,5,0)</f>
        <v>fix</v>
      </c>
      <c r="M21" s="289" t="str">
        <f>VLOOKUP(B21,Справочник!A:N,6,0)</f>
        <v>30/360</v>
      </c>
      <c r="N21" s="227">
        <f t="shared" si="12"/>
        <v>4</v>
      </c>
      <c r="O21" s="283">
        <f>P21-(365/K21)</f>
        <v>45538</v>
      </c>
      <c r="P21" s="289">
        <f t="shared" si="17"/>
        <v>45903</v>
      </c>
      <c r="Q21" s="289">
        <v>45912</v>
      </c>
      <c r="R21" s="289">
        <f t="shared" si="18"/>
        <v>46268</v>
      </c>
      <c r="S21" s="6">
        <f>VLOOKUP(B21,Цены!C:F,4,0)</f>
        <v>95.038429031394529</v>
      </c>
      <c r="T21" s="463">
        <f t="shared" si="19"/>
        <v>300300000</v>
      </c>
      <c r="U21" s="463">
        <f t="shared" ca="1" si="20"/>
        <v>39205833.333333336</v>
      </c>
      <c r="V21" s="463">
        <f>IF(OR($A$2-I21&gt;=0,G21-$A$2&gt;0),0,1)*S21/100*H21</f>
        <v>1995807009.6592853</v>
      </c>
      <c r="W21" s="576">
        <f t="shared" ca="1" si="28"/>
        <v>2035012842.9926186</v>
      </c>
      <c r="X21" s="99">
        <f t="shared" si="21"/>
        <v>1</v>
      </c>
      <c r="Y21" s="99">
        <f t="shared" si="22"/>
        <v>0.17551474632357902</v>
      </c>
      <c r="Z21" s="231">
        <f t="shared" si="23"/>
        <v>1.4812510213351635</v>
      </c>
      <c r="AA21" s="99">
        <f t="shared" si="24"/>
        <v>0.17551474632357902</v>
      </c>
      <c r="AB21" s="231">
        <f t="shared" si="25"/>
        <v>1.4812510213351635</v>
      </c>
      <c r="AC21" s="226" t="str">
        <f t="shared" si="26"/>
        <v>Ok</v>
      </c>
      <c r="AD21" s="221" t="str">
        <f t="shared" si="27"/>
        <v>Ok</v>
      </c>
      <c r="AE21" s="282" t="str">
        <f>IF((I21-$A$2)&lt;(365*3),"ok","breach")</f>
        <v>ok</v>
      </c>
      <c r="AF21" s="434"/>
      <c r="AG21" s="270"/>
    </row>
    <row r="22" spans="2:35">
      <c r="B22" s="4" t="s">
        <v>914</v>
      </c>
      <c r="C22" s="221" t="str">
        <f>VLOOKUP(B22,Справочник!A:N,7,0)</f>
        <v>Евразийский Банк Развития</v>
      </c>
      <c r="D22" s="221" t="s">
        <v>173</v>
      </c>
      <c r="E22" s="2" t="s">
        <v>762</v>
      </c>
      <c r="F22" s="156">
        <v>45538</v>
      </c>
      <c r="G22" s="156">
        <v>45538</v>
      </c>
      <c r="H22" s="9">
        <v>3000000000</v>
      </c>
      <c r="I22" s="289">
        <f>VLOOKUP(B22,Справочник!A:N,2,0)</f>
        <v>46633</v>
      </c>
      <c r="J22" s="255">
        <f>VLOOKUP(B22,Справочник!A:N,3,0)</f>
        <v>0.14299999999999999</v>
      </c>
      <c r="K22" s="221">
        <f>VLOOKUP(B22,Справочник!A:N,4,0)</f>
        <v>1</v>
      </c>
      <c r="L22" s="221" t="str">
        <f>VLOOKUP(B22,Справочник!A:N,5,0)</f>
        <v>fix</v>
      </c>
      <c r="M22" s="289" t="str">
        <f>VLOOKUP(B22,Справочник!A:N,6,0)</f>
        <v>30/360</v>
      </c>
      <c r="N22" s="227">
        <f>IF(M22="actual/actual",1,IF(M22="actual/360",2,IF(M22="actual/365",3,IF(M22="30/360",4))))</f>
        <v>4</v>
      </c>
      <c r="O22" s="283">
        <f>P22-(365/K22)</f>
        <v>45538</v>
      </c>
      <c r="P22" s="289">
        <f t="shared" si="17"/>
        <v>45903</v>
      </c>
      <c r="Q22" s="289">
        <v>45912</v>
      </c>
      <c r="R22" s="289">
        <f t="shared" si="18"/>
        <v>46268</v>
      </c>
      <c r="S22" s="6">
        <f>VLOOKUP(B22,Цены!C:F,4,0)</f>
        <v>95.038429031394529</v>
      </c>
      <c r="T22" s="463">
        <f t="shared" si="19"/>
        <v>428999999.99999994</v>
      </c>
      <c r="U22" s="463">
        <f t="shared" ca="1" si="20"/>
        <v>56008333.333333328</v>
      </c>
      <c r="V22" s="463">
        <f>IF(OR($A$2-I22&gt;=0,G22-$A$2&gt;0),0,1)*S22/100*H22</f>
        <v>2851152870.9418359</v>
      </c>
      <c r="W22" s="576">
        <f t="shared" ca="1" si="28"/>
        <v>2907161204.2751694</v>
      </c>
      <c r="X22" s="99">
        <f t="shared" si="21"/>
        <v>1</v>
      </c>
      <c r="Y22" s="99">
        <f t="shared" si="22"/>
        <v>0.17551474632357902</v>
      </c>
      <c r="Z22" s="231">
        <f t="shared" si="23"/>
        <v>1.4812510213351635</v>
      </c>
      <c r="AA22" s="99">
        <f t="shared" si="24"/>
        <v>0.17551474632357902</v>
      </c>
      <c r="AB22" s="231">
        <f t="shared" si="25"/>
        <v>1.4812510213351635</v>
      </c>
      <c r="AC22" s="226" t="str">
        <f t="shared" si="26"/>
        <v>Ok</v>
      </c>
      <c r="AD22" s="221" t="str">
        <f t="shared" si="27"/>
        <v>Ok</v>
      </c>
      <c r="AE22" s="282" t="str">
        <f>IF((I22-$A$2)&lt;(365*3),"ok","breach")</f>
        <v>ok</v>
      </c>
      <c r="AF22" s="434"/>
      <c r="AG22" s="270"/>
    </row>
    <row r="23" spans="2:35">
      <c r="B23" s="4" t="s">
        <v>914</v>
      </c>
      <c r="C23" s="221" t="str">
        <f>VLOOKUP(B23,Справочник!A:N,7,0)</f>
        <v>Евразийский Банк Развития</v>
      </c>
      <c r="D23" s="221" t="s">
        <v>173</v>
      </c>
      <c r="E23" s="2" t="s">
        <v>763</v>
      </c>
      <c r="F23" s="156">
        <v>45559</v>
      </c>
      <c r="G23" s="156">
        <v>45559</v>
      </c>
      <c r="H23" s="9">
        <v>992234000</v>
      </c>
      <c r="I23" s="289">
        <f>VLOOKUP(B23,Справочник!A:N,2,0)</f>
        <v>46633</v>
      </c>
      <c r="J23" s="255">
        <f>VLOOKUP(B23,Справочник!A:N,3,0)</f>
        <v>0.14299999999999999</v>
      </c>
      <c r="K23" s="221">
        <f>VLOOKUP(B23,Справочник!A:N,4,0)</f>
        <v>1</v>
      </c>
      <c r="L23" s="221" t="str">
        <f>VLOOKUP(B23,Справочник!A:N,5,0)</f>
        <v>fix</v>
      </c>
      <c r="M23" s="289" t="str">
        <f>VLOOKUP(B23,Справочник!A:N,6,0)</f>
        <v>30/360</v>
      </c>
      <c r="N23" s="227">
        <f>IF(M23="actual/actual",1,IF(M23="actual/360",2,IF(M23="actual/365",3,IF(M23="30/360",4))))</f>
        <v>4</v>
      </c>
      <c r="O23" s="283">
        <f>P23-(365/K23)</f>
        <v>45538</v>
      </c>
      <c r="P23" s="289">
        <f t="shared" si="17"/>
        <v>45903</v>
      </c>
      <c r="Q23" s="289">
        <v>45912</v>
      </c>
      <c r="R23" s="289">
        <f t="shared" si="18"/>
        <v>46268</v>
      </c>
      <c r="S23" s="6">
        <f>VLOOKUP(B23,Цены!C:F,4,0)</f>
        <v>95.038429031394529</v>
      </c>
      <c r="T23" s="463">
        <f t="shared" si="19"/>
        <v>141889462</v>
      </c>
      <c r="U23" s="463">
        <f t="shared" ca="1" si="20"/>
        <v>18524457.53888889</v>
      </c>
      <c r="V23" s="463">
        <f>IF(OR($A$2-I23&gt;=0,G23-$A$2&gt;0),0,1)*S23/100*H23</f>
        <v>943003605.91536725</v>
      </c>
      <c r="W23" s="576">
        <f t="shared" ca="1" si="28"/>
        <v>961528063.45425618</v>
      </c>
      <c r="X23" s="99">
        <f t="shared" si="21"/>
        <v>1</v>
      </c>
      <c r="Y23" s="99">
        <f t="shared" si="22"/>
        <v>0.17551474632357902</v>
      </c>
      <c r="Z23" s="231">
        <f t="shared" si="23"/>
        <v>1.4812510213351635</v>
      </c>
      <c r="AA23" s="99">
        <f t="shared" si="24"/>
        <v>0.17551474632357902</v>
      </c>
      <c r="AB23" s="231">
        <f t="shared" si="25"/>
        <v>1.4812510213351635</v>
      </c>
      <c r="AC23" s="226" t="str">
        <f t="shared" si="26"/>
        <v>Ok</v>
      </c>
      <c r="AD23" s="221" t="str">
        <f t="shared" si="27"/>
        <v>Ok</v>
      </c>
      <c r="AE23" s="282" t="str">
        <f>IF((I23-$A$2)&lt;(365*3),"ok","breach")</f>
        <v>ok</v>
      </c>
      <c r="AF23" s="434"/>
      <c r="AG23" s="270"/>
    </row>
    <row r="24" spans="2:35" ht="14.25">
      <c r="B24" s="4"/>
      <c r="C24"/>
      <c r="F24" s="242"/>
      <c r="G24" s="242"/>
      <c r="H24" s="245"/>
      <c r="I24" s="244"/>
      <c r="J24" s="242"/>
      <c r="K24" s="242"/>
      <c r="L24" s="242"/>
      <c r="M24" s="242"/>
      <c r="N24" s="4"/>
      <c r="O24" s="283"/>
      <c r="P24" s="4"/>
      <c r="Q24"/>
      <c r="R24" s="4"/>
      <c r="T24" s="11"/>
      <c r="U24" s="11"/>
      <c r="V24" s="11"/>
      <c r="W24" s="11"/>
      <c r="X24" s="11"/>
      <c r="Y24" s="11"/>
      <c r="Z24" s="11"/>
      <c r="AA24" s="11"/>
      <c r="AB24" s="11"/>
    </row>
    <row r="25" spans="2:35" ht="14.25">
      <c r="B25" s="4"/>
      <c r="C25"/>
      <c r="F25" s="242"/>
      <c r="G25" s="240"/>
      <c r="H25" s="240"/>
      <c r="I25" s="240"/>
      <c r="J25" s="240"/>
      <c r="K25" s="240"/>
      <c r="L25" s="240"/>
      <c r="M25" s="240"/>
      <c r="N25" s="4"/>
      <c r="O25" s="4"/>
      <c r="P25" s="4"/>
      <c r="Q25" s="194"/>
      <c r="R25" s="4"/>
      <c r="T25" s="11"/>
      <c r="U25" s="11"/>
      <c r="V25" s="11"/>
      <c r="W25" s="11"/>
      <c r="X25" s="11"/>
      <c r="Y25" s="11"/>
      <c r="Z25" s="11"/>
      <c r="AA25" s="11"/>
      <c r="AB25" s="11"/>
    </row>
    <row r="26" spans="2:35" ht="14.25">
      <c r="B26" s="4"/>
      <c r="C26"/>
      <c r="F26" s="242"/>
      <c r="G26" s="242"/>
      <c r="H26" s="247"/>
      <c r="I26" s="400"/>
      <c r="J26" s="242"/>
      <c r="K26" s="242"/>
      <c r="L26" s="242"/>
      <c r="M26" s="242"/>
      <c r="N26" s="4"/>
      <c r="O26" s="4"/>
      <c r="P26" s="4"/>
      <c r="Q26"/>
      <c r="R26" s="4"/>
      <c r="T26" s="11"/>
      <c r="U26" s="11"/>
      <c r="V26" s="11"/>
      <c r="W26" s="11"/>
      <c r="X26" s="11"/>
      <c r="Y26" s="11"/>
      <c r="Z26" s="11"/>
      <c r="AA26" s="11"/>
      <c r="AB26" s="11"/>
    </row>
    <row r="27" spans="2:35" ht="14.25">
      <c r="B27" s="4"/>
      <c r="F27" s="242"/>
      <c r="H27" s="241"/>
      <c r="I27" s="242"/>
      <c r="J27" s="241"/>
      <c r="K27" s="241"/>
      <c r="N27" s="5"/>
      <c r="O27" s="5"/>
      <c r="P27" s="4"/>
      <c r="Q27"/>
      <c r="R27" s="4"/>
      <c r="T27" s="273"/>
      <c r="U27" s="11"/>
      <c r="V27" s="11"/>
      <c r="W27" s="11"/>
      <c r="X27" s="11"/>
      <c r="Y27" s="11"/>
      <c r="Z27" s="11"/>
      <c r="AA27" s="11"/>
      <c r="AB27" s="11"/>
    </row>
    <row r="28" spans="2:35" ht="14.25">
      <c r="B28" s="4"/>
      <c r="F28" s="242"/>
      <c r="G28" s="242"/>
      <c r="H28" s="241"/>
      <c r="I28" s="242"/>
      <c r="J28" s="241"/>
      <c r="K28" s="241"/>
      <c r="N28" s="4"/>
      <c r="O28" s="4"/>
      <c r="P28" s="4"/>
      <c r="Q28" s="270"/>
      <c r="R28" s="4"/>
      <c r="T28" s="11"/>
      <c r="U28" s="11"/>
      <c r="V28" s="11"/>
      <c r="W28" s="11"/>
      <c r="X28" s="11"/>
      <c r="Y28" s="11"/>
      <c r="Z28" s="11"/>
      <c r="AA28" s="11"/>
      <c r="AB28" s="11"/>
    </row>
    <row r="29" spans="2:35" ht="14.25">
      <c r="B29" s="4"/>
      <c r="F29" s="242"/>
      <c r="G29" s="242"/>
      <c r="H29" s="246"/>
      <c r="I29" s="242"/>
      <c r="J29" s="241"/>
      <c r="K29" s="241"/>
      <c r="N29" s="4"/>
      <c r="O29" s="4"/>
      <c r="P29" s="4"/>
      <c r="R29" s="4"/>
      <c r="T29" s="11"/>
      <c r="U29" s="11"/>
      <c r="V29" s="11"/>
      <c r="W29" s="11"/>
      <c r="X29" s="11"/>
      <c r="Y29" s="11"/>
      <c r="Z29" s="11"/>
      <c r="AA29" s="11"/>
      <c r="AB29" s="11"/>
    </row>
    <row r="30" spans="2:35" ht="14.25">
      <c r="B30" s="4"/>
      <c r="F30" s="242"/>
      <c r="G30" s="242"/>
      <c r="H30" s="241"/>
      <c r="I30" s="242"/>
      <c r="J30" s="274"/>
      <c r="K30" s="241"/>
      <c r="N30" s="4"/>
      <c r="O30" s="4"/>
      <c r="P30" s="4"/>
      <c r="R30" s="4"/>
      <c r="T30" s="11"/>
      <c r="U30" s="11"/>
      <c r="V30" s="11"/>
      <c r="W30" s="11"/>
      <c r="X30" s="11"/>
      <c r="Y30" s="11"/>
      <c r="Z30" s="11"/>
      <c r="AA30" s="11"/>
      <c r="AB30" s="11"/>
    </row>
    <row r="31" spans="2:35" ht="14.25">
      <c r="B31" s="4"/>
      <c r="F31" s="242"/>
      <c r="G31" s="242"/>
      <c r="H31" s="241"/>
      <c r="I31" s="242"/>
      <c r="J31" s="241"/>
      <c r="K31" s="241"/>
      <c r="N31" s="4"/>
      <c r="O31" s="4"/>
      <c r="P31" s="4"/>
      <c r="R31" s="4"/>
      <c r="T31" s="11"/>
      <c r="U31" s="11"/>
      <c r="V31" s="11"/>
      <c r="W31" s="11"/>
      <c r="X31" s="11"/>
      <c r="Y31" s="11"/>
      <c r="Z31" s="11"/>
      <c r="AA31" s="11"/>
      <c r="AB31" s="11"/>
    </row>
    <row r="32" spans="2:35" ht="14.25">
      <c r="B32" s="4"/>
      <c r="E32" s="4"/>
      <c r="F32" s="253"/>
      <c r="G32" s="254"/>
      <c r="H32" s="236"/>
      <c r="I32" s="242"/>
      <c r="J32"/>
      <c r="K32"/>
      <c r="M32" s="4"/>
      <c r="N32" s="4"/>
      <c r="O32" s="4"/>
      <c r="P32" s="4"/>
      <c r="R32" s="4"/>
      <c r="T32" s="11"/>
      <c r="U32" s="11"/>
      <c r="V32" s="11"/>
      <c r="W32" s="11"/>
      <c r="X32" s="11"/>
      <c r="Y32" s="11"/>
      <c r="Z32" s="11"/>
      <c r="AA32" s="11"/>
      <c r="AB32" s="11"/>
    </row>
    <row r="33" spans="2:35" ht="14.25">
      <c r="B33" s="4"/>
      <c r="E33" s="4"/>
      <c r="F33" s="242"/>
      <c r="G33" s="254"/>
      <c r="H33" s="234"/>
      <c r="I33" s="4"/>
      <c r="J33" s="10"/>
      <c r="M33" s="4"/>
      <c r="N33" s="4"/>
      <c r="O33" s="4"/>
      <c r="P33" s="4"/>
      <c r="R33" s="4"/>
      <c r="T33" s="11"/>
      <c r="U33" s="11"/>
      <c r="V33" s="11"/>
      <c r="W33" s="11"/>
      <c r="X33" s="11"/>
      <c r="Y33" s="11"/>
      <c r="Z33" s="11"/>
      <c r="AA33" s="11"/>
      <c r="AB33" s="11"/>
    </row>
    <row r="34" spans="2:35" ht="14.25">
      <c r="B34" s="4"/>
      <c r="E34" s="4"/>
      <c r="F34" s="253"/>
      <c r="G34" s="254"/>
      <c r="H34" s="234"/>
      <c r="I34" s="4"/>
      <c r="J34" s="10"/>
      <c r="M34" s="4"/>
      <c r="N34" s="4"/>
      <c r="O34" s="4"/>
      <c r="P34" s="4"/>
      <c r="R34" s="4"/>
      <c r="T34" s="11"/>
      <c r="U34" s="11"/>
      <c r="V34" s="11"/>
      <c r="W34" s="11"/>
      <c r="X34" s="11"/>
      <c r="Y34" s="11"/>
      <c r="Z34" s="11"/>
      <c r="AA34" s="11"/>
      <c r="AB34" s="11"/>
    </row>
    <row r="35" spans="2:35" ht="14.25">
      <c r="B35" s="4"/>
      <c r="E35" s="4"/>
      <c r="F35" s="253"/>
      <c r="G35" s="254"/>
      <c r="H35" s="234"/>
      <c r="I35" s="4"/>
      <c r="J35" s="10"/>
      <c r="M35" s="4"/>
      <c r="N35" s="4"/>
      <c r="O35" s="4"/>
      <c r="P35" s="4"/>
      <c r="R35" s="4"/>
      <c r="T35" s="11"/>
      <c r="U35" s="11"/>
      <c r="V35" s="11"/>
      <c r="W35" s="11"/>
      <c r="X35" s="11"/>
      <c r="Y35" s="11"/>
      <c r="Z35" s="11"/>
      <c r="AA35" s="11"/>
      <c r="AB35" s="11"/>
    </row>
    <row r="36" spans="2:35">
      <c r="B36" s="4"/>
      <c r="F36" s="156"/>
      <c r="G36" s="156"/>
      <c r="H36" s="234"/>
      <c r="I36" s="4"/>
      <c r="J36" s="10"/>
      <c r="M36" s="4"/>
      <c r="N36" s="4"/>
      <c r="O36" s="4"/>
      <c r="P36" s="4"/>
      <c r="R36" s="4"/>
      <c r="T36" s="11"/>
      <c r="U36" s="11"/>
      <c r="V36" s="11"/>
      <c r="W36" s="11"/>
      <c r="X36" s="11"/>
      <c r="Y36" s="11"/>
      <c r="Z36" s="11"/>
      <c r="AA36" s="11"/>
      <c r="AB36" s="11"/>
    </row>
    <row r="37" spans="2:35">
      <c r="B37" s="4"/>
      <c r="F37" s="156"/>
      <c r="G37" s="156"/>
      <c r="H37" s="234"/>
      <c r="I37" s="4"/>
      <c r="J37" s="10"/>
      <c r="M37" s="4"/>
      <c r="N37" s="4"/>
      <c r="O37" s="4"/>
      <c r="P37" s="4"/>
      <c r="R37" s="4"/>
      <c r="T37" s="11"/>
      <c r="U37" s="11"/>
      <c r="V37" s="11"/>
      <c r="W37" s="11"/>
      <c r="X37" s="11"/>
      <c r="Y37" s="11"/>
      <c r="Z37" s="11"/>
      <c r="AA37" s="11"/>
      <c r="AB37" s="11"/>
    </row>
    <row r="38" spans="2:35">
      <c r="B38" s="4"/>
      <c r="F38" s="156"/>
      <c r="G38" s="156"/>
      <c r="H38" s="234"/>
      <c r="I38" s="4"/>
      <c r="J38" s="10"/>
      <c r="M38" s="4"/>
      <c r="N38" s="4"/>
      <c r="O38" s="4"/>
      <c r="P38" s="4"/>
      <c r="R38" s="4"/>
      <c r="T38" s="11"/>
      <c r="U38" s="11"/>
      <c r="V38" s="11"/>
      <c r="W38" s="11"/>
      <c r="X38" s="11"/>
      <c r="Y38" s="11"/>
      <c r="Z38" s="11"/>
      <c r="AA38" s="11"/>
      <c r="AB38" s="11"/>
    </row>
    <row r="39" spans="2:35" ht="14.25">
      <c r="B39" s="4"/>
      <c r="E39" s="4"/>
      <c r="F39" s="253"/>
      <c r="G39" s="254"/>
      <c r="H39" s="234"/>
      <c r="I39" s="4"/>
      <c r="J39" s="10"/>
      <c r="M39" s="4"/>
      <c r="N39" s="4"/>
      <c r="O39" s="4"/>
      <c r="P39" s="4"/>
      <c r="R39" s="4"/>
      <c r="T39" s="11"/>
      <c r="U39" s="11"/>
      <c r="V39" s="11"/>
      <c r="W39" s="11"/>
      <c r="X39" s="11"/>
      <c r="Y39" s="11"/>
      <c r="Z39" s="11"/>
      <c r="AA39" s="11"/>
      <c r="AB39" s="11"/>
    </row>
    <row r="40" spans="2:35" ht="14.25">
      <c r="B40" s="4"/>
      <c r="E40" s="4"/>
      <c r="F40" s="242"/>
      <c r="G40" s="156"/>
      <c r="H40" s="234"/>
      <c r="I40" s="4"/>
      <c r="J40" s="10"/>
      <c r="M40" s="4"/>
      <c r="N40" s="4"/>
      <c r="O40" s="4"/>
      <c r="P40" s="4"/>
      <c r="R40" s="4"/>
      <c r="T40" s="11"/>
      <c r="U40" s="11"/>
      <c r="V40" s="11"/>
      <c r="W40" s="11"/>
      <c r="X40" s="11"/>
      <c r="Y40" s="11"/>
      <c r="Z40" s="11"/>
      <c r="AA40" s="11"/>
      <c r="AB40" s="11"/>
    </row>
    <row r="41" spans="2:35" ht="14.25">
      <c r="B41" s="4"/>
      <c r="E41" s="4"/>
      <c r="F41" s="253"/>
      <c r="G41" s="156"/>
      <c r="H41" s="234"/>
      <c r="I41" s="4"/>
      <c r="J41" s="10"/>
      <c r="M41" s="4"/>
      <c r="N41" s="4"/>
      <c r="O41" s="4"/>
      <c r="P41" s="4"/>
      <c r="R41" s="4"/>
      <c r="T41" s="11"/>
      <c r="U41" s="11"/>
      <c r="V41" s="11"/>
      <c r="W41" s="11"/>
      <c r="X41" s="11"/>
      <c r="Y41" s="11"/>
      <c r="Z41" s="11"/>
      <c r="AA41" s="11"/>
      <c r="AB41" s="11"/>
    </row>
    <row r="42" spans="2:35" ht="14.25">
      <c r="B42" s="4"/>
      <c r="C42" s="235"/>
      <c r="E42" s="4"/>
      <c r="F42" s="253"/>
      <c r="G42" s="156"/>
      <c r="H42" s="234"/>
      <c r="I42" s="4"/>
      <c r="J42" s="10"/>
      <c r="M42" s="4"/>
      <c r="N42" s="11"/>
      <c r="O42" s="11"/>
      <c r="P42" s="11"/>
      <c r="Q42" s="11"/>
      <c r="R42" s="11"/>
      <c r="S42" s="11"/>
      <c r="T42" s="8"/>
      <c r="V42" s="20"/>
      <c r="W42" s="152"/>
      <c r="X42" s="4"/>
      <c r="Y42" s="5"/>
      <c r="Z42" s="164"/>
      <c r="AC42" s="2"/>
      <c r="AE42" s="2"/>
      <c r="AF42" s="2"/>
      <c r="AG42" s="2"/>
      <c r="AH42" s="2"/>
      <c r="AI42" s="2"/>
    </row>
    <row r="43" spans="2:35">
      <c r="B43" s="4"/>
      <c r="C43" s="235"/>
      <c r="E43" s="4"/>
      <c r="H43" s="236"/>
      <c r="I43" s="4"/>
      <c r="J43" s="6"/>
      <c r="K43" s="11"/>
      <c r="M43" s="11"/>
      <c r="N43" s="11"/>
      <c r="O43" s="11"/>
      <c r="P43" s="11"/>
      <c r="Q43" s="11"/>
      <c r="R43" s="11"/>
      <c r="S43" s="11"/>
      <c r="T43" s="8"/>
      <c r="V43" s="20"/>
      <c r="W43" s="152"/>
      <c r="X43" s="4"/>
      <c r="Y43" s="5"/>
      <c r="Z43" s="164"/>
      <c r="AC43" s="2"/>
      <c r="AE43" s="2"/>
      <c r="AF43" s="2"/>
      <c r="AG43" s="2"/>
      <c r="AH43" s="2"/>
      <c r="AI43" s="2"/>
    </row>
    <row r="44" spans="2:35">
      <c r="B44" s="235"/>
      <c r="C44" s="235"/>
      <c r="E44" s="4"/>
      <c r="H44" s="236"/>
      <c r="I44" s="4"/>
      <c r="J44" s="6"/>
      <c r="K44" s="11"/>
      <c r="M44" s="11"/>
      <c r="N44" s="11"/>
      <c r="O44" s="11"/>
      <c r="P44" s="11"/>
      <c r="Q44" s="11"/>
      <c r="R44" s="11"/>
      <c r="S44" s="11"/>
      <c r="T44" s="8"/>
      <c r="V44" s="20"/>
      <c r="W44" s="152"/>
      <c r="X44" s="4"/>
      <c r="Y44" s="5"/>
      <c r="Z44" s="164"/>
      <c r="AC44" s="2"/>
      <c r="AE44" s="2"/>
      <c r="AF44" s="2"/>
      <c r="AG44" s="2"/>
      <c r="AH44" s="2"/>
      <c r="AI44" s="2"/>
    </row>
    <row r="45" spans="2:35">
      <c r="B45" s="235"/>
      <c r="C45" s="235"/>
      <c r="E45" s="4"/>
      <c r="H45" s="236"/>
      <c r="I45" s="4"/>
      <c r="J45" s="6"/>
      <c r="K45" s="11"/>
      <c r="M45" s="11"/>
      <c r="N45" s="11"/>
      <c r="O45" s="11"/>
      <c r="P45" s="11"/>
      <c r="Q45" s="11"/>
      <c r="R45" s="11"/>
      <c r="S45" s="11"/>
      <c r="T45" s="8"/>
      <c r="V45" s="20"/>
      <c r="W45" s="152"/>
      <c r="X45" s="4"/>
      <c r="Y45" s="5"/>
      <c r="Z45" s="164"/>
      <c r="AC45" s="2"/>
      <c r="AE45" s="2"/>
      <c r="AF45" s="2"/>
      <c r="AG45" s="2"/>
      <c r="AH45" s="2"/>
      <c r="AI45" s="2"/>
    </row>
    <row r="46" spans="2:35">
      <c r="H46" s="236"/>
      <c r="I46" s="4"/>
      <c r="J46" s="6"/>
      <c r="K46" s="11"/>
      <c r="M46" s="11"/>
      <c r="N46" s="4"/>
      <c r="O46" s="4"/>
      <c r="P46" s="4"/>
      <c r="R46" s="4"/>
      <c r="T46" s="11"/>
      <c r="U46" s="11"/>
      <c r="V46" s="11"/>
      <c r="W46" s="11"/>
      <c r="X46" s="11"/>
      <c r="Y46" s="11"/>
      <c r="Z46" s="11"/>
      <c r="AA46" s="11"/>
      <c r="AB46" s="11"/>
    </row>
    <row r="47" spans="2:35">
      <c r="F47" s="156"/>
      <c r="G47" s="156"/>
      <c r="H47" s="9"/>
      <c r="I47" s="4"/>
      <c r="J47" s="10"/>
      <c r="M47" s="4"/>
      <c r="N47" s="4"/>
      <c r="O47" s="4"/>
      <c r="P47" s="4"/>
      <c r="R47" s="4"/>
      <c r="T47" s="11"/>
      <c r="U47" s="11"/>
      <c r="V47" s="11"/>
      <c r="W47" s="11"/>
      <c r="X47" s="11"/>
      <c r="Y47" s="11"/>
      <c r="Z47" s="11"/>
      <c r="AA47" s="11"/>
      <c r="AB47" s="11"/>
    </row>
    <row r="48" spans="2:35">
      <c r="F48" s="156"/>
      <c r="G48" s="156"/>
      <c r="H48" s="9"/>
      <c r="I48" s="4"/>
      <c r="J48" s="10"/>
      <c r="M48" s="4"/>
      <c r="N48" s="4"/>
      <c r="O48" s="4"/>
      <c r="P48" s="4"/>
      <c r="R48" s="4"/>
      <c r="T48" s="11"/>
      <c r="U48" s="11"/>
      <c r="V48" s="11"/>
      <c r="W48" s="11"/>
      <c r="X48" s="11"/>
      <c r="Y48" s="11"/>
      <c r="Z48" s="11"/>
      <c r="AA48" s="11"/>
      <c r="AB48" s="11"/>
    </row>
    <row r="49" spans="6:28">
      <c r="F49" s="156"/>
      <c r="G49" s="156"/>
      <c r="H49" s="9"/>
      <c r="I49" s="4"/>
      <c r="J49" s="10"/>
      <c r="M49" s="4"/>
      <c r="N49" s="4"/>
      <c r="O49" s="4"/>
      <c r="P49" s="4"/>
      <c r="R49" s="4"/>
      <c r="T49" s="11"/>
      <c r="U49" s="11"/>
      <c r="V49" s="11"/>
      <c r="W49" s="11"/>
      <c r="X49" s="11"/>
      <c r="Y49" s="11"/>
      <c r="Z49" s="11"/>
      <c r="AA49" s="11"/>
      <c r="AB49" s="11"/>
    </row>
    <row r="50" spans="6:28">
      <c r="F50" s="156"/>
      <c r="G50" s="156"/>
      <c r="H50" s="9"/>
      <c r="I50" s="4"/>
      <c r="J50" s="10"/>
      <c r="M50" s="4"/>
      <c r="N50" s="4"/>
      <c r="O50" s="4"/>
      <c r="P50" s="4"/>
      <c r="R50" s="4"/>
      <c r="T50" s="11"/>
      <c r="U50" s="11"/>
      <c r="V50" s="11"/>
      <c r="W50" s="11"/>
      <c r="X50" s="11"/>
      <c r="Y50" s="11"/>
      <c r="Z50" s="11"/>
      <c r="AA50" s="11"/>
      <c r="AB50" s="11"/>
    </row>
    <row r="51" spans="6:28">
      <c r="F51" s="156"/>
      <c r="G51" s="156"/>
      <c r="H51" s="9"/>
      <c r="I51" s="4"/>
      <c r="J51" s="10"/>
      <c r="M51" s="4"/>
      <c r="N51" s="4"/>
      <c r="O51" s="4"/>
      <c r="P51" s="4"/>
      <c r="R51" s="4"/>
      <c r="T51" s="11"/>
      <c r="U51" s="11"/>
      <c r="V51" s="11"/>
      <c r="W51" s="11"/>
      <c r="X51" s="11"/>
      <c r="Y51" s="11"/>
      <c r="Z51" s="11"/>
      <c r="AA51" s="11"/>
      <c r="AB51" s="11"/>
    </row>
    <row r="52" spans="6:28">
      <c r="F52" s="156"/>
      <c r="G52" s="156"/>
      <c r="H52" s="9"/>
      <c r="I52" s="4"/>
      <c r="J52" s="10"/>
      <c r="M52" s="4"/>
      <c r="N52" s="4"/>
      <c r="O52" s="4"/>
      <c r="P52" s="4"/>
      <c r="R52" s="4"/>
      <c r="T52" s="11"/>
      <c r="U52" s="11"/>
      <c r="V52" s="11"/>
      <c r="W52" s="11"/>
      <c r="X52" s="11"/>
      <c r="Y52" s="11"/>
      <c r="Z52" s="11"/>
      <c r="AA52" s="11"/>
      <c r="AB52" s="11"/>
    </row>
    <row r="53" spans="6:28">
      <c r="F53" s="156"/>
      <c r="G53" s="156"/>
      <c r="H53" s="9"/>
      <c r="I53" s="4"/>
      <c r="J53" s="10"/>
      <c r="M53" s="4"/>
      <c r="N53" s="4"/>
      <c r="O53" s="4"/>
      <c r="P53" s="4"/>
      <c r="R53" s="4"/>
      <c r="T53" s="11"/>
      <c r="U53" s="11"/>
      <c r="V53" s="11"/>
      <c r="W53" s="11"/>
      <c r="X53" s="11"/>
      <c r="Y53" s="11"/>
      <c r="Z53" s="11"/>
      <c r="AA53" s="11"/>
      <c r="AB53" s="11"/>
    </row>
    <row r="54" spans="6:28">
      <c r="F54" s="156"/>
      <c r="G54" s="156"/>
      <c r="H54" s="9"/>
      <c r="I54" s="4"/>
      <c r="J54" s="10"/>
      <c r="M54" s="4"/>
      <c r="N54" s="4"/>
      <c r="O54" s="4"/>
      <c r="P54" s="4"/>
      <c r="R54" s="4"/>
      <c r="T54" s="11"/>
      <c r="U54" s="11"/>
      <c r="V54" s="11"/>
      <c r="W54" s="11"/>
      <c r="X54" s="11"/>
      <c r="Y54" s="11"/>
      <c r="Z54" s="11"/>
      <c r="AA54" s="11"/>
      <c r="AB54" s="11"/>
    </row>
    <row r="55" spans="6:28">
      <c r="F55" s="156"/>
      <c r="G55" s="156"/>
      <c r="H55" s="9"/>
      <c r="I55" s="4"/>
      <c r="J55" s="10"/>
      <c r="M55" s="4"/>
      <c r="N55" s="4"/>
      <c r="O55" s="4"/>
      <c r="P55" s="4"/>
      <c r="R55" s="4"/>
      <c r="T55" s="11"/>
      <c r="U55" s="11"/>
      <c r="V55" s="11"/>
      <c r="W55" s="11"/>
      <c r="X55" s="11"/>
      <c r="Y55" s="11"/>
      <c r="Z55" s="11"/>
      <c r="AA55" s="11"/>
      <c r="AB55" s="11"/>
    </row>
    <row r="56" spans="6:28">
      <c r="F56" s="156"/>
      <c r="G56" s="156"/>
      <c r="H56" s="9"/>
      <c r="I56" s="4"/>
      <c r="J56" s="10"/>
      <c r="M56" s="4"/>
      <c r="N56" s="4"/>
      <c r="O56" s="4"/>
      <c r="P56" s="4"/>
      <c r="R56" s="4"/>
      <c r="T56" s="11"/>
      <c r="U56" s="11"/>
      <c r="V56" s="11"/>
      <c r="W56" s="11"/>
      <c r="X56" s="11"/>
      <c r="Y56" s="11"/>
      <c r="Z56" s="11"/>
      <c r="AA56" s="11"/>
      <c r="AB56" s="11"/>
    </row>
    <row r="57" spans="6:28">
      <c r="F57" s="156"/>
      <c r="G57" s="156"/>
      <c r="H57" s="9"/>
      <c r="I57" s="4"/>
      <c r="J57" s="10"/>
      <c r="M57" s="4"/>
      <c r="N57" s="4"/>
      <c r="O57" s="4"/>
      <c r="P57" s="4"/>
      <c r="R57" s="4"/>
      <c r="T57" s="11"/>
      <c r="U57" s="11"/>
      <c r="V57" s="11"/>
      <c r="W57" s="11"/>
      <c r="X57" s="11"/>
      <c r="Y57" s="11"/>
      <c r="Z57" s="11"/>
      <c r="AA57" s="11"/>
      <c r="AB57" s="11"/>
    </row>
    <row r="58" spans="6:28">
      <c r="F58" s="156"/>
      <c r="G58" s="156"/>
      <c r="H58" s="9"/>
      <c r="I58" s="4"/>
      <c r="J58" s="10"/>
      <c r="M58" s="4"/>
      <c r="N58" s="4"/>
      <c r="O58" s="4"/>
      <c r="P58" s="4"/>
      <c r="R58" s="4"/>
      <c r="T58" s="11"/>
      <c r="U58" s="11"/>
      <c r="V58" s="11"/>
      <c r="W58" s="11"/>
      <c r="X58" s="11"/>
      <c r="Y58" s="11"/>
      <c r="Z58" s="11"/>
      <c r="AA58" s="11"/>
      <c r="AB58" s="11"/>
    </row>
    <row r="59" spans="6:28">
      <c r="F59" s="156"/>
      <c r="G59" s="156"/>
      <c r="H59" s="9"/>
      <c r="I59" s="4"/>
      <c r="J59" s="10"/>
      <c r="M59" s="4"/>
      <c r="N59" s="4"/>
      <c r="O59" s="4"/>
      <c r="P59" s="4"/>
      <c r="R59" s="4"/>
      <c r="T59" s="11"/>
      <c r="U59" s="11"/>
      <c r="V59" s="11"/>
      <c r="W59" s="11"/>
      <c r="X59" s="11"/>
      <c r="Y59" s="11"/>
      <c r="Z59" s="11"/>
      <c r="AA59" s="11"/>
      <c r="AB59" s="11"/>
    </row>
    <row r="60" spans="6:28">
      <c r="F60" s="156"/>
      <c r="G60" s="156"/>
      <c r="H60" s="9"/>
      <c r="I60" s="4"/>
      <c r="J60" s="10"/>
      <c r="M60" s="4"/>
      <c r="N60" s="4"/>
      <c r="O60" s="4"/>
      <c r="P60" s="4"/>
      <c r="R60" s="4"/>
      <c r="T60" s="11"/>
      <c r="U60" s="11"/>
      <c r="V60" s="11"/>
      <c r="W60" s="11"/>
      <c r="X60" s="11"/>
      <c r="Y60" s="11"/>
      <c r="Z60" s="11"/>
      <c r="AA60" s="11"/>
      <c r="AB60" s="11"/>
    </row>
    <row r="61" spans="6:28">
      <c r="F61" s="156"/>
      <c r="G61" s="156"/>
      <c r="H61" s="9"/>
      <c r="I61" s="4"/>
      <c r="J61" s="10"/>
      <c r="M61" s="4"/>
      <c r="N61" s="4"/>
      <c r="O61" s="4"/>
      <c r="P61" s="4"/>
      <c r="R61" s="4"/>
      <c r="T61" s="11"/>
      <c r="U61" s="11"/>
      <c r="V61" s="11"/>
      <c r="W61" s="11"/>
      <c r="X61" s="11"/>
      <c r="Y61" s="11"/>
      <c r="Z61" s="11"/>
      <c r="AA61" s="11"/>
      <c r="AB61" s="11"/>
    </row>
    <row r="62" spans="6:28">
      <c r="F62" s="156"/>
      <c r="G62" s="156"/>
      <c r="H62" s="9"/>
      <c r="I62" s="4"/>
      <c r="J62" s="10"/>
      <c r="M62" s="4"/>
      <c r="N62" s="4"/>
      <c r="O62" s="4"/>
      <c r="P62" s="4"/>
      <c r="R62" s="4"/>
      <c r="T62" s="11"/>
      <c r="U62" s="11"/>
      <c r="V62" s="11"/>
      <c r="W62" s="11"/>
      <c r="X62" s="11"/>
      <c r="Y62" s="11"/>
      <c r="Z62" s="11"/>
      <c r="AA62" s="11"/>
      <c r="AB62" s="11"/>
    </row>
    <row r="63" spans="6:28">
      <c r="F63" s="156"/>
      <c r="G63" s="156"/>
      <c r="H63" s="9"/>
      <c r="I63" s="4"/>
      <c r="J63" s="10"/>
      <c r="M63" s="4"/>
      <c r="N63" s="4"/>
      <c r="O63" s="4"/>
      <c r="P63" s="4"/>
      <c r="R63" s="4"/>
      <c r="T63" s="11"/>
      <c r="U63" s="11"/>
      <c r="V63" s="11"/>
      <c r="W63" s="11"/>
      <c r="X63" s="11"/>
      <c r="Y63" s="11"/>
      <c r="Z63" s="11"/>
      <c r="AA63" s="11"/>
      <c r="AB63" s="11"/>
    </row>
    <row r="64" spans="6:28">
      <c r="F64" s="156"/>
      <c r="G64" s="156"/>
      <c r="H64" s="9"/>
      <c r="I64" s="4"/>
      <c r="J64" s="10"/>
      <c r="M64" s="4"/>
      <c r="N64" s="4"/>
      <c r="O64" s="4"/>
      <c r="P64" s="4"/>
      <c r="R64" s="4"/>
      <c r="T64" s="11"/>
      <c r="U64" s="11"/>
      <c r="V64" s="11"/>
      <c r="W64" s="11"/>
      <c r="X64" s="11"/>
      <c r="Y64" s="11"/>
      <c r="Z64" s="11"/>
      <c r="AA64" s="11"/>
      <c r="AB64" s="11"/>
    </row>
    <row r="65" spans="6:28">
      <c r="F65" s="156"/>
      <c r="G65" s="156"/>
      <c r="H65" s="9"/>
      <c r="I65" s="4"/>
      <c r="J65" s="10"/>
      <c r="M65" s="4"/>
      <c r="N65" s="4"/>
      <c r="O65" s="4"/>
      <c r="P65" s="4"/>
      <c r="R65" s="4"/>
      <c r="T65" s="11"/>
      <c r="U65" s="11"/>
      <c r="V65" s="11"/>
      <c r="W65" s="11"/>
      <c r="X65" s="11"/>
      <c r="Y65" s="11"/>
      <c r="Z65" s="11"/>
      <c r="AA65" s="11"/>
      <c r="AB65" s="11"/>
    </row>
    <row r="66" spans="6:28">
      <c r="F66" s="156"/>
      <c r="G66" s="156"/>
      <c r="H66" s="9"/>
      <c r="I66" s="4"/>
      <c r="J66" s="10"/>
      <c r="M66" s="4"/>
      <c r="N66" s="4"/>
      <c r="O66" s="4"/>
      <c r="P66" s="4"/>
      <c r="R66" s="4"/>
      <c r="T66" s="11"/>
      <c r="U66" s="11"/>
      <c r="V66" s="11"/>
      <c r="W66" s="11"/>
      <c r="X66" s="11"/>
      <c r="Y66" s="11"/>
      <c r="Z66" s="11"/>
      <c r="AA66" s="11"/>
      <c r="AB66" s="11"/>
    </row>
    <row r="67" spans="6:28">
      <c r="F67" s="156"/>
      <c r="G67" s="156"/>
      <c r="H67" s="9"/>
      <c r="I67" s="4"/>
      <c r="J67" s="10"/>
      <c r="M67" s="4"/>
      <c r="N67" s="4"/>
      <c r="O67" s="4"/>
      <c r="P67" s="4"/>
      <c r="R67" s="4"/>
      <c r="T67" s="11"/>
      <c r="U67" s="11"/>
      <c r="V67" s="11"/>
      <c r="W67" s="11"/>
      <c r="X67" s="11"/>
      <c r="Y67" s="11"/>
      <c r="Z67" s="11"/>
      <c r="AA67" s="11"/>
      <c r="AB67" s="11"/>
    </row>
    <row r="68" spans="6:28">
      <c r="F68" s="156"/>
      <c r="G68" s="156"/>
      <c r="H68" s="9"/>
      <c r="I68" s="4"/>
      <c r="J68" s="10"/>
      <c r="M68" s="4"/>
      <c r="N68" s="4"/>
      <c r="O68" s="4"/>
      <c r="P68" s="4"/>
      <c r="R68" s="4"/>
      <c r="T68" s="11"/>
      <c r="U68" s="11"/>
      <c r="V68" s="11"/>
      <c r="W68" s="11"/>
      <c r="X68" s="11"/>
      <c r="Y68" s="11"/>
      <c r="Z68" s="11"/>
      <c r="AA68" s="11"/>
      <c r="AB68" s="11"/>
    </row>
    <row r="69" spans="6:28">
      <c r="F69" s="156"/>
      <c r="G69" s="156"/>
      <c r="H69" s="9"/>
      <c r="I69" s="4"/>
      <c r="J69" s="10"/>
      <c r="M69" s="4"/>
      <c r="N69" s="4"/>
      <c r="O69" s="4"/>
      <c r="P69" s="4"/>
      <c r="R69" s="4"/>
      <c r="T69" s="11"/>
      <c r="U69" s="11"/>
      <c r="V69" s="11"/>
      <c r="W69" s="11"/>
      <c r="X69" s="11"/>
      <c r="Y69" s="11"/>
      <c r="Z69" s="11"/>
      <c r="AA69" s="11"/>
      <c r="AB69" s="11"/>
    </row>
    <row r="70" spans="6:28">
      <c r="F70" s="156"/>
      <c r="G70" s="156"/>
      <c r="H70" s="9"/>
      <c r="I70" s="4"/>
      <c r="J70" s="10"/>
      <c r="M70" s="4"/>
      <c r="N70" s="4"/>
      <c r="O70" s="4"/>
      <c r="P70" s="4"/>
      <c r="R70" s="4"/>
      <c r="T70" s="11"/>
      <c r="U70" s="11"/>
      <c r="V70" s="11"/>
      <c r="W70" s="11"/>
      <c r="X70" s="11"/>
      <c r="Y70" s="11"/>
      <c r="Z70" s="11"/>
      <c r="AA70" s="11"/>
      <c r="AB70" s="11"/>
    </row>
    <row r="71" spans="6:28">
      <c r="F71" s="156"/>
      <c r="G71" s="156"/>
      <c r="H71" s="9"/>
      <c r="I71" s="4"/>
      <c r="J71" s="10"/>
      <c r="M71" s="4"/>
      <c r="N71" s="4"/>
      <c r="O71" s="4"/>
      <c r="P71" s="4"/>
      <c r="R71" s="4"/>
      <c r="T71" s="11"/>
      <c r="U71" s="11"/>
      <c r="V71" s="11"/>
      <c r="W71" s="11"/>
      <c r="X71" s="11"/>
      <c r="Y71" s="11"/>
      <c r="Z71" s="11"/>
      <c r="AA71" s="11"/>
      <c r="AB71" s="11"/>
    </row>
    <row r="72" spans="6:28">
      <c r="F72" s="156"/>
      <c r="G72" s="156"/>
      <c r="H72" s="9"/>
      <c r="I72" s="4"/>
      <c r="J72" s="10"/>
      <c r="M72" s="4"/>
      <c r="N72" s="4"/>
      <c r="O72" s="4"/>
      <c r="P72" s="4"/>
      <c r="R72" s="4"/>
      <c r="T72" s="11"/>
      <c r="U72" s="11"/>
      <c r="V72" s="11"/>
      <c r="W72" s="11"/>
      <c r="X72" s="11"/>
      <c r="Y72" s="11"/>
      <c r="Z72" s="11"/>
      <c r="AA72" s="11"/>
      <c r="AB72" s="11"/>
    </row>
    <row r="73" spans="6:28">
      <c r="F73" s="156"/>
      <c r="G73" s="156"/>
      <c r="H73" s="9"/>
      <c r="I73" s="4"/>
      <c r="J73" s="10"/>
      <c r="M73" s="4"/>
      <c r="N73" s="4"/>
      <c r="O73" s="4"/>
      <c r="P73" s="4"/>
      <c r="R73" s="4"/>
      <c r="T73" s="11"/>
      <c r="U73" s="11"/>
      <c r="V73" s="11"/>
      <c r="W73" s="11"/>
      <c r="X73" s="11"/>
      <c r="Y73" s="11"/>
      <c r="Z73" s="11"/>
      <c r="AA73" s="11"/>
      <c r="AB73" s="11"/>
    </row>
    <row r="74" spans="6:28">
      <c r="F74" s="156"/>
      <c r="G74" s="156"/>
      <c r="H74" s="9"/>
      <c r="I74" s="4"/>
      <c r="J74" s="10"/>
      <c r="M74" s="4"/>
      <c r="N74" s="4"/>
      <c r="O74" s="4"/>
      <c r="P74" s="4"/>
      <c r="R74" s="4"/>
      <c r="T74" s="11"/>
      <c r="U74" s="11"/>
      <c r="V74" s="11"/>
      <c r="W74" s="11"/>
      <c r="X74" s="11"/>
      <c r="Y74" s="11"/>
      <c r="Z74" s="11"/>
      <c r="AA74" s="11"/>
      <c r="AB74" s="11"/>
    </row>
    <row r="75" spans="6:28">
      <c r="F75" s="156"/>
      <c r="G75" s="156"/>
      <c r="H75" s="9"/>
      <c r="I75" s="4"/>
      <c r="J75" s="10"/>
      <c r="M75" s="4"/>
      <c r="N75" s="4"/>
      <c r="O75" s="4"/>
      <c r="P75" s="4"/>
      <c r="R75" s="4"/>
      <c r="T75" s="11"/>
      <c r="U75" s="11"/>
      <c r="V75" s="11"/>
      <c r="W75" s="11"/>
      <c r="X75" s="11"/>
      <c r="Y75" s="11"/>
      <c r="Z75" s="11"/>
      <c r="AA75" s="11"/>
      <c r="AB75" s="11"/>
    </row>
    <row r="76" spans="6:28">
      <c r="F76" s="156"/>
      <c r="G76" s="156"/>
      <c r="H76" s="9"/>
      <c r="I76" s="4"/>
      <c r="J76" s="10"/>
      <c r="M76" s="4"/>
      <c r="N76" s="4"/>
      <c r="O76" s="4"/>
      <c r="P76" s="4"/>
      <c r="R76" s="4"/>
      <c r="T76" s="11"/>
      <c r="U76" s="11"/>
      <c r="V76" s="11"/>
      <c r="W76" s="11"/>
      <c r="X76" s="11"/>
      <c r="Y76" s="11"/>
      <c r="Z76" s="11"/>
      <c r="AA76" s="11"/>
      <c r="AB76" s="11"/>
    </row>
    <row r="77" spans="6:28">
      <c r="F77" s="156"/>
      <c r="G77" s="156"/>
      <c r="H77" s="9"/>
      <c r="I77" s="4"/>
      <c r="J77" s="10"/>
      <c r="M77" s="4"/>
      <c r="N77" s="4"/>
      <c r="O77" s="4"/>
      <c r="P77" s="4"/>
      <c r="R77" s="4"/>
      <c r="T77" s="11"/>
      <c r="U77" s="11"/>
      <c r="V77" s="11"/>
      <c r="W77" s="11"/>
      <c r="X77" s="11"/>
      <c r="Y77" s="11"/>
      <c r="Z77" s="11"/>
      <c r="AA77" s="11"/>
      <c r="AB77" s="11"/>
    </row>
    <row r="78" spans="6:28">
      <c r="F78" s="156"/>
      <c r="G78" s="156"/>
      <c r="H78" s="9"/>
      <c r="I78" s="4"/>
      <c r="J78" s="10"/>
      <c r="M78" s="4"/>
      <c r="N78" s="4"/>
      <c r="O78" s="4"/>
      <c r="P78" s="4"/>
      <c r="R78" s="4"/>
      <c r="T78" s="11"/>
      <c r="U78" s="11"/>
      <c r="V78" s="11"/>
      <c r="W78" s="11"/>
      <c r="X78" s="11"/>
      <c r="Y78" s="11"/>
      <c r="Z78" s="11"/>
      <c r="AA78" s="11"/>
      <c r="AB78" s="11"/>
    </row>
    <row r="79" spans="6:28">
      <c r="F79" s="156"/>
      <c r="G79" s="156"/>
      <c r="H79" s="9"/>
      <c r="I79" s="4"/>
      <c r="J79" s="10"/>
      <c r="M79" s="4"/>
      <c r="N79" s="4"/>
      <c r="O79" s="4"/>
      <c r="P79" s="4"/>
      <c r="R79" s="4"/>
      <c r="T79" s="11"/>
      <c r="U79" s="11"/>
      <c r="V79" s="11"/>
      <c r="W79" s="11"/>
      <c r="X79" s="11"/>
      <c r="Y79" s="11"/>
      <c r="Z79" s="11"/>
      <c r="AA79" s="11"/>
      <c r="AB79" s="11"/>
    </row>
    <row r="80" spans="6:28">
      <c r="F80" s="156"/>
      <c r="G80" s="156"/>
      <c r="H80" s="9"/>
      <c r="I80" s="4"/>
      <c r="J80" s="10"/>
      <c r="M80" s="4"/>
      <c r="N80" s="4"/>
      <c r="O80" s="4"/>
      <c r="P80" s="4"/>
      <c r="R80" s="4"/>
      <c r="T80" s="11"/>
      <c r="U80" s="11"/>
      <c r="V80" s="11"/>
      <c r="W80" s="11"/>
      <c r="X80" s="11"/>
      <c r="Y80" s="11"/>
      <c r="Z80" s="11"/>
      <c r="AA80" s="11"/>
      <c r="AB80" s="11"/>
    </row>
    <row r="81" spans="6:28">
      <c r="F81" s="156"/>
      <c r="G81" s="156"/>
      <c r="H81" s="9"/>
      <c r="I81" s="4"/>
      <c r="J81" s="10"/>
      <c r="M81" s="4"/>
      <c r="N81" s="4"/>
      <c r="O81" s="4"/>
      <c r="P81" s="4"/>
      <c r="R81" s="4"/>
      <c r="T81" s="11"/>
      <c r="U81" s="11"/>
      <c r="V81" s="11"/>
      <c r="W81" s="11"/>
      <c r="X81" s="11"/>
      <c r="Y81" s="11"/>
      <c r="Z81" s="11"/>
      <c r="AA81" s="11"/>
      <c r="AB81" s="11"/>
    </row>
    <row r="82" spans="6:28">
      <c r="F82" s="156"/>
      <c r="G82" s="156"/>
      <c r="H82" s="9"/>
      <c r="I82" s="4"/>
      <c r="J82" s="10"/>
      <c r="M82" s="4"/>
      <c r="N82" s="4"/>
      <c r="O82" s="4"/>
      <c r="P82" s="4"/>
      <c r="R82" s="4"/>
      <c r="T82" s="11"/>
      <c r="U82" s="11"/>
      <c r="V82" s="11"/>
      <c r="W82" s="11"/>
      <c r="X82" s="11"/>
      <c r="Y82" s="11"/>
      <c r="Z82" s="11"/>
      <c r="AA82" s="11"/>
      <c r="AB82" s="11"/>
    </row>
    <row r="83" spans="6:28">
      <c r="F83" s="156"/>
      <c r="G83" s="156"/>
      <c r="H83" s="9"/>
      <c r="I83" s="4"/>
      <c r="J83" s="10"/>
      <c r="M83" s="4"/>
      <c r="N83" s="4"/>
      <c r="O83" s="4"/>
      <c r="P83" s="4"/>
      <c r="R83" s="4"/>
      <c r="T83" s="11"/>
      <c r="U83" s="11"/>
      <c r="V83" s="11"/>
      <c r="W83" s="11"/>
      <c r="X83" s="11"/>
      <c r="Y83" s="11"/>
      <c r="Z83" s="11"/>
      <c r="AA83" s="11"/>
      <c r="AB83" s="11"/>
    </row>
    <row r="84" spans="6:28">
      <c r="F84" s="156"/>
      <c r="G84" s="156"/>
      <c r="H84" s="9"/>
      <c r="I84" s="4"/>
      <c r="J84" s="10"/>
      <c r="M84" s="4"/>
      <c r="N84" s="4"/>
      <c r="O84" s="4"/>
      <c r="P84" s="4"/>
      <c r="R84" s="4"/>
      <c r="T84" s="11"/>
      <c r="U84" s="11"/>
      <c r="V84" s="11"/>
      <c r="W84" s="11"/>
      <c r="X84" s="11"/>
      <c r="Y84" s="11"/>
      <c r="Z84" s="11"/>
      <c r="AA84" s="11"/>
      <c r="AB84" s="11"/>
    </row>
    <row r="85" spans="6:28">
      <c r="F85" s="156"/>
      <c r="G85" s="156"/>
      <c r="H85" s="9"/>
      <c r="I85" s="4"/>
      <c r="J85" s="10"/>
      <c r="M85" s="4"/>
      <c r="N85" s="4"/>
      <c r="O85" s="4"/>
      <c r="P85" s="4"/>
      <c r="R85" s="4"/>
      <c r="T85" s="11"/>
      <c r="U85" s="11"/>
      <c r="V85" s="11"/>
      <c r="W85" s="11"/>
      <c r="X85" s="11"/>
      <c r="Y85" s="11"/>
      <c r="Z85" s="11"/>
      <c r="AA85" s="11"/>
      <c r="AB85" s="11"/>
    </row>
    <row r="86" spans="6:28">
      <c r="F86" s="156"/>
      <c r="G86" s="156"/>
      <c r="H86" s="9"/>
      <c r="I86" s="4"/>
      <c r="J86" s="10"/>
      <c r="M86" s="4"/>
      <c r="N86" s="4"/>
      <c r="O86" s="4"/>
      <c r="P86" s="4"/>
      <c r="R86" s="4"/>
      <c r="T86" s="11"/>
      <c r="U86" s="11"/>
      <c r="V86" s="11"/>
      <c r="W86" s="11"/>
      <c r="X86" s="11"/>
      <c r="Y86" s="11"/>
      <c r="Z86" s="11"/>
      <c r="AA86" s="11"/>
      <c r="AB86" s="11"/>
    </row>
    <row r="87" spans="6:28">
      <c r="F87" s="156"/>
      <c r="G87" s="156"/>
      <c r="H87" s="9"/>
      <c r="I87" s="4"/>
      <c r="J87" s="10"/>
      <c r="M87" s="4"/>
      <c r="N87" s="4"/>
      <c r="O87" s="4"/>
      <c r="P87" s="4"/>
      <c r="R87" s="4"/>
      <c r="T87" s="11"/>
      <c r="U87" s="11"/>
      <c r="V87" s="11"/>
      <c r="W87" s="11"/>
      <c r="X87" s="11"/>
      <c r="Y87" s="11"/>
      <c r="Z87" s="11"/>
      <c r="AA87" s="11"/>
      <c r="AB87" s="11"/>
    </row>
    <row r="88" spans="6:28">
      <c r="F88" s="156"/>
      <c r="G88" s="156"/>
      <c r="H88" s="9"/>
      <c r="I88" s="4"/>
      <c r="J88" s="10"/>
      <c r="M88" s="4"/>
      <c r="N88" s="4"/>
      <c r="O88" s="4"/>
      <c r="P88" s="4"/>
      <c r="R88" s="4"/>
      <c r="T88" s="11"/>
      <c r="U88" s="11"/>
      <c r="V88" s="11"/>
      <c r="W88" s="11"/>
      <c r="X88" s="11"/>
      <c r="Y88" s="11"/>
      <c r="Z88" s="11"/>
      <c r="AA88" s="11"/>
      <c r="AB88" s="11"/>
    </row>
    <row r="89" spans="6:28">
      <c r="F89" s="156"/>
      <c r="G89" s="156"/>
      <c r="H89" s="9"/>
      <c r="I89" s="4"/>
      <c r="J89" s="10"/>
      <c r="M89" s="4"/>
      <c r="N89" s="4"/>
      <c r="O89" s="4"/>
      <c r="P89" s="4"/>
      <c r="R89" s="4"/>
      <c r="T89" s="11"/>
      <c r="U89" s="11"/>
      <c r="V89" s="11"/>
      <c r="W89" s="11"/>
      <c r="X89" s="11"/>
      <c r="Y89" s="11"/>
      <c r="Z89" s="11"/>
      <c r="AA89" s="11"/>
      <c r="AB89" s="11"/>
    </row>
    <row r="90" spans="6:28">
      <c r="F90" s="156"/>
      <c r="G90" s="156"/>
      <c r="H90" s="9"/>
      <c r="I90" s="4"/>
      <c r="J90" s="10"/>
      <c r="M90" s="4"/>
      <c r="N90" s="4"/>
      <c r="O90" s="4"/>
      <c r="P90" s="4"/>
      <c r="R90" s="4"/>
      <c r="T90" s="11"/>
      <c r="U90" s="11"/>
      <c r="V90" s="11"/>
      <c r="W90" s="11"/>
      <c r="X90" s="11"/>
      <c r="Y90" s="11"/>
      <c r="Z90" s="11"/>
      <c r="AA90" s="11"/>
      <c r="AB90" s="11"/>
    </row>
    <row r="91" spans="6:28">
      <c r="F91" s="156"/>
      <c r="G91" s="156"/>
      <c r="H91" s="9"/>
      <c r="I91" s="4"/>
      <c r="J91" s="10"/>
      <c r="M91" s="4"/>
      <c r="N91" s="4"/>
      <c r="O91" s="4"/>
      <c r="P91" s="4"/>
      <c r="R91" s="4"/>
      <c r="T91" s="11"/>
      <c r="U91" s="11"/>
      <c r="V91" s="11"/>
      <c r="W91" s="11"/>
      <c r="X91" s="11"/>
      <c r="Y91" s="11"/>
      <c r="Z91" s="11"/>
      <c r="AA91" s="11"/>
      <c r="AB91" s="11"/>
    </row>
    <row r="92" spans="6:28">
      <c r="F92" s="156"/>
      <c r="G92" s="156"/>
      <c r="H92" s="9"/>
      <c r="I92" s="4"/>
      <c r="J92" s="10"/>
      <c r="M92" s="4"/>
      <c r="N92" s="4"/>
      <c r="O92" s="4"/>
      <c r="P92" s="4"/>
      <c r="R92" s="4"/>
      <c r="T92" s="11"/>
      <c r="U92" s="11"/>
      <c r="V92" s="11"/>
      <c r="W92" s="11"/>
      <c r="X92" s="11"/>
      <c r="Y92" s="11"/>
      <c r="Z92" s="11"/>
      <c r="AA92" s="11"/>
      <c r="AB92" s="11"/>
    </row>
    <row r="93" spans="6:28">
      <c r="F93" s="156"/>
      <c r="G93" s="156"/>
      <c r="H93" s="9"/>
      <c r="I93" s="4"/>
      <c r="J93" s="10"/>
      <c r="M93" s="4"/>
      <c r="N93" s="4"/>
      <c r="O93" s="4"/>
      <c r="P93" s="4"/>
      <c r="R93" s="4"/>
      <c r="T93" s="11"/>
      <c r="U93" s="11"/>
      <c r="V93" s="11"/>
      <c r="W93" s="11"/>
      <c r="X93" s="11"/>
      <c r="Y93" s="11"/>
      <c r="Z93" s="11"/>
      <c r="AA93" s="11"/>
      <c r="AB93" s="11"/>
    </row>
    <row r="94" spans="6:28">
      <c r="F94" s="156"/>
      <c r="G94" s="156"/>
      <c r="H94" s="9"/>
      <c r="I94" s="4"/>
      <c r="J94" s="10"/>
      <c r="M94" s="4"/>
      <c r="N94" s="4"/>
      <c r="O94" s="4"/>
      <c r="P94" s="4"/>
      <c r="R94" s="4"/>
      <c r="T94" s="11"/>
      <c r="U94" s="11"/>
      <c r="V94" s="11"/>
      <c r="W94" s="11"/>
      <c r="X94" s="11"/>
      <c r="Y94" s="11"/>
      <c r="Z94" s="11"/>
      <c r="AA94" s="11"/>
      <c r="AB94" s="11"/>
    </row>
    <row r="95" spans="6:28">
      <c r="F95" s="156"/>
      <c r="G95" s="156"/>
      <c r="H95" s="9"/>
      <c r="I95" s="4"/>
      <c r="J95" s="10"/>
      <c r="M95" s="4"/>
      <c r="N95" s="4"/>
      <c r="O95" s="4"/>
      <c r="P95" s="4"/>
      <c r="R95" s="4"/>
      <c r="T95" s="11"/>
      <c r="U95" s="11"/>
      <c r="V95" s="11"/>
      <c r="W95" s="11"/>
      <c r="X95" s="11"/>
      <c r="Y95" s="11"/>
      <c r="Z95" s="11"/>
      <c r="AA95" s="11"/>
      <c r="AB95" s="11"/>
    </row>
    <row r="96" spans="6:28">
      <c r="F96" s="156"/>
      <c r="G96" s="156"/>
      <c r="H96" s="9"/>
      <c r="I96" s="4"/>
      <c r="J96" s="10"/>
      <c r="M96" s="4"/>
      <c r="N96" s="4"/>
      <c r="O96" s="4"/>
      <c r="P96" s="4"/>
      <c r="R96" s="4"/>
      <c r="T96" s="11"/>
      <c r="U96" s="11"/>
      <c r="V96" s="11"/>
      <c r="W96" s="11"/>
      <c r="X96" s="11"/>
      <c r="Y96" s="11"/>
      <c r="Z96" s="11"/>
      <c r="AA96" s="11"/>
      <c r="AB96" s="11"/>
    </row>
    <row r="97" spans="6:28">
      <c r="F97" s="156"/>
      <c r="G97" s="156"/>
      <c r="H97" s="9"/>
      <c r="M97" s="4"/>
      <c r="N97" s="4"/>
      <c r="O97" s="4"/>
      <c r="P97" s="4"/>
      <c r="R97" s="4"/>
      <c r="T97" s="11"/>
      <c r="U97" s="11"/>
      <c r="V97" s="11"/>
      <c r="W97" s="11"/>
      <c r="X97" s="11"/>
      <c r="Y97" s="11"/>
      <c r="Z97" s="11"/>
      <c r="AA97" s="11"/>
      <c r="AB97" s="11"/>
    </row>
    <row r="98" spans="6:28">
      <c r="F98" s="156"/>
      <c r="G98" s="156"/>
      <c r="H98" s="9"/>
      <c r="M98" s="4"/>
      <c r="N98" s="4"/>
      <c r="O98" s="4"/>
      <c r="P98" s="4"/>
      <c r="R98" s="4"/>
      <c r="T98" s="11"/>
      <c r="U98" s="11"/>
      <c r="V98" s="11"/>
      <c r="W98" s="11"/>
      <c r="X98" s="11"/>
      <c r="Y98" s="11"/>
      <c r="Z98" s="11"/>
      <c r="AA98" s="11"/>
      <c r="AB98" s="11"/>
    </row>
    <row r="99" spans="6:28">
      <c r="F99" s="156"/>
      <c r="G99" s="156"/>
      <c r="H99" s="9"/>
      <c r="M99" s="4"/>
      <c r="N99" s="4"/>
      <c r="O99" s="4"/>
      <c r="P99" s="4"/>
      <c r="R99" s="4"/>
      <c r="T99" s="11"/>
      <c r="U99" s="11"/>
      <c r="V99" s="11"/>
      <c r="W99" s="11"/>
      <c r="X99" s="11"/>
      <c r="Y99" s="11"/>
      <c r="Z99" s="11"/>
      <c r="AA99" s="11"/>
      <c r="AB99" s="11"/>
    </row>
    <row r="100" spans="6:28">
      <c r="F100" s="156"/>
      <c r="G100" s="156"/>
      <c r="H100" s="9"/>
      <c r="M100" s="4"/>
      <c r="N100" s="4"/>
      <c r="O100" s="4"/>
      <c r="P100" s="4"/>
      <c r="R100" s="4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6:28">
      <c r="F101" s="156"/>
      <c r="G101" s="156"/>
      <c r="H101" s="9"/>
      <c r="M101" s="4"/>
      <c r="N101" s="4"/>
      <c r="O101" s="4"/>
      <c r="P101" s="4"/>
      <c r="R101" s="4"/>
      <c r="T101" s="11"/>
      <c r="U101" s="11"/>
      <c r="V101" s="11"/>
      <c r="W101" s="11"/>
      <c r="X101" s="11"/>
      <c r="Y101" s="11"/>
      <c r="Z101" s="11"/>
      <c r="AA101" s="11"/>
      <c r="AB101" s="11"/>
    </row>
    <row r="102" spans="6:28">
      <c r="F102" s="156"/>
      <c r="G102" s="156"/>
      <c r="H102" s="9"/>
      <c r="M102" s="4"/>
      <c r="N102" s="4"/>
      <c r="O102" s="4"/>
      <c r="P102" s="4"/>
      <c r="R102" s="4"/>
      <c r="T102" s="11"/>
      <c r="U102" s="11"/>
      <c r="V102" s="11"/>
      <c r="W102" s="11"/>
      <c r="X102" s="11"/>
      <c r="Y102" s="11"/>
      <c r="Z102" s="11"/>
      <c r="AA102" s="11"/>
      <c r="AB102" s="11"/>
    </row>
    <row r="103" spans="6:28">
      <c r="F103" s="156"/>
      <c r="G103" s="156"/>
      <c r="H103" s="9"/>
      <c r="M103" s="4"/>
      <c r="N103" s="4"/>
      <c r="O103" s="4"/>
      <c r="P103" s="4"/>
      <c r="R103" s="4"/>
      <c r="T103" s="11"/>
      <c r="U103" s="11"/>
      <c r="V103" s="11"/>
      <c r="W103" s="11"/>
      <c r="X103" s="11"/>
      <c r="Y103" s="11"/>
      <c r="Z103" s="11"/>
      <c r="AA103" s="11"/>
      <c r="AB103" s="11"/>
    </row>
    <row r="104" spans="6:28">
      <c r="F104" s="156"/>
      <c r="G104" s="156"/>
      <c r="H104" s="9"/>
      <c r="M104" s="4"/>
      <c r="N104" s="4"/>
      <c r="O104" s="4"/>
      <c r="P104" s="4"/>
      <c r="R104" s="4"/>
      <c r="T104" s="11"/>
      <c r="U104" s="11"/>
      <c r="V104" s="11"/>
      <c r="W104" s="11"/>
      <c r="X104" s="11"/>
      <c r="Y104" s="11"/>
      <c r="Z104" s="11"/>
      <c r="AA104" s="11"/>
      <c r="AB104" s="11"/>
    </row>
    <row r="105" spans="6:28">
      <c r="F105" s="156"/>
      <c r="G105" s="156"/>
      <c r="H105" s="9"/>
      <c r="M105" s="4"/>
      <c r="N105" s="4"/>
      <c r="O105" s="4"/>
      <c r="P105" s="4"/>
      <c r="R105" s="4"/>
      <c r="T105" s="11"/>
      <c r="U105" s="11"/>
      <c r="V105" s="11"/>
      <c r="W105" s="11"/>
      <c r="X105" s="11"/>
      <c r="Y105" s="11"/>
      <c r="Z105" s="11"/>
      <c r="AA105" s="11"/>
      <c r="AB105" s="11"/>
    </row>
    <row r="106" spans="6:28">
      <c r="F106" s="156"/>
      <c r="G106" s="156"/>
      <c r="H106" s="9"/>
      <c r="M106" s="4"/>
      <c r="N106" s="4"/>
      <c r="O106" s="4"/>
      <c r="P106" s="4"/>
      <c r="R106" s="4"/>
      <c r="T106" s="11"/>
      <c r="U106" s="11"/>
      <c r="V106" s="11"/>
      <c r="W106" s="11"/>
      <c r="X106" s="11"/>
      <c r="Y106" s="11"/>
      <c r="Z106" s="11"/>
      <c r="AA106" s="11"/>
      <c r="AB106" s="11"/>
    </row>
    <row r="107" spans="6:28">
      <c r="F107" s="156"/>
      <c r="G107" s="156"/>
      <c r="H107" s="9"/>
      <c r="M107" s="4"/>
      <c r="N107" s="4"/>
      <c r="O107" s="4"/>
      <c r="P107" s="4"/>
      <c r="R107" s="4"/>
      <c r="T107" s="11"/>
      <c r="U107" s="11"/>
      <c r="V107" s="11"/>
      <c r="W107" s="11"/>
      <c r="X107" s="11"/>
      <c r="Y107" s="11"/>
      <c r="Z107" s="11"/>
      <c r="AA107" s="11"/>
      <c r="AB107" s="11"/>
    </row>
    <row r="108" spans="6:28">
      <c r="F108" s="156"/>
      <c r="G108" s="156"/>
      <c r="H108" s="9"/>
      <c r="M108" s="4"/>
      <c r="N108" s="4"/>
      <c r="O108" s="4"/>
      <c r="P108" s="4"/>
      <c r="R108" s="4"/>
      <c r="T108" s="11"/>
      <c r="U108" s="11"/>
      <c r="V108" s="11"/>
      <c r="W108" s="11"/>
      <c r="X108" s="11"/>
      <c r="Y108" s="11"/>
      <c r="Z108" s="11"/>
      <c r="AA108" s="11"/>
      <c r="AB108" s="11"/>
    </row>
    <row r="109" spans="6:28">
      <c r="F109" s="156"/>
      <c r="G109" s="156"/>
      <c r="H109" s="9"/>
      <c r="M109" s="4"/>
    </row>
  </sheetData>
  <autoFilter ref="A2:AD18" xr:uid="{00000000-0009-0000-0000-00000B000000}"/>
  <sortState xmlns:xlrd2="http://schemas.microsoft.com/office/spreadsheetml/2017/richdata2" ref="B3:AD17">
    <sortCondition ref="B3:B17"/>
  </sortState>
  <conditionalFormatting sqref="B3">
    <cfRule type="duplicateValues" dxfId="1147" priority="206"/>
  </conditionalFormatting>
  <conditionalFormatting sqref="B4">
    <cfRule type="duplicateValues" dxfId="1146" priority="194"/>
  </conditionalFormatting>
  <conditionalFormatting sqref="B6">
    <cfRule type="duplicateValues" dxfId="1145" priority="190"/>
  </conditionalFormatting>
  <conditionalFormatting sqref="B7">
    <cfRule type="duplicateValues" dxfId="1144" priority="184"/>
  </conditionalFormatting>
  <conditionalFormatting sqref="B8">
    <cfRule type="duplicateValues" dxfId="1143" priority="180"/>
  </conditionalFormatting>
  <conditionalFormatting sqref="B9">
    <cfRule type="duplicateValues" dxfId="1142" priority="179"/>
  </conditionalFormatting>
  <conditionalFormatting sqref="B10">
    <cfRule type="duplicateValues" dxfId="1141" priority="178"/>
  </conditionalFormatting>
  <conditionalFormatting sqref="B11">
    <cfRule type="duplicateValues" dxfId="1140" priority="177"/>
  </conditionalFormatting>
  <conditionalFormatting sqref="AC6:AC17 AC3:AC4">
    <cfRule type="containsText" dxfId="1139" priority="176" operator="containsText" text="Скоро погашение купона">
      <formula>NOT(ISERROR(SEARCH("Скоро погашение купона",AC3)))</formula>
    </cfRule>
  </conditionalFormatting>
  <conditionalFormatting sqref="T6:T17 T46:T1048576 K43:K46 T24:T41 T3:T4">
    <cfRule type="cellIs" dxfId="1138" priority="174" operator="greaterThan">
      <formula>0</formula>
    </cfRule>
  </conditionalFormatting>
  <conditionalFormatting sqref="U46:U1048576 U24:U41 U3:U17">
    <cfRule type="cellIs" dxfId="1137" priority="173" operator="equal">
      <formula>0</formula>
    </cfRule>
  </conditionalFormatting>
  <conditionalFormatting sqref="AD6:AD17 AD3:AD4">
    <cfRule type="containsText" dxfId="1136" priority="172" operator="containsText" text="Погашено">
      <formula>NOT(ISERROR(SEARCH("Погашено",AD3)))</formula>
    </cfRule>
  </conditionalFormatting>
  <conditionalFormatting sqref="B5">
    <cfRule type="duplicateValues" dxfId="1135" priority="75"/>
  </conditionalFormatting>
  <conditionalFormatting sqref="AC5">
    <cfRule type="containsText" dxfId="1134" priority="74" operator="containsText" text="Скоро погашение купона">
      <formula>NOT(ISERROR(SEARCH("Скоро погашение купона",AC5)))</formula>
    </cfRule>
  </conditionalFormatting>
  <conditionalFormatting sqref="T5">
    <cfRule type="cellIs" dxfId="1133" priority="73" operator="greaterThan">
      <formula>0</formula>
    </cfRule>
  </conditionalFormatting>
  <conditionalFormatting sqref="AD5">
    <cfRule type="containsText" dxfId="1132" priority="71" operator="containsText" text="Погашено">
      <formula>NOT(ISERROR(SEARCH("Погашено",AD5)))</formula>
    </cfRule>
  </conditionalFormatting>
  <conditionalFormatting sqref="T18">
    <cfRule type="cellIs" dxfId="1131" priority="52" operator="greaterThan">
      <formula>0</formula>
    </cfRule>
  </conditionalFormatting>
  <conditionalFormatting sqref="U18">
    <cfRule type="cellIs" dxfId="1130" priority="51" operator="equal">
      <formula>0</formula>
    </cfRule>
  </conditionalFormatting>
  <conditionalFormatting sqref="AC18">
    <cfRule type="containsText" dxfId="1129" priority="50" operator="containsText" text="Скоро погашение купона">
      <formula>NOT(ISERROR(SEARCH("Скоро погашение купона",AC18)))</formula>
    </cfRule>
  </conditionalFormatting>
  <conditionalFormatting sqref="AD18">
    <cfRule type="containsText" dxfId="1128" priority="49" operator="containsText" text="Погашено">
      <formula>NOT(ISERROR(SEARCH("Погашено",AD18)))</formula>
    </cfRule>
  </conditionalFormatting>
  <conditionalFormatting sqref="T19">
    <cfRule type="cellIs" dxfId="1127" priority="44" operator="greaterThan">
      <formula>0</formula>
    </cfRule>
  </conditionalFormatting>
  <conditionalFormatting sqref="U19:U23">
    <cfRule type="cellIs" dxfId="1126" priority="43" operator="equal">
      <formula>0</formula>
    </cfRule>
  </conditionalFormatting>
  <conditionalFormatting sqref="AC19">
    <cfRule type="containsText" dxfId="1125" priority="42" operator="containsText" text="Скоро погашение купона">
      <formula>NOT(ISERROR(SEARCH("Скоро погашение купона",AC19)))</formula>
    </cfRule>
  </conditionalFormatting>
  <conditionalFormatting sqref="AD19">
    <cfRule type="containsText" dxfId="1124" priority="41" operator="containsText" text="Погашено">
      <formula>NOT(ISERROR(SEARCH("Погашено",AD19)))</formula>
    </cfRule>
  </conditionalFormatting>
  <conditionalFormatting sqref="T20">
    <cfRule type="cellIs" dxfId="1123" priority="36" operator="greaterThan">
      <formula>0</formula>
    </cfRule>
  </conditionalFormatting>
  <conditionalFormatting sqref="AC20">
    <cfRule type="containsText" dxfId="1122" priority="34" operator="containsText" text="Скоро погашение купона">
      <formula>NOT(ISERROR(SEARCH("Скоро погашение купона",AC20)))</formula>
    </cfRule>
  </conditionalFormatting>
  <conditionalFormatting sqref="AD20">
    <cfRule type="containsText" dxfId="1121" priority="33" operator="containsText" text="Погашено">
      <formula>NOT(ISERROR(SEARCH("Погашено",AD20)))</formula>
    </cfRule>
  </conditionalFormatting>
  <conditionalFormatting sqref="T21">
    <cfRule type="cellIs" dxfId="1120" priority="28" operator="greaterThan">
      <formula>0</formula>
    </cfRule>
  </conditionalFormatting>
  <conditionalFormatting sqref="AC21">
    <cfRule type="containsText" dxfId="1119" priority="26" operator="containsText" text="Скоро погашение купона">
      <formula>NOT(ISERROR(SEARCH("Скоро погашение купона",AC21)))</formula>
    </cfRule>
  </conditionalFormatting>
  <conditionalFormatting sqref="AD21">
    <cfRule type="containsText" dxfId="1118" priority="25" operator="containsText" text="Погашено">
      <formula>NOT(ISERROR(SEARCH("Погашено",AD21)))</formula>
    </cfRule>
  </conditionalFormatting>
  <conditionalFormatting sqref="T22">
    <cfRule type="cellIs" dxfId="1117" priority="20" operator="greaterThan">
      <formula>0</formula>
    </cfRule>
  </conditionalFormatting>
  <conditionalFormatting sqref="AC22">
    <cfRule type="containsText" dxfId="1116" priority="18" operator="containsText" text="Скоро погашение купона">
      <formula>NOT(ISERROR(SEARCH("Скоро погашение купона",AC22)))</formula>
    </cfRule>
  </conditionalFormatting>
  <conditionalFormatting sqref="AD22">
    <cfRule type="containsText" dxfId="1115" priority="17" operator="containsText" text="Погашено">
      <formula>NOT(ISERROR(SEARCH("Погашено",AD22)))</formula>
    </cfRule>
  </conditionalFormatting>
  <conditionalFormatting sqref="T23">
    <cfRule type="cellIs" dxfId="1114" priority="12" operator="greaterThan">
      <formula>0</formula>
    </cfRule>
  </conditionalFormatting>
  <conditionalFormatting sqref="AC23">
    <cfRule type="containsText" dxfId="1113" priority="10" operator="containsText" text="Скоро погашение купона">
      <formula>NOT(ISERROR(SEARCH("Скоро погашение купона",AC23)))</formula>
    </cfRule>
  </conditionalFormatting>
  <conditionalFormatting sqref="AD23">
    <cfRule type="containsText" dxfId="1112" priority="9" operator="containsText" text="Погашено">
      <formula>NOT(ISERROR(SEARCH("Погашено",AD23)))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"/>
  <dimension ref="A1:T36"/>
  <sheetViews>
    <sheetView zoomScaleNormal="100" workbookViewId="0">
      <pane xSplit="1" ySplit="2" topLeftCell="B3" activePane="bottomRight" state="frozen"/>
      <selection activeCell="F48" sqref="F48"/>
      <selection pane="topRight" activeCell="F48" sqref="F48"/>
      <selection pane="bottomLeft" activeCell="F48" sqref="F48"/>
      <selection pane="bottomRight" activeCell="D11" sqref="D11"/>
    </sheetView>
  </sheetViews>
  <sheetFormatPr defaultColWidth="15.42578125" defaultRowHeight="12.75"/>
  <cols>
    <col min="1" max="1" width="21.28515625" style="2" customWidth="1"/>
    <col min="2" max="3" width="15.42578125" style="2" customWidth="1"/>
    <col min="4" max="4" width="14.85546875" style="4" customWidth="1"/>
    <col min="5" max="5" width="15.28515625" style="4" customWidth="1"/>
    <col min="6" max="6" width="15.42578125" style="4"/>
    <col min="7" max="7" width="18.85546875" style="270" bestFit="1" customWidth="1"/>
    <col min="8" max="8" width="15.42578125" style="13" customWidth="1"/>
    <col min="9" max="9" width="15.42578125" style="2"/>
    <col min="10" max="10" width="19.85546875" style="270" bestFit="1" customWidth="1"/>
    <col min="11" max="11" width="10.28515625" style="270" bestFit="1" customWidth="1"/>
    <col min="12" max="12" width="18.85546875" style="421" bestFit="1" customWidth="1"/>
    <col min="13" max="13" width="9.28515625" style="423" bestFit="1" customWidth="1"/>
    <col min="14" max="14" width="18.85546875" style="270" bestFit="1" customWidth="1"/>
    <col min="15" max="15" width="13.42578125" style="423" bestFit="1" customWidth="1"/>
    <col min="16" max="16" width="15.140625" style="2" bestFit="1" customWidth="1"/>
    <col min="17" max="17" width="11" style="13" customWidth="1"/>
    <col min="18" max="18" width="15.42578125" style="439"/>
    <col min="19" max="16384" width="15.42578125" style="2"/>
  </cols>
  <sheetData>
    <row r="1" spans="1:20">
      <c r="D1" s="2"/>
      <c r="F1" s="4">
        <v>45933</v>
      </c>
      <c r="G1" s="422"/>
    </row>
    <row r="2" spans="1:20" ht="38.25">
      <c r="A2" s="3">
        <f>Report!B2</f>
        <v>45950</v>
      </c>
      <c r="B2" s="2" t="s">
        <v>171</v>
      </c>
      <c r="C2" s="2" t="s">
        <v>172</v>
      </c>
      <c r="D2" s="4" t="s">
        <v>169</v>
      </c>
      <c r="E2" s="4" t="s">
        <v>170</v>
      </c>
      <c r="F2" s="4" t="s">
        <v>264</v>
      </c>
      <c r="G2" s="270" t="s">
        <v>158</v>
      </c>
      <c r="H2" s="13" t="s">
        <v>265</v>
      </c>
      <c r="I2" s="2" t="s">
        <v>162</v>
      </c>
      <c r="J2" s="270" t="s">
        <v>165</v>
      </c>
      <c r="L2" s="421" t="s">
        <v>167</v>
      </c>
      <c r="M2" s="423" t="s">
        <v>305</v>
      </c>
      <c r="N2" s="270" t="s">
        <v>904</v>
      </c>
      <c r="O2" s="423" t="s">
        <v>303</v>
      </c>
      <c r="P2" s="2" t="s">
        <v>304</v>
      </c>
      <c r="Q2" s="13" t="s">
        <v>306</v>
      </c>
      <c r="R2" s="439" t="s">
        <v>307</v>
      </c>
      <c r="S2" s="2" t="s">
        <v>2633</v>
      </c>
      <c r="T2" s="2" t="s">
        <v>472</v>
      </c>
    </row>
    <row r="3" spans="1:20">
      <c r="A3" s="2">
        <v>119636296</v>
      </c>
      <c r="B3" s="2" t="s">
        <v>173</v>
      </c>
      <c r="C3" s="2" t="s">
        <v>759</v>
      </c>
      <c r="D3" s="4">
        <v>45944</v>
      </c>
      <c r="E3" s="4">
        <v>45944</v>
      </c>
      <c r="F3" s="4">
        <v>45951</v>
      </c>
      <c r="G3" s="270">
        <v>1859695860.8800001</v>
      </c>
      <c r="I3" s="2">
        <v>366</v>
      </c>
      <c r="J3" s="270">
        <f t="shared" ref="J3:J6" si="0">G3*O3*($A$2-D3)/I3</f>
        <v>5196958.2942857062</v>
      </c>
      <c r="K3" s="270">
        <f t="shared" ref="K3:K6" si="1">IF(OR($A$2-F3&gt;=0,E3-$A$2&gt;0),0,1)</f>
        <v>1</v>
      </c>
      <c r="L3" s="421">
        <f t="shared" ref="L3:L6" si="2">K3*(G3+J3)</f>
        <v>1864892819.1742859</v>
      </c>
      <c r="M3" s="423">
        <f t="shared" ref="M3:M36" si="3">IFERROR(L3/SUMIFS($L:$L,$B:$B,B3,$C:$C,C3),0)</f>
        <v>0.15506527852907745</v>
      </c>
      <c r="N3" s="270">
        <v>1865758978.8900001</v>
      </c>
      <c r="O3" s="423">
        <f t="shared" ref="O3:O6" si="4">((N3-G3)/G3)*(366/(F3-E3))</f>
        <v>0.17046575336325059</v>
      </c>
      <c r="P3" s="2">
        <f t="shared" ref="P3:P6" si="5">MDURATION($A$2,F3,O3,O3,1,3)</f>
        <v>2.3407143861534922E-3</v>
      </c>
      <c r="Q3" s="13">
        <f t="shared" ref="Q3:Q6" si="6">O3*M3</f>
        <v>2.6433319524941476E-2</v>
      </c>
      <c r="R3" s="439">
        <f t="shared" ref="R3:R6" si="7">M3*P3</f>
        <v>3.629635282459098E-4</v>
      </c>
      <c r="S3" s="2" t="str">
        <f t="shared" ref="S3:S6" si="8">IF(F3-$A$2&lt;=0,"Погашено","Ok")</f>
        <v>Ok</v>
      </c>
    </row>
    <row r="4" spans="1:20">
      <c r="A4" s="2">
        <v>119636304</v>
      </c>
      <c r="B4" s="2" t="s">
        <v>173</v>
      </c>
      <c r="C4" s="2" t="s">
        <v>759</v>
      </c>
      <c r="D4" s="4">
        <v>45944</v>
      </c>
      <c r="E4" s="4">
        <v>45944</v>
      </c>
      <c r="F4" s="4">
        <v>45951</v>
      </c>
      <c r="G4" s="270">
        <v>6173992046.3800001</v>
      </c>
      <c r="I4" s="2">
        <v>366</v>
      </c>
      <c r="J4" s="270">
        <f t="shared" si="0"/>
        <v>17253347.639999934</v>
      </c>
      <c r="K4" s="270">
        <f t="shared" si="1"/>
        <v>1</v>
      </c>
      <c r="L4" s="421">
        <f t="shared" si="2"/>
        <v>6191245394.0200005</v>
      </c>
      <c r="M4" s="423">
        <f t="shared" si="3"/>
        <v>0.51480019741330607</v>
      </c>
      <c r="N4" s="270">
        <v>6194120951.96</v>
      </c>
      <c r="O4" s="423">
        <f t="shared" si="4"/>
        <v>0.17046575345964077</v>
      </c>
      <c r="P4" s="2">
        <f t="shared" si="5"/>
        <v>2.3407143859607298E-3</v>
      </c>
      <c r="Q4" s="13">
        <f t="shared" si="6"/>
        <v>8.7755803533231036E-2</v>
      </c>
      <c r="R4" s="439">
        <f t="shared" si="7"/>
        <v>1.2050002279807492E-3</v>
      </c>
      <c r="S4" s="2" t="str">
        <f t="shared" si="8"/>
        <v>Ok</v>
      </c>
    </row>
    <row r="5" spans="1:20">
      <c r="A5" s="2">
        <v>119636864</v>
      </c>
      <c r="B5" s="2" t="s">
        <v>173</v>
      </c>
      <c r="C5" s="2" t="s">
        <v>759</v>
      </c>
      <c r="D5" s="4">
        <v>45944</v>
      </c>
      <c r="E5" s="4">
        <v>45944</v>
      </c>
      <c r="F5" s="4">
        <v>45951</v>
      </c>
      <c r="G5" s="270">
        <v>1886210897.05</v>
      </c>
      <c r="I5" s="2">
        <v>366</v>
      </c>
      <c r="J5" s="270">
        <f t="shared" si="0"/>
        <v>5271055.1057142531</v>
      </c>
      <c r="K5" s="270">
        <f t="shared" si="1"/>
        <v>1</v>
      </c>
      <c r="L5" s="421">
        <f t="shared" si="2"/>
        <v>1891481952.1557143</v>
      </c>
      <c r="M5" s="423">
        <f t="shared" si="3"/>
        <v>0.15727615696092076</v>
      </c>
      <c r="N5" s="270">
        <v>1892360461.3399999</v>
      </c>
      <c r="O5" s="423">
        <f t="shared" si="4"/>
        <v>0.17046575330014443</v>
      </c>
      <c r="P5" s="2">
        <f t="shared" si="5"/>
        <v>2.3407143862796929E-3</v>
      </c>
      <c r="Q5" s="13">
        <f t="shared" si="6"/>
        <v>2.6810198572495111E-2</v>
      </c>
      <c r="R5" s="439">
        <f t="shared" si="7"/>
        <v>3.6813856321721029E-4</v>
      </c>
      <c r="S5" s="2" t="str">
        <f t="shared" si="8"/>
        <v>Ok</v>
      </c>
    </row>
    <row r="6" spans="1:20">
      <c r="A6" s="2">
        <v>119638802</v>
      </c>
      <c r="B6" s="2" t="s">
        <v>173</v>
      </c>
      <c r="C6" s="2" t="s">
        <v>759</v>
      </c>
      <c r="D6" s="4">
        <v>45944</v>
      </c>
      <c r="E6" s="4">
        <v>45944</v>
      </c>
      <c r="F6" s="4">
        <v>45951</v>
      </c>
      <c r="G6" s="270">
        <v>71007939.390000001</v>
      </c>
      <c r="I6" s="2">
        <v>366</v>
      </c>
      <c r="J6" s="270">
        <f t="shared" si="0"/>
        <v>196811.82857142601</v>
      </c>
      <c r="K6" s="270">
        <f t="shared" si="1"/>
        <v>1</v>
      </c>
      <c r="L6" s="421">
        <f t="shared" si="2"/>
        <v>71204751.218571424</v>
      </c>
      <c r="M6" s="423">
        <f t="shared" si="3"/>
        <v>5.9206537055519429E-3</v>
      </c>
      <c r="N6" s="270">
        <v>71237553.189999998</v>
      </c>
      <c r="O6" s="423">
        <f t="shared" si="4"/>
        <v>0.16907294657458707</v>
      </c>
      <c r="P6" s="2">
        <f t="shared" si="5"/>
        <v>2.3435030597746802E-3</v>
      </c>
      <c r="Q6" s="13">
        <f t="shared" si="6"/>
        <v>1.0010223676454146E-3</v>
      </c>
      <c r="R6" s="439">
        <f t="shared" si="7"/>
        <v>1.3875070074827277E-5</v>
      </c>
      <c r="S6" s="2" t="str">
        <f t="shared" si="8"/>
        <v>Ok</v>
      </c>
    </row>
    <row r="7" spans="1:20">
      <c r="A7" s="2">
        <v>119746875</v>
      </c>
      <c r="B7" s="2" t="s">
        <v>173</v>
      </c>
      <c r="C7" s="2" t="s">
        <v>762</v>
      </c>
      <c r="D7" s="4">
        <v>45950</v>
      </c>
      <c r="E7" s="4">
        <v>45950</v>
      </c>
      <c r="F7" s="4">
        <v>45951</v>
      </c>
      <c r="G7" s="270">
        <v>25008069.850000001</v>
      </c>
      <c r="I7" s="2">
        <v>366</v>
      </c>
      <c r="J7" s="270">
        <f t="shared" ref="J7:J36" si="9">G7*O7*($A$2-D7)/I7</f>
        <v>0</v>
      </c>
      <c r="K7" s="270">
        <f t="shared" ref="K7:K36" si="10">IF(OR($A$2-F7&gt;=0,E7-$A$2&gt;0),0,1)</f>
        <v>1</v>
      </c>
      <c r="L7" s="421">
        <f t="shared" ref="L7:L36" si="11">K7*(G7+J7)</f>
        <v>25008069.850000001</v>
      </c>
      <c r="M7" s="423">
        <f t="shared" si="3"/>
        <v>6.0139523694943417E-3</v>
      </c>
      <c r="N7" s="270">
        <v>25019717.510000002</v>
      </c>
      <c r="O7" s="423">
        <f t="shared" ref="O7:O36" si="12">((N7-G7)/G7)*(366/(F7-E7))</f>
        <v>0.17046671676663022</v>
      </c>
      <c r="P7" s="2">
        <f t="shared" ref="P7:P36" si="13">MDURATION($A$2,F7,O7,O7,1,3)</f>
        <v>2.3407124595270293E-3</v>
      </c>
      <c r="Q7" s="13">
        <f t="shared" ref="Q7:Q36" si="14">O7*M7</f>
        <v>1.0251787152185967E-3</v>
      </c>
      <c r="R7" s="439">
        <f t="shared" ref="R7:R36" si="15">M7*P7</f>
        <v>1.4076933242277506E-5</v>
      </c>
      <c r="S7" s="2" t="str">
        <f t="shared" ref="S7:S36" si="16">IF(F7-$A$2&lt;=0,"Погашено","Ok")</f>
        <v>Ok</v>
      </c>
    </row>
    <row r="8" spans="1:20">
      <c r="A8" s="2">
        <v>119746824</v>
      </c>
      <c r="B8" s="2" t="s">
        <v>173</v>
      </c>
      <c r="C8" s="2" t="s">
        <v>762</v>
      </c>
      <c r="D8" s="4">
        <v>45950</v>
      </c>
      <c r="E8" s="4">
        <v>45950</v>
      </c>
      <c r="F8" s="4">
        <v>45951</v>
      </c>
      <c r="G8" s="270">
        <v>4133333784.8099999</v>
      </c>
      <c r="I8" s="2">
        <v>366</v>
      </c>
      <c r="J8" s="270">
        <f t="shared" si="9"/>
        <v>0</v>
      </c>
      <c r="K8" s="270">
        <f t="shared" si="10"/>
        <v>1</v>
      </c>
      <c r="L8" s="421">
        <f t="shared" si="11"/>
        <v>4133333784.8099999</v>
      </c>
      <c r="M8" s="423">
        <f t="shared" si="3"/>
        <v>0.99398604763050569</v>
      </c>
      <c r="N8" s="270">
        <v>4135258910.5</v>
      </c>
      <c r="O8" s="423">
        <f t="shared" si="12"/>
        <v>0.17046675618828824</v>
      </c>
      <c r="P8" s="2">
        <f t="shared" si="13"/>
        <v>2.3407123806911579E-3</v>
      </c>
      <c r="Q8" s="13">
        <f t="shared" si="14"/>
        <v>0.16944157723598968</v>
      </c>
      <c r="R8" s="439">
        <f t="shared" si="15"/>
        <v>2.3266354479229956E-3</v>
      </c>
      <c r="S8" s="2" t="str">
        <f t="shared" si="16"/>
        <v>Ok</v>
      </c>
    </row>
    <row r="9" spans="1:20">
      <c r="A9" s="2">
        <v>119750536</v>
      </c>
      <c r="B9" s="2" t="s">
        <v>173</v>
      </c>
      <c r="C9" s="2" t="s">
        <v>763</v>
      </c>
      <c r="D9" s="4">
        <v>45950</v>
      </c>
      <c r="E9" s="4">
        <v>45950</v>
      </c>
      <c r="F9" s="4">
        <v>45951</v>
      </c>
      <c r="G9" s="270">
        <v>1000322.79</v>
      </c>
      <c r="I9" s="2">
        <v>366</v>
      </c>
      <c r="J9" s="270">
        <f t="shared" si="9"/>
        <v>0</v>
      </c>
      <c r="K9" s="270">
        <f t="shared" si="10"/>
        <v>1</v>
      </c>
      <c r="L9" s="421">
        <f t="shared" si="11"/>
        <v>1000322.79</v>
      </c>
      <c r="M9" s="423">
        <f t="shared" si="3"/>
        <v>4.4444974426063823E-4</v>
      </c>
      <c r="N9" s="270">
        <v>1000788.7</v>
      </c>
      <c r="O9" s="423">
        <f t="shared" si="12"/>
        <v>0.17046803462307333</v>
      </c>
      <c r="P9" s="2">
        <f t="shared" si="13"/>
        <v>2.3407098240659104E-3</v>
      </c>
      <c r="Q9" s="13">
        <f t="shared" si="14"/>
        <v>7.5764474392838572E-5</v>
      </c>
      <c r="R9" s="439">
        <f t="shared" si="15"/>
        <v>1.0403278826944575E-6</v>
      </c>
      <c r="S9" s="2" t="str">
        <f t="shared" si="16"/>
        <v>Ok</v>
      </c>
    </row>
    <row r="10" spans="1:20">
      <c r="A10" s="2">
        <v>119750499</v>
      </c>
      <c r="B10" s="2" t="s">
        <v>173</v>
      </c>
      <c r="C10" s="2" t="s">
        <v>763</v>
      </c>
      <c r="D10" s="4">
        <v>45950</v>
      </c>
      <c r="E10" s="4">
        <v>45950</v>
      </c>
      <c r="F10" s="4">
        <v>45951</v>
      </c>
      <c r="G10" s="270">
        <v>125040349.25</v>
      </c>
      <c r="I10" s="2">
        <v>366</v>
      </c>
      <c r="J10" s="270">
        <f t="shared" si="9"/>
        <v>0</v>
      </c>
      <c r="K10" s="270">
        <f t="shared" si="10"/>
        <v>1</v>
      </c>
      <c r="L10" s="421">
        <f t="shared" si="11"/>
        <v>125040349.25</v>
      </c>
      <c r="M10" s="423">
        <f t="shared" si="3"/>
        <v>5.5556218254732941E-2</v>
      </c>
      <c r="N10" s="270">
        <v>125098587.56</v>
      </c>
      <c r="O10" s="423">
        <f t="shared" si="12"/>
        <v>0.17046674603718664</v>
      </c>
      <c r="P10" s="2">
        <f t="shared" si="13"/>
        <v>2.3407124009914436E-3</v>
      </c>
      <c r="Q10" s="13">
        <f t="shared" si="14"/>
        <v>9.4704877480160723E-3</v>
      </c>
      <c r="R10" s="439">
        <f t="shared" si="15"/>
        <v>1.3004112902104061E-4</v>
      </c>
      <c r="S10" s="2" t="str">
        <f t="shared" si="16"/>
        <v>Ok</v>
      </c>
    </row>
    <row r="11" spans="1:20">
      <c r="A11" s="2">
        <v>119746117</v>
      </c>
      <c r="B11" s="2" t="s">
        <v>173</v>
      </c>
      <c r="C11" s="2" t="s">
        <v>763</v>
      </c>
      <c r="D11" s="4">
        <v>45950</v>
      </c>
      <c r="E11" s="4">
        <v>45950</v>
      </c>
      <c r="F11" s="4">
        <v>45951</v>
      </c>
      <c r="G11" s="270">
        <v>1000554.73</v>
      </c>
      <c r="I11" s="2">
        <v>366</v>
      </c>
      <c r="J11" s="270">
        <f t="shared" si="9"/>
        <v>0</v>
      </c>
      <c r="K11" s="270">
        <f t="shared" si="10"/>
        <v>1</v>
      </c>
      <c r="L11" s="421">
        <f t="shared" si="11"/>
        <v>1000554.73</v>
      </c>
      <c r="M11" s="423">
        <f t="shared" si="3"/>
        <v>4.4455279667003476E-4</v>
      </c>
      <c r="N11" s="270">
        <v>1001020.74</v>
      </c>
      <c r="O11" s="423">
        <f t="shared" si="12"/>
        <v>0.17046509789624745</v>
      </c>
      <c r="P11" s="2">
        <f t="shared" si="13"/>
        <v>2.3407156969666438E-3</v>
      </c>
      <c r="Q11" s="13">
        <f t="shared" si="14"/>
        <v>7.5780736004408064E-5</v>
      </c>
      <c r="R11" s="439">
        <f t="shared" si="15"/>
        <v>1.0405717092959711E-6</v>
      </c>
      <c r="S11" s="2" t="str">
        <f t="shared" si="16"/>
        <v>Ok</v>
      </c>
    </row>
    <row r="12" spans="1:20">
      <c r="A12" s="2">
        <v>119746092</v>
      </c>
      <c r="B12" s="2" t="s">
        <v>173</v>
      </c>
      <c r="C12" s="2" t="s">
        <v>763</v>
      </c>
      <c r="D12" s="4">
        <v>45950</v>
      </c>
      <c r="E12" s="4">
        <v>45950</v>
      </c>
      <c r="F12" s="4">
        <v>45951</v>
      </c>
      <c r="G12" s="270">
        <v>11006102.07</v>
      </c>
      <c r="I12" s="2">
        <v>366</v>
      </c>
      <c r="J12" s="270">
        <f t="shared" si="9"/>
        <v>0</v>
      </c>
      <c r="K12" s="270">
        <f t="shared" si="10"/>
        <v>1</v>
      </c>
      <c r="L12" s="421">
        <f t="shared" si="11"/>
        <v>11006102.07</v>
      </c>
      <c r="M12" s="423">
        <f t="shared" si="3"/>
        <v>4.8900807811426356E-3</v>
      </c>
      <c r="N12" s="270">
        <v>11011228.23</v>
      </c>
      <c r="O12" s="423">
        <f t="shared" si="12"/>
        <v>0.17046675999071981</v>
      </c>
      <c r="P12" s="2">
        <f t="shared" si="13"/>
        <v>2.3407123730870135E-3</v>
      </c>
      <c r="Q12" s="13">
        <f t="shared" si="14"/>
        <v>8.3359622685427325E-4</v>
      </c>
      <c r="R12" s="439">
        <f t="shared" si="15"/>
        <v>1.1446272589815576E-5</v>
      </c>
      <c r="S12" s="2" t="str">
        <f t="shared" si="16"/>
        <v>Ok</v>
      </c>
    </row>
    <row r="13" spans="1:20">
      <c r="A13" s="2">
        <v>119746042</v>
      </c>
      <c r="B13" s="2" t="s">
        <v>173</v>
      </c>
      <c r="C13" s="2" t="s">
        <v>763</v>
      </c>
      <c r="D13" s="4">
        <v>45950</v>
      </c>
      <c r="E13" s="4">
        <v>45950</v>
      </c>
      <c r="F13" s="4">
        <v>45951</v>
      </c>
      <c r="G13" s="270">
        <v>2066626592.24</v>
      </c>
      <c r="I13" s="2">
        <v>366</v>
      </c>
      <c r="J13" s="270">
        <f t="shared" si="9"/>
        <v>0</v>
      </c>
      <c r="K13" s="270">
        <f t="shared" si="10"/>
        <v>1</v>
      </c>
      <c r="L13" s="421">
        <f t="shared" si="11"/>
        <v>2066626592.24</v>
      </c>
      <c r="M13" s="423">
        <f t="shared" si="3"/>
        <v>0.918215269696397</v>
      </c>
      <c r="N13" s="270">
        <v>2067589136.3099999</v>
      </c>
      <c r="O13" s="423">
        <f t="shared" si="12"/>
        <v>0.17046675531167441</v>
      </c>
      <c r="P13" s="2">
        <f t="shared" si="13"/>
        <v>2.3407123824442204E-3</v>
      </c>
      <c r="Q13" s="13">
        <f t="shared" si="14"/>
        <v>0.15652517770277882</v>
      </c>
      <c r="R13" s="439">
        <f t="shared" si="15"/>
        <v>2.1492778515277157E-3</v>
      </c>
      <c r="S13" s="2" t="str">
        <f t="shared" si="16"/>
        <v>Ok</v>
      </c>
    </row>
    <row r="14" spans="1:20">
      <c r="A14" s="2">
        <v>119746045</v>
      </c>
      <c r="B14" s="2" t="s">
        <v>173</v>
      </c>
      <c r="C14" s="2" t="s">
        <v>763</v>
      </c>
      <c r="D14" s="4">
        <v>45950</v>
      </c>
      <c r="E14" s="4">
        <v>45950</v>
      </c>
      <c r="F14" s="4">
        <v>45951</v>
      </c>
      <c r="G14" s="270">
        <v>46025517.759999998</v>
      </c>
      <c r="I14" s="2">
        <v>366</v>
      </c>
      <c r="J14" s="270">
        <f t="shared" si="9"/>
        <v>0</v>
      </c>
      <c r="K14" s="270">
        <f t="shared" si="10"/>
        <v>1</v>
      </c>
      <c r="L14" s="421">
        <f t="shared" si="11"/>
        <v>46025517.759999998</v>
      </c>
      <c r="M14" s="423">
        <f t="shared" si="3"/>
        <v>2.044942872679674E-2</v>
      </c>
      <c r="N14" s="270">
        <v>46046954.43</v>
      </c>
      <c r="O14" s="423">
        <f t="shared" si="12"/>
        <v>0.17046676717278184</v>
      </c>
      <c r="P14" s="2">
        <f t="shared" si="13"/>
        <v>2.3407123587242465E-3</v>
      </c>
      <c r="Q14" s="13">
        <f t="shared" si="14"/>
        <v>3.4859480055872564E-3</v>
      </c>
      <c r="R14" s="439">
        <f t="shared" si="15"/>
        <v>4.7866230549663764E-5</v>
      </c>
      <c r="S14" s="2" t="str">
        <f t="shared" si="16"/>
        <v>Ok</v>
      </c>
    </row>
    <row r="15" spans="1:20">
      <c r="A15" s="2">
        <v>119745638</v>
      </c>
      <c r="B15" s="2" t="s">
        <v>173</v>
      </c>
      <c r="C15" s="2" t="s">
        <v>761</v>
      </c>
      <c r="D15" s="4">
        <v>45950</v>
      </c>
      <c r="E15" s="4">
        <v>45950</v>
      </c>
      <c r="F15" s="4">
        <v>45951</v>
      </c>
      <c r="G15" s="270">
        <v>8000632.8399999999</v>
      </c>
      <c r="I15" s="2">
        <v>366</v>
      </c>
      <c r="J15" s="270">
        <f t="shared" si="9"/>
        <v>0</v>
      </c>
      <c r="K15" s="270">
        <f t="shared" si="10"/>
        <v>1</v>
      </c>
      <c r="L15" s="421">
        <f t="shared" si="11"/>
        <v>8000632.8399999999</v>
      </c>
      <c r="M15" s="423">
        <f t="shared" si="3"/>
        <v>5.4845371514076618E-3</v>
      </c>
      <c r="N15" s="270">
        <v>8004359.1799999997</v>
      </c>
      <c r="O15" s="423">
        <f t="shared" si="12"/>
        <v>0.17046657024195419</v>
      </c>
      <c r="P15" s="2">
        <f t="shared" si="13"/>
        <v>2.3407127525487555E-3</v>
      </c>
      <c r="Q15" s="13">
        <f t="shared" si="14"/>
        <v>9.3493023756504158E-4</v>
      </c>
      <c r="R15" s="439">
        <f t="shared" si="15"/>
        <v>1.283772605212734E-5</v>
      </c>
      <c r="S15" s="2" t="str">
        <f t="shared" si="16"/>
        <v>Ok</v>
      </c>
    </row>
    <row r="16" spans="1:20">
      <c r="A16" s="2">
        <v>119745641</v>
      </c>
      <c r="B16" s="2" t="s">
        <v>173</v>
      </c>
      <c r="C16" s="2" t="s">
        <v>761</v>
      </c>
      <c r="D16" s="4">
        <v>45950</v>
      </c>
      <c r="E16" s="4">
        <v>45950</v>
      </c>
      <c r="F16" s="4">
        <v>45951</v>
      </c>
      <c r="G16" s="270">
        <v>521282900.39999998</v>
      </c>
      <c r="I16" s="2">
        <v>366</v>
      </c>
      <c r="J16" s="270">
        <f t="shared" si="9"/>
        <v>0</v>
      </c>
      <c r="K16" s="270">
        <f t="shared" si="10"/>
        <v>1</v>
      </c>
      <c r="L16" s="421">
        <f t="shared" si="11"/>
        <v>521282900.39999998</v>
      </c>
      <c r="M16" s="423">
        <f t="shared" si="3"/>
        <v>0.35734616133657499</v>
      </c>
      <c r="N16" s="270">
        <v>521525691.12</v>
      </c>
      <c r="O16" s="423">
        <f t="shared" si="12"/>
        <v>0.17046675318109183</v>
      </c>
      <c r="P16" s="2">
        <f t="shared" si="13"/>
        <v>2.3407123867049823E-3</v>
      </c>
      <c r="Q16" s="13">
        <f t="shared" si="14"/>
        <v>6.0915639884772547E-2</v>
      </c>
      <c r="R16" s="439">
        <f t="shared" si="15"/>
        <v>8.3644458618199811E-4</v>
      </c>
      <c r="S16" s="2" t="str">
        <f t="shared" si="16"/>
        <v>Ok</v>
      </c>
    </row>
    <row r="17" spans="1:19">
      <c r="A17" s="2">
        <v>119745644</v>
      </c>
      <c r="B17" s="2" t="s">
        <v>173</v>
      </c>
      <c r="C17" s="2" t="s">
        <v>761</v>
      </c>
      <c r="D17" s="4">
        <v>45950</v>
      </c>
      <c r="E17" s="4">
        <v>45950</v>
      </c>
      <c r="F17" s="4">
        <v>45951</v>
      </c>
      <c r="G17" s="270">
        <v>527415115.79000002</v>
      </c>
      <c r="I17" s="2">
        <v>366</v>
      </c>
      <c r="J17" s="270">
        <f t="shared" si="9"/>
        <v>0</v>
      </c>
      <c r="K17" s="270">
        <f t="shared" si="10"/>
        <v>1</v>
      </c>
      <c r="L17" s="421">
        <f t="shared" si="11"/>
        <v>527415115.79000002</v>
      </c>
      <c r="M17" s="423">
        <f t="shared" si="3"/>
        <v>0.3615498741927306</v>
      </c>
      <c r="N17" s="270">
        <v>527660762.63</v>
      </c>
      <c r="O17" s="423">
        <f t="shared" si="12"/>
        <v>0.17046675521485891</v>
      </c>
      <c r="P17" s="2">
        <f t="shared" si="13"/>
        <v>2.3407123826378333E-3</v>
      </c>
      <c r="Q17" s="13">
        <f t="shared" si="14"/>
        <v>6.1632233901975239E-2</v>
      </c>
      <c r="R17" s="439">
        <f t="shared" si="15"/>
        <v>8.4628426746407529E-4</v>
      </c>
      <c r="S17" s="2" t="str">
        <f t="shared" si="16"/>
        <v>Ok</v>
      </c>
    </row>
    <row r="18" spans="1:19">
      <c r="A18" s="2">
        <v>119745647</v>
      </c>
      <c r="B18" s="2" t="s">
        <v>173</v>
      </c>
      <c r="C18" s="2" t="s">
        <v>761</v>
      </c>
      <c r="D18" s="4">
        <v>45950</v>
      </c>
      <c r="E18" s="4">
        <v>45950</v>
      </c>
      <c r="F18" s="4">
        <v>45951</v>
      </c>
      <c r="G18" s="270">
        <v>367053194.44999999</v>
      </c>
      <c r="I18" s="2">
        <v>366</v>
      </c>
      <c r="J18" s="270">
        <f t="shared" si="9"/>
        <v>0</v>
      </c>
      <c r="K18" s="270">
        <f t="shared" si="10"/>
        <v>1</v>
      </c>
      <c r="L18" s="421">
        <f t="shared" si="11"/>
        <v>367053194.44999999</v>
      </c>
      <c r="M18" s="423">
        <f t="shared" si="3"/>
        <v>0.2516197058111575</v>
      </c>
      <c r="N18" s="270">
        <v>367224151.74000001</v>
      </c>
      <c r="O18" s="423">
        <f t="shared" si="12"/>
        <v>0.17046675818681967</v>
      </c>
      <c r="P18" s="2">
        <f t="shared" si="13"/>
        <v>2.3407123766944729E-3</v>
      </c>
      <c r="Q18" s="13">
        <f t="shared" si="14"/>
        <v>4.2892795545549291E-2</v>
      </c>
      <c r="R18" s="439">
        <f t="shared" si="15"/>
        <v>5.8896935961239851E-4</v>
      </c>
      <c r="S18" s="2" t="str">
        <f t="shared" si="16"/>
        <v>Ok</v>
      </c>
    </row>
    <row r="19" spans="1:19">
      <c r="A19" s="2">
        <v>119745672</v>
      </c>
      <c r="B19" s="2" t="s">
        <v>173</v>
      </c>
      <c r="C19" s="2" t="s">
        <v>761</v>
      </c>
      <c r="D19" s="4">
        <v>45950</v>
      </c>
      <c r="E19" s="4">
        <v>45950</v>
      </c>
      <c r="F19" s="4">
        <v>45951</v>
      </c>
      <c r="G19" s="270">
        <v>8001159.5499999998</v>
      </c>
      <c r="I19" s="2">
        <v>366</v>
      </c>
      <c r="J19" s="270">
        <f t="shared" si="9"/>
        <v>0</v>
      </c>
      <c r="K19" s="270">
        <f t="shared" si="10"/>
        <v>1</v>
      </c>
      <c r="L19" s="421">
        <f t="shared" si="11"/>
        <v>8001159.5499999998</v>
      </c>
      <c r="M19" s="423">
        <f t="shared" si="3"/>
        <v>5.4848982179158731E-3</v>
      </c>
      <c r="N19" s="270">
        <v>8004886.1399999997</v>
      </c>
      <c r="O19" s="423">
        <f t="shared" si="12"/>
        <v>0.17046678440501106</v>
      </c>
      <c r="P19" s="2">
        <f t="shared" si="13"/>
        <v>2.3407123242630448E-3</v>
      </c>
      <c r="Q19" s="13">
        <f t="shared" si="14"/>
        <v>9.3499296199689452E-4</v>
      </c>
      <c r="R19" s="439">
        <f t="shared" si="15"/>
        <v>1.2838568856004095E-5</v>
      </c>
      <c r="S19" s="2" t="str">
        <f t="shared" si="16"/>
        <v>Ok</v>
      </c>
    </row>
    <row r="20" spans="1:19">
      <c r="A20" s="2">
        <v>119749776</v>
      </c>
      <c r="B20" s="2" t="s">
        <v>173</v>
      </c>
      <c r="C20" s="2" t="s">
        <v>761</v>
      </c>
      <c r="D20" s="4">
        <v>45950</v>
      </c>
      <c r="E20" s="4">
        <v>45950</v>
      </c>
      <c r="F20" s="4">
        <v>45951</v>
      </c>
      <c r="G20" s="270">
        <v>27008715.440000001</v>
      </c>
      <c r="I20" s="2">
        <v>366</v>
      </c>
      <c r="J20" s="270">
        <f t="shared" si="9"/>
        <v>0</v>
      </c>
      <c r="K20" s="270">
        <f t="shared" si="10"/>
        <v>1</v>
      </c>
      <c r="L20" s="421">
        <f t="shared" si="11"/>
        <v>27008715.440000001</v>
      </c>
      <c r="M20" s="423">
        <f t="shared" si="3"/>
        <v>1.8514823290213346E-2</v>
      </c>
      <c r="N20" s="270">
        <v>27021294.920000002</v>
      </c>
      <c r="O20" s="423">
        <f t="shared" si="12"/>
        <v>0.17046681432251645</v>
      </c>
      <c r="P20" s="2">
        <f t="shared" si="13"/>
        <v>2.3407122644336902E-3</v>
      </c>
      <c r="Q20" s="13">
        <f t="shared" si="14"/>
        <v>3.1561629440270017E-3</v>
      </c>
      <c r="R20" s="439">
        <f t="shared" si="15"/>
        <v>4.3337873949224908E-5</v>
      </c>
      <c r="S20" s="2" t="str">
        <f t="shared" si="16"/>
        <v>Ok</v>
      </c>
    </row>
    <row r="21" spans="1:19">
      <c r="A21" s="2">
        <v>119744068</v>
      </c>
      <c r="B21" s="2" t="s">
        <v>173</v>
      </c>
      <c r="C21" s="2" t="s">
        <v>760</v>
      </c>
      <c r="D21" s="4">
        <v>45950</v>
      </c>
      <c r="E21" s="4">
        <v>45950</v>
      </c>
      <c r="F21" s="4">
        <v>45951</v>
      </c>
      <c r="G21" s="270">
        <v>611481282.25999999</v>
      </c>
      <c r="I21" s="2">
        <v>366</v>
      </c>
      <c r="J21" s="270">
        <f t="shared" si="9"/>
        <v>0</v>
      </c>
      <c r="K21" s="270">
        <f t="shared" si="10"/>
        <v>1</v>
      </c>
      <c r="L21" s="421">
        <f t="shared" si="11"/>
        <v>611481282.25999999</v>
      </c>
      <c r="M21" s="423">
        <f t="shared" si="3"/>
        <v>0.1877930445218596</v>
      </c>
      <c r="N21" s="270">
        <v>611767755.38</v>
      </c>
      <c r="O21" s="423">
        <f t="shared" si="12"/>
        <v>0.1714674920751216</v>
      </c>
      <c r="P21" s="2">
        <f t="shared" si="13"/>
        <v>2.3387128075950552E-3</v>
      </c>
      <c r="Q21" s="13">
        <f t="shared" si="14"/>
        <v>3.2200402373314917E-2</v>
      </c>
      <c r="R21" s="439">
        <f t="shared" si="15"/>
        <v>4.3919399840054149E-4</v>
      </c>
      <c r="S21" s="2" t="str">
        <f t="shared" si="16"/>
        <v>Ok</v>
      </c>
    </row>
    <row r="22" spans="1:19">
      <c r="A22" s="2">
        <v>119744116</v>
      </c>
      <c r="B22" s="2" t="s">
        <v>173</v>
      </c>
      <c r="C22" s="2" t="s">
        <v>760</v>
      </c>
      <c r="D22" s="4">
        <v>45950</v>
      </c>
      <c r="E22" s="4">
        <v>45950</v>
      </c>
      <c r="F22" s="4">
        <v>45951</v>
      </c>
      <c r="G22" s="270">
        <v>915015489.12</v>
      </c>
      <c r="I22" s="2">
        <v>366</v>
      </c>
      <c r="J22" s="270">
        <f t="shared" si="9"/>
        <v>0</v>
      </c>
      <c r="K22" s="270">
        <f t="shared" si="10"/>
        <v>1</v>
      </c>
      <c r="L22" s="421">
        <f t="shared" si="11"/>
        <v>915015489.12</v>
      </c>
      <c r="M22" s="423">
        <f t="shared" si="3"/>
        <v>0.28101194504501642</v>
      </c>
      <c r="N22" s="270">
        <v>915444165.10000002</v>
      </c>
      <c r="O22" s="423">
        <f t="shared" si="12"/>
        <v>0.17146748939834711</v>
      </c>
      <c r="P22" s="2">
        <f t="shared" si="13"/>
        <v>2.3387128129389563E-3</v>
      </c>
      <c r="Q22" s="13">
        <f t="shared" si="14"/>
        <v>4.8184412707815254E-2</v>
      </c>
      <c r="R22" s="439">
        <f t="shared" si="15"/>
        <v>6.5720623646567779E-4</v>
      </c>
      <c r="S22" s="2" t="str">
        <f t="shared" si="16"/>
        <v>Ok</v>
      </c>
    </row>
    <row r="23" spans="1:19">
      <c r="A23" s="2">
        <v>119744254</v>
      </c>
      <c r="B23" s="2" t="s">
        <v>173</v>
      </c>
      <c r="C23" s="2" t="s">
        <v>760</v>
      </c>
      <c r="D23" s="4">
        <v>45950</v>
      </c>
      <c r="E23" s="4">
        <v>45950</v>
      </c>
      <c r="F23" s="4">
        <v>45951</v>
      </c>
      <c r="G23" s="270">
        <v>503000434.99000001</v>
      </c>
      <c r="I23" s="2">
        <v>366</v>
      </c>
      <c r="J23" s="270">
        <f t="shared" si="9"/>
        <v>0</v>
      </c>
      <c r="K23" s="270">
        <f t="shared" si="10"/>
        <v>1</v>
      </c>
      <c r="L23" s="421">
        <f t="shared" si="11"/>
        <v>503000434.99000001</v>
      </c>
      <c r="M23" s="423">
        <f t="shared" si="3"/>
        <v>0.15447730915568356</v>
      </c>
      <c r="N23" s="270">
        <v>503236085.87</v>
      </c>
      <c r="O23" s="423">
        <f t="shared" si="12"/>
        <v>0.17146749004643091</v>
      </c>
      <c r="P23" s="2">
        <f t="shared" si="13"/>
        <v>2.338712811645125E-3</v>
      </c>
      <c r="Q23" s="13">
        <f t="shared" si="14"/>
        <v>2.6487836470051603E-2</v>
      </c>
      <c r="R23" s="439">
        <f t="shared" si="15"/>
        <v>3.6127806203086187E-4</v>
      </c>
      <c r="S23" s="2" t="str">
        <f t="shared" si="16"/>
        <v>Ok</v>
      </c>
    </row>
    <row r="24" spans="1:19">
      <c r="A24" s="2">
        <v>119746630</v>
      </c>
      <c r="B24" s="2" t="s">
        <v>173</v>
      </c>
      <c r="C24" s="2" t="s">
        <v>760</v>
      </c>
      <c r="D24" s="4">
        <v>45950</v>
      </c>
      <c r="E24" s="4">
        <v>45950</v>
      </c>
      <c r="F24" s="4">
        <v>45951</v>
      </c>
      <c r="G24" s="270">
        <v>541426143.53999996</v>
      </c>
      <c r="I24" s="2">
        <v>366</v>
      </c>
      <c r="J24" s="270">
        <f t="shared" si="9"/>
        <v>0</v>
      </c>
      <c r="K24" s="270">
        <f t="shared" si="10"/>
        <v>1</v>
      </c>
      <c r="L24" s="421">
        <f t="shared" si="11"/>
        <v>541426143.53999996</v>
      </c>
      <c r="M24" s="423">
        <f t="shared" si="3"/>
        <v>0.166278293103784</v>
      </c>
      <c r="N24" s="270">
        <v>541678316.10000002</v>
      </c>
      <c r="O24" s="423">
        <f t="shared" si="12"/>
        <v>0.17046675351982521</v>
      </c>
      <c r="P24" s="2">
        <f t="shared" si="13"/>
        <v>2.3407123860275801E-3</v>
      </c>
      <c r="Q24" s="13">
        <f t="shared" si="14"/>
        <v>2.834492080622E-2</v>
      </c>
      <c r="R24" s="439">
        <f t="shared" si="15"/>
        <v>3.8920966019555155E-4</v>
      </c>
      <c r="S24" s="2" t="str">
        <f t="shared" si="16"/>
        <v>Ok</v>
      </c>
    </row>
    <row r="25" spans="1:19">
      <c r="A25" s="2">
        <v>119746633</v>
      </c>
      <c r="B25" s="2" t="s">
        <v>173</v>
      </c>
      <c r="C25" s="2" t="s">
        <v>760</v>
      </c>
      <c r="D25" s="4">
        <v>45950</v>
      </c>
      <c r="E25" s="4">
        <v>45950</v>
      </c>
      <c r="F25" s="4">
        <v>45951</v>
      </c>
      <c r="G25" s="270">
        <v>678218854.33000004</v>
      </c>
      <c r="I25" s="2">
        <v>366</v>
      </c>
      <c r="J25" s="270">
        <f t="shared" si="9"/>
        <v>0</v>
      </c>
      <c r="K25" s="270">
        <f t="shared" si="10"/>
        <v>1</v>
      </c>
      <c r="L25" s="421">
        <f t="shared" si="11"/>
        <v>678218854.33000004</v>
      </c>
      <c r="M25" s="423">
        <f t="shared" si="3"/>
        <v>0.2082889324690779</v>
      </c>
      <c r="N25" s="270">
        <v>678534738.94000006</v>
      </c>
      <c r="O25" s="423">
        <f t="shared" si="12"/>
        <v>0.17046675497427441</v>
      </c>
      <c r="P25" s="2">
        <f t="shared" si="13"/>
        <v>2.3407123831189563E-3</v>
      </c>
      <c r="Q25" s="13">
        <f t="shared" si="14"/>
        <v>3.5506338415059492E-2</v>
      </c>
      <c r="R25" s="439">
        <f t="shared" si="15"/>
        <v>4.875444834969987E-4</v>
      </c>
      <c r="S25" s="2" t="str">
        <f t="shared" si="16"/>
        <v>Ok</v>
      </c>
    </row>
    <row r="26" spans="1:19">
      <c r="A26" s="2">
        <v>119746640</v>
      </c>
      <c r="B26" s="2" t="s">
        <v>173</v>
      </c>
      <c r="C26" s="2" t="s">
        <v>760</v>
      </c>
      <c r="D26" s="4">
        <v>45950</v>
      </c>
      <c r="E26" s="4">
        <v>45950</v>
      </c>
      <c r="F26" s="4">
        <v>45951</v>
      </c>
      <c r="G26" s="270">
        <v>7002259.5599999996</v>
      </c>
      <c r="I26" s="2">
        <v>366</v>
      </c>
      <c r="J26" s="270">
        <f t="shared" si="9"/>
        <v>0</v>
      </c>
      <c r="K26" s="270">
        <f t="shared" si="10"/>
        <v>1</v>
      </c>
      <c r="L26" s="421">
        <f t="shared" si="11"/>
        <v>7002259.5599999996</v>
      </c>
      <c r="M26" s="423">
        <f t="shared" si="3"/>
        <v>2.1504757045785962E-3</v>
      </c>
      <c r="N26" s="270">
        <v>7005520.9100000001</v>
      </c>
      <c r="O26" s="423">
        <f t="shared" si="12"/>
        <v>0.17046698851594763</v>
      </c>
      <c r="P26" s="2">
        <f t="shared" si="13"/>
        <v>2.3407119160798245E-3</v>
      </c>
      <c r="Q26" s="13">
        <f t="shared" si="14"/>
        <v>3.6658511723622393E-4</v>
      </c>
      <c r="R26" s="439">
        <f t="shared" si="15"/>
        <v>5.0336441069472768E-6</v>
      </c>
      <c r="S26" s="2" t="str">
        <f t="shared" si="16"/>
        <v>Ok</v>
      </c>
    </row>
    <row r="27" spans="1:19">
      <c r="A27" s="2">
        <v>119746451</v>
      </c>
      <c r="B27" s="2" t="s">
        <v>173</v>
      </c>
      <c r="C27" s="2" t="s">
        <v>759</v>
      </c>
      <c r="D27" s="4">
        <v>45950</v>
      </c>
      <c r="E27" s="4">
        <v>45950</v>
      </c>
      <c r="F27" s="4">
        <v>45951</v>
      </c>
      <c r="G27" s="270">
        <v>1995672355.8399999</v>
      </c>
      <c r="I27" s="2">
        <v>366</v>
      </c>
      <c r="J27" s="270">
        <f t="shared" si="9"/>
        <v>0</v>
      </c>
      <c r="K27" s="270">
        <f t="shared" si="10"/>
        <v>1</v>
      </c>
      <c r="L27" s="421">
        <f t="shared" si="11"/>
        <v>1995672355.8399999</v>
      </c>
      <c r="M27" s="423">
        <f t="shared" si="3"/>
        <v>0.16593955777476177</v>
      </c>
      <c r="N27" s="270">
        <v>1996601847.0699999</v>
      </c>
      <c r="O27" s="423">
        <f t="shared" si="12"/>
        <v>0.17046575264947025</v>
      </c>
      <c r="P27" s="2">
        <f t="shared" si="13"/>
        <v>2.3407143875809203E-3</v>
      </c>
      <c r="Q27" s="13">
        <f t="shared" si="14"/>
        <v>2.828701161039502E-2</v>
      </c>
      <c r="R27" s="439">
        <f t="shared" si="15"/>
        <v>3.8841711035220026E-4</v>
      </c>
      <c r="S27" s="2" t="str">
        <f t="shared" si="16"/>
        <v>Ok</v>
      </c>
    </row>
    <row r="28" spans="1:19">
      <c r="A28" s="2">
        <v>119747154</v>
      </c>
      <c r="B28" s="2" t="s">
        <v>173</v>
      </c>
      <c r="C28" s="2" t="s">
        <v>759</v>
      </c>
      <c r="D28" s="4">
        <v>45950</v>
      </c>
      <c r="E28" s="4">
        <v>45950</v>
      </c>
      <c r="F28" s="4">
        <v>45951</v>
      </c>
      <c r="G28" s="270">
        <v>12004320.109999999</v>
      </c>
      <c r="I28" s="2">
        <v>366</v>
      </c>
      <c r="J28" s="270">
        <f t="shared" si="9"/>
        <v>0</v>
      </c>
      <c r="K28" s="270">
        <f t="shared" si="10"/>
        <v>1</v>
      </c>
      <c r="L28" s="421">
        <f t="shared" si="11"/>
        <v>12004320.109999999</v>
      </c>
      <c r="M28" s="423">
        <f t="shared" si="3"/>
        <v>9.981556163820432E-4</v>
      </c>
      <c r="N28" s="270">
        <v>12009911.199999999</v>
      </c>
      <c r="O28" s="423">
        <f t="shared" si="12"/>
        <v>0.17046687536225202</v>
      </c>
      <c r="P28" s="2">
        <f t="shared" si="13"/>
        <v>2.3407121423657702E-3</v>
      </c>
      <c r="Q28" s="13">
        <f t="shared" si="14"/>
        <v>1.7015246904992961E-4</v>
      </c>
      <c r="R28" s="439">
        <f t="shared" si="15"/>
        <v>2.3363949712360383E-6</v>
      </c>
      <c r="S28" s="2" t="str">
        <f t="shared" si="16"/>
        <v>Ok</v>
      </c>
    </row>
    <row r="29" spans="1:19">
      <c r="A29" s="2">
        <v>119744713</v>
      </c>
      <c r="B29" s="2" t="s">
        <v>173</v>
      </c>
      <c r="C29" s="2" t="s">
        <v>764</v>
      </c>
      <c r="D29" s="4">
        <v>45950</v>
      </c>
      <c r="E29" s="4">
        <v>45950</v>
      </c>
      <c r="F29" s="4">
        <v>45958</v>
      </c>
      <c r="G29" s="270">
        <v>13001373.619999999</v>
      </c>
      <c r="I29" s="2">
        <v>366</v>
      </c>
      <c r="J29" s="270">
        <f t="shared" si="9"/>
        <v>0</v>
      </c>
      <c r="K29" s="270">
        <f t="shared" si="10"/>
        <v>1</v>
      </c>
      <c r="L29" s="421">
        <f t="shared" si="11"/>
        <v>13001373.619999999</v>
      </c>
      <c r="M29" s="423">
        <f t="shared" si="3"/>
        <v>2.6170808766460148E-3</v>
      </c>
      <c r="N29" s="270">
        <v>13050102.060000001</v>
      </c>
      <c r="O29" s="423">
        <f t="shared" si="12"/>
        <v>0.17146850749452283</v>
      </c>
      <c r="P29" s="2">
        <f t="shared" si="13"/>
        <v>1.8709686243341444E-2</v>
      </c>
      <c r="Q29" s="13">
        <f t="shared" si="14"/>
        <v>4.4874695191094956E-4</v>
      </c>
      <c r="R29" s="439">
        <f t="shared" si="15"/>
        <v>4.896476207549591E-5</v>
      </c>
      <c r="S29" s="2" t="str">
        <f t="shared" si="16"/>
        <v>Ok</v>
      </c>
    </row>
    <row r="30" spans="1:19">
      <c r="A30" s="2">
        <v>119744716</v>
      </c>
      <c r="B30" s="2" t="s">
        <v>173</v>
      </c>
      <c r="C30" s="2" t="s">
        <v>764</v>
      </c>
      <c r="D30" s="4">
        <v>45950</v>
      </c>
      <c r="E30" s="4">
        <v>45950</v>
      </c>
      <c r="F30" s="4">
        <v>45958</v>
      </c>
      <c r="G30" s="270">
        <v>70036047.900000006</v>
      </c>
      <c r="I30" s="2">
        <v>366</v>
      </c>
      <c r="J30" s="270">
        <f t="shared" si="9"/>
        <v>0</v>
      </c>
      <c r="K30" s="270">
        <f t="shared" si="10"/>
        <v>1</v>
      </c>
      <c r="L30" s="421">
        <f t="shared" si="11"/>
        <v>70036047.900000006</v>
      </c>
      <c r="M30" s="423">
        <f t="shared" si="3"/>
        <v>1.4097741284274724E-2</v>
      </c>
      <c r="N30" s="270">
        <v>70298539.170000002</v>
      </c>
      <c r="O30" s="423">
        <f t="shared" si="12"/>
        <v>0.17146849319148699</v>
      </c>
      <c r="P30" s="2">
        <f t="shared" si="13"/>
        <v>1.8709686471777218E-2</v>
      </c>
      <c r="Q30" s="13">
        <f t="shared" si="14"/>
        <v>2.4173184554180057E-3</v>
      </c>
      <c r="R30" s="439">
        <f t="shared" si="15"/>
        <v>2.6376431938900997E-4</v>
      </c>
      <c r="S30" s="2" t="str">
        <f t="shared" si="16"/>
        <v>Ok</v>
      </c>
    </row>
    <row r="31" spans="1:19">
      <c r="A31" s="2">
        <v>119744719</v>
      </c>
      <c r="B31" s="2" t="s">
        <v>173</v>
      </c>
      <c r="C31" s="2" t="s">
        <v>764</v>
      </c>
      <c r="D31" s="4">
        <v>45950</v>
      </c>
      <c r="E31" s="4">
        <v>45950</v>
      </c>
      <c r="F31" s="4">
        <v>45958</v>
      </c>
      <c r="G31" s="270">
        <v>90085561.650000006</v>
      </c>
      <c r="I31" s="2">
        <v>366</v>
      </c>
      <c r="J31" s="270">
        <f t="shared" si="9"/>
        <v>0</v>
      </c>
      <c r="K31" s="270">
        <f t="shared" si="10"/>
        <v>1</v>
      </c>
      <c r="L31" s="421">
        <f t="shared" si="11"/>
        <v>90085561.650000006</v>
      </c>
      <c r="M31" s="423">
        <f t="shared" si="3"/>
        <v>1.813356092570553E-2</v>
      </c>
      <c r="N31" s="270">
        <v>90423197.400000006</v>
      </c>
      <c r="O31" s="423">
        <f t="shared" si="12"/>
        <v>0.171468493725043</v>
      </c>
      <c r="P31" s="2">
        <f t="shared" si="13"/>
        <v>1.8709686463255722E-2</v>
      </c>
      <c r="Q31" s="13">
        <f t="shared" si="14"/>
        <v>3.1093343778020237E-3</v>
      </c>
      <c r="R31" s="439">
        <f t="shared" si="15"/>
        <v>3.3927323938229563E-4</v>
      </c>
      <c r="S31" s="2" t="str">
        <f t="shared" si="16"/>
        <v>Ok</v>
      </c>
    </row>
    <row r="32" spans="1:19">
      <c r="A32" s="2">
        <v>119744722</v>
      </c>
      <c r="B32" s="2" t="s">
        <v>173</v>
      </c>
      <c r="C32" s="2" t="s">
        <v>764</v>
      </c>
      <c r="D32" s="4">
        <v>45950</v>
      </c>
      <c r="E32" s="4">
        <v>45950</v>
      </c>
      <c r="F32" s="4">
        <v>45958</v>
      </c>
      <c r="G32" s="270">
        <v>128056464.38</v>
      </c>
      <c r="I32" s="2">
        <v>366</v>
      </c>
      <c r="J32" s="270">
        <f t="shared" si="9"/>
        <v>0</v>
      </c>
      <c r="K32" s="270">
        <f t="shared" si="10"/>
        <v>1</v>
      </c>
      <c r="L32" s="421">
        <f t="shared" si="11"/>
        <v>128056464.38</v>
      </c>
      <c r="M32" s="423">
        <f t="shared" si="3"/>
        <v>2.5776824346026263E-2</v>
      </c>
      <c r="N32" s="270">
        <v>128536412.98999999</v>
      </c>
      <c r="O32" s="423">
        <f t="shared" si="12"/>
        <v>0.17146849254202387</v>
      </c>
      <c r="P32" s="2">
        <f t="shared" si="13"/>
        <v>1.8709686482149882E-2</v>
      </c>
      <c r="Q32" s="13">
        <f t="shared" si="14"/>
        <v>4.4199132131336636E-3</v>
      </c>
      <c r="R32" s="439">
        <f t="shared" si="15"/>
        <v>4.8227630201959956E-4</v>
      </c>
      <c r="S32" s="2" t="str">
        <f t="shared" si="16"/>
        <v>Ok</v>
      </c>
    </row>
    <row r="33" spans="1:19">
      <c r="A33" s="2">
        <v>119744725</v>
      </c>
      <c r="B33" s="2" t="s">
        <v>173</v>
      </c>
      <c r="C33" s="2" t="s">
        <v>764</v>
      </c>
      <c r="D33" s="4">
        <v>45950</v>
      </c>
      <c r="E33" s="4">
        <v>45950</v>
      </c>
      <c r="F33" s="4">
        <v>45958</v>
      </c>
      <c r="G33" s="270">
        <v>480439448.63999999</v>
      </c>
      <c r="I33" s="2">
        <v>366</v>
      </c>
      <c r="J33" s="270">
        <f t="shared" si="9"/>
        <v>0</v>
      </c>
      <c r="K33" s="270">
        <f t="shared" si="10"/>
        <v>1</v>
      </c>
      <c r="L33" s="421">
        <f t="shared" si="11"/>
        <v>480439448.63999999</v>
      </c>
      <c r="M33" s="423">
        <f t="shared" si="3"/>
        <v>9.6708927085052063E-2</v>
      </c>
      <c r="N33" s="270">
        <v>482240109.37</v>
      </c>
      <c r="O33" s="423">
        <f t="shared" si="12"/>
        <v>0.1714684933360448</v>
      </c>
      <c r="P33" s="2">
        <f t="shared" si="13"/>
        <v>1.8709686469468464E-2</v>
      </c>
      <c r="Q33" s="13">
        <f t="shared" si="14"/>
        <v>1.6582534019419292E-2</v>
      </c>
      <c r="R33" s="439">
        <f t="shared" si="15"/>
        <v>1.8093937045600109E-3</v>
      </c>
      <c r="S33" s="2" t="str">
        <f t="shared" si="16"/>
        <v>Ok</v>
      </c>
    </row>
    <row r="34" spans="1:19">
      <c r="A34" s="2">
        <v>119744728</v>
      </c>
      <c r="B34" s="2" t="s">
        <v>173</v>
      </c>
      <c r="C34" s="2" t="s">
        <v>764</v>
      </c>
      <c r="D34" s="4">
        <v>45950</v>
      </c>
      <c r="E34" s="4">
        <v>45950</v>
      </c>
      <c r="F34" s="4">
        <v>45958</v>
      </c>
      <c r="G34" s="270">
        <v>1983501956.79</v>
      </c>
      <c r="I34" s="2">
        <v>366</v>
      </c>
      <c r="J34" s="270">
        <f t="shared" si="9"/>
        <v>0</v>
      </c>
      <c r="K34" s="270">
        <f t="shared" si="10"/>
        <v>1</v>
      </c>
      <c r="L34" s="421">
        <f t="shared" si="11"/>
        <v>1983501956.79</v>
      </c>
      <c r="M34" s="423">
        <f t="shared" si="3"/>
        <v>0.3992643540310058</v>
      </c>
      <c r="N34" s="270">
        <v>1990936013.4400001</v>
      </c>
      <c r="O34" s="423">
        <f t="shared" si="12"/>
        <v>0.17146849317351731</v>
      </c>
      <c r="P34" s="2">
        <f t="shared" si="13"/>
        <v>1.870968647206421E-2</v>
      </c>
      <c r="Q34" s="13">
        <f t="shared" si="14"/>
        <v>6.8461257163594316E-2</v>
      </c>
      <c r="R34" s="439">
        <f t="shared" si="15"/>
        <v>7.4701108833913647E-3</v>
      </c>
      <c r="S34" s="2" t="str">
        <f t="shared" si="16"/>
        <v>Ok</v>
      </c>
    </row>
    <row r="35" spans="1:19">
      <c r="A35" s="2">
        <v>119744741</v>
      </c>
      <c r="B35" s="2" t="s">
        <v>173</v>
      </c>
      <c r="C35" s="2" t="s">
        <v>764</v>
      </c>
      <c r="D35" s="4">
        <v>45950</v>
      </c>
      <c r="E35" s="4">
        <v>45950</v>
      </c>
      <c r="F35" s="4">
        <v>45958</v>
      </c>
      <c r="G35" s="270">
        <v>2172752172.29</v>
      </c>
      <c r="I35" s="2">
        <v>366</v>
      </c>
      <c r="J35" s="270">
        <f t="shared" si="9"/>
        <v>0</v>
      </c>
      <c r="K35" s="270">
        <f t="shared" si="10"/>
        <v>1</v>
      </c>
      <c r="L35" s="421">
        <f t="shared" si="11"/>
        <v>2172752172.29</v>
      </c>
      <c r="M35" s="423">
        <f t="shared" si="3"/>
        <v>0.43735903035999724</v>
      </c>
      <c r="N35" s="270">
        <v>2180895528.3800001</v>
      </c>
      <c r="O35" s="423">
        <f t="shared" si="12"/>
        <v>0.17146849321744972</v>
      </c>
      <c r="P35" s="2">
        <f t="shared" si="13"/>
        <v>1.8709686471362563E-2</v>
      </c>
      <c r="Q35" s="13">
        <f t="shared" si="14"/>
        <v>7.4993293930873575E-2</v>
      </c>
      <c r="R35" s="439">
        <f t="shared" si="15"/>
        <v>8.1828503334546894E-3</v>
      </c>
      <c r="S35" s="2" t="str">
        <f t="shared" si="16"/>
        <v>Ok</v>
      </c>
    </row>
    <row r="36" spans="1:19">
      <c r="A36" s="2">
        <v>119744819</v>
      </c>
      <c r="B36" s="2" t="s">
        <v>173</v>
      </c>
      <c r="C36" s="2" t="s">
        <v>764</v>
      </c>
      <c r="D36" s="4">
        <v>45950</v>
      </c>
      <c r="E36" s="4">
        <v>45950</v>
      </c>
      <c r="F36" s="4">
        <v>45958</v>
      </c>
      <c r="G36" s="270">
        <v>30018389.940000001</v>
      </c>
      <c r="I36" s="2">
        <v>366</v>
      </c>
      <c r="J36" s="270">
        <f t="shared" si="9"/>
        <v>0</v>
      </c>
      <c r="K36" s="270">
        <f t="shared" si="10"/>
        <v>1</v>
      </c>
      <c r="L36" s="421">
        <f t="shared" si="11"/>
        <v>30018389.940000001</v>
      </c>
      <c r="M36" s="423">
        <f t="shared" si="3"/>
        <v>6.0424810912923467E-3</v>
      </c>
      <c r="N36" s="270">
        <v>30130897.219999999</v>
      </c>
      <c r="O36" s="423">
        <f t="shared" si="12"/>
        <v>0.17146849215724072</v>
      </c>
      <c r="P36" s="2">
        <f t="shared" si="13"/>
        <v>1.8709686488295314E-2</v>
      </c>
      <c r="Q36" s="13">
        <f t="shared" si="14"/>
        <v>1.036095121612537E-3</v>
      </c>
      <c r="R36" s="439">
        <f t="shared" si="15"/>
        <v>1.1305292682953234E-4</v>
      </c>
      <c r="S36" s="2" t="str">
        <f t="shared" si="16"/>
        <v>Ok</v>
      </c>
    </row>
  </sheetData>
  <autoFilter ref="A2:T2" xr:uid="{00000000-0001-0000-0900-000000000000}"/>
  <phoneticPr fontId="115" type="noConversion"/>
  <conditionalFormatting sqref="S1:S1048576">
    <cfRule type="containsText" dxfId="1111" priority="887" operator="containsText" text="Погашено">
      <formula>NOT(ISERROR(SEARCH("Погашено",S1)))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>
    <tabColor rgb="FF1B22A5"/>
  </sheetPr>
  <dimension ref="A1:Z13600"/>
  <sheetViews>
    <sheetView zoomScaleNormal="100" workbookViewId="0">
      <pane xSplit="1" ySplit="2" topLeftCell="B13575" activePane="bottomRight" state="frozen"/>
      <selection activeCell="B3" sqref="B3"/>
      <selection pane="topRight" activeCell="B3" sqref="B3"/>
      <selection pane="bottomLeft" activeCell="B3" sqref="B3"/>
      <selection pane="bottomRight" activeCell="E13590" sqref="E13590"/>
    </sheetView>
  </sheetViews>
  <sheetFormatPr defaultRowHeight="12.75"/>
  <cols>
    <col min="1" max="1" width="17.7109375" style="499" bestFit="1" customWidth="1"/>
    <col min="2" max="2" width="18.140625" style="499" bestFit="1" customWidth="1"/>
    <col min="3" max="3" width="18.28515625" style="500" bestFit="1" customWidth="1"/>
    <col min="4" max="4" width="16.7109375" style="500" bestFit="1" customWidth="1"/>
    <col min="5" max="5" width="22.42578125" style="501" bestFit="1" customWidth="1"/>
    <col min="6" max="6" width="17" style="502" bestFit="1" customWidth="1"/>
    <col min="7" max="7" width="15.5703125" style="484" customWidth="1"/>
    <col min="8" max="8" width="21.7109375" style="537" bestFit="1" customWidth="1"/>
    <col min="9" max="9" width="14.28515625" style="523" bestFit="1" customWidth="1"/>
    <col min="10" max="10" width="37" style="530" bestFit="1" customWidth="1"/>
    <col min="11" max="11" width="35.42578125" style="537" bestFit="1" customWidth="1"/>
    <col min="12" max="12" width="15.7109375" style="538" bestFit="1" customWidth="1"/>
    <col min="13" max="13" width="15.7109375" style="538" customWidth="1"/>
    <col min="14" max="14" width="19.28515625" style="598" bestFit="1" customWidth="1"/>
    <col min="15" max="15" width="15.28515625" style="539" customWidth="1"/>
    <col min="16" max="16" width="28.5703125" style="539" bestFit="1" customWidth="1"/>
    <col min="17" max="17" width="30" style="539" bestFit="1" customWidth="1"/>
    <col min="18" max="18" width="21.42578125" style="539" bestFit="1" customWidth="1"/>
    <col min="19" max="19" width="18.42578125" style="539" bestFit="1" customWidth="1"/>
    <col min="20" max="20" width="28.5703125" style="538" customWidth="1"/>
    <col min="21" max="21" width="20.28515625" style="538" bestFit="1" customWidth="1"/>
    <col min="22" max="22" width="14.5703125" style="538" bestFit="1" customWidth="1"/>
    <col min="23" max="23" width="26.140625" style="539" bestFit="1" customWidth="1"/>
    <col min="24" max="24" width="48.85546875" style="539" bestFit="1" customWidth="1"/>
    <col min="25" max="25" width="16.28515625" style="539" bestFit="1" customWidth="1"/>
    <col min="26" max="26" width="7.28515625" style="539" bestFit="1" customWidth="1"/>
    <col min="27" max="16384" width="9.140625" style="500"/>
  </cols>
  <sheetData>
    <row r="1" spans="1:26">
      <c r="C1" s="111"/>
      <c r="D1" s="111"/>
    </row>
    <row r="2" spans="1:26" s="110" customFormat="1" ht="25.5">
      <c r="A2" s="112" t="s">
        <v>511</v>
      </c>
      <c r="B2" s="263" t="s">
        <v>512</v>
      </c>
      <c r="C2" s="109" t="s">
        <v>270</v>
      </c>
      <c r="D2" s="109" t="s">
        <v>271</v>
      </c>
      <c r="E2" s="510" t="s">
        <v>2631</v>
      </c>
      <c r="F2" s="109" t="s">
        <v>2632</v>
      </c>
      <c r="G2" s="113" t="s">
        <v>341</v>
      </c>
      <c r="H2" s="543" t="s">
        <v>935</v>
      </c>
      <c r="I2" s="524" t="s">
        <v>2499</v>
      </c>
      <c r="J2" s="531" t="s">
        <v>2872</v>
      </c>
      <c r="K2" s="540" t="s">
        <v>2877</v>
      </c>
      <c r="L2" s="541" t="s">
        <v>1045</v>
      </c>
      <c r="M2" s="542" t="s">
        <v>1046</v>
      </c>
      <c r="N2" s="599" t="s">
        <v>1043</v>
      </c>
      <c r="O2" s="543" t="s">
        <v>1044</v>
      </c>
      <c r="P2" s="543" t="s">
        <v>2500</v>
      </c>
      <c r="Q2" s="543" t="s">
        <v>2501</v>
      </c>
      <c r="R2" s="543" t="s">
        <v>2502</v>
      </c>
      <c r="S2" s="543" t="s">
        <v>2503</v>
      </c>
      <c r="T2" s="541" t="s">
        <v>2642</v>
      </c>
      <c r="U2" s="541" t="s">
        <v>2506</v>
      </c>
      <c r="V2" s="541" t="s">
        <v>2507</v>
      </c>
      <c r="W2" s="543" t="s">
        <v>2645</v>
      </c>
      <c r="X2" s="543" t="s">
        <v>2646</v>
      </c>
      <c r="Y2" s="543" t="s">
        <v>2648</v>
      </c>
      <c r="Z2" s="543" t="s">
        <v>2952</v>
      </c>
    </row>
    <row r="3" spans="1:26">
      <c r="A3" s="499">
        <v>45491</v>
      </c>
      <c r="B3" s="499">
        <v>45492</v>
      </c>
      <c r="C3" s="500" t="s">
        <v>173</v>
      </c>
      <c r="D3" s="500" t="s">
        <v>759</v>
      </c>
      <c r="E3" s="501" t="s">
        <v>173</v>
      </c>
      <c r="F3" s="502" t="s">
        <v>770</v>
      </c>
      <c r="G3" s="100" t="s">
        <v>514</v>
      </c>
      <c r="H3" s="530"/>
      <c r="L3" s="539"/>
      <c r="M3" s="539"/>
      <c r="N3" s="539"/>
    </row>
    <row r="4" spans="1:26">
      <c r="A4" s="499">
        <v>45491</v>
      </c>
      <c r="B4" s="499">
        <v>45492</v>
      </c>
      <c r="C4" s="500" t="s">
        <v>173</v>
      </c>
      <c r="D4" s="500" t="s">
        <v>762</v>
      </c>
      <c r="E4" s="501" t="s">
        <v>173</v>
      </c>
      <c r="F4" s="502" t="s">
        <v>770</v>
      </c>
      <c r="G4" s="100" t="s">
        <v>514</v>
      </c>
      <c r="H4" s="530"/>
      <c r="L4" s="539"/>
      <c r="M4" s="539"/>
      <c r="N4" s="539"/>
    </row>
    <row r="5" spans="1:26">
      <c r="A5" s="499">
        <v>45491</v>
      </c>
      <c r="B5" s="499">
        <v>45495</v>
      </c>
      <c r="C5" s="500" t="s">
        <v>173</v>
      </c>
      <c r="D5" s="500" t="s">
        <v>760</v>
      </c>
      <c r="E5" s="501">
        <v>7972677438.3333359</v>
      </c>
      <c r="F5" s="502" t="s">
        <v>770</v>
      </c>
      <c r="G5" s="100" t="s">
        <v>514</v>
      </c>
      <c r="H5" s="100"/>
      <c r="L5" s="539"/>
      <c r="M5" s="539"/>
      <c r="N5" s="539"/>
    </row>
    <row r="6" spans="1:26">
      <c r="A6" s="499">
        <v>45491</v>
      </c>
      <c r="B6" s="499">
        <v>45495</v>
      </c>
      <c r="C6" s="500" t="s">
        <v>173</v>
      </c>
      <c r="D6" s="500" t="s">
        <v>761</v>
      </c>
      <c r="E6" s="501">
        <v>6863894483.3333359</v>
      </c>
      <c r="F6" s="502" t="s">
        <v>770</v>
      </c>
      <c r="G6" s="100" t="s">
        <v>514</v>
      </c>
      <c r="H6" s="100"/>
      <c r="L6" s="539"/>
      <c r="M6" s="539"/>
      <c r="N6" s="539"/>
    </row>
    <row r="7" spans="1:26">
      <c r="A7" s="499">
        <v>45491</v>
      </c>
      <c r="B7" s="499">
        <v>45495</v>
      </c>
      <c r="C7" s="500" t="s">
        <v>173</v>
      </c>
      <c r="D7" s="500" t="s">
        <v>763</v>
      </c>
      <c r="E7" s="501">
        <v>6679097324.1666679</v>
      </c>
      <c r="F7" s="502" t="s">
        <v>770</v>
      </c>
      <c r="G7" s="100" t="s">
        <v>514</v>
      </c>
      <c r="H7" s="100"/>
      <c r="L7" s="539"/>
      <c r="M7" s="539"/>
      <c r="N7" s="539"/>
    </row>
    <row r="8" spans="1:26">
      <c r="A8" s="499">
        <v>45491</v>
      </c>
      <c r="B8" s="499">
        <v>45495</v>
      </c>
      <c r="C8" s="500" t="s">
        <v>173</v>
      </c>
      <c r="D8" s="500" t="s">
        <v>764</v>
      </c>
      <c r="E8" s="501">
        <v>5385517210</v>
      </c>
      <c r="F8" s="502" t="s">
        <v>770</v>
      </c>
      <c r="G8" s="100" t="s">
        <v>514</v>
      </c>
      <c r="H8" s="100"/>
      <c r="L8" s="539"/>
      <c r="M8" s="539"/>
      <c r="N8" s="539"/>
    </row>
    <row r="9" spans="1:26">
      <c r="A9" s="499">
        <v>45492</v>
      </c>
      <c r="B9" s="499">
        <v>45492</v>
      </c>
      <c r="C9" s="500" t="s">
        <v>173</v>
      </c>
      <c r="D9" s="500" t="s">
        <v>759</v>
      </c>
      <c r="E9" s="501">
        <v>-9760228103.4500008</v>
      </c>
      <c r="F9" s="502" t="s">
        <v>878</v>
      </c>
      <c r="G9" s="100" t="s">
        <v>880</v>
      </c>
      <c r="H9" s="100"/>
      <c r="L9" s="539"/>
      <c r="M9" s="539"/>
      <c r="N9" s="539"/>
    </row>
    <row r="10" spans="1:26">
      <c r="A10" s="499">
        <v>45492</v>
      </c>
      <c r="B10" s="499">
        <v>45492</v>
      </c>
      <c r="C10" s="500" t="s">
        <v>173</v>
      </c>
      <c r="D10" s="500" t="s">
        <v>759</v>
      </c>
      <c r="E10" s="501">
        <v>-3387184702.6999998</v>
      </c>
      <c r="F10" s="502" t="s">
        <v>878</v>
      </c>
      <c r="G10" s="100" t="s">
        <v>881</v>
      </c>
      <c r="H10" s="100"/>
      <c r="L10" s="539"/>
      <c r="M10" s="539"/>
      <c r="N10" s="539"/>
    </row>
    <row r="11" spans="1:26">
      <c r="A11" s="499">
        <v>45492</v>
      </c>
      <c r="B11" s="499">
        <v>45492</v>
      </c>
      <c r="C11" s="500" t="s">
        <v>173</v>
      </c>
      <c r="D11" s="500" t="s">
        <v>759</v>
      </c>
      <c r="E11" s="501">
        <v>-52048937.509999998</v>
      </c>
      <c r="F11" s="502" t="s">
        <v>878</v>
      </c>
      <c r="G11" s="100" t="s">
        <v>881</v>
      </c>
      <c r="H11" s="100"/>
      <c r="L11" s="539"/>
      <c r="M11" s="539"/>
      <c r="N11" s="539"/>
    </row>
    <row r="12" spans="1:26">
      <c r="A12" s="499">
        <v>45495</v>
      </c>
      <c r="B12" s="499">
        <v>45495</v>
      </c>
      <c r="C12" s="500" t="s">
        <v>173</v>
      </c>
      <c r="D12" s="500" t="s">
        <v>759</v>
      </c>
      <c r="E12" s="501">
        <v>9770228337.1599998</v>
      </c>
      <c r="F12" s="502" t="s">
        <v>878</v>
      </c>
      <c r="G12" s="100" t="s">
        <v>476</v>
      </c>
      <c r="H12" s="100"/>
      <c r="L12" s="539"/>
      <c r="M12" s="539"/>
      <c r="N12" s="539"/>
    </row>
    <row r="13" spans="1:26">
      <c r="A13" s="499">
        <v>45495</v>
      </c>
      <c r="B13" s="499">
        <v>45495</v>
      </c>
      <c r="C13" s="500" t="s">
        <v>173</v>
      </c>
      <c r="D13" s="500" t="s">
        <v>759</v>
      </c>
      <c r="E13" s="501">
        <v>3389961083.5999999</v>
      </c>
      <c r="F13" s="502" t="s">
        <v>879</v>
      </c>
      <c r="G13" s="100" t="s">
        <v>516</v>
      </c>
      <c r="H13" s="100"/>
      <c r="L13" s="539"/>
      <c r="M13" s="539"/>
      <c r="N13" s="539"/>
    </row>
    <row r="14" spans="1:26">
      <c r="A14" s="499">
        <v>45495</v>
      </c>
      <c r="B14" s="499">
        <v>45495</v>
      </c>
      <c r="C14" s="500" t="s">
        <v>173</v>
      </c>
      <c r="D14" s="500" t="s">
        <v>759</v>
      </c>
      <c r="E14" s="501">
        <v>52091600.57</v>
      </c>
      <c r="F14" s="502" t="s">
        <v>879</v>
      </c>
      <c r="G14" s="100" t="s">
        <v>516</v>
      </c>
      <c r="H14" s="100"/>
      <c r="L14" s="539"/>
      <c r="M14" s="539"/>
      <c r="N14" s="539"/>
    </row>
    <row r="15" spans="1:26">
      <c r="A15" s="499">
        <v>45492</v>
      </c>
      <c r="B15" s="499">
        <v>45492</v>
      </c>
      <c r="C15" s="500" t="s">
        <v>173</v>
      </c>
      <c r="D15" s="500" t="s">
        <v>762</v>
      </c>
      <c r="E15" s="501">
        <v>-3609393628</v>
      </c>
      <c r="F15" s="502" t="s">
        <v>878</v>
      </c>
      <c r="G15" s="100" t="s">
        <v>672</v>
      </c>
      <c r="H15" s="100"/>
      <c r="L15" s="539"/>
      <c r="M15" s="539"/>
      <c r="N15" s="539"/>
    </row>
    <row r="16" spans="1:26">
      <c r="A16" s="499">
        <v>45492</v>
      </c>
      <c r="B16" s="499">
        <v>45492</v>
      </c>
      <c r="C16" s="500" t="s">
        <v>173</v>
      </c>
      <c r="D16" s="500" t="s">
        <v>762</v>
      </c>
      <c r="E16" s="501">
        <v>-5093684688</v>
      </c>
      <c r="F16" s="502" t="s">
        <v>878</v>
      </c>
      <c r="G16" s="100" t="s">
        <v>677</v>
      </c>
      <c r="H16" s="100"/>
      <c r="L16" s="539"/>
      <c r="M16" s="539"/>
      <c r="N16" s="539"/>
    </row>
    <row r="17" spans="1:14">
      <c r="A17" s="499">
        <v>45492</v>
      </c>
      <c r="B17" s="499">
        <v>45492</v>
      </c>
      <c r="C17" s="500" t="s">
        <v>173</v>
      </c>
      <c r="D17" s="500" t="s">
        <v>762</v>
      </c>
      <c r="E17" s="501">
        <v>-3700998452</v>
      </c>
      <c r="F17" s="502" t="s">
        <v>878</v>
      </c>
      <c r="G17" s="100" t="s">
        <v>674</v>
      </c>
      <c r="H17" s="100"/>
      <c r="L17" s="539"/>
      <c r="M17" s="539"/>
      <c r="N17" s="539"/>
    </row>
    <row r="18" spans="1:14">
      <c r="A18" s="499">
        <v>45492</v>
      </c>
      <c r="B18" s="499">
        <v>45492</v>
      </c>
      <c r="C18" s="500" t="s">
        <v>173</v>
      </c>
      <c r="D18" s="500" t="s">
        <v>762</v>
      </c>
      <c r="E18" s="501">
        <v>-243080396.59999999</v>
      </c>
      <c r="F18" s="502" t="s">
        <v>878</v>
      </c>
      <c r="G18" s="100" t="s">
        <v>677</v>
      </c>
      <c r="H18" s="100"/>
      <c r="L18" s="539"/>
      <c r="M18" s="539"/>
      <c r="N18" s="539"/>
    </row>
    <row r="19" spans="1:14">
      <c r="A19" s="499">
        <v>45492</v>
      </c>
      <c r="B19" s="499">
        <v>45492</v>
      </c>
      <c r="C19" s="500" t="s">
        <v>173</v>
      </c>
      <c r="D19" s="500" t="s">
        <v>762</v>
      </c>
      <c r="E19" s="501">
        <v>-50047055.299999997</v>
      </c>
      <c r="F19" s="502" t="s">
        <v>878</v>
      </c>
      <c r="G19" s="100" t="s">
        <v>672</v>
      </c>
      <c r="H19" s="100"/>
      <c r="L19" s="539"/>
      <c r="M19" s="539"/>
      <c r="N19" s="539"/>
    </row>
    <row r="20" spans="1:14">
      <c r="A20" s="499">
        <v>45495</v>
      </c>
      <c r="B20" s="499">
        <v>45495</v>
      </c>
      <c r="C20" s="500" t="s">
        <v>173</v>
      </c>
      <c r="D20" s="500" t="s">
        <v>762</v>
      </c>
      <c r="E20" s="501">
        <v>3613195326</v>
      </c>
      <c r="F20" s="502" t="s">
        <v>879</v>
      </c>
      <c r="G20" s="100" t="s">
        <v>672</v>
      </c>
      <c r="H20" s="100"/>
      <c r="L20" s="539"/>
      <c r="M20" s="539"/>
      <c r="N20" s="539"/>
    </row>
    <row r="21" spans="1:14">
      <c r="A21" s="499">
        <v>45495</v>
      </c>
      <c r="B21" s="499">
        <v>45495</v>
      </c>
      <c r="C21" s="500" t="s">
        <v>173</v>
      </c>
      <c r="D21" s="500" t="s">
        <v>762</v>
      </c>
      <c r="E21" s="501">
        <v>5099008006</v>
      </c>
      <c r="F21" s="502" t="s">
        <v>879</v>
      </c>
      <c r="G21" s="100" t="s">
        <v>677</v>
      </c>
      <c r="H21" s="100"/>
      <c r="L21" s="539"/>
      <c r="M21" s="539"/>
      <c r="N21" s="539"/>
    </row>
    <row r="22" spans="1:14">
      <c r="A22" s="499">
        <v>45495</v>
      </c>
      <c r="B22" s="499">
        <v>45495</v>
      </c>
      <c r="C22" s="500" t="s">
        <v>173</v>
      </c>
      <c r="D22" s="500" t="s">
        <v>762</v>
      </c>
      <c r="E22" s="501">
        <v>3704790459</v>
      </c>
      <c r="F22" s="502" t="s">
        <v>879</v>
      </c>
      <c r="G22" s="100" t="s">
        <v>674</v>
      </c>
      <c r="H22" s="100"/>
      <c r="L22" s="539"/>
      <c r="M22" s="539"/>
      <c r="N22" s="539"/>
    </row>
    <row r="23" spans="1:14">
      <c r="A23" s="499">
        <v>45495</v>
      </c>
      <c r="B23" s="499">
        <v>45495</v>
      </c>
      <c r="C23" s="500" t="s">
        <v>173</v>
      </c>
      <c r="D23" s="500" t="s">
        <v>762</v>
      </c>
      <c r="E23" s="501">
        <v>243329454.30000001</v>
      </c>
      <c r="F23" s="502" t="s">
        <v>879</v>
      </c>
      <c r="G23" s="100" t="s">
        <v>677</v>
      </c>
      <c r="H23" s="100"/>
      <c r="L23" s="539"/>
      <c r="M23" s="539"/>
      <c r="N23" s="539"/>
    </row>
    <row r="24" spans="1:14">
      <c r="A24" s="499">
        <v>45495</v>
      </c>
      <c r="B24" s="499">
        <v>45495</v>
      </c>
      <c r="C24" s="500" t="s">
        <v>173</v>
      </c>
      <c r="D24" s="500" t="s">
        <v>762</v>
      </c>
      <c r="E24" s="501">
        <v>50088077.479999997</v>
      </c>
      <c r="F24" s="502" t="s">
        <v>879</v>
      </c>
      <c r="G24" s="100" t="s">
        <v>672</v>
      </c>
      <c r="H24" s="100"/>
      <c r="L24" s="539"/>
      <c r="M24" s="539"/>
      <c r="N24" s="539"/>
    </row>
    <row r="25" spans="1:14">
      <c r="A25" s="499">
        <v>45494</v>
      </c>
      <c r="B25" s="499">
        <v>45495</v>
      </c>
      <c r="C25" s="500" t="s">
        <v>173</v>
      </c>
      <c r="D25" s="500" t="s">
        <v>759</v>
      </c>
      <c r="E25" s="501">
        <v>266750000</v>
      </c>
      <c r="F25" s="502" t="s">
        <v>2911</v>
      </c>
      <c r="G25" s="521" t="s">
        <v>473</v>
      </c>
      <c r="H25" s="502"/>
      <c r="L25" s="539"/>
      <c r="M25" s="539"/>
      <c r="N25" s="539"/>
    </row>
    <row r="26" spans="1:14">
      <c r="A26" s="499">
        <v>45494</v>
      </c>
      <c r="B26" s="499">
        <v>45495</v>
      </c>
      <c r="C26" s="500" t="s">
        <v>173</v>
      </c>
      <c r="D26" s="500" t="s">
        <v>762</v>
      </c>
      <c r="E26" s="501">
        <v>256613500</v>
      </c>
      <c r="F26" s="502" t="s">
        <v>2911</v>
      </c>
      <c r="G26" s="521" t="s">
        <v>473</v>
      </c>
      <c r="H26" s="502"/>
      <c r="L26" s="539"/>
      <c r="M26" s="539"/>
      <c r="N26" s="539"/>
    </row>
    <row r="27" spans="1:14">
      <c r="A27" s="499">
        <v>45494</v>
      </c>
      <c r="B27" s="499">
        <v>45495</v>
      </c>
      <c r="C27" s="500" t="s">
        <v>173</v>
      </c>
      <c r="D27" s="500" t="s">
        <v>760</v>
      </c>
      <c r="E27" s="501">
        <v>161117000</v>
      </c>
      <c r="F27" s="502" t="s">
        <v>2911</v>
      </c>
      <c r="G27" s="521" t="s">
        <v>473</v>
      </c>
      <c r="H27" s="502"/>
      <c r="L27" s="539"/>
      <c r="M27" s="539"/>
      <c r="N27" s="539"/>
    </row>
    <row r="28" spans="1:14">
      <c r="A28" s="499">
        <v>45494</v>
      </c>
      <c r="B28" s="499">
        <v>45495</v>
      </c>
      <c r="C28" s="500" t="s">
        <v>173</v>
      </c>
      <c r="D28" s="500" t="s">
        <v>761</v>
      </c>
      <c r="E28" s="501">
        <v>138710000</v>
      </c>
      <c r="F28" s="502" t="s">
        <v>2911</v>
      </c>
      <c r="G28" s="521" t="s">
        <v>473</v>
      </c>
      <c r="H28" s="502"/>
      <c r="L28" s="539"/>
      <c r="M28" s="539"/>
      <c r="N28" s="539"/>
    </row>
    <row r="29" spans="1:14">
      <c r="A29" s="499">
        <v>45494</v>
      </c>
      <c r="B29" s="499">
        <v>45495</v>
      </c>
      <c r="C29" s="500" t="s">
        <v>173</v>
      </c>
      <c r="D29" s="500" t="s">
        <v>763</v>
      </c>
      <c r="E29" s="501">
        <v>134975500</v>
      </c>
      <c r="F29" s="502" t="s">
        <v>2911</v>
      </c>
      <c r="G29" s="521" t="s">
        <v>473</v>
      </c>
      <c r="H29" s="502"/>
      <c r="L29" s="539"/>
      <c r="M29" s="539"/>
      <c r="N29" s="539"/>
    </row>
    <row r="30" spans="1:14">
      <c r="A30" s="499">
        <v>45494</v>
      </c>
      <c r="B30" s="499">
        <v>45495</v>
      </c>
      <c r="C30" s="500" t="s">
        <v>173</v>
      </c>
      <c r="D30" s="500" t="s">
        <v>764</v>
      </c>
      <c r="E30" s="501">
        <v>108833999.99999999</v>
      </c>
      <c r="F30" s="502" t="s">
        <v>2911</v>
      </c>
      <c r="G30" s="521" t="s">
        <v>473</v>
      </c>
      <c r="H30" s="502"/>
      <c r="L30" s="539"/>
      <c r="M30" s="539"/>
      <c r="N30" s="539"/>
    </row>
    <row r="31" spans="1:14">
      <c r="A31" s="503" t="s">
        <v>882</v>
      </c>
      <c r="B31" s="503" t="s">
        <v>882</v>
      </c>
      <c r="C31" s="500" t="s">
        <v>173</v>
      </c>
      <c r="D31" s="500" t="s">
        <v>759</v>
      </c>
      <c r="E31" s="501">
        <v>-105048754.76000001</v>
      </c>
      <c r="F31" s="502" t="s">
        <v>879</v>
      </c>
      <c r="G31" s="484" t="s">
        <v>632</v>
      </c>
      <c r="H31" s="484"/>
      <c r="L31" s="539"/>
      <c r="M31" s="539"/>
      <c r="N31" s="600"/>
    </row>
    <row r="32" spans="1:14">
      <c r="A32" s="503" t="s">
        <v>882</v>
      </c>
      <c r="B32" s="503" t="s">
        <v>882</v>
      </c>
      <c r="C32" s="500" t="s">
        <v>173</v>
      </c>
      <c r="D32" s="500" t="s">
        <v>759</v>
      </c>
      <c r="E32" s="501">
        <v>-174018967.84</v>
      </c>
      <c r="F32" s="502" t="s">
        <v>879</v>
      </c>
      <c r="G32" s="484" t="s">
        <v>834</v>
      </c>
      <c r="H32" s="484"/>
      <c r="L32" s="539"/>
      <c r="M32" s="539"/>
      <c r="N32" s="600">
        <v>-1</v>
      </c>
    </row>
    <row r="33" spans="1:14">
      <c r="A33" s="503" t="s">
        <v>882</v>
      </c>
      <c r="B33" s="503" t="s">
        <v>882</v>
      </c>
      <c r="C33" s="500" t="s">
        <v>173</v>
      </c>
      <c r="D33" s="500" t="s">
        <v>759</v>
      </c>
      <c r="E33" s="501">
        <v>-811052273.64999998</v>
      </c>
      <c r="F33" s="502" t="s">
        <v>879</v>
      </c>
      <c r="G33" s="484" t="s">
        <v>139</v>
      </c>
      <c r="H33" s="484"/>
      <c r="L33" s="539"/>
      <c r="M33" s="539"/>
      <c r="N33" s="600"/>
    </row>
    <row r="34" spans="1:14">
      <c r="A34" s="503" t="s">
        <v>882</v>
      </c>
      <c r="B34" s="503" t="s">
        <v>882</v>
      </c>
      <c r="C34" s="500" t="s">
        <v>173</v>
      </c>
      <c r="D34" s="500" t="s">
        <v>759</v>
      </c>
      <c r="E34" s="501">
        <v>-303033030.20999998</v>
      </c>
      <c r="F34" s="502" t="s">
        <v>879</v>
      </c>
      <c r="G34" s="484" t="s">
        <v>834</v>
      </c>
      <c r="H34" s="484"/>
      <c r="L34" s="539"/>
      <c r="M34" s="539"/>
      <c r="N34" s="600"/>
    </row>
    <row r="35" spans="1:14">
      <c r="A35" s="503" t="s">
        <v>882</v>
      </c>
      <c r="B35" s="503" t="s">
        <v>882</v>
      </c>
      <c r="C35" s="500" t="s">
        <v>173</v>
      </c>
      <c r="D35" s="500" t="s">
        <v>759</v>
      </c>
      <c r="E35" s="501">
        <v>-8407322935.1999998</v>
      </c>
      <c r="F35" s="502" t="s">
        <v>879</v>
      </c>
      <c r="G35" s="484" t="s">
        <v>83</v>
      </c>
      <c r="H35" s="484"/>
      <c r="L35" s="539"/>
      <c r="M35" s="539"/>
      <c r="N35" s="600"/>
    </row>
    <row r="36" spans="1:14">
      <c r="A36" s="503" t="s">
        <v>882</v>
      </c>
      <c r="B36" s="503" t="s">
        <v>882</v>
      </c>
      <c r="C36" s="500" t="s">
        <v>173</v>
      </c>
      <c r="D36" s="500" t="s">
        <v>759</v>
      </c>
      <c r="E36" s="501">
        <v>-2502269857.5</v>
      </c>
      <c r="F36" s="502" t="s">
        <v>879</v>
      </c>
      <c r="G36" s="484" t="s">
        <v>826</v>
      </c>
      <c r="H36" s="484"/>
      <c r="L36" s="539"/>
      <c r="M36" s="539"/>
      <c r="N36" s="600"/>
    </row>
    <row r="37" spans="1:14">
      <c r="A37" s="503" t="s">
        <v>882</v>
      </c>
      <c r="B37" s="503" t="s">
        <v>882</v>
      </c>
      <c r="C37" s="500" t="s">
        <v>173</v>
      </c>
      <c r="D37" s="500" t="s">
        <v>759</v>
      </c>
      <c r="E37" s="501">
        <v>-60018578.640000001</v>
      </c>
      <c r="F37" s="502" t="s">
        <v>879</v>
      </c>
      <c r="G37" s="484" t="s">
        <v>87</v>
      </c>
      <c r="H37" s="484"/>
      <c r="L37" s="539"/>
      <c r="M37" s="539"/>
      <c r="N37" s="600"/>
    </row>
    <row r="38" spans="1:14">
      <c r="A38" s="503" t="s">
        <v>882</v>
      </c>
      <c r="B38" s="503" t="s">
        <v>882</v>
      </c>
      <c r="C38" s="500" t="s">
        <v>173</v>
      </c>
      <c r="D38" s="500" t="s">
        <v>759</v>
      </c>
      <c r="E38" s="501">
        <v>-266023890.18000001</v>
      </c>
      <c r="F38" s="502" t="s">
        <v>879</v>
      </c>
      <c r="G38" s="484" t="s">
        <v>645</v>
      </c>
      <c r="H38" s="484"/>
      <c r="L38" s="539"/>
      <c r="M38" s="539"/>
      <c r="N38" s="600"/>
    </row>
    <row r="39" spans="1:14">
      <c r="A39" s="503" t="s">
        <v>882</v>
      </c>
      <c r="B39" s="503" t="s">
        <v>882</v>
      </c>
      <c r="C39" s="500" t="s">
        <v>173</v>
      </c>
      <c r="D39" s="500" t="s">
        <v>759</v>
      </c>
      <c r="E39" s="501">
        <v>-849234267.63</v>
      </c>
      <c r="F39" s="502" t="s">
        <v>879</v>
      </c>
      <c r="G39" s="484" t="s">
        <v>634</v>
      </c>
      <c r="H39" s="484"/>
      <c r="L39" s="539"/>
      <c r="M39" s="539"/>
      <c r="N39" s="600"/>
    </row>
    <row r="40" spans="1:14">
      <c r="A40" s="503" t="s">
        <v>883</v>
      </c>
      <c r="B40" s="503" t="s">
        <v>883</v>
      </c>
      <c r="C40" s="500" t="s">
        <v>173</v>
      </c>
      <c r="D40" s="500" t="s">
        <v>759</v>
      </c>
      <c r="E40" s="501">
        <v>105086211.23999999</v>
      </c>
      <c r="F40" s="502" t="s">
        <v>879</v>
      </c>
      <c r="G40" s="484" t="s">
        <v>632</v>
      </c>
      <c r="H40" s="484"/>
      <c r="L40" s="539"/>
      <c r="M40" s="539"/>
      <c r="N40" s="600"/>
    </row>
    <row r="41" spans="1:14">
      <c r="A41" s="503" t="s">
        <v>883</v>
      </c>
      <c r="B41" s="503" t="s">
        <v>883</v>
      </c>
      <c r="C41" s="500" t="s">
        <v>173</v>
      </c>
      <c r="D41" s="500" t="s">
        <v>759</v>
      </c>
      <c r="E41" s="501">
        <v>174081016.53999999</v>
      </c>
      <c r="F41" s="502" t="s">
        <v>879</v>
      </c>
      <c r="G41" s="484" t="s">
        <v>834</v>
      </c>
      <c r="H41" s="484"/>
      <c r="L41" s="539"/>
      <c r="M41" s="539"/>
      <c r="N41" s="600"/>
    </row>
    <row r="42" spans="1:14">
      <c r="A42" s="503" t="s">
        <v>883</v>
      </c>
      <c r="B42" s="503" t="s">
        <v>883</v>
      </c>
      <c r="C42" s="500" t="s">
        <v>173</v>
      </c>
      <c r="D42" s="500" t="s">
        <v>759</v>
      </c>
      <c r="E42" s="501">
        <v>811341464.75</v>
      </c>
      <c r="F42" s="502" t="s">
        <v>879</v>
      </c>
      <c r="G42" s="484" t="s">
        <v>139</v>
      </c>
      <c r="H42" s="530"/>
      <c r="L42" s="539"/>
      <c r="M42" s="539"/>
      <c r="N42" s="600"/>
    </row>
    <row r="43" spans="1:14">
      <c r="A43" s="503" t="s">
        <v>883</v>
      </c>
      <c r="B43" s="503" t="s">
        <v>883</v>
      </c>
      <c r="C43" s="500" t="s">
        <v>173</v>
      </c>
      <c r="D43" s="500" t="s">
        <v>759</v>
      </c>
      <c r="E43" s="501">
        <v>303141080.52999997</v>
      </c>
      <c r="F43" s="502" t="s">
        <v>879</v>
      </c>
      <c r="G43" s="484" t="s">
        <v>834</v>
      </c>
      <c r="H43" s="530"/>
      <c r="L43" s="539"/>
      <c r="M43" s="539"/>
      <c r="N43" s="600"/>
    </row>
    <row r="44" spans="1:14">
      <c r="A44" s="503" t="s">
        <v>883</v>
      </c>
      <c r="B44" s="503" t="s">
        <v>883</v>
      </c>
      <c r="C44" s="500" t="s">
        <v>173</v>
      </c>
      <c r="D44" s="500" t="s">
        <v>759</v>
      </c>
      <c r="E44" s="501">
        <v>8410320857.9200001</v>
      </c>
      <c r="F44" s="502" t="s">
        <v>879</v>
      </c>
      <c r="G44" s="484" t="s">
        <v>83</v>
      </c>
      <c r="H44" s="530"/>
      <c r="L44" s="539"/>
      <c r="M44" s="539"/>
      <c r="N44" s="600"/>
    </row>
    <row r="45" spans="1:14">
      <c r="A45" s="503" t="s">
        <v>883</v>
      </c>
      <c r="B45" s="503" t="s">
        <v>883</v>
      </c>
      <c r="C45" s="500" t="s">
        <v>173</v>
      </c>
      <c r="D45" s="500" t="s">
        <v>759</v>
      </c>
      <c r="E45" s="501">
        <v>2503162135.48</v>
      </c>
      <c r="F45" s="502" t="s">
        <v>879</v>
      </c>
      <c r="G45" s="484" t="s">
        <v>826</v>
      </c>
      <c r="H45" s="530"/>
      <c r="L45" s="539"/>
      <c r="M45" s="539"/>
      <c r="N45" s="600"/>
    </row>
    <row r="46" spans="1:14">
      <c r="A46" s="503" t="s">
        <v>883</v>
      </c>
      <c r="B46" s="503" t="s">
        <v>883</v>
      </c>
      <c r="C46" s="500" t="s">
        <v>173</v>
      </c>
      <c r="D46" s="500" t="s">
        <v>759</v>
      </c>
      <c r="E46" s="501">
        <v>60040060.700000003</v>
      </c>
      <c r="F46" s="502" t="s">
        <v>879</v>
      </c>
      <c r="G46" s="484" t="s">
        <v>87</v>
      </c>
      <c r="H46" s="530"/>
      <c r="L46" s="539"/>
      <c r="M46" s="539"/>
      <c r="N46" s="600"/>
    </row>
    <row r="47" spans="1:14">
      <c r="A47" s="503" t="s">
        <v>883</v>
      </c>
      <c r="B47" s="503" t="s">
        <v>883</v>
      </c>
      <c r="C47" s="500" t="s">
        <v>173</v>
      </c>
      <c r="D47" s="500" t="s">
        <v>759</v>
      </c>
      <c r="E47" s="501">
        <v>266118454.40000001</v>
      </c>
      <c r="F47" s="502" t="s">
        <v>879</v>
      </c>
      <c r="G47" s="484" t="s">
        <v>645</v>
      </c>
      <c r="H47" s="530"/>
      <c r="L47" s="539"/>
      <c r="M47" s="539"/>
      <c r="N47" s="600"/>
    </row>
    <row r="48" spans="1:14">
      <c r="A48" s="503" t="s">
        <v>883</v>
      </c>
      <c r="B48" s="503" t="s">
        <v>883</v>
      </c>
      <c r="C48" s="500" t="s">
        <v>173</v>
      </c>
      <c r="D48" s="500" t="s">
        <v>759</v>
      </c>
      <c r="E48" s="501">
        <v>849537070.69000006</v>
      </c>
      <c r="F48" s="502" t="s">
        <v>879</v>
      </c>
      <c r="G48" s="484" t="s">
        <v>634</v>
      </c>
      <c r="H48" s="530"/>
      <c r="L48" s="539"/>
      <c r="M48" s="539"/>
      <c r="N48" s="600"/>
    </row>
    <row r="49" spans="1:14">
      <c r="A49" s="503">
        <v>45495</v>
      </c>
      <c r="B49" s="503">
        <v>45495</v>
      </c>
      <c r="C49" s="500" t="s">
        <v>173</v>
      </c>
      <c r="D49" s="500" t="s">
        <v>762</v>
      </c>
      <c r="E49" s="501">
        <v>-2697672394</v>
      </c>
      <c r="F49" s="502" t="s">
        <v>879</v>
      </c>
      <c r="G49" s="100" t="s">
        <v>673</v>
      </c>
      <c r="H49" s="530"/>
      <c r="L49" s="539"/>
      <c r="M49" s="539"/>
      <c r="N49" s="539"/>
    </row>
    <row r="50" spans="1:14">
      <c r="A50" s="499">
        <v>45495</v>
      </c>
      <c r="B50" s="499">
        <v>45495</v>
      </c>
      <c r="C50" s="500" t="s">
        <v>173</v>
      </c>
      <c r="D50" s="500" t="s">
        <v>762</v>
      </c>
      <c r="E50" s="501">
        <v>-810695239.20000005</v>
      </c>
      <c r="F50" s="502" t="s">
        <v>879</v>
      </c>
      <c r="G50" s="100" t="s">
        <v>549</v>
      </c>
      <c r="H50" s="530"/>
      <c r="L50" s="539"/>
      <c r="M50" s="539"/>
      <c r="N50" s="539"/>
    </row>
    <row r="51" spans="1:14">
      <c r="A51" s="503">
        <v>45495</v>
      </c>
      <c r="B51" s="503">
        <v>45495</v>
      </c>
      <c r="C51" s="500" t="s">
        <v>173</v>
      </c>
      <c r="D51" s="500" t="s">
        <v>762</v>
      </c>
      <c r="E51" s="501">
        <v>-2844419027</v>
      </c>
      <c r="F51" s="502" t="s">
        <v>879</v>
      </c>
      <c r="G51" s="100" t="s">
        <v>596</v>
      </c>
      <c r="H51" s="530"/>
      <c r="L51" s="539"/>
      <c r="M51" s="539"/>
      <c r="N51" s="539"/>
    </row>
    <row r="52" spans="1:14">
      <c r="A52" s="499">
        <v>45495</v>
      </c>
      <c r="B52" s="499">
        <v>45495</v>
      </c>
      <c r="C52" s="500" t="s">
        <v>173</v>
      </c>
      <c r="D52" s="500" t="s">
        <v>762</v>
      </c>
      <c r="E52" s="501">
        <v>-4000071680</v>
      </c>
      <c r="F52" s="502" t="s">
        <v>879</v>
      </c>
      <c r="G52" s="100" t="s">
        <v>768</v>
      </c>
      <c r="H52" s="530"/>
      <c r="L52" s="539"/>
      <c r="M52" s="539"/>
      <c r="N52" s="539"/>
    </row>
    <row r="53" spans="1:14">
      <c r="A53" s="503">
        <v>45495</v>
      </c>
      <c r="B53" s="503">
        <v>45495</v>
      </c>
      <c r="C53" s="500" t="s">
        <v>173</v>
      </c>
      <c r="D53" s="500" t="s">
        <v>762</v>
      </c>
      <c r="E53" s="501">
        <v>-2304529033</v>
      </c>
      <c r="F53" s="502" t="s">
        <v>879</v>
      </c>
      <c r="G53" s="100" t="s">
        <v>816</v>
      </c>
      <c r="H53" s="530"/>
      <c r="L53" s="539"/>
      <c r="M53" s="539"/>
      <c r="N53" s="539"/>
    </row>
    <row r="54" spans="1:14">
      <c r="A54" s="499">
        <v>45495</v>
      </c>
      <c r="B54" s="499">
        <v>45495</v>
      </c>
      <c r="C54" s="500" t="s">
        <v>173</v>
      </c>
      <c r="D54" s="500" t="s">
        <v>762</v>
      </c>
      <c r="E54" s="501">
        <v>-52011939.979999997</v>
      </c>
      <c r="F54" s="502" t="s">
        <v>879</v>
      </c>
      <c r="G54" s="100" t="s">
        <v>816</v>
      </c>
      <c r="H54" s="530"/>
      <c r="L54" s="539"/>
      <c r="M54" s="539"/>
      <c r="N54" s="539"/>
    </row>
    <row r="55" spans="1:14">
      <c r="A55" s="503">
        <v>45495</v>
      </c>
      <c r="B55" s="503">
        <v>45495</v>
      </c>
      <c r="C55" s="500" t="s">
        <v>173</v>
      </c>
      <c r="D55" s="500" t="s">
        <v>762</v>
      </c>
      <c r="E55" s="501">
        <v>-255001387.19999999</v>
      </c>
      <c r="F55" s="502" t="s">
        <v>879</v>
      </c>
      <c r="G55" s="100" t="s">
        <v>674</v>
      </c>
      <c r="H55" s="530"/>
      <c r="L55" s="539"/>
      <c r="M55" s="539"/>
      <c r="N55" s="539"/>
    </row>
    <row r="56" spans="1:14">
      <c r="A56" s="499">
        <v>45496</v>
      </c>
      <c r="B56" s="499">
        <v>45496</v>
      </c>
      <c r="C56" s="500" t="s">
        <v>173</v>
      </c>
      <c r="D56" s="500" t="s">
        <v>762</v>
      </c>
      <c r="E56" s="501">
        <v>2698645333</v>
      </c>
      <c r="F56" s="502" t="s">
        <v>879</v>
      </c>
      <c r="G56" s="100" t="s">
        <v>673</v>
      </c>
      <c r="H56" s="530"/>
      <c r="L56" s="539"/>
      <c r="M56" s="539"/>
      <c r="N56" s="539"/>
    </row>
    <row r="57" spans="1:14">
      <c r="A57" s="503">
        <v>45496</v>
      </c>
      <c r="B57" s="503">
        <v>45496</v>
      </c>
      <c r="C57" s="500" t="s">
        <v>173</v>
      </c>
      <c r="D57" s="500" t="s">
        <v>762</v>
      </c>
      <c r="E57" s="501">
        <v>810987621.10000002</v>
      </c>
      <c r="F57" s="502" t="s">
        <v>879</v>
      </c>
      <c r="G57" s="100" t="s">
        <v>549</v>
      </c>
      <c r="H57" s="530"/>
      <c r="L57" s="539"/>
      <c r="M57" s="539"/>
      <c r="N57" s="539"/>
    </row>
    <row r="58" spans="1:14">
      <c r="A58" s="499">
        <v>45496</v>
      </c>
      <c r="B58" s="499">
        <v>45496</v>
      </c>
      <c r="C58" s="500" t="s">
        <v>173</v>
      </c>
      <c r="D58" s="500" t="s">
        <v>762</v>
      </c>
      <c r="E58" s="501">
        <v>2845444883</v>
      </c>
      <c r="F58" s="502" t="s">
        <v>879</v>
      </c>
      <c r="G58" s="100" t="s">
        <v>596</v>
      </c>
      <c r="H58" s="530"/>
      <c r="L58" s="539"/>
      <c r="M58" s="539"/>
      <c r="N58" s="539"/>
    </row>
    <row r="59" spans="1:14">
      <c r="A59" s="503">
        <v>45496</v>
      </c>
      <c r="B59" s="503">
        <v>45496</v>
      </c>
      <c r="C59" s="500" t="s">
        <v>173</v>
      </c>
      <c r="D59" s="500" t="s">
        <v>762</v>
      </c>
      <c r="E59" s="501">
        <v>4001508864</v>
      </c>
      <c r="F59" s="502" t="s">
        <v>879</v>
      </c>
      <c r="G59" s="100" t="s">
        <v>768</v>
      </c>
      <c r="H59" s="530"/>
      <c r="L59" s="539"/>
      <c r="M59" s="539"/>
      <c r="N59" s="539"/>
    </row>
    <row r="60" spans="1:14">
      <c r="A60" s="499">
        <v>45496</v>
      </c>
      <c r="B60" s="499">
        <v>45496</v>
      </c>
      <c r="C60" s="500" t="s">
        <v>173</v>
      </c>
      <c r="D60" s="500" t="s">
        <v>762</v>
      </c>
      <c r="E60" s="501">
        <v>2305357026</v>
      </c>
      <c r="F60" s="502" t="s">
        <v>879</v>
      </c>
      <c r="G60" s="100" t="s">
        <v>816</v>
      </c>
      <c r="H60" s="530"/>
      <c r="L60" s="539"/>
      <c r="M60" s="539"/>
      <c r="N60" s="539"/>
    </row>
    <row r="61" spans="1:14">
      <c r="A61" s="503">
        <v>45496</v>
      </c>
      <c r="B61" s="503">
        <v>45496</v>
      </c>
      <c r="C61" s="500" t="s">
        <v>173</v>
      </c>
      <c r="D61" s="500" t="s">
        <v>762</v>
      </c>
      <c r="E61" s="501">
        <v>52030627.329999998</v>
      </c>
      <c r="F61" s="502" t="s">
        <v>879</v>
      </c>
      <c r="G61" s="100" t="s">
        <v>816</v>
      </c>
      <c r="H61" s="530"/>
      <c r="L61" s="539"/>
      <c r="M61" s="539"/>
      <c r="N61" s="539"/>
    </row>
    <row r="62" spans="1:14">
      <c r="A62" s="499">
        <v>45496</v>
      </c>
      <c r="B62" s="499">
        <v>45496</v>
      </c>
      <c r="C62" s="500" t="s">
        <v>173</v>
      </c>
      <c r="D62" s="500" t="s">
        <v>762</v>
      </c>
      <c r="E62" s="501">
        <v>255090916.40000001</v>
      </c>
      <c r="F62" s="502" t="s">
        <v>879</v>
      </c>
      <c r="G62" s="100" t="s">
        <v>674</v>
      </c>
      <c r="H62" s="530"/>
      <c r="L62" s="539"/>
      <c r="M62" s="539"/>
      <c r="N62" s="539"/>
    </row>
    <row r="63" spans="1:14">
      <c r="A63" s="503">
        <v>45495</v>
      </c>
      <c r="B63" s="503">
        <v>45495</v>
      </c>
      <c r="C63" s="500" t="s">
        <v>173</v>
      </c>
      <c r="D63" s="500" t="s">
        <v>761</v>
      </c>
      <c r="E63" s="501">
        <v>-3213756996.1199999</v>
      </c>
      <c r="F63" s="502" t="s">
        <v>879</v>
      </c>
      <c r="G63" s="100" t="s">
        <v>683</v>
      </c>
      <c r="H63" s="530"/>
      <c r="L63" s="539"/>
      <c r="M63" s="539"/>
      <c r="N63" s="539"/>
    </row>
    <row r="64" spans="1:14">
      <c r="A64" s="499">
        <v>45495</v>
      </c>
      <c r="B64" s="499">
        <v>45495</v>
      </c>
      <c r="C64" s="500" t="s">
        <v>173</v>
      </c>
      <c r="D64" s="500" t="s">
        <v>761</v>
      </c>
      <c r="E64" s="501">
        <v>-3071847392.0900002</v>
      </c>
      <c r="F64" s="502" t="s">
        <v>879</v>
      </c>
      <c r="G64" s="100" t="s">
        <v>634</v>
      </c>
      <c r="H64" s="530"/>
      <c r="L64" s="539"/>
      <c r="M64" s="539"/>
      <c r="N64" s="539"/>
    </row>
    <row r="65" spans="1:19">
      <c r="A65" s="503">
        <v>45495</v>
      </c>
      <c r="B65" s="503">
        <v>45495</v>
      </c>
      <c r="C65" s="500" t="s">
        <v>173</v>
      </c>
      <c r="D65" s="500" t="s">
        <v>761</v>
      </c>
      <c r="E65" s="501">
        <v>-550300855.5</v>
      </c>
      <c r="F65" s="502" t="s">
        <v>879</v>
      </c>
      <c r="G65" s="100" t="s">
        <v>683</v>
      </c>
      <c r="H65" s="530"/>
      <c r="L65" s="539"/>
      <c r="M65" s="539"/>
      <c r="N65" s="539"/>
    </row>
    <row r="66" spans="1:19">
      <c r="A66" s="499">
        <v>45495</v>
      </c>
      <c r="B66" s="499">
        <v>45495</v>
      </c>
      <c r="C66" s="500" t="s">
        <v>173</v>
      </c>
      <c r="D66" s="500" t="s">
        <v>761</v>
      </c>
      <c r="E66" s="501">
        <v>-139000756.16</v>
      </c>
      <c r="F66" s="502" t="s">
        <v>879</v>
      </c>
      <c r="G66" s="100" t="s">
        <v>513</v>
      </c>
      <c r="H66" s="530"/>
      <c r="L66" s="539"/>
      <c r="M66" s="539"/>
      <c r="N66" s="539"/>
    </row>
    <row r="67" spans="1:19">
      <c r="A67" s="503">
        <v>45495</v>
      </c>
      <c r="B67" s="503">
        <v>45495</v>
      </c>
      <c r="C67" s="500" t="s">
        <v>173</v>
      </c>
      <c r="D67" s="500" t="s">
        <v>761</v>
      </c>
      <c r="E67" s="501">
        <v>-27023443.719999999</v>
      </c>
      <c r="F67" s="502" t="s">
        <v>879</v>
      </c>
      <c r="G67" s="100" t="s">
        <v>679</v>
      </c>
      <c r="H67" s="530"/>
      <c r="L67" s="539"/>
      <c r="M67" s="539"/>
      <c r="N67" s="539"/>
    </row>
    <row r="68" spans="1:19">
      <c r="A68" s="499">
        <v>45496</v>
      </c>
      <c r="B68" s="499">
        <v>45496</v>
      </c>
      <c r="C68" s="500" t="s">
        <v>173</v>
      </c>
      <c r="D68" s="500" t="s">
        <v>761</v>
      </c>
      <c r="E68" s="501">
        <v>3214914299.8699999</v>
      </c>
      <c r="F68" s="502" t="s">
        <v>879</v>
      </c>
      <c r="G68" s="100" t="s">
        <v>683</v>
      </c>
      <c r="H68" s="530"/>
      <c r="L68" s="539"/>
      <c r="M68" s="539"/>
      <c r="N68" s="539"/>
    </row>
    <row r="69" spans="1:19">
      <c r="A69" s="503">
        <v>45496</v>
      </c>
      <c r="B69" s="503">
        <v>45496</v>
      </c>
      <c r="C69" s="500" t="s">
        <v>173</v>
      </c>
      <c r="D69" s="500" t="s">
        <v>761</v>
      </c>
      <c r="E69" s="501">
        <v>3072953592.8699999</v>
      </c>
      <c r="F69" s="502" t="s">
        <v>879</v>
      </c>
      <c r="G69" s="100" t="s">
        <v>634</v>
      </c>
      <c r="H69" s="530"/>
      <c r="L69" s="539"/>
      <c r="M69" s="539"/>
      <c r="N69" s="539"/>
    </row>
    <row r="70" spans="1:19">
      <c r="A70" s="499">
        <v>45496</v>
      </c>
      <c r="B70" s="499">
        <v>45496</v>
      </c>
      <c r="C70" s="500" t="s">
        <v>173</v>
      </c>
      <c r="D70" s="500" t="s">
        <v>761</v>
      </c>
      <c r="E70" s="501">
        <v>550499023.95000005</v>
      </c>
      <c r="F70" s="502" t="s">
        <v>879</v>
      </c>
      <c r="G70" s="100" t="s">
        <v>683</v>
      </c>
      <c r="H70" s="530"/>
      <c r="L70" s="539"/>
      <c r="M70" s="539"/>
      <c r="N70" s="539"/>
    </row>
    <row r="71" spans="1:19">
      <c r="A71" s="503">
        <v>45496</v>
      </c>
      <c r="B71" s="503">
        <v>45496</v>
      </c>
      <c r="C71" s="500" t="s">
        <v>173</v>
      </c>
      <c r="D71" s="500" t="s">
        <v>761</v>
      </c>
      <c r="E71" s="501">
        <v>139049558.34</v>
      </c>
      <c r="F71" s="502" t="s">
        <v>879</v>
      </c>
      <c r="G71" s="100" t="s">
        <v>513</v>
      </c>
      <c r="H71" s="530"/>
      <c r="L71" s="539"/>
      <c r="M71" s="539"/>
      <c r="N71" s="539"/>
    </row>
    <row r="72" spans="1:19">
      <c r="A72" s="499">
        <v>45496</v>
      </c>
      <c r="B72" s="499">
        <v>45496</v>
      </c>
      <c r="C72" s="500" t="s">
        <v>173</v>
      </c>
      <c r="D72" s="500" t="s">
        <v>761</v>
      </c>
      <c r="E72" s="501">
        <v>27033152.219999999</v>
      </c>
      <c r="F72" s="502" t="s">
        <v>879</v>
      </c>
      <c r="G72" s="100" t="s">
        <v>679</v>
      </c>
      <c r="H72" s="530"/>
      <c r="L72" s="539"/>
      <c r="M72" s="539"/>
      <c r="N72" s="539"/>
    </row>
    <row r="73" spans="1:19">
      <c r="A73" s="503">
        <v>45495</v>
      </c>
      <c r="B73" s="503">
        <v>45495</v>
      </c>
      <c r="C73" s="500" t="s">
        <v>173</v>
      </c>
      <c r="D73" s="500" t="s">
        <v>760</v>
      </c>
      <c r="E73" s="501">
        <v>-2939810968.8499999</v>
      </c>
      <c r="F73" s="502" t="s">
        <v>879</v>
      </c>
      <c r="G73" s="100" t="s">
        <v>634</v>
      </c>
      <c r="H73" s="530"/>
      <c r="L73" s="539"/>
      <c r="M73" s="539"/>
      <c r="N73" s="539"/>
    </row>
    <row r="74" spans="1:19">
      <c r="A74" s="499">
        <v>45495</v>
      </c>
      <c r="B74" s="499">
        <v>45495</v>
      </c>
      <c r="C74" s="500" t="s">
        <v>173</v>
      </c>
      <c r="D74" s="500" t="s">
        <v>760</v>
      </c>
      <c r="E74" s="501">
        <v>-192105025.91999999</v>
      </c>
      <c r="F74" s="502" t="s">
        <v>879</v>
      </c>
      <c r="G74" s="100" t="s">
        <v>683</v>
      </c>
      <c r="H74" s="530"/>
      <c r="L74" s="539"/>
      <c r="M74" s="539"/>
      <c r="N74" s="539"/>
    </row>
    <row r="75" spans="1:19">
      <c r="A75" s="503">
        <v>45495</v>
      </c>
      <c r="B75" s="503">
        <v>45495</v>
      </c>
      <c r="C75" s="500" t="s">
        <v>173</v>
      </c>
      <c r="D75" s="500" t="s">
        <v>760</v>
      </c>
      <c r="E75" s="501">
        <v>-5001058959</v>
      </c>
      <c r="F75" s="502" t="s">
        <v>879</v>
      </c>
      <c r="G75" s="100" t="s">
        <v>551</v>
      </c>
      <c r="H75" s="530"/>
      <c r="L75" s="539"/>
      <c r="M75" s="539"/>
      <c r="N75" s="539"/>
    </row>
    <row r="76" spans="1:19">
      <c r="A76" s="499">
        <v>45496</v>
      </c>
      <c r="B76" s="499">
        <v>45496</v>
      </c>
      <c r="C76" s="500" t="s">
        <v>173</v>
      </c>
      <c r="D76" s="500" t="s">
        <v>760</v>
      </c>
      <c r="E76" s="501">
        <v>2940871220.5100002</v>
      </c>
      <c r="F76" s="502" t="s">
        <v>879</v>
      </c>
      <c r="G76" s="100" t="s">
        <v>634</v>
      </c>
      <c r="H76" s="530"/>
      <c r="L76" s="539"/>
      <c r="M76" s="539"/>
      <c r="N76" s="539"/>
    </row>
    <row r="77" spans="1:19">
      <c r="A77" s="503">
        <v>45496</v>
      </c>
      <c r="B77" s="503">
        <v>45496</v>
      </c>
      <c r="C77" s="500" t="s">
        <v>173</v>
      </c>
      <c r="D77" s="500" t="s">
        <v>760</v>
      </c>
      <c r="E77" s="501">
        <v>192174309.16999999</v>
      </c>
      <c r="F77" s="502" t="s">
        <v>879</v>
      </c>
      <c r="G77" s="100" t="s">
        <v>683</v>
      </c>
      <c r="H77" s="530"/>
      <c r="L77" s="539"/>
      <c r="M77" s="539"/>
      <c r="N77" s="539"/>
    </row>
    <row r="78" spans="1:19">
      <c r="A78" s="499">
        <v>45496</v>
      </c>
      <c r="B78" s="499">
        <v>45496</v>
      </c>
      <c r="C78" s="500" t="s">
        <v>173</v>
      </c>
      <c r="D78" s="500" t="s">
        <v>760</v>
      </c>
      <c r="E78" s="501">
        <v>5002862605.9399996</v>
      </c>
      <c r="F78" s="502" t="s">
        <v>879</v>
      </c>
      <c r="G78" s="100" t="s">
        <v>551</v>
      </c>
      <c r="H78" s="530"/>
      <c r="L78" s="539"/>
      <c r="M78" s="539"/>
      <c r="N78" s="539"/>
    </row>
    <row r="79" spans="1:19">
      <c r="A79" s="503" t="s">
        <v>882</v>
      </c>
      <c r="B79" s="503" t="s">
        <v>882</v>
      </c>
      <c r="C79" s="500" t="s">
        <v>173</v>
      </c>
      <c r="D79" s="500" t="s">
        <v>763</v>
      </c>
      <c r="E79" s="501">
        <v>-6650489774.9399996</v>
      </c>
      <c r="F79" s="502" t="s">
        <v>879</v>
      </c>
      <c r="G79" s="484" t="s">
        <v>94</v>
      </c>
      <c r="H79" s="530"/>
      <c r="L79" s="539"/>
      <c r="M79" s="539"/>
      <c r="N79" s="600"/>
    </row>
    <row r="80" spans="1:19">
      <c r="A80" s="503" t="s">
        <v>882</v>
      </c>
      <c r="B80" s="503" t="s">
        <v>882</v>
      </c>
      <c r="C80" s="500" t="s">
        <v>173</v>
      </c>
      <c r="D80" s="500" t="s">
        <v>763</v>
      </c>
      <c r="E80" s="501">
        <v>-28006273.68</v>
      </c>
      <c r="F80" s="502" t="s">
        <v>879</v>
      </c>
      <c r="G80" s="484" t="s">
        <v>94</v>
      </c>
      <c r="H80" s="530"/>
      <c r="L80" s="539"/>
      <c r="M80" s="539"/>
      <c r="N80" s="600"/>
      <c r="Q80" s="544"/>
      <c r="R80" s="544"/>
      <c r="S80" s="545"/>
    </row>
    <row r="81" spans="1:19">
      <c r="A81" s="503" t="s">
        <v>882</v>
      </c>
      <c r="B81" s="503" t="s">
        <v>882</v>
      </c>
      <c r="C81" s="500" t="s">
        <v>173</v>
      </c>
      <c r="D81" s="500" t="s">
        <v>763</v>
      </c>
      <c r="E81" s="501">
        <v>-134000728.95999999</v>
      </c>
      <c r="F81" s="502" t="s">
        <v>879</v>
      </c>
      <c r="G81" s="484" t="s">
        <v>513</v>
      </c>
      <c r="H81" s="530"/>
      <c r="L81" s="539"/>
      <c r="M81" s="539"/>
      <c r="N81" s="600"/>
      <c r="Q81" s="544"/>
      <c r="R81" s="544"/>
      <c r="S81" s="545"/>
    </row>
    <row r="82" spans="1:19">
      <c r="A82" s="503" t="s">
        <v>883</v>
      </c>
      <c r="B82" s="503" t="s">
        <v>883</v>
      </c>
      <c r="C82" s="500" t="s">
        <v>173</v>
      </c>
      <c r="D82" s="500" t="s">
        <v>763</v>
      </c>
      <c r="E82" s="501">
        <v>6652871958.5699987</v>
      </c>
      <c r="F82" s="502" t="s">
        <v>879</v>
      </c>
      <c r="G82" s="484" t="s">
        <v>94</v>
      </c>
      <c r="H82" s="530"/>
      <c r="L82" s="539"/>
      <c r="M82" s="539"/>
      <c r="N82" s="600"/>
      <c r="Q82" s="544"/>
      <c r="R82" s="544"/>
      <c r="S82" s="545"/>
    </row>
    <row r="83" spans="1:19">
      <c r="A83" s="503" t="s">
        <v>883</v>
      </c>
      <c r="B83" s="503" t="s">
        <v>883</v>
      </c>
      <c r="C83" s="500" t="s">
        <v>173</v>
      </c>
      <c r="D83" s="500" t="s">
        <v>763</v>
      </c>
      <c r="E83" s="501">
        <v>28016305.440000001</v>
      </c>
      <c r="F83" s="502" t="s">
        <v>879</v>
      </c>
      <c r="G83" s="484" t="s">
        <v>94</v>
      </c>
      <c r="H83" s="530"/>
      <c r="L83" s="539"/>
      <c r="M83" s="539"/>
      <c r="N83" s="600"/>
    </row>
    <row r="84" spans="1:19">
      <c r="A84" s="503" t="s">
        <v>883</v>
      </c>
      <c r="B84" s="503" t="s">
        <v>883</v>
      </c>
      <c r="C84" s="500" t="s">
        <v>173</v>
      </c>
      <c r="D84" s="500" t="s">
        <v>763</v>
      </c>
      <c r="E84" s="501">
        <v>134047775.66</v>
      </c>
      <c r="F84" s="502" t="s">
        <v>879</v>
      </c>
      <c r="G84" s="484" t="s">
        <v>513</v>
      </c>
      <c r="H84" s="530"/>
      <c r="L84" s="539"/>
      <c r="M84" s="539"/>
      <c r="N84" s="600"/>
    </row>
    <row r="85" spans="1:19">
      <c r="A85" s="503">
        <v>45495</v>
      </c>
      <c r="B85" s="499">
        <f>A85</f>
        <v>45495</v>
      </c>
      <c r="C85" s="500" t="s">
        <v>173</v>
      </c>
      <c r="D85" s="500" t="s">
        <v>764</v>
      </c>
      <c r="E85" s="501">
        <v>-3500965767.5999999</v>
      </c>
      <c r="F85" s="502" t="s">
        <v>879</v>
      </c>
      <c r="G85" s="100" t="s">
        <v>634</v>
      </c>
      <c r="H85" s="530"/>
      <c r="L85" s="539"/>
      <c r="M85" s="539"/>
      <c r="N85" s="539"/>
    </row>
    <row r="86" spans="1:19">
      <c r="A86" s="503">
        <v>45495</v>
      </c>
      <c r="B86" s="499">
        <f t="shared" ref="B86:B149" si="0">A86</f>
        <v>45495</v>
      </c>
      <c r="C86" s="500" t="s">
        <v>173</v>
      </c>
      <c r="D86" s="500" t="s">
        <v>764</v>
      </c>
      <c r="E86" s="501">
        <v>-1970010716.8</v>
      </c>
      <c r="F86" s="502" t="s">
        <v>879</v>
      </c>
      <c r="G86" s="100" t="s">
        <v>513</v>
      </c>
      <c r="H86" s="530"/>
      <c r="L86" s="539"/>
      <c r="M86" s="539"/>
      <c r="N86" s="539"/>
    </row>
    <row r="87" spans="1:19">
      <c r="A87" s="503">
        <v>45495</v>
      </c>
      <c r="B87" s="499">
        <f t="shared" si="0"/>
        <v>45495</v>
      </c>
      <c r="C87" s="500" t="s">
        <v>173</v>
      </c>
      <c r="D87" s="500" t="s">
        <v>764</v>
      </c>
      <c r="E87" s="501">
        <v>-23000125.120000001</v>
      </c>
      <c r="F87" s="502" t="s">
        <v>879</v>
      </c>
      <c r="G87" s="100" t="s">
        <v>513</v>
      </c>
      <c r="H87" s="530"/>
      <c r="L87" s="539"/>
      <c r="M87" s="539"/>
      <c r="N87" s="539"/>
    </row>
    <row r="88" spans="1:19">
      <c r="A88" s="499">
        <v>45496</v>
      </c>
      <c r="B88" s="499">
        <f t="shared" si="0"/>
        <v>45496</v>
      </c>
      <c r="C88" s="500" t="s">
        <v>173</v>
      </c>
      <c r="D88" s="500" t="s">
        <v>764</v>
      </c>
      <c r="E88" s="501">
        <v>3502218845.5100002</v>
      </c>
      <c r="F88" s="502" t="s">
        <v>879</v>
      </c>
      <c r="G88" s="100" t="s">
        <v>634</v>
      </c>
      <c r="H88" s="530"/>
      <c r="L88" s="539"/>
      <c r="M88" s="539"/>
      <c r="N88" s="539"/>
    </row>
    <row r="89" spans="1:19">
      <c r="A89" s="499">
        <v>45496</v>
      </c>
      <c r="B89" s="499">
        <f t="shared" si="0"/>
        <v>45496</v>
      </c>
      <c r="C89" s="500" t="s">
        <v>173</v>
      </c>
      <c r="D89" s="500" t="s">
        <v>764</v>
      </c>
      <c r="E89" s="501">
        <v>1970702373.5699999</v>
      </c>
      <c r="F89" s="502" t="s">
        <v>879</v>
      </c>
      <c r="G89" s="100" t="s">
        <v>513</v>
      </c>
      <c r="H89" s="530"/>
      <c r="L89" s="539"/>
      <c r="M89" s="539"/>
      <c r="N89" s="539"/>
    </row>
    <row r="90" spans="1:19">
      <c r="A90" s="499">
        <v>45496</v>
      </c>
      <c r="B90" s="499">
        <f t="shared" si="0"/>
        <v>45496</v>
      </c>
      <c r="C90" s="500" t="s">
        <v>173</v>
      </c>
      <c r="D90" s="500" t="s">
        <v>764</v>
      </c>
      <c r="E90" s="501">
        <v>23008200.300000001</v>
      </c>
      <c r="F90" s="502" t="s">
        <v>879</v>
      </c>
      <c r="G90" s="100" t="s">
        <v>513</v>
      </c>
      <c r="H90" s="530"/>
      <c r="L90" s="539"/>
      <c r="M90" s="539"/>
      <c r="N90" s="539"/>
    </row>
    <row r="91" spans="1:19">
      <c r="A91" s="499">
        <v>45496</v>
      </c>
      <c r="B91" s="499">
        <f t="shared" si="0"/>
        <v>45496</v>
      </c>
      <c r="C91" s="500" t="s">
        <v>173</v>
      </c>
      <c r="D91" s="500" t="s">
        <v>759</v>
      </c>
      <c r="E91" s="501">
        <v>-4895502946.5699997</v>
      </c>
      <c r="F91" s="502" t="s">
        <v>879</v>
      </c>
      <c r="G91" s="100" t="s">
        <v>634</v>
      </c>
      <c r="H91" s="568"/>
      <c r="L91" s="539"/>
      <c r="M91" s="539"/>
      <c r="N91" s="539"/>
    </row>
    <row r="92" spans="1:19">
      <c r="A92" s="499">
        <v>45496</v>
      </c>
      <c r="B92" s="499">
        <f t="shared" si="0"/>
        <v>45496</v>
      </c>
      <c r="C92" s="500" t="s">
        <v>173</v>
      </c>
      <c r="D92" s="500" t="s">
        <v>759</v>
      </c>
      <c r="E92" s="501">
        <v>-5703074101.1999998</v>
      </c>
      <c r="F92" s="502" t="s">
        <v>879</v>
      </c>
      <c r="G92" s="100" t="s">
        <v>475</v>
      </c>
      <c r="H92" s="568"/>
      <c r="L92" s="539"/>
      <c r="M92" s="539"/>
      <c r="N92" s="539"/>
    </row>
    <row r="93" spans="1:19">
      <c r="A93" s="499">
        <v>45496</v>
      </c>
      <c r="B93" s="499">
        <f t="shared" si="0"/>
        <v>45496</v>
      </c>
      <c r="C93" s="500" t="s">
        <v>173</v>
      </c>
      <c r="D93" s="500" t="s">
        <v>759</v>
      </c>
      <c r="E93" s="501">
        <v>-2829290671.2600002</v>
      </c>
      <c r="F93" s="502" t="s">
        <v>879</v>
      </c>
      <c r="G93" s="100" t="s">
        <v>634</v>
      </c>
      <c r="H93" s="568"/>
      <c r="L93" s="539"/>
      <c r="M93" s="539"/>
      <c r="N93" s="539"/>
    </row>
    <row r="94" spans="1:19">
      <c r="A94" s="499">
        <v>45496</v>
      </c>
      <c r="B94" s="499">
        <f t="shared" si="0"/>
        <v>45496</v>
      </c>
      <c r="C94" s="500" t="s">
        <v>173</v>
      </c>
      <c r="D94" s="500" t="s">
        <v>759</v>
      </c>
      <c r="E94" s="501">
        <v>-56000017.350000001</v>
      </c>
      <c r="F94" s="502" t="s">
        <v>879</v>
      </c>
      <c r="G94" s="100" t="s">
        <v>812</v>
      </c>
      <c r="H94" s="568"/>
      <c r="L94" s="539"/>
      <c r="M94" s="539"/>
      <c r="N94" s="539"/>
    </row>
    <row r="95" spans="1:19">
      <c r="A95" s="499">
        <v>45497</v>
      </c>
      <c r="B95" s="499">
        <f t="shared" si="0"/>
        <v>45497</v>
      </c>
      <c r="C95" s="500" t="s">
        <v>173</v>
      </c>
      <c r="D95" s="500" t="s">
        <v>759</v>
      </c>
      <c r="E95" s="501">
        <v>4897256513.0500002</v>
      </c>
      <c r="F95" s="502" t="s">
        <v>879</v>
      </c>
      <c r="G95" s="100" t="s">
        <v>634</v>
      </c>
      <c r="H95" s="100"/>
      <c r="L95" s="539"/>
      <c r="M95" s="539"/>
      <c r="N95" s="539"/>
    </row>
    <row r="96" spans="1:19">
      <c r="A96" s="499">
        <v>45497</v>
      </c>
      <c r="B96" s="499">
        <f t="shared" si="0"/>
        <v>45497</v>
      </c>
      <c r="C96" s="500" t="s">
        <v>173</v>
      </c>
      <c r="D96" s="500" t="s">
        <v>759</v>
      </c>
      <c r="E96" s="501">
        <v>5705116954.8100004</v>
      </c>
      <c r="F96" s="502" t="s">
        <v>879</v>
      </c>
      <c r="G96" s="100" t="s">
        <v>475</v>
      </c>
      <c r="H96" s="530"/>
      <c r="L96" s="539"/>
      <c r="M96" s="539"/>
      <c r="N96" s="539"/>
    </row>
    <row r="97" spans="1:14">
      <c r="A97" s="499">
        <v>45497</v>
      </c>
      <c r="B97" s="499">
        <f t="shared" si="0"/>
        <v>45497</v>
      </c>
      <c r="C97" s="500" t="s">
        <v>173</v>
      </c>
      <c r="D97" s="500" t="s">
        <v>759</v>
      </c>
      <c r="E97" s="501">
        <v>2830304129.3600001</v>
      </c>
      <c r="F97" s="502" t="s">
        <v>879</v>
      </c>
      <c r="G97" s="100" t="s">
        <v>634</v>
      </c>
      <c r="H97" s="530"/>
      <c r="L97" s="539"/>
      <c r="M97" s="539"/>
      <c r="N97" s="539"/>
    </row>
    <row r="98" spans="1:14">
      <c r="A98" s="499">
        <v>45497</v>
      </c>
      <c r="B98" s="499">
        <f t="shared" si="0"/>
        <v>45497</v>
      </c>
      <c r="C98" s="500" t="s">
        <v>173</v>
      </c>
      <c r="D98" s="500" t="s">
        <v>759</v>
      </c>
      <c r="E98" s="501">
        <v>56020091.670000002</v>
      </c>
      <c r="F98" s="502" t="s">
        <v>879</v>
      </c>
      <c r="G98" s="100" t="s">
        <v>812</v>
      </c>
      <c r="H98" s="530"/>
      <c r="L98" s="539"/>
      <c r="M98" s="539"/>
      <c r="N98" s="539"/>
    </row>
    <row r="99" spans="1:14">
      <c r="A99" s="499">
        <v>45496</v>
      </c>
      <c r="B99" s="499">
        <f t="shared" si="0"/>
        <v>45496</v>
      </c>
      <c r="C99" s="500" t="s">
        <v>173</v>
      </c>
      <c r="D99" s="500" t="s">
        <v>762</v>
      </c>
      <c r="E99" s="501">
        <v>-2901295807</v>
      </c>
      <c r="F99" s="502" t="s">
        <v>879</v>
      </c>
      <c r="G99" s="100" t="s">
        <v>706</v>
      </c>
      <c r="H99" s="530"/>
      <c r="L99" s="539"/>
      <c r="M99" s="539"/>
      <c r="N99" s="539"/>
    </row>
    <row r="100" spans="1:14">
      <c r="A100" s="499">
        <v>45496</v>
      </c>
      <c r="B100" s="499">
        <f t="shared" si="0"/>
        <v>45496</v>
      </c>
      <c r="C100" s="500" t="s">
        <v>173</v>
      </c>
      <c r="D100" s="500" t="s">
        <v>762</v>
      </c>
      <c r="E100" s="501">
        <v>-2600843482</v>
      </c>
      <c r="F100" s="502" t="s">
        <v>879</v>
      </c>
      <c r="G100" s="100" t="s">
        <v>708</v>
      </c>
      <c r="H100" s="530"/>
      <c r="L100" s="539"/>
      <c r="M100" s="539"/>
      <c r="N100" s="539"/>
    </row>
    <row r="101" spans="1:14">
      <c r="A101" s="499">
        <v>45496</v>
      </c>
      <c r="B101" s="499">
        <f t="shared" si="0"/>
        <v>45496</v>
      </c>
      <c r="C101" s="500" t="s">
        <v>173</v>
      </c>
      <c r="D101" s="500" t="s">
        <v>762</v>
      </c>
      <c r="E101" s="501">
        <v>-5105524523</v>
      </c>
      <c r="F101" s="502" t="s">
        <v>879</v>
      </c>
      <c r="G101" s="100" t="s">
        <v>633</v>
      </c>
      <c r="H101" s="530"/>
      <c r="L101" s="539"/>
      <c r="M101" s="539"/>
      <c r="N101" s="539"/>
    </row>
    <row r="102" spans="1:14">
      <c r="A102" s="499">
        <v>45496</v>
      </c>
      <c r="B102" s="499">
        <f t="shared" si="0"/>
        <v>45496</v>
      </c>
      <c r="C102" s="500" t="s">
        <v>173</v>
      </c>
      <c r="D102" s="500" t="s">
        <v>762</v>
      </c>
      <c r="E102" s="501">
        <v>-2309237243</v>
      </c>
      <c r="F102" s="502" t="s">
        <v>879</v>
      </c>
      <c r="G102" s="100" t="s">
        <v>633</v>
      </c>
      <c r="H102" s="530"/>
      <c r="L102" s="539"/>
      <c r="M102" s="539"/>
      <c r="N102" s="539"/>
    </row>
    <row r="103" spans="1:14">
      <c r="A103" s="499">
        <v>45496</v>
      </c>
      <c r="B103" s="499">
        <f t="shared" si="0"/>
        <v>45496</v>
      </c>
      <c r="C103" s="500" t="s">
        <v>173</v>
      </c>
      <c r="D103" s="500" t="s">
        <v>762</v>
      </c>
      <c r="E103" s="501">
        <v>-54029184.299999997</v>
      </c>
      <c r="F103" s="502" t="s">
        <v>879</v>
      </c>
      <c r="G103" s="100" t="s">
        <v>716</v>
      </c>
      <c r="H103" s="530"/>
      <c r="L103" s="539"/>
      <c r="M103" s="539"/>
      <c r="N103" s="539"/>
    </row>
    <row r="104" spans="1:14">
      <c r="A104" s="499">
        <v>45497</v>
      </c>
      <c r="B104" s="499">
        <f t="shared" si="0"/>
        <v>45497</v>
      </c>
      <c r="C104" s="500" t="s">
        <v>173</v>
      </c>
      <c r="D104" s="500" t="s">
        <v>762</v>
      </c>
      <c r="E104" s="501">
        <v>2902335058</v>
      </c>
      <c r="F104" s="502" t="s">
        <v>879</v>
      </c>
      <c r="G104" s="100" t="s">
        <v>706</v>
      </c>
      <c r="H104" s="530"/>
      <c r="L104" s="539"/>
      <c r="M104" s="539"/>
      <c r="N104" s="539"/>
    </row>
    <row r="105" spans="1:14">
      <c r="A105" s="499">
        <v>45497</v>
      </c>
      <c r="B105" s="499">
        <f t="shared" si="0"/>
        <v>45497</v>
      </c>
      <c r="C105" s="500" t="s">
        <v>173</v>
      </c>
      <c r="D105" s="500" t="s">
        <v>762</v>
      </c>
      <c r="E105" s="501">
        <v>2601775109</v>
      </c>
      <c r="F105" s="502" t="s">
        <v>879</v>
      </c>
      <c r="G105" s="100" t="s">
        <v>708</v>
      </c>
      <c r="H105" s="530"/>
      <c r="L105" s="539"/>
      <c r="M105" s="539"/>
      <c r="N105" s="539"/>
    </row>
    <row r="106" spans="1:14">
      <c r="A106" s="499">
        <v>45497</v>
      </c>
      <c r="B106" s="499">
        <f t="shared" si="0"/>
        <v>45497</v>
      </c>
      <c r="C106" s="500" t="s">
        <v>173</v>
      </c>
      <c r="D106" s="500" t="s">
        <v>762</v>
      </c>
      <c r="E106" s="501">
        <v>5107353320</v>
      </c>
      <c r="F106" s="502" t="s">
        <v>879</v>
      </c>
      <c r="G106" s="100" t="s">
        <v>633</v>
      </c>
      <c r="H106" s="530"/>
      <c r="L106" s="539"/>
      <c r="M106" s="539"/>
      <c r="N106" s="539"/>
    </row>
    <row r="107" spans="1:14">
      <c r="A107" s="499">
        <v>45497</v>
      </c>
      <c r="B107" s="499">
        <f t="shared" si="0"/>
        <v>45497</v>
      </c>
      <c r="C107" s="500" t="s">
        <v>173</v>
      </c>
      <c r="D107" s="500" t="s">
        <v>762</v>
      </c>
      <c r="E107" s="501">
        <v>2310064410</v>
      </c>
      <c r="F107" s="502" t="s">
        <v>879</v>
      </c>
      <c r="G107" s="100" t="s">
        <v>633</v>
      </c>
      <c r="H107" s="530"/>
      <c r="L107" s="539"/>
      <c r="M107" s="539"/>
      <c r="N107" s="539"/>
    </row>
    <row r="108" spans="1:14">
      <c r="A108" s="499">
        <v>45497</v>
      </c>
      <c r="B108" s="499">
        <f t="shared" si="0"/>
        <v>45497</v>
      </c>
      <c r="C108" s="500" t="s">
        <v>173</v>
      </c>
      <c r="D108" s="500" t="s">
        <v>762</v>
      </c>
      <c r="E108" s="501">
        <v>54048537.380000003</v>
      </c>
      <c r="F108" s="502" t="s">
        <v>879</v>
      </c>
      <c r="G108" s="100" t="s">
        <v>716</v>
      </c>
      <c r="H108" s="530"/>
      <c r="L108" s="539"/>
      <c r="M108" s="539"/>
      <c r="N108" s="539"/>
    </row>
    <row r="109" spans="1:14">
      <c r="A109" s="499">
        <v>45496</v>
      </c>
      <c r="B109" s="499">
        <f t="shared" si="0"/>
        <v>45496</v>
      </c>
      <c r="C109" s="500" t="s">
        <v>173</v>
      </c>
      <c r="D109" s="500" t="s">
        <v>761</v>
      </c>
      <c r="E109" s="501">
        <v>-2000591406</v>
      </c>
      <c r="F109" s="502" t="s">
        <v>879</v>
      </c>
      <c r="G109" s="100" t="s">
        <v>746</v>
      </c>
      <c r="H109" s="530"/>
      <c r="L109" s="539"/>
      <c r="M109" s="539"/>
      <c r="N109" s="539"/>
    </row>
    <row r="110" spans="1:14">
      <c r="A110" s="499">
        <v>45496</v>
      </c>
      <c r="B110" s="499">
        <f t="shared" si="0"/>
        <v>45496</v>
      </c>
      <c r="C110" s="500" t="s">
        <v>173</v>
      </c>
      <c r="D110" s="500" t="s">
        <v>761</v>
      </c>
      <c r="E110" s="501">
        <v>-68007548.439999998</v>
      </c>
      <c r="F110" s="502" t="s">
        <v>879</v>
      </c>
      <c r="G110" s="100" t="s">
        <v>551</v>
      </c>
      <c r="H110" s="530"/>
      <c r="L110" s="539"/>
      <c r="M110" s="539"/>
      <c r="N110" s="539"/>
    </row>
    <row r="111" spans="1:14">
      <c r="A111" s="499">
        <v>45496</v>
      </c>
      <c r="B111" s="499">
        <f t="shared" si="0"/>
        <v>45496</v>
      </c>
      <c r="C111" s="500" t="s">
        <v>173</v>
      </c>
      <c r="D111" s="500" t="s">
        <v>761</v>
      </c>
      <c r="E111" s="501">
        <v>-1980293810.8299999</v>
      </c>
      <c r="F111" s="502" t="s">
        <v>879</v>
      </c>
      <c r="G111" s="100" t="s">
        <v>679</v>
      </c>
      <c r="H111" s="530"/>
      <c r="L111" s="539"/>
      <c r="M111" s="539"/>
      <c r="N111" s="539"/>
    </row>
    <row r="112" spans="1:14">
      <c r="A112" s="499">
        <v>45496</v>
      </c>
      <c r="B112" s="499">
        <f t="shared" si="0"/>
        <v>45496</v>
      </c>
      <c r="C112" s="500" t="s">
        <v>173</v>
      </c>
      <c r="D112" s="500" t="s">
        <v>761</v>
      </c>
      <c r="E112" s="501">
        <v>-122085621.67</v>
      </c>
      <c r="F112" s="502" t="s">
        <v>879</v>
      </c>
      <c r="G112" s="100" t="s">
        <v>710</v>
      </c>
      <c r="H112" s="530"/>
      <c r="L112" s="539"/>
      <c r="M112" s="539"/>
      <c r="N112" s="539"/>
    </row>
    <row r="113" spans="1:14">
      <c r="A113" s="499">
        <v>45496</v>
      </c>
      <c r="B113" s="499">
        <f t="shared" si="0"/>
        <v>45496</v>
      </c>
      <c r="C113" s="500" t="s">
        <v>173</v>
      </c>
      <c r="D113" s="500" t="s">
        <v>761</v>
      </c>
      <c r="E113" s="501">
        <v>-449235776.19</v>
      </c>
      <c r="F113" s="502" t="s">
        <v>879</v>
      </c>
      <c r="G113" s="100" t="s">
        <v>66</v>
      </c>
      <c r="H113" s="530"/>
      <c r="L113" s="539"/>
      <c r="M113" s="539"/>
      <c r="N113" s="539"/>
    </row>
    <row r="114" spans="1:14">
      <c r="A114" s="499">
        <v>45496</v>
      </c>
      <c r="B114" s="499">
        <f t="shared" si="0"/>
        <v>45496</v>
      </c>
      <c r="C114" s="500" t="s">
        <v>173</v>
      </c>
      <c r="D114" s="500" t="s">
        <v>761</v>
      </c>
      <c r="E114" s="501">
        <v>-1849032795.46</v>
      </c>
      <c r="F114" s="502" t="s">
        <v>879</v>
      </c>
      <c r="G114" s="100" t="s">
        <v>446</v>
      </c>
      <c r="H114" s="530"/>
      <c r="L114" s="539"/>
      <c r="M114" s="539"/>
      <c r="N114" s="539"/>
    </row>
    <row r="115" spans="1:14">
      <c r="A115" s="499">
        <v>45496</v>
      </c>
      <c r="B115" s="499">
        <f t="shared" si="0"/>
        <v>45496</v>
      </c>
      <c r="C115" s="500" t="s">
        <v>173</v>
      </c>
      <c r="D115" s="500" t="s">
        <v>761</v>
      </c>
      <c r="E115" s="501">
        <v>-10005588.720000001</v>
      </c>
      <c r="F115" s="502" t="s">
        <v>879</v>
      </c>
      <c r="G115" s="100" t="s">
        <v>446</v>
      </c>
      <c r="H115" s="530"/>
      <c r="L115" s="539"/>
      <c r="M115" s="539"/>
      <c r="N115" s="539"/>
    </row>
    <row r="116" spans="1:14">
      <c r="A116" s="499">
        <v>45496</v>
      </c>
      <c r="B116" s="499">
        <f t="shared" si="0"/>
        <v>45496</v>
      </c>
      <c r="C116" s="500" t="s">
        <v>173</v>
      </c>
      <c r="D116" s="500" t="s">
        <v>761</v>
      </c>
      <c r="E116" s="501">
        <v>-495463133.88</v>
      </c>
      <c r="F116" s="502" t="s">
        <v>879</v>
      </c>
      <c r="G116" s="100" t="s">
        <v>683</v>
      </c>
      <c r="H116" s="530"/>
      <c r="L116" s="539"/>
      <c r="M116" s="539"/>
      <c r="N116" s="539"/>
    </row>
    <row r="117" spans="1:14">
      <c r="A117" s="499">
        <v>45496</v>
      </c>
      <c r="B117" s="499">
        <f t="shared" si="0"/>
        <v>45496</v>
      </c>
      <c r="C117" s="500" t="s">
        <v>173</v>
      </c>
      <c r="D117" s="500" t="s">
        <v>761</v>
      </c>
      <c r="E117" s="501">
        <v>-30013358.699999999</v>
      </c>
      <c r="F117" s="502" t="s">
        <v>879</v>
      </c>
      <c r="G117" s="100" t="s">
        <v>740</v>
      </c>
      <c r="H117" s="530"/>
      <c r="L117" s="539"/>
      <c r="M117" s="539"/>
      <c r="N117" s="539"/>
    </row>
    <row r="118" spans="1:14">
      <c r="A118" s="499">
        <v>45497</v>
      </c>
      <c r="B118" s="499">
        <v>45503</v>
      </c>
      <c r="C118" s="500" t="s">
        <v>173</v>
      </c>
      <c r="D118" s="500" t="s">
        <v>761</v>
      </c>
      <c r="E118" s="501">
        <v>2005749214.8800001</v>
      </c>
      <c r="F118" s="502" t="s">
        <v>879</v>
      </c>
      <c r="G118" s="100" t="s">
        <v>746</v>
      </c>
      <c r="H118" s="530"/>
      <c r="L118" s="539"/>
      <c r="M118" s="539"/>
      <c r="N118" s="539"/>
    </row>
    <row r="119" spans="1:14">
      <c r="A119" s="499">
        <v>45497</v>
      </c>
      <c r="B119" s="499">
        <v>45510</v>
      </c>
      <c r="C119" s="500" t="s">
        <v>173</v>
      </c>
      <c r="D119" s="500" t="s">
        <v>761</v>
      </c>
      <c r="E119" s="501">
        <v>68356133.579999998</v>
      </c>
      <c r="F119" s="502" t="s">
        <v>879</v>
      </c>
      <c r="G119" s="100" t="s">
        <v>551</v>
      </c>
      <c r="H119" s="530"/>
      <c r="L119" s="539"/>
      <c r="M119" s="539"/>
      <c r="N119" s="539"/>
    </row>
    <row r="120" spans="1:14">
      <c r="A120" s="499">
        <v>45497</v>
      </c>
      <c r="B120" s="499">
        <f t="shared" si="0"/>
        <v>45497</v>
      </c>
      <c r="C120" s="500" t="s">
        <v>173</v>
      </c>
      <c r="D120" s="500" t="s">
        <v>761</v>
      </c>
      <c r="E120" s="501">
        <v>1981004498.24</v>
      </c>
      <c r="F120" s="502" t="s">
        <v>879</v>
      </c>
      <c r="G120" s="100" t="s">
        <v>679</v>
      </c>
      <c r="H120" s="530"/>
      <c r="L120" s="539"/>
      <c r="M120" s="539"/>
      <c r="N120" s="539"/>
    </row>
    <row r="121" spans="1:14">
      <c r="A121" s="499">
        <v>45497</v>
      </c>
      <c r="B121" s="499">
        <f t="shared" si="0"/>
        <v>45497</v>
      </c>
      <c r="C121" s="500" t="s">
        <v>173</v>
      </c>
      <c r="D121" s="500" t="s">
        <v>761</v>
      </c>
      <c r="E121" s="501">
        <v>122129819.33</v>
      </c>
      <c r="F121" s="502" t="s">
        <v>879</v>
      </c>
      <c r="G121" s="100" t="s">
        <v>710</v>
      </c>
      <c r="H121" s="530"/>
      <c r="L121" s="539"/>
      <c r="M121" s="539"/>
      <c r="N121" s="539"/>
    </row>
    <row r="122" spans="1:14">
      <c r="A122" s="499">
        <v>45497</v>
      </c>
      <c r="B122" s="499">
        <f t="shared" si="0"/>
        <v>45497</v>
      </c>
      <c r="C122" s="500" t="s">
        <v>173</v>
      </c>
      <c r="D122" s="500" t="s">
        <v>761</v>
      </c>
      <c r="E122" s="501">
        <v>449398409.36000001</v>
      </c>
      <c r="F122" s="502" t="s">
        <v>879</v>
      </c>
      <c r="G122" s="100" t="s">
        <v>66</v>
      </c>
      <c r="H122" s="530"/>
      <c r="L122" s="539"/>
      <c r="M122" s="539"/>
      <c r="N122" s="539"/>
    </row>
    <row r="123" spans="1:14">
      <c r="A123" s="499">
        <v>45497</v>
      </c>
      <c r="B123" s="499">
        <f t="shared" si="0"/>
        <v>45497</v>
      </c>
      <c r="C123" s="500" t="s">
        <v>173</v>
      </c>
      <c r="D123" s="500" t="s">
        <v>761</v>
      </c>
      <c r="E123" s="501">
        <v>1849702185.75</v>
      </c>
      <c r="F123" s="502" t="s">
        <v>879</v>
      </c>
      <c r="G123" s="100" t="s">
        <v>446</v>
      </c>
      <c r="H123" s="530"/>
      <c r="L123" s="539"/>
      <c r="M123" s="539"/>
      <c r="N123" s="539"/>
    </row>
    <row r="124" spans="1:14">
      <c r="A124" s="499">
        <v>45497</v>
      </c>
      <c r="B124" s="499">
        <f t="shared" si="0"/>
        <v>45497</v>
      </c>
      <c r="C124" s="500" t="s">
        <v>173</v>
      </c>
      <c r="D124" s="500" t="s">
        <v>761</v>
      </c>
      <c r="E124" s="501">
        <v>10009210.960000001</v>
      </c>
      <c r="F124" s="502" t="s">
        <v>879</v>
      </c>
      <c r="G124" s="100" t="s">
        <v>446</v>
      </c>
      <c r="H124" s="530"/>
      <c r="L124" s="539"/>
      <c r="M124" s="539"/>
      <c r="N124" s="539"/>
    </row>
    <row r="125" spans="1:14">
      <c r="A125" s="499">
        <v>45497</v>
      </c>
      <c r="B125" s="499">
        <f t="shared" si="0"/>
        <v>45497</v>
      </c>
      <c r="C125" s="500" t="s">
        <v>173</v>
      </c>
      <c r="D125" s="500" t="s">
        <v>761</v>
      </c>
      <c r="E125" s="501">
        <v>495640945.57999998</v>
      </c>
      <c r="F125" s="502" t="s">
        <v>879</v>
      </c>
      <c r="G125" s="100" t="s">
        <v>683</v>
      </c>
      <c r="H125" s="530"/>
      <c r="L125" s="539"/>
      <c r="M125" s="539"/>
      <c r="N125" s="539"/>
    </row>
    <row r="126" spans="1:14">
      <c r="A126" s="499">
        <v>45497</v>
      </c>
      <c r="B126" s="499">
        <v>45510</v>
      </c>
      <c r="C126" s="500" t="s">
        <v>173</v>
      </c>
      <c r="D126" s="500" t="s">
        <v>761</v>
      </c>
      <c r="E126" s="501">
        <v>30167197.66</v>
      </c>
      <c r="F126" s="502" t="s">
        <v>879</v>
      </c>
      <c r="G126" s="100" t="s">
        <v>740</v>
      </c>
      <c r="H126" s="530"/>
      <c r="L126" s="539"/>
      <c r="M126" s="539"/>
      <c r="N126" s="539"/>
    </row>
    <row r="127" spans="1:14">
      <c r="A127" s="499">
        <v>45496</v>
      </c>
      <c r="B127" s="499">
        <f t="shared" si="0"/>
        <v>45496</v>
      </c>
      <c r="C127" s="500" t="s">
        <v>173</v>
      </c>
      <c r="D127" s="500" t="s">
        <v>760</v>
      </c>
      <c r="E127" s="501">
        <v>-124040498.40000001</v>
      </c>
      <c r="F127" s="502" t="s">
        <v>879</v>
      </c>
      <c r="G127" s="100" t="s">
        <v>825</v>
      </c>
      <c r="H127" s="530"/>
      <c r="L127" s="539"/>
      <c r="M127" s="539"/>
      <c r="N127" s="539"/>
    </row>
    <row r="128" spans="1:14">
      <c r="A128" s="499">
        <v>45496</v>
      </c>
      <c r="B128" s="499">
        <f t="shared" si="0"/>
        <v>45496</v>
      </c>
      <c r="C128" s="500" t="s">
        <v>173</v>
      </c>
      <c r="D128" s="500" t="s">
        <v>760</v>
      </c>
      <c r="E128" s="501">
        <v>-113036732.23</v>
      </c>
      <c r="F128" s="502" t="s">
        <v>879</v>
      </c>
      <c r="G128" s="100" t="s">
        <v>593</v>
      </c>
      <c r="H128" s="530"/>
      <c r="L128" s="539"/>
      <c r="M128" s="539"/>
      <c r="N128" s="539"/>
    </row>
    <row r="129" spans="1:14">
      <c r="A129" s="499">
        <v>45496</v>
      </c>
      <c r="B129" s="499">
        <f t="shared" si="0"/>
        <v>45496</v>
      </c>
      <c r="C129" s="500" t="s">
        <v>173</v>
      </c>
      <c r="D129" s="500" t="s">
        <v>760</v>
      </c>
      <c r="E129" s="501">
        <v>-366162129.22000003</v>
      </c>
      <c r="F129" s="502" t="s">
        <v>879</v>
      </c>
      <c r="G129" s="100" t="s">
        <v>92</v>
      </c>
      <c r="H129" s="530"/>
      <c r="L129" s="539"/>
      <c r="M129" s="539"/>
      <c r="N129" s="539"/>
    </row>
    <row r="130" spans="1:14">
      <c r="A130" s="499">
        <v>45496</v>
      </c>
      <c r="B130" s="499">
        <f t="shared" si="0"/>
        <v>45496</v>
      </c>
      <c r="C130" s="500" t="s">
        <v>173</v>
      </c>
      <c r="D130" s="500" t="s">
        <v>760</v>
      </c>
      <c r="E130" s="501">
        <v>-335208403.5</v>
      </c>
      <c r="F130" s="502" t="s">
        <v>879</v>
      </c>
      <c r="G130" s="100" t="s">
        <v>597</v>
      </c>
      <c r="H130" s="530"/>
      <c r="I130" s="523">
        <v>-1</v>
      </c>
      <c r="L130" s="539"/>
      <c r="M130" s="539"/>
      <c r="N130" s="539"/>
    </row>
    <row r="131" spans="1:14">
      <c r="A131" s="499">
        <v>45496</v>
      </c>
      <c r="B131" s="499">
        <f t="shared" si="0"/>
        <v>45496</v>
      </c>
      <c r="C131" s="500" t="s">
        <v>173</v>
      </c>
      <c r="D131" s="500" t="s">
        <v>760</v>
      </c>
      <c r="E131" s="501">
        <v>-347097062.49000001</v>
      </c>
      <c r="F131" s="502" t="s">
        <v>879</v>
      </c>
      <c r="G131" s="100" t="s">
        <v>822</v>
      </c>
      <c r="H131" s="530"/>
      <c r="L131" s="539"/>
      <c r="M131" s="539"/>
      <c r="N131" s="539"/>
    </row>
    <row r="132" spans="1:14">
      <c r="A132" s="499">
        <v>45496</v>
      </c>
      <c r="B132" s="499">
        <f t="shared" si="0"/>
        <v>45496</v>
      </c>
      <c r="C132" s="500" t="s">
        <v>173</v>
      </c>
      <c r="D132" s="500" t="s">
        <v>760</v>
      </c>
      <c r="E132" s="501">
        <v>-319103695.42000002</v>
      </c>
      <c r="F132" s="502" t="s">
        <v>879</v>
      </c>
      <c r="G132" s="100" t="s">
        <v>593</v>
      </c>
      <c r="H132" s="530"/>
      <c r="L132" s="539"/>
      <c r="M132" s="539"/>
      <c r="N132" s="539"/>
    </row>
    <row r="133" spans="1:14">
      <c r="A133" s="499">
        <v>45496</v>
      </c>
      <c r="B133" s="499">
        <f t="shared" si="0"/>
        <v>45496</v>
      </c>
      <c r="C133" s="500" t="s">
        <v>173</v>
      </c>
      <c r="D133" s="500" t="s">
        <v>760</v>
      </c>
      <c r="E133" s="501">
        <v>-314277793.92000002</v>
      </c>
      <c r="F133" s="502" t="s">
        <v>879</v>
      </c>
      <c r="G133" s="100" t="s">
        <v>548</v>
      </c>
      <c r="H133" s="530"/>
      <c r="L133" s="539"/>
      <c r="M133" s="539"/>
      <c r="N133" s="539"/>
    </row>
    <row r="134" spans="1:14">
      <c r="A134" s="499">
        <v>45496</v>
      </c>
      <c r="B134" s="499">
        <f t="shared" si="0"/>
        <v>45496</v>
      </c>
      <c r="C134" s="500" t="s">
        <v>173</v>
      </c>
      <c r="D134" s="500" t="s">
        <v>760</v>
      </c>
      <c r="E134" s="501">
        <v>-231013989.36000001</v>
      </c>
      <c r="F134" s="502" t="s">
        <v>879</v>
      </c>
      <c r="G134" s="100" t="s">
        <v>417</v>
      </c>
      <c r="H134" s="530"/>
      <c r="L134" s="539"/>
      <c r="M134" s="539"/>
      <c r="N134" s="539"/>
    </row>
    <row r="135" spans="1:14">
      <c r="A135" s="499">
        <v>45496</v>
      </c>
      <c r="B135" s="499">
        <f t="shared" si="0"/>
        <v>45496</v>
      </c>
      <c r="C135" s="500" t="s">
        <v>173</v>
      </c>
      <c r="D135" s="500" t="s">
        <v>760</v>
      </c>
      <c r="E135" s="501">
        <v>-373329990.86000001</v>
      </c>
      <c r="F135" s="502" t="s">
        <v>879</v>
      </c>
      <c r="G135" s="100" t="s">
        <v>548</v>
      </c>
      <c r="H135" s="530"/>
      <c r="L135" s="539"/>
      <c r="M135" s="539"/>
      <c r="N135" s="539"/>
    </row>
    <row r="136" spans="1:14">
      <c r="A136" s="499">
        <v>45496</v>
      </c>
      <c r="B136" s="499">
        <f t="shared" si="0"/>
        <v>45496</v>
      </c>
      <c r="C136" s="500" t="s">
        <v>173</v>
      </c>
      <c r="D136" s="500" t="s">
        <v>760</v>
      </c>
      <c r="E136" s="501">
        <v>-150083830.80000001</v>
      </c>
      <c r="F136" s="502" t="s">
        <v>879</v>
      </c>
      <c r="G136" s="100" t="s">
        <v>446</v>
      </c>
      <c r="H136" s="530"/>
      <c r="L136" s="539"/>
      <c r="M136" s="539"/>
      <c r="N136" s="539"/>
    </row>
    <row r="137" spans="1:14">
      <c r="A137" s="499">
        <v>45496</v>
      </c>
      <c r="B137" s="499">
        <f t="shared" si="0"/>
        <v>45496</v>
      </c>
      <c r="C137" s="500" t="s">
        <v>173</v>
      </c>
      <c r="D137" s="500" t="s">
        <v>760</v>
      </c>
      <c r="E137" s="501">
        <v>-185060421</v>
      </c>
      <c r="F137" s="502" t="s">
        <v>879</v>
      </c>
      <c r="G137" s="100" t="s">
        <v>825</v>
      </c>
      <c r="H137" s="530"/>
      <c r="L137" s="539"/>
      <c r="M137" s="539"/>
      <c r="N137" s="539"/>
    </row>
    <row r="138" spans="1:14">
      <c r="A138" s="499">
        <v>45496</v>
      </c>
      <c r="B138" s="499">
        <f t="shared" si="0"/>
        <v>45496</v>
      </c>
      <c r="C138" s="500" t="s">
        <v>173</v>
      </c>
      <c r="D138" s="500" t="s">
        <v>760</v>
      </c>
      <c r="E138" s="501">
        <v>-221164627.31999999</v>
      </c>
      <c r="F138" s="502" t="s">
        <v>879</v>
      </c>
      <c r="G138" s="100" t="s">
        <v>414</v>
      </c>
      <c r="H138" s="530"/>
      <c r="L138" s="539"/>
      <c r="M138" s="539"/>
      <c r="N138" s="539"/>
    </row>
    <row r="139" spans="1:14">
      <c r="A139" s="499">
        <v>45496</v>
      </c>
      <c r="B139" s="499">
        <f t="shared" si="0"/>
        <v>45496</v>
      </c>
      <c r="C139" s="500" t="s">
        <v>173</v>
      </c>
      <c r="D139" s="500" t="s">
        <v>760</v>
      </c>
      <c r="E139" s="501">
        <v>-68060159.189999998</v>
      </c>
      <c r="F139" s="502" t="s">
        <v>879</v>
      </c>
      <c r="G139" s="100" t="s">
        <v>548</v>
      </c>
      <c r="H139" s="530"/>
      <c r="L139" s="539"/>
      <c r="M139" s="539"/>
      <c r="N139" s="539"/>
    </row>
    <row r="140" spans="1:14">
      <c r="A140" s="499">
        <v>45496</v>
      </c>
      <c r="B140" s="499">
        <f t="shared" si="0"/>
        <v>45496</v>
      </c>
      <c r="C140" s="500" t="s">
        <v>173</v>
      </c>
      <c r="D140" s="500" t="s">
        <v>760</v>
      </c>
      <c r="E140" s="501">
        <v>-200148984</v>
      </c>
      <c r="F140" s="502" t="s">
        <v>879</v>
      </c>
      <c r="G140" s="100" t="s">
        <v>414</v>
      </c>
      <c r="H140" s="530"/>
      <c r="L140" s="539"/>
      <c r="M140" s="539"/>
      <c r="N140" s="539"/>
    </row>
    <row r="141" spans="1:14">
      <c r="A141" s="499">
        <v>45496</v>
      </c>
      <c r="B141" s="499">
        <f t="shared" si="0"/>
        <v>45496</v>
      </c>
      <c r="C141" s="500" t="s">
        <v>173</v>
      </c>
      <c r="D141" s="500" t="s">
        <v>760</v>
      </c>
      <c r="E141" s="501">
        <v>-200130754</v>
      </c>
      <c r="F141" s="502" t="s">
        <v>879</v>
      </c>
      <c r="G141" s="100" t="s">
        <v>679</v>
      </c>
      <c r="H141" s="530"/>
      <c r="L141" s="539"/>
      <c r="M141" s="539"/>
      <c r="N141" s="539"/>
    </row>
    <row r="142" spans="1:14">
      <c r="A142" s="499">
        <v>45496</v>
      </c>
      <c r="B142" s="499">
        <f t="shared" si="0"/>
        <v>45496</v>
      </c>
      <c r="C142" s="500" t="s">
        <v>173</v>
      </c>
      <c r="D142" s="500" t="s">
        <v>760</v>
      </c>
      <c r="E142" s="501">
        <v>-189117576.90000001</v>
      </c>
      <c r="F142" s="502" t="s">
        <v>879</v>
      </c>
      <c r="G142" s="100" t="s">
        <v>597</v>
      </c>
      <c r="H142" s="530"/>
      <c r="L142" s="539"/>
      <c r="M142" s="539"/>
      <c r="N142" s="539"/>
    </row>
    <row r="143" spans="1:14">
      <c r="A143" s="499">
        <v>45496</v>
      </c>
      <c r="B143" s="499">
        <f t="shared" si="0"/>
        <v>45496</v>
      </c>
      <c r="C143" s="500" t="s">
        <v>173</v>
      </c>
      <c r="D143" s="500" t="s">
        <v>760</v>
      </c>
      <c r="E143" s="501">
        <v>-200056888</v>
      </c>
      <c r="F143" s="502" t="s">
        <v>879</v>
      </c>
      <c r="G143" s="100" t="s">
        <v>422</v>
      </c>
      <c r="H143" s="530"/>
      <c r="L143" s="539"/>
      <c r="M143" s="539"/>
      <c r="N143" s="539"/>
    </row>
    <row r="144" spans="1:14">
      <c r="A144" s="499">
        <v>45496</v>
      </c>
      <c r="B144" s="499">
        <f t="shared" si="0"/>
        <v>45496</v>
      </c>
      <c r="C144" s="500" t="s">
        <v>173</v>
      </c>
      <c r="D144" s="500" t="s">
        <v>760</v>
      </c>
      <c r="E144" s="501">
        <v>-171008567.09999999</v>
      </c>
      <c r="F144" s="502" t="s">
        <v>879</v>
      </c>
      <c r="G144" s="100" t="s">
        <v>603</v>
      </c>
      <c r="H144" s="530"/>
      <c r="L144" s="539"/>
      <c r="M144" s="539"/>
      <c r="N144" s="539"/>
    </row>
    <row r="145" spans="1:14">
      <c r="A145" s="499">
        <v>45496</v>
      </c>
      <c r="B145" s="499">
        <f t="shared" si="0"/>
        <v>45496</v>
      </c>
      <c r="C145" s="500" t="s">
        <v>173</v>
      </c>
      <c r="D145" s="500" t="s">
        <v>760</v>
      </c>
      <c r="E145" s="501">
        <v>-243155024.28</v>
      </c>
      <c r="F145" s="502" t="s">
        <v>879</v>
      </c>
      <c r="G145" s="100" t="s">
        <v>84</v>
      </c>
      <c r="H145" s="530"/>
      <c r="L145" s="539"/>
      <c r="M145" s="539"/>
      <c r="N145" s="539"/>
    </row>
    <row r="146" spans="1:14">
      <c r="A146" s="499">
        <v>45496</v>
      </c>
      <c r="B146" s="499">
        <f t="shared" si="0"/>
        <v>45496</v>
      </c>
      <c r="C146" s="500" t="s">
        <v>173</v>
      </c>
      <c r="D146" s="500" t="s">
        <v>760</v>
      </c>
      <c r="E146" s="501">
        <v>-153049187.21000001</v>
      </c>
      <c r="F146" s="502" t="s">
        <v>879</v>
      </c>
      <c r="G146" s="100" t="s">
        <v>591</v>
      </c>
      <c r="H146" s="530"/>
      <c r="L146" s="539"/>
      <c r="M146" s="539"/>
      <c r="N146" s="539"/>
    </row>
    <row r="147" spans="1:14">
      <c r="A147" s="499">
        <v>45496</v>
      </c>
      <c r="B147" s="499">
        <f t="shared" si="0"/>
        <v>45496</v>
      </c>
      <c r="C147" s="500" t="s">
        <v>173</v>
      </c>
      <c r="D147" s="500" t="s">
        <v>760</v>
      </c>
      <c r="E147" s="501">
        <v>-180009018</v>
      </c>
      <c r="F147" s="502" t="s">
        <v>879</v>
      </c>
      <c r="G147" s="100" t="s">
        <v>603</v>
      </c>
      <c r="H147" s="530"/>
      <c r="L147" s="539"/>
      <c r="M147" s="539"/>
      <c r="N147" s="539"/>
    </row>
    <row r="148" spans="1:14">
      <c r="A148" s="499">
        <v>45496</v>
      </c>
      <c r="B148" s="499">
        <f t="shared" si="0"/>
        <v>45496</v>
      </c>
      <c r="C148" s="500" t="s">
        <v>173</v>
      </c>
      <c r="D148" s="500" t="s">
        <v>760</v>
      </c>
      <c r="E148" s="501">
        <v>-216062161.56</v>
      </c>
      <c r="F148" s="502" t="s">
        <v>879</v>
      </c>
      <c r="G148" s="100" t="s">
        <v>589</v>
      </c>
      <c r="H148" s="530"/>
      <c r="L148" s="539"/>
      <c r="M148" s="539"/>
      <c r="N148" s="539"/>
    </row>
    <row r="149" spans="1:14">
      <c r="A149" s="499">
        <v>45496</v>
      </c>
      <c r="B149" s="499">
        <f t="shared" si="0"/>
        <v>45496</v>
      </c>
      <c r="C149" s="500" t="s">
        <v>173</v>
      </c>
      <c r="D149" s="500" t="s">
        <v>760</v>
      </c>
      <c r="E149" s="501">
        <v>-245216750.03</v>
      </c>
      <c r="F149" s="502" t="s">
        <v>879</v>
      </c>
      <c r="G149" s="100" t="s">
        <v>548</v>
      </c>
      <c r="H149" s="530"/>
      <c r="L149" s="539"/>
      <c r="M149" s="539"/>
      <c r="N149" s="539"/>
    </row>
    <row r="150" spans="1:14">
      <c r="A150" s="499">
        <v>45496</v>
      </c>
      <c r="B150" s="499">
        <f t="shared" ref="B150:B209" si="1">A150</f>
        <v>45496</v>
      </c>
      <c r="C150" s="500" t="s">
        <v>173</v>
      </c>
      <c r="D150" s="500" t="s">
        <v>760</v>
      </c>
      <c r="E150" s="501">
        <v>-134071771.2</v>
      </c>
      <c r="F150" s="502" t="s">
        <v>879</v>
      </c>
      <c r="G150" s="100" t="s">
        <v>78</v>
      </c>
      <c r="H150" s="530"/>
      <c r="L150" s="539"/>
      <c r="M150" s="539"/>
      <c r="N150" s="539"/>
    </row>
    <row r="151" spans="1:14">
      <c r="A151" s="499">
        <v>45496</v>
      </c>
      <c r="B151" s="499">
        <f t="shared" si="1"/>
        <v>45496</v>
      </c>
      <c r="C151" s="500" t="s">
        <v>173</v>
      </c>
      <c r="D151" s="500" t="s">
        <v>760</v>
      </c>
      <c r="E151" s="501">
        <v>-151079508.13999999</v>
      </c>
      <c r="F151" s="502" t="s">
        <v>879</v>
      </c>
      <c r="G151" s="100" t="s">
        <v>601</v>
      </c>
      <c r="H151" s="530"/>
      <c r="L151" s="539"/>
      <c r="M151" s="539"/>
      <c r="N151" s="539"/>
    </row>
    <row r="152" spans="1:14">
      <c r="A152" s="499">
        <v>45496</v>
      </c>
      <c r="B152" s="499">
        <f t="shared" si="1"/>
        <v>45496</v>
      </c>
      <c r="C152" s="500" t="s">
        <v>173</v>
      </c>
      <c r="D152" s="500" t="s">
        <v>760</v>
      </c>
      <c r="E152" s="501">
        <v>-321002012.99000001</v>
      </c>
      <c r="F152" s="502" t="s">
        <v>879</v>
      </c>
      <c r="G152" s="100" t="s">
        <v>88</v>
      </c>
      <c r="H152" s="530"/>
      <c r="L152" s="539"/>
      <c r="M152" s="539"/>
      <c r="N152" s="539"/>
    </row>
    <row r="153" spans="1:14">
      <c r="A153" s="499">
        <v>45496</v>
      </c>
      <c r="B153" s="499">
        <f t="shared" si="1"/>
        <v>45496</v>
      </c>
      <c r="C153" s="500" t="s">
        <v>173</v>
      </c>
      <c r="D153" s="500" t="s">
        <v>760</v>
      </c>
      <c r="E153" s="501">
        <v>-283048003.88</v>
      </c>
      <c r="F153" s="502" t="s">
        <v>879</v>
      </c>
      <c r="G153" s="100" t="s">
        <v>820</v>
      </c>
      <c r="H153" s="530"/>
      <c r="L153" s="539"/>
      <c r="M153" s="539"/>
      <c r="N153" s="539"/>
    </row>
    <row r="154" spans="1:14">
      <c r="A154" s="499">
        <v>45496</v>
      </c>
      <c r="B154" s="499">
        <f t="shared" si="1"/>
        <v>45496</v>
      </c>
      <c r="C154" s="500" t="s">
        <v>173</v>
      </c>
      <c r="D154" s="500" t="s">
        <v>760</v>
      </c>
      <c r="E154" s="501">
        <v>-263196261.91</v>
      </c>
      <c r="F154" s="502" t="s">
        <v>879</v>
      </c>
      <c r="G154" s="100" t="s">
        <v>87</v>
      </c>
      <c r="H154" s="530"/>
      <c r="L154" s="539"/>
      <c r="M154" s="539"/>
      <c r="N154" s="539"/>
    </row>
    <row r="155" spans="1:14">
      <c r="A155" s="499">
        <v>45496</v>
      </c>
      <c r="B155" s="499">
        <f t="shared" si="1"/>
        <v>45496</v>
      </c>
      <c r="C155" s="500" t="s">
        <v>173</v>
      </c>
      <c r="D155" s="500" t="s">
        <v>760</v>
      </c>
      <c r="E155" s="501">
        <v>-326221443.31999999</v>
      </c>
      <c r="F155" s="502" t="s">
        <v>879</v>
      </c>
      <c r="G155" s="100" t="s">
        <v>503</v>
      </c>
      <c r="H155" s="530"/>
      <c r="L155" s="539"/>
      <c r="M155" s="539"/>
      <c r="N155" s="539"/>
    </row>
    <row r="156" spans="1:14">
      <c r="A156" s="499">
        <v>45496</v>
      </c>
      <c r="B156" s="499">
        <f t="shared" si="1"/>
        <v>45496</v>
      </c>
      <c r="C156" s="500" t="s">
        <v>173</v>
      </c>
      <c r="D156" s="500" t="s">
        <v>760</v>
      </c>
      <c r="E156" s="501">
        <v>-261271737.53999999</v>
      </c>
      <c r="F156" s="502" t="s">
        <v>879</v>
      </c>
      <c r="G156" s="100" t="s">
        <v>595</v>
      </c>
      <c r="H156" s="530"/>
      <c r="L156" s="539"/>
      <c r="M156" s="539"/>
      <c r="N156" s="539"/>
    </row>
    <row r="157" spans="1:14">
      <c r="A157" s="499">
        <v>45496</v>
      </c>
      <c r="B157" s="499">
        <f t="shared" si="1"/>
        <v>45496</v>
      </c>
      <c r="C157" s="500" t="s">
        <v>173</v>
      </c>
      <c r="D157" s="500" t="s">
        <v>760</v>
      </c>
      <c r="E157" s="501">
        <v>-160051906.56</v>
      </c>
      <c r="F157" s="502" t="s">
        <v>879</v>
      </c>
      <c r="G157" s="100" t="s">
        <v>91</v>
      </c>
      <c r="H157" s="530"/>
      <c r="L157" s="539"/>
      <c r="M157" s="539"/>
      <c r="N157" s="539"/>
    </row>
    <row r="158" spans="1:14">
      <c r="A158" s="499">
        <v>45496</v>
      </c>
      <c r="B158" s="499">
        <f t="shared" si="1"/>
        <v>45496</v>
      </c>
      <c r="C158" s="500" t="s">
        <v>173</v>
      </c>
      <c r="D158" s="500" t="s">
        <v>760</v>
      </c>
      <c r="E158" s="501">
        <v>-205176437.75999999</v>
      </c>
      <c r="F158" s="502" t="s">
        <v>879</v>
      </c>
      <c r="G158" s="100" t="s">
        <v>655</v>
      </c>
      <c r="H158" s="530"/>
      <c r="L158" s="539"/>
      <c r="M158" s="539"/>
      <c r="N158" s="539"/>
    </row>
    <row r="159" spans="1:14">
      <c r="A159" s="499">
        <v>45496</v>
      </c>
      <c r="B159" s="499">
        <f t="shared" si="1"/>
        <v>45496</v>
      </c>
      <c r="C159" s="500" t="s">
        <v>173</v>
      </c>
      <c r="D159" s="500" t="s">
        <v>760</v>
      </c>
      <c r="E159" s="501">
        <v>-108013870.22</v>
      </c>
      <c r="F159" s="502" t="s">
        <v>879</v>
      </c>
      <c r="G159" s="100" t="s">
        <v>83</v>
      </c>
      <c r="H159" s="530"/>
      <c r="L159" s="539"/>
      <c r="M159" s="539"/>
      <c r="N159" s="539"/>
    </row>
    <row r="160" spans="1:14">
      <c r="A160" s="499">
        <v>45496</v>
      </c>
      <c r="B160" s="499">
        <f t="shared" si="1"/>
        <v>45496</v>
      </c>
      <c r="C160" s="500" t="s">
        <v>173</v>
      </c>
      <c r="D160" s="500" t="s">
        <v>760</v>
      </c>
      <c r="E160" s="501">
        <v>-330205293</v>
      </c>
      <c r="F160" s="502" t="s">
        <v>879</v>
      </c>
      <c r="G160" s="100" t="s">
        <v>597</v>
      </c>
      <c r="H160" s="530"/>
      <c r="L160" s="539"/>
      <c r="M160" s="539"/>
      <c r="N160" s="539"/>
    </row>
    <row r="161" spans="1:17">
      <c r="A161" s="499">
        <v>45496</v>
      </c>
      <c r="B161" s="499">
        <f t="shared" si="1"/>
        <v>45496</v>
      </c>
      <c r="C161" s="500" t="s">
        <v>173</v>
      </c>
      <c r="D161" s="500" t="s">
        <v>760</v>
      </c>
      <c r="E161" s="501">
        <v>-176144972.08000001</v>
      </c>
      <c r="F161" s="502" t="s">
        <v>879</v>
      </c>
      <c r="G161" s="100" t="s">
        <v>68</v>
      </c>
      <c r="H161" s="530"/>
      <c r="L161" s="539"/>
      <c r="M161" s="539"/>
      <c r="N161" s="539"/>
    </row>
    <row r="162" spans="1:17">
      <c r="A162" s="499">
        <v>45496</v>
      </c>
      <c r="B162" s="499">
        <f t="shared" si="1"/>
        <v>45496</v>
      </c>
      <c r="C162" s="500" t="s">
        <v>173</v>
      </c>
      <c r="D162" s="500" t="s">
        <v>760</v>
      </c>
      <c r="E162" s="501">
        <v>-127015119.34999999</v>
      </c>
      <c r="F162" s="502" t="s">
        <v>879</v>
      </c>
      <c r="G162" s="100" t="s">
        <v>77</v>
      </c>
      <c r="H162" s="530"/>
      <c r="L162" s="539"/>
      <c r="M162" s="539"/>
      <c r="N162" s="539"/>
    </row>
    <row r="163" spans="1:17">
      <c r="A163" s="499">
        <v>45496</v>
      </c>
      <c r="B163" s="499">
        <f t="shared" si="1"/>
        <v>45496</v>
      </c>
      <c r="C163" s="500" t="s">
        <v>173</v>
      </c>
      <c r="D163" s="500" t="s">
        <v>760</v>
      </c>
      <c r="E163" s="501">
        <v>-111044663.63</v>
      </c>
      <c r="F163" s="502" t="s">
        <v>879</v>
      </c>
      <c r="G163" s="100" t="s">
        <v>90</v>
      </c>
      <c r="H163" s="530"/>
      <c r="I163" s="525"/>
      <c r="J163" s="100"/>
      <c r="K163" s="539"/>
      <c r="L163" s="546"/>
      <c r="M163" s="546"/>
      <c r="N163" s="286"/>
      <c r="O163" s="286"/>
      <c r="P163" s="286"/>
      <c r="Q163" s="547"/>
    </row>
    <row r="164" spans="1:17">
      <c r="A164" s="499">
        <v>45496</v>
      </c>
      <c r="B164" s="499">
        <f t="shared" si="1"/>
        <v>45496</v>
      </c>
      <c r="C164" s="500" t="s">
        <v>173</v>
      </c>
      <c r="D164" s="500" t="s">
        <v>760</v>
      </c>
      <c r="E164" s="501">
        <v>-32017724.77</v>
      </c>
      <c r="F164" s="502" t="s">
        <v>879</v>
      </c>
      <c r="G164" s="100" t="s">
        <v>494</v>
      </c>
      <c r="H164" s="530"/>
      <c r="I164" s="525"/>
      <c r="J164" s="100"/>
      <c r="K164" s="539"/>
      <c r="L164" s="546"/>
      <c r="M164" s="546"/>
      <c r="N164" s="286"/>
      <c r="O164" s="286"/>
      <c r="P164" s="286"/>
      <c r="Q164" s="547"/>
    </row>
    <row r="165" spans="1:17">
      <c r="A165" s="499">
        <v>45497</v>
      </c>
      <c r="B165" s="499">
        <f t="shared" si="1"/>
        <v>45497</v>
      </c>
      <c r="C165" s="500" t="s">
        <v>173</v>
      </c>
      <c r="D165" s="500" t="s">
        <v>760</v>
      </c>
      <c r="E165" s="501">
        <v>124085064.52</v>
      </c>
      <c r="F165" s="502" t="s">
        <v>879</v>
      </c>
      <c r="G165" s="100" t="s">
        <v>825</v>
      </c>
      <c r="H165" s="530"/>
      <c r="I165" s="525"/>
      <c r="J165" s="100"/>
      <c r="K165" s="539"/>
      <c r="L165" s="546"/>
      <c r="M165" s="546"/>
      <c r="N165" s="286"/>
      <c r="O165" s="286"/>
      <c r="P165" s="286"/>
      <c r="Q165" s="547"/>
    </row>
    <row r="166" spans="1:17">
      <c r="A166" s="499">
        <v>45497</v>
      </c>
      <c r="B166" s="499">
        <f t="shared" si="1"/>
        <v>45497</v>
      </c>
      <c r="C166" s="500" t="s">
        <v>173</v>
      </c>
      <c r="D166" s="500" t="s">
        <v>760</v>
      </c>
      <c r="E166" s="501">
        <v>113077344.84999999</v>
      </c>
      <c r="F166" s="502" t="s">
        <v>879</v>
      </c>
      <c r="G166" s="100" t="s">
        <v>593</v>
      </c>
      <c r="H166" s="530"/>
      <c r="I166" s="525"/>
      <c r="J166" s="100"/>
      <c r="K166" s="539"/>
      <c r="L166" s="546"/>
      <c r="M166" s="546"/>
      <c r="N166" s="286"/>
      <c r="O166" s="286"/>
      <c r="P166" s="286"/>
      <c r="Q166" s="547"/>
    </row>
    <row r="167" spans="1:17">
      <c r="A167" s="499">
        <v>45497</v>
      </c>
      <c r="B167" s="499">
        <f t="shared" si="1"/>
        <v>45497</v>
      </c>
      <c r="C167" s="500" t="s">
        <v>173</v>
      </c>
      <c r="D167" s="500" t="s">
        <v>760</v>
      </c>
      <c r="E167" s="501">
        <v>366293686.47000003</v>
      </c>
      <c r="F167" s="502" t="s">
        <v>879</v>
      </c>
      <c r="G167" s="100" t="s">
        <v>92</v>
      </c>
      <c r="H167" s="530"/>
      <c r="I167" s="525"/>
      <c r="J167" s="100"/>
      <c r="K167" s="539"/>
      <c r="L167" s="546"/>
      <c r="M167" s="546"/>
      <c r="N167" s="286"/>
      <c r="O167" s="286"/>
      <c r="P167" s="286"/>
      <c r="Q167" s="547"/>
    </row>
    <row r="168" spans="1:17">
      <c r="A168" s="499">
        <v>45497</v>
      </c>
      <c r="B168" s="499">
        <f t="shared" si="1"/>
        <v>45497</v>
      </c>
      <c r="C168" s="500" t="s">
        <v>173</v>
      </c>
      <c r="D168" s="500" t="s">
        <v>760</v>
      </c>
      <c r="E168" s="501">
        <v>335328839.48000002</v>
      </c>
      <c r="F168" s="502" t="s">
        <v>879</v>
      </c>
      <c r="G168" s="100" t="s">
        <v>597</v>
      </c>
      <c r="H168" s="530"/>
      <c r="I168" s="525"/>
      <c r="J168" s="100"/>
      <c r="K168" s="539"/>
      <c r="L168" s="546"/>
      <c r="M168" s="546"/>
      <c r="N168" s="286"/>
      <c r="O168" s="286"/>
      <c r="P168" s="286"/>
      <c r="Q168" s="547"/>
    </row>
    <row r="169" spans="1:17">
      <c r="A169" s="499">
        <v>45497</v>
      </c>
      <c r="B169" s="499">
        <f t="shared" si="1"/>
        <v>45497</v>
      </c>
      <c r="C169" s="500" t="s">
        <v>173</v>
      </c>
      <c r="D169" s="500" t="s">
        <v>760</v>
      </c>
      <c r="E169" s="501">
        <v>347221769.91000003</v>
      </c>
      <c r="F169" s="502" t="s">
        <v>879</v>
      </c>
      <c r="G169" s="100" t="s">
        <v>822</v>
      </c>
      <c r="H169" s="530"/>
      <c r="I169" s="525"/>
      <c r="J169" s="100"/>
      <c r="K169" s="539"/>
      <c r="L169" s="546"/>
      <c r="M169" s="546"/>
      <c r="N169" s="286"/>
      <c r="O169" s="286"/>
      <c r="P169" s="286"/>
      <c r="Q169" s="547"/>
    </row>
    <row r="170" spans="1:17">
      <c r="A170" s="499">
        <v>45497</v>
      </c>
      <c r="B170" s="499">
        <f t="shared" si="1"/>
        <v>45497</v>
      </c>
      <c r="C170" s="500" t="s">
        <v>173</v>
      </c>
      <c r="D170" s="500" t="s">
        <v>760</v>
      </c>
      <c r="E170" s="501">
        <v>319218345.19</v>
      </c>
      <c r="F170" s="502" t="s">
        <v>879</v>
      </c>
      <c r="G170" s="100" t="s">
        <v>593</v>
      </c>
      <c r="H170" s="530"/>
      <c r="I170" s="525"/>
      <c r="J170" s="100"/>
      <c r="K170" s="539"/>
      <c r="L170" s="546"/>
      <c r="M170" s="546"/>
      <c r="N170" s="286"/>
      <c r="O170" s="286"/>
      <c r="P170" s="286"/>
      <c r="Q170" s="547"/>
    </row>
    <row r="171" spans="1:17">
      <c r="A171" s="499">
        <v>45497</v>
      </c>
      <c r="B171" s="499">
        <f t="shared" si="1"/>
        <v>45497</v>
      </c>
      <c r="C171" s="500" t="s">
        <v>173</v>
      </c>
      <c r="D171" s="500" t="s">
        <v>760</v>
      </c>
      <c r="E171" s="501">
        <v>314390709.81</v>
      </c>
      <c r="F171" s="502" t="s">
        <v>879</v>
      </c>
      <c r="G171" s="100" t="s">
        <v>548</v>
      </c>
      <c r="H171" s="530"/>
      <c r="I171" s="525"/>
      <c r="J171" s="100"/>
      <c r="K171" s="539"/>
      <c r="L171" s="546"/>
      <c r="M171" s="546"/>
      <c r="N171" s="286"/>
      <c r="O171" s="286"/>
      <c r="P171" s="286"/>
      <c r="Q171" s="547"/>
    </row>
    <row r="172" spans="1:17">
      <c r="A172" s="499">
        <v>45497</v>
      </c>
      <c r="B172" s="499">
        <f t="shared" si="1"/>
        <v>45497</v>
      </c>
      <c r="C172" s="500" t="s">
        <v>173</v>
      </c>
      <c r="D172" s="500" t="s">
        <v>760</v>
      </c>
      <c r="E172" s="501">
        <v>231096989.66</v>
      </c>
      <c r="F172" s="502" t="s">
        <v>879</v>
      </c>
      <c r="G172" s="100" t="s">
        <v>417</v>
      </c>
      <c r="H172" s="530"/>
      <c r="I172" s="525"/>
      <c r="J172" s="100"/>
      <c r="K172" s="539"/>
      <c r="L172" s="546"/>
      <c r="M172" s="546"/>
      <c r="N172" s="286"/>
      <c r="O172" s="286"/>
      <c r="P172" s="286"/>
      <c r="Q172" s="547"/>
    </row>
    <row r="173" spans="1:17">
      <c r="A173" s="499">
        <v>45497</v>
      </c>
      <c r="B173" s="499">
        <f t="shared" si="1"/>
        <v>45497</v>
      </c>
      <c r="C173" s="500" t="s">
        <v>173</v>
      </c>
      <c r="D173" s="500" t="s">
        <v>760</v>
      </c>
      <c r="E173" s="501">
        <v>373464123.43000001</v>
      </c>
      <c r="F173" s="502" t="s">
        <v>879</v>
      </c>
      <c r="G173" s="100" t="s">
        <v>548</v>
      </c>
      <c r="H173" s="530"/>
      <c r="I173" s="525"/>
      <c r="J173" s="100"/>
      <c r="K173" s="539"/>
      <c r="L173" s="546"/>
      <c r="M173" s="546"/>
      <c r="N173" s="286"/>
      <c r="O173" s="286"/>
      <c r="P173" s="286"/>
      <c r="Q173" s="547"/>
    </row>
    <row r="174" spans="1:17">
      <c r="A174" s="499">
        <v>45497</v>
      </c>
      <c r="B174" s="499">
        <f t="shared" si="1"/>
        <v>45497</v>
      </c>
      <c r="C174" s="500" t="s">
        <v>173</v>
      </c>
      <c r="D174" s="500" t="s">
        <v>760</v>
      </c>
      <c r="E174" s="501">
        <v>150137753.94999999</v>
      </c>
      <c r="F174" s="502" t="s">
        <v>879</v>
      </c>
      <c r="G174" s="100" t="s">
        <v>446</v>
      </c>
      <c r="H174" s="530"/>
      <c r="I174" s="525"/>
      <c r="J174" s="100"/>
      <c r="K174" s="539"/>
      <c r="L174" s="546"/>
      <c r="M174" s="546"/>
      <c r="N174" s="286"/>
      <c r="O174" s="286"/>
      <c r="P174" s="286"/>
      <c r="Q174" s="547"/>
    </row>
    <row r="175" spans="1:17">
      <c r="A175" s="499">
        <v>45497</v>
      </c>
      <c r="B175" s="499">
        <f t="shared" si="1"/>
        <v>45497</v>
      </c>
      <c r="C175" s="500" t="s">
        <v>173</v>
      </c>
      <c r="D175" s="500" t="s">
        <v>760</v>
      </c>
      <c r="E175" s="501">
        <v>185126910.78</v>
      </c>
      <c r="F175" s="502" t="s">
        <v>879</v>
      </c>
      <c r="G175" s="100" t="s">
        <v>825</v>
      </c>
      <c r="H175" s="530"/>
      <c r="I175" s="525"/>
      <c r="J175" s="100"/>
      <c r="K175" s="539"/>
      <c r="L175" s="546"/>
      <c r="M175" s="546"/>
      <c r="N175" s="286"/>
      <c r="O175" s="286"/>
      <c r="P175" s="286"/>
      <c r="Q175" s="547"/>
    </row>
    <row r="176" spans="1:17">
      <c r="A176" s="499">
        <v>45497</v>
      </c>
      <c r="B176" s="499">
        <f t="shared" si="1"/>
        <v>45497</v>
      </c>
      <c r="C176" s="500" t="s">
        <v>173</v>
      </c>
      <c r="D176" s="500" t="s">
        <v>760</v>
      </c>
      <c r="E176" s="501">
        <v>221244088.87</v>
      </c>
      <c r="F176" s="502" t="s">
        <v>879</v>
      </c>
      <c r="G176" s="100" t="s">
        <v>414</v>
      </c>
      <c r="H176" s="530"/>
      <c r="I176" s="525"/>
      <c r="J176" s="100"/>
      <c r="K176" s="539"/>
      <c r="L176" s="546"/>
      <c r="M176" s="546"/>
      <c r="N176" s="286"/>
      <c r="O176" s="286"/>
      <c r="P176" s="286"/>
      <c r="Q176" s="547"/>
    </row>
    <row r="177" spans="1:17">
      <c r="A177" s="499">
        <v>45497</v>
      </c>
      <c r="B177" s="499">
        <f t="shared" si="1"/>
        <v>45497</v>
      </c>
      <c r="C177" s="500" t="s">
        <v>173</v>
      </c>
      <c r="D177" s="500" t="s">
        <v>760</v>
      </c>
      <c r="E177" s="501">
        <v>68084612.310000002</v>
      </c>
      <c r="F177" s="502" t="s">
        <v>879</v>
      </c>
      <c r="G177" s="100" t="s">
        <v>548</v>
      </c>
      <c r="H177" s="530"/>
      <c r="I177" s="525"/>
      <c r="J177" s="100"/>
      <c r="K177" s="539"/>
      <c r="L177" s="546"/>
      <c r="M177" s="546"/>
      <c r="N177" s="286"/>
      <c r="O177" s="286"/>
      <c r="P177" s="286"/>
      <c r="Q177" s="547"/>
    </row>
    <row r="178" spans="1:17">
      <c r="A178" s="499">
        <v>45497</v>
      </c>
      <c r="B178" s="499">
        <f t="shared" si="1"/>
        <v>45497</v>
      </c>
      <c r="C178" s="500" t="s">
        <v>173</v>
      </c>
      <c r="D178" s="500" t="s">
        <v>760</v>
      </c>
      <c r="E178" s="501">
        <v>200220894.91</v>
      </c>
      <c r="F178" s="502" t="s">
        <v>879</v>
      </c>
      <c r="G178" s="100" t="s">
        <v>414</v>
      </c>
      <c r="H178" s="530"/>
      <c r="I178" s="525"/>
      <c r="J178" s="100"/>
      <c r="K178" s="539"/>
      <c r="L178" s="546"/>
      <c r="M178" s="546"/>
      <c r="N178" s="286"/>
      <c r="O178" s="286"/>
      <c r="P178" s="286"/>
      <c r="Q178" s="547"/>
    </row>
    <row r="179" spans="1:17">
      <c r="A179" s="499">
        <v>45497</v>
      </c>
      <c r="B179" s="499">
        <f t="shared" si="1"/>
        <v>45497</v>
      </c>
      <c r="C179" s="500" t="s">
        <v>173</v>
      </c>
      <c r="D179" s="500" t="s">
        <v>760</v>
      </c>
      <c r="E179" s="501">
        <v>200202658.36000001</v>
      </c>
      <c r="F179" s="502" t="s">
        <v>879</v>
      </c>
      <c r="G179" s="100" t="s">
        <v>679</v>
      </c>
      <c r="H179" s="530"/>
      <c r="I179" s="525"/>
      <c r="J179" s="100"/>
      <c r="K179" s="539"/>
      <c r="L179" s="546"/>
      <c r="M179" s="546"/>
      <c r="N179" s="286"/>
      <c r="O179" s="286"/>
      <c r="P179" s="286"/>
      <c r="Q179" s="547"/>
    </row>
    <row r="180" spans="1:17">
      <c r="A180" s="499">
        <v>45497</v>
      </c>
      <c r="B180" s="499">
        <f t="shared" si="1"/>
        <v>45497</v>
      </c>
      <c r="C180" s="500" t="s">
        <v>173</v>
      </c>
      <c r="D180" s="500" t="s">
        <v>760</v>
      </c>
      <c r="E180" s="501">
        <v>189185524.37</v>
      </c>
      <c r="F180" s="502" t="s">
        <v>879</v>
      </c>
      <c r="G180" s="100" t="s">
        <v>597</v>
      </c>
      <c r="H180" s="530"/>
      <c r="I180" s="525"/>
      <c r="J180" s="100"/>
      <c r="K180" s="539"/>
      <c r="L180" s="546"/>
      <c r="M180" s="546"/>
      <c r="N180" s="286"/>
      <c r="O180" s="286"/>
      <c r="P180" s="286"/>
      <c r="Q180" s="547"/>
    </row>
    <row r="181" spans="1:17">
      <c r="A181" s="499">
        <v>45497</v>
      </c>
      <c r="B181" s="499">
        <f t="shared" si="1"/>
        <v>45497</v>
      </c>
      <c r="C181" s="500" t="s">
        <v>173</v>
      </c>
      <c r="D181" s="500" t="s">
        <v>760</v>
      </c>
      <c r="E181" s="501">
        <v>200128765.81999999</v>
      </c>
      <c r="F181" s="502" t="s">
        <v>879</v>
      </c>
      <c r="G181" s="100" t="s">
        <v>422</v>
      </c>
      <c r="H181" s="530"/>
      <c r="I181" s="525"/>
      <c r="J181" s="100"/>
      <c r="K181" s="539"/>
      <c r="L181" s="546"/>
      <c r="M181" s="546"/>
      <c r="N181" s="286"/>
      <c r="O181" s="286"/>
      <c r="P181" s="286"/>
      <c r="Q181" s="547"/>
    </row>
    <row r="182" spans="1:17">
      <c r="A182" s="499">
        <v>45497</v>
      </c>
      <c r="B182" s="499">
        <f t="shared" si="1"/>
        <v>45497</v>
      </c>
      <c r="C182" s="500" t="s">
        <v>173</v>
      </c>
      <c r="D182" s="500" t="s">
        <v>760</v>
      </c>
      <c r="E182" s="501">
        <v>171070008.24000001</v>
      </c>
      <c r="F182" s="502" t="s">
        <v>879</v>
      </c>
      <c r="G182" s="100" t="s">
        <v>603</v>
      </c>
      <c r="H182" s="530"/>
      <c r="I182" s="525"/>
      <c r="J182" s="100"/>
      <c r="K182" s="539"/>
      <c r="L182" s="546"/>
      <c r="M182" s="546"/>
      <c r="N182" s="286"/>
      <c r="O182" s="286"/>
      <c r="P182" s="286"/>
      <c r="Q182" s="547"/>
    </row>
    <row r="183" spans="1:17">
      <c r="A183" s="499">
        <v>45497</v>
      </c>
      <c r="B183" s="499">
        <f t="shared" si="1"/>
        <v>45497</v>
      </c>
      <c r="C183" s="500" t="s">
        <v>173</v>
      </c>
      <c r="D183" s="500" t="s">
        <v>760</v>
      </c>
      <c r="E183" s="501">
        <v>243242386.69</v>
      </c>
      <c r="F183" s="502" t="s">
        <v>879</v>
      </c>
      <c r="G183" s="100" t="s">
        <v>84</v>
      </c>
      <c r="H183" s="530"/>
      <c r="I183" s="525"/>
      <c r="J183" s="100"/>
      <c r="K183" s="539"/>
      <c r="L183" s="546"/>
      <c r="M183" s="546"/>
      <c r="N183" s="286"/>
      <c r="O183" s="286"/>
      <c r="P183" s="286"/>
      <c r="Q183" s="547"/>
    </row>
    <row r="184" spans="1:17">
      <c r="A184" s="499">
        <v>45497</v>
      </c>
      <c r="B184" s="499">
        <f t="shared" si="1"/>
        <v>45497</v>
      </c>
      <c r="C184" s="500" t="s">
        <v>173</v>
      </c>
      <c r="D184" s="500" t="s">
        <v>760</v>
      </c>
      <c r="E184" s="501">
        <v>153104175.78</v>
      </c>
      <c r="F184" s="502" t="s">
        <v>879</v>
      </c>
      <c r="G184" s="100" t="s">
        <v>591</v>
      </c>
      <c r="H184" s="530"/>
      <c r="I184" s="525"/>
      <c r="J184" s="100"/>
      <c r="K184" s="539"/>
      <c r="L184" s="546"/>
      <c r="M184" s="546"/>
      <c r="N184" s="286"/>
      <c r="O184" s="286"/>
      <c r="P184" s="286"/>
      <c r="Q184" s="547"/>
    </row>
    <row r="185" spans="1:17">
      <c r="A185" s="499">
        <v>45497</v>
      </c>
      <c r="B185" s="499">
        <f t="shared" si="1"/>
        <v>45497</v>
      </c>
      <c r="C185" s="500" t="s">
        <v>173</v>
      </c>
      <c r="D185" s="500" t="s">
        <v>760</v>
      </c>
      <c r="E185" s="501">
        <v>180073692.88</v>
      </c>
      <c r="F185" s="502" t="s">
        <v>879</v>
      </c>
      <c r="G185" s="100" t="s">
        <v>603</v>
      </c>
      <c r="H185" s="530"/>
      <c r="I185" s="525"/>
      <c r="J185" s="100"/>
      <c r="K185" s="539"/>
      <c r="L185" s="546"/>
      <c r="M185" s="546"/>
      <c r="N185" s="286"/>
      <c r="O185" s="286"/>
      <c r="P185" s="286"/>
      <c r="Q185" s="547"/>
    </row>
    <row r="186" spans="1:17">
      <c r="A186" s="499">
        <v>45497</v>
      </c>
      <c r="B186" s="499">
        <f t="shared" si="1"/>
        <v>45497</v>
      </c>
      <c r="C186" s="500" t="s">
        <v>173</v>
      </c>
      <c r="D186" s="500" t="s">
        <v>760</v>
      </c>
      <c r="E186" s="501">
        <v>216139789.86000001</v>
      </c>
      <c r="F186" s="502" t="s">
        <v>879</v>
      </c>
      <c r="G186" s="100" t="s">
        <v>589</v>
      </c>
      <c r="H186" s="530"/>
      <c r="I186" s="525"/>
      <c r="J186" s="100"/>
      <c r="K186" s="539"/>
      <c r="L186" s="546"/>
      <c r="M186" s="546"/>
      <c r="N186" s="286"/>
      <c r="O186" s="286"/>
      <c r="P186" s="286"/>
      <c r="Q186" s="547"/>
    </row>
    <row r="187" spans="1:17">
      <c r="A187" s="499">
        <v>45497</v>
      </c>
      <c r="B187" s="499">
        <f t="shared" si="1"/>
        <v>45497</v>
      </c>
      <c r="C187" s="500" t="s">
        <v>173</v>
      </c>
      <c r="D187" s="500" t="s">
        <v>760</v>
      </c>
      <c r="E187" s="501">
        <v>245304853.19</v>
      </c>
      <c r="F187" s="502" t="s">
        <v>879</v>
      </c>
      <c r="G187" s="100" t="s">
        <v>548</v>
      </c>
      <c r="H187" s="530"/>
      <c r="I187" s="525"/>
      <c r="J187" s="100"/>
      <c r="K187" s="539"/>
      <c r="L187" s="546"/>
      <c r="M187" s="546"/>
      <c r="N187" s="286"/>
      <c r="O187" s="286"/>
      <c r="P187" s="286"/>
      <c r="Q187" s="547"/>
    </row>
    <row r="188" spans="1:17">
      <c r="A188" s="499">
        <v>45497</v>
      </c>
      <c r="B188" s="499">
        <f t="shared" si="1"/>
        <v>45497</v>
      </c>
      <c r="C188" s="500" t="s">
        <v>173</v>
      </c>
      <c r="D188" s="500" t="s">
        <v>760</v>
      </c>
      <c r="E188" s="501">
        <v>134119941.43000001</v>
      </c>
      <c r="F188" s="502" t="s">
        <v>879</v>
      </c>
      <c r="G188" s="100" t="s">
        <v>78</v>
      </c>
      <c r="H188" s="530"/>
      <c r="I188" s="525"/>
      <c r="J188" s="100"/>
      <c r="K188" s="539"/>
      <c r="L188" s="546"/>
      <c r="M188" s="546"/>
      <c r="N188" s="286"/>
      <c r="O188" s="286"/>
      <c r="P188" s="286"/>
      <c r="Q188" s="547"/>
    </row>
    <row r="189" spans="1:17">
      <c r="A189" s="499">
        <v>45497</v>
      </c>
      <c r="B189" s="499">
        <f t="shared" si="1"/>
        <v>45497</v>
      </c>
      <c r="C189" s="500" t="s">
        <v>173</v>
      </c>
      <c r="D189" s="500" t="s">
        <v>760</v>
      </c>
      <c r="E189" s="501">
        <v>151133789.03</v>
      </c>
      <c r="F189" s="502" t="s">
        <v>879</v>
      </c>
      <c r="G189" s="100" t="s">
        <v>601</v>
      </c>
      <c r="H189" s="530"/>
      <c r="I189" s="525"/>
      <c r="J189" s="100"/>
      <c r="K189" s="539"/>
      <c r="L189" s="546"/>
      <c r="M189" s="546"/>
      <c r="N189" s="286"/>
      <c r="O189" s="286"/>
      <c r="P189" s="286"/>
      <c r="Q189" s="547"/>
    </row>
    <row r="190" spans="1:17">
      <c r="A190" s="499">
        <v>45497</v>
      </c>
      <c r="B190" s="499">
        <f t="shared" si="1"/>
        <v>45497</v>
      </c>
      <c r="C190" s="500" t="s">
        <v>173</v>
      </c>
      <c r="D190" s="500" t="s">
        <v>760</v>
      </c>
      <c r="E190" s="501">
        <v>321117344.80000001</v>
      </c>
      <c r="F190" s="502" t="s">
        <v>879</v>
      </c>
      <c r="G190" s="100" t="s">
        <v>88</v>
      </c>
      <c r="H190" s="530"/>
      <c r="I190" s="525"/>
      <c r="J190" s="100"/>
      <c r="K190" s="539"/>
      <c r="L190" s="546"/>
      <c r="M190" s="546"/>
      <c r="N190" s="286"/>
      <c r="O190" s="286"/>
      <c r="P190" s="286"/>
      <c r="Q190" s="547"/>
    </row>
    <row r="191" spans="1:17">
      <c r="A191" s="499">
        <v>45497</v>
      </c>
      <c r="B191" s="499">
        <f t="shared" si="1"/>
        <v>45497</v>
      </c>
      <c r="C191" s="500" t="s">
        <v>173</v>
      </c>
      <c r="D191" s="500" t="s">
        <v>760</v>
      </c>
      <c r="E191" s="501">
        <v>283149699.31999999</v>
      </c>
      <c r="F191" s="502" t="s">
        <v>879</v>
      </c>
      <c r="G191" s="100" t="s">
        <v>820</v>
      </c>
      <c r="H191" s="530"/>
      <c r="I191" s="525"/>
      <c r="J191" s="100"/>
      <c r="K191" s="539"/>
      <c r="L191" s="546"/>
      <c r="M191" s="546"/>
      <c r="N191" s="286"/>
      <c r="O191" s="286"/>
      <c r="P191" s="286"/>
      <c r="Q191" s="547"/>
    </row>
    <row r="192" spans="1:17">
      <c r="A192" s="499">
        <v>45497</v>
      </c>
      <c r="B192" s="499">
        <f t="shared" si="1"/>
        <v>45497</v>
      </c>
      <c r="C192" s="500" t="s">
        <v>173</v>
      </c>
      <c r="D192" s="500" t="s">
        <v>760</v>
      </c>
      <c r="E192" s="501">
        <v>263290824.88</v>
      </c>
      <c r="F192" s="502" t="s">
        <v>879</v>
      </c>
      <c r="G192" s="100" t="s">
        <v>87</v>
      </c>
      <c r="H192" s="530"/>
      <c r="I192" s="525"/>
      <c r="J192" s="100"/>
      <c r="K192" s="539"/>
      <c r="L192" s="546"/>
      <c r="M192" s="546"/>
      <c r="N192" s="286"/>
      <c r="O192" s="286"/>
      <c r="P192" s="286"/>
      <c r="Q192" s="547"/>
    </row>
    <row r="193" spans="1:17">
      <c r="A193" s="499">
        <v>45497</v>
      </c>
      <c r="B193" s="499">
        <f t="shared" si="1"/>
        <v>45497</v>
      </c>
      <c r="C193" s="500" t="s">
        <v>173</v>
      </c>
      <c r="D193" s="500" t="s">
        <v>760</v>
      </c>
      <c r="E193" s="501">
        <v>326338650.41000003</v>
      </c>
      <c r="F193" s="502" t="s">
        <v>879</v>
      </c>
      <c r="G193" s="100" t="s">
        <v>503</v>
      </c>
      <c r="H193" s="530"/>
      <c r="L193" s="539"/>
      <c r="M193" s="539"/>
      <c r="N193" s="539"/>
      <c r="Q193" s="547"/>
    </row>
    <row r="194" spans="1:17">
      <c r="A194" s="499">
        <v>45497</v>
      </c>
      <c r="B194" s="499">
        <f t="shared" si="1"/>
        <v>45497</v>
      </c>
      <c r="C194" s="500" t="s">
        <v>173</v>
      </c>
      <c r="D194" s="500" t="s">
        <v>760</v>
      </c>
      <c r="E194" s="501">
        <v>261365609.05000001</v>
      </c>
      <c r="F194" s="502" t="s">
        <v>879</v>
      </c>
      <c r="G194" s="100" t="s">
        <v>595</v>
      </c>
      <c r="H194" s="530"/>
      <c r="L194" s="539"/>
      <c r="M194" s="539"/>
      <c r="N194" s="539"/>
    </row>
    <row r="195" spans="1:17">
      <c r="A195" s="499">
        <v>45497</v>
      </c>
      <c r="B195" s="499">
        <f t="shared" si="1"/>
        <v>45497</v>
      </c>
      <c r="C195" s="500" t="s">
        <v>173</v>
      </c>
      <c r="D195" s="500" t="s">
        <v>760</v>
      </c>
      <c r="E195" s="501">
        <v>160109411.11000001</v>
      </c>
      <c r="F195" s="502" t="s">
        <v>879</v>
      </c>
      <c r="G195" s="100" t="s">
        <v>91</v>
      </c>
      <c r="H195" s="530"/>
      <c r="L195" s="539"/>
      <c r="M195" s="539"/>
      <c r="N195" s="539"/>
    </row>
    <row r="196" spans="1:17">
      <c r="A196" s="499">
        <v>45497</v>
      </c>
      <c r="B196" s="499">
        <f t="shared" si="1"/>
        <v>45497</v>
      </c>
      <c r="C196" s="500" t="s">
        <v>173</v>
      </c>
      <c r="D196" s="500" t="s">
        <v>760</v>
      </c>
      <c r="E196" s="501">
        <v>205250154.96000001</v>
      </c>
      <c r="F196" s="502" t="s">
        <v>879</v>
      </c>
      <c r="G196" s="100" t="s">
        <v>655</v>
      </c>
      <c r="H196" s="530"/>
      <c r="L196" s="539"/>
      <c r="M196" s="539"/>
      <c r="N196" s="539"/>
    </row>
    <row r="197" spans="1:17">
      <c r="A197" s="499">
        <v>45497</v>
      </c>
      <c r="B197" s="499">
        <f t="shared" si="1"/>
        <v>45497</v>
      </c>
      <c r="C197" s="500" t="s">
        <v>173</v>
      </c>
      <c r="D197" s="500" t="s">
        <v>760</v>
      </c>
      <c r="E197" s="501">
        <v>108052678.19</v>
      </c>
      <c r="F197" s="502" t="s">
        <v>879</v>
      </c>
      <c r="G197" s="100" t="s">
        <v>83</v>
      </c>
      <c r="H197" s="530"/>
      <c r="L197" s="539"/>
      <c r="M197" s="539"/>
      <c r="N197" s="539"/>
    </row>
    <row r="198" spans="1:17">
      <c r="A198" s="499">
        <v>45497</v>
      </c>
      <c r="B198" s="499">
        <f t="shared" si="1"/>
        <v>45497</v>
      </c>
      <c r="C198" s="500" t="s">
        <v>173</v>
      </c>
      <c r="D198" s="500" t="s">
        <v>760</v>
      </c>
      <c r="E198" s="501">
        <v>330323931.43000001</v>
      </c>
      <c r="F198" s="502" t="s">
        <v>879</v>
      </c>
      <c r="G198" s="100" t="s">
        <v>597</v>
      </c>
      <c r="H198" s="530"/>
      <c r="L198" s="539"/>
      <c r="M198" s="539"/>
      <c r="N198" s="539"/>
    </row>
    <row r="199" spans="1:17">
      <c r="A199" s="499">
        <v>45497</v>
      </c>
      <c r="B199" s="499">
        <f t="shared" si="1"/>
        <v>45497</v>
      </c>
      <c r="C199" s="500" t="s">
        <v>173</v>
      </c>
      <c r="D199" s="500" t="s">
        <v>760</v>
      </c>
      <c r="E199" s="501">
        <v>176208258.66</v>
      </c>
      <c r="F199" s="502" t="s">
        <v>879</v>
      </c>
      <c r="G199" s="100" t="s">
        <v>68</v>
      </c>
      <c r="H199" s="530"/>
      <c r="L199" s="539"/>
      <c r="M199" s="539"/>
      <c r="N199" s="539"/>
    </row>
    <row r="200" spans="1:17">
      <c r="A200" s="499">
        <v>45497</v>
      </c>
      <c r="B200" s="499">
        <f t="shared" si="1"/>
        <v>45497</v>
      </c>
      <c r="C200" s="500" t="s">
        <v>173</v>
      </c>
      <c r="D200" s="500" t="s">
        <v>760</v>
      </c>
      <c r="E200" s="501">
        <v>127060754.22</v>
      </c>
      <c r="F200" s="502" t="s">
        <v>879</v>
      </c>
      <c r="G200" s="100" t="s">
        <v>77</v>
      </c>
      <c r="H200" s="530"/>
      <c r="L200" s="539"/>
      <c r="M200" s="539"/>
      <c r="N200" s="539"/>
    </row>
    <row r="201" spans="1:17">
      <c r="A201" s="499">
        <v>45497</v>
      </c>
      <c r="B201" s="499">
        <f t="shared" si="1"/>
        <v>45497</v>
      </c>
      <c r="C201" s="500" t="s">
        <v>173</v>
      </c>
      <c r="D201" s="500" t="s">
        <v>760</v>
      </c>
      <c r="E201" s="501">
        <v>111084560.52</v>
      </c>
      <c r="F201" s="502" t="s">
        <v>879</v>
      </c>
      <c r="G201" s="100" t="s">
        <v>90</v>
      </c>
      <c r="H201" s="530"/>
      <c r="L201" s="539"/>
      <c r="M201" s="539"/>
      <c r="N201" s="539"/>
    </row>
    <row r="202" spans="1:17">
      <c r="A202" s="499">
        <v>45497</v>
      </c>
      <c r="B202" s="499">
        <f t="shared" si="1"/>
        <v>45497</v>
      </c>
      <c r="C202" s="500" t="s">
        <v>173</v>
      </c>
      <c r="D202" s="500" t="s">
        <v>760</v>
      </c>
      <c r="E202" s="501">
        <v>32029228.41</v>
      </c>
      <c r="F202" s="502" t="s">
        <v>879</v>
      </c>
      <c r="G202" s="100" t="s">
        <v>494</v>
      </c>
      <c r="H202" s="530"/>
      <c r="L202" s="539"/>
      <c r="M202" s="539"/>
      <c r="N202" s="539"/>
    </row>
    <row r="203" spans="1:17">
      <c r="A203" s="499">
        <v>45496</v>
      </c>
      <c r="B203" s="499">
        <f t="shared" si="1"/>
        <v>45496</v>
      </c>
      <c r="C203" s="500" t="s">
        <v>173</v>
      </c>
      <c r="D203" s="500" t="s">
        <v>763</v>
      </c>
      <c r="E203" s="501">
        <v>-6788898076.6599998</v>
      </c>
      <c r="F203" s="502" t="s">
        <v>879</v>
      </c>
      <c r="G203" s="100" t="s">
        <v>59</v>
      </c>
      <c r="H203" s="530"/>
      <c r="L203" s="539"/>
      <c r="M203" s="539"/>
      <c r="N203" s="539"/>
    </row>
    <row r="204" spans="1:17">
      <c r="A204" s="499">
        <v>45496</v>
      </c>
      <c r="B204" s="499">
        <f t="shared" si="1"/>
        <v>45496</v>
      </c>
      <c r="C204" s="500" t="s">
        <v>173</v>
      </c>
      <c r="D204" s="500" t="s">
        <v>763</v>
      </c>
      <c r="E204" s="501">
        <v>-27011530.809999999</v>
      </c>
      <c r="F204" s="502" t="s">
        <v>879</v>
      </c>
      <c r="G204" s="100" t="s">
        <v>59</v>
      </c>
      <c r="H204" s="530"/>
      <c r="L204" s="539"/>
      <c r="M204" s="539"/>
      <c r="N204" s="539"/>
    </row>
    <row r="205" spans="1:17">
      <c r="A205" s="499">
        <v>45497</v>
      </c>
      <c r="B205" s="503">
        <f t="shared" si="1"/>
        <v>45497</v>
      </c>
      <c r="C205" s="500" t="s">
        <v>173</v>
      </c>
      <c r="D205" s="500" t="s">
        <v>763</v>
      </c>
      <c r="E205" s="501">
        <v>6791329837.6899996</v>
      </c>
      <c r="F205" s="502" t="s">
        <v>879</v>
      </c>
      <c r="G205" s="100" t="s">
        <v>59</v>
      </c>
      <c r="H205" s="530"/>
      <c r="L205" s="539"/>
      <c r="M205" s="539"/>
      <c r="N205" s="539"/>
    </row>
    <row r="206" spans="1:17">
      <c r="A206" s="499">
        <v>45497</v>
      </c>
      <c r="B206" s="503">
        <f t="shared" si="1"/>
        <v>45497</v>
      </c>
      <c r="C206" s="500" t="s">
        <v>173</v>
      </c>
      <c r="D206" s="500" t="s">
        <v>763</v>
      </c>
      <c r="E206" s="501">
        <v>27021206.25</v>
      </c>
      <c r="F206" s="502" t="s">
        <v>879</v>
      </c>
      <c r="G206" s="100" t="s">
        <v>59</v>
      </c>
      <c r="H206" s="530"/>
      <c r="L206" s="539"/>
      <c r="M206" s="539"/>
      <c r="N206" s="539"/>
    </row>
    <row r="207" spans="1:17">
      <c r="A207" s="499">
        <v>45496</v>
      </c>
      <c r="B207" s="503">
        <f t="shared" si="1"/>
        <v>45496</v>
      </c>
      <c r="C207" s="500" t="s">
        <v>173</v>
      </c>
      <c r="D207" s="500" t="s">
        <v>764</v>
      </c>
      <c r="E207" s="501">
        <v>-377210694.74000001</v>
      </c>
      <c r="F207" s="502" t="s">
        <v>879</v>
      </c>
      <c r="G207" s="100" t="s">
        <v>884</v>
      </c>
      <c r="H207" s="530"/>
      <c r="I207" s="523">
        <v>-1</v>
      </c>
      <c r="L207" s="539"/>
      <c r="M207" s="539"/>
      <c r="N207" s="539"/>
    </row>
    <row r="208" spans="1:17">
      <c r="A208" s="499">
        <v>45496</v>
      </c>
      <c r="B208" s="503">
        <f t="shared" si="1"/>
        <v>45496</v>
      </c>
      <c r="C208" s="500" t="s">
        <v>173</v>
      </c>
      <c r="D208" s="500" t="s">
        <v>764</v>
      </c>
      <c r="E208" s="501">
        <v>-5097956759.4099998</v>
      </c>
      <c r="F208" s="502" t="s">
        <v>879</v>
      </c>
      <c r="G208" s="100" t="s">
        <v>885</v>
      </c>
      <c r="H208" s="530"/>
      <c r="L208" s="539"/>
      <c r="M208" s="539"/>
      <c r="N208" s="539"/>
    </row>
    <row r="209" spans="1:25">
      <c r="A209" s="499">
        <v>45496</v>
      </c>
      <c r="B209" s="503">
        <f t="shared" si="1"/>
        <v>45496</v>
      </c>
      <c r="C209" s="500" t="s">
        <v>173</v>
      </c>
      <c r="D209" s="500" t="s">
        <v>764</v>
      </c>
      <c r="E209" s="501">
        <v>-21013729.170000002</v>
      </c>
      <c r="F209" s="502" t="s">
        <v>879</v>
      </c>
      <c r="G209" s="100" t="s">
        <v>886</v>
      </c>
      <c r="H209" s="530"/>
      <c r="L209" s="539"/>
      <c r="M209" s="539"/>
      <c r="N209" s="539"/>
    </row>
    <row r="210" spans="1:25">
      <c r="A210" s="499">
        <v>45496</v>
      </c>
      <c r="B210" s="503">
        <v>45498</v>
      </c>
      <c r="C210" s="500" t="s">
        <v>173</v>
      </c>
      <c r="D210" s="500" t="s">
        <v>764</v>
      </c>
      <c r="E210" s="501">
        <v>-1000133669.4400001</v>
      </c>
      <c r="F210" s="502" t="s">
        <v>906</v>
      </c>
      <c r="G210" s="100" t="s">
        <v>61</v>
      </c>
      <c r="H210" s="504"/>
      <c r="I210" s="422" t="s">
        <v>717</v>
      </c>
      <c r="K210" s="548">
        <v>113482822</v>
      </c>
      <c r="L210" s="549">
        <v>62.927</v>
      </c>
      <c r="M210" s="549">
        <f>E210*(-1)/(N210*O210)*100</f>
        <v>64.317277777491967</v>
      </c>
      <c r="N210" s="549">
        <v>1555000</v>
      </c>
      <c r="O210" s="539">
        <v>1000</v>
      </c>
      <c r="T210" s="549">
        <v>13.49</v>
      </c>
      <c r="U210" s="538">
        <v>0</v>
      </c>
      <c r="V210" s="538">
        <v>100013.37</v>
      </c>
      <c r="W210" s="550">
        <f>VLOOKUP(G210,Справочник!A:C,3,0)</f>
        <v>5.5E-2</v>
      </c>
      <c r="X210" s="539" t="str">
        <f>VLOOKUP(G210,Справочник!A:G,7,0)</f>
        <v>Министерство финансов Республики Казахстан</v>
      </c>
      <c r="Y210" s="551">
        <f>VLOOKUP(G210,Справочник!A:B,2,0)</f>
        <v>48328</v>
      </c>
    </row>
    <row r="211" spans="1:25">
      <c r="A211" s="499">
        <v>45496</v>
      </c>
      <c r="B211" s="503">
        <v>45498</v>
      </c>
      <c r="C211" s="500" t="s">
        <v>173</v>
      </c>
      <c r="D211" s="500" t="s">
        <v>764</v>
      </c>
      <c r="E211" s="501">
        <v>-1000868312</v>
      </c>
      <c r="F211" s="502" t="s">
        <v>906</v>
      </c>
      <c r="G211" s="100" t="s">
        <v>516</v>
      </c>
      <c r="H211" s="504"/>
      <c r="I211" s="422" t="s">
        <v>672</v>
      </c>
      <c r="K211" s="548">
        <v>113482970</v>
      </c>
      <c r="L211" s="549">
        <v>94.202399999999997</v>
      </c>
      <c r="M211" s="549">
        <f>E211*(-1)/(N211*O211)*100</f>
        <v>98.802400000000006</v>
      </c>
      <c r="N211" s="549">
        <v>1013000</v>
      </c>
      <c r="O211" s="539">
        <v>1000</v>
      </c>
      <c r="T211" s="549">
        <v>13.49</v>
      </c>
      <c r="U211" s="538">
        <v>0</v>
      </c>
      <c r="V211" s="538">
        <v>100086.83</v>
      </c>
      <c r="W211" s="550">
        <f>VLOOKUP(G211,Справочник!A:C,3,0)</f>
        <v>0.12</v>
      </c>
      <c r="X211" s="539" t="str">
        <f>VLOOKUP(G211,Справочник!A:G,7,0)</f>
        <v>Министерство финансов Республики Казахстан</v>
      </c>
      <c r="Y211" s="551">
        <f>VLOOKUP(G211,Справочник!A:B,2,0)</f>
        <v>47549</v>
      </c>
    </row>
    <row r="212" spans="1:25">
      <c r="A212" s="499">
        <v>45497</v>
      </c>
      <c r="B212" s="503">
        <f>A212</f>
        <v>45497</v>
      </c>
      <c r="C212" s="500" t="s">
        <v>173</v>
      </c>
      <c r="D212" s="500" t="s">
        <v>764</v>
      </c>
      <c r="E212" s="501">
        <v>377346068.02999997</v>
      </c>
      <c r="F212" s="502" t="s">
        <v>879</v>
      </c>
      <c r="G212" s="100" t="s">
        <v>884</v>
      </c>
      <c r="H212" s="530"/>
      <c r="I212" s="422"/>
      <c r="K212" s="548"/>
      <c r="L212" s="548"/>
      <c r="M212" s="548"/>
      <c r="N212" s="552"/>
    </row>
    <row r="213" spans="1:25">
      <c r="A213" s="499">
        <v>45497</v>
      </c>
      <c r="B213" s="503">
        <f>A213</f>
        <v>45497</v>
      </c>
      <c r="C213" s="500" t="s">
        <v>173</v>
      </c>
      <c r="D213" s="500" t="s">
        <v>764</v>
      </c>
      <c r="E213" s="501">
        <v>5099786313.0200005</v>
      </c>
      <c r="F213" s="502" t="s">
        <v>879</v>
      </c>
      <c r="G213" s="100" t="s">
        <v>885</v>
      </c>
      <c r="H213" s="530"/>
      <c r="I213" s="422"/>
      <c r="K213" s="548"/>
      <c r="L213" s="548"/>
      <c r="M213" s="548"/>
      <c r="N213" s="552"/>
    </row>
    <row r="214" spans="1:25">
      <c r="A214" s="499">
        <v>45497</v>
      </c>
      <c r="B214" s="503">
        <f>A214</f>
        <v>45497</v>
      </c>
      <c r="C214" s="500" t="s">
        <v>173</v>
      </c>
      <c r="D214" s="500" t="s">
        <v>764</v>
      </c>
      <c r="E214" s="501">
        <v>21021270.57</v>
      </c>
      <c r="F214" s="502" t="s">
        <v>879</v>
      </c>
      <c r="G214" s="100" t="s">
        <v>886</v>
      </c>
      <c r="H214" s="530"/>
      <c r="I214" s="422"/>
      <c r="K214" s="548"/>
      <c r="L214" s="548"/>
      <c r="M214" s="548"/>
      <c r="N214" s="552"/>
    </row>
    <row r="215" spans="1:25">
      <c r="A215" s="499">
        <v>45497</v>
      </c>
      <c r="B215" s="503">
        <v>45497</v>
      </c>
      <c r="C215" s="500" t="s">
        <v>173</v>
      </c>
      <c r="D215" s="500" t="s">
        <v>759</v>
      </c>
      <c r="E215" s="501">
        <v>-3018001029.1399999</v>
      </c>
      <c r="F215" s="502" t="s">
        <v>879</v>
      </c>
      <c r="G215" s="100" t="s">
        <v>634</v>
      </c>
      <c r="H215" s="484"/>
      <c r="I215" s="422"/>
      <c r="K215" s="548"/>
      <c r="L215" s="548"/>
      <c r="M215" s="548"/>
      <c r="N215" s="552"/>
    </row>
    <row r="216" spans="1:25">
      <c r="A216" s="499">
        <v>45497</v>
      </c>
      <c r="B216" s="503">
        <v>45497</v>
      </c>
      <c r="C216" s="500" t="s">
        <v>173</v>
      </c>
      <c r="D216" s="500" t="s">
        <v>759</v>
      </c>
      <c r="E216" s="501">
        <v>-4978657372.8500004</v>
      </c>
      <c r="F216" s="502" t="s">
        <v>879</v>
      </c>
      <c r="G216" s="100" t="s">
        <v>551</v>
      </c>
      <c r="H216" s="484"/>
      <c r="I216" s="422"/>
      <c r="K216" s="548"/>
      <c r="L216" s="548"/>
      <c r="M216" s="548"/>
      <c r="N216" s="552"/>
    </row>
    <row r="217" spans="1:25">
      <c r="A217" s="499">
        <v>45497</v>
      </c>
      <c r="B217" s="503">
        <v>45497</v>
      </c>
      <c r="C217" s="500" t="s">
        <v>173</v>
      </c>
      <c r="D217" s="500" t="s">
        <v>759</v>
      </c>
      <c r="E217" s="501">
        <v>-508153264.81999999</v>
      </c>
      <c r="F217" s="502" t="s">
        <v>879</v>
      </c>
      <c r="G217" s="100" t="s">
        <v>834</v>
      </c>
      <c r="H217" s="484"/>
      <c r="I217" s="422"/>
      <c r="K217" s="548"/>
      <c r="L217" s="548"/>
      <c r="M217" s="548"/>
      <c r="N217" s="552"/>
    </row>
    <row r="218" spans="1:25">
      <c r="A218" s="499">
        <v>45497</v>
      </c>
      <c r="B218" s="503">
        <v>45497</v>
      </c>
      <c r="C218" s="500" t="s">
        <v>173</v>
      </c>
      <c r="D218" s="500" t="s">
        <v>759</v>
      </c>
      <c r="E218" s="501">
        <v>-36000029.579999998</v>
      </c>
      <c r="F218" s="502" t="s">
        <v>879</v>
      </c>
      <c r="G218" s="100" t="s">
        <v>812</v>
      </c>
      <c r="H218" s="484"/>
      <c r="I218" s="422"/>
      <c r="K218" s="548"/>
      <c r="L218" s="548"/>
      <c r="M218" s="548"/>
      <c r="N218" s="552"/>
    </row>
    <row r="219" spans="1:25">
      <c r="A219" s="499">
        <v>45497</v>
      </c>
      <c r="B219" s="503">
        <v>45497</v>
      </c>
      <c r="C219" s="500" t="s">
        <v>173</v>
      </c>
      <c r="D219" s="500" t="s">
        <v>759</v>
      </c>
      <c r="E219" s="501">
        <v>-926051751.36000001</v>
      </c>
      <c r="F219" s="502" t="s">
        <v>879</v>
      </c>
      <c r="G219" s="100" t="s">
        <v>645</v>
      </c>
      <c r="H219" s="484"/>
      <c r="I219" s="422"/>
      <c r="K219" s="548"/>
      <c r="L219" s="548"/>
      <c r="M219" s="548"/>
      <c r="N219" s="552"/>
    </row>
    <row r="220" spans="1:25">
      <c r="A220" s="499">
        <v>45497</v>
      </c>
      <c r="B220" s="503">
        <v>45497</v>
      </c>
      <c r="C220" s="500" t="s">
        <v>173</v>
      </c>
      <c r="D220" s="500" t="s">
        <v>759</v>
      </c>
      <c r="E220" s="501">
        <v>-4000935744</v>
      </c>
      <c r="F220" s="502" t="s">
        <v>879</v>
      </c>
      <c r="G220" s="100" t="s">
        <v>679</v>
      </c>
      <c r="H220" s="484"/>
      <c r="I220" s="422"/>
      <c r="K220" s="548"/>
      <c r="L220" s="548"/>
      <c r="M220" s="548"/>
      <c r="N220" s="552"/>
    </row>
    <row r="221" spans="1:25">
      <c r="A221" s="499">
        <v>45497</v>
      </c>
      <c r="B221" s="503">
        <v>45497</v>
      </c>
      <c r="C221" s="500" t="s">
        <v>173</v>
      </c>
      <c r="D221" s="500" t="s">
        <v>759</v>
      </c>
      <c r="E221" s="501">
        <v>-21001173.629999999</v>
      </c>
      <c r="F221" s="502" t="s">
        <v>879</v>
      </c>
      <c r="G221" s="100" t="s">
        <v>645</v>
      </c>
      <c r="H221" s="484"/>
      <c r="I221" s="422"/>
      <c r="K221" s="548"/>
      <c r="L221" s="548"/>
      <c r="M221" s="548"/>
      <c r="N221" s="552"/>
    </row>
    <row r="222" spans="1:25">
      <c r="A222" s="499">
        <v>45497</v>
      </c>
      <c r="B222" s="503">
        <v>45498</v>
      </c>
      <c r="C222" s="500" t="s">
        <v>173</v>
      </c>
      <c r="D222" s="500" t="s">
        <v>759</v>
      </c>
      <c r="E222" s="501">
        <v>3019122472.1500001</v>
      </c>
      <c r="F222" s="502" t="s">
        <v>879</v>
      </c>
      <c r="G222" s="100" t="s">
        <v>634</v>
      </c>
      <c r="H222" s="530"/>
      <c r="I222" s="422"/>
      <c r="K222" s="548"/>
      <c r="L222" s="548"/>
      <c r="M222" s="548"/>
      <c r="N222" s="552"/>
    </row>
    <row r="223" spans="1:25">
      <c r="A223" s="499">
        <v>45497</v>
      </c>
      <c r="B223" s="503">
        <v>45498</v>
      </c>
      <c r="C223" s="500" t="s">
        <v>173</v>
      </c>
      <c r="D223" s="500" t="s">
        <v>759</v>
      </c>
      <c r="E223" s="501">
        <v>4980507365.75</v>
      </c>
      <c r="F223" s="502" t="s">
        <v>879</v>
      </c>
      <c r="G223" s="100" t="s">
        <v>551</v>
      </c>
      <c r="H223" s="530"/>
      <c r="I223" s="422"/>
      <c r="K223" s="548"/>
      <c r="L223" s="548"/>
      <c r="M223" s="548"/>
      <c r="N223" s="552"/>
    </row>
    <row r="224" spans="1:25">
      <c r="A224" s="499">
        <v>45497</v>
      </c>
      <c r="B224" s="503">
        <v>45498</v>
      </c>
      <c r="C224" s="500" t="s">
        <v>173</v>
      </c>
      <c r="D224" s="500" t="s">
        <v>759</v>
      </c>
      <c r="E224" s="501">
        <v>508342086.80000001</v>
      </c>
      <c r="F224" s="502" t="s">
        <v>879</v>
      </c>
      <c r="G224" s="100" t="s">
        <v>834</v>
      </c>
      <c r="H224" s="530"/>
      <c r="I224" s="422"/>
      <c r="K224" s="548"/>
      <c r="L224" s="548"/>
      <c r="M224" s="548"/>
      <c r="N224" s="552"/>
    </row>
    <row r="225" spans="1:14">
      <c r="A225" s="499">
        <v>45497</v>
      </c>
      <c r="B225" s="503">
        <v>45498</v>
      </c>
      <c r="C225" s="500" t="s">
        <v>173</v>
      </c>
      <c r="D225" s="500" t="s">
        <v>759</v>
      </c>
      <c r="E225" s="501">
        <v>36013357.460000001</v>
      </c>
      <c r="F225" s="502" t="s">
        <v>879</v>
      </c>
      <c r="G225" s="100" t="s">
        <v>812</v>
      </c>
      <c r="H225" s="530"/>
      <c r="I225" s="422"/>
      <c r="K225" s="548"/>
      <c r="L225" s="548"/>
      <c r="M225" s="548"/>
      <c r="N225" s="552"/>
    </row>
    <row r="226" spans="1:14">
      <c r="A226" s="499">
        <v>45497</v>
      </c>
      <c r="B226" s="503">
        <v>45498</v>
      </c>
      <c r="C226" s="500" t="s">
        <v>173</v>
      </c>
      <c r="D226" s="500" t="s">
        <v>759</v>
      </c>
      <c r="E226" s="501">
        <v>926395858.01999998</v>
      </c>
      <c r="F226" s="502" t="s">
        <v>879</v>
      </c>
      <c r="G226" s="100" t="s">
        <v>645</v>
      </c>
      <c r="H226" s="530"/>
      <c r="I226" s="422"/>
      <c r="K226" s="548"/>
      <c r="L226" s="548"/>
      <c r="M226" s="548"/>
      <c r="N226" s="552"/>
    </row>
    <row r="227" spans="1:14">
      <c r="A227" s="499">
        <v>45497</v>
      </c>
      <c r="B227" s="503">
        <v>45498</v>
      </c>
      <c r="C227" s="500" t="s">
        <v>173</v>
      </c>
      <c r="D227" s="500" t="s">
        <v>759</v>
      </c>
      <c r="E227" s="501">
        <v>4002422430.5100002</v>
      </c>
      <c r="F227" s="502" t="s">
        <v>879</v>
      </c>
      <c r="G227" s="100" t="s">
        <v>679</v>
      </c>
      <c r="H227" s="530"/>
      <c r="I227" s="422"/>
      <c r="K227" s="548"/>
      <c r="L227" s="548"/>
      <c r="M227" s="548"/>
      <c r="N227" s="552"/>
    </row>
    <row r="228" spans="1:14">
      <c r="A228" s="499">
        <v>45497</v>
      </c>
      <c r="B228" s="503">
        <v>45498</v>
      </c>
      <c r="C228" s="500" t="s">
        <v>173</v>
      </c>
      <c r="D228" s="500" t="s">
        <v>759</v>
      </c>
      <c r="E228" s="501">
        <v>21008977.34</v>
      </c>
      <c r="F228" s="502" t="s">
        <v>879</v>
      </c>
      <c r="G228" s="100" t="s">
        <v>645</v>
      </c>
      <c r="H228" s="530"/>
      <c r="I228" s="422"/>
      <c r="K228" s="548"/>
      <c r="L228" s="548"/>
      <c r="M228" s="548"/>
      <c r="N228" s="552"/>
    </row>
    <row r="229" spans="1:14">
      <c r="A229" s="499">
        <v>45497</v>
      </c>
      <c r="B229" s="499">
        <v>45497</v>
      </c>
      <c r="C229" s="500" t="s">
        <v>173</v>
      </c>
      <c r="D229" s="500" t="s">
        <v>762</v>
      </c>
      <c r="E229" s="501">
        <v>-54030840.700000003</v>
      </c>
      <c r="F229" s="502" t="s">
        <v>879</v>
      </c>
      <c r="G229" s="100" t="s">
        <v>716</v>
      </c>
      <c r="H229" s="530"/>
      <c r="I229" s="422"/>
      <c r="K229" s="548"/>
      <c r="L229" s="548"/>
      <c r="M229" s="548"/>
      <c r="N229" s="552"/>
    </row>
    <row r="230" spans="1:14">
      <c r="A230" s="499">
        <v>45497</v>
      </c>
      <c r="B230" s="499">
        <v>45497</v>
      </c>
      <c r="C230" s="500" t="s">
        <v>173</v>
      </c>
      <c r="D230" s="500" t="s">
        <v>762</v>
      </c>
      <c r="E230" s="501">
        <v>-5583125260.1899996</v>
      </c>
      <c r="F230" s="502" t="s">
        <v>879</v>
      </c>
      <c r="G230" s="100" t="s">
        <v>705</v>
      </c>
      <c r="H230" s="530"/>
      <c r="I230" s="422"/>
      <c r="K230" s="548"/>
      <c r="L230" s="548"/>
      <c r="M230" s="548"/>
      <c r="N230" s="552"/>
    </row>
    <row r="231" spans="1:14">
      <c r="A231" s="499">
        <v>45497</v>
      </c>
      <c r="B231" s="499">
        <v>45497</v>
      </c>
      <c r="C231" s="500" t="s">
        <v>173</v>
      </c>
      <c r="D231" s="500" t="s">
        <v>762</v>
      </c>
      <c r="E231" s="501">
        <v>-4301939678.3999996</v>
      </c>
      <c r="F231" s="502" t="s">
        <v>879</v>
      </c>
      <c r="G231" s="100" t="s">
        <v>689</v>
      </c>
      <c r="H231" s="530"/>
      <c r="I231" s="422"/>
      <c r="K231" s="548"/>
      <c r="L231" s="548"/>
      <c r="M231" s="548"/>
      <c r="N231" s="552"/>
    </row>
    <row r="232" spans="1:14">
      <c r="A232" s="499">
        <v>45497</v>
      </c>
      <c r="B232" s="499">
        <v>45497</v>
      </c>
      <c r="C232" s="500" t="s">
        <v>173</v>
      </c>
      <c r="D232" s="500" t="s">
        <v>762</v>
      </c>
      <c r="E232" s="501">
        <v>-12005413.060000001</v>
      </c>
      <c r="F232" s="502" t="s">
        <v>879</v>
      </c>
      <c r="G232" s="100" t="s">
        <v>689</v>
      </c>
      <c r="H232" s="530"/>
      <c r="I232" s="422"/>
      <c r="K232" s="548"/>
      <c r="L232" s="548"/>
      <c r="M232" s="548"/>
      <c r="N232" s="552"/>
    </row>
    <row r="233" spans="1:14">
      <c r="A233" s="499">
        <v>45497</v>
      </c>
      <c r="B233" s="499">
        <v>45497</v>
      </c>
      <c r="C233" s="500" t="s">
        <v>173</v>
      </c>
      <c r="D233" s="500" t="s">
        <v>762</v>
      </c>
      <c r="E233" s="501">
        <v>-11003439.48</v>
      </c>
      <c r="F233" s="502" t="s">
        <v>879</v>
      </c>
      <c r="G233" s="100" t="s">
        <v>674</v>
      </c>
      <c r="H233" s="530"/>
      <c r="I233" s="422"/>
      <c r="K233" s="548"/>
      <c r="L233" s="548"/>
      <c r="M233" s="548"/>
      <c r="N233" s="552"/>
    </row>
    <row r="234" spans="1:14">
      <c r="A234" s="499">
        <v>45497</v>
      </c>
      <c r="B234" s="499">
        <v>45497</v>
      </c>
      <c r="C234" s="500" t="s">
        <v>173</v>
      </c>
      <c r="D234" s="500" t="s">
        <v>762</v>
      </c>
      <c r="E234" s="501">
        <v>-162048875.78999999</v>
      </c>
      <c r="F234" s="502" t="s">
        <v>879</v>
      </c>
      <c r="G234" s="100" t="s">
        <v>833</v>
      </c>
      <c r="H234" s="530"/>
      <c r="I234" s="422"/>
      <c r="K234" s="548"/>
      <c r="L234" s="548"/>
      <c r="M234" s="548"/>
      <c r="N234" s="552"/>
    </row>
    <row r="235" spans="1:14">
      <c r="A235" s="499">
        <v>45497</v>
      </c>
      <c r="B235" s="499">
        <v>45497</v>
      </c>
      <c r="C235" s="500" t="s">
        <v>173</v>
      </c>
      <c r="D235" s="500" t="s">
        <v>762</v>
      </c>
      <c r="E235" s="501">
        <v>-46013878.310000002</v>
      </c>
      <c r="F235" s="502" t="s">
        <v>879</v>
      </c>
      <c r="G235" s="100" t="s">
        <v>833</v>
      </c>
      <c r="H235" s="530"/>
      <c r="I235" s="422"/>
      <c r="K235" s="548"/>
      <c r="L235" s="548"/>
      <c r="M235" s="548"/>
      <c r="N235" s="552"/>
    </row>
    <row r="236" spans="1:14">
      <c r="A236" s="499">
        <v>45497</v>
      </c>
      <c r="B236" s="499">
        <v>45497</v>
      </c>
      <c r="C236" s="500" t="s">
        <v>173</v>
      </c>
      <c r="D236" s="500" t="s">
        <v>762</v>
      </c>
      <c r="E236" s="501">
        <v>-105003507.55</v>
      </c>
      <c r="F236" s="502" t="s">
        <v>879</v>
      </c>
      <c r="G236" s="100" t="s">
        <v>631</v>
      </c>
      <c r="H236" s="530"/>
      <c r="I236" s="422"/>
      <c r="K236" s="548"/>
      <c r="L236" s="548"/>
      <c r="M236" s="548"/>
      <c r="N236" s="552"/>
    </row>
    <row r="237" spans="1:14">
      <c r="A237" s="499">
        <v>45497</v>
      </c>
      <c r="B237" s="499">
        <v>45497</v>
      </c>
      <c r="C237" s="500" t="s">
        <v>173</v>
      </c>
      <c r="D237" s="500" t="s">
        <v>762</v>
      </c>
      <c r="E237" s="501">
        <v>-809158531.07000005</v>
      </c>
      <c r="F237" s="502" t="s">
        <v>879</v>
      </c>
      <c r="G237" s="100" t="s">
        <v>630</v>
      </c>
      <c r="H237" s="530"/>
      <c r="I237" s="422"/>
      <c r="K237" s="548"/>
      <c r="L237" s="548"/>
      <c r="M237" s="548"/>
      <c r="N237" s="552"/>
    </row>
    <row r="238" spans="1:14">
      <c r="A238" s="499">
        <v>45497</v>
      </c>
      <c r="B238" s="499">
        <v>45497</v>
      </c>
      <c r="C238" s="500" t="s">
        <v>173</v>
      </c>
      <c r="D238" s="500" t="s">
        <v>762</v>
      </c>
      <c r="E238" s="501">
        <v>-1825357625.72</v>
      </c>
      <c r="F238" s="502" t="s">
        <v>879</v>
      </c>
      <c r="G238" s="100" t="s">
        <v>630</v>
      </c>
      <c r="H238" s="530"/>
      <c r="I238" s="422"/>
      <c r="K238" s="548"/>
      <c r="L238" s="548"/>
      <c r="M238" s="548"/>
      <c r="N238" s="552"/>
    </row>
    <row r="239" spans="1:14">
      <c r="A239" s="499">
        <v>45497</v>
      </c>
      <c r="B239" s="499">
        <v>45497</v>
      </c>
      <c r="C239" s="500" t="s">
        <v>173</v>
      </c>
      <c r="D239" s="500" t="s">
        <v>762</v>
      </c>
      <c r="E239" s="501">
        <v>-65015808</v>
      </c>
      <c r="F239" s="502" t="s">
        <v>879</v>
      </c>
      <c r="G239" s="100" t="s">
        <v>547</v>
      </c>
      <c r="H239" s="530"/>
      <c r="I239" s="422"/>
      <c r="K239" s="548"/>
      <c r="L239" s="548"/>
      <c r="M239" s="548"/>
      <c r="N239" s="552"/>
    </row>
    <row r="240" spans="1:14">
      <c r="A240" s="499">
        <v>45497</v>
      </c>
      <c r="B240" s="499">
        <v>45498</v>
      </c>
      <c r="C240" s="500" t="s">
        <v>173</v>
      </c>
      <c r="D240" s="500" t="s">
        <v>762</v>
      </c>
      <c r="E240" s="501">
        <v>54050917.729999997</v>
      </c>
      <c r="F240" s="502" t="s">
        <v>879</v>
      </c>
      <c r="G240" s="100" t="s">
        <v>716</v>
      </c>
      <c r="H240" s="530"/>
      <c r="I240" s="422"/>
      <c r="K240" s="548"/>
      <c r="L240" s="548"/>
      <c r="M240" s="548"/>
      <c r="N240" s="552"/>
    </row>
    <row r="241" spans="1:14">
      <c r="A241" s="499">
        <v>45497</v>
      </c>
      <c r="B241" s="499">
        <v>45498</v>
      </c>
      <c r="C241" s="500" t="s">
        <v>173</v>
      </c>
      <c r="D241" s="500" t="s">
        <v>762</v>
      </c>
      <c r="E241" s="501">
        <v>5585184609.6700001</v>
      </c>
      <c r="F241" s="502" t="s">
        <v>879</v>
      </c>
      <c r="G241" s="100" t="s">
        <v>705</v>
      </c>
      <c r="H241" s="530"/>
      <c r="I241" s="422"/>
      <c r="K241" s="548"/>
      <c r="L241" s="548"/>
      <c r="M241" s="548"/>
      <c r="N241" s="552"/>
    </row>
    <row r="242" spans="1:14">
      <c r="A242" s="499">
        <v>45497</v>
      </c>
      <c r="B242" s="499">
        <v>45498</v>
      </c>
      <c r="C242" s="500" t="s">
        <v>173</v>
      </c>
      <c r="D242" s="500" t="s">
        <v>762</v>
      </c>
      <c r="E242" s="501">
        <v>4303526459.4300003</v>
      </c>
      <c r="F242" s="502" t="s">
        <v>879</v>
      </c>
      <c r="G242" s="100" t="s">
        <v>689</v>
      </c>
      <c r="H242" s="530"/>
      <c r="I242" s="422"/>
      <c r="K242" s="548"/>
      <c r="L242" s="548"/>
      <c r="M242" s="548"/>
      <c r="N242" s="552"/>
    </row>
    <row r="243" spans="1:14">
      <c r="A243" s="499">
        <v>45497</v>
      </c>
      <c r="B243" s="499">
        <v>45498</v>
      </c>
      <c r="C243" s="500" t="s">
        <v>173</v>
      </c>
      <c r="D243" s="500" t="s">
        <v>762</v>
      </c>
      <c r="E243" s="501">
        <v>12009841.289999999</v>
      </c>
      <c r="F243" s="502" t="s">
        <v>879</v>
      </c>
      <c r="G243" s="100" t="s">
        <v>689</v>
      </c>
      <c r="H243" s="530"/>
      <c r="I243" s="422"/>
      <c r="K243" s="548"/>
      <c r="L243" s="548"/>
      <c r="M243" s="548"/>
      <c r="N243" s="552"/>
    </row>
    <row r="244" spans="1:14">
      <c r="A244" s="499">
        <v>45497</v>
      </c>
      <c r="B244" s="499">
        <v>45498</v>
      </c>
      <c r="C244" s="500" t="s">
        <v>173</v>
      </c>
      <c r="D244" s="500" t="s">
        <v>762</v>
      </c>
      <c r="E244" s="501">
        <v>11007498.130000001</v>
      </c>
      <c r="F244" s="502" t="s">
        <v>879</v>
      </c>
      <c r="G244" s="100" t="s">
        <v>674</v>
      </c>
      <c r="H244" s="530"/>
      <c r="I244" s="422"/>
      <c r="K244" s="548"/>
      <c r="L244" s="548"/>
      <c r="M244" s="548"/>
      <c r="N244" s="552"/>
    </row>
    <row r="245" spans="1:14">
      <c r="A245" s="499">
        <v>45497</v>
      </c>
      <c r="B245" s="499">
        <v>45498</v>
      </c>
      <c r="C245" s="500" t="s">
        <v>173</v>
      </c>
      <c r="D245" s="500" t="s">
        <v>762</v>
      </c>
      <c r="E245" s="501">
        <v>162108647.91999999</v>
      </c>
      <c r="F245" s="502" t="s">
        <v>879</v>
      </c>
      <c r="G245" s="100" t="s">
        <v>833</v>
      </c>
      <c r="H245" s="530"/>
      <c r="I245" s="422"/>
      <c r="K245" s="548"/>
      <c r="L245" s="548"/>
      <c r="M245" s="548"/>
      <c r="N245" s="552"/>
    </row>
    <row r="246" spans="1:14">
      <c r="A246" s="499">
        <v>45497</v>
      </c>
      <c r="B246" s="499">
        <v>45498</v>
      </c>
      <c r="C246" s="500" t="s">
        <v>173</v>
      </c>
      <c r="D246" s="500" t="s">
        <v>762</v>
      </c>
      <c r="E246" s="501">
        <v>46030850.640000001</v>
      </c>
      <c r="F246" s="502" t="s">
        <v>879</v>
      </c>
      <c r="G246" s="100" t="s">
        <v>833</v>
      </c>
      <c r="H246" s="530"/>
      <c r="I246" s="422"/>
      <c r="K246" s="548"/>
      <c r="L246" s="548"/>
      <c r="M246" s="548"/>
      <c r="N246" s="552"/>
    </row>
    <row r="247" spans="1:14">
      <c r="A247" s="499">
        <v>45497</v>
      </c>
      <c r="B247" s="499">
        <v>45498</v>
      </c>
      <c r="C247" s="500" t="s">
        <v>173</v>
      </c>
      <c r="D247" s="500" t="s">
        <v>762</v>
      </c>
      <c r="E247" s="501">
        <v>105042238.34999999</v>
      </c>
      <c r="F247" s="502" t="s">
        <v>879</v>
      </c>
      <c r="G247" s="100" t="s">
        <v>631</v>
      </c>
      <c r="H247" s="530"/>
      <c r="I247" s="422"/>
      <c r="K247" s="548"/>
      <c r="L247" s="548"/>
      <c r="M247" s="548"/>
      <c r="N247" s="552"/>
    </row>
    <row r="248" spans="1:14">
      <c r="A248" s="499">
        <v>45497</v>
      </c>
      <c r="B248" s="499">
        <v>45498</v>
      </c>
      <c r="C248" s="500" t="s">
        <v>173</v>
      </c>
      <c r="D248" s="500" t="s">
        <v>762</v>
      </c>
      <c r="E248" s="501">
        <v>809456991.17999995</v>
      </c>
      <c r="F248" s="502" t="s">
        <v>879</v>
      </c>
      <c r="G248" s="100" t="s">
        <v>630</v>
      </c>
      <c r="H248" s="530"/>
      <c r="I248" s="422"/>
      <c r="K248" s="548"/>
      <c r="L248" s="548"/>
      <c r="M248" s="548"/>
      <c r="N248" s="552"/>
    </row>
    <row r="249" spans="1:14">
      <c r="A249" s="499">
        <v>45497</v>
      </c>
      <c r="B249" s="499">
        <v>45498</v>
      </c>
      <c r="C249" s="500" t="s">
        <v>173</v>
      </c>
      <c r="D249" s="500" t="s">
        <v>762</v>
      </c>
      <c r="E249" s="501">
        <v>1826030913.3699999</v>
      </c>
      <c r="F249" s="502" t="s">
        <v>879</v>
      </c>
      <c r="G249" s="100" t="s">
        <v>630</v>
      </c>
      <c r="H249" s="530"/>
      <c r="I249" s="422"/>
      <c r="K249" s="548"/>
      <c r="L249" s="548"/>
      <c r="M249" s="548"/>
      <c r="N249" s="552"/>
    </row>
    <row r="250" spans="1:14">
      <c r="A250" s="499">
        <v>45497</v>
      </c>
      <c r="B250" s="499">
        <v>45498</v>
      </c>
      <c r="C250" s="500" t="s">
        <v>173</v>
      </c>
      <c r="D250" s="500" t="s">
        <v>762</v>
      </c>
      <c r="E250" s="501">
        <v>65039789.240000002</v>
      </c>
      <c r="F250" s="502" t="s">
        <v>879</v>
      </c>
      <c r="G250" s="100" t="s">
        <v>547</v>
      </c>
      <c r="H250" s="530"/>
      <c r="I250" s="422"/>
      <c r="K250" s="548"/>
      <c r="L250" s="548"/>
      <c r="M250" s="548"/>
      <c r="N250" s="552"/>
    </row>
    <row r="251" spans="1:14">
      <c r="A251" s="499">
        <v>45497</v>
      </c>
      <c r="B251" s="499">
        <v>45497</v>
      </c>
      <c r="C251" s="500" t="s">
        <v>173</v>
      </c>
      <c r="D251" s="500" t="s">
        <v>761</v>
      </c>
      <c r="E251" s="501">
        <v>-1566184936.6199999</v>
      </c>
      <c r="F251" s="502" t="s">
        <v>879</v>
      </c>
      <c r="G251" s="100" t="s">
        <v>740</v>
      </c>
      <c r="H251" s="530"/>
      <c r="I251" s="422"/>
      <c r="K251" s="548"/>
      <c r="L251" s="548"/>
      <c r="M251" s="548"/>
      <c r="N251" s="552"/>
    </row>
    <row r="252" spans="1:14">
      <c r="A252" s="499">
        <v>45497</v>
      </c>
      <c r="B252" s="499">
        <v>45497</v>
      </c>
      <c r="C252" s="500" t="s">
        <v>173</v>
      </c>
      <c r="D252" s="500" t="s">
        <v>761</v>
      </c>
      <c r="E252" s="501">
        <v>-826240808.74000001</v>
      </c>
      <c r="F252" s="502" t="s">
        <v>879</v>
      </c>
      <c r="G252" s="100" t="s">
        <v>95</v>
      </c>
      <c r="H252" s="530"/>
      <c r="I252" s="422"/>
      <c r="K252" s="548"/>
      <c r="L252" s="548"/>
      <c r="M252" s="548"/>
      <c r="N252" s="552"/>
    </row>
    <row r="253" spans="1:14">
      <c r="A253" s="499">
        <v>45497</v>
      </c>
      <c r="B253" s="499">
        <v>45497</v>
      </c>
      <c r="C253" s="500" t="s">
        <v>173</v>
      </c>
      <c r="D253" s="500" t="s">
        <v>761</v>
      </c>
      <c r="E253" s="501">
        <v>-2001455216</v>
      </c>
      <c r="F253" s="502" t="s">
        <v>879</v>
      </c>
      <c r="G253" s="100" t="s">
        <v>826</v>
      </c>
      <c r="H253" s="530"/>
      <c r="I253" s="422"/>
      <c r="K253" s="548"/>
      <c r="L253" s="548"/>
      <c r="M253" s="548"/>
      <c r="N253" s="552"/>
    </row>
    <row r="254" spans="1:14">
      <c r="A254" s="499">
        <v>45497</v>
      </c>
      <c r="B254" s="499">
        <v>45497</v>
      </c>
      <c r="C254" s="500" t="s">
        <v>173</v>
      </c>
      <c r="D254" s="500" t="s">
        <v>761</v>
      </c>
      <c r="E254" s="501">
        <v>-15002939.390000001</v>
      </c>
      <c r="F254" s="502" t="s">
        <v>879</v>
      </c>
      <c r="G254" s="100" t="s">
        <v>139</v>
      </c>
      <c r="H254" s="530"/>
      <c r="I254" s="422"/>
      <c r="K254" s="548"/>
      <c r="L254" s="548"/>
      <c r="M254" s="548"/>
      <c r="N254" s="552"/>
    </row>
    <row r="255" spans="1:14">
      <c r="A255" s="499">
        <v>45497</v>
      </c>
      <c r="B255" s="499">
        <v>45497</v>
      </c>
      <c r="C255" s="500" t="s">
        <v>173</v>
      </c>
      <c r="D255" s="500" t="s">
        <v>761</v>
      </c>
      <c r="E255" s="501">
        <v>-56037648.909999996</v>
      </c>
      <c r="F255" s="502" t="s">
        <v>879</v>
      </c>
      <c r="G255" s="100" t="s">
        <v>593</v>
      </c>
      <c r="H255" s="530"/>
      <c r="I255" s="422"/>
      <c r="K255" s="548"/>
      <c r="L255" s="548"/>
      <c r="M255" s="548"/>
      <c r="N255" s="552"/>
    </row>
    <row r="256" spans="1:14">
      <c r="A256" s="499">
        <v>45497</v>
      </c>
      <c r="B256" s="499">
        <v>45497</v>
      </c>
      <c r="C256" s="500" t="s">
        <v>173</v>
      </c>
      <c r="D256" s="500" t="s">
        <v>761</v>
      </c>
      <c r="E256" s="501">
        <v>-118073167.08</v>
      </c>
      <c r="F256" s="502" t="s">
        <v>879</v>
      </c>
      <c r="G256" s="100" t="s">
        <v>91</v>
      </c>
      <c r="H256" s="530"/>
      <c r="I256" s="422"/>
      <c r="K256" s="548"/>
      <c r="L256" s="548"/>
      <c r="M256" s="548"/>
      <c r="N256" s="552"/>
    </row>
    <row r="257" spans="1:14">
      <c r="A257" s="499">
        <v>45497</v>
      </c>
      <c r="B257" s="499">
        <v>45497</v>
      </c>
      <c r="C257" s="500" t="s">
        <v>173</v>
      </c>
      <c r="D257" s="500" t="s">
        <v>761</v>
      </c>
      <c r="E257" s="501">
        <v>-323018051.5</v>
      </c>
      <c r="F257" s="502" t="s">
        <v>879</v>
      </c>
      <c r="G257" s="100" t="s">
        <v>645</v>
      </c>
      <c r="H257" s="530"/>
      <c r="I257" s="422"/>
      <c r="K257" s="548"/>
      <c r="L257" s="548"/>
      <c r="M257" s="548"/>
      <c r="N257" s="552"/>
    </row>
    <row r="258" spans="1:14">
      <c r="A258" s="499">
        <v>45497</v>
      </c>
      <c r="B258" s="499">
        <v>45498</v>
      </c>
      <c r="C258" s="500" t="s">
        <v>173</v>
      </c>
      <c r="D258" s="500" t="s">
        <v>761</v>
      </c>
      <c r="E258" s="501">
        <v>1566754065.1199999</v>
      </c>
      <c r="F258" s="502" t="s">
        <v>879</v>
      </c>
      <c r="G258" s="100" t="s">
        <v>740</v>
      </c>
      <c r="H258" s="530"/>
      <c r="I258" s="422"/>
      <c r="K258" s="548"/>
      <c r="L258" s="548"/>
      <c r="M258" s="548"/>
      <c r="N258" s="552"/>
    </row>
    <row r="259" spans="1:14">
      <c r="A259" s="499">
        <v>45497</v>
      </c>
      <c r="B259" s="499">
        <v>45511</v>
      </c>
      <c r="C259" s="500" t="s">
        <v>173</v>
      </c>
      <c r="D259" s="500" t="s">
        <v>761</v>
      </c>
      <c r="E259" s="501">
        <v>830507462.10000002</v>
      </c>
      <c r="F259" s="502" t="s">
        <v>879</v>
      </c>
      <c r="G259" s="100" t="s">
        <v>95</v>
      </c>
      <c r="H259" s="530"/>
      <c r="I259" s="422"/>
      <c r="K259" s="548"/>
      <c r="L259" s="548"/>
      <c r="M259" s="548"/>
      <c r="N259" s="552">
        <v>-1</v>
      </c>
    </row>
    <row r="260" spans="1:14">
      <c r="A260" s="499">
        <v>45497</v>
      </c>
      <c r="B260" s="499">
        <v>45504</v>
      </c>
      <c r="C260" s="500" t="s">
        <v>173</v>
      </c>
      <c r="D260" s="500" t="s">
        <v>761</v>
      </c>
      <c r="E260" s="501">
        <v>2006622907.75</v>
      </c>
      <c r="F260" s="502" t="s">
        <v>879</v>
      </c>
      <c r="G260" s="100" t="s">
        <v>826</v>
      </c>
      <c r="H260" s="530"/>
      <c r="I260" s="422"/>
      <c r="K260" s="548"/>
      <c r="L260" s="548"/>
      <c r="M260" s="548"/>
      <c r="N260" s="552"/>
    </row>
    <row r="261" spans="1:14">
      <c r="A261" s="499">
        <v>45497</v>
      </c>
      <c r="B261" s="499">
        <v>45498</v>
      </c>
      <c r="C261" s="500" t="s">
        <v>173</v>
      </c>
      <c r="D261" s="500" t="s">
        <v>761</v>
      </c>
      <c r="E261" s="501">
        <v>15008473.26</v>
      </c>
      <c r="F261" s="502" t="s">
        <v>879</v>
      </c>
      <c r="G261" s="100" t="s">
        <v>139</v>
      </c>
      <c r="H261" s="530"/>
      <c r="I261" s="422"/>
      <c r="K261" s="548"/>
      <c r="L261" s="548"/>
      <c r="M261" s="548"/>
      <c r="N261" s="552"/>
    </row>
    <row r="262" spans="1:14">
      <c r="A262" s="499">
        <v>45497</v>
      </c>
      <c r="B262" s="499">
        <v>45511</v>
      </c>
      <c r="C262" s="500" t="s">
        <v>173</v>
      </c>
      <c r="D262" s="500" t="s">
        <v>761</v>
      </c>
      <c r="E262" s="501">
        <v>56327023.649999999</v>
      </c>
      <c r="F262" s="502" t="s">
        <v>879</v>
      </c>
      <c r="G262" s="100" t="s">
        <v>593</v>
      </c>
      <c r="H262" s="530"/>
      <c r="I262" s="422"/>
      <c r="K262" s="548"/>
      <c r="L262" s="548"/>
      <c r="M262" s="548"/>
      <c r="N262" s="552"/>
    </row>
    <row r="263" spans="1:14">
      <c r="A263" s="499">
        <v>45497</v>
      </c>
      <c r="B263" s="499">
        <v>45511</v>
      </c>
      <c r="C263" s="500" t="s">
        <v>173</v>
      </c>
      <c r="D263" s="500" t="s">
        <v>761</v>
      </c>
      <c r="E263" s="501">
        <v>118682889.17</v>
      </c>
      <c r="F263" s="502" t="s">
        <v>879</v>
      </c>
      <c r="G263" s="100" t="s">
        <v>91</v>
      </c>
      <c r="H263" s="530"/>
      <c r="I263" s="422"/>
      <c r="K263" s="548"/>
      <c r="L263" s="548"/>
      <c r="M263" s="548"/>
      <c r="N263" s="552"/>
    </row>
    <row r="264" spans="1:14">
      <c r="A264" s="499">
        <v>45497</v>
      </c>
      <c r="B264" s="499">
        <v>45498</v>
      </c>
      <c r="C264" s="500" t="s">
        <v>173</v>
      </c>
      <c r="D264" s="500" t="s">
        <v>761</v>
      </c>
      <c r="E264" s="501">
        <v>323138080.06999999</v>
      </c>
      <c r="F264" s="502" t="s">
        <v>879</v>
      </c>
      <c r="G264" s="100" t="s">
        <v>645</v>
      </c>
      <c r="H264" s="530"/>
      <c r="I264" s="422"/>
      <c r="K264" s="548"/>
      <c r="L264" s="548"/>
      <c r="M264" s="548"/>
      <c r="N264" s="552"/>
    </row>
    <row r="265" spans="1:14">
      <c r="A265" s="499">
        <v>45497</v>
      </c>
      <c r="B265" s="499">
        <v>45497</v>
      </c>
      <c r="C265" s="500" t="s">
        <v>173</v>
      </c>
      <c r="D265" s="500" t="s">
        <v>760</v>
      </c>
      <c r="E265" s="501">
        <v>-2410001280.1900001</v>
      </c>
      <c r="F265" s="502" t="s">
        <v>879</v>
      </c>
      <c r="G265" s="100" t="s">
        <v>808</v>
      </c>
      <c r="H265" s="530"/>
      <c r="I265" s="422"/>
      <c r="K265" s="548"/>
      <c r="L265" s="548"/>
      <c r="M265" s="548"/>
      <c r="N265" s="552"/>
    </row>
    <row r="266" spans="1:14">
      <c r="A266" s="499">
        <v>45497</v>
      </c>
      <c r="B266" s="499">
        <v>45497</v>
      </c>
      <c r="C266" s="500" t="s">
        <v>173</v>
      </c>
      <c r="D266" s="500" t="s">
        <v>760</v>
      </c>
      <c r="E266" s="501">
        <v>-24017923.870000001</v>
      </c>
      <c r="F266" s="502" t="s">
        <v>879</v>
      </c>
      <c r="G266" s="100" t="s">
        <v>82</v>
      </c>
      <c r="H266" s="530"/>
      <c r="I266" s="422"/>
      <c r="K266" s="548"/>
      <c r="L266" s="548"/>
      <c r="M266" s="548"/>
      <c r="N266" s="552"/>
    </row>
    <row r="267" spans="1:14">
      <c r="A267" s="499">
        <v>45497</v>
      </c>
      <c r="B267" s="499">
        <v>45497</v>
      </c>
      <c r="C267" s="500" t="s">
        <v>173</v>
      </c>
      <c r="D267" s="500" t="s">
        <v>760</v>
      </c>
      <c r="E267" s="501">
        <v>-2865001521.8899999</v>
      </c>
      <c r="F267" s="502" t="s">
        <v>879</v>
      </c>
      <c r="G267" s="100" t="s">
        <v>808</v>
      </c>
      <c r="H267" s="530"/>
      <c r="I267" s="422"/>
      <c r="K267" s="548"/>
      <c r="L267" s="548"/>
      <c r="M267" s="548"/>
      <c r="N267" s="552"/>
    </row>
    <row r="268" spans="1:14">
      <c r="A268" s="499">
        <v>45497</v>
      </c>
      <c r="B268" s="499">
        <v>45497</v>
      </c>
      <c r="C268" s="500" t="s">
        <v>173</v>
      </c>
      <c r="D268" s="500" t="s">
        <v>760</v>
      </c>
      <c r="E268" s="501">
        <v>-2828158048.4400001</v>
      </c>
      <c r="F268" s="502" t="s">
        <v>879</v>
      </c>
      <c r="G268" s="100" t="s">
        <v>645</v>
      </c>
      <c r="H268" s="530"/>
      <c r="I268" s="422"/>
      <c r="K268" s="548"/>
      <c r="L268" s="548"/>
      <c r="M268" s="548"/>
      <c r="N268" s="552"/>
    </row>
    <row r="269" spans="1:14">
      <c r="A269" s="499">
        <v>45497</v>
      </c>
      <c r="B269" s="499">
        <v>45497</v>
      </c>
      <c r="C269" s="500" t="s">
        <v>173</v>
      </c>
      <c r="D269" s="500" t="s">
        <v>760</v>
      </c>
      <c r="E269" s="501">
        <v>-12000670.640000001</v>
      </c>
      <c r="F269" s="502" t="s">
        <v>879</v>
      </c>
      <c r="G269" s="100" t="s">
        <v>645</v>
      </c>
      <c r="H269" s="530"/>
      <c r="I269" s="422"/>
      <c r="K269" s="548"/>
      <c r="L269" s="548"/>
      <c r="M269" s="548"/>
      <c r="N269" s="552"/>
    </row>
    <row r="270" spans="1:14">
      <c r="A270" s="499">
        <v>45497</v>
      </c>
      <c r="B270" s="499">
        <v>45498</v>
      </c>
      <c r="C270" s="500" t="s">
        <v>173</v>
      </c>
      <c r="D270" s="500" t="s">
        <v>760</v>
      </c>
      <c r="E270" s="501">
        <v>2410870460.98</v>
      </c>
      <c r="F270" s="502" t="s">
        <v>879</v>
      </c>
      <c r="G270" s="100" t="s">
        <v>808</v>
      </c>
      <c r="H270" s="530"/>
      <c r="I270" s="422"/>
      <c r="K270" s="548"/>
      <c r="L270" s="548"/>
      <c r="M270" s="548"/>
      <c r="N270" s="552"/>
    </row>
    <row r="271" spans="1:14">
      <c r="A271" s="499">
        <v>45497</v>
      </c>
      <c r="B271" s="499">
        <v>45498</v>
      </c>
      <c r="C271" s="500" t="s">
        <v>173</v>
      </c>
      <c r="D271" s="500" t="s">
        <v>760</v>
      </c>
      <c r="E271" s="501">
        <v>24026586.07</v>
      </c>
      <c r="F271" s="502" t="s">
        <v>879</v>
      </c>
      <c r="G271" s="100" t="s">
        <v>82</v>
      </c>
      <c r="H271" s="530"/>
      <c r="I271" s="422"/>
      <c r="K271" s="548"/>
      <c r="L271" s="548"/>
      <c r="M271" s="548"/>
      <c r="N271" s="552"/>
    </row>
    <row r="272" spans="1:14">
      <c r="A272" s="499">
        <v>45497</v>
      </c>
      <c r="B272" s="499">
        <v>45498</v>
      </c>
      <c r="C272" s="500" t="s">
        <v>173</v>
      </c>
      <c r="D272" s="500" t="s">
        <v>760</v>
      </c>
      <c r="E272" s="501">
        <v>2866034801.1300001</v>
      </c>
      <c r="F272" s="502" t="s">
        <v>879</v>
      </c>
      <c r="G272" s="100" t="s">
        <v>808</v>
      </c>
      <c r="H272" s="530"/>
      <c r="I272" s="422"/>
      <c r="K272" s="548"/>
      <c r="L272" s="548"/>
      <c r="M272" s="548"/>
      <c r="N272" s="552"/>
    </row>
    <row r="273" spans="1:14">
      <c r="A273" s="499">
        <v>45497</v>
      </c>
      <c r="B273" s="499">
        <v>45498</v>
      </c>
      <c r="C273" s="500" t="s">
        <v>173</v>
      </c>
      <c r="D273" s="500" t="s">
        <v>760</v>
      </c>
      <c r="E273" s="501">
        <v>2829212850.9400001</v>
      </c>
      <c r="F273" s="502" t="s">
        <v>879</v>
      </c>
      <c r="G273" s="100" t="s">
        <v>645</v>
      </c>
      <c r="H273" s="530"/>
      <c r="I273" s="422"/>
      <c r="K273" s="548"/>
      <c r="L273" s="548"/>
      <c r="M273" s="548"/>
      <c r="N273" s="552"/>
    </row>
    <row r="274" spans="1:14">
      <c r="A274" s="499">
        <v>45497</v>
      </c>
      <c r="B274" s="499">
        <v>45498</v>
      </c>
      <c r="C274" s="500" t="s">
        <v>173</v>
      </c>
      <c r="D274" s="500" t="s">
        <v>760</v>
      </c>
      <c r="E274" s="501">
        <v>12005146.460000001</v>
      </c>
      <c r="F274" s="502" t="s">
        <v>879</v>
      </c>
      <c r="G274" s="100" t="s">
        <v>645</v>
      </c>
      <c r="H274" s="530"/>
      <c r="I274" s="422"/>
      <c r="K274" s="548"/>
      <c r="L274" s="548"/>
      <c r="M274" s="548"/>
      <c r="N274" s="552"/>
    </row>
    <row r="275" spans="1:14">
      <c r="A275" s="499">
        <v>45497</v>
      </c>
      <c r="B275" s="499">
        <v>45497</v>
      </c>
      <c r="C275" s="500" t="s">
        <v>173</v>
      </c>
      <c r="D275" s="500" t="s">
        <v>763</v>
      </c>
      <c r="E275" s="501">
        <v>-6789330171.7299995</v>
      </c>
      <c r="F275" s="502" t="s">
        <v>879</v>
      </c>
      <c r="G275" s="100" t="s">
        <v>139</v>
      </c>
      <c r="H275" s="530"/>
      <c r="I275" s="422"/>
      <c r="K275" s="548"/>
      <c r="L275" s="548"/>
      <c r="M275" s="548"/>
      <c r="N275" s="552"/>
    </row>
    <row r="276" spans="1:14">
      <c r="A276" s="499">
        <v>45497</v>
      </c>
      <c r="B276" s="499">
        <v>45497</v>
      </c>
      <c r="C276" s="500" t="s">
        <v>173</v>
      </c>
      <c r="D276" s="500" t="s">
        <v>763</v>
      </c>
      <c r="E276" s="501">
        <v>-29005682.82</v>
      </c>
      <c r="F276" s="502" t="s">
        <v>879</v>
      </c>
      <c r="G276" s="100" t="s">
        <v>139</v>
      </c>
      <c r="H276" s="530"/>
      <c r="I276" s="422"/>
      <c r="K276" s="548"/>
      <c r="L276" s="548"/>
      <c r="M276" s="548"/>
      <c r="N276" s="552"/>
    </row>
    <row r="277" spans="1:14">
      <c r="A277" s="499">
        <v>45497</v>
      </c>
      <c r="B277" s="499">
        <v>45498</v>
      </c>
      <c r="C277" s="500" t="s">
        <v>173</v>
      </c>
      <c r="D277" s="500" t="s">
        <v>763</v>
      </c>
      <c r="E277" s="501">
        <v>6791834432.8599997</v>
      </c>
      <c r="F277" s="502" t="s">
        <v>879</v>
      </c>
      <c r="G277" s="100" t="s">
        <v>139</v>
      </c>
      <c r="H277" s="530"/>
      <c r="I277" s="422"/>
      <c r="K277" s="548"/>
      <c r="L277" s="548"/>
      <c r="M277" s="548"/>
      <c r="N277" s="552"/>
    </row>
    <row r="278" spans="1:14">
      <c r="A278" s="499">
        <v>45497</v>
      </c>
      <c r="B278" s="499">
        <v>45498</v>
      </c>
      <c r="C278" s="500" t="s">
        <v>173</v>
      </c>
      <c r="D278" s="500" t="s">
        <v>763</v>
      </c>
      <c r="E278" s="501">
        <v>29016381.640000001</v>
      </c>
      <c r="F278" s="502" t="s">
        <v>879</v>
      </c>
      <c r="G278" s="100" t="s">
        <v>139</v>
      </c>
      <c r="H278" s="530"/>
      <c r="I278" s="422"/>
      <c r="K278" s="548"/>
      <c r="L278" s="548"/>
      <c r="M278" s="548"/>
      <c r="N278" s="552"/>
    </row>
    <row r="279" spans="1:14">
      <c r="A279" s="499">
        <v>45497</v>
      </c>
      <c r="B279" s="499">
        <v>45497</v>
      </c>
      <c r="C279" s="500" t="s">
        <v>173</v>
      </c>
      <c r="D279" s="500" t="s">
        <v>764</v>
      </c>
      <c r="E279" s="501">
        <v>-3484001188.04</v>
      </c>
      <c r="F279" s="502" t="s">
        <v>879</v>
      </c>
      <c r="G279" s="100" t="s">
        <v>633</v>
      </c>
      <c r="H279" s="530"/>
      <c r="I279" s="422"/>
      <c r="K279" s="548"/>
      <c r="L279" s="548"/>
      <c r="M279" s="548"/>
      <c r="N279" s="552"/>
    </row>
    <row r="280" spans="1:14">
      <c r="A280" s="499">
        <v>45497</v>
      </c>
      <c r="B280" s="499">
        <v>45497</v>
      </c>
      <c r="C280" s="500" t="s">
        <v>173</v>
      </c>
      <c r="D280" s="500" t="s">
        <v>764</v>
      </c>
      <c r="E280" s="501">
        <v>-16007217.41</v>
      </c>
      <c r="F280" s="502" t="s">
        <v>879</v>
      </c>
      <c r="G280" s="100" t="s">
        <v>689</v>
      </c>
      <c r="H280" s="530"/>
      <c r="I280" s="422"/>
      <c r="K280" s="548"/>
      <c r="L280" s="548"/>
      <c r="M280" s="548"/>
      <c r="N280" s="552"/>
    </row>
    <row r="281" spans="1:14">
      <c r="A281" s="499">
        <v>45497</v>
      </c>
      <c r="B281" s="499">
        <v>45497</v>
      </c>
      <c r="C281" s="500" t="s">
        <v>173</v>
      </c>
      <c r="D281" s="500" t="s">
        <v>764</v>
      </c>
      <c r="E281" s="501">
        <v>-1989001056.5599999</v>
      </c>
      <c r="F281" s="502" t="s">
        <v>879</v>
      </c>
      <c r="G281" s="100" t="s">
        <v>807</v>
      </c>
      <c r="H281" s="530"/>
      <c r="I281" s="422"/>
      <c r="K281" s="548"/>
      <c r="L281" s="548"/>
      <c r="M281" s="548"/>
      <c r="N281" s="552"/>
    </row>
    <row r="282" spans="1:14">
      <c r="A282" s="499">
        <v>45497</v>
      </c>
      <c r="B282" s="499">
        <v>45497</v>
      </c>
      <c r="C282" s="500" t="s">
        <v>173</v>
      </c>
      <c r="D282" s="500" t="s">
        <v>764</v>
      </c>
      <c r="E282" s="501">
        <v>-9000002.5399999991</v>
      </c>
      <c r="F282" s="502" t="s">
        <v>879</v>
      </c>
      <c r="G282" s="100" t="s">
        <v>794</v>
      </c>
      <c r="H282" s="530"/>
      <c r="I282" s="422"/>
      <c r="K282" s="548"/>
      <c r="L282" s="548"/>
      <c r="M282" s="548"/>
      <c r="N282" s="552"/>
    </row>
    <row r="283" spans="1:14">
      <c r="A283" s="499">
        <v>45497</v>
      </c>
      <c r="B283" s="499">
        <v>45498</v>
      </c>
      <c r="C283" s="500" t="s">
        <v>173</v>
      </c>
      <c r="D283" s="500" t="s">
        <v>764</v>
      </c>
      <c r="E283" s="501">
        <v>3485300549.1399999</v>
      </c>
      <c r="F283" s="502" t="s">
        <v>879</v>
      </c>
      <c r="G283" s="100" t="s">
        <v>633</v>
      </c>
      <c r="H283" s="530"/>
      <c r="I283" s="422"/>
      <c r="K283" s="548"/>
      <c r="L283" s="548"/>
      <c r="M283" s="548"/>
      <c r="N283" s="552"/>
    </row>
    <row r="284" spans="1:14">
      <c r="A284" s="499">
        <v>45497</v>
      </c>
      <c r="B284" s="499">
        <v>45498</v>
      </c>
      <c r="C284" s="500" t="s">
        <v>173</v>
      </c>
      <c r="D284" s="500" t="s">
        <v>764</v>
      </c>
      <c r="E284" s="501">
        <v>16013187.310000001</v>
      </c>
      <c r="F284" s="502" t="s">
        <v>879</v>
      </c>
      <c r="G284" s="100" t="s">
        <v>689</v>
      </c>
      <c r="H284" s="530"/>
      <c r="I284" s="422"/>
      <c r="K284" s="548"/>
      <c r="L284" s="548"/>
      <c r="M284" s="548"/>
      <c r="N284" s="552"/>
    </row>
    <row r="285" spans="1:14">
      <c r="A285" s="499">
        <v>45497</v>
      </c>
      <c r="B285" s="499">
        <v>45504</v>
      </c>
      <c r="C285" s="500" t="s">
        <v>173</v>
      </c>
      <c r="D285" s="500" t="s">
        <v>764</v>
      </c>
      <c r="E285" s="501">
        <v>1994193653.5799999</v>
      </c>
      <c r="F285" s="502" t="s">
        <v>879</v>
      </c>
      <c r="G285" s="100" t="s">
        <v>807</v>
      </c>
      <c r="H285" s="530"/>
      <c r="I285" s="422"/>
      <c r="K285" s="548"/>
      <c r="L285" s="548"/>
      <c r="M285" s="548"/>
      <c r="N285" s="552"/>
    </row>
    <row r="286" spans="1:14">
      <c r="A286" s="499">
        <v>45497</v>
      </c>
      <c r="B286" s="499">
        <v>45504</v>
      </c>
      <c r="C286" s="500" t="s">
        <v>173</v>
      </c>
      <c r="D286" s="500" t="s">
        <v>764</v>
      </c>
      <c r="E286" s="501">
        <v>9023498.4499999993</v>
      </c>
      <c r="F286" s="502" t="s">
        <v>879</v>
      </c>
      <c r="G286" s="100" t="s">
        <v>794</v>
      </c>
      <c r="H286" s="530"/>
      <c r="I286" s="422"/>
      <c r="K286" s="548"/>
      <c r="L286" s="548"/>
      <c r="M286" s="548"/>
      <c r="N286" s="552"/>
    </row>
    <row r="287" spans="1:14">
      <c r="A287" s="499">
        <v>45498</v>
      </c>
      <c r="B287" s="499">
        <v>45498</v>
      </c>
      <c r="C287" s="500" t="s">
        <v>173</v>
      </c>
      <c r="D287" s="500" t="s">
        <v>759</v>
      </c>
      <c r="E287" s="501">
        <v>-2009121610.4000001</v>
      </c>
      <c r="F287" s="502" t="s">
        <v>879</v>
      </c>
      <c r="G287" s="100" t="s">
        <v>644</v>
      </c>
      <c r="H287" s="530"/>
      <c r="I287" s="422"/>
      <c r="K287" s="548"/>
      <c r="L287" s="548"/>
      <c r="M287" s="548"/>
      <c r="N287" s="552"/>
    </row>
    <row r="288" spans="1:14">
      <c r="A288" s="499">
        <v>45498</v>
      </c>
      <c r="B288" s="499">
        <v>45498</v>
      </c>
      <c r="C288" s="500" t="s">
        <v>173</v>
      </c>
      <c r="D288" s="500" t="s">
        <v>759</v>
      </c>
      <c r="E288" s="501">
        <v>-5000302664</v>
      </c>
      <c r="F288" s="502" t="s">
        <v>879</v>
      </c>
      <c r="G288" s="100" t="s">
        <v>644</v>
      </c>
      <c r="H288" s="530"/>
      <c r="I288" s="422"/>
      <c r="K288" s="548"/>
      <c r="L288" s="548"/>
      <c r="M288" s="548"/>
      <c r="N288" s="552"/>
    </row>
    <row r="289" spans="1:25">
      <c r="A289" s="499">
        <v>45498</v>
      </c>
      <c r="B289" s="499">
        <v>45498</v>
      </c>
      <c r="C289" s="500" t="s">
        <v>173</v>
      </c>
      <c r="D289" s="500" t="s">
        <v>759</v>
      </c>
      <c r="E289" s="501">
        <v>-1499470256.0899999</v>
      </c>
      <c r="F289" s="502" t="s">
        <v>879</v>
      </c>
      <c r="G289" s="100" t="s">
        <v>891</v>
      </c>
      <c r="H289" s="530"/>
      <c r="I289" s="422"/>
      <c r="K289" s="548"/>
      <c r="L289" s="548"/>
      <c r="M289" s="548"/>
      <c r="N289" s="552"/>
    </row>
    <row r="290" spans="1:25">
      <c r="A290" s="499">
        <v>45498</v>
      </c>
      <c r="B290" s="499">
        <v>45498</v>
      </c>
      <c r="C290" s="500" t="s">
        <v>173</v>
      </c>
      <c r="D290" s="500" t="s">
        <v>759</v>
      </c>
      <c r="E290" s="501">
        <v>-37002239.710000001</v>
      </c>
      <c r="F290" s="502" t="s">
        <v>879</v>
      </c>
      <c r="G290" s="100" t="s">
        <v>644</v>
      </c>
      <c r="H290" s="530"/>
      <c r="I290" s="422"/>
      <c r="K290" s="548"/>
      <c r="L290" s="548"/>
      <c r="M290" s="548"/>
      <c r="N290" s="552"/>
    </row>
    <row r="291" spans="1:25">
      <c r="A291" s="499">
        <v>45498</v>
      </c>
      <c r="B291" s="499">
        <v>45499</v>
      </c>
      <c r="C291" s="500" t="s">
        <v>173</v>
      </c>
      <c r="D291" s="500" t="s">
        <v>759</v>
      </c>
      <c r="E291" s="501">
        <v>2009906595.0699999</v>
      </c>
      <c r="F291" s="502" t="s">
        <v>879</v>
      </c>
      <c r="G291" s="100" t="s">
        <v>644</v>
      </c>
      <c r="H291" s="530"/>
      <c r="I291" s="422"/>
      <c r="K291" s="548"/>
      <c r="L291" s="548"/>
      <c r="M291" s="548"/>
      <c r="N291" s="552"/>
    </row>
    <row r="292" spans="1:25">
      <c r="A292" s="499">
        <v>45498</v>
      </c>
      <c r="B292" s="499">
        <v>45499</v>
      </c>
      <c r="C292" s="500" t="s">
        <v>173</v>
      </c>
      <c r="D292" s="500" t="s">
        <v>759</v>
      </c>
      <c r="E292" s="501">
        <v>5002256334.1700001</v>
      </c>
      <c r="F292" s="502" t="s">
        <v>879</v>
      </c>
      <c r="G292" s="100" t="s">
        <v>644</v>
      </c>
      <c r="H292" s="530"/>
      <c r="I292" s="422"/>
      <c r="K292" s="548"/>
      <c r="L292" s="548"/>
      <c r="M292" s="548"/>
      <c r="N292" s="552"/>
    </row>
    <row r="293" spans="1:25">
      <c r="A293" s="499">
        <v>45498</v>
      </c>
      <c r="B293" s="499">
        <v>45499</v>
      </c>
      <c r="C293" s="500" t="s">
        <v>173</v>
      </c>
      <c r="D293" s="500" t="s">
        <v>759</v>
      </c>
      <c r="E293" s="501">
        <v>1500056114.6900001</v>
      </c>
      <c r="F293" s="502" t="s">
        <v>879</v>
      </c>
      <c r="G293" s="100" t="s">
        <v>891</v>
      </c>
      <c r="H293" s="530"/>
      <c r="I293" s="422"/>
      <c r="K293" s="548"/>
      <c r="L293" s="548"/>
      <c r="M293" s="548"/>
      <c r="N293" s="552"/>
    </row>
    <row r="294" spans="1:25">
      <c r="A294" s="499">
        <v>45498</v>
      </c>
      <c r="B294" s="499">
        <v>45499</v>
      </c>
      <c r="C294" s="500" t="s">
        <v>173</v>
      </c>
      <c r="D294" s="500" t="s">
        <v>759</v>
      </c>
      <c r="E294" s="501">
        <v>37016696.869999997</v>
      </c>
      <c r="F294" s="502" t="s">
        <v>879</v>
      </c>
      <c r="G294" s="100" t="s">
        <v>644</v>
      </c>
      <c r="H294" s="530"/>
      <c r="I294" s="422"/>
      <c r="K294" s="548"/>
      <c r="L294" s="548"/>
      <c r="M294" s="548"/>
      <c r="N294" s="552"/>
    </row>
    <row r="295" spans="1:25">
      <c r="A295" s="499">
        <v>45496</v>
      </c>
      <c r="B295" s="499">
        <v>45498</v>
      </c>
      <c r="C295" s="500" t="s">
        <v>173</v>
      </c>
      <c r="D295" s="500" t="s">
        <v>759</v>
      </c>
      <c r="E295" s="501">
        <v>-1976776000</v>
      </c>
      <c r="F295" s="502" t="s">
        <v>906</v>
      </c>
      <c r="G295" s="100" t="s">
        <v>516</v>
      </c>
      <c r="H295" s="530"/>
      <c r="I295" s="525" t="s">
        <v>672</v>
      </c>
      <c r="K295" s="548"/>
      <c r="L295" s="549">
        <v>94.238799999999998</v>
      </c>
      <c r="M295" s="549">
        <f>-E295/(N295*O295)*100</f>
        <v>98.838800000000006</v>
      </c>
      <c r="N295" s="549">
        <v>2000000</v>
      </c>
      <c r="O295" s="539">
        <v>1000</v>
      </c>
      <c r="P295" s="539">
        <v>95.811700000000002</v>
      </c>
      <c r="T295" s="538">
        <v>13.48</v>
      </c>
      <c r="W295" s="550">
        <f>VLOOKUP(G295,Справочник!A:C,3,0)</f>
        <v>0.12</v>
      </c>
      <c r="X295" s="539" t="str">
        <f>VLOOKUP(G295,Справочник!A:G,7,0)</f>
        <v>Министерство финансов Республики Казахстан</v>
      </c>
      <c r="Y295" s="551">
        <f>VLOOKUP(G295,Справочник!A:B,2,0)</f>
        <v>47549</v>
      </c>
    </row>
    <row r="296" spans="1:25">
      <c r="A296" s="499">
        <v>45496</v>
      </c>
      <c r="B296" s="499">
        <v>45498</v>
      </c>
      <c r="C296" s="500" t="s">
        <v>173</v>
      </c>
      <c r="D296" s="500" t="s">
        <v>759</v>
      </c>
      <c r="E296" s="501">
        <v>-2970450000</v>
      </c>
      <c r="F296" s="502" t="s">
        <v>906</v>
      </c>
      <c r="G296" s="100" t="s">
        <v>516</v>
      </c>
      <c r="H296" s="530"/>
      <c r="I296" s="525" t="s">
        <v>672</v>
      </c>
      <c r="K296" s="548"/>
      <c r="L296" s="549">
        <v>94.415000000000006</v>
      </c>
      <c r="M296" s="549">
        <f>-E296/(N296*O296)*100</f>
        <v>99.015000000000001</v>
      </c>
      <c r="N296" s="549">
        <v>3000000</v>
      </c>
      <c r="O296" s="539">
        <v>1000</v>
      </c>
      <c r="P296" s="539">
        <v>95.811700000000002</v>
      </c>
      <c r="T296" s="538">
        <v>13.4316</v>
      </c>
      <c r="W296" s="550">
        <f>VLOOKUP(G296,Справочник!A:C,3,0)</f>
        <v>0.12</v>
      </c>
      <c r="X296" s="539" t="str">
        <f>VLOOKUP(G296,Справочник!A:G,7,0)</f>
        <v>Министерство финансов Республики Казахстан</v>
      </c>
      <c r="Y296" s="551">
        <f>VLOOKUP(G296,Справочник!A:B,2,0)</f>
        <v>47549</v>
      </c>
    </row>
    <row r="297" spans="1:25">
      <c r="A297" s="499">
        <v>45498</v>
      </c>
      <c r="B297" s="499">
        <v>45498</v>
      </c>
      <c r="C297" s="500" t="s">
        <v>173</v>
      </c>
      <c r="D297" s="500" t="s">
        <v>762</v>
      </c>
      <c r="E297" s="501">
        <v>-1110058781</v>
      </c>
      <c r="F297" s="502" t="s">
        <v>879</v>
      </c>
      <c r="G297" s="100" t="s">
        <v>889</v>
      </c>
      <c r="H297" s="530"/>
      <c r="I297" s="525"/>
      <c r="K297" s="548"/>
      <c r="L297" s="548"/>
      <c r="M297" s="548"/>
      <c r="N297" s="552"/>
      <c r="Y297" s="551"/>
    </row>
    <row r="298" spans="1:25">
      <c r="A298" s="499">
        <v>45498</v>
      </c>
      <c r="B298" s="499">
        <v>45498</v>
      </c>
      <c r="C298" s="500" t="s">
        <v>173</v>
      </c>
      <c r="D298" s="500" t="s">
        <v>762</v>
      </c>
      <c r="E298" s="501">
        <v>-57003450.369999997</v>
      </c>
      <c r="F298" s="502" t="s">
        <v>879</v>
      </c>
      <c r="G298" s="100" t="s">
        <v>644</v>
      </c>
      <c r="H298" s="530"/>
      <c r="I298" s="525"/>
      <c r="K298" s="548"/>
      <c r="L298" s="548"/>
      <c r="M298" s="548"/>
      <c r="N298" s="552"/>
      <c r="Y298" s="551"/>
    </row>
    <row r="299" spans="1:25">
      <c r="A299" s="499">
        <v>45498</v>
      </c>
      <c r="B299" s="499">
        <v>45498</v>
      </c>
      <c r="C299" s="500" t="s">
        <v>173</v>
      </c>
      <c r="D299" s="500" t="s">
        <v>762</v>
      </c>
      <c r="E299" s="501">
        <v>-11813411276</v>
      </c>
      <c r="F299" s="502" t="s">
        <v>879</v>
      </c>
      <c r="G299" s="100" t="s">
        <v>633</v>
      </c>
      <c r="H299" s="530"/>
      <c r="I299" s="525"/>
      <c r="K299" s="548"/>
      <c r="L299" s="548"/>
      <c r="M299" s="548"/>
      <c r="N299" s="552"/>
      <c r="Y299" s="551"/>
    </row>
    <row r="300" spans="1:25">
      <c r="A300" s="499">
        <v>45498</v>
      </c>
      <c r="B300" s="499">
        <v>45499</v>
      </c>
      <c r="C300" s="500" t="s">
        <v>173</v>
      </c>
      <c r="D300" s="500" t="s">
        <v>762</v>
      </c>
      <c r="E300" s="501">
        <v>1110483394</v>
      </c>
      <c r="F300" s="502" t="s">
        <v>879</v>
      </c>
      <c r="G300" s="100" t="s">
        <v>889</v>
      </c>
      <c r="H300" s="530"/>
      <c r="I300" s="525"/>
      <c r="K300" s="548"/>
      <c r="L300" s="548"/>
      <c r="M300" s="548"/>
      <c r="N300" s="552"/>
      <c r="Y300" s="551"/>
    </row>
    <row r="301" spans="1:25">
      <c r="A301" s="499">
        <v>45498</v>
      </c>
      <c r="B301" s="499">
        <v>45499</v>
      </c>
      <c r="C301" s="500" t="s">
        <v>173</v>
      </c>
      <c r="D301" s="500" t="s">
        <v>762</v>
      </c>
      <c r="E301" s="501">
        <v>57025255.119999997</v>
      </c>
      <c r="F301" s="502" t="s">
        <v>879</v>
      </c>
      <c r="G301" s="100" t="s">
        <v>644</v>
      </c>
      <c r="H301" s="530"/>
      <c r="I301" s="525"/>
      <c r="K301" s="548"/>
      <c r="L301" s="548"/>
      <c r="M301" s="548"/>
      <c r="N301" s="552"/>
      <c r="Y301" s="551"/>
    </row>
    <row r="302" spans="1:25">
      <c r="A302" s="499">
        <v>45498</v>
      </c>
      <c r="B302" s="499">
        <v>45499</v>
      </c>
      <c r="C302" s="500" t="s">
        <v>173</v>
      </c>
      <c r="D302" s="500" t="s">
        <v>762</v>
      </c>
      <c r="E302" s="501">
        <v>11817930067</v>
      </c>
      <c r="F302" s="502" t="s">
        <v>879</v>
      </c>
      <c r="G302" s="100" t="s">
        <v>633</v>
      </c>
      <c r="H302" s="530"/>
      <c r="I302" s="525"/>
      <c r="K302" s="548"/>
      <c r="L302" s="548"/>
      <c r="M302" s="548"/>
      <c r="N302" s="552"/>
      <c r="Y302" s="551"/>
    </row>
    <row r="303" spans="1:25">
      <c r="A303" s="499">
        <v>45498</v>
      </c>
      <c r="B303" s="499">
        <v>45498</v>
      </c>
      <c r="C303" s="500" t="s">
        <v>173</v>
      </c>
      <c r="D303" s="500" t="s">
        <v>761</v>
      </c>
      <c r="E303" s="501">
        <v>-1102167799.8699999</v>
      </c>
      <c r="F303" s="502" t="s">
        <v>879</v>
      </c>
      <c r="G303" s="100" t="s">
        <v>828</v>
      </c>
      <c r="H303" s="530"/>
      <c r="I303" s="525"/>
      <c r="K303" s="548"/>
      <c r="L303" s="548"/>
      <c r="M303" s="548"/>
      <c r="N303" s="552"/>
      <c r="Y303" s="551"/>
    </row>
    <row r="304" spans="1:25">
      <c r="A304" s="499">
        <v>45498</v>
      </c>
      <c r="B304" s="499">
        <v>45498</v>
      </c>
      <c r="C304" s="500" t="s">
        <v>173</v>
      </c>
      <c r="D304" s="500" t="s">
        <v>761</v>
      </c>
      <c r="E304" s="501">
        <v>-6000363.2000000002</v>
      </c>
      <c r="F304" s="502" t="s">
        <v>879</v>
      </c>
      <c r="G304" s="100" t="s">
        <v>645</v>
      </c>
      <c r="H304" s="530"/>
      <c r="I304" s="525"/>
      <c r="K304" s="548"/>
      <c r="L304" s="548"/>
      <c r="M304" s="548"/>
      <c r="N304" s="552"/>
      <c r="Y304" s="551"/>
    </row>
    <row r="305" spans="1:25">
      <c r="A305" s="499">
        <v>45498</v>
      </c>
      <c r="B305" s="499">
        <v>45498</v>
      </c>
      <c r="C305" s="500" t="s">
        <v>173</v>
      </c>
      <c r="D305" s="500" t="s">
        <v>761</v>
      </c>
      <c r="E305" s="501">
        <v>-476000476</v>
      </c>
      <c r="F305" s="502" t="s">
        <v>879</v>
      </c>
      <c r="G305" s="100" t="s">
        <v>812</v>
      </c>
      <c r="H305" s="530"/>
      <c r="I305" s="525"/>
      <c r="K305" s="548"/>
      <c r="L305" s="548"/>
      <c r="M305" s="548"/>
      <c r="N305" s="552"/>
      <c r="Y305" s="551"/>
    </row>
    <row r="306" spans="1:25">
      <c r="A306" s="499">
        <v>45498</v>
      </c>
      <c r="B306" s="499">
        <v>45499</v>
      </c>
      <c r="C306" s="500" t="s">
        <v>173</v>
      </c>
      <c r="D306" s="500" t="s">
        <v>761</v>
      </c>
      <c r="E306" s="501">
        <v>1102597524.8599999</v>
      </c>
      <c r="F306" s="502" t="s">
        <v>879</v>
      </c>
      <c r="G306" s="100" t="s">
        <v>828</v>
      </c>
      <c r="H306" s="530"/>
      <c r="I306" s="525"/>
      <c r="K306" s="548"/>
      <c r="L306" s="548"/>
      <c r="M306" s="548"/>
      <c r="N306" s="552"/>
      <c r="Y306" s="551"/>
    </row>
    <row r="307" spans="1:25">
      <c r="A307" s="499">
        <v>45498</v>
      </c>
      <c r="B307" s="499">
        <v>45499</v>
      </c>
      <c r="C307" s="500" t="s">
        <v>173</v>
      </c>
      <c r="D307" s="500" t="s">
        <v>761</v>
      </c>
      <c r="E307" s="501">
        <v>6002707.5899999999</v>
      </c>
      <c r="F307" s="502" t="s">
        <v>879</v>
      </c>
      <c r="G307" s="100" t="s">
        <v>645</v>
      </c>
      <c r="H307" s="530"/>
      <c r="I307" s="525"/>
      <c r="K307" s="548"/>
      <c r="L307" s="548"/>
      <c r="M307" s="548"/>
      <c r="N307" s="552"/>
      <c r="Y307" s="551"/>
    </row>
    <row r="308" spans="1:25">
      <c r="A308" s="499">
        <v>45498</v>
      </c>
      <c r="B308" s="499">
        <v>45499</v>
      </c>
      <c r="C308" s="500" t="s">
        <v>173</v>
      </c>
      <c r="D308" s="500" t="s">
        <v>761</v>
      </c>
      <c r="E308" s="501">
        <v>476186064.16000003</v>
      </c>
      <c r="F308" s="502" t="s">
        <v>879</v>
      </c>
      <c r="G308" s="100" t="s">
        <v>812</v>
      </c>
      <c r="H308" s="530"/>
      <c r="I308" s="525"/>
      <c r="K308" s="548"/>
      <c r="L308" s="548"/>
      <c r="M308" s="548"/>
      <c r="N308" s="552"/>
      <c r="Y308" s="551"/>
    </row>
    <row r="309" spans="1:25">
      <c r="A309" s="499">
        <v>45496</v>
      </c>
      <c r="B309" s="499">
        <v>45498</v>
      </c>
      <c r="C309" s="500" t="s">
        <v>173</v>
      </c>
      <c r="D309" s="500" t="s">
        <v>761</v>
      </c>
      <c r="E309" s="501">
        <v>-322448888.88999999</v>
      </c>
      <c r="F309" s="502" t="s">
        <v>906</v>
      </c>
      <c r="G309" s="100" t="s">
        <v>61</v>
      </c>
      <c r="H309" s="530"/>
      <c r="I309" s="525" t="s">
        <v>717</v>
      </c>
      <c r="K309" s="548">
        <v>113489530</v>
      </c>
      <c r="L309" s="549">
        <v>63.099499999999999</v>
      </c>
      <c r="M309" s="549">
        <f>E309*(-1)/(N309*O309)*100</f>
        <v>64.489777778000004</v>
      </c>
      <c r="N309" s="549">
        <v>500000</v>
      </c>
      <c r="O309" s="539">
        <v>1000</v>
      </c>
      <c r="T309" s="538">
        <v>13.44</v>
      </c>
      <c r="U309" s="538">
        <v>0</v>
      </c>
      <c r="V309" s="549">
        <v>32244.89</v>
      </c>
      <c r="W309" s="550">
        <f>VLOOKUP(G309,Справочник!A:C,3,0)</f>
        <v>5.5E-2</v>
      </c>
      <c r="X309" s="539" t="str">
        <f>VLOOKUP(G309,Справочник!A:G,7,0)</f>
        <v>Министерство финансов Республики Казахстан</v>
      </c>
      <c r="Y309" s="551">
        <f>VLOOKUP(G309,Справочник!A:B,2,0)</f>
        <v>48328</v>
      </c>
    </row>
    <row r="310" spans="1:25">
      <c r="A310" s="499">
        <v>45498</v>
      </c>
      <c r="B310" s="499">
        <v>45498</v>
      </c>
      <c r="C310" s="500" t="s">
        <v>173</v>
      </c>
      <c r="D310" s="500" t="s">
        <v>760</v>
      </c>
      <c r="E310" s="501">
        <v>-5276279395.8599997</v>
      </c>
      <c r="F310" s="502" t="s">
        <v>879</v>
      </c>
      <c r="G310" s="100" t="s">
        <v>890</v>
      </c>
      <c r="H310" s="530"/>
      <c r="I310" s="525"/>
      <c r="K310" s="548"/>
      <c r="L310" s="548"/>
      <c r="M310" s="548"/>
      <c r="N310" s="552"/>
      <c r="Y310" s="551"/>
    </row>
    <row r="311" spans="1:25">
      <c r="A311" s="499">
        <v>45498</v>
      </c>
      <c r="B311" s="499">
        <v>45498</v>
      </c>
      <c r="C311" s="500" t="s">
        <v>173</v>
      </c>
      <c r="D311" s="500" t="s">
        <v>760</v>
      </c>
      <c r="E311" s="501">
        <v>-26001376.859999999</v>
      </c>
      <c r="F311" s="502" t="s">
        <v>879</v>
      </c>
      <c r="G311" s="100" t="s">
        <v>890</v>
      </c>
      <c r="H311" s="530"/>
      <c r="I311" s="525"/>
      <c r="K311" s="548"/>
      <c r="L311" s="548"/>
      <c r="M311" s="548"/>
      <c r="N311" s="552"/>
      <c r="Y311" s="551"/>
    </row>
    <row r="312" spans="1:25">
      <c r="A312" s="499">
        <v>45498</v>
      </c>
      <c r="B312" s="499">
        <v>45499</v>
      </c>
      <c r="C312" s="500" t="s">
        <v>173</v>
      </c>
      <c r="D312" s="500" t="s">
        <v>760</v>
      </c>
      <c r="E312" s="501">
        <v>5278297644.8100004</v>
      </c>
      <c r="F312" s="502" t="s">
        <v>879</v>
      </c>
      <c r="G312" s="100" t="s">
        <v>890</v>
      </c>
      <c r="H312" s="530"/>
      <c r="I312" s="525"/>
      <c r="K312" s="548"/>
      <c r="L312" s="548"/>
      <c r="M312" s="548"/>
      <c r="N312" s="552"/>
      <c r="Y312" s="551"/>
    </row>
    <row r="313" spans="1:25">
      <c r="A313" s="499">
        <v>45498</v>
      </c>
      <c r="B313" s="499">
        <v>45499</v>
      </c>
      <c r="C313" s="500" t="s">
        <v>173</v>
      </c>
      <c r="D313" s="500" t="s">
        <v>760</v>
      </c>
      <c r="E313" s="501">
        <v>26011322.739999998</v>
      </c>
      <c r="F313" s="502" t="s">
        <v>879</v>
      </c>
      <c r="G313" s="100" t="s">
        <v>890</v>
      </c>
      <c r="H313" s="530"/>
      <c r="I313" s="525"/>
      <c r="K313" s="548"/>
      <c r="L313" s="548"/>
      <c r="M313" s="548"/>
      <c r="N313" s="552"/>
      <c r="Y313" s="551"/>
    </row>
    <row r="314" spans="1:25">
      <c r="A314" s="499">
        <v>45496</v>
      </c>
      <c r="B314" s="499">
        <v>45498</v>
      </c>
      <c r="C314" s="500" t="s">
        <v>173</v>
      </c>
      <c r="D314" s="500" t="s">
        <v>760</v>
      </c>
      <c r="E314" s="501">
        <v>-1811999509.6400001</v>
      </c>
      <c r="F314" s="502" t="s">
        <v>906</v>
      </c>
      <c r="G314" s="100" t="s">
        <v>61</v>
      </c>
      <c r="H314" s="530"/>
      <c r="I314" s="525" t="s">
        <v>717</v>
      </c>
      <c r="K314" s="548">
        <v>113482820</v>
      </c>
      <c r="L314" s="549">
        <v>63.234900000000003</v>
      </c>
      <c r="M314" s="549">
        <f>-E314/(N314*O314)*100</f>
        <v>64.625177777777793</v>
      </c>
      <c r="N314" s="549">
        <v>2803860</v>
      </c>
      <c r="O314" s="539">
        <v>1000</v>
      </c>
      <c r="P314" s="539">
        <v>64.518900000000002</v>
      </c>
      <c r="T314" s="538">
        <v>13.4</v>
      </c>
      <c r="U314" s="538">
        <v>0</v>
      </c>
      <c r="V314" s="538">
        <v>181199.95</v>
      </c>
      <c r="W314" s="550">
        <f>VLOOKUP(G314,Справочник!A:C,3,0)</f>
        <v>5.5E-2</v>
      </c>
      <c r="X314" s="539" t="str">
        <f>VLOOKUP(G314,Справочник!A:G,7,0)</f>
        <v>Министерство финансов Республики Казахстан</v>
      </c>
      <c r="Y314" s="551">
        <f>VLOOKUP(G314,Справочник!A:B,2,0)</f>
        <v>48328</v>
      </c>
    </row>
    <row r="315" spans="1:25">
      <c r="A315" s="499">
        <v>45496</v>
      </c>
      <c r="B315" s="499">
        <v>45498</v>
      </c>
      <c r="C315" s="500" t="s">
        <v>173</v>
      </c>
      <c r="D315" s="500" t="s">
        <v>760</v>
      </c>
      <c r="E315" s="501">
        <v>-1026799176.96</v>
      </c>
      <c r="F315" s="502" t="s">
        <v>906</v>
      </c>
      <c r="G315" s="100" t="s">
        <v>516</v>
      </c>
      <c r="H315" s="530"/>
      <c r="I315" s="525" t="s">
        <v>672</v>
      </c>
      <c r="K315" s="548">
        <v>113482965</v>
      </c>
      <c r="L315" s="549">
        <v>94.275199999999998</v>
      </c>
      <c r="M315" s="549">
        <f>-E315/(N315*O315)*100</f>
        <v>98.875200000000007</v>
      </c>
      <c r="N315" s="549">
        <v>1038480</v>
      </c>
      <c r="O315" s="539">
        <v>1000</v>
      </c>
      <c r="P315" s="539">
        <v>95.811700000000002</v>
      </c>
      <c r="T315" s="538">
        <v>13.47</v>
      </c>
      <c r="U315" s="538">
        <v>0</v>
      </c>
      <c r="V315" s="538">
        <v>102679.92</v>
      </c>
      <c r="W315" s="550">
        <f>VLOOKUP(G315,Справочник!A:C,3,0)</f>
        <v>0.12</v>
      </c>
      <c r="X315" s="539" t="str">
        <f>VLOOKUP(G315,Справочник!A:G,7,0)</f>
        <v>Министерство финансов Республики Казахстан</v>
      </c>
      <c r="Y315" s="551">
        <f>VLOOKUP(G315,Справочник!A:B,2,0)</f>
        <v>47549</v>
      </c>
    </row>
    <row r="316" spans="1:25">
      <c r="A316" s="499">
        <v>45498</v>
      </c>
      <c r="B316" s="499">
        <v>45498</v>
      </c>
      <c r="C316" s="500" t="s">
        <v>173</v>
      </c>
      <c r="D316" s="500" t="s">
        <v>763</v>
      </c>
      <c r="E316" s="501">
        <v>-30009824.460000001</v>
      </c>
      <c r="F316" s="502" t="s">
        <v>879</v>
      </c>
      <c r="G316" s="100" t="s">
        <v>697</v>
      </c>
      <c r="H316" s="530"/>
      <c r="I316" s="525"/>
      <c r="K316" s="548"/>
      <c r="L316" s="548"/>
      <c r="M316" s="548"/>
      <c r="N316" s="552"/>
      <c r="Y316" s="551"/>
    </row>
    <row r="317" spans="1:25">
      <c r="A317" s="499">
        <v>45498</v>
      </c>
      <c r="B317" s="499">
        <v>45498</v>
      </c>
      <c r="C317" s="500" t="s">
        <v>173</v>
      </c>
      <c r="D317" s="500" t="s">
        <v>763</v>
      </c>
      <c r="E317" s="501">
        <v>-6411458514.7200003</v>
      </c>
      <c r="F317" s="502" t="s">
        <v>879</v>
      </c>
      <c r="G317" s="100" t="s">
        <v>710</v>
      </c>
      <c r="H317" s="530"/>
      <c r="I317" s="525"/>
      <c r="K317" s="548"/>
      <c r="L317" s="548"/>
      <c r="M317" s="548"/>
      <c r="N317" s="552"/>
      <c r="Y317" s="551"/>
    </row>
    <row r="318" spans="1:25">
      <c r="A318" s="499">
        <v>45498</v>
      </c>
      <c r="B318" s="499">
        <v>45498</v>
      </c>
      <c r="C318" s="500" t="s">
        <v>173</v>
      </c>
      <c r="D318" s="500" t="s">
        <v>763</v>
      </c>
      <c r="E318" s="501">
        <v>-379124115.68000001</v>
      </c>
      <c r="F318" s="502" t="s">
        <v>879</v>
      </c>
      <c r="G318" s="100" t="s">
        <v>697</v>
      </c>
      <c r="H318" s="530"/>
      <c r="I318" s="525"/>
      <c r="K318" s="548"/>
      <c r="L318" s="548"/>
      <c r="M318" s="548"/>
      <c r="N318" s="552"/>
      <c r="Y318" s="551"/>
    </row>
    <row r="319" spans="1:25">
      <c r="A319" s="499">
        <v>45498</v>
      </c>
      <c r="B319" s="499">
        <v>45499</v>
      </c>
      <c r="C319" s="500" t="s">
        <v>173</v>
      </c>
      <c r="D319" s="500" t="s">
        <v>763</v>
      </c>
      <c r="E319" s="501">
        <v>30021320.030000001</v>
      </c>
      <c r="F319" s="502" t="s">
        <v>879</v>
      </c>
      <c r="G319" s="100" t="s">
        <v>697</v>
      </c>
      <c r="H319" s="530"/>
      <c r="I319" s="525"/>
      <c r="K319" s="548"/>
      <c r="L319" s="548"/>
      <c r="M319" s="548"/>
      <c r="N319" s="552"/>
      <c r="Y319" s="551"/>
    </row>
    <row r="320" spans="1:25">
      <c r="A320" s="499">
        <v>45498</v>
      </c>
      <c r="B320" s="499">
        <v>45499</v>
      </c>
      <c r="C320" s="500" t="s">
        <v>173</v>
      </c>
      <c r="D320" s="500" t="s">
        <v>763</v>
      </c>
      <c r="E320" s="501">
        <v>6413937261.6599998</v>
      </c>
      <c r="F320" s="502" t="s">
        <v>879</v>
      </c>
      <c r="G320" s="100" t="s">
        <v>710</v>
      </c>
      <c r="H320" s="530"/>
      <c r="I320" s="525"/>
      <c r="K320" s="548"/>
      <c r="L320" s="548"/>
      <c r="M320" s="548"/>
      <c r="N320" s="552"/>
      <c r="Y320" s="551"/>
    </row>
    <row r="321" spans="1:25">
      <c r="A321" s="499">
        <v>45498</v>
      </c>
      <c r="B321" s="499">
        <v>45499</v>
      </c>
      <c r="C321" s="500" t="s">
        <v>173</v>
      </c>
      <c r="D321" s="500" t="s">
        <v>763</v>
      </c>
      <c r="E321" s="501">
        <v>379269343.00999999</v>
      </c>
      <c r="F321" s="502" t="s">
        <v>879</v>
      </c>
      <c r="G321" s="100" t="s">
        <v>697</v>
      </c>
      <c r="H321" s="530"/>
      <c r="I321" s="525"/>
      <c r="K321" s="548"/>
      <c r="L321" s="548"/>
      <c r="M321" s="548"/>
      <c r="N321" s="552"/>
      <c r="Y321" s="551"/>
    </row>
    <row r="322" spans="1:25">
      <c r="A322" s="499">
        <v>45498</v>
      </c>
      <c r="B322" s="499">
        <v>45498</v>
      </c>
      <c r="C322" s="500" t="s">
        <v>173</v>
      </c>
      <c r="D322" s="500" t="s">
        <v>764</v>
      </c>
      <c r="E322" s="501">
        <v>-1493468373.8099999</v>
      </c>
      <c r="F322" s="502" t="s">
        <v>879</v>
      </c>
      <c r="G322" s="100" t="s">
        <v>630</v>
      </c>
      <c r="H322" s="530"/>
      <c r="I322" s="525"/>
      <c r="K322" s="548"/>
      <c r="L322" s="548"/>
      <c r="M322" s="548"/>
      <c r="N322" s="552"/>
      <c r="Y322" s="551"/>
    </row>
    <row r="323" spans="1:25">
      <c r="A323" s="499">
        <v>45498</v>
      </c>
      <c r="B323" s="499">
        <v>45498</v>
      </c>
      <c r="C323" s="500" t="s">
        <v>173</v>
      </c>
      <c r="D323" s="500" t="s">
        <v>764</v>
      </c>
      <c r="E323" s="501">
        <v>-6000830.7800000003</v>
      </c>
      <c r="F323" s="502" t="s">
        <v>879</v>
      </c>
      <c r="G323" s="100" t="s">
        <v>678</v>
      </c>
      <c r="H323" s="530"/>
      <c r="I323" s="525"/>
      <c r="K323" s="548"/>
      <c r="L323" s="548"/>
      <c r="M323" s="548"/>
      <c r="N323" s="552"/>
      <c r="Y323" s="551"/>
    </row>
    <row r="324" spans="1:25">
      <c r="A324" s="499">
        <v>45498</v>
      </c>
      <c r="B324" s="499">
        <v>45499</v>
      </c>
      <c r="C324" s="500" t="s">
        <v>173</v>
      </c>
      <c r="D324" s="500" t="s">
        <v>764</v>
      </c>
      <c r="E324" s="501">
        <v>1494051887.4096034</v>
      </c>
      <c r="F324" s="502" t="s">
        <v>879</v>
      </c>
      <c r="G324" s="100" t="s">
        <v>630</v>
      </c>
      <c r="H324" s="530"/>
      <c r="I324" s="525"/>
      <c r="K324" s="548"/>
      <c r="L324" s="548"/>
      <c r="M324" s="548"/>
      <c r="N324" s="552"/>
      <c r="Y324" s="551"/>
    </row>
    <row r="325" spans="1:25">
      <c r="A325" s="499">
        <v>45498</v>
      </c>
      <c r="B325" s="499">
        <v>45499</v>
      </c>
      <c r="C325" s="500" t="s">
        <v>173</v>
      </c>
      <c r="D325" s="500" t="s">
        <v>764</v>
      </c>
      <c r="E325" s="501">
        <v>6003175.3668894535</v>
      </c>
      <c r="F325" s="502" t="s">
        <v>879</v>
      </c>
      <c r="G325" s="100" t="s">
        <v>678</v>
      </c>
      <c r="H325" s="530"/>
      <c r="I325" s="525"/>
      <c r="K325" s="548"/>
      <c r="L325" s="548"/>
      <c r="M325" s="548"/>
      <c r="N325" s="552"/>
      <c r="Y325" s="551"/>
    </row>
    <row r="326" spans="1:25">
      <c r="A326" s="499">
        <v>45499</v>
      </c>
      <c r="B326" s="499">
        <v>45499</v>
      </c>
      <c r="C326" s="500" t="s">
        <v>173</v>
      </c>
      <c r="D326" s="500" t="s">
        <v>762</v>
      </c>
      <c r="E326" s="501">
        <v>-250018353.59999999</v>
      </c>
      <c r="F326" s="502" t="s">
        <v>879</v>
      </c>
      <c r="G326" s="100" t="s">
        <v>889</v>
      </c>
      <c r="H326" s="530"/>
      <c r="I326" s="525"/>
      <c r="K326" s="548"/>
      <c r="L326" s="548"/>
      <c r="M326" s="548"/>
      <c r="N326" s="552"/>
      <c r="Y326" s="551"/>
    </row>
    <row r="327" spans="1:25">
      <c r="A327" s="499">
        <v>45499</v>
      </c>
      <c r="B327" s="499">
        <v>45499</v>
      </c>
      <c r="C327" s="500" t="s">
        <v>173</v>
      </c>
      <c r="D327" s="500" t="s">
        <v>762</v>
      </c>
      <c r="E327" s="501">
        <v>-57004184.619999997</v>
      </c>
      <c r="F327" s="502" t="s">
        <v>879</v>
      </c>
      <c r="G327" s="100" t="s">
        <v>889</v>
      </c>
      <c r="H327" s="530"/>
      <c r="I327" s="525"/>
      <c r="K327" s="548"/>
      <c r="L327" s="548"/>
      <c r="M327" s="548"/>
      <c r="N327" s="552"/>
      <c r="Y327" s="551"/>
    </row>
    <row r="328" spans="1:25">
      <c r="A328" s="499">
        <v>45499</v>
      </c>
      <c r="B328" s="499">
        <v>45499</v>
      </c>
      <c r="C328" s="500" t="s">
        <v>173</v>
      </c>
      <c r="D328" s="500" t="s">
        <v>762</v>
      </c>
      <c r="E328" s="501">
        <v>-2900645499</v>
      </c>
      <c r="F328" s="502" t="s">
        <v>879</v>
      </c>
      <c r="G328" s="100" t="s">
        <v>706</v>
      </c>
      <c r="H328" s="530"/>
      <c r="I328" s="525"/>
      <c r="K328" s="548"/>
      <c r="L328" s="548"/>
      <c r="M328" s="548"/>
      <c r="N328" s="552"/>
      <c r="Y328" s="551"/>
    </row>
    <row r="329" spans="1:25">
      <c r="A329" s="499">
        <v>45499</v>
      </c>
      <c r="B329" s="499">
        <v>45499</v>
      </c>
      <c r="C329" s="500" t="s">
        <v>173</v>
      </c>
      <c r="D329" s="500" t="s">
        <v>762</v>
      </c>
      <c r="E329" s="501">
        <v>-383307143.80000001</v>
      </c>
      <c r="F329" s="502" t="s">
        <v>879</v>
      </c>
      <c r="G329" s="100" t="s">
        <v>701</v>
      </c>
      <c r="H329" s="530"/>
      <c r="I329" s="525"/>
      <c r="K329" s="548"/>
      <c r="L329" s="548"/>
      <c r="M329" s="548"/>
      <c r="N329" s="552"/>
      <c r="Y329" s="551"/>
    </row>
    <row r="330" spans="1:25">
      <c r="A330" s="499">
        <v>45499</v>
      </c>
      <c r="B330" s="499">
        <v>45499</v>
      </c>
      <c r="C330" s="500" t="s">
        <v>173</v>
      </c>
      <c r="D330" s="500" t="s">
        <v>762</v>
      </c>
      <c r="E330" s="501">
        <v>-6147508972</v>
      </c>
      <c r="F330" s="502" t="s">
        <v>879</v>
      </c>
      <c r="G330" s="100" t="s">
        <v>692</v>
      </c>
      <c r="H330" s="530"/>
      <c r="I330" s="525"/>
      <c r="K330" s="548"/>
      <c r="L330" s="548"/>
      <c r="M330" s="548"/>
      <c r="N330" s="552"/>
      <c r="Y330" s="551"/>
    </row>
    <row r="331" spans="1:25">
      <c r="A331" s="499">
        <v>45499</v>
      </c>
      <c r="B331" s="499">
        <v>45499</v>
      </c>
      <c r="C331" s="500" t="s">
        <v>173</v>
      </c>
      <c r="D331" s="500" t="s">
        <v>762</v>
      </c>
      <c r="E331" s="501">
        <v>-1629032141</v>
      </c>
      <c r="F331" s="502" t="s">
        <v>879</v>
      </c>
      <c r="G331" s="100" t="s">
        <v>644</v>
      </c>
      <c r="H331" s="530"/>
      <c r="I331" s="525"/>
      <c r="K331" s="548"/>
      <c r="L331" s="548"/>
      <c r="M331" s="548"/>
      <c r="N331" s="552">
        <v>-1</v>
      </c>
      <c r="Y331" s="551"/>
    </row>
    <row r="332" spans="1:25">
      <c r="A332" s="499">
        <v>45499</v>
      </c>
      <c r="B332" s="499">
        <v>45499</v>
      </c>
      <c r="C332" s="500" t="s">
        <v>173</v>
      </c>
      <c r="D332" s="500" t="s">
        <v>762</v>
      </c>
      <c r="E332" s="501">
        <v>-2000001926</v>
      </c>
      <c r="F332" s="502" t="s">
        <v>879</v>
      </c>
      <c r="G332" s="100" t="s">
        <v>811</v>
      </c>
      <c r="H332" s="530"/>
      <c r="I332" s="525"/>
      <c r="K332" s="548"/>
      <c r="L332" s="548"/>
      <c r="M332" s="548"/>
      <c r="N332" s="552"/>
      <c r="Y332" s="551"/>
    </row>
    <row r="333" spans="1:25">
      <c r="A333" s="499">
        <v>45499</v>
      </c>
      <c r="B333" s="499">
        <v>45502</v>
      </c>
      <c r="C333" s="500" t="s">
        <v>173</v>
      </c>
      <c r="D333" s="500" t="s">
        <v>762</v>
      </c>
      <c r="E333" s="501">
        <v>250300136.59999999</v>
      </c>
      <c r="F333" s="502" t="s">
        <v>879</v>
      </c>
      <c r="G333" s="100" t="s">
        <v>889</v>
      </c>
      <c r="H333" s="530"/>
      <c r="I333" s="525"/>
      <c r="K333" s="548"/>
      <c r="L333" s="548"/>
      <c r="M333" s="548"/>
      <c r="N333" s="552"/>
      <c r="Y333" s="551"/>
    </row>
    <row r="334" spans="1:25">
      <c r="A334" s="499">
        <v>45499</v>
      </c>
      <c r="B334" s="499">
        <v>45502</v>
      </c>
      <c r="C334" s="500" t="s">
        <v>173</v>
      </c>
      <c r="D334" s="500" t="s">
        <v>762</v>
      </c>
      <c r="E334" s="501">
        <v>57068431.140000001</v>
      </c>
      <c r="F334" s="502" t="s">
        <v>879</v>
      </c>
      <c r="G334" s="100" t="s">
        <v>889</v>
      </c>
      <c r="H334" s="530"/>
      <c r="I334" s="525"/>
      <c r="K334" s="548"/>
      <c r="L334" s="548"/>
      <c r="M334" s="548"/>
      <c r="N334" s="552"/>
      <c r="Y334" s="551"/>
    </row>
    <row r="335" spans="1:25">
      <c r="A335" s="499">
        <v>45499</v>
      </c>
      <c r="B335" s="499">
        <v>45502</v>
      </c>
      <c r="C335" s="500" t="s">
        <v>173</v>
      </c>
      <c r="D335" s="500" t="s">
        <v>762</v>
      </c>
      <c r="E335" s="501">
        <v>2903917047</v>
      </c>
      <c r="F335" s="502" t="s">
        <v>879</v>
      </c>
      <c r="G335" s="100" t="s">
        <v>706</v>
      </c>
      <c r="H335" s="530"/>
      <c r="I335" s="525"/>
      <c r="K335" s="548"/>
      <c r="L335" s="548"/>
      <c r="M335" s="548"/>
      <c r="N335" s="552"/>
      <c r="Y335" s="551"/>
    </row>
    <row r="336" spans="1:25">
      <c r="A336" s="499">
        <v>45499</v>
      </c>
      <c r="B336" s="499">
        <v>45502</v>
      </c>
      <c r="C336" s="500" t="s">
        <v>173</v>
      </c>
      <c r="D336" s="500" t="s">
        <v>762</v>
      </c>
      <c r="E336" s="501">
        <v>383747013.89999998</v>
      </c>
      <c r="F336" s="502" t="s">
        <v>879</v>
      </c>
      <c r="G336" s="100" t="s">
        <v>701</v>
      </c>
      <c r="H336" s="530"/>
      <c r="I336" s="525"/>
      <c r="K336" s="548"/>
      <c r="L336" s="548"/>
      <c r="M336" s="548"/>
      <c r="N336" s="552"/>
      <c r="Y336" s="551"/>
    </row>
    <row r="337" spans="1:25">
      <c r="A337" s="499">
        <v>45499</v>
      </c>
      <c r="B337" s="499">
        <v>45502</v>
      </c>
      <c r="C337" s="500" t="s">
        <v>173</v>
      </c>
      <c r="D337" s="500" t="s">
        <v>762</v>
      </c>
      <c r="E337" s="501">
        <v>6154437517</v>
      </c>
      <c r="F337" s="502" t="s">
        <v>879</v>
      </c>
      <c r="G337" s="100" t="s">
        <v>692</v>
      </c>
      <c r="H337" s="530"/>
      <c r="I337" s="525"/>
      <c r="K337" s="548"/>
      <c r="L337" s="548"/>
      <c r="M337" s="548"/>
      <c r="N337" s="552"/>
      <c r="Y337" s="551"/>
    </row>
    <row r="338" spans="1:25">
      <c r="A338" s="499">
        <v>45499</v>
      </c>
      <c r="B338" s="499">
        <v>45502</v>
      </c>
      <c r="C338" s="500" t="s">
        <v>173</v>
      </c>
      <c r="D338" s="500" t="s">
        <v>762</v>
      </c>
      <c r="E338" s="501">
        <v>1630869475</v>
      </c>
      <c r="F338" s="502" t="s">
        <v>879</v>
      </c>
      <c r="G338" s="100" t="s">
        <v>644</v>
      </c>
      <c r="H338" s="530"/>
      <c r="I338" s="525"/>
      <c r="K338" s="548"/>
      <c r="L338" s="548"/>
      <c r="M338" s="548"/>
      <c r="N338" s="552"/>
      <c r="Y338" s="551"/>
    </row>
    <row r="339" spans="1:25">
      <c r="A339" s="499">
        <v>45499</v>
      </c>
      <c r="B339" s="499">
        <v>45502</v>
      </c>
      <c r="C339" s="500" t="s">
        <v>173</v>
      </c>
      <c r="D339" s="500" t="s">
        <v>762</v>
      </c>
      <c r="E339" s="501">
        <v>2002256027</v>
      </c>
      <c r="F339" s="502" t="s">
        <v>879</v>
      </c>
      <c r="G339" s="100" t="s">
        <v>811</v>
      </c>
      <c r="H339" s="530"/>
      <c r="I339" s="525"/>
      <c r="K339" s="548"/>
      <c r="L339" s="548"/>
      <c r="M339" s="548"/>
      <c r="N339" s="552"/>
      <c r="Y339" s="551"/>
    </row>
    <row r="340" spans="1:25">
      <c r="A340" s="499">
        <v>45499</v>
      </c>
      <c r="B340" s="499">
        <v>45499</v>
      </c>
      <c r="C340" s="500" t="s">
        <v>173</v>
      </c>
      <c r="D340" s="500" t="s">
        <v>762</v>
      </c>
      <c r="E340" s="501">
        <v>384198750</v>
      </c>
      <c r="F340" s="502" t="s">
        <v>2911</v>
      </c>
      <c r="G340" s="521" t="s">
        <v>446</v>
      </c>
      <c r="H340" s="502"/>
      <c r="I340" s="525"/>
      <c r="K340" s="548"/>
      <c r="L340" s="548"/>
      <c r="M340" s="548"/>
      <c r="N340" s="552"/>
      <c r="Y340" s="551"/>
    </row>
    <row r="341" spans="1:25">
      <c r="A341" s="499">
        <v>45499</v>
      </c>
      <c r="B341" s="499">
        <v>45499</v>
      </c>
      <c r="C341" s="500" t="s">
        <v>173</v>
      </c>
      <c r="D341" s="500" t="s">
        <v>761</v>
      </c>
      <c r="E341" s="501">
        <v>207675000</v>
      </c>
      <c r="F341" s="502" t="s">
        <v>2911</v>
      </c>
      <c r="G341" s="521" t="s">
        <v>446</v>
      </c>
      <c r="H341" s="502"/>
      <c r="I341" s="525"/>
      <c r="K341" s="548"/>
      <c r="L341" s="548"/>
      <c r="M341" s="548"/>
      <c r="N341" s="552"/>
      <c r="Y341" s="551"/>
    </row>
    <row r="342" spans="1:25">
      <c r="A342" s="499">
        <v>45499</v>
      </c>
      <c r="B342" s="499">
        <v>45499</v>
      </c>
      <c r="C342" s="500" t="s">
        <v>173</v>
      </c>
      <c r="D342" s="500" t="s">
        <v>761</v>
      </c>
      <c r="E342" s="501">
        <v>-1578795452.4400001</v>
      </c>
      <c r="F342" s="502" t="s">
        <v>879</v>
      </c>
      <c r="G342" s="100" t="s">
        <v>697</v>
      </c>
      <c r="H342" s="530"/>
      <c r="I342" s="525"/>
      <c r="K342" s="548"/>
      <c r="L342" s="548"/>
      <c r="M342" s="548"/>
      <c r="N342" s="552"/>
      <c r="Y342" s="551"/>
    </row>
    <row r="343" spans="1:25">
      <c r="A343" s="499">
        <v>45499</v>
      </c>
      <c r="B343" s="499">
        <v>45499</v>
      </c>
      <c r="C343" s="500" t="s">
        <v>173</v>
      </c>
      <c r="D343" s="500" t="s">
        <v>761</v>
      </c>
      <c r="E343" s="501">
        <v>-213015637.27000001</v>
      </c>
      <c r="F343" s="502" t="s">
        <v>879</v>
      </c>
      <c r="G343" s="100" t="s">
        <v>890</v>
      </c>
      <c r="H343" s="530"/>
      <c r="I343" s="525"/>
      <c r="K343" s="548"/>
      <c r="L343" s="548"/>
      <c r="M343" s="548"/>
      <c r="N343" s="552"/>
      <c r="Y343" s="551"/>
    </row>
    <row r="344" spans="1:25">
      <c r="A344" s="499">
        <v>45499</v>
      </c>
      <c r="B344" s="499">
        <v>45506</v>
      </c>
      <c r="C344" s="500" t="s">
        <v>173</v>
      </c>
      <c r="D344" s="500" t="s">
        <v>761</v>
      </c>
      <c r="E344" s="501">
        <v>1583022798.05</v>
      </c>
      <c r="F344" s="502" t="s">
        <v>879</v>
      </c>
      <c r="G344" s="100" t="s">
        <v>697</v>
      </c>
      <c r="H344" s="530"/>
      <c r="I344" s="525"/>
      <c r="K344" s="548"/>
      <c r="L344" s="548"/>
      <c r="M344" s="548"/>
      <c r="N344" s="552"/>
      <c r="Y344" s="551"/>
    </row>
    <row r="345" spans="1:25">
      <c r="A345" s="499">
        <v>45499</v>
      </c>
      <c r="B345" s="499">
        <v>45506</v>
      </c>
      <c r="C345" s="500" t="s">
        <v>173</v>
      </c>
      <c r="D345" s="500" t="s">
        <v>761</v>
      </c>
      <c r="E345" s="501">
        <v>213586007.00999999</v>
      </c>
      <c r="F345" s="502" t="s">
        <v>879</v>
      </c>
      <c r="G345" s="100" t="s">
        <v>890</v>
      </c>
      <c r="H345" s="530"/>
      <c r="I345" s="525"/>
      <c r="K345" s="548"/>
      <c r="L345" s="548"/>
      <c r="M345" s="548"/>
      <c r="N345" s="552"/>
      <c r="Y345" s="551"/>
    </row>
    <row r="346" spans="1:25">
      <c r="A346" s="499">
        <v>45499</v>
      </c>
      <c r="B346" s="499">
        <v>45499</v>
      </c>
      <c r="C346" s="500" t="s">
        <v>173</v>
      </c>
      <c r="D346" s="500" t="s">
        <v>759</v>
      </c>
      <c r="E346" s="501">
        <v>399375000</v>
      </c>
      <c r="F346" s="502" t="s">
        <v>2911</v>
      </c>
      <c r="G346" s="521" t="s">
        <v>446</v>
      </c>
      <c r="H346" s="502"/>
      <c r="I346" s="525"/>
      <c r="K346" s="548"/>
      <c r="L346" s="548"/>
      <c r="M346" s="548"/>
      <c r="N346" s="552"/>
      <c r="Y346" s="551"/>
    </row>
    <row r="347" spans="1:25">
      <c r="A347" s="499">
        <v>45499</v>
      </c>
      <c r="B347" s="499">
        <v>45499</v>
      </c>
      <c r="C347" s="500" t="s">
        <v>173</v>
      </c>
      <c r="D347" s="500" t="s">
        <v>759</v>
      </c>
      <c r="E347" s="501">
        <v>-4635616128.6999998</v>
      </c>
      <c r="F347" s="502" t="s">
        <v>879</v>
      </c>
      <c r="G347" s="100" t="s">
        <v>139</v>
      </c>
      <c r="H347" s="484"/>
      <c r="I347" s="525"/>
      <c r="K347" s="548"/>
      <c r="L347" s="548"/>
      <c r="M347" s="548"/>
      <c r="N347" s="552"/>
      <c r="Y347" s="551"/>
    </row>
    <row r="348" spans="1:25">
      <c r="A348" s="499">
        <v>45499</v>
      </c>
      <c r="B348" s="499">
        <v>45499</v>
      </c>
      <c r="C348" s="500" t="s">
        <v>173</v>
      </c>
      <c r="D348" s="500" t="s">
        <v>759</v>
      </c>
      <c r="E348" s="501">
        <v>-3876679780.6300001</v>
      </c>
      <c r="F348" s="502" t="s">
        <v>879</v>
      </c>
      <c r="G348" s="100" t="s">
        <v>86</v>
      </c>
      <c r="H348" s="484"/>
      <c r="I348" s="525"/>
      <c r="K348" s="548"/>
      <c r="L348" s="548"/>
      <c r="M348" s="548"/>
      <c r="N348" s="552"/>
      <c r="Y348" s="551"/>
    </row>
    <row r="349" spans="1:25">
      <c r="A349" s="499">
        <v>45499</v>
      </c>
      <c r="B349" s="499">
        <v>45499</v>
      </c>
      <c r="C349" s="500" t="s">
        <v>173</v>
      </c>
      <c r="D349" s="500" t="s">
        <v>759</v>
      </c>
      <c r="E349" s="501">
        <v>-37004918.399999999</v>
      </c>
      <c r="F349" s="502" t="s">
        <v>879</v>
      </c>
      <c r="G349" s="100" t="s">
        <v>139</v>
      </c>
      <c r="H349" s="484"/>
      <c r="I349" s="525"/>
      <c r="K349" s="548"/>
      <c r="L349" s="548"/>
      <c r="M349" s="548"/>
      <c r="N349" s="552"/>
      <c r="Y349" s="551"/>
    </row>
    <row r="350" spans="1:25">
      <c r="A350" s="499">
        <v>45499</v>
      </c>
      <c r="B350" s="499">
        <v>45499</v>
      </c>
      <c r="C350" s="500" t="s">
        <v>173</v>
      </c>
      <c r="D350" s="500" t="s">
        <v>759</v>
      </c>
      <c r="E350" s="501">
        <v>-397318370.97000003</v>
      </c>
      <c r="F350" s="502" t="s">
        <v>879</v>
      </c>
      <c r="G350" s="100" t="s">
        <v>59</v>
      </c>
      <c r="H350" s="484"/>
      <c r="I350" s="525"/>
      <c r="K350" s="548"/>
      <c r="L350" s="548"/>
      <c r="M350" s="548"/>
      <c r="N350" s="552"/>
      <c r="Y350" s="551"/>
    </row>
    <row r="351" spans="1:25">
      <c r="A351" s="499">
        <v>45499</v>
      </c>
      <c r="B351" s="499">
        <v>45502</v>
      </c>
      <c r="C351" s="500" t="s">
        <v>173</v>
      </c>
      <c r="D351" s="500" t="s">
        <v>759</v>
      </c>
      <c r="E351" s="501">
        <v>4640935688.1899996</v>
      </c>
      <c r="F351" s="502" t="s">
        <v>879</v>
      </c>
      <c r="G351" s="100" t="s">
        <v>139</v>
      </c>
      <c r="H351" s="530"/>
      <c r="I351" s="525"/>
      <c r="K351" s="548"/>
      <c r="L351" s="548"/>
      <c r="M351" s="548"/>
      <c r="N351" s="552"/>
      <c r="Y351" s="551"/>
    </row>
    <row r="352" spans="1:25">
      <c r="A352" s="499">
        <v>45499</v>
      </c>
      <c r="B352" s="499">
        <v>45502</v>
      </c>
      <c r="C352" s="500" t="s">
        <v>173</v>
      </c>
      <c r="D352" s="500" t="s">
        <v>759</v>
      </c>
      <c r="E352" s="501">
        <v>3881128461.3299999</v>
      </c>
      <c r="F352" s="502" t="s">
        <v>879</v>
      </c>
      <c r="G352" s="100" t="s">
        <v>86</v>
      </c>
      <c r="H352" s="530"/>
      <c r="I352" s="525"/>
      <c r="K352" s="548"/>
      <c r="L352" s="548"/>
      <c r="M352" s="548"/>
      <c r="N352" s="552"/>
      <c r="Y352" s="551"/>
    </row>
    <row r="353" spans="1:25">
      <c r="A353" s="499">
        <v>45499</v>
      </c>
      <c r="B353" s="499">
        <v>45502</v>
      </c>
      <c r="C353" s="500" t="s">
        <v>173</v>
      </c>
      <c r="D353" s="500" t="s">
        <v>759</v>
      </c>
      <c r="E353" s="501">
        <v>37047383.060000002</v>
      </c>
      <c r="F353" s="502" t="s">
        <v>879</v>
      </c>
      <c r="G353" s="100" t="s">
        <v>139</v>
      </c>
      <c r="H353" s="530"/>
      <c r="I353" s="525"/>
      <c r="K353" s="548"/>
      <c r="L353" s="548"/>
      <c r="M353" s="548"/>
      <c r="N353" s="552"/>
      <c r="Y353" s="551"/>
    </row>
    <row r="354" spans="1:25">
      <c r="A354" s="499">
        <v>45499</v>
      </c>
      <c r="B354" s="499">
        <v>45502</v>
      </c>
      <c r="C354" s="500" t="s">
        <v>173</v>
      </c>
      <c r="D354" s="500" t="s">
        <v>759</v>
      </c>
      <c r="E354" s="501">
        <v>397774319.85000002</v>
      </c>
      <c r="F354" s="502" t="s">
        <v>879</v>
      </c>
      <c r="G354" s="100" t="s">
        <v>59</v>
      </c>
      <c r="H354" s="530"/>
      <c r="I354" s="525"/>
      <c r="K354" s="548"/>
      <c r="L354" s="548"/>
      <c r="M354" s="548"/>
      <c r="N354" s="552"/>
      <c r="Y354" s="551"/>
    </row>
    <row r="355" spans="1:25">
      <c r="A355" s="499">
        <v>45499</v>
      </c>
      <c r="B355" s="499">
        <v>45499</v>
      </c>
      <c r="C355" s="500" t="s">
        <v>173</v>
      </c>
      <c r="D355" s="500" t="s">
        <v>760</v>
      </c>
      <c r="E355" s="501">
        <v>241222500</v>
      </c>
      <c r="F355" s="502" t="s">
        <v>2911</v>
      </c>
      <c r="G355" s="521" t="s">
        <v>446</v>
      </c>
      <c r="H355" s="502"/>
      <c r="I355" s="525"/>
      <c r="K355" s="548"/>
      <c r="L355" s="548"/>
      <c r="M355" s="548"/>
      <c r="N355" s="552"/>
      <c r="Y355" s="551"/>
    </row>
    <row r="356" spans="1:25">
      <c r="A356" s="499">
        <v>45499</v>
      </c>
      <c r="B356" s="499">
        <v>45499</v>
      </c>
      <c r="C356" s="500" t="s">
        <v>173</v>
      </c>
      <c r="D356" s="500" t="s">
        <v>760</v>
      </c>
      <c r="E356" s="501">
        <v>-859067599.00999999</v>
      </c>
      <c r="F356" s="502" t="s">
        <v>879</v>
      </c>
      <c r="G356" s="100" t="s">
        <v>422</v>
      </c>
      <c r="H356" s="530"/>
      <c r="I356" s="525"/>
      <c r="K356" s="548"/>
      <c r="L356" s="548"/>
      <c r="M356" s="548"/>
      <c r="N356" s="552"/>
      <c r="Y356" s="551"/>
    </row>
    <row r="357" spans="1:25">
      <c r="A357" s="499">
        <v>45499</v>
      </c>
      <c r="B357" s="499">
        <v>45499</v>
      </c>
      <c r="C357" s="500" t="s">
        <v>173</v>
      </c>
      <c r="D357" s="500" t="s">
        <v>760</v>
      </c>
      <c r="E357" s="501">
        <v>-849211224.40999997</v>
      </c>
      <c r="F357" s="502" t="s">
        <v>879</v>
      </c>
      <c r="G357" s="100" t="s">
        <v>597</v>
      </c>
      <c r="H357" s="530"/>
      <c r="I357" s="525"/>
      <c r="K357" s="548"/>
      <c r="L357" s="548"/>
      <c r="M357" s="548"/>
      <c r="N357" s="552"/>
      <c r="Y357" s="551"/>
    </row>
    <row r="358" spans="1:25">
      <c r="A358" s="499">
        <v>45499</v>
      </c>
      <c r="B358" s="499">
        <v>45499</v>
      </c>
      <c r="C358" s="500" t="s">
        <v>173</v>
      </c>
      <c r="D358" s="500" t="s">
        <v>760</v>
      </c>
      <c r="E358" s="501">
        <v>-216186542.13999999</v>
      </c>
      <c r="F358" s="502" t="s">
        <v>879</v>
      </c>
      <c r="G358" s="100" t="s">
        <v>683</v>
      </c>
      <c r="H358" s="530"/>
      <c r="I358" s="525"/>
      <c r="K358" s="548"/>
      <c r="L358" s="548"/>
      <c r="M358" s="548"/>
      <c r="N358" s="552"/>
      <c r="Y358" s="551"/>
    </row>
    <row r="359" spans="1:25">
      <c r="A359" s="499">
        <v>45499</v>
      </c>
      <c r="B359" s="499">
        <v>45499</v>
      </c>
      <c r="C359" s="500" t="s">
        <v>173</v>
      </c>
      <c r="D359" s="500" t="s">
        <v>760</v>
      </c>
      <c r="E359" s="501">
        <v>-1338098228.47</v>
      </c>
      <c r="F359" s="502" t="s">
        <v>879</v>
      </c>
      <c r="G359" s="100" t="s">
        <v>890</v>
      </c>
      <c r="H359" s="530"/>
      <c r="I359" s="525"/>
      <c r="K359" s="548"/>
      <c r="L359" s="548"/>
      <c r="M359" s="548"/>
      <c r="N359" s="552"/>
      <c r="Y359" s="551"/>
    </row>
    <row r="360" spans="1:25">
      <c r="A360" s="499">
        <v>45499</v>
      </c>
      <c r="B360" s="499">
        <v>45499</v>
      </c>
      <c r="C360" s="500" t="s">
        <v>173</v>
      </c>
      <c r="D360" s="500" t="s">
        <v>760</v>
      </c>
      <c r="E360" s="501">
        <v>-2019804504.6700001</v>
      </c>
      <c r="F360" s="502" t="s">
        <v>879</v>
      </c>
      <c r="G360" s="100" t="s">
        <v>634</v>
      </c>
      <c r="H360" s="530"/>
      <c r="I360" s="525"/>
      <c r="K360" s="548"/>
      <c r="L360" s="548"/>
      <c r="M360" s="548"/>
      <c r="N360" s="552"/>
      <c r="Y360" s="551"/>
    </row>
    <row r="361" spans="1:25">
      <c r="A361" s="499">
        <v>45499</v>
      </c>
      <c r="B361" s="499">
        <v>45499</v>
      </c>
      <c r="C361" s="500" t="s">
        <v>173</v>
      </c>
      <c r="D361" s="500" t="s">
        <v>760</v>
      </c>
      <c r="E361" s="501">
        <v>-23009164.739999998</v>
      </c>
      <c r="F361" s="502" t="s">
        <v>879</v>
      </c>
      <c r="G361" s="100" t="s">
        <v>634</v>
      </c>
      <c r="H361" s="530"/>
      <c r="I361" s="525"/>
      <c r="K361" s="548"/>
      <c r="L361" s="548"/>
      <c r="M361" s="548"/>
      <c r="N361" s="552"/>
      <c r="Y361" s="551"/>
    </row>
    <row r="362" spans="1:25">
      <c r="A362" s="499">
        <v>45499</v>
      </c>
      <c r="B362" s="499">
        <v>45499</v>
      </c>
      <c r="C362" s="500" t="s">
        <v>173</v>
      </c>
      <c r="D362" s="500" t="s">
        <v>760</v>
      </c>
      <c r="E362" s="501">
        <v>-240017619.46000001</v>
      </c>
      <c r="F362" s="502" t="s">
        <v>879</v>
      </c>
      <c r="G362" s="100" t="s">
        <v>890</v>
      </c>
      <c r="H362" s="530"/>
      <c r="I362" s="525"/>
      <c r="K362" s="548"/>
      <c r="L362" s="548"/>
      <c r="M362" s="548"/>
      <c r="N362" s="552"/>
      <c r="Y362" s="551"/>
    </row>
    <row r="363" spans="1:25">
      <c r="A363" s="499">
        <v>45499</v>
      </c>
      <c r="B363" s="499">
        <v>45502</v>
      </c>
      <c r="C363" s="500" t="s">
        <v>173</v>
      </c>
      <c r="D363" s="500" t="s">
        <v>760</v>
      </c>
      <c r="E363" s="501">
        <v>860106218.77999997</v>
      </c>
      <c r="F363" s="502" t="s">
        <v>879</v>
      </c>
      <c r="G363" s="100" t="s">
        <v>422</v>
      </c>
      <c r="H363" s="530"/>
      <c r="I363" s="525"/>
      <c r="K363" s="548"/>
      <c r="L363" s="548"/>
      <c r="M363" s="548"/>
      <c r="N363" s="552"/>
      <c r="Y363" s="551"/>
    </row>
    <row r="364" spans="1:25">
      <c r="A364" s="499">
        <v>45499</v>
      </c>
      <c r="B364" s="499">
        <v>45502</v>
      </c>
      <c r="C364" s="500" t="s">
        <v>173</v>
      </c>
      <c r="D364" s="500" t="s">
        <v>760</v>
      </c>
      <c r="E364" s="501">
        <v>850237927.74000001</v>
      </c>
      <c r="F364" s="502" t="s">
        <v>879</v>
      </c>
      <c r="G364" s="100" t="s">
        <v>597</v>
      </c>
      <c r="H364" s="530"/>
      <c r="I364" s="525"/>
      <c r="K364" s="548"/>
      <c r="L364" s="548"/>
      <c r="M364" s="548"/>
      <c r="N364" s="552"/>
      <c r="Y364" s="551"/>
    </row>
    <row r="365" spans="1:25">
      <c r="A365" s="499">
        <v>45499</v>
      </c>
      <c r="B365" s="499">
        <v>45502</v>
      </c>
      <c r="C365" s="500" t="s">
        <v>173</v>
      </c>
      <c r="D365" s="500" t="s">
        <v>760</v>
      </c>
      <c r="E365" s="501">
        <v>216447913.44</v>
      </c>
      <c r="F365" s="502" t="s">
        <v>879</v>
      </c>
      <c r="G365" s="100" t="s">
        <v>683</v>
      </c>
      <c r="H365" s="530"/>
      <c r="I365" s="525"/>
      <c r="K365" s="548"/>
      <c r="L365" s="548"/>
      <c r="M365" s="548"/>
      <c r="N365" s="552"/>
      <c r="Y365" s="551"/>
    </row>
    <row r="366" spans="1:25">
      <c r="A366" s="499">
        <v>45499</v>
      </c>
      <c r="B366" s="499">
        <v>45502</v>
      </c>
      <c r="C366" s="500" t="s">
        <v>173</v>
      </c>
      <c r="D366" s="500" t="s">
        <v>760</v>
      </c>
      <c r="E366" s="501">
        <v>1339633751.03</v>
      </c>
      <c r="F366" s="502" t="s">
        <v>879</v>
      </c>
      <c r="G366" s="100" t="s">
        <v>890</v>
      </c>
      <c r="H366" s="530"/>
      <c r="I366" s="525"/>
      <c r="K366" s="548"/>
      <c r="L366" s="548"/>
      <c r="M366" s="548"/>
      <c r="N366" s="552"/>
      <c r="Y366" s="551"/>
    </row>
    <row r="367" spans="1:25">
      <c r="A367" s="499">
        <v>45499</v>
      </c>
      <c r="B367" s="499">
        <v>45502</v>
      </c>
      <c r="C367" s="500" t="s">
        <v>173</v>
      </c>
      <c r="D367" s="500" t="s">
        <v>760</v>
      </c>
      <c r="E367" s="501">
        <v>2022082579.26</v>
      </c>
      <c r="F367" s="502" t="s">
        <v>879</v>
      </c>
      <c r="G367" s="100" t="s">
        <v>634</v>
      </c>
      <c r="H367" s="530"/>
      <c r="I367" s="525"/>
      <c r="K367" s="548"/>
      <c r="L367" s="548"/>
      <c r="M367" s="548"/>
      <c r="N367" s="552"/>
      <c r="Y367" s="551"/>
    </row>
    <row r="368" spans="1:25">
      <c r="A368" s="499">
        <v>45499</v>
      </c>
      <c r="B368" s="499">
        <v>45502</v>
      </c>
      <c r="C368" s="500" t="s">
        <v>173</v>
      </c>
      <c r="D368" s="500" t="s">
        <v>760</v>
      </c>
      <c r="E368" s="501">
        <v>23035116.059999999</v>
      </c>
      <c r="F368" s="502" t="s">
        <v>879</v>
      </c>
      <c r="G368" s="100" t="s">
        <v>634</v>
      </c>
      <c r="H368" s="530"/>
      <c r="I368" s="525"/>
      <c r="K368" s="548"/>
      <c r="L368" s="548"/>
      <c r="M368" s="548"/>
      <c r="N368" s="552"/>
      <c r="Y368" s="551"/>
    </row>
    <row r="369" spans="1:25">
      <c r="A369" s="499">
        <v>45499</v>
      </c>
      <c r="B369" s="499">
        <v>45502</v>
      </c>
      <c r="C369" s="500" t="s">
        <v>173</v>
      </c>
      <c r="D369" s="500" t="s">
        <v>760</v>
      </c>
      <c r="E369" s="501">
        <v>240279278.00999999</v>
      </c>
      <c r="F369" s="502" t="s">
        <v>879</v>
      </c>
      <c r="G369" s="100" t="s">
        <v>890</v>
      </c>
      <c r="H369" s="530"/>
      <c r="I369" s="525"/>
      <c r="K369" s="548"/>
      <c r="L369" s="548"/>
      <c r="M369" s="548"/>
      <c r="N369" s="552"/>
      <c r="Y369" s="551"/>
    </row>
    <row r="370" spans="1:25">
      <c r="A370" s="499">
        <v>45499</v>
      </c>
      <c r="B370" s="499">
        <v>45499</v>
      </c>
      <c r="C370" s="500" t="s">
        <v>173</v>
      </c>
      <c r="D370" s="500" t="s">
        <v>764</v>
      </c>
      <c r="E370" s="501">
        <v>162945000</v>
      </c>
      <c r="F370" s="502" t="s">
        <v>2911</v>
      </c>
      <c r="G370" s="521" t="s">
        <v>446</v>
      </c>
      <c r="H370" s="502"/>
      <c r="I370" s="525"/>
      <c r="K370" s="548"/>
      <c r="L370" s="548"/>
      <c r="M370" s="548"/>
      <c r="N370" s="552"/>
      <c r="Y370" s="551"/>
    </row>
    <row r="371" spans="1:25">
      <c r="A371" s="499">
        <v>45499</v>
      </c>
      <c r="B371" s="499">
        <v>45499</v>
      </c>
      <c r="C371" s="500" t="s">
        <v>173</v>
      </c>
      <c r="D371" s="500" t="s">
        <v>764</v>
      </c>
      <c r="E371" s="501">
        <v>-10008019.42</v>
      </c>
      <c r="F371" s="502" t="s">
        <v>879</v>
      </c>
      <c r="G371" s="100" t="s">
        <v>701</v>
      </c>
      <c r="H371" s="530"/>
      <c r="I371" s="525"/>
      <c r="K371" s="548"/>
      <c r="L371" s="548"/>
      <c r="M371" s="548"/>
      <c r="N371" s="552"/>
      <c r="Y371" s="551"/>
    </row>
    <row r="372" spans="1:25">
      <c r="A372" s="499">
        <v>45499</v>
      </c>
      <c r="B372" s="499">
        <v>45499</v>
      </c>
      <c r="C372" s="500" t="s">
        <v>173</v>
      </c>
      <c r="D372" s="500" t="s">
        <v>764</v>
      </c>
      <c r="E372" s="501">
        <v>-488110077.67000002</v>
      </c>
      <c r="F372" s="502" t="s">
        <v>879</v>
      </c>
      <c r="G372" s="100" t="s">
        <v>833</v>
      </c>
      <c r="H372" s="530"/>
      <c r="I372" s="525"/>
      <c r="K372" s="548"/>
      <c r="L372" s="548"/>
      <c r="M372" s="548"/>
      <c r="N372" s="552"/>
      <c r="Y372" s="551"/>
    </row>
    <row r="373" spans="1:25">
      <c r="A373" s="499">
        <v>45499</v>
      </c>
      <c r="B373" s="499">
        <v>45499</v>
      </c>
      <c r="C373" s="500" t="s">
        <v>173</v>
      </c>
      <c r="D373" s="500" t="s">
        <v>764</v>
      </c>
      <c r="E373" s="501">
        <v>-1161001800.3599999</v>
      </c>
      <c r="F373" s="502" t="s">
        <v>879</v>
      </c>
      <c r="G373" s="100" t="s">
        <v>682</v>
      </c>
      <c r="H373" s="530"/>
      <c r="I373" s="525"/>
      <c r="K373" s="548"/>
      <c r="L373" s="548"/>
      <c r="M373" s="548"/>
      <c r="N373" s="552"/>
      <c r="Y373" s="551"/>
    </row>
    <row r="374" spans="1:25">
      <c r="A374" s="499">
        <v>45499</v>
      </c>
      <c r="B374" s="499">
        <v>45499</v>
      </c>
      <c r="C374" s="500" t="s">
        <v>173</v>
      </c>
      <c r="D374" s="500" t="s">
        <v>764</v>
      </c>
      <c r="E374" s="501">
        <v>-4001593.87</v>
      </c>
      <c r="F374" s="502" t="s">
        <v>879</v>
      </c>
      <c r="G374" s="100" t="s">
        <v>633</v>
      </c>
      <c r="H374" s="530"/>
      <c r="I374" s="525"/>
      <c r="K374" s="548"/>
      <c r="L374" s="548"/>
      <c r="M374" s="548"/>
      <c r="N374" s="552"/>
      <c r="Y374" s="551"/>
    </row>
    <row r="375" spans="1:25">
      <c r="A375" s="499">
        <v>45499</v>
      </c>
      <c r="B375" s="499">
        <v>45502</v>
      </c>
      <c r="C375" s="500" t="s">
        <v>173</v>
      </c>
      <c r="D375" s="500" t="s">
        <v>764</v>
      </c>
      <c r="E375" s="501">
        <v>10019914.199999999</v>
      </c>
      <c r="F375" s="502" t="s">
        <v>879</v>
      </c>
      <c r="G375" s="100" t="s">
        <v>701</v>
      </c>
      <c r="H375" s="530"/>
      <c r="I375" s="525"/>
      <c r="K375" s="548"/>
      <c r="L375" s="548"/>
      <c r="M375" s="548"/>
      <c r="N375" s="552"/>
      <c r="Y375" s="551"/>
    </row>
    <row r="376" spans="1:25">
      <c r="A376" s="499">
        <v>45499</v>
      </c>
      <c r="B376" s="499">
        <v>45502</v>
      </c>
      <c r="C376" s="500" t="s">
        <v>173</v>
      </c>
      <c r="D376" s="500" t="s">
        <v>764</v>
      </c>
      <c r="E376" s="501">
        <v>488690208.5</v>
      </c>
      <c r="F376" s="502" t="s">
        <v>879</v>
      </c>
      <c r="G376" s="100" t="s">
        <v>833</v>
      </c>
      <c r="H376" s="530"/>
      <c r="I376" s="525"/>
      <c r="K376" s="548"/>
      <c r="L376" s="548"/>
      <c r="M376" s="548"/>
      <c r="N376" s="552"/>
      <c r="Y376" s="551"/>
    </row>
    <row r="377" spans="1:25">
      <c r="A377" s="499">
        <v>45499</v>
      </c>
      <c r="B377" s="499">
        <v>45502</v>
      </c>
      <c r="C377" s="500" t="s">
        <v>173</v>
      </c>
      <c r="D377" s="500" t="s">
        <v>764</v>
      </c>
      <c r="E377" s="501">
        <v>1162262724.45</v>
      </c>
      <c r="F377" s="502" t="s">
        <v>879</v>
      </c>
      <c r="G377" s="100" t="s">
        <v>682</v>
      </c>
      <c r="H377" s="530"/>
      <c r="I377" s="525"/>
      <c r="K377" s="548"/>
      <c r="L377" s="548"/>
      <c r="M377" s="548"/>
      <c r="N377" s="552"/>
      <c r="Y377" s="551"/>
    </row>
    <row r="378" spans="1:25">
      <c r="A378" s="499">
        <v>45499</v>
      </c>
      <c r="B378" s="499">
        <v>45502</v>
      </c>
      <c r="C378" s="500" t="s">
        <v>173</v>
      </c>
      <c r="D378" s="500" t="s">
        <v>764</v>
      </c>
      <c r="E378" s="501">
        <v>4005939.86</v>
      </c>
      <c r="F378" s="502" t="s">
        <v>879</v>
      </c>
      <c r="G378" s="100" t="s">
        <v>633</v>
      </c>
      <c r="H378" s="530"/>
      <c r="I378" s="525"/>
      <c r="K378" s="548"/>
      <c r="L378" s="548"/>
      <c r="M378" s="548"/>
      <c r="N378" s="552"/>
      <c r="Y378" s="551"/>
    </row>
    <row r="379" spans="1:25">
      <c r="A379" s="499">
        <v>45499</v>
      </c>
      <c r="B379" s="499">
        <v>45499</v>
      </c>
      <c r="C379" s="500" t="s">
        <v>173</v>
      </c>
      <c r="D379" s="500" t="s">
        <v>763</v>
      </c>
      <c r="E379" s="501">
        <v>202083750</v>
      </c>
      <c r="F379" s="502" t="s">
        <v>2911</v>
      </c>
      <c r="G379" s="521" t="s">
        <v>446</v>
      </c>
      <c r="H379" s="502"/>
      <c r="I379" s="525"/>
      <c r="K379" s="548"/>
      <c r="L379" s="548"/>
      <c r="M379" s="548"/>
      <c r="N379" s="552"/>
      <c r="Y379" s="551"/>
    </row>
    <row r="380" spans="1:25">
      <c r="A380" s="499">
        <v>45499</v>
      </c>
      <c r="B380" s="499">
        <v>45499</v>
      </c>
      <c r="C380" s="500" t="s">
        <v>173</v>
      </c>
      <c r="D380" s="500" t="s">
        <v>763</v>
      </c>
      <c r="E380" s="501">
        <v>-201161190.34</v>
      </c>
      <c r="F380" s="502" t="s">
        <v>879</v>
      </c>
      <c r="G380" s="100" t="s">
        <v>59</v>
      </c>
      <c r="H380" s="530"/>
      <c r="I380" s="525"/>
      <c r="K380" s="548"/>
      <c r="L380" s="548"/>
      <c r="M380" s="548"/>
      <c r="N380" s="552"/>
      <c r="Y380" s="551"/>
    </row>
    <row r="381" spans="1:25">
      <c r="A381" s="499">
        <v>45499</v>
      </c>
      <c r="B381" s="499">
        <v>45499</v>
      </c>
      <c r="C381" s="500" t="s">
        <v>173</v>
      </c>
      <c r="D381" s="500" t="s">
        <v>763</v>
      </c>
      <c r="E381" s="501">
        <v>-1000801.94</v>
      </c>
      <c r="F381" s="502" t="s">
        <v>879</v>
      </c>
      <c r="G381" s="100" t="s">
        <v>59</v>
      </c>
      <c r="H381" s="530"/>
      <c r="I381" s="525"/>
      <c r="K381" s="548"/>
      <c r="L381" s="548"/>
      <c r="M381" s="548"/>
      <c r="N381" s="552"/>
      <c r="Y381" s="551"/>
    </row>
    <row r="382" spans="1:25">
      <c r="A382" s="499">
        <v>45499</v>
      </c>
      <c r="B382" s="499">
        <v>45499</v>
      </c>
      <c r="C382" s="500" t="s">
        <v>173</v>
      </c>
      <c r="D382" s="500" t="s">
        <v>763</v>
      </c>
      <c r="E382" s="501">
        <v>-1088021466.6800001</v>
      </c>
      <c r="F382" s="502" t="s">
        <v>879</v>
      </c>
      <c r="G382" s="100" t="s">
        <v>645</v>
      </c>
      <c r="H382" s="530"/>
      <c r="I382" s="525"/>
      <c r="K382" s="548"/>
      <c r="L382" s="548"/>
      <c r="M382" s="548"/>
      <c r="N382" s="552"/>
      <c r="Y382" s="551"/>
    </row>
    <row r="383" spans="1:25">
      <c r="A383" s="499">
        <v>45499</v>
      </c>
      <c r="B383" s="499">
        <v>45499</v>
      </c>
      <c r="C383" s="500" t="s">
        <v>173</v>
      </c>
      <c r="D383" s="500" t="s">
        <v>763</v>
      </c>
      <c r="E383" s="501">
        <v>-705280919.15999997</v>
      </c>
      <c r="F383" s="502" t="s">
        <v>879</v>
      </c>
      <c r="G383" s="100" t="s">
        <v>634</v>
      </c>
      <c r="H383" s="530"/>
      <c r="I383" s="525"/>
      <c r="K383" s="548"/>
      <c r="L383" s="548"/>
      <c r="M383" s="548"/>
      <c r="N383" s="552"/>
      <c r="Y383" s="551"/>
    </row>
    <row r="384" spans="1:25">
      <c r="A384" s="499">
        <v>45499</v>
      </c>
      <c r="B384" s="499">
        <v>45499</v>
      </c>
      <c r="C384" s="500" t="s">
        <v>173</v>
      </c>
      <c r="D384" s="500" t="s">
        <v>763</v>
      </c>
      <c r="E384" s="501">
        <v>-26010360.139999989</v>
      </c>
      <c r="F384" s="502" t="s">
        <v>879</v>
      </c>
      <c r="G384" s="100" t="s">
        <v>634</v>
      </c>
      <c r="H384" s="530"/>
      <c r="I384" s="525"/>
      <c r="K384" s="548"/>
      <c r="L384" s="548"/>
      <c r="M384" s="548"/>
      <c r="N384" s="552"/>
      <c r="Y384" s="551"/>
    </row>
    <row r="385" spans="1:25">
      <c r="A385" s="499">
        <v>45499</v>
      </c>
      <c r="B385" s="499">
        <v>45499</v>
      </c>
      <c r="C385" s="500" t="s">
        <v>173</v>
      </c>
      <c r="D385" s="500" t="s">
        <v>763</v>
      </c>
      <c r="E385" s="501">
        <v>-1000019.73</v>
      </c>
      <c r="F385" s="502" t="s">
        <v>879</v>
      </c>
      <c r="G385" s="100" t="s">
        <v>645</v>
      </c>
      <c r="H385" s="530"/>
      <c r="I385" s="525"/>
      <c r="K385" s="548"/>
      <c r="L385" s="548"/>
      <c r="M385" s="548"/>
      <c r="N385" s="552"/>
      <c r="Y385" s="551"/>
    </row>
    <row r="386" spans="1:25">
      <c r="A386" s="499">
        <v>45499</v>
      </c>
      <c r="B386" s="499">
        <v>45499</v>
      </c>
      <c r="C386" s="500" t="s">
        <v>173</v>
      </c>
      <c r="D386" s="500" t="s">
        <v>763</v>
      </c>
      <c r="E386" s="501">
        <v>-5003679930</v>
      </c>
      <c r="F386" s="502" t="s">
        <v>879</v>
      </c>
      <c r="G386" s="100" t="s">
        <v>66</v>
      </c>
      <c r="H386" s="530"/>
      <c r="I386" s="525"/>
      <c r="K386" s="548"/>
      <c r="L386" s="548"/>
      <c r="M386" s="548"/>
      <c r="N386" s="552"/>
      <c r="Y386" s="551"/>
    </row>
    <row r="387" spans="1:25">
      <c r="A387" s="499">
        <v>45499</v>
      </c>
      <c r="B387" s="499">
        <v>45502</v>
      </c>
      <c r="C387" s="500" t="s">
        <v>173</v>
      </c>
      <c r="D387" s="500" t="s">
        <v>763</v>
      </c>
      <c r="E387" s="501">
        <v>201392036</v>
      </c>
      <c r="F387" s="502" t="s">
        <v>879</v>
      </c>
      <c r="G387" s="100" t="s">
        <v>59</v>
      </c>
      <c r="H387" s="530"/>
      <c r="I387" s="525"/>
      <c r="K387" s="548"/>
      <c r="L387" s="548"/>
      <c r="M387" s="548"/>
      <c r="N387" s="552"/>
      <c r="Y387" s="551"/>
    </row>
    <row r="388" spans="1:25">
      <c r="A388" s="499">
        <v>45499</v>
      </c>
      <c r="B388" s="499">
        <v>45502</v>
      </c>
      <c r="C388" s="500" t="s">
        <v>173</v>
      </c>
      <c r="D388" s="500" t="s">
        <v>763</v>
      </c>
      <c r="E388" s="501">
        <v>1001950.43</v>
      </c>
      <c r="F388" s="502" t="s">
        <v>879</v>
      </c>
      <c r="G388" s="100" t="s">
        <v>59</v>
      </c>
      <c r="H388" s="530"/>
      <c r="I388" s="525"/>
      <c r="K388" s="548"/>
      <c r="L388" s="548"/>
      <c r="M388" s="548"/>
      <c r="N388" s="552"/>
      <c r="Y388" s="551"/>
    </row>
    <row r="389" spans="1:25">
      <c r="A389" s="499">
        <v>45499</v>
      </c>
      <c r="B389" s="499">
        <v>45502</v>
      </c>
      <c r="C389" s="500" t="s">
        <v>173</v>
      </c>
      <c r="D389" s="500" t="s">
        <v>763</v>
      </c>
      <c r="E389" s="501">
        <v>1089296770.53</v>
      </c>
      <c r="F389" s="502" t="s">
        <v>879</v>
      </c>
      <c r="G389" s="100" t="s">
        <v>645</v>
      </c>
      <c r="H389" s="530"/>
      <c r="I389" s="525"/>
      <c r="K389" s="548"/>
      <c r="L389" s="548"/>
      <c r="M389" s="548"/>
      <c r="N389" s="552"/>
      <c r="Y389" s="551"/>
    </row>
    <row r="390" spans="1:25">
      <c r="A390" s="499">
        <v>45499</v>
      </c>
      <c r="B390" s="499">
        <v>45502</v>
      </c>
      <c r="C390" s="500" t="s">
        <v>173</v>
      </c>
      <c r="D390" s="500" t="s">
        <v>763</v>
      </c>
      <c r="E390" s="501">
        <v>706104716.17999995</v>
      </c>
      <c r="F390" s="502" t="s">
        <v>879</v>
      </c>
      <c r="G390" s="100" t="s">
        <v>634</v>
      </c>
      <c r="H390" s="530"/>
      <c r="I390" s="525"/>
      <c r="K390" s="548"/>
      <c r="L390" s="548"/>
      <c r="M390" s="548"/>
      <c r="N390" s="552"/>
      <c r="Y390" s="551"/>
    </row>
    <row r="391" spans="1:25">
      <c r="A391" s="499">
        <v>45499</v>
      </c>
      <c r="B391" s="499">
        <v>45502</v>
      </c>
      <c r="C391" s="500" t="s">
        <v>173</v>
      </c>
      <c r="D391" s="500" t="s">
        <v>763</v>
      </c>
      <c r="E391" s="501">
        <v>26040741.309999999</v>
      </c>
      <c r="F391" s="502" t="s">
        <v>879</v>
      </c>
      <c r="G391" s="100" t="s">
        <v>634</v>
      </c>
      <c r="H391" s="530"/>
      <c r="I391" s="525"/>
      <c r="K391" s="548"/>
      <c r="L391" s="548"/>
      <c r="M391" s="548"/>
      <c r="N391" s="552"/>
      <c r="Y391" s="551"/>
    </row>
    <row r="392" spans="1:25">
      <c r="A392" s="499">
        <v>45499</v>
      </c>
      <c r="B392" s="499">
        <v>45502</v>
      </c>
      <c r="C392" s="500" t="s">
        <v>173</v>
      </c>
      <c r="D392" s="500" t="s">
        <v>763</v>
      </c>
      <c r="E392" s="501">
        <v>1001187.8</v>
      </c>
      <c r="F392" s="502" t="s">
        <v>879</v>
      </c>
      <c r="G392" s="100" t="s">
        <v>645</v>
      </c>
      <c r="H392" s="530"/>
      <c r="I392" s="525"/>
      <c r="K392" s="548"/>
      <c r="L392" s="548"/>
      <c r="M392" s="548"/>
      <c r="N392" s="552"/>
      <c r="Y392" s="551"/>
    </row>
    <row r="393" spans="1:25">
      <c r="A393" s="499">
        <v>45499</v>
      </c>
      <c r="B393" s="499">
        <v>45502</v>
      </c>
      <c r="C393" s="500" t="s">
        <v>173</v>
      </c>
      <c r="D393" s="500" t="s">
        <v>763</v>
      </c>
      <c r="E393" s="501">
        <v>5009544899.1000004</v>
      </c>
      <c r="F393" s="502" t="s">
        <v>879</v>
      </c>
      <c r="G393" s="100" t="s">
        <v>66</v>
      </c>
      <c r="H393" s="530"/>
      <c r="I393" s="525"/>
      <c r="K393" s="548"/>
      <c r="L393" s="548"/>
      <c r="M393" s="548"/>
      <c r="N393" s="552"/>
      <c r="Y393" s="551"/>
    </row>
    <row r="394" spans="1:25">
      <c r="A394" s="499">
        <v>45501</v>
      </c>
      <c r="B394" s="499">
        <v>45502</v>
      </c>
      <c r="C394" s="500" t="s">
        <v>173</v>
      </c>
      <c r="D394" s="500" t="s">
        <v>759</v>
      </c>
      <c r="E394" s="501">
        <v>395625000</v>
      </c>
      <c r="F394" s="502" t="s">
        <v>2911</v>
      </c>
      <c r="G394" s="521" t="s">
        <v>448</v>
      </c>
      <c r="H394" s="502"/>
      <c r="I394" s="525"/>
      <c r="K394" s="548"/>
      <c r="L394" s="548"/>
      <c r="M394" s="548"/>
      <c r="N394" s="552"/>
      <c r="Y394" s="551"/>
    </row>
    <row r="395" spans="1:25">
      <c r="A395" s="499">
        <v>45501</v>
      </c>
      <c r="B395" s="499">
        <v>45502</v>
      </c>
      <c r="C395" s="500" t="s">
        <v>173</v>
      </c>
      <c r="D395" s="500" t="s">
        <v>762</v>
      </c>
      <c r="E395" s="501">
        <v>380591250</v>
      </c>
      <c r="F395" s="502" t="s">
        <v>2911</v>
      </c>
      <c r="G395" s="521" t="s">
        <v>448</v>
      </c>
      <c r="H395" s="502"/>
      <c r="I395" s="525"/>
      <c r="K395" s="548"/>
      <c r="L395" s="548"/>
      <c r="M395" s="548"/>
      <c r="N395" s="552"/>
      <c r="Y395" s="551"/>
    </row>
    <row r="396" spans="1:25">
      <c r="A396" s="499">
        <v>45501</v>
      </c>
      <c r="B396" s="499">
        <v>45502</v>
      </c>
      <c r="C396" s="500" t="s">
        <v>173</v>
      </c>
      <c r="D396" s="500" t="s">
        <v>760</v>
      </c>
      <c r="E396" s="501">
        <v>238957500</v>
      </c>
      <c r="F396" s="502" t="s">
        <v>2911</v>
      </c>
      <c r="G396" s="521" t="s">
        <v>448</v>
      </c>
      <c r="H396" s="502"/>
      <c r="I396" s="525"/>
      <c r="K396" s="548"/>
      <c r="L396" s="548"/>
      <c r="M396" s="548"/>
      <c r="N396" s="552"/>
      <c r="Y396" s="551"/>
    </row>
    <row r="397" spans="1:25">
      <c r="A397" s="499">
        <v>45501</v>
      </c>
      <c r="B397" s="499">
        <v>45502</v>
      </c>
      <c r="C397" s="500" t="s">
        <v>173</v>
      </c>
      <c r="D397" s="500" t="s">
        <v>761</v>
      </c>
      <c r="E397" s="501">
        <v>205725000</v>
      </c>
      <c r="F397" s="502" t="s">
        <v>2911</v>
      </c>
      <c r="G397" s="521" t="s">
        <v>448</v>
      </c>
      <c r="H397" s="502"/>
      <c r="I397" s="525"/>
      <c r="K397" s="548"/>
      <c r="L397" s="548"/>
      <c r="M397" s="548"/>
      <c r="N397" s="552"/>
      <c r="Y397" s="551"/>
    </row>
    <row r="398" spans="1:25">
      <c r="A398" s="499">
        <v>45501</v>
      </c>
      <c r="B398" s="499">
        <v>45502</v>
      </c>
      <c r="C398" s="500" t="s">
        <v>173</v>
      </c>
      <c r="D398" s="500" t="s">
        <v>763</v>
      </c>
      <c r="E398" s="501">
        <v>200186250</v>
      </c>
      <c r="F398" s="502" t="s">
        <v>2911</v>
      </c>
      <c r="G398" s="521" t="s">
        <v>448</v>
      </c>
      <c r="H398" s="502"/>
      <c r="I398" s="525"/>
      <c r="K398" s="548"/>
      <c r="L398" s="548"/>
      <c r="M398" s="548"/>
      <c r="N398" s="552"/>
      <c r="Y398" s="551"/>
    </row>
    <row r="399" spans="1:25">
      <c r="A399" s="499">
        <v>45501</v>
      </c>
      <c r="B399" s="499">
        <v>45502</v>
      </c>
      <c r="C399" s="500" t="s">
        <v>173</v>
      </c>
      <c r="D399" s="500" t="s">
        <v>764</v>
      </c>
      <c r="E399" s="501">
        <v>161415000</v>
      </c>
      <c r="F399" s="502" t="s">
        <v>2911</v>
      </c>
      <c r="G399" s="521" t="s">
        <v>448</v>
      </c>
      <c r="H399" s="502"/>
      <c r="I399" s="525"/>
      <c r="K399" s="548"/>
      <c r="L399" s="548"/>
      <c r="M399" s="548"/>
      <c r="N399" s="552"/>
      <c r="Y399" s="551"/>
    </row>
    <row r="400" spans="1:25">
      <c r="A400" s="499">
        <v>45502</v>
      </c>
      <c r="B400" s="499">
        <v>45502</v>
      </c>
      <c r="C400" s="500" t="s">
        <v>173</v>
      </c>
      <c r="D400" s="500" t="s">
        <v>762</v>
      </c>
      <c r="E400" s="501">
        <v>-9913892324.6399994</v>
      </c>
      <c r="F400" s="502" t="s">
        <v>879</v>
      </c>
      <c r="G400" s="100" t="s">
        <v>644</v>
      </c>
      <c r="H400" s="530"/>
      <c r="I400" s="525"/>
      <c r="K400" s="548"/>
      <c r="L400" s="548"/>
      <c r="M400" s="548"/>
      <c r="N400" s="552"/>
      <c r="Y400" s="551"/>
    </row>
    <row r="401" spans="1:25">
      <c r="A401" s="499">
        <v>45502</v>
      </c>
      <c r="B401" s="499">
        <v>45502</v>
      </c>
      <c r="C401" s="500" t="s">
        <v>173</v>
      </c>
      <c r="D401" s="500" t="s">
        <v>762</v>
      </c>
      <c r="E401" s="501">
        <v>-816354320.25999999</v>
      </c>
      <c r="F401" s="502" t="s">
        <v>879</v>
      </c>
      <c r="G401" s="100" t="s">
        <v>681</v>
      </c>
      <c r="H401" s="530"/>
      <c r="I401" s="525"/>
      <c r="K401" s="548"/>
      <c r="L401" s="548"/>
      <c r="M401" s="548"/>
      <c r="N401" s="552"/>
      <c r="Y401" s="551"/>
    </row>
    <row r="402" spans="1:25">
      <c r="A402" s="499">
        <v>45502</v>
      </c>
      <c r="B402" s="499">
        <v>45502</v>
      </c>
      <c r="C402" s="500" t="s">
        <v>173</v>
      </c>
      <c r="D402" s="500" t="s">
        <v>762</v>
      </c>
      <c r="E402" s="501">
        <v>-2597497372.8000002</v>
      </c>
      <c r="F402" s="502" t="s">
        <v>879</v>
      </c>
      <c r="G402" s="100" t="s">
        <v>588</v>
      </c>
      <c r="H402" s="530"/>
      <c r="I402" s="525"/>
      <c r="K402" s="548"/>
      <c r="L402" s="548"/>
      <c r="M402" s="548"/>
      <c r="N402" s="552"/>
      <c r="Y402" s="551"/>
    </row>
    <row r="403" spans="1:25">
      <c r="A403" s="499">
        <v>45502</v>
      </c>
      <c r="B403" s="499">
        <v>45502</v>
      </c>
      <c r="C403" s="500" t="s">
        <v>173</v>
      </c>
      <c r="D403" s="500" t="s">
        <v>762</v>
      </c>
      <c r="E403" s="501">
        <v>-57017895.259999998</v>
      </c>
      <c r="F403" s="502" t="s">
        <v>879</v>
      </c>
      <c r="G403" s="100" t="s">
        <v>677</v>
      </c>
      <c r="H403" s="530"/>
      <c r="I403" s="525"/>
      <c r="K403" s="548"/>
      <c r="L403" s="548"/>
      <c r="M403" s="548"/>
      <c r="N403" s="552"/>
      <c r="Y403" s="551"/>
    </row>
    <row r="404" spans="1:25">
      <c r="A404" s="499">
        <v>45502</v>
      </c>
      <c r="B404" s="499">
        <v>45502</v>
      </c>
      <c r="C404" s="500" t="s">
        <v>173</v>
      </c>
      <c r="D404" s="500" t="s">
        <v>762</v>
      </c>
      <c r="E404" s="501">
        <v>-379056043.49000001</v>
      </c>
      <c r="F404" s="502" t="s">
        <v>879</v>
      </c>
      <c r="G404" s="100" t="s">
        <v>550</v>
      </c>
      <c r="H404" s="530"/>
      <c r="I404" s="525"/>
      <c r="K404" s="548"/>
      <c r="L404" s="548"/>
      <c r="M404" s="548"/>
      <c r="N404" s="552"/>
      <c r="Y404" s="551"/>
    </row>
    <row r="405" spans="1:25">
      <c r="A405" s="499">
        <v>45502</v>
      </c>
      <c r="B405" s="499">
        <v>45503</v>
      </c>
      <c r="C405" s="500" t="s">
        <v>173</v>
      </c>
      <c r="D405" s="500" t="s">
        <v>762</v>
      </c>
      <c r="E405" s="501">
        <v>9917576310.7800007</v>
      </c>
      <c r="F405" s="502" t="s">
        <v>879</v>
      </c>
      <c r="G405" s="100" t="s">
        <v>644</v>
      </c>
      <c r="H405" s="530"/>
      <c r="I405" s="525"/>
      <c r="K405" s="548"/>
      <c r="L405" s="548"/>
      <c r="M405" s="548"/>
      <c r="N405" s="552"/>
      <c r="Y405" s="551"/>
    </row>
    <row r="406" spans="1:25">
      <c r="A406" s="499">
        <v>45502</v>
      </c>
      <c r="B406" s="499">
        <v>45503</v>
      </c>
      <c r="C406" s="500" t="s">
        <v>173</v>
      </c>
      <c r="D406" s="500" t="s">
        <v>762</v>
      </c>
      <c r="E406" s="501">
        <v>816657667.26999998</v>
      </c>
      <c r="F406" s="502" t="s">
        <v>879</v>
      </c>
      <c r="G406" s="100" t="s">
        <v>681</v>
      </c>
      <c r="H406" s="530"/>
      <c r="I406" s="525"/>
      <c r="K406" s="548"/>
      <c r="L406" s="548"/>
      <c r="M406" s="548"/>
      <c r="N406" s="552"/>
      <c r="Y406" s="551"/>
    </row>
    <row r="407" spans="1:25">
      <c r="A407" s="499">
        <v>45502</v>
      </c>
      <c r="B407" s="499">
        <v>45503</v>
      </c>
      <c r="C407" s="500" t="s">
        <v>173</v>
      </c>
      <c r="D407" s="500" t="s">
        <v>762</v>
      </c>
      <c r="E407" s="501">
        <v>2598462570.1799998</v>
      </c>
      <c r="F407" s="502" t="s">
        <v>879</v>
      </c>
      <c r="G407" s="100" t="s">
        <v>588</v>
      </c>
      <c r="H407" s="530"/>
      <c r="I407" s="525"/>
      <c r="K407" s="548"/>
      <c r="L407" s="548"/>
      <c r="M407" s="548"/>
      <c r="N407" s="552"/>
      <c r="Y407" s="551"/>
    </row>
    <row r="408" spans="1:25">
      <c r="A408" s="499">
        <v>45502</v>
      </c>
      <c r="B408" s="499">
        <v>45503</v>
      </c>
      <c r="C408" s="500" t="s">
        <v>173</v>
      </c>
      <c r="D408" s="500" t="s">
        <v>762</v>
      </c>
      <c r="E408" s="501">
        <v>57039082.390000001</v>
      </c>
      <c r="F408" s="502" t="s">
        <v>879</v>
      </c>
      <c r="G408" s="100" t="s">
        <v>677</v>
      </c>
      <c r="H408" s="530"/>
      <c r="I408" s="525"/>
      <c r="K408" s="548"/>
      <c r="L408" s="548"/>
      <c r="M408" s="548"/>
      <c r="N408" s="552"/>
      <c r="Y408" s="551"/>
    </row>
    <row r="409" spans="1:25">
      <c r="A409" s="499">
        <v>45502</v>
      </c>
      <c r="B409" s="499">
        <v>45503</v>
      </c>
      <c r="C409" s="500" t="s">
        <v>173</v>
      </c>
      <c r="D409" s="500" t="s">
        <v>762</v>
      </c>
      <c r="E409" s="501">
        <v>379197627.13999999</v>
      </c>
      <c r="F409" s="502" t="s">
        <v>879</v>
      </c>
      <c r="G409" s="100" t="s">
        <v>550</v>
      </c>
      <c r="H409" s="530"/>
      <c r="I409" s="525"/>
      <c r="K409" s="548"/>
      <c r="L409" s="548"/>
      <c r="M409" s="548"/>
      <c r="N409" s="552"/>
      <c r="Y409" s="551"/>
    </row>
    <row r="410" spans="1:25">
      <c r="A410" s="499">
        <v>45502</v>
      </c>
      <c r="B410" s="499">
        <v>45502</v>
      </c>
      <c r="C410" s="500" t="s">
        <v>173</v>
      </c>
      <c r="D410" s="500" t="s">
        <v>761</v>
      </c>
      <c r="E410" s="501">
        <v>-205181771.66</v>
      </c>
      <c r="F410" s="502" t="s">
        <v>879</v>
      </c>
      <c r="G410" s="100" t="s">
        <v>710</v>
      </c>
      <c r="H410" s="530"/>
      <c r="I410" s="525"/>
      <c r="K410" s="548"/>
      <c r="L410" s="548"/>
      <c r="M410" s="548"/>
      <c r="N410" s="552"/>
      <c r="Y410" s="551"/>
    </row>
    <row r="411" spans="1:25">
      <c r="A411" s="499">
        <v>45502</v>
      </c>
      <c r="B411" s="499">
        <v>45503</v>
      </c>
      <c r="C411" s="500" t="s">
        <v>173</v>
      </c>
      <c r="D411" s="500" t="s">
        <v>761</v>
      </c>
      <c r="E411" s="501">
        <v>205256892.86000001</v>
      </c>
      <c r="F411" s="502" t="s">
        <v>879</v>
      </c>
      <c r="G411" s="100" t="s">
        <v>710</v>
      </c>
      <c r="H411" s="530"/>
      <c r="I411" s="525"/>
      <c r="K411" s="548"/>
      <c r="L411" s="548"/>
      <c r="M411" s="548"/>
      <c r="N411" s="552"/>
      <c r="Y411" s="551"/>
    </row>
    <row r="412" spans="1:25">
      <c r="A412" s="499">
        <v>45502</v>
      </c>
      <c r="B412" s="499">
        <v>45502</v>
      </c>
      <c r="C412" s="500" t="s">
        <v>173</v>
      </c>
      <c r="D412" s="500" t="s">
        <v>759</v>
      </c>
      <c r="E412" s="501">
        <v>-8000654592</v>
      </c>
      <c r="F412" s="502" t="s">
        <v>879</v>
      </c>
      <c r="G412" s="100" t="s">
        <v>745</v>
      </c>
      <c r="H412" s="484"/>
      <c r="I412" s="525"/>
      <c r="K412" s="548"/>
      <c r="L412" s="548"/>
      <c r="M412" s="548"/>
      <c r="N412" s="552"/>
      <c r="Y412" s="551"/>
    </row>
    <row r="413" spans="1:25">
      <c r="A413" s="499">
        <v>45502</v>
      </c>
      <c r="B413" s="499">
        <v>45502</v>
      </c>
      <c r="C413" s="500" t="s">
        <v>173</v>
      </c>
      <c r="D413" s="500" t="s">
        <v>759</v>
      </c>
      <c r="E413" s="501">
        <v>-268138860.44999999</v>
      </c>
      <c r="F413" s="502" t="s">
        <v>879</v>
      </c>
      <c r="G413" s="100" t="s">
        <v>683</v>
      </c>
      <c r="H413" s="484"/>
      <c r="I413" s="525"/>
      <c r="K413" s="548"/>
      <c r="L413" s="548"/>
      <c r="M413" s="548"/>
      <c r="N413" s="552"/>
      <c r="Y413" s="551"/>
    </row>
    <row r="414" spans="1:25">
      <c r="A414" s="499">
        <v>45502</v>
      </c>
      <c r="B414" s="499">
        <v>45502</v>
      </c>
      <c r="C414" s="500" t="s">
        <v>173</v>
      </c>
      <c r="D414" s="500" t="s">
        <v>759</v>
      </c>
      <c r="E414" s="501">
        <v>-1045926592.1</v>
      </c>
      <c r="F414" s="502" t="s">
        <v>879</v>
      </c>
      <c r="G414" s="100" t="s">
        <v>710</v>
      </c>
      <c r="H414" s="484"/>
      <c r="I414" s="525"/>
      <c r="K414" s="548"/>
      <c r="L414" s="548"/>
      <c r="M414" s="548"/>
      <c r="N414" s="552"/>
      <c r="Y414" s="551"/>
    </row>
    <row r="415" spans="1:25">
      <c r="A415" s="499">
        <v>45502</v>
      </c>
      <c r="B415" s="499">
        <v>45502</v>
      </c>
      <c r="C415" s="500" t="s">
        <v>173</v>
      </c>
      <c r="D415" s="500" t="s">
        <v>759</v>
      </c>
      <c r="E415" s="501">
        <v>-40019753.759999998</v>
      </c>
      <c r="F415" s="502" t="s">
        <v>879</v>
      </c>
      <c r="G415" s="100" t="s">
        <v>830</v>
      </c>
      <c r="H415" s="484"/>
      <c r="I415" s="525"/>
      <c r="K415" s="548"/>
      <c r="L415" s="548"/>
      <c r="M415" s="548"/>
      <c r="N415" s="552"/>
      <c r="Y415" s="551"/>
    </row>
    <row r="416" spans="1:25">
      <c r="A416" s="499">
        <v>45502</v>
      </c>
      <c r="B416" s="499">
        <v>45503</v>
      </c>
      <c r="C416" s="500" t="s">
        <v>173</v>
      </c>
      <c r="D416" s="500" t="s">
        <v>759</v>
      </c>
      <c r="E416" s="501">
        <v>8003605653.1199999</v>
      </c>
      <c r="F416" s="502" t="s">
        <v>879</v>
      </c>
      <c r="G416" s="100" t="s">
        <v>745</v>
      </c>
      <c r="H416" s="530"/>
      <c r="I416" s="525"/>
      <c r="K416" s="548"/>
      <c r="L416" s="548"/>
      <c r="M416" s="548"/>
      <c r="N416" s="552"/>
      <c r="Y416" s="551"/>
    </row>
    <row r="417" spans="1:25">
      <c r="A417" s="499">
        <v>45502</v>
      </c>
      <c r="B417" s="499">
        <v>45503</v>
      </c>
      <c r="C417" s="500" t="s">
        <v>173</v>
      </c>
      <c r="D417" s="500" t="s">
        <v>759</v>
      </c>
      <c r="E417" s="501">
        <v>268237031.50999999</v>
      </c>
      <c r="F417" s="502" t="s">
        <v>879</v>
      </c>
      <c r="G417" s="100" t="s">
        <v>683</v>
      </c>
      <c r="H417" s="530"/>
      <c r="I417" s="525"/>
      <c r="K417" s="548"/>
      <c r="L417" s="548"/>
      <c r="M417" s="548"/>
      <c r="N417" s="552"/>
      <c r="Y417" s="551"/>
    </row>
    <row r="418" spans="1:25">
      <c r="A418" s="499">
        <v>45502</v>
      </c>
      <c r="B418" s="499">
        <v>45503</v>
      </c>
      <c r="C418" s="500" t="s">
        <v>173</v>
      </c>
      <c r="D418" s="500" t="s">
        <v>759</v>
      </c>
      <c r="E418" s="501">
        <v>1046309526.97</v>
      </c>
      <c r="F418" s="502" t="s">
        <v>879</v>
      </c>
      <c r="G418" s="100" t="s">
        <v>710</v>
      </c>
      <c r="H418" s="530"/>
      <c r="I418" s="525"/>
      <c r="K418" s="548"/>
      <c r="L418" s="548"/>
      <c r="M418" s="548"/>
      <c r="N418" s="552"/>
      <c r="Y418" s="551"/>
    </row>
    <row r="419" spans="1:25">
      <c r="A419" s="499">
        <v>45502</v>
      </c>
      <c r="B419" s="499">
        <v>45503</v>
      </c>
      <c r="C419" s="500" t="s">
        <v>173</v>
      </c>
      <c r="D419" s="500" t="s">
        <v>759</v>
      </c>
      <c r="E419" s="501">
        <v>40034252.719999999</v>
      </c>
      <c r="F419" s="502" t="s">
        <v>879</v>
      </c>
      <c r="G419" s="100" t="s">
        <v>830</v>
      </c>
      <c r="H419" s="530"/>
      <c r="I419" s="525"/>
      <c r="K419" s="548"/>
      <c r="L419" s="548"/>
      <c r="M419" s="548"/>
      <c r="N419" s="552"/>
      <c r="Y419" s="551"/>
    </row>
    <row r="420" spans="1:25">
      <c r="A420" s="499">
        <v>45502</v>
      </c>
      <c r="B420" s="499">
        <v>45502</v>
      </c>
      <c r="C420" s="500" t="s">
        <v>173</v>
      </c>
      <c r="D420" s="500" t="s">
        <v>760</v>
      </c>
      <c r="E420" s="501">
        <v>-153101643.41</v>
      </c>
      <c r="F420" s="502" t="s">
        <v>879</v>
      </c>
      <c r="G420" s="100" t="s">
        <v>591</v>
      </c>
      <c r="H420" s="530">
        <v>-1</v>
      </c>
      <c r="I420" s="525"/>
      <c r="K420" s="548"/>
      <c r="L420" s="548"/>
      <c r="M420" s="548"/>
      <c r="N420" s="552"/>
      <c r="Y420" s="551"/>
    </row>
    <row r="421" spans="1:25">
      <c r="A421" s="499">
        <v>45502</v>
      </c>
      <c r="B421" s="499">
        <v>45502</v>
      </c>
      <c r="C421" s="500" t="s">
        <v>173</v>
      </c>
      <c r="D421" s="500" t="s">
        <v>760</v>
      </c>
      <c r="E421" s="501">
        <v>-124102647.2</v>
      </c>
      <c r="F421" s="502" t="s">
        <v>879</v>
      </c>
      <c r="G421" s="100" t="s">
        <v>825</v>
      </c>
      <c r="H421" s="530"/>
      <c r="I421" s="525"/>
      <c r="K421" s="548"/>
      <c r="L421" s="548"/>
      <c r="M421" s="548"/>
      <c r="N421" s="552"/>
      <c r="Y421" s="551"/>
    </row>
    <row r="422" spans="1:25">
      <c r="A422" s="499">
        <v>45502</v>
      </c>
      <c r="B422" s="499">
        <v>45502</v>
      </c>
      <c r="C422" s="500" t="s">
        <v>173</v>
      </c>
      <c r="D422" s="500" t="s">
        <v>760</v>
      </c>
      <c r="E422" s="501">
        <v>-152016355.19999999</v>
      </c>
      <c r="F422" s="502" t="s">
        <v>879</v>
      </c>
      <c r="G422" s="100" t="s">
        <v>601</v>
      </c>
      <c r="H422" s="530"/>
      <c r="I422" s="525"/>
      <c r="K422" s="548"/>
      <c r="L422" s="548"/>
      <c r="M422" s="548"/>
      <c r="N422" s="552"/>
      <c r="Y422" s="551"/>
    </row>
    <row r="423" spans="1:25">
      <c r="A423" s="499">
        <v>45502</v>
      </c>
      <c r="B423" s="499">
        <v>45502</v>
      </c>
      <c r="C423" s="500" t="s">
        <v>173</v>
      </c>
      <c r="D423" s="500" t="s">
        <v>760</v>
      </c>
      <c r="E423" s="501">
        <v>-135097486.19999999</v>
      </c>
      <c r="F423" s="502" t="s">
        <v>879</v>
      </c>
      <c r="G423" s="100" t="s">
        <v>78</v>
      </c>
      <c r="H423" s="530"/>
      <c r="I423" s="525"/>
      <c r="K423" s="548"/>
      <c r="L423" s="548"/>
      <c r="M423" s="548"/>
      <c r="N423" s="552"/>
      <c r="Y423" s="551"/>
    </row>
    <row r="424" spans="1:25">
      <c r="A424" s="499">
        <v>45502</v>
      </c>
      <c r="B424" s="499">
        <v>45502</v>
      </c>
      <c r="C424" s="500" t="s">
        <v>173</v>
      </c>
      <c r="D424" s="500" t="s">
        <v>760</v>
      </c>
      <c r="E424" s="501">
        <v>-128112996.61</v>
      </c>
      <c r="F424" s="502" t="s">
        <v>879</v>
      </c>
      <c r="G424" s="100" t="s">
        <v>77</v>
      </c>
      <c r="H424" s="530"/>
      <c r="I424" s="525"/>
      <c r="K424" s="548"/>
      <c r="L424" s="548"/>
      <c r="M424" s="548"/>
      <c r="N424" s="552"/>
      <c r="Y424" s="551"/>
    </row>
    <row r="425" spans="1:25">
      <c r="A425" s="499">
        <v>45502</v>
      </c>
      <c r="B425" s="499">
        <v>45502</v>
      </c>
      <c r="C425" s="500" t="s">
        <v>173</v>
      </c>
      <c r="D425" s="500" t="s">
        <v>760</v>
      </c>
      <c r="E425" s="501">
        <v>-189007617.65000001</v>
      </c>
      <c r="F425" s="502" t="s">
        <v>879</v>
      </c>
      <c r="G425" s="100" t="s">
        <v>597</v>
      </c>
      <c r="H425" s="530"/>
      <c r="I425" s="525"/>
      <c r="K425" s="548"/>
      <c r="L425" s="548"/>
      <c r="M425" s="548"/>
      <c r="N425" s="552"/>
      <c r="Y425" s="551"/>
    </row>
    <row r="426" spans="1:25">
      <c r="A426" s="499">
        <v>45502</v>
      </c>
      <c r="B426" s="499">
        <v>45502</v>
      </c>
      <c r="C426" s="500" t="s">
        <v>173</v>
      </c>
      <c r="D426" s="500" t="s">
        <v>760</v>
      </c>
      <c r="E426" s="501">
        <v>-177058432.66</v>
      </c>
      <c r="F426" s="502" t="s">
        <v>879</v>
      </c>
      <c r="G426" s="100" t="s">
        <v>68</v>
      </c>
      <c r="H426" s="530"/>
      <c r="I426" s="525"/>
      <c r="K426" s="548"/>
      <c r="L426" s="548"/>
      <c r="M426" s="548"/>
      <c r="N426" s="552"/>
      <c r="Y426" s="551"/>
    </row>
    <row r="427" spans="1:25">
      <c r="A427" s="499">
        <v>45502</v>
      </c>
      <c r="B427" s="499">
        <v>45502</v>
      </c>
      <c r="C427" s="500" t="s">
        <v>173</v>
      </c>
      <c r="D427" s="500" t="s">
        <v>760</v>
      </c>
      <c r="E427" s="501">
        <v>-180091732.31999999</v>
      </c>
      <c r="F427" s="502" t="s">
        <v>879</v>
      </c>
      <c r="G427" s="100" t="s">
        <v>603</v>
      </c>
      <c r="H427" s="530"/>
      <c r="I427" s="525"/>
      <c r="K427" s="548"/>
      <c r="L427" s="548"/>
      <c r="M427" s="548"/>
      <c r="N427" s="552"/>
      <c r="Y427" s="551"/>
    </row>
    <row r="428" spans="1:25">
      <c r="A428" s="499">
        <v>45502</v>
      </c>
      <c r="B428" s="499">
        <v>45502</v>
      </c>
      <c r="C428" s="500" t="s">
        <v>173</v>
      </c>
      <c r="D428" s="500" t="s">
        <v>760</v>
      </c>
      <c r="E428" s="501">
        <v>-159098342.93000001</v>
      </c>
      <c r="F428" s="502" t="s">
        <v>879</v>
      </c>
      <c r="G428" s="100" t="s">
        <v>91</v>
      </c>
      <c r="H428" s="530"/>
      <c r="I428" s="525"/>
      <c r="K428" s="548"/>
      <c r="L428" s="548"/>
      <c r="M428" s="548"/>
      <c r="N428" s="552"/>
      <c r="Y428" s="551"/>
    </row>
    <row r="429" spans="1:25">
      <c r="A429" s="499">
        <v>45502</v>
      </c>
      <c r="B429" s="499">
        <v>45502</v>
      </c>
      <c r="C429" s="500" t="s">
        <v>173</v>
      </c>
      <c r="D429" s="500" t="s">
        <v>760</v>
      </c>
      <c r="E429" s="501">
        <v>-200103627.19999999</v>
      </c>
      <c r="F429" s="502" t="s">
        <v>879</v>
      </c>
      <c r="G429" s="100" t="s">
        <v>683</v>
      </c>
      <c r="H429" s="530"/>
      <c r="I429" s="525"/>
      <c r="K429" s="548"/>
      <c r="L429" s="548"/>
      <c r="M429" s="548"/>
      <c r="N429" s="552"/>
      <c r="Y429" s="551"/>
    </row>
    <row r="430" spans="1:25">
      <c r="A430" s="499">
        <v>45502</v>
      </c>
      <c r="B430" s="499">
        <v>45502</v>
      </c>
      <c r="C430" s="500" t="s">
        <v>173</v>
      </c>
      <c r="D430" s="500" t="s">
        <v>760</v>
      </c>
      <c r="E430" s="501">
        <v>-219116940.74000001</v>
      </c>
      <c r="F430" s="502" t="s">
        <v>879</v>
      </c>
      <c r="G430" s="100" t="s">
        <v>414</v>
      </c>
      <c r="H430" s="530"/>
      <c r="I430" s="525"/>
      <c r="K430" s="548"/>
      <c r="L430" s="548"/>
      <c r="M430" s="548"/>
      <c r="N430" s="552"/>
      <c r="Y430" s="551"/>
    </row>
    <row r="431" spans="1:25">
      <c r="A431" s="499">
        <v>45502</v>
      </c>
      <c r="B431" s="499">
        <v>45502</v>
      </c>
      <c r="C431" s="500" t="s">
        <v>173</v>
      </c>
      <c r="D431" s="500" t="s">
        <v>760</v>
      </c>
      <c r="E431" s="501">
        <v>-206206003.30000001</v>
      </c>
      <c r="F431" s="502" t="s">
        <v>879</v>
      </c>
      <c r="G431" s="100" t="s">
        <v>655</v>
      </c>
      <c r="H431" s="530"/>
      <c r="I431" s="525"/>
      <c r="K431" s="548"/>
      <c r="L431" s="548"/>
      <c r="M431" s="548"/>
      <c r="N431" s="552"/>
      <c r="Y431" s="551"/>
    </row>
    <row r="432" spans="1:25">
      <c r="A432" s="499">
        <v>45502</v>
      </c>
      <c r="B432" s="499">
        <v>45502</v>
      </c>
      <c r="C432" s="500" t="s">
        <v>173</v>
      </c>
      <c r="D432" s="500" t="s">
        <v>760</v>
      </c>
      <c r="E432" s="501">
        <v>-200114783</v>
      </c>
      <c r="F432" s="502" t="s">
        <v>879</v>
      </c>
      <c r="G432" s="100" t="s">
        <v>422</v>
      </c>
      <c r="H432" s="530"/>
      <c r="I432" s="525"/>
      <c r="K432" s="548"/>
      <c r="L432" s="548"/>
      <c r="M432" s="548"/>
      <c r="N432" s="552"/>
      <c r="Y432" s="551"/>
    </row>
    <row r="433" spans="1:25">
      <c r="A433" s="499">
        <v>45502</v>
      </c>
      <c r="B433" s="499">
        <v>45502</v>
      </c>
      <c r="C433" s="500" t="s">
        <v>173</v>
      </c>
      <c r="D433" s="500" t="s">
        <v>760</v>
      </c>
      <c r="E433" s="501">
        <v>-177127815.24000001</v>
      </c>
      <c r="F433" s="502" t="s">
        <v>879</v>
      </c>
      <c r="G433" s="100" t="s">
        <v>78</v>
      </c>
      <c r="H433" s="530"/>
      <c r="I433" s="525"/>
      <c r="K433" s="548"/>
      <c r="L433" s="548"/>
      <c r="M433" s="548"/>
      <c r="N433" s="552"/>
      <c r="Y433" s="551"/>
    </row>
    <row r="434" spans="1:25">
      <c r="A434" s="499">
        <v>45502</v>
      </c>
      <c r="B434" s="499">
        <v>45502</v>
      </c>
      <c r="C434" s="500" t="s">
        <v>173</v>
      </c>
      <c r="D434" s="500" t="s">
        <v>760</v>
      </c>
      <c r="E434" s="501">
        <v>-171087145.69999999</v>
      </c>
      <c r="F434" s="502" t="s">
        <v>879</v>
      </c>
      <c r="G434" s="100" t="s">
        <v>603</v>
      </c>
      <c r="H434" s="530"/>
      <c r="I434" s="525"/>
      <c r="K434" s="548"/>
      <c r="L434" s="548"/>
      <c r="M434" s="548"/>
      <c r="N434" s="552"/>
      <c r="Y434" s="551"/>
    </row>
    <row r="435" spans="1:25">
      <c r="A435" s="499">
        <v>45502</v>
      </c>
      <c r="B435" s="499">
        <v>45502</v>
      </c>
      <c r="C435" s="500" t="s">
        <v>173</v>
      </c>
      <c r="D435" s="500" t="s">
        <v>760</v>
      </c>
      <c r="E435" s="501">
        <v>-186153970.80000001</v>
      </c>
      <c r="F435" s="502" t="s">
        <v>879</v>
      </c>
      <c r="G435" s="100" t="s">
        <v>825</v>
      </c>
      <c r="H435" s="530"/>
      <c r="I435" s="525"/>
      <c r="K435" s="548"/>
      <c r="L435" s="548"/>
      <c r="M435" s="548"/>
      <c r="N435" s="552"/>
      <c r="Y435" s="551"/>
    </row>
    <row r="436" spans="1:25">
      <c r="A436" s="499">
        <v>45502</v>
      </c>
      <c r="B436" s="499">
        <v>45502</v>
      </c>
      <c r="C436" s="500" t="s">
        <v>173</v>
      </c>
      <c r="D436" s="500" t="s">
        <v>760</v>
      </c>
      <c r="E436" s="501">
        <v>-265141503.63999999</v>
      </c>
      <c r="F436" s="502" t="s">
        <v>879</v>
      </c>
      <c r="G436" s="100" t="s">
        <v>414</v>
      </c>
      <c r="H436" s="530"/>
      <c r="I436" s="525"/>
      <c r="K436" s="548"/>
      <c r="L436" s="548"/>
      <c r="M436" s="548"/>
      <c r="N436" s="552"/>
      <c r="Y436" s="551"/>
    </row>
    <row r="437" spans="1:25">
      <c r="A437" s="499">
        <v>45502</v>
      </c>
      <c r="B437" s="499">
        <v>45502</v>
      </c>
      <c r="C437" s="500" t="s">
        <v>173</v>
      </c>
      <c r="D437" s="500" t="s">
        <v>760</v>
      </c>
      <c r="E437" s="501">
        <v>-262101730.66999999</v>
      </c>
      <c r="F437" s="502" t="s">
        <v>879</v>
      </c>
      <c r="G437" s="100" t="s">
        <v>595</v>
      </c>
      <c r="H437" s="530"/>
      <c r="I437" s="525"/>
      <c r="K437" s="548"/>
      <c r="L437" s="548"/>
      <c r="M437" s="548"/>
      <c r="N437" s="552"/>
      <c r="Y437" s="551"/>
    </row>
    <row r="438" spans="1:25">
      <c r="A438" s="499">
        <v>45502</v>
      </c>
      <c r="B438" s="499">
        <v>45502</v>
      </c>
      <c r="C438" s="500" t="s">
        <v>173</v>
      </c>
      <c r="D438" s="500" t="s">
        <v>760</v>
      </c>
      <c r="E438" s="501">
        <v>-230146705.5</v>
      </c>
      <c r="F438" s="502" t="s">
        <v>879</v>
      </c>
      <c r="G438" s="100" t="s">
        <v>417</v>
      </c>
      <c r="H438" s="530"/>
      <c r="I438" s="525"/>
      <c r="K438" s="548"/>
      <c r="L438" s="548"/>
      <c r="M438" s="548"/>
      <c r="N438" s="552"/>
      <c r="Y438" s="551"/>
    </row>
    <row r="439" spans="1:25">
      <c r="A439" s="499">
        <v>45502</v>
      </c>
      <c r="B439" s="499">
        <v>45502</v>
      </c>
      <c r="C439" s="500" t="s">
        <v>173</v>
      </c>
      <c r="D439" s="500" t="s">
        <v>760</v>
      </c>
      <c r="E439" s="501">
        <v>-235135548</v>
      </c>
      <c r="F439" s="502" t="s">
        <v>879</v>
      </c>
      <c r="G439" s="100" t="s">
        <v>589</v>
      </c>
      <c r="H439" s="530"/>
      <c r="I439" s="525"/>
      <c r="K439" s="548"/>
      <c r="L439" s="548"/>
      <c r="M439" s="548"/>
      <c r="N439" s="552"/>
      <c r="Y439" s="551"/>
    </row>
    <row r="440" spans="1:25">
      <c r="A440" s="499">
        <v>45502</v>
      </c>
      <c r="B440" s="499">
        <v>45502</v>
      </c>
      <c r="C440" s="500" t="s">
        <v>173</v>
      </c>
      <c r="D440" s="500" t="s">
        <v>760</v>
      </c>
      <c r="E440" s="501">
        <v>-244000567.78999999</v>
      </c>
      <c r="F440" s="502" t="s">
        <v>879</v>
      </c>
      <c r="G440" s="100" t="s">
        <v>84</v>
      </c>
      <c r="H440" s="530"/>
      <c r="I440" s="525"/>
      <c r="K440" s="548"/>
      <c r="L440" s="548"/>
      <c r="M440" s="548"/>
      <c r="N440" s="552"/>
      <c r="Y440" s="551"/>
    </row>
    <row r="441" spans="1:25">
      <c r="A441" s="499">
        <v>45502</v>
      </c>
      <c r="B441" s="499">
        <v>45502</v>
      </c>
      <c r="C441" s="500" t="s">
        <v>173</v>
      </c>
      <c r="D441" s="500" t="s">
        <v>760</v>
      </c>
      <c r="E441" s="501">
        <v>-229132502.15000001</v>
      </c>
      <c r="F441" s="502" t="s">
        <v>879</v>
      </c>
      <c r="G441" s="100" t="s">
        <v>605</v>
      </c>
      <c r="H441" s="530"/>
      <c r="I441" s="525"/>
      <c r="K441" s="548"/>
      <c r="L441" s="548"/>
      <c r="M441" s="548"/>
      <c r="N441" s="552"/>
      <c r="Y441" s="551"/>
    </row>
    <row r="442" spans="1:25">
      <c r="A442" s="499">
        <v>45502</v>
      </c>
      <c r="B442" s="499">
        <v>45502</v>
      </c>
      <c r="C442" s="500" t="s">
        <v>173</v>
      </c>
      <c r="D442" s="500" t="s">
        <v>760</v>
      </c>
      <c r="E442" s="501">
        <v>-252145161.58000001</v>
      </c>
      <c r="F442" s="502" t="s">
        <v>879</v>
      </c>
      <c r="G442" s="100" t="s">
        <v>446</v>
      </c>
      <c r="H442" s="530"/>
      <c r="I442" s="525"/>
      <c r="K442" s="548"/>
      <c r="L442" s="548"/>
      <c r="M442" s="548"/>
      <c r="N442" s="552"/>
      <c r="Y442" s="551"/>
    </row>
    <row r="443" spans="1:25">
      <c r="A443" s="499">
        <v>45502</v>
      </c>
      <c r="B443" s="499">
        <v>45502</v>
      </c>
      <c r="C443" s="500" t="s">
        <v>173</v>
      </c>
      <c r="D443" s="500" t="s">
        <v>760</v>
      </c>
      <c r="E443" s="501">
        <v>-265192093.19999999</v>
      </c>
      <c r="F443" s="502" t="s">
        <v>879</v>
      </c>
      <c r="G443" s="100" t="s">
        <v>87</v>
      </c>
      <c r="H443" s="530"/>
      <c r="I443" s="525"/>
      <c r="K443" s="548"/>
      <c r="L443" s="548"/>
      <c r="M443" s="548"/>
      <c r="N443" s="552"/>
      <c r="Y443" s="551"/>
    </row>
    <row r="444" spans="1:25">
      <c r="A444" s="499">
        <v>45502</v>
      </c>
      <c r="B444" s="499">
        <v>45502</v>
      </c>
      <c r="C444" s="500" t="s">
        <v>173</v>
      </c>
      <c r="D444" s="500" t="s">
        <v>760</v>
      </c>
      <c r="E444" s="501">
        <v>-222128049.59999999</v>
      </c>
      <c r="F444" s="502" t="s">
        <v>879</v>
      </c>
      <c r="G444" s="100" t="s">
        <v>589</v>
      </c>
      <c r="H444" s="530"/>
      <c r="I444" s="525"/>
      <c r="K444" s="548"/>
      <c r="L444" s="548"/>
      <c r="M444" s="548"/>
      <c r="N444" s="552"/>
      <c r="Y444" s="551"/>
    </row>
    <row r="445" spans="1:25">
      <c r="A445" s="499">
        <v>45502</v>
      </c>
      <c r="B445" s="499">
        <v>45502</v>
      </c>
      <c r="C445" s="500" t="s">
        <v>173</v>
      </c>
      <c r="D445" s="500" t="s">
        <v>760</v>
      </c>
      <c r="E445" s="501">
        <v>-220173625.97999999</v>
      </c>
      <c r="F445" s="502" t="s">
        <v>879</v>
      </c>
      <c r="G445" s="100" t="s">
        <v>599</v>
      </c>
      <c r="H445" s="530"/>
      <c r="I445" s="525"/>
      <c r="K445" s="548"/>
      <c r="L445" s="548"/>
      <c r="M445" s="548"/>
      <c r="N445" s="552"/>
      <c r="Y445" s="551"/>
    </row>
    <row r="446" spans="1:25">
      <c r="A446" s="499">
        <v>45502</v>
      </c>
      <c r="B446" s="499">
        <v>45502</v>
      </c>
      <c r="C446" s="500" t="s">
        <v>173</v>
      </c>
      <c r="D446" s="500" t="s">
        <v>760</v>
      </c>
      <c r="E446" s="501">
        <v>-283185253.5</v>
      </c>
      <c r="F446" s="502" t="s">
        <v>879</v>
      </c>
      <c r="G446" s="100" t="s">
        <v>820</v>
      </c>
      <c r="H446" s="530"/>
      <c r="I446" s="525"/>
      <c r="K446" s="548"/>
      <c r="L446" s="548"/>
      <c r="M446" s="548"/>
      <c r="N446" s="552"/>
      <c r="Y446" s="551"/>
    </row>
    <row r="447" spans="1:25">
      <c r="A447" s="499">
        <v>45502</v>
      </c>
      <c r="B447" s="499">
        <v>45502</v>
      </c>
      <c r="C447" s="500" t="s">
        <v>173</v>
      </c>
      <c r="D447" s="500" t="s">
        <v>760</v>
      </c>
      <c r="E447" s="501">
        <v>-63011346.549999997</v>
      </c>
      <c r="F447" s="502" t="s">
        <v>879</v>
      </c>
      <c r="G447" s="100" t="s">
        <v>548</v>
      </c>
      <c r="H447" s="530"/>
      <c r="I447" s="525"/>
      <c r="K447" s="548"/>
      <c r="L447" s="548"/>
      <c r="M447" s="548"/>
      <c r="N447" s="552"/>
      <c r="Y447" s="551"/>
    </row>
    <row r="448" spans="1:25">
      <c r="A448" s="499">
        <v>45502</v>
      </c>
      <c r="B448" s="499">
        <v>45502</v>
      </c>
      <c r="C448" s="500" t="s">
        <v>173</v>
      </c>
      <c r="D448" s="500" t="s">
        <v>760</v>
      </c>
      <c r="E448" s="501">
        <v>-22001504</v>
      </c>
      <c r="F448" s="502" t="s">
        <v>879</v>
      </c>
      <c r="G448" s="100" t="s">
        <v>634</v>
      </c>
      <c r="H448" s="530"/>
      <c r="I448" s="525"/>
      <c r="K448" s="548"/>
      <c r="L448" s="548"/>
      <c r="M448" s="548"/>
      <c r="N448" s="552"/>
      <c r="Y448" s="551"/>
    </row>
    <row r="449" spans="1:25">
      <c r="A449" s="499">
        <v>45502</v>
      </c>
      <c r="B449" s="499">
        <v>45502</v>
      </c>
      <c r="C449" s="500" t="s">
        <v>173</v>
      </c>
      <c r="D449" s="500" t="s">
        <v>760</v>
      </c>
      <c r="E449" s="501">
        <v>-240212805.84</v>
      </c>
      <c r="F449" s="502" t="s">
        <v>879</v>
      </c>
      <c r="G449" s="100" t="s">
        <v>710</v>
      </c>
      <c r="H449" s="530"/>
      <c r="I449" s="525"/>
      <c r="K449" s="548"/>
      <c r="L449" s="548"/>
      <c r="M449" s="548"/>
      <c r="N449" s="552"/>
      <c r="Y449" s="551"/>
    </row>
    <row r="450" spans="1:25">
      <c r="A450" s="499">
        <v>45502</v>
      </c>
      <c r="B450" s="499">
        <v>45503</v>
      </c>
      <c r="C450" s="500" t="s">
        <v>173</v>
      </c>
      <c r="D450" s="500" t="s">
        <v>760</v>
      </c>
      <c r="E450" s="501">
        <v>153158156.74000001</v>
      </c>
      <c r="F450" s="502" t="s">
        <v>879</v>
      </c>
      <c r="G450" s="100" t="s">
        <v>591</v>
      </c>
      <c r="H450" s="530"/>
      <c r="I450" s="525"/>
      <c r="K450" s="548"/>
      <c r="L450" s="548"/>
      <c r="M450" s="548"/>
      <c r="N450" s="552"/>
      <c r="Y450" s="551"/>
    </row>
    <row r="451" spans="1:25">
      <c r="A451" s="499">
        <v>45502</v>
      </c>
      <c r="B451" s="499">
        <v>45503</v>
      </c>
      <c r="C451" s="500" t="s">
        <v>173</v>
      </c>
      <c r="D451" s="500" t="s">
        <v>760</v>
      </c>
      <c r="E451" s="501">
        <v>124148456.34</v>
      </c>
      <c r="F451" s="502" t="s">
        <v>879</v>
      </c>
      <c r="G451" s="100" t="s">
        <v>825</v>
      </c>
      <c r="H451" s="530"/>
      <c r="I451" s="525"/>
      <c r="K451" s="548"/>
      <c r="L451" s="548"/>
      <c r="M451" s="548"/>
      <c r="N451" s="552"/>
      <c r="Y451" s="551"/>
    </row>
    <row r="452" spans="1:25">
      <c r="A452" s="499">
        <v>45502</v>
      </c>
      <c r="B452" s="499">
        <v>45503</v>
      </c>
      <c r="C452" s="500" t="s">
        <v>173</v>
      </c>
      <c r="D452" s="500" t="s">
        <v>760</v>
      </c>
      <c r="E452" s="501">
        <v>152072467.93000001</v>
      </c>
      <c r="F452" s="502" t="s">
        <v>879</v>
      </c>
      <c r="G452" s="100" t="s">
        <v>601</v>
      </c>
      <c r="H452" s="530"/>
      <c r="I452" s="525"/>
      <c r="K452" s="548"/>
      <c r="L452" s="548"/>
      <c r="M452" s="548"/>
      <c r="N452" s="552"/>
      <c r="Y452" s="551"/>
    </row>
    <row r="453" spans="1:25">
      <c r="A453" s="499">
        <v>45502</v>
      </c>
      <c r="B453" s="499">
        <v>45503</v>
      </c>
      <c r="C453" s="500" t="s">
        <v>173</v>
      </c>
      <c r="D453" s="500" t="s">
        <v>760</v>
      </c>
      <c r="E453" s="501">
        <v>135147353.78</v>
      </c>
      <c r="F453" s="502" t="s">
        <v>879</v>
      </c>
      <c r="G453" s="100" t="s">
        <v>78</v>
      </c>
      <c r="H453" s="530"/>
      <c r="I453" s="525"/>
      <c r="K453" s="548"/>
      <c r="L453" s="548"/>
      <c r="M453" s="548"/>
      <c r="N453" s="552"/>
      <c r="Y453" s="551"/>
    </row>
    <row r="454" spans="1:25">
      <c r="A454" s="499">
        <v>45502</v>
      </c>
      <c r="B454" s="499">
        <v>45503</v>
      </c>
      <c r="C454" s="500" t="s">
        <v>173</v>
      </c>
      <c r="D454" s="500" t="s">
        <v>760</v>
      </c>
      <c r="E454" s="501">
        <v>128160286.06</v>
      </c>
      <c r="F454" s="502" t="s">
        <v>879</v>
      </c>
      <c r="G454" s="100" t="s">
        <v>77</v>
      </c>
      <c r="H454" s="530"/>
      <c r="I454" s="525"/>
      <c r="K454" s="548"/>
      <c r="L454" s="548"/>
      <c r="M454" s="548"/>
      <c r="N454" s="552"/>
      <c r="Y454" s="551"/>
    </row>
    <row r="455" spans="1:25">
      <c r="A455" s="499">
        <v>45502</v>
      </c>
      <c r="B455" s="499">
        <v>45503</v>
      </c>
      <c r="C455" s="500" t="s">
        <v>173</v>
      </c>
      <c r="D455" s="500" t="s">
        <v>760</v>
      </c>
      <c r="E455" s="501">
        <v>189077384.69999999</v>
      </c>
      <c r="F455" s="502" t="s">
        <v>879</v>
      </c>
      <c r="G455" s="100" t="s">
        <v>597</v>
      </c>
      <c r="H455" s="530"/>
      <c r="I455" s="525"/>
      <c r="K455" s="548"/>
      <c r="L455" s="548"/>
      <c r="M455" s="548"/>
      <c r="N455" s="552"/>
      <c r="Y455" s="551"/>
    </row>
    <row r="456" spans="1:25">
      <c r="A456" s="499">
        <v>45502</v>
      </c>
      <c r="B456" s="499">
        <v>45503</v>
      </c>
      <c r="C456" s="500" t="s">
        <v>173</v>
      </c>
      <c r="D456" s="500" t="s">
        <v>760</v>
      </c>
      <c r="E456" s="501">
        <v>177123788.99000001</v>
      </c>
      <c r="F456" s="502" t="s">
        <v>879</v>
      </c>
      <c r="G456" s="100" t="s">
        <v>68</v>
      </c>
      <c r="H456" s="530"/>
      <c r="I456" s="525"/>
      <c r="K456" s="548"/>
      <c r="L456" s="548"/>
      <c r="M456" s="548"/>
      <c r="N456" s="552"/>
      <c r="Y456" s="551"/>
    </row>
    <row r="457" spans="1:25">
      <c r="A457" s="499">
        <v>45502</v>
      </c>
      <c r="B457" s="499">
        <v>45503</v>
      </c>
      <c r="C457" s="500" t="s">
        <v>173</v>
      </c>
      <c r="D457" s="500" t="s">
        <v>760</v>
      </c>
      <c r="E457" s="501">
        <v>180158208.31</v>
      </c>
      <c r="F457" s="502" t="s">
        <v>879</v>
      </c>
      <c r="G457" s="100" t="s">
        <v>603</v>
      </c>
      <c r="H457" s="530"/>
      <c r="I457" s="525"/>
      <c r="K457" s="548"/>
      <c r="L457" s="548"/>
      <c r="M457" s="548"/>
      <c r="N457" s="552"/>
      <c r="Y457" s="551"/>
    </row>
    <row r="458" spans="1:25">
      <c r="A458" s="499">
        <v>45502</v>
      </c>
      <c r="B458" s="499">
        <v>45503</v>
      </c>
      <c r="C458" s="500" t="s">
        <v>173</v>
      </c>
      <c r="D458" s="500" t="s">
        <v>760</v>
      </c>
      <c r="E458" s="501">
        <v>159157069.78</v>
      </c>
      <c r="F458" s="502" t="s">
        <v>879</v>
      </c>
      <c r="G458" s="100" t="s">
        <v>91</v>
      </c>
      <c r="H458" s="530"/>
      <c r="I458" s="525"/>
      <c r="K458" s="548"/>
      <c r="L458" s="548"/>
      <c r="M458" s="548"/>
      <c r="N458" s="552"/>
      <c r="Y458" s="551"/>
    </row>
    <row r="459" spans="1:25">
      <c r="A459" s="499">
        <v>45502</v>
      </c>
      <c r="B459" s="499">
        <v>45503</v>
      </c>
      <c r="C459" s="500" t="s">
        <v>173</v>
      </c>
      <c r="D459" s="500" t="s">
        <v>760</v>
      </c>
      <c r="E459" s="501">
        <v>200177490.03999999</v>
      </c>
      <c r="F459" s="502" t="s">
        <v>879</v>
      </c>
      <c r="G459" s="100" t="s">
        <v>683</v>
      </c>
      <c r="H459" s="530"/>
      <c r="I459" s="525"/>
      <c r="K459" s="548"/>
      <c r="L459" s="548"/>
      <c r="M459" s="548"/>
      <c r="N459" s="552"/>
      <c r="Y459" s="551"/>
    </row>
    <row r="460" spans="1:25">
      <c r="A460" s="499">
        <v>45502</v>
      </c>
      <c r="B460" s="499">
        <v>45503</v>
      </c>
      <c r="C460" s="500" t="s">
        <v>173</v>
      </c>
      <c r="D460" s="500" t="s">
        <v>760</v>
      </c>
      <c r="E460" s="501">
        <v>219197821.83000001</v>
      </c>
      <c r="F460" s="502" t="s">
        <v>879</v>
      </c>
      <c r="G460" s="100" t="s">
        <v>414</v>
      </c>
      <c r="H460" s="530"/>
      <c r="I460" s="525"/>
      <c r="K460" s="548"/>
      <c r="L460" s="548"/>
      <c r="M460" s="548"/>
      <c r="N460" s="552"/>
      <c r="Y460" s="551"/>
    </row>
    <row r="461" spans="1:25">
      <c r="A461" s="499">
        <v>45502</v>
      </c>
      <c r="B461" s="499">
        <v>45503</v>
      </c>
      <c r="C461" s="500" t="s">
        <v>173</v>
      </c>
      <c r="D461" s="500" t="s">
        <v>760</v>
      </c>
      <c r="E461" s="501">
        <v>206282118.66999999</v>
      </c>
      <c r="F461" s="502" t="s">
        <v>879</v>
      </c>
      <c r="G461" s="100" t="s">
        <v>655</v>
      </c>
      <c r="H461" s="530"/>
      <c r="I461" s="525"/>
      <c r="K461" s="548"/>
      <c r="L461" s="548"/>
      <c r="M461" s="548"/>
      <c r="N461" s="552"/>
      <c r="Y461" s="551"/>
    </row>
    <row r="462" spans="1:25">
      <c r="A462" s="499">
        <v>45502</v>
      </c>
      <c r="B462" s="499">
        <v>45503</v>
      </c>
      <c r="C462" s="500" t="s">
        <v>173</v>
      </c>
      <c r="D462" s="500" t="s">
        <v>760</v>
      </c>
      <c r="E462" s="501">
        <v>200188649.96000001</v>
      </c>
      <c r="F462" s="502" t="s">
        <v>879</v>
      </c>
      <c r="G462" s="100" t="s">
        <v>422</v>
      </c>
      <c r="H462" s="530"/>
      <c r="I462" s="525"/>
      <c r="K462" s="548"/>
      <c r="L462" s="548"/>
      <c r="M462" s="548"/>
      <c r="N462" s="552"/>
      <c r="Y462" s="551"/>
    </row>
    <row r="463" spans="1:25">
      <c r="A463" s="499">
        <v>45502</v>
      </c>
      <c r="B463" s="499">
        <v>45503</v>
      </c>
      <c r="C463" s="500" t="s">
        <v>173</v>
      </c>
      <c r="D463" s="500" t="s">
        <v>760</v>
      </c>
      <c r="E463" s="501">
        <v>177193197.18000001</v>
      </c>
      <c r="F463" s="502" t="s">
        <v>879</v>
      </c>
      <c r="G463" s="100" t="s">
        <v>78</v>
      </c>
      <c r="H463" s="530"/>
      <c r="I463" s="525"/>
      <c r="K463" s="548"/>
      <c r="L463" s="548"/>
      <c r="M463" s="548"/>
      <c r="N463" s="552"/>
      <c r="Y463" s="551"/>
    </row>
    <row r="464" spans="1:25">
      <c r="A464" s="499">
        <v>45502</v>
      </c>
      <c r="B464" s="499">
        <v>45503</v>
      </c>
      <c r="C464" s="500" t="s">
        <v>173</v>
      </c>
      <c r="D464" s="500" t="s">
        <v>760</v>
      </c>
      <c r="E464" s="501">
        <v>171150297.88999999</v>
      </c>
      <c r="F464" s="502" t="s">
        <v>879</v>
      </c>
      <c r="G464" s="100" t="s">
        <v>603</v>
      </c>
      <c r="H464" s="530"/>
      <c r="I464" s="525"/>
      <c r="K464" s="548"/>
      <c r="L464" s="548"/>
      <c r="M464" s="548"/>
      <c r="N464" s="552"/>
      <c r="Y464" s="551"/>
    </row>
    <row r="465" spans="1:25">
      <c r="A465" s="499">
        <v>45502</v>
      </c>
      <c r="B465" s="499">
        <v>45503</v>
      </c>
      <c r="C465" s="500" t="s">
        <v>173</v>
      </c>
      <c r="D465" s="500" t="s">
        <v>760</v>
      </c>
      <c r="E465" s="501">
        <v>186222684.5</v>
      </c>
      <c r="F465" s="502" t="s">
        <v>879</v>
      </c>
      <c r="G465" s="100" t="s">
        <v>825</v>
      </c>
      <c r="H465" s="530"/>
      <c r="I465" s="525"/>
      <c r="K465" s="548"/>
      <c r="L465" s="548"/>
      <c r="M465" s="548"/>
      <c r="N465" s="552"/>
      <c r="Y465" s="551"/>
    </row>
    <row r="466" spans="1:25">
      <c r="A466" s="499">
        <v>45502</v>
      </c>
      <c r="B466" s="499">
        <v>45503</v>
      </c>
      <c r="C466" s="500" t="s">
        <v>173</v>
      </c>
      <c r="D466" s="500" t="s">
        <v>760</v>
      </c>
      <c r="E466" s="501">
        <v>265239373.44999999</v>
      </c>
      <c r="F466" s="502" t="s">
        <v>879</v>
      </c>
      <c r="G466" s="100" t="s">
        <v>414</v>
      </c>
      <c r="H466" s="530"/>
      <c r="I466" s="525"/>
      <c r="K466" s="548"/>
      <c r="L466" s="548"/>
      <c r="M466" s="548"/>
      <c r="N466" s="552"/>
      <c r="Y466" s="551"/>
    </row>
    <row r="467" spans="1:25">
      <c r="A467" s="499">
        <v>45502</v>
      </c>
      <c r="B467" s="499">
        <v>45503</v>
      </c>
      <c r="C467" s="500" t="s">
        <v>173</v>
      </c>
      <c r="D467" s="500" t="s">
        <v>760</v>
      </c>
      <c r="E467" s="501">
        <v>262198478.43000001</v>
      </c>
      <c r="F467" s="502" t="s">
        <v>879</v>
      </c>
      <c r="G467" s="100" t="s">
        <v>595</v>
      </c>
      <c r="H467" s="530"/>
      <c r="I467" s="525"/>
      <c r="K467" s="548"/>
      <c r="L467" s="548"/>
      <c r="M467" s="548"/>
      <c r="N467" s="552"/>
      <c r="Y467" s="551"/>
    </row>
    <row r="468" spans="1:25">
      <c r="A468" s="499">
        <v>45502</v>
      </c>
      <c r="B468" s="499">
        <v>45503</v>
      </c>
      <c r="C468" s="500" t="s">
        <v>173</v>
      </c>
      <c r="D468" s="500" t="s">
        <v>760</v>
      </c>
      <c r="E468" s="501">
        <v>230231657.93000001</v>
      </c>
      <c r="F468" s="502" t="s">
        <v>879</v>
      </c>
      <c r="G468" s="100" t="s">
        <v>417</v>
      </c>
      <c r="H468" s="530"/>
      <c r="I468" s="525"/>
      <c r="K468" s="548"/>
      <c r="L468" s="548"/>
      <c r="M468" s="548"/>
      <c r="N468" s="552"/>
      <c r="Y468" s="551"/>
    </row>
    <row r="469" spans="1:25">
      <c r="A469" s="499">
        <v>45502</v>
      </c>
      <c r="B469" s="499">
        <v>45503</v>
      </c>
      <c r="C469" s="500" t="s">
        <v>173</v>
      </c>
      <c r="D469" s="500" t="s">
        <v>760</v>
      </c>
      <c r="E469" s="501">
        <v>235222341.93000001</v>
      </c>
      <c r="F469" s="502" t="s">
        <v>879</v>
      </c>
      <c r="G469" s="100" t="s">
        <v>589</v>
      </c>
      <c r="H469" s="530"/>
      <c r="I469" s="525"/>
      <c r="K469" s="548"/>
      <c r="L469" s="548"/>
      <c r="M469" s="548"/>
      <c r="N469" s="552"/>
      <c r="Y469" s="551"/>
    </row>
    <row r="470" spans="1:25">
      <c r="A470" s="499">
        <v>45502</v>
      </c>
      <c r="B470" s="499">
        <v>45503</v>
      </c>
      <c r="C470" s="500" t="s">
        <v>173</v>
      </c>
      <c r="D470" s="500" t="s">
        <v>760</v>
      </c>
      <c r="E470" s="501">
        <v>244090634</v>
      </c>
      <c r="F470" s="502" t="s">
        <v>879</v>
      </c>
      <c r="G470" s="100" t="s">
        <v>84</v>
      </c>
      <c r="H470" s="530"/>
      <c r="I470" s="525"/>
      <c r="K470" s="548"/>
      <c r="L470" s="548"/>
      <c r="M470" s="548"/>
      <c r="N470" s="552"/>
      <c r="Y470" s="551"/>
    </row>
    <row r="471" spans="1:25">
      <c r="A471" s="499">
        <v>45502</v>
      </c>
      <c r="B471" s="499">
        <v>45503</v>
      </c>
      <c r="C471" s="500" t="s">
        <v>173</v>
      </c>
      <c r="D471" s="500" t="s">
        <v>760</v>
      </c>
      <c r="E471" s="501">
        <v>229217080.22</v>
      </c>
      <c r="F471" s="502" t="s">
        <v>879</v>
      </c>
      <c r="G471" s="100" t="s">
        <v>605</v>
      </c>
      <c r="H471" s="530">
        <v>-1</v>
      </c>
      <c r="I471" s="525"/>
      <c r="K471" s="548"/>
      <c r="L471" s="548"/>
      <c r="M471" s="548"/>
      <c r="N471" s="552"/>
      <c r="Y471" s="551"/>
    </row>
    <row r="472" spans="1:25">
      <c r="A472" s="499">
        <v>45502</v>
      </c>
      <c r="B472" s="499">
        <v>45503</v>
      </c>
      <c r="C472" s="500" t="s">
        <v>173</v>
      </c>
      <c r="D472" s="500" t="s">
        <v>760</v>
      </c>
      <c r="E472" s="501">
        <v>252238234.15000001</v>
      </c>
      <c r="F472" s="502" t="s">
        <v>879</v>
      </c>
      <c r="G472" s="100" t="s">
        <v>446</v>
      </c>
      <c r="H472" s="530"/>
      <c r="I472" s="525"/>
      <c r="K472" s="548"/>
      <c r="L472" s="548"/>
      <c r="M472" s="548"/>
      <c r="N472" s="552"/>
      <c r="Y472" s="551"/>
    </row>
    <row r="473" spans="1:25">
      <c r="A473" s="499">
        <v>45502</v>
      </c>
      <c r="B473" s="499">
        <v>45503</v>
      </c>
      <c r="C473" s="500" t="s">
        <v>173</v>
      </c>
      <c r="D473" s="500" t="s">
        <v>760</v>
      </c>
      <c r="E473" s="501">
        <v>265289981.69</v>
      </c>
      <c r="F473" s="502" t="s">
        <v>879</v>
      </c>
      <c r="G473" s="100" t="s">
        <v>87</v>
      </c>
      <c r="H473" s="530"/>
      <c r="I473" s="525"/>
      <c r="K473" s="548"/>
      <c r="L473" s="548"/>
      <c r="M473" s="548"/>
      <c r="N473" s="552"/>
      <c r="Y473" s="551"/>
    </row>
    <row r="474" spans="1:25">
      <c r="A474" s="499">
        <v>45502</v>
      </c>
      <c r="B474" s="499">
        <v>45503</v>
      </c>
      <c r="C474" s="500" t="s">
        <v>173</v>
      </c>
      <c r="D474" s="500" t="s">
        <v>760</v>
      </c>
      <c r="E474" s="501">
        <v>222210042.16</v>
      </c>
      <c r="F474" s="502" t="s">
        <v>879</v>
      </c>
      <c r="G474" s="100" t="s">
        <v>589</v>
      </c>
      <c r="H474" s="530"/>
      <c r="I474" s="525"/>
      <c r="K474" s="548"/>
      <c r="L474" s="548"/>
      <c r="M474" s="548"/>
      <c r="N474" s="552"/>
      <c r="Y474" s="551"/>
    </row>
    <row r="475" spans="1:25">
      <c r="A475" s="499">
        <v>45502</v>
      </c>
      <c r="B475" s="499">
        <v>45503</v>
      </c>
      <c r="C475" s="500" t="s">
        <v>173</v>
      </c>
      <c r="D475" s="500" t="s">
        <v>760</v>
      </c>
      <c r="E475" s="501">
        <v>220254897.12</v>
      </c>
      <c r="F475" s="502" t="s">
        <v>879</v>
      </c>
      <c r="G475" s="100" t="s">
        <v>599</v>
      </c>
      <c r="H475" s="530"/>
      <c r="I475" s="525"/>
      <c r="K475" s="548"/>
      <c r="L475" s="548"/>
      <c r="M475" s="548"/>
      <c r="N475" s="552"/>
      <c r="Y475" s="551"/>
    </row>
    <row r="476" spans="1:25">
      <c r="A476" s="499">
        <v>45502</v>
      </c>
      <c r="B476" s="499">
        <v>45503</v>
      </c>
      <c r="C476" s="500" t="s">
        <v>173</v>
      </c>
      <c r="D476" s="500" t="s">
        <v>760</v>
      </c>
      <c r="E476" s="501">
        <v>283289783.68000001</v>
      </c>
      <c r="F476" s="502" t="s">
        <v>879</v>
      </c>
      <c r="G476" s="100" t="s">
        <v>820</v>
      </c>
      <c r="H476" s="530"/>
      <c r="I476" s="525"/>
      <c r="K476" s="548"/>
      <c r="L476" s="548"/>
      <c r="M476" s="548"/>
      <c r="N476" s="552"/>
      <c r="Y476" s="551"/>
    </row>
    <row r="477" spans="1:25">
      <c r="A477" s="499">
        <v>45502</v>
      </c>
      <c r="B477" s="499">
        <v>45503</v>
      </c>
      <c r="C477" s="500" t="s">
        <v>173</v>
      </c>
      <c r="D477" s="500" t="s">
        <v>760</v>
      </c>
      <c r="E477" s="501">
        <v>63034605.479999997</v>
      </c>
      <c r="F477" s="502" t="s">
        <v>879</v>
      </c>
      <c r="G477" s="100" t="s">
        <v>548</v>
      </c>
      <c r="H477" s="530"/>
      <c r="I477" s="525"/>
      <c r="K477" s="548"/>
      <c r="L477" s="548"/>
      <c r="M477" s="548"/>
      <c r="N477" s="552"/>
      <c r="Y477" s="551"/>
    </row>
    <row r="478" spans="1:25">
      <c r="A478" s="499">
        <v>45502</v>
      </c>
      <c r="B478" s="499">
        <v>45503</v>
      </c>
      <c r="C478" s="500" t="s">
        <v>173</v>
      </c>
      <c r="D478" s="500" t="s">
        <v>760</v>
      </c>
      <c r="E478" s="501">
        <v>22009739.539999999</v>
      </c>
      <c r="F478" s="502" t="s">
        <v>879</v>
      </c>
      <c r="G478" s="100" t="s">
        <v>634</v>
      </c>
      <c r="H478" s="530"/>
      <c r="I478" s="525"/>
      <c r="K478" s="548"/>
      <c r="L478" s="548"/>
      <c r="M478" s="548"/>
      <c r="N478" s="552"/>
      <c r="Y478" s="551"/>
    </row>
    <row r="479" spans="1:25">
      <c r="A479" s="499">
        <v>45502</v>
      </c>
      <c r="B479" s="499">
        <v>45503</v>
      </c>
      <c r="C479" s="500" t="s">
        <v>173</v>
      </c>
      <c r="D479" s="500" t="s">
        <v>760</v>
      </c>
      <c r="E479" s="501">
        <v>240300752.59999999</v>
      </c>
      <c r="F479" s="502" t="s">
        <v>879</v>
      </c>
      <c r="G479" s="100" t="s">
        <v>710</v>
      </c>
      <c r="H479" s="530"/>
      <c r="I479" s="525"/>
      <c r="K479" s="548"/>
      <c r="L479" s="548"/>
      <c r="M479" s="548"/>
      <c r="N479" s="552"/>
      <c r="Y479" s="551"/>
    </row>
    <row r="480" spans="1:25">
      <c r="A480" s="499">
        <v>45502</v>
      </c>
      <c r="B480" s="499">
        <v>45502</v>
      </c>
      <c r="C480" s="500" t="s">
        <v>173</v>
      </c>
      <c r="D480" s="500" t="s">
        <v>764</v>
      </c>
      <c r="E480" s="501">
        <v>-325168394.19999999</v>
      </c>
      <c r="F480" s="502" t="s">
        <v>879</v>
      </c>
      <c r="G480" s="100" t="s">
        <v>682</v>
      </c>
      <c r="H480" s="530"/>
      <c r="I480" s="525"/>
      <c r="K480" s="548"/>
      <c r="L480" s="548"/>
      <c r="M480" s="548"/>
      <c r="N480" s="552"/>
      <c r="Y480" s="551"/>
    </row>
    <row r="481" spans="1:25">
      <c r="A481" s="499">
        <v>45502</v>
      </c>
      <c r="B481" s="499">
        <v>45502</v>
      </c>
      <c r="C481" s="500" t="s">
        <v>173</v>
      </c>
      <c r="D481" s="500" t="s">
        <v>764</v>
      </c>
      <c r="E481" s="501">
        <v>-816862279.44000006</v>
      </c>
      <c r="F481" s="502" t="s">
        <v>879</v>
      </c>
      <c r="G481" s="100" t="s">
        <v>798</v>
      </c>
      <c r="H481" s="530"/>
      <c r="I481" s="525"/>
      <c r="K481" s="548"/>
      <c r="L481" s="548"/>
      <c r="M481" s="548"/>
      <c r="N481" s="552"/>
      <c r="Y481" s="551"/>
    </row>
    <row r="482" spans="1:25">
      <c r="A482" s="499">
        <v>45502</v>
      </c>
      <c r="B482" s="499">
        <v>45502</v>
      </c>
      <c r="C482" s="500" t="s">
        <v>173</v>
      </c>
      <c r="D482" s="500" t="s">
        <v>764</v>
      </c>
      <c r="E482" s="501">
        <v>-682088321.73000002</v>
      </c>
      <c r="F482" s="502" t="s">
        <v>879</v>
      </c>
      <c r="G482" s="100" t="s">
        <v>701</v>
      </c>
      <c r="H482" s="530"/>
      <c r="I482" s="525"/>
      <c r="K482" s="548"/>
      <c r="L482" s="548"/>
      <c r="M482" s="548"/>
      <c r="N482" s="552"/>
      <c r="Y482" s="551"/>
    </row>
    <row r="483" spans="1:25">
      <c r="A483" s="499">
        <v>45502</v>
      </c>
      <c r="B483" s="499">
        <v>45503</v>
      </c>
      <c r="C483" s="500" t="s">
        <v>173</v>
      </c>
      <c r="D483" s="500" t="s">
        <v>764</v>
      </c>
      <c r="E483" s="501">
        <v>325287889.13999999</v>
      </c>
      <c r="F483" s="502" t="s">
        <v>879</v>
      </c>
      <c r="G483" s="100" t="s">
        <v>682</v>
      </c>
      <c r="H483" s="530"/>
      <c r="I483" s="525"/>
      <c r="K483" s="548"/>
      <c r="L483" s="548"/>
      <c r="M483" s="548"/>
      <c r="N483" s="552"/>
      <c r="Y483" s="551"/>
    </row>
    <row r="484" spans="1:25">
      <c r="A484" s="499">
        <v>45502</v>
      </c>
      <c r="B484" s="499">
        <v>45503</v>
      </c>
      <c r="C484" s="500" t="s">
        <v>173</v>
      </c>
      <c r="D484" s="500" t="s">
        <v>764</v>
      </c>
      <c r="E484" s="501">
        <v>817154653.63999999</v>
      </c>
      <c r="F484" s="502" t="s">
        <v>879</v>
      </c>
      <c r="G484" s="100" t="s">
        <v>798</v>
      </c>
      <c r="H484" s="530"/>
      <c r="I484" s="525"/>
      <c r="K484" s="548"/>
      <c r="L484" s="548"/>
      <c r="M484" s="548"/>
      <c r="N484" s="552"/>
      <c r="Y484" s="551"/>
    </row>
    <row r="485" spans="1:25">
      <c r="A485" s="499">
        <v>45502</v>
      </c>
      <c r="B485" s="499">
        <v>45503</v>
      </c>
      <c r="C485" s="500" t="s">
        <v>173</v>
      </c>
      <c r="D485" s="500" t="s">
        <v>764</v>
      </c>
      <c r="E485" s="501">
        <v>682332457.16999996</v>
      </c>
      <c r="F485" s="502" t="s">
        <v>879</v>
      </c>
      <c r="G485" s="100" t="s">
        <v>701</v>
      </c>
      <c r="H485" s="530"/>
      <c r="I485" s="525"/>
      <c r="K485" s="548"/>
      <c r="L485" s="548"/>
      <c r="M485" s="548"/>
      <c r="N485" s="552"/>
      <c r="Y485" s="551"/>
    </row>
    <row r="486" spans="1:25">
      <c r="A486" s="499">
        <v>45502</v>
      </c>
      <c r="B486" s="499">
        <v>45502</v>
      </c>
      <c r="C486" s="500" t="s">
        <v>173</v>
      </c>
      <c r="D486" s="500" t="s">
        <v>763</v>
      </c>
      <c r="E486" s="501">
        <v>-1000758.06</v>
      </c>
      <c r="F486" s="502" t="s">
        <v>879</v>
      </c>
      <c r="G486" s="100" t="s">
        <v>83</v>
      </c>
      <c r="H486" s="530"/>
      <c r="I486" s="525"/>
      <c r="K486" s="548"/>
      <c r="L486" s="548"/>
      <c r="M486" s="548"/>
      <c r="N486" s="552"/>
      <c r="Y486" s="551"/>
    </row>
    <row r="487" spans="1:25">
      <c r="A487" s="499">
        <v>45502</v>
      </c>
      <c r="B487" s="499">
        <v>45502</v>
      </c>
      <c r="C487" s="500" t="s">
        <v>173</v>
      </c>
      <c r="D487" s="500" t="s">
        <v>763</v>
      </c>
      <c r="E487" s="501">
        <v>-597044769.63</v>
      </c>
      <c r="F487" s="502" t="s">
        <v>879</v>
      </c>
      <c r="G487" s="100" t="s">
        <v>890</v>
      </c>
      <c r="H487" s="530"/>
      <c r="I487" s="525"/>
      <c r="K487" s="548"/>
      <c r="L487" s="548"/>
      <c r="M487" s="548"/>
      <c r="N487" s="552"/>
      <c r="Y487" s="551"/>
    </row>
    <row r="488" spans="1:25">
      <c r="A488" s="499">
        <v>45502</v>
      </c>
      <c r="B488" s="499">
        <v>45502</v>
      </c>
      <c r="C488" s="500" t="s">
        <v>173</v>
      </c>
      <c r="D488" s="500" t="s">
        <v>763</v>
      </c>
      <c r="E488" s="501">
        <v>-4369506107.5699987</v>
      </c>
      <c r="F488" s="502" t="s">
        <v>879</v>
      </c>
      <c r="G488" s="100" t="s">
        <v>498</v>
      </c>
      <c r="H488" s="530"/>
      <c r="I488" s="525"/>
      <c r="K488" s="548"/>
      <c r="L488" s="548"/>
      <c r="M488" s="548"/>
      <c r="N488" s="552"/>
      <c r="Y488" s="551"/>
    </row>
    <row r="489" spans="1:25">
      <c r="A489" s="499">
        <v>45502</v>
      </c>
      <c r="B489" s="499">
        <v>45502</v>
      </c>
      <c r="C489" s="500" t="s">
        <v>173</v>
      </c>
      <c r="D489" s="500" t="s">
        <v>763</v>
      </c>
      <c r="E489" s="501">
        <v>-1044000568.349999</v>
      </c>
      <c r="F489" s="502" t="s">
        <v>879</v>
      </c>
      <c r="G489" s="100" t="s">
        <v>795</v>
      </c>
      <c r="H489" s="530"/>
      <c r="I489" s="525"/>
      <c r="K489" s="548"/>
      <c r="L489" s="548"/>
      <c r="M489" s="548"/>
      <c r="N489" s="552"/>
      <c r="Y489" s="551"/>
    </row>
    <row r="490" spans="1:25">
      <c r="A490" s="499">
        <v>45502</v>
      </c>
      <c r="B490" s="499">
        <v>45502</v>
      </c>
      <c r="C490" s="500" t="s">
        <v>173</v>
      </c>
      <c r="D490" s="500" t="s">
        <v>763</v>
      </c>
      <c r="E490" s="501">
        <v>-23014670.550000001</v>
      </c>
      <c r="F490" s="502" t="s">
        <v>879</v>
      </c>
      <c r="G490" s="100" t="s">
        <v>417</v>
      </c>
      <c r="H490" s="530"/>
      <c r="I490" s="525"/>
      <c r="K490" s="548"/>
      <c r="L490" s="548"/>
      <c r="M490" s="548"/>
      <c r="N490" s="552"/>
      <c r="Y490" s="551"/>
    </row>
    <row r="491" spans="1:25">
      <c r="A491" s="499">
        <v>45502</v>
      </c>
      <c r="B491" s="499">
        <v>45502</v>
      </c>
      <c r="C491" s="500" t="s">
        <v>173</v>
      </c>
      <c r="D491" s="500" t="s">
        <v>763</v>
      </c>
      <c r="E491" s="501">
        <v>-996009462</v>
      </c>
      <c r="F491" s="502" t="s">
        <v>879</v>
      </c>
      <c r="G491" s="100" t="s">
        <v>139</v>
      </c>
      <c r="H491" s="530"/>
      <c r="I491" s="525"/>
      <c r="K491" s="548"/>
      <c r="L491" s="548"/>
      <c r="M491" s="548"/>
      <c r="N491" s="552"/>
      <c r="Y491" s="551"/>
    </row>
    <row r="492" spans="1:25">
      <c r="A492" s="499">
        <v>45502</v>
      </c>
      <c r="B492" s="499">
        <v>45502</v>
      </c>
      <c r="C492" s="500" t="s">
        <v>173</v>
      </c>
      <c r="D492" s="500" t="s">
        <v>763</v>
      </c>
      <c r="E492" s="501">
        <v>-4000038</v>
      </c>
      <c r="F492" s="502" t="s">
        <v>879</v>
      </c>
      <c r="G492" s="100" t="s">
        <v>139</v>
      </c>
      <c r="H492" s="530"/>
      <c r="I492" s="525"/>
      <c r="K492" s="548"/>
      <c r="L492" s="548"/>
      <c r="M492" s="548"/>
      <c r="N492" s="552"/>
      <c r="Y492" s="551"/>
    </row>
    <row r="493" spans="1:25">
      <c r="A493" s="499">
        <v>45502</v>
      </c>
      <c r="B493" s="499">
        <v>45502</v>
      </c>
      <c r="C493" s="500" t="s">
        <v>173</v>
      </c>
      <c r="D493" s="500" t="s">
        <v>763</v>
      </c>
      <c r="E493" s="501">
        <v>-200001900</v>
      </c>
      <c r="F493" s="502" t="s">
        <v>879</v>
      </c>
      <c r="G493" s="100" t="s">
        <v>139</v>
      </c>
      <c r="H493" s="530"/>
      <c r="I493" s="525"/>
      <c r="K493" s="548"/>
      <c r="L493" s="548"/>
      <c r="M493" s="548"/>
      <c r="N493" s="552"/>
      <c r="Y493" s="551"/>
    </row>
    <row r="494" spans="1:25">
      <c r="A494" s="499">
        <v>45502</v>
      </c>
      <c r="B494" s="499">
        <v>45503</v>
      </c>
      <c r="C494" s="500" t="s">
        <v>173</v>
      </c>
      <c r="D494" s="500" t="s">
        <v>763</v>
      </c>
      <c r="E494" s="501">
        <v>1001121.73</v>
      </c>
      <c r="F494" s="502" t="s">
        <v>879</v>
      </c>
      <c r="G494" s="100" t="s">
        <v>83</v>
      </c>
      <c r="H494" s="530"/>
      <c r="I494" s="525"/>
      <c r="K494" s="548"/>
      <c r="L494" s="548"/>
      <c r="M494" s="548"/>
      <c r="N494" s="552"/>
      <c r="Y494" s="551"/>
    </row>
    <row r="495" spans="1:25">
      <c r="A495" s="499">
        <v>45502</v>
      </c>
      <c r="B495" s="499">
        <v>45503</v>
      </c>
      <c r="C495" s="500" t="s">
        <v>173</v>
      </c>
      <c r="D495" s="500" t="s">
        <v>763</v>
      </c>
      <c r="E495" s="501">
        <v>597267437.97000003</v>
      </c>
      <c r="F495" s="502" t="s">
        <v>879</v>
      </c>
      <c r="G495" s="100" t="s">
        <v>890</v>
      </c>
      <c r="H495" s="530"/>
      <c r="I495" s="525"/>
      <c r="K495" s="548"/>
      <c r="L495" s="548"/>
      <c r="M495" s="548"/>
      <c r="N495" s="552"/>
      <c r="Y495" s="551"/>
    </row>
    <row r="496" spans="1:25">
      <c r="A496" s="499">
        <v>45502</v>
      </c>
      <c r="B496" s="499">
        <v>45503</v>
      </c>
      <c r="C496" s="500" t="s">
        <v>173</v>
      </c>
      <c r="D496" s="500" t="s">
        <v>763</v>
      </c>
      <c r="E496" s="501">
        <v>4371135718.4499998</v>
      </c>
      <c r="F496" s="502" t="s">
        <v>879</v>
      </c>
      <c r="G496" s="100" t="s">
        <v>498</v>
      </c>
      <c r="H496" s="530"/>
      <c r="I496" s="525"/>
      <c r="K496" s="548"/>
      <c r="L496" s="548"/>
      <c r="M496" s="548"/>
      <c r="N496" s="552"/>
      <c r="Y496" s="551"/>
    </row>
    <row r="497" spans="1:25">
      <c r="A497" s="499">
        <v>45502</v>
      </c>
      <c r="B497" s="499">
        <v>45503</v>
      </c>
      <c r="C497" s="500" t="s">
        <v>173</v>
      </c>
      <c r="D497" s="500" t="s">
        <v>763</v>
      </c>
      <c r="E497" s="501">
        <v>1044388520.1</v>
      </c>
      <c r="F497" s="502" t="s">
        <v>879</v>
      </c>
      <c r="G497" s="100" t="s">
        <v>795</v>
      </c>
      <c r="H497" s="530"/>
      <c r="I497" s="525"/>
      <c r="K497" s="548"/>
      <c r="L497" s="548"/>
      <c r="M497" s="548"/>
      <c r="N497" s="552"/>
      <c r="Y497" s="551"/>
    </row>
    <row r="498" spans="1:25">
      <c r="A498" s="499">
        <v>45502</v>
      </c>
      <c r="B498" s="499">
        <v>45503</v>
      </c>
      <c r="C498" s="500" t="s">
        <v>173</v>
      </c>
      <c r="D498" s="500" t="s">
        <v>763</v>
      </c>
      <c r="E498" s="501">
        <v>23023253.949999999</v>
      </c>
      <c r="F498" s="502" t="s">
        <v>879</v>
      </c>
      <c r="G498" s="100" t="s">
        <v>417</v>
      </c>
      <c r="H498" s="530"/>
      <c r="I498" s="525"/>
      <c r="K498" s="548"/>
      <c r="L498" s="548"/>
      <c r="M498" s="548"/>
      <c r="N498" s="552"/>
      <c r="Y498" s="551"/>
    </row>
    <row r="499" spans="1:25">
      <c r="A499" s="499">
        <v>45502</v>
      </c>
      <c r="B499" s="499">
        <v>45503</v>
      </c>
      <c r="C499" s="500" t="s">
        <v>173</v>
      </c>
      <c r="D499" s="500" t="s">
        <v>763</v>
      </c>
      <c r="E499" s="501">
        <v>996381468.80999994</v>
      </c>
      <c r="F499" s="502" t="s">
        <v>879</v>
      </c>
      <c r="G499" s="100" t="s">
        <v>139</v>
      </c>
      <c r="H499" s="530">
        <v>-1</v>
      </c>
      <c r="I499" s="525"/>
      <c r="K499" s="548"/>
      <c r="L499" s="548"/>
      <c r="M499" s="548"/>
      <c r="N499" s="552"/>
      <c r="Y499" s="551"/>
    </row>
    <row r="500" spans="1:25">
      <c r="A500" s="499">
        <v>45502</v>
      </c>
      <c r="B500" s="499">
        <v>45503</v>
      </c>
      <c r="C500" s="500" t="s">
        <v>173</v>
      </c>
      <c r="D500" s="500" t="s">
        <v>763</v>
      </c>
      <c r="E500" s="501">
        <v>4001532</v>
      </c>
      <c r="F500" s="502" t="s">
        <v>879</v>
      </c>
      <c r="G500" s="100" t="s">
        <v>139</v>
      </c>
      <c r="H500" s="530"/>
      <c r="I500" s="525"/>
      <c r="K500" s="548"/>
      <c r="L500" s="548"/>
      <c r="M500" s="548"/>
      <c r="N500" s="552"/>
      <c r="Y500" s="551"/>
    </row>
    <row r="501" spans="1:25">
      <c r="A501" s="499">
        <v>45502</v>
      </c>
      <c r="B501" s="499">
        <v>45503</v>
      </c>
      <c r="C501" s="500" t="s">
        <v>173</v>
      </c>
      <c r="D501" s="500" t="s">
        <v>763</v>
      </c>
      <c r="E501" s="501">
        <v>200074578.83000001</v>
      </c>
      <c r="F501" s="502" t="s">
        <v>879</v>
      </c>
      <c r="G501" s="100" t="s">
        <v>139</v>
      </c>
      <c r="H501" s="530"/>
      <c r="I501" s="525"/>
      <c r="K501" s="548"/>
      <c r="L501" s="548"/>
      <c r="M501" s="548"/>
      <c r="N501" s="552"/>
      <c r="Y501" s="551"/>
    </row>
    <row r="502" spans="1:25">
      <c r="A502" s="499">
        <v>45503</v>
      </c>
      <c r="B502" s="499">
        <v>45503</v>
      </c>
      <c r="C502" s="500" t="s">
        <v>173</v>
      </c>
      <c r="D502" s="500" t="s">
        <v>762</v>
      </c>
      <c r="E502" s="501">
        <v>-3080321404.1599998</v>
      </c>
      <c r="F502" s="502" t="s">
        <v>879</v>
      </c>
      <c r="G502" s="100" t="s">
        <v>695</v>
      </c>
      <c r="H502" s="530"/>
      <c r="I502" s="525"/>
      <c r="K502" s="548"/>
      <c r="L502" s="548"/>
      <c r="M502" s="548"/>
      <c r="N502" s="552"/>
      <c r="Y502" s="551"/>
    </row>
    <row r="503" spans="1:25">
      <c r="A503" s="499">
        <v>45503</v>
      </c>
      <c r="B503" s="499">
        <v>45503</v>
      </c>
      <c r="C503" s="500" t="s">
        <v>173</v>
      </c>
      <c r="D503" s="500" t="s">
        <v>762</v>
      </c>
      <c r="E503" s="501">
        <v>-2772009011.77</v>
      </c>
      <c r="F503" s="502" t="s">
        <v>879</v>
      </c>
      <c r="G503" s="100" t="s">
        <v>681</v>
      </c>
      <c r="H503" s="530"/>
      <c r="I503" s="525"/>
      <c r="K503" s="548"/>
      <c r="L503" s="548"/>
      <c r="M503" s="548"/>
      <c r="N503" s="552"/>
      <c r="Y503" s="551"/>
    </row>
    <row r="504" spans="1:25">
      <c r="A504" s="499">
        <v>45503</v>
      </c>
      <c r="B504" s="499">
        <v>45503</v>
      </c>
      <c r="C504" s="500" t="s">
        <v>173</v>
      </c>
      <c r="D504" s="500" t="s">
        <v>762</v>
      </c>
      <c r="E504" s="501">
        <v>-2488044933.8800001</v>
      </c>
      <c r="F504" s="502" t="s">
        <v>879</v>
      </c>
      <c r="G504" s="100" t="s">
        <v>703</v>
      </c>
      <c r="H504" s="530"/>
      <c r="I504" s="525"/>
      <c r="K504" s="548"/>
      <c r="L504" s="548"/>
      <c r="M504" s="548"/>
      <c r="N504" s="552"/>
      <c r="Y504" s="551"/>
    </row>
    <row r="505" spans="1:25">
      <c r="A505" s="499">
        <v>45503</v>
      </c>
      <c r="B505" s="499">
        <v>45503</v>
      </c>
      <c r="C505" s="500" t="s">
        <v>173</v>
      </c>
      <c r="D505" s="500" t="s">
        <v>762</v>
      </c>
      <c r="E505" s="501">
        <v>-2455912896.6599998</v>
      </c>
      <c r="F505" s="502" t="s">
        <v>879</v>
      </c>
      <c r="G505" s="100" t="s">
        <v>671</v>
      </c>
      <c r="H505" s="530"/>
      <c r="I505" s="525"/>
      <c r="K505" s="548"/>
      <c r="L505" s="548"/>
      <c r="M505" s="548"/>
      <c r="N505" s="552"/>
      <c r="Y505" s="551"/>
    </row>
    <row r="506" spans="1:25">
      <c r="A506" s="499">
        <v>45503</v>
      </c>
      <c r="B506" s="499">
        <v>45503</v>
      </c>
      <c r="C506" s="500" t="s">
        <v>173</v>
      </c>
      <c r="D506" s="500" t="s">
        <v>762</v>
      </c>
      <c r="E506" s="501">
        <v>-1038553200.02</v>
      </c>
      <c r="F506" s="502" t="s">
        <v>879</v>
      </c>
      <c r="G506" s="100" t="s">
        <v>723</v>
      </c>
      <c r="H506" s="530"/>
      <c r="I506" s="525"/>
      <c r="K506" s="548"/>
      <c r="L506" s="548"/>
      <c r="M506" s="548"/>
      <c r="N506" s="552"/>
      <c r="Y506" s="551"/>
    </row>
    <row r="507" spans="1:25">
      <c r="A507" s="499">
        <v>45503</v>
      </c>
      <c r="B507" s="499">
        <v>45503</v>
      </c>
      <c r="C507" s="500" t="s">
        <v>173</v>
      </c>
      <c r="D507" s="500" t="s">
        <v>762</v>
      </c>
      <c r="E507" s="501">
        <v>-49026114.450000003</v>
      </c>
      <c r="F507" s="502" t="s">
        <v>879</v>
      </c>
      <c r="G507" s="100" t="s">
        <v>723</v>
      </c>
      <c r="H507" s="530"/>
      <c r="I507" s="525"/>
      <c r="K507" s="548"/>
      <c r="L507" s="548"/>
      <c r="M507" s="548"/>
      <c r="N507" s="552"/>
      <c r="Y507" s="551"/>
    </row>
    <row r="508" spans="1:25">
      <c r="A508" s="499">
        <v>45503</v>
      </c>
      <c r="B508" s="499">
        <v>45504</v>
      </c>
      <c r="C508" s="500" t="s">
        <v>173</v>
      </c>
      <c r="D508" s="500" t="s">
        <v>762</v>
      </c>
      <c r="E508" s="501">
        <v>3081436632</v>
      </c>
      <c r="F508" s="502" t="s">
        <v>879</v>
      </c>
      <c r="G508" s="100" t="s">
        <v>695</v>
      </c>
      <c r="H508" s="530"/>
      <c r="I508" s="525"/>
      <c r="K508" s="548"/>
      <c r="L508" s="548"/>
      <c r="M508" s="548"/>
      <c r="N508" s="552"/>
      <c r="Y508" s="551"/>
    </row>
    <row r="509" spans="1:25">
      <c r="A509" s="499">
        <v>45503</v>
      </c>
      <c r="B509" s="499">
        <v>45504</v>
      </c>
      <c r="C509" s="500" t="s">
        <v>173</v>
      </c>
      <c r="D509" s="500" t="s">
        <v>762</v>
      </c>
      <c r="E509" s="501">
        <v>2773012615.3600001</v>
      </c>
      <c r="F509" s="502" t="s">
        <v>879</v>
      </c>
      <c r="G509" s="100" t="s">
        <v>681</v>
      </c>
      <c r="H509" s="530"/>
      <c r="I509" s="525"/>
      <c r="K509" s="548"/>
      <c r="L509" s="548"/>
      <c r="M509" s="548"/>
      <c r="N509" s="552"/>
      <c r="Y509" s="551"/>
    </row>
    <row r="510" spans="1:25">
      <c r="A510" s="499">
        <v>45503</v>
      </c>
      <c r="B510" s="499">
        <v>45504</v>
      </c>
      <c r="C510" s="500" t="s">
        <v>173</v>
      </c>
      <c r="D510" s="500" t="s">
        <v>762</v>
      </c>
      <c r="E510" s="501">
        <v>2488945728.5100002</v>
      </c>
      <c r="F510" s="502" t="s">
        <v>879</v>
      </c>
      <c r="G510" s="100" t="s">
        <v>703</v>
      </c>
      <c r="H510" s="530"/>
      <c r="I510" s="525"/>
      <c r="K510" s="548"/>
      <c r="L510" s="548"/>
      <c r="M510" s="548"/>
      <c r="N510" s="552"/>
      <c r="Y510" s="551"/>
    </row>
    <row r="511" spans="1:25">
      <c r="A511" s="499">
        <v>45503</v>
      </c>
      <c r="B511" s="499">
        <v>45504</v>
      </c>
      <c r="C511" s="500" t="s">
        <v>173</v>
      </c>
      <c r="D511" s="500" t="s">
        <v>762</v>
      </c>
      <c r="E511" s="501">
        <v>2456802057.9099998</v>
      </c>
      <c r="F511" s="502" t="s">
        <v>879</v>
      </c>
      <c r="G511" s="100" t="s">
        <v>671</v>
      </c>
      <c r="H511" s="530"/>
      <c r="I511" s="525"/>
      <c r="K511" s="548"/>
      <c r="L511" s="548"/>
      <c r="M511" s="548"/>
      <c r="N511" s="552"/>
      <c r="Y511" s="551"/>
    </row>
    <row r="512" spans="1:25">
      <c r="A512" s="499">
        <v>45503</v>
      </c>
      <c r="B512" s="499">
        <v>45504</v>
      </c>
      <c r="C512" s="500" t="s">
        <v>173</v>
      </c>
      <c r="D512" s="500" t="s">
        <v>762</v>
      </c>
      <c r="E512" s="501">
        <v>1038929207.35</v>
      </c>
      <c r="F512" s="502" t="s">
        <v>879</v>
      </c>
      <c r="G512" s="100" t="s">
        <v>723</v>
      </c>
      <c r="H512" s="530"/>
      <c r="I512" s="525"/>
      <c r="K512" s="548"/>
      <c r="L512" s="548"/>
      <c r="M512" s="548"/>
      <c r="N512" s="552"/>
      <c r="Y512" s="551"/>
    </row>
    <row r="513" spans="1:25">
      <c r="A513" s="499">
        <v>45503</v>
      </c>
      <c r="B513" s="499">
        <v>45504</v>
      </c>
      <c r="C513" s="500" t="s">
        <v>173</v>
      </c>
      <c r="D513" s="500" t="s">
        <v>762</v>
      </c>
      <c r="E513" s="501">
        <v>49043864.310000002</v>
      </c>
      <c r="F513" s="502" t="s">
        <v>879</v>
      </c>
      <c r="G513" s="100" t="s">
        <v>723</v>
      </c>
      <c r="H513" s="530"/>
      <c r="I513" s="525"/>
      <c r="K513" s="548"/>
      <c r="L513" s="548"/>
      <c r="M513" s="548"/>
      <c r="N513" s="552"/>
      <c r="Y513" s="551"/>
    </row>
    <row r="514" spans="1:25">
      <c r="A514" s="499">
        <v>45499</v>
      </c>
      <c r="B514" s="499">
        <v>45503</v>
      </c>
      <c r="C514" s="500" t="s">
        <v>173</v>
      </c>
      <c r="D514" s="500" t="s">
        <v>762</v>
      </c>
      <c r="E514" s="501">
        <v>-1886150000</v>
      </c>
      <c r="F514" s="502" t="s">
        <v>906</v>
      </c>
      <c r="G514" s="100" t="s">
        <v>86</v>
      </c>
      <c r="H514" s="530"/>
      <c r="I514" s="525" t="s">
        <v>685</v>
      </c>
      <c r="K514" s="548">
        <v>113525270</v>
      </c>
      <c r="L514" s="549">
        <v>90.707499999999996</v>
      </c>
      <c r="M514" s="549">
        <f>E514*(-1)/(N514*O514)*100</f>
        <v>94.307500000000005</v>
      </c>
      <c r="N514" s="549">
        <v>2000000</v>
      </c>
      <c r="O514" s="539">
        <v>1000</v>
      </c>
      <c r="T514" s="549">
        <v>13.4</v>
      </c>
      <c r="U514" s="538">
        <v>0</v>
      </c>
      <c r="V514" s="538">
        <v>188615</v>
      </c>
      <c r="W514" s="550">
        <f>VLOOKUP(G514,Справочник!A:C,3,0)</f>
        <v>0.09</v>
      </c>
      <c r="X514" s="539" t="str">
        <f>VLOOKUP(G514,Справочник!A:G,7,0)</f>
        <v>Министерство финансов Республики Казахстан</v>
      </c>
      <c r="Y514" s="551" t="str">
        <f>VLOOKUP(G514,Справочник!A:B,2,0)</f>
        <v>06.03.2027</v>
      </c>
    </row>
    <row r="515" spans="1:25">
      <c r="A515" s="499">
        <v>45503</v>
      </c>
      <c r="B515" s="499">
        <v>45503</v>
      </c>
      <c r="C515" s="500" t="s">
        <v>173</v>
      </c>
      <c r="D515" s="500" t="s">
        <v>759</v>
      </c>
      <c r="E515" s="501">
        <v>-541189120.08000004</v>
      </c>
      <c r="F515" s="502" t="s">
        <v>879</v>
      </c>
      <c r="G515" s="100" t="s">
        <v>679</v>
      </c>
      <c r="H515" s="484"/>
      <c r="I515" s="525"/>
      <c r="K515" s="548"/>
      <c r="L515" s="548"/>
      <c r="M515" s="548"/>
      <c r="N515" s="552"/>
      <c r="Y515" s="551"/>
    </row>
    <row r="516" spans="1:25">
      <c r="A516" s="499">
        <v>45503</v>
      </c>
      <c r="B516" s="499">
        <v>45503</v>
      </c>
      <c r="C516" s="500" t="s">
        <v>173</v>
      </c>
      <c r="D516" s="500" t="s">
        <v>759</v>
      </c>
      <c r="E516" s="501">
        <v>-8777705780.0300007</v>
      </c>
      <c r="F516" s="502" t="s">
        <v>879</v>
      </c>
      <c r="G516" s="100" t="s">
        <v>422</v>
      </c>
      <c r="H516" s="484"/>
      <c r="I516" s="525"/>
      <c r="K516" s="548"/>
      <c r="L516" s="548"/>
      <c r="M516" s="548"/>
      <c r="N516" s="552"/>
      <c r="Y516" s="551"/>
    </row>
    <row r="517" spans="1:25">
      <c r="A517" s="499">
        <v>45503</v>
      </c>
      <c r="B517" s="499">
        <v>45503</v>
      </c>
      <c r="C517" s="500" t="s">
        <v>173</v>
      </c>
      <c r="D517" s="500" t="s">
        <v>759</v>
      </c>
      <c r="E517" s="501">
        <v>-39002904.350000001</v>
      </c>
      <c r="F517" s="502" t="s">
        <v>879</v>
      </c>
      <c r="G517" s="100" t="s">
        <v>645</v>
      </c>
      <c r="H517" s="484"/>
      <c r="I517" s="525"/>
      <c r="K517" s="548"/>
      <c r="L517" s="548"/>
      <c r="M517" s="548"/>
      <c r="N517" s="552"/>
      <c r="Y517" s="551"/>
    </row>
    <row r="518" spans="1:25">
      <c r="A518" s="499">
        <v>45503</v>
      </c>
      <c r="B518" s="499">
        <v>45504</v>
      </c>
      <c r="C518" s="500" t="s">
        <v>173</v>
      </c>
      <c r="D518" s="500" t="s">
        <v>759</v>
      </c>
      <c r="E518" s="501">
        <v>541388888.36000001</v>
      </c>
      <c r="F518" s="502" t="s">
        <v>879</v>
      </c>
      <c r="G518" s="100" t="s">
        <v>679</v>
      </c>
      <c r="H518" s="530"/>
      <c r="I518" s="525"/>
      <c r="K518" s="548"/>
      <c r="L518" s="548"/>
      <c r="M518" s="548"/>
      <c r="N518" s="552"/>
      <c r="Y518" s="551"/>
    </row>
    <row r="519" spans="1:25">
      <c r="A519" s="499">
        <v>45503</v>
      </c>
      <c r="B519" s="499">
        <v>45504</v>
      </c>
      <c r="C519" s="500" t="s">
        <v>173</v>
      </c>
      <c r="D519" s="500" t="s">
        <v>759</v>
      </c>
      <c r="E519" s="501">
        <v>8780945880.6499996</v>
      </c>
      <c r="F519" s="502" t="s">
        <v>879</v>
      </c>
      <c r="G519" s="100" t="s">
        <v>422</v>
      </c>
      <c r="H519" s="530"/>
      <c r="I519" s="525"/>
      <c r="K519" s="548"/>
      <c r="L519" s="548"/>
      <c r="M519" s="548"/>
      <c r="N519" s="552"/>
      <c r="Y519" s="551"/>
    </row>
    <row r="520" spans="1:25">
      <c r="A520" s="499">
        <v>45503</v>
      </c>
      <c r="B520" s="499">
        <v>45504</v>
      </c>
      <c r="C520" s="500" t="s">
        <v>173</v>
      </c>
      <c r="D520" s="500" t="s">
        <v>759</v>
      </c>
      <c r="E520" s="501">
        <v>39017113.020000003</v>
      </c>
      <c r="F520" s="502" t="s">
        <v>879</v>
      </c>
      <c r="G520" s="100" t="s">
        <v>645</v>
      </c>
      <c r="H520" s="530"/>
      <c r="I520" s="525"/>
      <c r="K520" s="548"/>
      <c r="L520" s="548"/>
      <c r="M520" s="548"/>
      <c r="N520" s="552"/>
      <c r="Y520" s="551"/>
    </row>
    <row r="521" spans="1:25">
      <c r="A521" s="499">
        <v>45503</v>
      </c>
      <c r="B521" s="499">
        <v>45503</v>
      </c>
      <c r="C521" s="500" t="s">
        <v>173</v>
      </c>
      <c r="D521" s="500" t="s">
        <v>760</v>
      </c>
      <c r="E521" s="501">
        <v>-5769420736.3100004</v>
      </c>
      <c r="F521" s="502" t="s">
        <v>879</v>
      </c>
      <c r="G521" s="100" t="s">
        <v>634</v>
      </c>
      <c r="H521" s="530"/>
      <c r="I521" s="525"/>
      <c r="K521" s="548"/>
      <c r="L521" s="548"/>
      <c r="M521" s="548"/>
      <c r="N521" s="552"/>
      <c r="Y521" s="551"/>
    </row>
    <row r="522" spans="1:25">
      <c r="A522" s="499">
        <v>45503</v>
      </c>
      <c r="B522" s="499">
        <v>45503</v>
      </c>
      <c r="C522" s="500" t="s">
        <v>173</v>
      </c>
      <c r="D522" s="500" t="s">
        <v>760</v>
      </c>
      <c r="E522" s="501">
        <v>-15005669.25</v>
      </c>
      <c r="F522" s="502" t="s">
        <v>879</v>
      </c>
      <c r="G522" s="100" t="s">
        <v>498</v>
      </c>
      <c r="H522" s="530"/>
      <c r="I522" s="525"/>
      <c r="K522" s="548"/>
      <c r="L522" s="548"/>
      <c r="M522" s="548"/>
      <c r="N522" s="552"/>
      <c r="Y522" s="551"/>
    </row>
    <row r="523" spans="1:25">
      <c r="A523" s="499">
        <v>45503</v>
      </c>
      <c r="B523" s="499">
        <v>45503</v>
      </c>
      <c r="C523" s="500" t="s">
        <v>173</v>
      </c>
      <c r="D523" s="500" t="s">
        <v>760</v>
      </c>
      <c r="E523" s="501">
        <v>-8000595.7599999998</v>
      </c>
      <c r="F523" s="502" t="s">
        <v>879</v>
      </c>
      <c r="G523" s="100" t="s">
        <v>645</v>
      </c>
      <c r="H523" s="530"/>
      <c r="I523" s="525"/>
      <c r="K523" s="548"/>
      <c r="L523" s="548"/>
      <c r="M523" s="548"/>
      <c r="N523" s="552"/>
      <c r="Y523" s="551"/>
    </row>
    <row r="524" spans="1:25">
      <c r="A524" s="499">
        <v>45503</v>
      </c>
      <c r="B524" s="499">
        <v>45504</v>
      </c>
      <c r="C524" s="500" t="s">
        <v>173</v>
      </c>
      <c r="D524" s="500" t="s">
        <v>760</v>
      </c>
      <c r="E524" s="501">
        <v>5771564564.7799997</v>
      </c>
      <c r="F524" s="502" t="s">
        <v>879</v>
      </c>
      <c r="G524" s="100" t="s">
        <v>634</v>
      </c>
      <c r="H524" s="530"/>
      <c r="I524" s="525"/>
      <c r="K524" s="548"/>
      <c r="L524" s="548"/>
      <c r="M524" s="548"/>
      <c r="N524" s="552"/>
      <c r="Y524" s="551"/>
    </row>
    <row r="525" spans="1:25">
      <c r="A525" s="499">
        <v>45503</v>
      </c>
      <c r="B525" s="499">
        <v>45504</v>
      </c>
      <c r="C525" s="500" t="s">
        <v>173</v>
      </c>
      <c r="D525" s="500" t="s">
        <v>760</v>
      </c>
      <c r="E525" s="501">
        <v>15011122.17</v>
      </c>
      <c r="F525" s="502" t="s">
        <v>879</v>
      </c>
      <c r="G525" s="100" t="s">
        <v>498</v>
      </c>
      <c r="H525" s="530"/>
      <c r="I525" s="525"/>
      <c r="K525" s="548"/>
      <c r="L525" s="548"/>
      <c r="M525" s="548"/>
      <c r="N525" s="552"/>
      <c r="Y525" s="551"/>
    </row>
    <row r="526" spans="1:25">
      <c r="A526" s="499">
        <v>45503</v>
      </c>
      <c r="B526" s="499">
        <v>45504</v>
      </c>
      <c r="C526" s="500" t="s">
        <v>173</v>
      </c>
      <c r="D526" s="500" t="s">
        <v>760</v>
      </c>
      <c r="E526" s="501">
        <v>8003503.0800000001</v>
      </c>
      <c r="F526" s="502" t="s">
        <v>879</v>
      </c>
      <c r="G526" s="100" t="s">
        <v>645</v>
      </c>
      <c r="H526" s="530"/>
      <c r="I526" s="525"/>
      <c r="K526" s="548"/>
      <c r="L526" s="548"/>
      <c r="M526" s="548"/>
      <c r="N526" s="552"/>
      <c r="Y526" s="551"/>
    </row>
    <row r="527" spans="1:25">
      <c r="A527" s="499">
        <v>45503</v>
      </c>
      <c r="B527" s="499">
        <v>45503</v>
      </c>
      <c r="C527" s="500" t="s">
        <v>173</v>
      </c>
      <c r="D527" s="500" t="s">
        <v>764</v>
      </c>
      <c r="E527" s="501">
        <v>-537460376.53999996</v>
      </c>
      <c r="F527" s="502" t="s">
        <v>879</v>
      </c>
      <c r="G527" s="100" t="s">
        <v>686</v>
      </c>
      <c r="H527" s="530"/>
      <c r="I527" s="525"/>
      <c r="K527" s="548"/>
      <c r="L527" s="548"/>
      <c r="M527" s="548"/>
      <c r="N527" s="552"/>
      <c r="Y527" s="551"/>
    </row>
    <row r="528" spans="1:25">
      <c r="A528" s="499">
        <v>45503</v>
      </c>
      <c r="B528" s="499">
        <v>45503</v>
      </c>
      <c r="C528" s="500" t="s">
        <v>173</v>
      </c>
      <c r="D528" s="500" t="s">
        <v>764</v>
      </c>
      <c r="E528" s="501">
        <v>-283161069.44999999</v>
      </c>
      <c r="F528" s="502" t="s">
        <v>879</v>
      </c>
      <c r="G528" s="100" t="s">
        <v>685</v>
      </c>
      <c r="H528" s="530"/>
      <c r="I528" s="525"/>
      <c r="K528" s="548"/>
      <c r="L528" s="548"/>
      <c r="M528" s="548"/>
      <c r="N528" s="552"/>
      <c r="Y528" s="551"/>
    </row>
    <row r="529" spans="1:25">
      <c r="A529" s="499">
        <v>45503</v>
      </c>
      <c r="B529" s="499">
        <v>45503</v>
      </c>
      <c r="C529" s="500" t="s">
        <v>173</v>
      </c>
      <c r="D529" s="500" t="s">
        <v>764</v>
      </c>
      <c r="E529" s="501">
        <v>-1002074619.34</v>
      </c>
      <c r="F529" s="502" t="s">
        <v>879</v>
      </c>
      <c r="G529" s="100" t="s">
        <v>644</v>
      </c>
      <c r="H529" s="530"/>
      <c r="I529" s="525"/>
      <c r="K529" s="548"/>
      <c r="L529" s="548"/>
      <c r="M529" s="548"/>
      <c r="N529" s="552"/>
      <c r="Y529" s="551"/>
    </row>
    <row r="530" spans="1:25">
      <c r="A530" s="499">
        <v>45503</v>
      </c>
      <c r="B530" s="499">
        <v>45504</v>
      </c>
      <c r="C530" s="500" t="s">
        <v>173</v>
      </c>
      <c r="D530" s="500" t="s">
        <v>764</v>
      </c>
      <c r="E530" s="501">
        <v>537655684.64999998</v>
      </c>
      <c r="F530" s="502" t="s">
        <v>879</v>
      </c>
      <c r="G530" s="100" t="s">
        <v>686</v>
      </c>
      <c r="H530" s="530"/>
      <c r="I530" s="525"/>
      <c r="K530" s="548"/>
      <c r="L530" s="548"/>
      <c r="M530" s="548"/>
      <c r="N530" s="552"/>
      <c r="Y530" s="551"/>
    </row>
    <row r="531" spans="1:25">
      <c r="A531" s="499">
        <v>45503</v>
      </c>
      <c r="B531" s="499">
        <v>45504</v>
      </c>
      <c r="C531" s="500" t="s">
        <v>173</v>
      </c>
      <c r="D531" s="500" t="s">
        <v>764</v>
      </c>
      <c r="E531" s="501">
        <v>283263967.55000001</v>
      </c>
      <c r="F531" s="502" t="s">
        <v>879</v>
      </c>
      <c r="G531" s="100" t="s">
        <v>685</v>
      </c>
      <c r="H531" s="530"/>
      <c r="I531" s="525"/>
      <c r="K531" s="548"/>
      <c r="L531" s="548"/>
      <c r="M531" s="548"/>
      <c r="N531" s="552"/>
      <c r="Y531" s="551"/>
    </row>
    <row r="532" spans="1:25">
      <c r="A532" s="499">
        <v>45503</v>
      </c>
      <c r="B532" s="499">
        <v>45504</v>
      </c>
      <c r="C532" s="500" t="s">
        <v>173</v>
      </c>
      <c r="D532" s="500" t="s">
        <v>764</v>
      </c>
      <c r="E532" s="501">
        <v>1002449721.0599999</v>
      </c>
      <c r="F532" s="502" t="s">
        <v>879</v>
      </c>
      <c r="G532" s="100" t="s">
        <v>644</v>
      </c>
      <c r="H532" s="530"/>
      <c r="I532" s="525"/>
      <c r="K532" s="548"/>
      <c r="L532" s="548"/>
      <c r="M532" s="548"/>
      <c r="N532" s="552"/>
      <c r="Y532" s="551"/>
    </row>
    <row r="533" spans="1:25">
      <c r="A533" s="499">
        <v>45503</v>
      </c>
      <c r="B533" s="499">
        <v>45503</v>
      </c>
      <c r="C533" s="500" t="s">
        <v>173</v>
      </c>
      <c r="D533" s="500" t="s">
        <v>763</v>
      </c>
      <c r="E533" s="501">
        <v>-1286095768.9300001</v>
      </c>
      <c r="F533" s="502" t="s">
        <v>879</v>
      </c>
      <c r="G533" s="100" t="s">
        <v>645</v>
      </c>
      <c r="H533" s="530"/>
      <c r="I533" s="525"/>
      <c r="K533" s="548"/>
      <c r="L533" s="548"/>
      <c r="M533" s="548"/>
      <c r="N533" s="552"/>
      <c r="Y533" s="551"/>
    </row>
    <row r="534" spans="1:25">
      <c r="A534" s="499">
        <v>45503</v>
      </c>
      <c r="B534" s="499">
        <v>45503</v>
      </c>
      <c r="C534" s="500" t="s">
        <v>173</v>
      </c>
      <c r="D534" s="500" t="s">
        <v>763</v>
      </c>
      <c r="E534" s="501">
        <v>-26001936.23</v>
      </c>
      <c r="F534" s="502" t="s">
        <v>879</v>
      </c>
      <c r="G534" s="100" t="s">
        <v>645</v>
      </c>
      <c r="H534" s="530"/>
      <c r="I534" s="525"/>
      <c r="K534" s="548"/>
      <c r="L534" s="548"/>
      <c r="M534" s="548"/>
      <c r="N534" s="552"/>
      <c r="Y534" s="551"/>
    </row>
    <row r="535" spans="1:25">
      <c r="A535" s="499">
        <v>45503</v>
      </c>
      <c r="B535" s="499">
        <v>45503</v>
      </c>
      <c r="C535" s="500" t="s">
        <v>173</v>
      </c>
      <c r="D535" s="500" t="s">
        <v>763</v>
      </c>
      <c r="E535" s="501">
        <v>-4925066461.7399998</v>
      </c>
      <c r="F535" s="502" t="s">
        <v>879</v>
      </c>
      <c r="G535" s="100" t="s">
        <v>634</v>
      </c>
      <c r="H535" s="530"/>
      <c r="I535" s="525">
        <v>-1</v>
      </c>
      <c r="K535" s="548"/>
      <c r="L535" s="548"/>
      <c r="M535" s="548"/>
      <c r="N535" s="552"/>
      <c r="Y535" s="551"/>
    </row>
    <row r="536" spans="1:25">
      <c r="A536" s="499">
        <v>45503</v>
      </c>
      <c r="B536" s="499">
        <v>45504</v>
      </c>
      <c r="C536" s="500" t="s">
        <v>173</v>
      </c>
      <c r="D536" s="500" t="s">
        <v>763</v>
      </c>
      <c r="E536" s="501">
        <v>1286570499.9100001</v>
      </c>
      <c r="F536" s="502" t="s">
        <v>879</v>
      </c>
      <c r="G536" s="100" t="s">
        <v>645</v>
      </c>
      <c r="H536" s="530"/>
      <c r="I536" s="525"/>
      <c r="K536" s="548"/>
      <c r="L536" s="548"/>
      <c r="M536" s="548"/>
      <c r="N536" s="552"/>
      <c r="Y536" s="551"/>
    </row>
    <row r="537" spans="1:25">
      <c r="A537" s="499">
        <v>45503</v>
      </c>
      <c r="B537" s="499">
        <v>45504</v>
      </c>
      <c r="C537" s="500" t="s">
        <v>173</v>
      </c>
      <c r="D537" s="500" t="s">
        <v>763</v>
      </c>
      <c r="E537" s="501">
        <v>26011534.210000001</v>
      </c>
      <c r="F537" s="502" t="s">
        <v>879</v>
      </c>
      <c r="G537" s="100" t="s">
        <v>645</v>
      </c>
      <c r="H537" s="530"/>
      <c r="I537" s="525"/>
      <c r="K537" s="548"/>
      <c r="L537" s="548"/>
      <c r="M537" s="548"/>
      <c r="N537" s="552"/>
      <c r="Y537" s="551"/>
    </row>
    <row r="538" spans="1:25">
      <c r="A538" s="499">
        <v>45503</v>
      </c>
      <c r="B538" s="499">
        <v>45504</v>
      </c>
      <c r="C538" s="500" t="s">
        <v>173</v>
      </c>
      <c r="D538" s="500" t="s">
        <v>763</v>
      </c>
      <c r="E538" s="501">
        <v>4926884430.2600002</v>
      </c>
      <c r="F538" s="502" t="s">
        <v>879</v>
      </c>
      <c r="G538" s="100" t="s">
        <v>634</v>
      </c>
      <c r="H538" s="530"/>
      <c r="I538" s="525"/>
      <c r="K538" s="548"/>
      <c r="L538" s="548"/>
      <c r="M538" s="548"/>
      <c r="N538" s="552"/>
      <c r="Y538" s="551"/>
    </row>
    <row r="539" spans="1:25">
      <c r="A539" s="499">
        <v>45503</v>
      </c>
      <c r="B539" s="499">
        <v>45503</v>
      </c>
      <c r="C539" s="500" t="s">
        <v>173</v>
      </c>
      <c r="D539" s="500" t="s">
        <v>763</v>
      </c>
      <c r="E539" s="501">
        <v>-999999433.90999997</v>
      </c>
      <c r="F539" s="502" t="s">
        <v>906</v>
      </c>
      <c r="G539" s="100" t="s">
        <v>757</v>
      </c>
      <c r="H539" s="530"/>
      <c r="I539" s="525" t="s">
        <v>756</v>
      </c>
      <c r="K539" s="548">
        <v>113557930</v>
      </c>
      <c r="L539" s="549">
        <v>99.959800000000001</v>
      </c>
      <c r="M539" s="549">
        <f>E539*(-1)/(N539*O539)*100</f>
        <v>101.48188333331643</v>
      </c>
      <c r="N539" s="549">
        <v>985397</v>
      </c>
      <c r="O539" s="539">
        <f>VLOOKUP(G539,Справочник!A:J,10,0)</f>
        <v>1000</v>
      </c>
      <c r="T539" s="538">
        <v>14.05</v>
      </c>
      <c r="U539" s="538">
        <v>0</v>
      </c>
      <c r="V539" s="538">
        <v>0</v>
      </c>
      <c r="W539" s="550">
        <f>VLOOKUP(G539,Справочник!A:C,3,0)</f>
        <v>0.14050000000000001</v>
      </c>
      <c r="X539" s="539" t="str">
        <f>VLOOKUP(G539,Справочник!A:G,7,0)</f>
        <v>АО "Национальный управляющий холдинг "Байтерек"</v>
      </c>
      <c r="Y539" s="551">
        <f>VLOOKUP(G539,Справочник!A:B,2,0)</f>
        <v>45829</v>
      </c>
    </row>
    <row r="540" spans="1:25">
      <c r="A540" s="499">
        <v>45503</v>
      </c>
      <c r="B540" s="499">
        <v>45503</v>
      </c>
      <c r="C540" s="500" t="s">
        <v>173</v>
      </c>
      <c r="D540" s="500" t="s">
        <v>761</v>
      </c>
      <c r="E540" s="501">
        <v>-2000296512</v>
      </c>
      <c r="F540" s="502" t="s">
        <v>879</v>
      </c>
      <c r="G540" s="100" t="s">
        <v>799</v>
      </c>
      <c r="H540" s="530"/>
      <c r="I540" s="525"/>
      <c r="K540" s="548"/>
      <c r="L540" s="548"/>
      <c r="M540" s="548"/>
      <c r="N540" s="552"/>
      <c r="Y540" s="551"/>
    </row>
    <row r="541" spans="1:25">
      <c r="A541" s="499">
        <v>45503</v>
      </c>
      <c r="B541" s="499">
        <v>45503</v>
      </c>
      <c r="C541" s="500" t="s">
        <v>173</v>
      </c>
      <c r="D541" s="500" t="s">
        <v>761</v>
      </c>
      <c r="E541" s="501">
        <v>-10001482.560000001</v>
      </c>
      <c r="F541" s="502" t="s">
        <v>879</v>
      </c>
      <c r="G541" s="100" t="s">
        <v>799</v>
      </c>
      <c r="H541" s="530"/>
      <c r="I541" s="525"/>
      <c r="K541" s="548"/>
      <c r="L541" s="548"/>
      <c r="M541" s="548"/>
      <c r="N541" s="552"/>
      <c r="Y541" s="551"/>
    </row>
    <row r="542" spans="1:25">
      <c r="A542" s="499">
        <v>45503</v>
      </c>
      <c r="B542" s="499">
        <v>45503</v>
      </c>
      <c r="C542" s="500" t="s">
        <v>173</v>
      </c>
      <c r="D542" s="500" t="s">
        <v>761</v>
      </c>
      <c r="E542" s="501">
        <v>-202029947.71000001</v>
      </c>
      <c r="F542" s="502" t="s">
        <v>879</v>
      </c>
      <c r="G542" s="100" t="s">
        <v>799</v>
      </c>
      <c r="H542" s="530"/>
      <c r="I542" s="525"/>
      <c r="K542" s="548"/>
      <c r="L542" s="548"/>
      <c r="M542" s="548"/>
      <c r="N542" s="552"/>
      <c r="Y542" s="551"/>
    </row>
    <row r="543" spans="1:25">
      <c r="A543" s="499">
        <v>45503</v>
      </c>
      <c r="B543" s="499">
        <v>45510</v>
      </c>
      <c r="C543" s="500" t="s">
        <v>173</v>
      </c>
      <c r="D543" s="500" t="s">
        <v>761</v>
      </c>
      <c r="E543" s="501">
        <v>2005422954.97</v>
      </c>
      <c r="F543" s="502" t="s">
        <v>879</v>
      </c>
      <c r="G543" s="100" t="s">
        <v>799</v>
      </c>
      <c r="H543" s="530"/>
      <c r="I543" s="525"/>
      <c r="K543" s="548"/>
      <c r="L543" s="548"/>
      <c r="M543" s="548"/>
      <c r="N543" s="552"/>
      <c r="Y543" s="551"/>
    </row>
    <row r="544" spans="1:25">
      <c r="A544" s="499">
        <v>45503</v>
      </c>
      <c r="B544" s="499">
        <v>45510</v>
      </c>
      <c r="C544" s="500" t="s">
        <v>173</v>
      </c>
      <c r="D544" s="500" t="s">
        <v>761</v>
      </c>
      <c r="E544" s="501">
        <v>10027114.77</v>
      </c>
      <c r="F544" s="502" t="s">
        <v>879</v>
      </c>
      <c r="G544" s="100" t="s">
        <v>799</v>
      </c>
      <c r="H544" s="530"/>
      <c r="I544" s="525"/>
      <c r="K544" s="548"/>
      <c r="L544" s="548"/>
      <c r="M544" s="548"/>
      <c r="N544" s="552"/>
      <c r="Y544" s="551"/>
    </row>
    <row r="545" spans="1:25">
      <c r="A545" s="499">
        <v>45503</v>
      </c>
      <c r="B545" s="499">
        <v>45510</v>
      </c>
      <c r="C545" s="500" t="s">
        <v>173</v>
      </c>
      <c r="D545" s="500" t="s">
        <v>761</v>
      </c>
      <c r="E545" s="501">
        <v>202547718.44999999</v>
      </c>
      <c r="F545" s="502" t="s">
        <v>879</v>
      </c>
      <c r="G545" s="100" t="s">
        <v>799</v>
      </c>
      <c r="H545" s="530"/>
      <c r="I545" s="525"/>
      <c r="K545" s="548"/>
      <c r="L545" s="548"/>
      <c r="M545" s="548"/>
      <c r="N545" s="552"/>
      <c r="Y545" s="551"/>
    </row>
    <row r="546" spans="1:25">
      <c r="A546" s="499">
        <v>45504</v>
      </c>
      <c r="B546" s="499">
        <v>45504</v>
      </c>
      <c r="C546" s="500" t="s">
        <v>173</v>
      </c>
      <c r="D546" s="500" t="s">
        <v>762</v>
      </c>
      <c r="E546" s="501">
        <v>-11839028562.450001</v>
      </c>
      <c r="F546" s="502" t="s">
        <v>879</v>
      </c>
      <c r="G546" s="100" t="s">
        <v>805</v>
      </c>
      <c r="H546" s="530"/>
      <c r="I546" s="525"/>
      <c r="K546" s="548"/>
      <c r="L546" s="548"/>
      <c r="M546" s="548"/>
      <c r="N546" s="552"/>
      <c r="Y546" s="551"/>
    </row>
    <row r="547" spans="1:25">
      <c r="A547" s="499">
        <v>45504</v>
      </c>
      <c r="B547" s="499">
        <v>45504</v>
      </c>
      <c r="C547" s="500" t="s">
        <v>173</v>
      </c>
      <c r="D547" s="500" t="s">
        <v>762</v>
      </c>
      <c r="E547" s="501">
        <v>-48009590.350000001</v>
      </c>
      <c r="F547" s="502" t="s">
        <v>879</v>
      </c>
      <c r="G547" s="100" t="s">
        <v>630</v>
      </c>
      <c r="H547" s="530"/>
      <c r="I547" s="525"/>
      <c r="K547" s="548"/>
      <c r="L547" s="548"/>
      <c r="M547" s="548"/>
      <c r="N547" s="552"/>
      <c r="Y547" s="551"/>
    </row>
    <row r="548" spans="1:25">
      <c r="A548" s="499">
        <v>45504</v>
      </c>
      <c r="B548" s="499">
        <v>45505</v>
      </c>
      <c r="C548" s="500" t="s">
        <v>173</v>
      </c>
      <c r="D548" s="500" t="s">
        <v>762</v>
      </c>
      <c r="E548" s="501">
        <v>11843638020.290001</v>
      </c>
      <c r="F548" s="502" t="s">
        <v>879</v>
      </c>
      <c r="G548" s="100" t="s">
        <v>805</v>
      </c>
      <c r="H548" s="530"/>
      <c r="I548" s="525"/>
      <c r="K548" s="548"/>
      <c r="L548" s="548"/>
      <c r="M548" s="548"/>
      <c r="N548" s="552"/>
      <c r="Y548" s="551"/>
    </row>
    <row r="549" spans="1:25">
      <c r="A549" s="499">
        <v>45504</v>
      </c>
      <c r="B549" s="499">
        <v>45505</v>
      </c>
      <c r="C549" s="500" t="s">
        <v>173</v>
      </c>
      <c r="D549" s="500" t="s">
        <v>762</v>
      </c>
      <c r="E549" s="501">
        <v>48027561.149999999</v>
      </c>
      <c r="F549" s="502" t="s">
        <v>879</v>
      </c>
      <c r="G549" s="100" t="s">
        <v>630</v>
      </c>
      <c r="H549" s="530"/>
      <c r="I549" s="525"/>
      <c r="K549" s="548"/>
      <c r="L549" s="548"/>
      <c r="M549" s="548"/>
      <c r="N549" s="552"/>
      <c r="Y549" s="551"/>
    </row>
    <row r="550" spans="1:25">
      <c r="A550" s="499">
        <v>45504</v>
      </c>
      <c r="B550" s="499">
        <v>45504</v>
      </c>
      <c r="C550" s="500" t="s">
        <v>173</v>
      </c>
      <c r="D550" s="500" t="s">
        <v>761</v>
      </c>
      <c r="E550" s="501">
        <v>-8002602.4199999999</v>
      </c>
      <c r="F550" s="502" t="s">
        <v>879</v>
      </c>
      <c r="G550" s="100" t="s">
        <v>601</v>
      </c>
      <c r="H550" s="530"/>
      <c r="I550" s="525"/>
      <c r="K550" s="548"/>
      <c r="L550" s="548"/>
      <c r="M550" s="548"/>
      <c r="N550" s="552"/>
      <c r="Y550" s="551"/>
    </row>
    <row r="551" spans="1:25">
      <c r="A551" s="499">
        <v>45504</v>
      </c>
      <c r="B551" s="499">
        <v>45504</v>
      </c>
      <c r="C551" s="500" t="s">
        <v>173</v>
      </c>
      <c r="D551" s="500" t="s">
        <v>761</v>
      </c>
      <c r="E551" s="501">
        <v>-1998258653.1800001</v>
      </c>
      <c r="F551" s="502" t="s">
        <v>879</v>
      </c>
      <c r="G551" s="100" t="s">
        <v>414</v>
      </c>
      <c r="H551" s="530"/>
      <c r="I551" s="525"/>
      <c r="K551" s="548"/>
      <c r="L551" s="548"/>
      <c r="M551" s="548"/>
      <c r="N551" s="552"/>
      <c r="Y551" s="551"/>
    </row>
    <row r="552" spans="1:25">
      <c r="A552" s="499">
        <v>45504</v>
      </c>
      <c r="B552" s="499">
        <v>45511</v>
      </c>
      <c r="C552" s="500" t="s">
        <v>173</v>
      </c>
      <c r="D552" s="500" t="s">
        <v>761</v>
      </c>
      <c r="E552" s="501">
        <v>8023785.2599999998</v>
      </c>
      <c r="F552" s="502" t="s">
        <v>879</v>
      </c>
      <c r="G552" s="100" t="s">
        <v>601</v>
      </c>
      <c r="H552" s="530"/>
      <c r="I552" s="525"/>
      <c r="K552" s="548"/>
      <c r="L552" s="548"/>
      <c r="M552" s="548"/>
      <c r="N552" s="552"/>
      <c r="Y552" s="551"/>
    </row>
    <row r="553" spans="1:25">
      <c r="A553" s="499">
        <v>45504</v>
      </c>
      <c r="B553" s="499">
        <v>45511</v>
      </c>
      <c r="C553" s="500" t="s">
        <v>173</v>
      </c>
      <c r="D553" s="500" t="s">
        <v>761</v>
      </c>
      <c r="E553" s="501">
        <v>2003548032.9200001</v>
      </c>
      <c r="F553" s="502" t="s">
        <v>879</v>
      </c>
      <c r="G553" s="100" t="s">
        <v>414</v>
      </c>
      <c r="H553" s="530"/>
      <c r="I553" s="525"/>
      <c r="K553" s="548"/>
      <c r="L553" s="548"/>
      <c r="M553" s="548"/>
      <c r="N553" s="552"/>
      <c r="Y553" s="551"/>
    </row>
    <row r="554" spans="1:25">
      <c r="A554" s="499">
        <v>45504</v>
      </c>
      <c r="B554" s="499">
        <v>45504</v>
      </c>
      <c r="C554" s="500" t="s">
        <v>173</v>
      </c>
      <c r="D554" s="500" t="s">
        <v>759</v>
      </c>
      <c r="E554" s="501">
        <v>-5003515560</v>
      </c>
      <c r="F554" s="502" t="s">
        <v>879</v>
      </c>
      <c r="G554" s="100" t="s">
        <v>821</v>
      </c>
      <c r="H554" s="530"/>
      <c r="I554" s="525"/>
      <c r="K554" s="548"/>
      <c r="L554" s="548"/>
      <c r="M554" s="548"/>
      <c r="N554" s="552"/>
      <c r="Y554" s="551"/>
    </row>
    <row r="555" spans="1:25">
      <c r="A555" s="499">
        <v>45504</v>
      </c>
      <c r="B555" s="499">
        <v>45504</v>
      </c>
      <c r="C555" s="500" t="s">
        <v>173</v>
      </c>
      <c r="D555" s="500" t="s">
        <v>759</v>
      </c>
      <c r="E555" s="501">
        <v>-1000199799</v>
      </c>
      <c r="F555" s="502" t="s">
        <v>879</v>
      </c>
      <c r="G555" s="100" t="s">
        <v>891</v>
      </c>
      <c r="H555" s="530"/>
      <c r="I555" s="525"/>
      <c r="K555" s="548"/>
      <c r="L555" s="548"/>
      <c r="M555" s="548"/>
      <c r="N555" s="552"/>
      <c r="Y555" s="551"/>
    </row>
    <row r="556" spans="1:25">
      <c r="A556" s="499">
        <v>45504</v>
      </c>
      <c r="B556" s="499">
        <v>45504</v>
      </c>
      <c r="C556" s="500" t="s">
        <v>173</v>
      </c>
      <c r="D556" s="500" t="s">
        <v>759</v>
      </c>
      <c r="E556" s="501">
        <v>-1345265581.01</v>
      </c>
      <c r="F556" s="502" t="s">
        <v>879</v>
      </c>
      <c r="G556" s="100" t="s">
        <v>705</v>
      </c>
      <c r="H556" s="530"/>
      <c r="I556" s="525"/>
      <c r="K556" s="548"/>
      <c r="L556" s="548"/>
      <c r="M556" s="548"/>
      <c r="N556" s="552"/>
      <c r="Y556" s="551"/>
    </row>
    <row r="557" spans="1:25">
      <c r="A557" s="499">
        <v>45504</v>
      </c>
      <c r="B557" s="499">
        <v>45504</v>
      </c>
      <c r="C557" s="500" t="s">
        <v>173</v>
      </c>
      <c r="D557" s="500" t="s">
        <v>759</v>
      </c>
      <c r="E557" s="501">
        <v>-1997504931.47</v>
      </c>
      <c r="F557" s="502" t="s">
        <v>879</v>
      </c>
      <c r="G557" s="100" t="s">
        <v>671</v>
      </c>
      <c r="H557" s="530"/>
      <c r="I557" s="525"/>
      <c r="K557" s="548"/>
      <c r="L557" s="548"/>
      <c r="M557" s="548"/>
      <c r="N557" s="552"/>
      <c r="Y557" s="551"/>
    </row>
    <row r="558" spans="1:25">
      <c r="A558" s="499">
        <v>45504</v>
      </c>
      <c r="B558" s="499">
        <v>45504</v>
      </c>
      <c r="C558" s="500" t="s">
        <v>173</v>
      </c>
      <c r="D558" s="500" t="s">
        <v>759</v>
      </c>
      <c r="E558" s="501">
        <v>-15013905.6</v>
      </c>
      <c r="F558" s="502" t="s">
        <v>879</v>
      </c>
      <c r="G558" s="100" t="s">
        <v>816</v>
      </c>
      <c r="H558" s="530"/>
      <c r="I558" s="525"/>
      <c r="K558" s="548"/>
      <c r="L558" s="548"/>
      <c r="M558" s="548"/>
      <c r="N558" s="552"/>
      <c r="Y558" s="551"/>
    </row>
    <row r="559" spans="1:25">
      <c r="A559" s="499">
        <v>45504</v>
      </c>
      <c r="B559" s="499">
        <v>45511</v>
      </c>
      <c r="C559" s="500" t="s">
        <v>173</v>
      </c>
      <c r="D559" s="500" t="s">
        <v>759</v>
      </c>
      <c r="E559" s="501">
        <v>5016578016.6099997</v>
      </c>
      <c r="F559" s="502" t="s">
        <v>879</v>
      </c>
      <c r="G559" s="100" t="s">
        <v>821</v>
      </c>
      <c r="H559" s="530"/>
      <c r="I559" s="525"/>
      <c r="K559" s="548"/>
      <c r="L559" s="548"/>
      <c r="M559" s="548"/>
      <c r="N559" s="552"/>
      <c r="Y559" s="551"/>
    </row>
    <row r="560" spans="1:25">
      <c r="A560" s="499">
        <v>45504</v>
      </c>
      <c r="B560" s="499">
        <v>45505</v>
      </c>
      <c r="C560" s="500" t="s">
        <v>173</v>
      </c>
      <c r="D560" s="500" t="s">
        <v>759</v>
      </c>
      <c r="E560" s="501">
        <v>1000571457.9400001</v>
      </c>
      <c r="F560" s="502" t="s">
        <v>879</v>
      </c>
      <c r="G560" s="100" t="s">
        <v>891</v>
      </c>
      <c r="H560" s="530"/>
      <c r="I560" s="525"/>
      <c r="K560" s="548"/>
      <c r="L560" s="548"/>
      <c r="M560" s="548"/>
      <c r="N560" s="552"/>
      <c r="Y560" s="551"/>
    </row>
    <row r="561" spans="1:25">
      <c r="A561" s="499">
        <v>45504</v>
      </c>
      <c r="B561" s="499">
        <v>45511</v>
      </c>
      <c r="C561" s="500" t="s">
        <v>173</v>
      </c>
      <c r="D561" s="500" t="s">
        <v>759</v>
      </c>
      <c r="E561" s="501">
        <v>1348790470.8800001</v>
      </c>
      <c r="F561" s="502" t="s">
        <v>879</v>
      </c>
      <c r="G561" s="100" t="s">
        <v>705</v>
      </c>
      <c r="H561" s="530"/>
      <c r="I561" s="525"/>
      <c r="K561" s="548"/>
      <c r="L561" s="548"/>
      <c r="M561" s="548"/>
      <c r="N561" s="552"/>
      <c r="Y561" s="551"/>
    </row>
    <row r="562" spans="1:25">
      <c r="A562" s="499">
        <v>45504</v>
      </c>
      <c r="B562" s="499">
        <v>45511</v>
      </c>
      <c r="C562" s="500" t="s">
        <v>173</v>
      </c>
      <c r="D562" s="500" t="s">
        <v>759</v>
      </c>
      <c r="E562" s="501">
        <v>2002738831</v>
      </c>
      <c r="F562" s="502" t="s">
        <v>879</v>
      </c>
      <c r="G562" s="100" t="s">
        <v>671</v>
      </c>
      <c r="H562" s="530"/>
      <c r="I562" s="525"/>
      <c r="K562" s="548"/>
      <c r="L562" s="548"/>
      <c r="M562" s="548"/>
      <c r="N562" s="552"/>
      <c r="Y562" s="551"/>
    </row>
    <row r="563" spans="1:25">
      <c r="A563" s="499">
        <v>45504</v>
      </c>
      <c r="B563" s="499">
        <v>45511</v>
      </c>
      <c r="C563" s="500" t="s">
        <v>173</v>
      </c>
      <c r="D563" s="500" t="s">
        <v>759</v>
      </c>
      <c r="E563" s="501">
        <v>15052815.449999999</v>
      </c>
      <c r="F563" s="502" t="s">
        <v>879</v>
      </c>
      <c r="G563" s="100" t="s">
        <v>816</v>
      </c>
      <c r="H563" s="530"/>
      <c r="I563" s="525"/>
      <c r="K563" s="548"/>
      <c r="L563" s="548"/>
      <c r="M563" s="548"/>
      <c r="N563" s="552"/>
      <c r="Y563" s="551"/>
    </row>
    <row r="564" spans="1:25">
      <c r="A564" s="499">
        <v>45504</v>
      </c>
      <c r="B564" s="499">
        <v>45504</v>
      </c>
      <c r="C564" s="500" t="s">
        <v>173</v>
      </c>
      <c r="D564" s="500" t="s">
        <v>760</v>
      </c>
      <c r="E564" s="501">
        <v>-5232657048.1599998</v>
      </c>
      <c r="F564" s="502" t="s">
        <v>879</v>
      </c>
      <c r="G564" s="100" t="s">
        <v>634</v>
      </c>
      <c r="H564" s="530"/>
      <c r="I564" s="525"/>
      <c r="K564" s="548"/>
      <c r="L564" s="548"/>
      <c r="M564" s="548"/>
      <c r="N564" s="552"/>
      <c r="Y564" s="551"/>
    </row>
    <row r="565" spans="1:25">
      <c r="A565" s="499">
        <v>45504</v>
      </c>
      <c r="B565" s="499">
        <v>45504</v>
      </c>
      <c r="C565" s="500" t="s">
        <v>173</v>
      </c>
      <c r="D565" s="500" t="s">
        <v>760</v>
      </c>
      <c r="E565" s="501">
        <v>-380096081.10000002</v>
      </c>
      <c r="F565" s="502" t="s">
        <v>879</v>
      </c>
      <c r="G565" s="100" t="s">
        <v>503</v>
      </c>
      <c r="H565" s="530"/>
      <c r="I565" s="525"/>
      <c r="K565" s="548"/>
      <c r="L565" s="548"/>
      <c r="M565" s="548"/>
      <c r="N565" s="552"/>
      <c r="Y565" s="551"/>
    </row>
    <row r="566" spans="1:25">
      <c r="A566" s="499">
        <v>45504</v>
      </c>
      <c r="B566" s="499">
        <v>45504</v>
      </c>
      <c r="C566" s="500" t="s">
        <v>173</v>
      </c>
      <c r="D566" s="500" t="s">
        <v>760</v>
      </c>
      <c r="E566" s="501">
        <v>-158019842.05000001</v>
      </c>
      <c r="F566" s="502" t="s">
        <v>879</v>
      </c>
      <c r="G566" s="100" t="s">
        <v>634</v>
      </c>
      <c r="H566" s="530"/>
      <c r="I566" s="525"/>
      <c r="K566" s="548"/>
      <c r="L566" s="548"/>
      <c r="M566" s="548"/>
      <c r="N566" s="552"/>
      <c r="Y566" s="551"/>
    </row>
    <row r="567" spans="1:25">
      <c r="A567" s="499">
        <v>45504</v>
      </c>
      <c r="B567" s="499">
        <v>45504</v>
      </c>
      <c r="C567" s="500" t="s">
        <v>173</v>
      </c>
      <c r="D567" s="500" t="s">
        <v>760</v>
      </c>
      <c r="E567" s="501">
        <v>-25003139.57</v>
      </c>
      <c r="F567" s="502" t="s">
        <v>879</v>
      </c>
      <c r="G567" s="100" t="s">
        <v>634</v>
      </c>
      <c r="H567" s="530"/>
      <c r="I567" s="525"/>
      <c r="K567" s="548"/>
      <c r="L567" s="548"/>
      <c r="M567" s="548"/>
      <c r="N567" s="552"/>
      <c r="Y567" s="551"/>
    </row>
    <row r="568" spans="1:25">
      <c r="A568" s="499">
        <v>45504</v>
      </c>
      <c r="B568" s="499">
        <v>45505</v>
      </c>
      <c r="C568" s="500" t="s">
        <v>173</v>
      </c>
      <c r="D568" s="500" t="s">
        <v>760</v>
      </c>
      <c r="E568" s="501">
        <v>5234615720.3299999</v>
      </c>
      <c r="F568" s="502" t="s">
        <v>879</v>
      </c>
      <c r="G568" s="100" t="s">
        <v>634</v>
      </c>
      <c r="H568" s="530"/>
      <c r="I568" s="525"/>
      <c r="K568" s="548"/>
      <c r="L568" s="548"/>
      <c r="M568" s="548"/>
      <c r="N568" s="552"/>
      <c r="Y568" s="551"/>
    </row>
    <row r="569" spans="1:25">
      <c r="A569" s="499">
        <v>45504</v>
      </c>
      <c r="B569" s="499">
        <v>45505</v>
      </c>
      <c r="C569" s="500" t="s">
        <v>173</v>
      </c>
      <c r="D569" s="500" t="s">
        <v>760</v>
      </c>
      <c r="E569" s="501">
        <v>380238357.5</v>
      </c>
      <c r="F569" s="502" t="s">
        <v>879</v>
      </c>
      <c r="G569" s="100" t="s">
        <v>503</v>
      </c>
      <c r="H569" s="530"/>
      <c r="I569" s="525"/>
      <c r="K569" s="548"/>
      <c r="L569" s="548"/>
      <c r="M569" s="548"/>
      <c r="N569" s="552"/>
      <c r="Y569" s="551"/>
    </row>
    <row r="570" spans="1:25">
      <c r="A570" s="499">
        <v>45504</v>
      </c>
      <c r="B570" s="499">
        <v>45505</v>
      </c>
      <c r="C570" s="500" t="s">
        <v>173</v>
      </c>
      <c r="D570" s="500" t="s">
        <v>760</v>
      </c>
      <c r="E570" s="501">
        <v>158078991.55000001</v>
      </c>
      <c r="F570" s="502" t="s">
        <v>879</v>
      </c>
      <c r="G570" s="100" t="s">
        <v>634</v>
      </c>
      <c r="H570" s="530"/>
      <c r="I570" s="525"/>
      <c r="K570" s="548"/>
      <c r="L570" s="548"/>
      <c r="M570" s="548"/>
      <c r="N570" s="552"/>
      <c r="Y570" s="551"/>
    </row>
    <row r="571" spans="1:25">
      <c r="A571" s="499">
        <v>45504</v>
      </c>
      <c r="B571" s="499">
        <v>45505</v>
      </c>
      <c r="C571" s="500" t="s">
        <v>173</v>
      </c>
      <c r="D571" s="500" t="s">
        <v>760</v>
      </c>
      <c r="E571" s="501">
        <v>25012635.300000001</v>
      </c>
      <c r="F571" s="502" t="s">
        <v>879</v>
      </c>
      <c r="G571" s="100" t="s">
        <v>634</v>
      </c>
      <c r="H571" s="530"/>
      <c r="I571" s="525"/>
      <c r="K571" s="548"/>
      <c r="L571" s="548"/>
      <c r="M571" s="548"/>
      <c r="N571" s="552"/>
      <c r="Y571" s="551"/>
    </row>
    <row r="572" spans="1:25">
      <c r="A572" s="499">
        <v>45504</v>
      </c>
      <c r="B572" s="499">
        <v>45504</v>
      </c>
      <c r="C572" s="500" t="s">
        <v>173</v>
      </c>
      <c r="D572" s="500" t="s">
        <v>764</v>
      </c>
      <c r="E572" s="501">
        <v>-2926715588.5500002</v>
      </c>
      <c r="F572" s="502" t="s">
        <v>879</v>
      </c>
      <c r="G572" s="100" t="s">
        <v>684</v>
      </c>
      <c r="H572" s="530"/>
      <c r="I572" s="525"/>
      <c r="K572" s="548"/>
      <c r="L572" s="548"/>
      <c r="M572" s="548"/>
      <c r="N572" s="552"/>
      <c r="Y572" s="551"/>
    </row>
    <row r="573" spans="1:25">
      <c r="A573" s="499">
        <v>45504</v>
      </c>
      <c r="B573" s="499">
        <v>45504</v>
      </c>
      <c r="C573" s="500" t="s">
        <v>173</v>
      </c>
      <c r="D573" s="500" t="s">
        <v>764</v>
      </c>
      <c r="E573" s="501">
        <v>-100046411.73</v>
      </c>
      <c r="F573" s="502" t="s">
        <v>879</v>
      </c>
      <c r="G573" s="100" t="s">
        <v>574</v>
      </c>
      <c r="H573" s="530"/>
      <c r="I573" s="525"/>
      <c r="K573" s="548"/>
      <c r="L573" s="548"/>
      <c r="M573" s="548"/>
      <c r="N573" s="552"/>
      <c r="Y573" s="551"/>
    </row>
    <row r="574" spans="1:25">
      <c r="A574" s="499">
        <v>45504</v>
      </c>
      <c r="B574" s="499">
        <v>45504</v>
      </c>
      <c r="C574" s="500" t="s">
        <v>173</v>
      </c>
      <c r="D574" s="500" t="s">
        <v>764</v>
      </c>
      <c r="E574" s="501">
        <v>-795558974.03999996</v>
      </c>
      <c r="F574" s="502" t="s">
        <v>879</v>
      </c>
      <c r="G574" s="100" t="s">
        <v>821</v>
      </c>
      <c r="H574" s="530"/>
      <c r="I574" s="525"/>
      <c r="K574" s="548"/>
      <c r="L574" s="548"/>
      <c r="M574" s="548"/>
      <c r="N574" s="552"/>
      <c r="Y574" s="551"/>
    </row>
    <row r="575" spans="1:25">
      <c r="A575" s="499">
        <v>45504</v>
      </c>
      <c r="B575" s="499">
        <v>45504</v>
      </c>
      <c r="C575" s="500" t="s">
        <v>173</v>
      </c>
      <c r="D575" s="500" t="s">
        <v>764</v>
      </c>
      <c r="E575" s="501">
        <v>-15002961.869999999</v>
      </c>
      <c r="F575" s="502" t="s">
        <v>879</v>
      </c>
      <c r="G575" s="100" t="s">
        <v>705</v>
      </c>
      <c r="H575" s="530"/>
      <c r="I575" s="525"/>
      <c r="K575" s="548"/>
      <c r="L575" s="548"/>
      <c r="M575" s="548"/>
      <c r="N575" s="552"/>
      <c r="Y575" s="551"/>
    </row>
    <row r="576" spans="1:25">
      <c r="A576" s="499">
        <v>45504</v>
      </c>
      <c r="B576" s="499">
        <v>45511</v>
      </c>
      <c r="C576" s="500" t="s">
        <v>173</v>
      </c>
      <c r="D576" s="500" t="s">
        <v>764</v>
      </c>
      <c r="E576" s="501">
        <v>2934356235.3899999</v>
      </c>
      <c r="F576" s="502" t="s">
        <v>879</v>
      </c>
      <c r="G576" s="100" t="s">
        <v>684</v>
      </c>
      <c r="H576" s="530"/>
      <c r="I576" s="525"/>
      <c r="K576" s="548"/>
      <c r="L576" s="548"/>
      <c r="M576" s="548"/>
      <c r="N576" s="552"/>
      <c r="Y576" s="551"/>
    </row>
    <row r="577" spans="1:25">
      <c r="A577" s="499">
        <v>45504</v>
      </c>
      <c r="B577" s="499">
        <v>45511</v>
      </c>
      <c r="C577" s="500" t="s">
        <v>173</v>
      </c>
      <c r="D577" s="500" t="s">
        <v>764</v>
      </c>
      <c r="E577" s="501">
        <v>100307598.47</v>
      </c>
      <c r="F577" s="502" t="s">
        <v>879</v>
      </c>
      <c r="G577" s="100" t="s">
        <v>574</v>
      </c>
      <c r="H577" s="530"/>
      <c r="I577" s="525"/>
      <c r="K577" s="548"/>
      <c r="L577" s="548"/>
      <c r="M577" s="548"/>
      <c r="N577" s="552"/>
      <c r="Y577" s="551"/>
    </row>
    <row r="578" spans="1:25">
      <c r="A578" s="499">
        <v>45504</v>
      </c>
      <c r="B578" s="499">
        <v>45511</v>
      </c>
      <c r="C578" s="500" t="s">
        <v>173</v>
      </c>
      <c r="D578" s="500" t="s">
        <v>764</v>
      </c>
      <c r="E578" s="501">
        <v>797635904.63999999</v>
      </c>
      <c r="F578" s="502" t="s">
        <v>879</v>
      </c>
      <c r="G578" s="100" t="s">
        <v>821</v>
      </c>
      <c r="H578" s="530"/>
      <c r="I578" s="525"/>
      <c r="K578" s="548"/>
      <c r="L578" s="548"/>
      <c r="M578" s="548"/>
      <c r="N578" s="552"/>
      <c r="Y578" s="551"/>
    </row>
    <row r="579" spans="1:25">
      <c r="A579" s="499">
        <v>45504</v>
      </c>
      <c r="B579" s="499">
        <v>45511</v>
      </c>
      <c r="C579" s="500" t="s">
        <v>173</v>
      </c>
      <c r="D579" s="500" t="s">
        <v>764</v>
      </c>
      <c r="E579" s="501">
        <v>15042129.439999999</v>
      </c>
      <c r="F579" s="502" t="s">
        <v>879</v>
      </c>
      <c r="G579" s="100" t="s">
        <v>705</v>
      </c>
      <c r="H579" s="530"/>
      <c r="I579" s="525"/>
      <c r="K579" s="548"/>
      <c r="L579" s="548"/>
      <c r="M579" s="548"/>
      <c r="N579" s="552"/>
      <c r="Y579" s="551"/>
    </row>
    <row r="580" spans="1:25">
      <c r="A580" s="499">
        <v>45502</v>
      </c>
      <c r="B580" s="499">
        <v>45504</v>
      </c>
      <c r="C580" s="500" t="s">
        <v>173</v>
      </c>
      <c r="D580" s="500" t="s">
        <v>764</v>
      </c>
      <c r="E580" s="501">
        <v>5875569</v>
      </c>
      <c r="F580" s="502" t="s">
        <v>912</v>
      </c>
      <c r="G580" s="100" t="s">
        <v>473</v>
      </c>
      <c r="H580" s="530"/>
      <c r="I580" s="525" t="s">
        <v>653</v>
      </c>
      <c r="J580" s="100"/>
      <c r="K580" s="548"/>
      <c r="L580" s="548"/>
      <c r="M580" s="548"/>
      <c r="N580" s="552">
        <v>6000</v>
      </c>
      <c r="O580" s="539">
        <v>1000</v>
      </c>
      <c r="W580" s="550">
        <f>VLOOKUP(G580,Справочник!A:C,3,0)</f>
        <v>0.1067</v>
      </c>
      <c r="X580" s="539" t="str">
        <f>VLOOKUP(G580,Справочник!A:G,7,0)</f>
        <v>Министерство финансов Республики Казахстан</v>
      </c>
      <c r="Y580" s="551">
        <f>VLOOKUP(G580,Справочник!A:B,2,0)</f>
        <v>46043</v>
      </c>
    </row>
    <row r="581" spans="1:25">
      <c r="A581" s="499">
        <v>45504</v>
      </c>
      <c r="B581" s="499">
        <v>45504</v>
      </c>
      <c r="C581" s="500" t="s">
        <v>173</v>
      </c>
      <c r="D581" s="500" t="s">
        <v>763</v>
      </c>
      <c r="E581" s="501">
        <v>-2000001931.2</v>
      </c>
      <c r="F581" s="502" t="s">
        <v>879</v>
      </c>
      <c r="G581" s="100" t="s">
        <v>812</v>
      </c>
      <c r="H581" s="530"/>
      <c r="I581" s="525"/>
      <c r="K581" s="548"/>
      <c r="L581" s="548"/>
      <c r="M581" s="548"/>
      <c r="N581" s="552"/>
      <c r="Y581" s="551"/>
    </row>
    <row r="582" spans="1:25">
      <c r="A582" s="499">
        <v>45504</v>
      </c>
      <c r="B582" s="499">
        <v>45504</v>
      </c>
      <c r="C582" s="500" t="s">
        <v>173</v>
      </c>
      <c r="D582" s="500" t="s">
        <v>763</v>
      </c>
      <c r="E582" s="501">
        <v>-28005594.36999999</v>
      </c>
      <c r="F582" s="502" t="s">
        <v>879</v>
      </c>
      <c r="G582" s="100" t="s">
        <v>139</v>
      </c>
      <c r="H582" s="530"/>
      <c r="I582" s="525"/>
      <c r="K582" s="548"/>
      <c r="L582" s="548"/>
      <c r="M582" s="548"/>
      <c r="N582" s="552"/>
      <c r="Y582" s="551"/>
    </row>
    <row r="583" spans="1:25">
      <c r="A583" s="499">
        <v>45504</v>
      </c>
      <c r="B583" s="499">
        <v>45504</v>
      </c>
      <c r="C583" s="500" t="s">
        <v>173</v>
      </c>
      <c r="D583" s="500" t="s">
        <v>763</v>
      </c>
      <c r="E583" s="501">
        <v>-4211142920.5</v>
      </c>
      <c r="F583" s="502" t="s">
        <v>879</v>
      </c>
      <c r="G583" s="100" t="s">
        <v>645</v>
      </c>
      <c r="H583" s="530"/>
      <c r="I583" s="525"/>
      <c r="K583" s="548"/>
      <c r="L583" s="548"/>
      <c r="M583" s="548"/>
      <c r="N583" s="552"/>
      <c r="Y583" s="551"/>
    </row>
    <row r="584" spans="1:25">
      <c r="A584" s="499">
        <v>45504</v>
      </c>
      <c r="B584" s="499">
        <v>45505</v>
      </c>
      <c r="C584" s="500" t="s">
        <v>173</v>
      </c>
      <c r="D584" s="500" t="s">
        <v>763</v>
      </c>
      <c r="E584" s="501">
        <v>2000734718.79</v>
      </c>
      <c r="F584" s="502" t="s">
        <v>879</v>
      </c>
      <c r="G584" s="100" t="s">
        <v>812</v>
      </c>
      <c r="H584" s="530"/>
      <c r="I584" s="525"/>
      <c r="K584" s="548"/>
      <c r="L584" s="548"/>
      <c r="M584" s="548"/>
      <c r="N584" s="552"/>
      <c r="Y584" s="551"/>
    </row>
    <row r="585" spans="1:25">
      <c r="A585" s="499">
        <v>45504</v>
      </c>
      <c r="B585" s="499">
        <v>45505</v>
      </c>
      <c r="C585" s="500" t="s">
        <v>173</v>
      </c>
      <c r="D585" s="500" t="s">
        <v>763</v>
      </c>
      <c r="E585" s="501">
        <v>28015924.300000001</v>
      </c>
      <c r="F585" s="502" t="s">
        <v>879</v>
      </c>
      <c r="G585" s="100" t="s">
        <v>139</v>
      </c>
      <c r="H585" s="530"/>
      <c r="I585" s="525"/>
      <c r="K585" s="548"/>
      <c r="L585" s="548"/>
      <c r="M585" s="548"/>
      <c r="N585" s="552"/>
      <c r="Y585" s="551"/>
    </row>
    <row r="586" spans="1:25">
      <c r="A586" s="499">
        <v>45504</v>
      </c>
      <c r="B586" s="499">
        <v>45505</v>
      </c>
      <c r="C586" s="500" t="s">
        <v>173</v>
      </c>
      <c r="D586" s="500" t="s">
        <v>763</v>
      </c>
      <c r="E586" s="501">
        <v>4212684728.0799999</v>
      </c>
      <c r="F586" s="502" t="s">
        <v>879</v>
      </c>
      <c r="G586" s="100" t="s">
        <v>645</v>
      </c>
      <c r="H586" s="530"/>
      <c r="I586" s="525"/>
      <c r="K586" s="548"/>
      <c r="L586" s="548"/>
      <c r="M586" s="548"/>
      <c r="N586" s="552"/>
      <c r="Y586" s="551"/>
    </row>
    <row r="587" spans="1:25">
      <c r="A587" s="499">
        <v>45505</v>
      </c>
      <c r="B587" s="499">
        <v>45505</v>
      </c>
      <c r="C587" s="500" t="s">
        <v>173</v>
      </c>
      <c r="D587" s="500" t="s">
        <v>762</v>
      </c>
      <c r="E587" s="501">
        <v>-2055001070.6600001</v>
      </c>
      <c r="F587" s="502" t="s">
        <v>879</v>
      </c>
      <c r="G587" s="100" t="s">
        <v>809</v>
      </c>
      <c r="H587" s="530">
        <v>-1</v>
      </c>
      <c r="I587" s="525"/>
      <c r="K587" s="548"/>
      <c r="L587" s="548"/>
      <c r="M587" s="548"/>
      <c r="N587" s="552"/>
      <c r="Y587" s="551"/>
    </row>
    <row r="588" spans="1:25">
      <c r="A588" s="499">
        <v>45505</v>
      </c>
      <c r="B588" s="499">
        <v>45505</v>
      </c>
      <c r="C588" s="500" t="s">
        <v>173</v>
      </c>
      <c r="D588" s="500" t="s">
        <v>762</v>
      </c>
      <c r="E588" s="501">
        <v>-256070672.63999999</v>
      </c>
      <c r="F588" s="502" t="s">
        <v>879</v>
      </c>
      <c r="G588" s="100" t="s">
        <v>817</v>
      </c>
      <c r="H588" s="530"/>
      <c r="I588" s="525"/>
      <c r="K588" s="548"/>
      <c r="L588" s="548"/>
      <c r="M588" s="548"/>
      <c r="N588" s="552"/>
      <c r="Y588" s="551"/>
    </row>
    <row r="589" spans="1:25">
      <c r="A589" s="499">
        <v>45505</v>
      </c>
      <c r="B589" s="499">
        <v>45505</v>
      </c>
      <c r="C589" s="500" t="s">
        <v>173</v>
      </c>
      <c r="D589" s="500" t="s">
        <v>762</v>
      </c>
      <c r="E589" s="501">
        <v>-9534269192.2199993</v>
      </c>
      <c r="F589" s="502" t="s">
        <v>879</v>
      </c>
      <c r="G589" s="100" t="s">
        <v>687</v>
      </c>
      <c r="H589" s="530"/>
      <c r="I589" s="525"/>
      <c r="K589" s="548"/>
      <c r="L589" s="548"/>
      <c r="M589" s="548"/>
      <c r="N589" s="552"/>
      <c r="Y589" s="551"/>
    </row>
    <row r="590" spans="1:25">
      <c r="A590" s="499">
        <v>45505</v>
      </c>
      <c r="B590" s="499">
        <v>45505</v>
      </c>
      <c r="C590" s="500" t="s">
        <v>173</v>
      </c>
      <c r="D590" s="500" t="s">
        <v>762</v>
      </c>
      <c r="E590" s="501">
        <v>-48021502.75</v>
      </c>
      <c r="F590" s="502" t="s">
        <v>879</v>
      </c>
      <c r="G590" s="100" t="s">
        <v>687</v>
      </c>
      <c r="H590" s="530"/>
      <c r="I590" s="525"/>
      <c r="K590" s="548"/>
      <c r="L590" s="548"/>
      <c r="M590" s="548"/>
      <c r="N590" s="552"/>
      <c r="Y590" s="551"/>
    </row>
    <row r="591" spans="1:25">
      <c r="A591" s="499">
        <v>45505</v>
      </c>
      <c r="B591" s="499">
        <v>45506</v>
      </c>
      <c r="C591" s="500" t="s">
        <v>173</v>
      </c>
      <c r="D591" s="500" t="s">
        <v>762</v>
      </c>
      <c r="E591" s="501">
        <v>2055765239.0899999</v>
      </c>
      <c r="F591" s="502" t="s">
        <v>879</v>
      </c>
      <c r="G591" s="100" t="s">
        <v>809</v>
      </c>
      <c r="H591" s="530"/>
      <c r="I591" s="525"/>
      <c r="K591" s="548"/>
      <c r="L591" s="548"/>
      <c r="M591" s="548"/>
      <c r="N591" s="552"/>
      <c r="Y591" s="551"/>
    </row>
    <row r="592" spans="1:25">
      <c r="A592" s="499">
        <v>45505</v>
      </c>
      <c r="B592" s="499">
        <v>45506</v>
      </c>
      <c r="C592" s="500" t="s">
        <v>173</v>
      </c>
      <c r="D592" s="500" t="s">
        <v>762</v>
      </c>
      <c r="E592" s="501">
        <v>256165827.38</v>
      </c>
      <c r="F592" s="502" t="s">
        <v>879</v>
      </c>
      <c r="G592" s="100" t="s">
        <v>817</v>
      </c>
      <c r="H592" s="530"/>
      <c r="I592" s="525"/>
      <c r="K592" s="548"/>
      <c r="L592" s="548"/>
      <c r="M592" s="548"/>
      <c r="N592" s="552"/>
      <c r="Y592" s="551"/>
    </row>
    <row r="593" spans="1:25">
      <c r="A593" s="499">
        <v>45505</v>
      </c>
      <c r="B593" s="499">
        <v>45506</v>
      </c>
      <c r="C593" s="500" t="s">
        <v>173</v>
      </c>
      <c r="D593" s="500" t="s">
        <v>762</v>
      </c>
      <c r="E593" s="501">
        <v>9537812058.9200001</v>
      </c>
      <c r="F593" s="502" t="s">
        <v>879</v>
      </c>
      <c r="G593" s="100" t="s">
        <v>687</v>
      </c>
      <c r="H593" s="530"/>
      <c r="I593" s="525"/>
      <c r="K593" s="548"/>
      <c r="L593" s="548"/>
      <c r="M593" s="548"/>
      <c r="N593" s="552"/>
      <c r="Y593" s="551"/>
    </row>
    <row r="594" spans="1:25">
      <c r="A594" s="499">
        <v>45505</v>
      </c>
      <c r="B594" s="499">
        <v>45506</v>
      </c>
      <c r="C594" s="500" t="s">
        <v>173</v>
      </c>
      <c r="D594" s="500" t="s">
        <v>762</v>
      </c>
      <c r="E594" s="501">
        <v>48039347.200000003</v>
      </c>
      <c r="F594" s="502" t="s">
        <v>879</v>
      </c>
      <c r="G594" s="100" t="s">
        <v>687</v>
      </c>
      <c r="H594" s="530"/>
      <c r="I594" s="525"/>
      <c r="K594" s="548"/>
      <c r="L594" s="548"/>
      <c r="M594" s="548"/>
      <c r="N594" s="552"/>
      <c r="Y594" s="551"/>
    </row>
    <row r="595" spans="1:25">
      <c r="A595" s="499">
        <v>45505</v>
      </c>
      <c r="B595" s="499">
        <v>45505</v>
      </c>
      <c r="C595" s="500" t="s">
        <v>173</v>
      </c>
      <c r="D595" s="500" t="s">
        <v>759</v>
      </c>
      <c r="E595" s="501">
        <v>-91000315.060000002</v>
      </c>
      <c r="F595" s="502" t="s">
        <v>879</v>
      </c>
      <c r="G595" s="100" t="s">
        <v>645</v>
      </c>
      <c r="H595" s="484"/>
      <c r="I595" s="525"/>
      <c r="K595" s="548"/>
      <c r="L595" s="548"/>
      <c r="M595" s="548"/>
      <c r="N595" s="552"/>
      <c r="Y595" s="551"/>
    </row>
    <row r="596" spans="1:25">
      <c r="A596" s="499">
        <v>45505</v>
      </c>
      <c r="B596" s="499">
        <v>45505</v>
      </c>
      <c r="C596" s="500" t="s">
        <v>173</v>
      </c>
      <c r="D596" s="500" t="s">
        <v>759</v>
      </c>
      <c r="E596" s="501">
        <v>-55012590.75</v>
      </c>
      <c r="F596" s="502" t="s">
        <v>879</v>
      </c>
      <c r="G596" s="100" t="s">
        <v>139</v>
      </c>
      <c r="H596" s="484"/>
      <c r="I596" s="525"/>
      <c r="K596" s="548"/>
      <c r="L596" s="548"/>
      <c r="M596" s="548"/>
      <c r="N596" s="552"/>
      <c r="Y596" s="551"/>
    </row>
    <row r="597" spans="1:25">
      <c r="A597" s="499">
        <v>45505</v>
      </c>
      <c r="B597" s="499">
        <v>45505</v>
      </c>
      <c r="C597" s="500" t="s">
        <v>173</v>
      </c>
      <c r="D597" s="500" t="s">
        <v>759</v>
      </c>
      <c r="E597" s="501">
        <v>-14008645.550000001</v>
      </c>
      <c r="F597" s="502" t="s">
        <v>879</v>
      </c>
      <c r="G597" s="100" t="s">
        <v>494</v>
      </c>
      <c r="H597" s="484"/>
      <c r="I597" s="525"/>
      <c r="K597" s="548"/>
      <c r="L597" s="548"/>
      <c r="M597" s="548"/>
      <c r="N597" s="552"/>
      <c r="Y597" s="551"/>
    </row>
    <row r="598" spans="1:25">
      <c r="A598" s="499">
        <v>45505</v>
      </c>
      <c r="B598" s="499">
        <v>45505</v>
      </c>
      <c r="C598" s="500" t="s">
        <v>173</v>
      </c>
      <c r="D598" s="500" t="s">
        <v>759</v>
      </c>
      <c r="E598" s="501">
        <v>-176035052.16</v>
      </c>
      <c r="F598" s="502" t="s">
        <v>879</v>
      </c>
      <c r="G598" s="100" t="s">
        <v>55</v>
      </c>
      <c r="H598" s="484"/>
      <c r="I598" s="525"/>
      <c r="K598" s="548"/>
      <c r="L598" s="548"/>
      <c r="M598" s="548"/>
      <c r="N598" s="552"/>
      <c r="Y598" s="551"/>
    </row>
    <row r="599" spans="1:25">
      <c r="A599" s="499">
        <v>45505</v>
      </c>
      <c r="B599" s="499">
        <v>45505</v>
      </c>
      <c r="C599" s="500" t="s">
        <v>173</v>
      </c>
      <c r="D599" s="500" t="s">
        <v>759</v>
      </c>
      <c r="E599" s="501">
        <v>-224068790.40000001</v>
      </c>
      <c r="F599" s="502" t="s">
        <v>879</v>
      </c>
      <c r="G599" s="100" t="s">
        <v>745</v>
      </c>
      <c r="H599" s="484"/>
      <c r="I599" s="525"/>
      <c r="K599" s="548"/>
      <c r="L599" s="548"/>
      <c r="M599" s="548"/>
      <c r="N599" s="552"/>
      <c r="Y599" s="551"/>
    </row>
    <row r="600" spans="1:25">
      <c r="A600" s="499">
        <v>45505</v>
      </c>
      <c r="B600" s="499">
        <v>45505</v>
      </c>
      <c r="C600" s="500" t="s">
        <v>173</v>
      </c>
      <c r="D600" s="500" t="s">
        <v>759</v>
      </c>
      <c r="E600" s="501">
        <v>-436000299.75</v>
      </c>
      <c r="F600" s="502" t="s">
        <v>879</v>
      </c>
      <c r="G600" s="100" t="s">
        <v>812</v>
      </c>
      <c r="H600" s="484"/>
      <c r="I600" s="525"/>
      <c r="K600" s="548"/>
      <c r="L600" s="548"/>
      <c r="M600" s="548"/>
      <c r="N600" s="552"/>
      <c r="Y600" s="551"/>
    </row>
    <row r="601" spans="1:25">
      <c r="A601" s="499">
        <v>45505</v>
      </c>
      <c r="B601" s="499">
        <v>45505</v>
      </c>
      <c r="C601" s="500" t="s">
        <v>173</v>
      </c>
      <c r="D601" s="500" t="s">
        <v>759</v>
      </c>
      <c r="E601" s="501">
        <v>-5002075.58</v>
      </c>
      <c r="F601" s="502" t="s">
        <v>879</v>
      </c>
      <c r="G601" s="100" t="s">
        <v>634</v>
      </c>
      <c r="H601" s="484"/>
      <c r="I601" s="525"/>
      <c r="K601" s="548"/>
      <c r="L601" s="548"/>
      <c r="M601" s="548"/>
      <c r="N601" s="552"/>
      <c r="Y601" s="551"/>
    </row>
    <row r="602" spans="1:25">
      <c r="A602" s="499">
        <v>45505</v>
      </c>
      <c r="B602" s="499">
        <v>45506</v>
      </c>
      <c r="C602" s="500" t="s">
        <v>173</v>
      </c>
      <c r="D602" s="500" t="s">
        <v>759</v>
      </c>
      <c r="E602" s="501">
        <v>91033880.75</v>
      </c>
      <c r="F602" s="502" t="s">
        <v>879</v>
      </c>
      <c r="G602" s="100" t="s">
        <v>645</v>
      </c>
      <c r="H602" s="530"/>
      <c r="I602" s="525"/>
      <c r="K602" s="548"/>
      <c r="L602" s="548"/>
      <c r="M602" s="548"/>
      <c r="N602" s="552"/>
      <c r="Y602" s="551"/>
    </row>
    <row r="603" spans="1:25">
      <c r="A603" s="499">
        <v>45505</v>
      </c>
      <c r="B603" s="499">
        <v>45506</v>
      </c>
      <c r="C603" s="500" t="s">
        <v>173</v>
      </c>
      <c r="D603" s="500" t="s">
        <v>759</v>
      </c>
      <c r="E603" s="501">
        <v>55032883.030000001</v>
      </c>
      <c r="F603" s="502" t="s">
        <v>879</v>
      </c>
      <c r="G603" s="100" t="s">
        <v>139</v>
      </c>
      <c r="H603" s="530"/>
      <c r="I603" s="525"/>
      <c r="K603" s="548"/>
      <c r="L603" s="548"/>
      <c r="M603" s="548"/>
      <c r="N603" s="552"/>
      <c r="Y603" s="551"/>
    </row>
    <row r="604" spans="1:25">
      <c r="A604" s="499">
        <v>45505</v>
      </c>
      <c r="B604" s="499">
        <v>45506</v>
      </c>
      <c r="C604" s="500" t="s">
        <v>173</v>
      </c>
      <c r="D604" s="500" t="s">
        <v>759</v>
      </c>
      <c r="E604" s="501">
        <v>14013812.859999999</v>
      </c>
      <c r="F604" s="502" t="s">
        <v>879</v>
      </c>
      <c r="G604" s="100" t="s">
        <v>494</v>
      </c>
      <c r="H604" s="530"/>
      <c r="I604" s="525"/>
      <c r="K604" s="548"/>
      <c r="L604" s="548"/>
      <c r="M604" s="548"/>
      <c r="N604" s="552"/>
      <c r="Y604" s="551"/>
    </row>
    <row r="605" spans="1:25">
      <c r="A605" s="499">
        <v>45505</v>
      </c>
      <c r="B605" s="499">
        <v>45506</v>
      </c>
      <c r="C605" s="500" t="s">
        <v>173</v>
      </c>
      <c r="D605" s="500" t="s">
        <v>759</v>
      </c>
      <c r="E605" s="501">
        <v>176100464.09</v>
      </c>
      <c r="F605" s="502" t="s">
        <v>879</v>
      </c>
      <c r="G605" s="100" t="s">
        <v>55</v>
      </c>
      <c r="H605" s="530"/>
      <c r="I605" s="525"/>
      <c r="K605" s="548"/>
      <c r="L605" s="548"/>
      <c r="M605" s="548"/>
      <c r="N605" s="552"/>
      <c r="Y605" s="551"/>
    </row>
    <row r="606" spans="1:25">
      <c r="A606" s="499">
        <v>45505</v>
      </c>
      <c r="B606" s="499">
        <v>45506</v>
      </c>
      <c r="C606" s="500" t="s">
        <v>173</v>
      </c>
      <c r="D606" s="500" t="s">
        <v>759</v>
      </c>
      <c r="E606" s="501">
        <v>224152050.93000001</v>
      </c>
      <c r="F606" s="502" t="s">
        <v>879</v>
      </c>
      <c r="G606" s="100" t="s">
        <v>745</v>
      </c>
      <c r="H606" s="530"/>
      <c r="I606" s="525"/>
      <c r="K606" s="548"/>
      <c r="L606" s="548"/>
      <c r="M606" s="548"/>
      <c r="N606" s="552"/>
      <c r="Y606" s="551"/>
    </row>
    <row r="607" spans="1:25">
      <c r="A607" s="499">
        <v>45505</v>
      </c>
      <c r="B607" s="499">
        <v>45506</v>
      </c>
      <c r="C607" s="500" t="s">
        <v>173</v>
      </c>
      <c r="D607" s="500" t="s">
        <v>759</v>
      </c>
      <c r="E607" s="501">
        <v>436162310.79000002</v>
      </c>
      <c r="F607" s="502" t="s">
        <v>879</v>
      </c>
      <c r="G607" s="100" t="s">
        <v>812</v>
      </c>
      <c r="H607" s="530"/>
      <c r="I607" s="525"/>
      <c r="K607" s="548"/>
      <c r="L607" s="548"/>
      <c r="M607" s="548"/>
      <c r="N607" s="552"/>
      <c r="Y607" s="551"/>
    </row>
    <row r="608" spans="1:25">
      <c r="A608" s="499">
        <v>45505</v>
      </c>
      <c r="B608" s="499">
        <v>45506</v>
      </c>
      <c r="C608" s="500" t="s">
        <v>173</v>
      </c>
      <c r="D608" s="500" t="s">
        <v>759</v>
      </c>
      <c r="E608" s="501">
        <v>5003886.45</v>
      </c>
      <c r="F608" s="502" t="s">
        <v>879</v>
      </c>
      <c r="G608" s="100" t="s">
        <v>634</v>
      </c>
      <c r="H608" s="530"/>
      <c r="I608" s="525"/>
      <c r="K608" s="548"/>
      <c r="L608" s="548"/>
      <c r="M608" s="548"/>
      <c r="N608" s="552"/>
      <c r="Y608" s="551"/>
    </row>
    <row r="609" spans="1:25">
      <c r="A609" s="499">
        <v>45505</v>
      </c>
      <c r="B609" s="499">
        <v>45505</v>
      </c>
      <c r="C609" s="500" t="s">
        <v>173</v>
      </c>
      <c r="D609" s="500" t="s">
        <v>760</v>
      </c>
      <c r="E609" s="501">
        <v>-5772321113.4799995</v>
      </c>
      <c r="F609" s="502" t="s">
        <v>879</v>
      </c>
      <c r="G609" s="100" t="s">
        <v>139</v>
      </c>
      <c r="H609" s="530"/>
      <c r="I609" s="525"/>
      <c r="K609" s="548"/>
      <c r="L609" s="548"/>
      <c r="M609" s="548"/>
      <c r="N609" s="552"/>
      <c r="Y609" s="551"/>
    </row>
    <row r="610" spans="1:25">
      <c r="A610" s="499">
        <v>45505</v>
      </c>
      <c r="B610" s="499">
        <v>45505</v>
      </c>
      <c r="C610" s="500" t="s">
        <v>173</v>
      </c>
      <c r="D610" s="500" t="s">
        <v>760</v>
      </c>
      <c r="E610" s="501">
        <v>-25007012.399999999</v>
      </c>
      <c r="F610" s="502" t="s">
        <v>879</v>
      </c>
      <c r="G610" s="100" t="s">
        <v>740</v>
      </c>
      <c r="H610" s="530"/>
      <c r="I610" s="525"/>
      <c r="K610" s="548"/>
      <c r="L610" s="548"/>
      <c r="M610" s="548"/>
      <c r="N610" s="552"/>
      <c r="Y610" s="551"/>
    </row>
    <row r="611" spans="1:25">
      <c r="A611" s="499">
        <v>45505</v>
      </c>
      <c r="B611" s="499">
        <v>45506</v>
      </c>
      <c r="C611" s="500" t="s">
        <v>173</v>
      </c>
      <c r="D611" s="500" t="s">
        <v>760</v>
      </c>
      <c r="E611" s="501">
        <v>5774529089.3900003</v>
      </c>
      <c r="F611" s="502" t="s">
        <v>879</v>
      </c>
      <c r="G611" s="100" t="s">
        <v>139</v>
      </c>
      <c r="H611" s="530"/>
      <c r="I611" s="525"/>
      <c r="K611" s="548"/>
      <c r="L611" s="548"/>
      <c r="M611" s="548"/>
      <c r="N611" s="552"/>
      <c r="Y611" s="551"/>
    </row>
    <row r="612" spans="1:25">
      <c r="A612" s="499">
        <v>45505</v>
      </c>
      <c r="B612" s="499">
        <v>45506</v>
      </c>
      <c r="C612" s="500" t="s">
        <v>173</v>
      </c>
      <c r="D612" s="500" t="s">
        <v>760</v>
      </c>
      <c r="E612" s="501">
        <v>25015894.600000001</v>
      </c>
      <c r="F612" s="502" t="s">
        <v>879</v>
      </c>
      <c r="G612" s="100" t="s">
        <v>740</v>
      </c>
      <c r="H612" s="530"/>
      <c r="I612" s="525"/>
      <c r="K612" s="548"/>
      <c r="L612" s="548"/>
      <c r="M612" s="548"/>
      <c r="N612" s="552"/>
      <c r="Y612" s="551"/>
    </row>
    <row r="613" spans="1:25">
      <c r="A613" s="499">
        <v>45505</v>
      </c>
      <c r="B613" s="499">
        <v>45505</v>
      </c>
      <c r="C613" s="500" t="s">
        <v>173</v>
      </c>
      <c r="D613" s="500" t="s">
        <v>764</v>
      </c>
      <c r="E613" s="501">
        <v>-8001831.3799999999</v>
      </c>
      <c r="F613" s="502" t="s">
        <v>879</v>
      </c>
      <c r="G613" s="100" t="s">
        <v>630</v>
      </c>
      <c r="H613" s="530"/>
      <c r="I613" s="525">
        <v>-1</v>
      </c>
      <c r="K613" s="548"/>
      <c r="L613" s="548"/>
      <c r="M613" s="548"/>
      <c r="N613" s="552"/>
      <c r="Y613" s="551"/>
    </row>
    <row r="614" spans="1:25">
      <c r="A614" s="499">
        <v>45505</v>
      </c>
      <c r="B614" s="499">
        <v>45506</v>
      </c>
      <c r="C614" s="500" t="s">
        <v>173</v>
      </c>
      <c r="D614" s="500" t="s">
        <v>764</v>
      </c>
      <c r="E614" s="501">
        <v>8004717.29</v>
      </c>
      <c r="F614" s="502" t="s">
        <v>879</v>
      </c>
      <c r="G614" s="100" t="s">
        <v>630</v>
      </c>
      <c r="H614" s="530"/>
      <c r="I614" s="525"/>
      <c r="K614" s="548"/>
      <c r="L614" s="548"/>
      <c r="M614" s="548"/>
      <c r="N614" s="552"/>
      <c r="Y614" s="551"/>
    </row>
    <row r="615" spans="1:25">
      <c r="A615" s="499">
        <v>45503</v>
      </c>
      <c r="B615" s="499">
        <v>45505</v>
      </c>
      <c r="C615" s="500" t="s">
        <v>173</v>
      </c>
      <c r="D615" s="500" t="s">
        <v>764</v>
      </c>
      <c r="E615" s="501">
        <v>8326514.0599999996</v>
      </c>
      <c r="F615" s="502" t="s">
        <v>912</v>
      </c>
      <c r="G615" s="100" t="s">
        <v>473</v>
      </c>
      <c r="H615" s="530"/>
      <c r="I615" s="525" t="s">
        <v>653</v>
      </c>
      <c r="J615" s="100"/>
      <c r="K615" s="548"/>
      <c r="L615" s="548"/>
      <c r="M615" s="548"/>
      <c r="N615" s="552">
        <v>8500</v>
      </c>
      <c r="O615" s="539">
        <v>1000</v>
      </c>
      <c r="W615" s="550">
        <f>VLOOKUP(G615,Справочник!A:C,3,0)</f>
        <v>0.1067</v>
      </c>
      <c r="X615" s="539" t="str">
        <f>VLOOKUP(G615,Справочник!A:G,7,0)</f>
        <v>Министерство финансов Республики Казахстан</v>
      </c>
      <c r="Y615" s="551">
        <f>VLOOKUP(G615,Справочник!A:B,2,0)</f>
        <v>46043</v>
      </c>
    </row>
    <row r="616" spans="1:25">
      <c r="A616" s="499">
        <v>45505</v>
      </c>
      <c r="B616" s="499">
        <v>45505</v>
      </c>
      <c r="C616" s="500" t="s">
        <v>173</v>
      </c>
      <c r="D616" s="500" t="s">
        <v>763</v>
      </c>
      <c r="E616" s="501">
        <v>-6216836769.8100004</v>
      </c>
      <c r="F616" s="502" t="s">
        <v>878</v>
      </c>
      <c r="G616" s="100" t="s">
        <v>494</v>
      </c>
      <c r="H616" s="530"/>
      <c r="I616" s="525"/>
      <c r="K616" s="548"/>
      <c r="L616" s="548"/>
      <c r="M616" s="548"/>
      <c r="N616" s="552"/>
      <c r="Y616" s="551"/>
    </row>
    <row r="617" spans="1:25">
      <c r="A617" s="499">
        <v>45505</v>
      </c>
      <c r="B617" s="499">
        <v>45505</v>
      </c>
      <c r="C617" s="500" t="s">
        <v>173</v>
      </c>
      <c r="D617" s="500" t="s">
        <v>763</v>
      </c>
      <c r="E617" s="501">
        <v>-24020167.32</v>
      </c>
      <c r="F617" s="502" t="s">
        <v>878</v>
      </c>
      <c r="G617" s="100" t="s">
        <v>476</v>
      </c>
      <c r="H617" s="530"/>
      <c r="I617" s="525"/>
      <c r="K617" s="548"/>
      <c r="L617" s="548"/>
      <c r="M617" s="548"/>
      <c r="N617" s="552"/>
      <c r="Y617" s="551"/>
    </row>
    <row r="618" spans="1:25">
      <c r="A618" s="499">
        <v>45505</v>
      </c>
      <c r="B618" s="499">
        <v>45505</v>
      </c>
      <c r="C618" s="500" t="s">
        <v>173</v>
      </c>
      <c r="D618" s="500" t="s">
        <v>763</v>
      </c>
      <c r="E618" s="501">
        <v>-1000840.31</v>
      </c>
      <c r="F618" s="502" t="s">
        <v>878</v>
      </c>
      <c r="G618" s="100" t="s">
        <v>476</v>
      </c>
      <c r="H618" s="530"/>
      <c r="I618" s="525"/>
      <c r="K618" s="548"/>
      <c r="L618" s="548"/>
      <c r="M618" s="548"/>
      <c r="N618" s="552"/>
      <c r="Y618" s="551"/>
    </row>
    <row r="619" spans="1:25">
      <c r="A619" s="499">
        <v>45505</v>
      </c>
      <c r="B619" s="499">
        <v>45506</v>
      </c>
      <c r="C619" s="500" t="s">
        <v>173</v>
      </c>
      <c r="D619" s="500" t="s">
        <v>763</v>
      </c>
      <c r="E619" s="501">
        <v>6219102687.9099998</v>
      </c>
      <c r="F619" s="502" t="s">
        <v>879</v>
      </c>
      <c r="G619" s="100" t="s">
        <v>494</v>
      </c>
      <c r="H619" s="530"/>
      <c r="I619" s="525"/>
      <c r="K619" s="548"/>
      <c r="L619" s="548"/>
      <c r="M619" s="548"/>
      <c r="N619" s="552"/>
      <c r="Y619" s="551"/>
    </row>
    <row r="620" spans="1:25">
      <c r="A620" s="499">
        <v>45505</v>
      </c>
      <c r="B620" s="499">
        <v>45506</v>
      </c>
      <c r="C620" s="500" t="s">
        <v>173</v>
      </c>
      <c r="D620" s="500" t="s">
        <v>763</v>
      </c>
      <c r="E620" s="501">
        <v>24028928.84</v>
      </c>
      <c r="F620" s="502" t="s">
        <v>878</v>
      </c>
      <c r="G620" s="100" t="s">
        <v>476</v>
      </c>
      <c r="H620" s="530"/>
      <c r="I620" s="525"/>
      <c r="K620" s="548"/>
      <c r="L620" s="548"/>
      <c r="M620" s="548"/>
      <c r="N620" s="552"/>
      <c r="Y620" s="551"/>
    </row>
    <row r="621" spans="1:25">
      <c r="A621" s="499">
        <v>45505</v>
      </c>
      <c r="B621" s="499">
        <v>45506</v>
      </c>
      <c r="C621" s="500" t="s">
        <v>173</v>
      </c>
      <c r="D621" s="500" t="s">
        <v>763</v>
      </c>
      <c r="E621" s="501">
        <v>1001205.37</v>
      </c>
      <c r="F621" s="502" t="s">
        <v>878</v>
      </c>
      <c r="G621" s="100" t="s">
        <v>476</v>
      </c>
      <c r="H621" s="530"/>
      <c r="I621" s="525"/>
      <c r="K621" s="548"/>
      <c r="L621" s="548"/>
      <c r="M621" s="548"/>
      <c r="N621" s="552"/>
      <c r="Y621" s="551"/>
    </row>
    <row r="622" spans="1:25">
      <c r="A622" s="499">
        <v>45506</v>
      </c>
      <c r="B622" s="499">
        <v>45506</v>
      </c>
      <c r="C622" s="500" t="s">
        <v>173</v>
      </c>
      <c r="D622" s="500" t="s">
        <v>762</v>
      </c>
      <c r="E622" s="501">
        <v>-10009687410</v>
      </c>
      <c r="F622" s="502" t="s">
        <v>878</v>
      </c>
      <c r="G622" s="100" t="s">
        <v>648</v>
      </c>
      <c r="H622" s="530"/>
      <c r="I622" s="525"/>
      <c r="K622" s="548"/>
      <c r="L622" s="548"/>
      <c r="M622" s="548"/>
      <c r="N622" s="552"/>
      <c r="Y622" s="551"/>
    </row>
    <row r="623" spans="1:25">
      <c r="A623" s="499">
        <v>45506</v>
      </c>
      <c r="B623" s="499">
        <v>45506</v>
      </c>
      <c r="C623" s="500" t="s">
        <v>173</v>
      </c>
      <c r="D623" s="500" t="s">
        <v>762</v>
      </c>
      <c r="E623" s="501">
        <v>-1844321372.3199999</v>
      </c>
      <c r="F623" s="502" t="s">
        <v>878</v>
      </c>
      <c r="G623" s="100" t="s">
        <v>686</v>
      </c>
      <c r="H623" s="530"/>
      <c r="I623" s="525"/>
      <c r="K623" s="548"/>
      <c r="L623" s="548"/>
      <c r="M623" s="548"/>
      <c r="N623" s="552"/>
      <c r="Y623" s="551"/>
    </row>
    <row r="624" spans="1:25">
      <c r="A624" s="499">
        <v>45506</v>
      </c>
      <c r="B624" s="499">
        <v>45506</v>
      </c>
      <c r="C624" s="500" t="s">
        <v>173</v>
      </c>
      <c r="D624" s="500" t="s">
        <v>762</v>
      </c>
      <c r="E624" s="501">
        <v>-42000929.960000001</v>
      </c>
      <c r="F624" s="502" t="s">
        <v>878</v>
      </c>
      <c r="G624" s="100" t="s">
        <v>685</v>
      </c>
      <c r="H624" s="530"/>
      <c r="I624" s="525"/>
      <c r="K624" s="548"/>
      <c r="L624" s="548"/>
      <c r="M624" s="548"/>
      <c r="N624" s="552"/>
      <c r="Y624" s="551"/>
    </row>
    <row r="625" spans="1:25">
      <c r="A625" s="499">
        <v>45506</v>
      </c>
      <c r="B625" s="499">
        <v>45509</v>
      </c>
      <c r="C625" s="500" t="s">
        <v>173</v>
      </c>
      <c r="D625" s="500" t="s">
        <v>762</v>
      </c>
      <c r="E625" s="501">
        <v>10020353716.49</v>
      </c>
      <c r="F625" s="502" t="s">
        <v>878</v>
      </c>
      <c r="G625" s="100" t="s">
        <v>648</v>
      </c>
      <c r="H625" s="530"/>
      <c r="I625" s="525"/>
      <c r="K625" s="548"/>
      <c r="L625" s="548"/>
      <c r="M625" s="548"/>
      <c r="N625" s="552"/>
      <c r="Y625" s="551"/>
    </row>
    <row r="626" spans="1:25">
      <c r="A626" s="499">
        <v>45506</v>
      </c>
      <c r="B626" s="499">
        <v>45509</v>
      </c>
      <c r="C626" s="500" t="s">
        <v>173</v>
      </c>
      <c r="D626" s="500" t="s">
        <v>762</v>
      </c>
      <c r="E626" s="501">
        <v>1846286663.03</v>
      </c>
      <c r="F626" s="502" t="s">
        <v>878</v>
      </c>
      <c r="G626" s="100" t="s">
        <v>686</v>
      </c>
      <c r="H626" s="530"/>
      <c r="I626" s="525"/>
      <c r="K626" s="548"/>
      <c r="L626" s="548"/>
      <c r="M626" s="548"/>
      <c r="N626" s="552"/>
      <c r="Y626" s="551"/>
    </row>
    <row r="627" spans="1:25">
      <c r="A627" s="499">
        <v>45506</v>
      </c>
      <c r="B627" s="499">
        <v>45509</v>
      </c>
      <c r="C627" s="500" t="s">
        <v>173</v>
      </c>
      <c r="D627" s="500" t="s">
        <v>762</v>
      </c>
      <c r="E627" s="501">
        <v>42045685.740000002</v>
      </c>
      <c r="F627" s="502" t="s">
        <v>878</v>
      </c>
      <c r="G627" s="100" t="s">
        <v>685</v>
      </c>
      <c r="H627" s="530"/>
      <c r="I627" s="525"/>
      <c r="K627" s="548"/>
      <c r="L627" s="548"/>
      <c r="M627" s="548"/>
      <c r="N627" s="552"/>
      <c r="Y627" s="551"/>
    </row>
    <row r="628" spans="1:25">
      <c r="A628" s="499">
        <v>45505</v>
      </c>
      <c r="B628" s="499">
        <v>45509</v>
      </c>
      <c r="C628" s="500" t="s">
        <v>173</v>
      </c>
      <c r="D628" s="500" t="s">
        <v>761</v>
      </c>
      <c r="E628" s="501">
        <v>204556587.5</v>
      </c>
      <c r="F628" s="502" t="s">
        <v>912</v>
      </c>
      <c r="G628" s="100" t="s">
        <v>448</v>
      </c>
      <c r="H628" s="530"/>
      <c r="I628" s="525"/>
      <c r="K628" s="548"/>
      <c r="L628" s="548"/>
      <c r="M628" s="548"/>
      <c r="N628" s="552">
        <v>225000</v>
      </c>
      <c r="O628" s="539">
        <f>VLOOKUP(G628,[5]Лист1!$B:$K,10,0)</f>
        <v>1000</v>
      </c>
      <c r="W628" s="550">
        <f>VLOOKUP(G628,Справочник!A:C,3,0)</f>
        <v>0.1055</v>
      </c>
      <c r="X628" s="539" t="str">
        <f>VLOOKUP(G628,Справочник!A:G,7,0)</f>
        <v>Министерство финансов Республики Казахстан</v>
      </c>
      <c r="Y628" s="551">
        <f>VLOOKUP(G628,Справочник!A:B,2,0)</f>
        <v>47327</v>
      </c>
    </row>
    <row r="629" spans="1:25">
      <c r="A629" s="499">
        <v>45505</v>
      </c>
      <c r="B629" s="499">
        <v>45509</v>
      </c>
      <c r="C629" s="500" t="s">
        <v>173</v>
      </c>
      <c r="D629" s="500" t="s">
        <v>761</v>
      </c>
      <c r="E629" s="501">
        <v>-204490277.33000001</v>
      </c>
      <c r="F629" s="502" t="s">
        <v>906</v>
      </c>
      <c r="G629" s="100" t="s">
        <v>61</v>
      </c>
      <c r="H629" s="530"/>
      <c r="I629" s="525" t="s">
        <v>717</v>
      </c>
      <c r="K629" s="548">
        <v>113584802</v>
      </c>
      <c r="L629" s="549">
        <v>63.998699999999999</v>
      </c>
      <c r="M629" s="549">
        <f>E629*(-1)/(N629*O629)*100</f>
        <v>65.541755554487182</v>
      </c>
      <c r="N629" s="549">
        <v>312000</v>
      </c>
      <c r="O629" s="539">
        <v>1000</v>
      </c>
      <c r="T629" s="538">
        <v>13.2</v>
      </c>
      <c r="U629" s="538">
        <v>0</v>
      </c>
      <c r="V629" s="538">
        <v>20449.03</v>
      </c>
      <c r="W629" s="550">
        <f>VLOOKUP(G629,Справочник!A:C,3,0)</f>
        <v>5.5E-2</v>
      </c>
      <c r="X629" s="539" t="str">
        <f>VLOOKUP(G629,Справочник!A:G,7,0)</f>
        <v>Министерство финансов Республики Казахстан</v>
      </c>
      <c r="Y629" s="551">
        <f>VLOOKUP(G629,Справочник!A:B,2,0)</f>
        <v>48328</v>
      </c>
    </row>
    <row r="630" spans="1:25">
      <c r="A630" s="499">
        <v>45506</v>
      </c>
      <c r="B630" s="499">
        <v>45506</v>
      </c>
      <c r="C630" s="500" t="s">
        <v>173</v>
      </c>
      <c r="D630" s="500" t="s">
        <v>761</v>
      </c>
      <c r="E630" s="501">
        <v>-287196725.87</v>
      </c>
      <c r="F630" s="502" t="s">
        <v>878</v>
      </c>
      <c r="G630" s="100" t="s">
        <v>799</v>
      </c>
      <c r="H630" s="530"/>
      <c r="I630" s="525"/>
      <c r="K630" s="548"/>
      <c r="L630" s="548"/>
      <c r="M630" s="548"/>
      <c r="N630" s="552"/>
      <c r="Y630" s="551"/>
    </row>
    <row r="631" spans="1:25">
      <c r="A631" s="499">
        <v>45506</v>
      </c>
      <c r="B631" s="499">
        <v>45506</v>
      </c>
      <c r="C631" s="500" t="s">
        <v>173</v>
      </c>
      <c r="D631" s="500" t="s">
        <v>761</v>
      </c>
      <c r="E631" s="501">
        <v>-1502518015.77</v>
      </c>
      <c r="F631" s="502" t="s">
        <v>878</v>
      </c>
      <c r="G631" s="100" t="s">
        <v>683</v>
      </c>
      <c r="H631" s="530"/>
      <c r="I631" s="525"/>
      <c r="K631" s="548"/>
      <c r="L631" s="548"/>
      <c r="M631" s="548"/>
      <c r="N631" s="552"/>
      <c r="Y631" s="551"/>
    </row>
    <row r="632" spans="1:25">
      <c r="A632" s="499">
        <v>45506</v>
      </c>
      <c r="B632" s="499">
        <v>45506</v>
      </c>
      <c r="C632" s="500" t="s">
        <v>173</v>
      </c>
      <c r="D632" s="500" t="s">
        <v>761</v>
      </c>
      <c r="E632" s="501">
        <v>-7002414.1900000004</v>
      </c>
      <c r="F632" s="502" t="s">
        <v>878</v>
      </c>
      <c r="G632" s="100" t="s">
        <v>683</v>
      </c>
      <c r="H632" s="530"/>
      <c r="I632" s="525"/>
      <c r="K632" s="548"/>
      <c r="L632" s="548"/>
      <c r="M632" s="548"/>
      <c r="N632" s="552"/>
      <c r="Y632" s="551"/>
    </row>
    <row r="633" spans="1:25">
      <c r="A633" s="499">
        <v>45506</v>
      </c>
      <c r="B633" s="499">
        <v>45509</v>
      </c>
      <c r="C633" s="500" t="s">
        <v>173</v>
      </c>
      <c r="D633" s="500" t="s">
        <v>761</v>
      </c>
      <c r="E633" s="501">
        <v>287500403.44999999</v>
      </c>
      <c r="F633" s="502" t="s">
        <v>878</v>
      </c>
      <c r="G633" s="100" t="s">
        <v>799</v>
      </c>
      <c r="H633" s="530"/>
      <c r="I633" s="525"/>
      <c r="K633" s="548"/>
      <c r="L633" s="548"/>
      <c r="M633" s="548"/>
      <c r="N633" s="552"/>
      <c r="Y633" s="551"/>
    </row>
    <row r="634" spans="1:25">
      <c r="A634" s="499">
        <v>45506</v>
      </c>
      <c r="B634" s="499">
        <v>45509</v>
      </c>
      <c r="C634" s="500" t="s">
        <v>173</v>
      </c>
      <c r="D634" s="500" t="s">
        <v>761</v>
      </c>
      <c r="E634" s="501">
        <v>1504094440.4300001</v>
      </c>
      <c r="F634" s="502" t="s">
        <v>878</v>
      </c>
      <c r="G634" s="100" t="s">
        <v>683</v>
      </c>
      <c r="H634" s="530"/>
      <c r="I634" s="525"/>
      <c r="K634" s="548"/>
      <c r="L634" s="548"/>
      <c r="M634" s="548"/>
      <c r="N634" s="552"/>
      <c r="Y634" s="551"/>
    </row>
    <row r="635" spans="1:25">
      <c r="A635" s="499">
        <v>45506</v>
      </c>
      <c r="B635" s="499">
        <v>45509</v>
      </c>
      <c r="C635" s="500" t="s">
        <v>173</v>
      </c>
      <c r="D635" s="500" t="s">
        <v>761</v>
      </c>
      <c r="E635" s="501">
        <v>7009761.04</v>
      </c>
      <c r="F635" s="502" t="s">
        <v>878</v>
      </c>
      <c r="G635" s="100" t="s">
        <v>683</v>
      </c>
      <c r="H635" s="530"/>
      <c r="I635" s="525"/>
      <c r="K635" s="548"/>
      <c r="L635" s="548"/>
      <c r="M635" s="548"/>
      <c r="N635" s="552"/>
      <c r="Y635" s="551"/>
    </row>
    <row r="636" spans="1:25">
      <c r="A636" s="499">
        <v>45506</v>
      </c>
      <c r="B636" s="499">
        <v>45506</v>
      </c>
      <c r="C636" s="500" t="s">
        <v>173</v>
      </c>
      <c r="D636" s="500" t="s">
        <v>759</v>
      </c>
      <c r="E636" s="501">
        <v>-996032706.64999998</v>
      </c>
      <c r="F636" s="502" t="s">
        <v>878</v>
      </c>
      <c r="G636" s="100" t="s">
        <v>422</v>
      </c>
      <c r="H636" s="484"/>
      <c r="I636" s="525"/>
      <c r="K636" s="548"/>
      <c r="L636" s="548"/>
      <c r="M636" s="548"/>
      <c r="N636" s="552"/>
      <c r="Y636" s="551"/>
    </row>
    <row r="637" spans="1:25">
      <c r="A637" s="499">
        <v>45506</v>
      </c>
      <c r="B637" s="499">
        <v>45506</v>
      </c>
      <c r="C637" s="500" t="s">
        <v>173</v>
      </c>
      <c r="D637" s="500" t="s">
        <v>759</v>
      </c>
      <c r="E637" s="501">
        <v>-5000164.1900000004</v>
      </c>
      <c r="F637" s="502" t="s">
        <v>878</v>
      </c>
      <c r="G637" s="100" t="s">
        <v>422</v>
      </c>
      <c r="H637" s="484"/>
      <c r="I637" s="525"/>
      <c r="K637" s="548"/>
      <c r="L637" s="548"/>
      <c r="M637" s="548"/>
      <c r="N637" s="552"/>
      <c r="Y637" s="551"/>
    </row>
    <row r="638" spans="1:25">
      <c r="A638" s="499">
        <v>45506</v>
      </c>
      <c r="B638" s="499">
        <v>45509</v>
      </c>
      <c r="C638" s="500" t="s">
        <v>173</v>
      </c>
      <c r="D638" s="500" t="s">
        <v>759</v>
      </c>
      <c r="E638" s="501">
        <v>997087529.77999997</v>
      </c>
      <c r="F638" s="502" t="s">
        <v>878</v>
      </c>
      <c r="G638" s="100" t="s">
        <v>422</v>
      </c>
      <c r="H638" s="530"/>
      <c r="I638" s="525"/>
      <c r="K638" s="548"/>
      <c r="L638" s="548"/>
      <c r="M638" s="548"/>
      <c r="N638" s="552"/>
      <c r="Y638" s="551"/>
    </row>
    <row r="639" spans="1:25">
      <c r="A639" s="499">
        <v>45506</v>
      </c>
      <c r="B639" s="499">
        <v>45509</v>
      </c>
      <c r="C639" s="500" t="s">
        <v>173</v>
      </c>
      <c r="D639" s="500" t="s">
        <v>759</v>
      </c>
      <c r="E639" s="501">
        <v>5005459.49</v>
      </c>
      <c r="F639" s="502" t="s">
        <v>878</v>
      </c>
      <c r="G639" s="100" t="s">
        <v>422</v>
      </c>
      <c r="H639" s="530"/>
      <c r="I639" s="525"/>
      <c r="K639" s="548"/>
      <c r="L639" s="548"/>
      <c r="M639" s="548"/>
      <c r="N639" s="552"/>
      <c r="Y639" s="551"/>
    </row>
    <row r="640" spans="1:25">
      <c r="A640" s="499">
        <v>45506</v>
      </c>
      <c r="B640" s="499">
        <v>45506</v>
      </c>
      <c r="C640" s="500" t="s">
        <v>173</v>
      </c>
      <c r="D640" s="500" t="s">
        <v>760</v>
      </c>
      <c r="E640" s="501">
        <v>-398194009.07999998</v>
      </c>
      <c r="F640" s="502" t="s">
        <v>878</v>
      </c>
      <c r="G640" s="100" t="s">
        <v>92</v>
      </c>
      <c r="H640" s="530"/>
      <c r="I640" s="525"/>
      <c r="K640" s="548"/>
      <c r="L640" s="548"/>
      <c r="M640" s="548"/>
      <c r="N640" s="552"/>
      <c r="Y640" s="551"/>
    </row>
    <row r="641" spans="1:25">
      <c r="A641" s="499">
        <v>45506</v>
      </c>
      <c r="B641" s="499">
        <v>45506</v>
      </c>
      <c r="C641" s="500" t="s">
        <v>173</v>
      </c>
      <c r="D641" s="500" t="s">
        <v>760</v>
      </c>
      <c r="E641" s="501">
        <v>-424339423.87</v>
      </c>
      <c r="F641" s="502" t="s">
        <v>878</v>
      </c>
      <c r="G641" s="100" t="s">
        <v>82</v>
      </c>
      <c r="H641" s="530"/>
      <c r="I641" s="525"/>
      <c r="K641" s="548"/>
      <c r="L641" s="548"/>
      <c r="M641" s="548"/>
      <c r="N641" s="552"/>
      <c r="Y641" s="551"/>
    </row>
    <row r="642" spans="1:25">
      <c r="A642" s="499">
        <v>45506</v>
      </c>
      <c r="B642" s="499">
        <v>45506</v>
      </c>
      <c r="C642" s="500" t="s">
        <v>173</v>
      </c>
      <c r="D642" s="500" t="s">
        <v>760</v>
      </c>
      <c r="E642" s="501">
        <v>-439181518.60000002</v>
      </c>
      <c r="F642" s="502" t="s">
        <v>878</v>
      </c>
      <c r="G642" s="100" t="s">
        <v>597</v>
      </c>
      <c r="H642" s="530"/>
      <c r="I642" s="525"/>
      <c r="K642" s="548"/>
      <c r="L642" s="548"/>
      <c r="M642" s="548"/>
      <c r="N642" s="552"/>
      <c r="Y642" s="551"/>
    </row>
    <row r="643" spans="1:25">
      <c r="A643" s="499">
        <v>45506</v>
      </c>
      <c r="B643" s="499">
        <v>45506</v>
      </c>
      <c r="C643" s="500" t="s">
        <v>173</v>
      </c>
      <c r="D643" s="500" t="s">
        <v>760</v>
      </c>
      <c r="E643" s="501">
        <v>-450160180.64999998</v>
      </c>
      <c r="F643" s="502" t="s">
        <v>878</v>
      </c>
      <c r="G643" s="100" t="s">
        <v>498</v>
      </c>
      <c r="H643" s="530"/>
      <c r="I643" s="525"/>
      <c r="K643" s="548"/>
      <c r="L643" s="548"/>
      <c r="M643" s="548"/>
      <c r="N643" s="552"/>
      <c r="Y643" s="551"/>
    </row>
    <row r="644" spans="1:25">
      <c r="A644" s="499">
        <v>45506</v>
      </c>
      <c r="B644" s="499">
        <v>45506</v>
      </c>
      <c r="C644" s="500" t="s">
        <v>173</v>
      </c>
      <c r="D644" s="500" t="s">
        <v>760</v>
      </c>
      <c r="E644" s="501">
        <v>-423208915.47000003</v>
      </c>
      <c r="F644" s="502" t="s">
        <v>878</v>
      </c>
      <c r="G644" s="100" t="s">
        <v>51</v>
      </c>
      <c r="H644" s="530"/>
      <c r="I644" s="525"/>
      <c r="K644" s="548"/>
      <c r="L644" s="548"/>
      <c r="M644" s="548"/>
      <c r="N644" s="552"/>
      <c r="Y644" s="551"/>
    </row>
    <row r="645" spans="1:25">
      <c r="A645" s="499">
        <v>45506</v>
      </c>
      <c r="B645" s="499">
        <v>45506</v>
      </c>
      <c r="C645" s="500" t="s">
        <v>173</v>
      </c>
      <c r="D645" s="500" t="s">
        <v>760</v>
      </c>
      <c r="E645" s="501">
        <v>-403323085.10000002</v>
      </c>
      <c r="F645" s="502" t="s">
        <v>878</v>
      </c>
      <c r="G645" s="100" t="s">
        <v>603</v>
      </c>
      <c r="H645" s="530"/>
      <c r="I645" s="525"/>
      <c r="K645" s="548"/>
      <c r="L645" s="548"/>
      <c r="M645" s="548"/>
      <c r="N645" s="552"/>
      <c r="Y645" s="551"/>
    </row>
    <row r="646" spans="1:25">
      <c r="A646" s="499">
        <v>45506</v>
      </c>
      <c r="B646" s="499">
        <v>45506</v>
      </c>
      <c r="C646" s="500" t="s">
        <v>173</v>
      </c>
      <c r="D646" s="500" t="s">
        <v>760</v>
      </c>
      <c r="E646" s="501">
        <v>-441009764.62</v>
      </c>
      <c r="F646" s="502" t="s">
        <v>878</v>
      </c>
      <c r="G646" s="100" t="s">
        <v>86</v>
      </c>
      <c r="H646" s="530"/>
      <c r="I646" s="525"/>
      <c r="K646" s="548"/>
      <c r="L646" s="548"/>
      <c r="M646" s="548"/>
      <c r="N646" s="552"/>
      <c r="Y646" s="551"/>
    </row>
    <row r="647" spans="1:25">
      <c r="A647" s="499">
        <v>45506</v>
      </c>
      <c r="B647" s="499">
        <v>45506</v>
      </c>
      <c r="C647" s="500" t="s">
        <v>173</v>
      </c>
      <c r="D647" s="500" t="s">
        <v>760</v>
      </c>
      <c r="E647" s="501">
        <v>-374155472.55000001</v>
      </c>
      <c r="F647" s="502" t="s">
        <v>878</v>
      </c>
      <c r="G647" s="100" t="s">
        <v>548</v>
      </c>
      <c r="H647" s="530"/>
      <c r="I647" s="525"/>
      <c r="K647" s="548"/>
      <c r="L647" s="548"/>
      <c r="M647" s="548"/>
      <c r="N647" s="552"/>
      <c r="Y647" s="551"/>
    </row>
    <row r="648" spans="1:25">
      <c r="A648" s="499">
        <v>45506</v>
      </c>
      <c r="B648" s="499">
        <v>45506</v>
      </c>
      <c r="C648" s="500" t="s">
        <v>173</v>
      </c>
      <c r="D648" s="500" t="s">
        <v>760</v>
      </c>
      <c r="E648" s="501">
        <v>-371180847.66000003</v>
      </c>
      <c r="F648" s="502" t="s">
        <v>878</v>
      </c>
      <c r="G648" s="100" t="s">
        <v>92</v>
      </c>
      <c r="H648" s="530"/>
      <c r="I648" s="525"/>
      <c r="K648" s="548"/>
      <c r="L648" s="548"/>
      <c r="M648" s="548"/>
      <c r="N648" s="552"/>
      <c r="Y648" s="551"/>
    </row>
    <row r="649" spans="1:25">
      <c r="A649" s="499">
        <v>45506</v>
      </c>
      <c r="B649" s="499">
        <v>45506</v>
      </c>
      <c r="C649" s="500" t="s">
        <v>173</v>
      </c>
      <c r="D649" s="500" t="s">
        <v>760</v>
      </c>
      <c r="E649" s="501">
        <v>-457260657.25999999</v>
      </c>
      <c r="F649" s="502" t="s">
        <v>878</v>
      </c>
      <c r="G649" s="100" t="s">
        <v>95</v>
      </c>
      <c r="H649" s="530"/>
      <c r="I649" s="525"/>
      <c r="K649" s="548"/>
      <c r="L649" s="548"/>
      <c r="M649" s="548"/>
      <c r="N649" s="552"/>
      <c r="Y649" s="551"/>
    </row>
    <row r="650" spans="1:25">
      <c r="A650" s="499">
        <v>45506</v>
      </c>
      <c r="B650" s="499">
        <v>45506</v>
      </c>
      <c r="C650" s="500" t="s">
        <v>173</v>
      </c>
      <c r="D650" s="500" t="s">
        <v>760</v>
      </c>
      <c r="E650" s="501">
        <v>-385181625.68000001</v>
      </c>
      <c r="F650" s="502" t="s">
        <v>878</v>
      </c>
      <c r="G650" s="100" t="s">
        <v>601</v>
      </c>
      <c r="H650" s="530"/>
      <c r="I650" s="525"/>
      <c r="K650" s="548"/>
      <c r="L650" s="548"/>
      <c r="M650" s="548"/>
      <c r="N650" s="552"/>
      <c r="Y650" s="551"/>
    </row>
    <row r="651" spans="1:25">
      <c r="A651" s="499">
        <v>45506</v>
      </c>
      <c r="B651" s="499">
        <v>45506</v>
      </c>
      <c r="C651" s="500" t="s">
        <v>173</v>
      </c>
      <c r="D651" s="500" t="s">
        <v>760</v>
      </c>
      <c r="E651" s="501">
        <v>-359047337.01999998</v>
      </c>
      <c r="F651" s="502" t="s">
        <v>878</v>
      </c>
      <c r="G651" s="100" t="s">
        <v>593</v>
      </c>
      <c r="H651" s="530"/>
      <c r="I651" s="525"/>
      <c r="K651" s="548"/>
      <c r="L651" s="548"/>
      <c r="M651" s="548"/>
      <c r="N651" s="552"/>
      <c r="Y651" s="551"/>
    </row>
    <row r="652" spans="1:25">
      <c r="A652" s="499">
        <v>45506</v>
      </c>
      <c r="B652" s="499">
        <v>45506</v>
      </c>
      <c r="C652" s="500" t="s">
        <v>173</v>
      </c>
      <c r="D652" s="500" t="s">
        <v>760</v>
      </c>
      <c r="E652" s="501">
        <v>-384158777.08999997</v>
      </c>
      <c r="F652" s="502" t="s">
        <v>878</v>
      </c>
      <c r="G652" s="100" t="s">
        <v>597</v>
      </c>
      <c r="H652" s="530"/>
      <c r="I652" s="525"/>
      <c r="K652" s="548"/>
      <c r="L652" s="548"/>
      <c r="M652" s="548"/>
      <c r="N652" s="552"/>
      <c r="Y652" s="551"/>
    </row>
    <row r="653" spans="1:25">
      <c r="A653" s="499">
        <v>45506</v>
      </c>
      <c r="B653" s="499">
        <v>45506</v>
      </c>
      <c r="C653" s="500" t="s">
        <v>173</v>
      </c>
      <c r="D653" s="500" t="s">
        <v>760</v>
      </c>
      <c r="E653" s="501">
        <v>-465192269.13</v>
      </c>
      <c r="F653" s="502" t="s">
        <v>878</v>
      </c>
      <c r="G653" s="100" t="s">
        <v>597</v>
      </c>
      <c r="H653" s="530"/>
      <c r="I653" s="525"/>
      <c r="K653" s="548"/>
      <c r="L653" s="548"/>
      <c r="M653" s="548"/>
      <c r="N653" s="552"/>
      <c r="Y653" s="551"/>
    </row>
    <row r="654" spans="1:25">
      <c r="A654" s="499">
        <v>45506</v>
      </c>
      <c r="B654" s="499">
        <v>45506</v>
      </c>
      <c r="C654" s="500" t="s">
        <v>173</v>
      </c>
      <c r="D654" s="500" t="s">
        <v>760</v>
      </c>
      <c r="E654" s="501">
        <v>-23000086.350000001</v>
      </c>
      <c r="F654" s="502" t="s">
        <v>878</v>
      </c>
      <c r="G654" s="100" t="s">
        <v>645</v>
      </c>
      <c r="H654" s="530"/>
      <c r="I654" s="525"/>
      <c r="K654" s="548"/>
      <c r="L654" s="548"/>
      <c r="M654" s="548"/>
      <c r="N654" s="552"/>
      <c r="Y654" s="551"/>
    </row>
    <row r="655" spans="1:25">
      <c r="A655" s="499">
        <v>45506</v>
      </c>
      <c r="B655" s="499">
        <v>45509</v>
      </c>
      <c r="C655" s="500" t="s">
        <v>173</v>
      </c>
      <c r="D655" s="500" t="s">
        <v>760</v>
      </c>
      <c r="E655" s="501">
        <v>398628102.56</v>
      </c>
      <c r="F655" s="502" t="s">
        <v>878</v>
      </c>
      <c r="G655" s="100" t="s">
        <v>92</v>
      </c>
      <c r="H655" s="530"/>
      <c r="I655" s="525"/>
      <c r="K655" s="548"/>
      <c r="L655" s="548"/>
      <c r="M655" s="548"/>
      <c r="N655" s="552"/>
      <c r="Y655" s="551"/>
    </row>
    <row r="656" spans="1:25">
      <c r="A656" s="499">
        <v>45506</v>
      </c>
      <c r="B656" s="499">
        <v>45509</v>
      </c>
      <c r="C656" s="500" t="s">
        <v>173</v>
      </c>
      <c r="D656" s="500" t="s">
        <v>760</v>
      </c>
      <c r="E656" s="501">
        <v>424802019.93000001</v>
      </c>
      <c r="F656" s="502" t="s">
        <v>878</v>
      </c>
      <c r="G656" s="100" t="s">
        <v>82</v>
      </c>
      <c r="H656" s="530"/>
      <c r="I656" s="525"/>
      <c r="K656" s="548"/>
      <c r="L656" s="548"/>
      <c r="M656" s="548"/>
      <c r="N656" s="552"/>
      <c r="Y656" s="551"/>
    </row>
    <row r="657" spans="1:25">
      <c r="A657" s="499">
        <v>45506</v>
      </c>
      <c r="B657" s="499">
        <v>45509</v>
      </c>
      <c r="C657" s="500" t="s">
        <v>173</v>
      </c>
      <c r="D657" s="500" t="s">
        <v>760</v>
      </c>
      <c r="E657" s="501">
        <v>439660294.85000002</v>
      </c>
      <c r="F657" s="502" t="s">
        <v>878</v>
      </c>
      <c r="G657" s="100" t="s">
        <v>597</v>
      </c>
      <c r="H657" s="530"/>
      <c r="I657" s="525"/>
      <c r="K657" s="548"/>
      <c r="L657" s="548"/>
      <c r="M657" s="548"/>
      <c r="N657" s="552"/>
      <c r="Y657" s="551"/>
    </row>
    <row r="658" spans="1:25">
      <c r="A658" s="499">
        <v>45506</v>
      </c>
      <c r="B658" s="499">
        <v>45509</v>
      </c>
      <c r="C658" s="500" t="s">
        <v>173</v>
      </c>
      <c r="D658" s="500" t="s">
        <v>760</v>
      </c>
      <c r="E658" s="501">
        <v>450650925.35000002</v>
      </c>
      <c r="F658" s="502" t="s">
        <v>878</v>
      </c>
      <c r="G658" s="100" t="s">
        <v>498</v>
      </c>
      <c r="H658" s="530"/>
      <c r="I658" s="525"/>
      <c r="K658" s="548"/>
      <c r="L658" s="548"/>
      <c r="M658" s="548"/>
      <c r="N658" s="552"/>
      <c r="Y658" s="551"/>
    </row>
    <row r="659" spans="1:25">
      <c r="A659" s="499">
        <v>45506</v>
      </c>
      <c r="B659" s="499">
        <v>45509</v>
      </c>
      <c r="C659" s="500" t="s">
        <v>173</v>
      </c>
      <c r="D659" s="500" t="s">
        <v>760</v>
      </c>
      <c r="E659" s="501">
        <v>423670279.10000002</v>
      </c>
      <c r="F659" s="502" t="s">
        <v>878</v>
      </c>
      <c r="G659" s="100" t="s">
        <v>51</v>
      </c>
      <c r="H659" s="530"/>
      <c r="I659" s="525"/>
      <c r="K659" s="548"/>
      <c r="L659" s="548"/>
      <c r="M659" s="548"/>
      <c r="N659" s="552"/>
      <c r="Y659" s="551"/>
    </row>
    <row r="660" spans="1:25">
      <c r="A660" s="499">
        <v>45506</v>
      </c>
      <c r="B660" s="499">
        <v>45509</v>
      </c>
      <c r="C660" s="500" t="s">
        <v>173</v>
      </c>
      <c r="D660" s="500" t="s">
        <v>760</v>
      </c>
      <c r="E660" s="501">
        <v>403762770.07999998</v>
      </c>
      <c r="F660" s="502" t="s">
        <v>878</v>
      </c>
      <c r="G660" s="100" t="s">
        <v>603</v>
      </c>
      <c r="H660" s="530"/>
      <c r="I660" s="525"/>
      <c r="K660" s="548"/>
      <c r="L660" s="548"/>
      <c r="M660" s="548"/>
      <c r="N660" s="552"/>
      <c r="Y660" s="551"/>
    </row>
    <row r="661" spans="1:25">
      <c r="A661" s="499">
        <v>45506</v>
      </c>
      <c r="B661" s="499">
        <v>45509</v>
      </c>
      <c r="C661" s="500" t="s">
        <v>173</v>
      </c>
      <c r="D661" s="500" t="s">
        <v>760</v>
      </c>
      <c r="E661" s="501">
        <v>441490533.94999999</v>
      </c>
      <c r="F661" s="502" t="s">
        <v>878</v>
      </c>
      <c r="G661" s="100" t="s">
        <v>86</v>
      </c>
      <c r="H661" s="530"/>
      <c r="I661" s="525"/>
      <c r="K661" s="548"/>
      <c r="L661" s="548"/>
      <c r="M661" s="548"/>
      <c r="N661" s="552"/>
      <c r="Y661" s="551"/>
    </row>
    <row r="662" spans="1:25">
      <c r="A662" s="499">
        <v>45506</v>
      </c>
      <c r="B662" s="499">
        <v>45509</v>
      </c>
      <c r="C662" s="500" t="s">
        <v>173</v>
      </c>
      <c r="D662" s="500" t="s">
        <v>760</v>
      </c>
      <c r="E662" s="501">
        <v>374563360.29000002</v>
      </c>
      <c r="F662" s="502" t="s">
        <v>878</v>
      </c>
      <c r="G662" s="100" t="s">
        <v>548</v>
      </c>
      <c r="H662" s="530"/>
      <c r="I662" s="525"/>
      <c r="K662" s="548"/>
      <c r="L662" s="548"/>
      <c r="M662" s="548"/>
      <c r="N662" s="552"/>
      <c r="Y662" s="551"/>
    </row>
    <row r="663" spans="1:25">
      <c r="A663" s="499">
        <v>45506</v>
      </c>
      <c r="B663" s="499">
        <v>45509</v>
      </c>
      <c r="C663" s="500" t="s">
        <v>173</v>
      </c>
      <c r="D663" s="500" t="s">
        <v>760</v>
      </c>
      <c r="E663" s="501">
        <v>371585492.58999997</v>
      </c>
      <c r="F663" s="502" t="s">
        <v>878</v>
      </c>
      <c r="G663" s="100" t="s">
        <v>92</v>
      </c>
      <c r="H663" s="530"/>
      <c r="I663" s="525"/>
      <c r="K663" s="548"/>
      <c r="L663" s="548"/>
      <c r="M663" s="548"/>
      <c r="N663" s="552"/>
      <c r="Y663" s="551"/>
    </row>
    <row r="664" spans="1:25">
      <c r="A664" s="499">
        <v>45506</v>
      </c>
      <c r="B664" s="499">
        <v>45509</v>
      </c>
      <c r="C664" s="500" t="s">
        <v>173</v>
      </c>
      <c r="D664" s="500" t="s">
        <v>760</v>
      </c>
      <c r="E664" s="501">
        <v>457759142.58999997</v>
      </c>
      <c r="F664" s="502" t="s">
        <v>878</v>
      </c>
      <c r="G664" s="100" t="s">
        <v>95</v>
      </c>
      <c r="H664" s="530"/>
      <c r="I664" s="525"/>
      <c r="K664" s="548"/>
      <c r="L664" s="548"/>
      <c r="M664" s="548"/>
      <c r="N664" s="552"/>
      <c r="Y664" s="551"/>
    </row>
    <row r="665" spans="1:25">
      <c r="A665" s="499">
        <v>45506</v>
      </c>
      <c r="B665" s="499">
        <v>45509</v>
      </c>
      <c r="C665" s="500" t="s">
        <v>173</v>
      </c>
      <c r="D665" s="500" t="s">
        <v>760</v>
      </c>
      <c r="E665" s="501">
        <v>385601533.63999999</v>
      </c>
      <c r="F665" s="502" t="s">
        <v>878</v>
      </c>
      <c r="G665" s="100" t="s">
        <v>601</v>
      </c>
      <c r="H665" s="530"/>
      <c r="I665" s="525"/>
      <c r="K665" s="548"/>
      <c r="L665" s="548"/>
      <c r="M665" s="548"/>
      <c r="N665" s="552"/>
      <c r="Y665" s="551"/>
    </row>
    <row r="666" spans="1:25">
      <c r="A666" s="499">
        <v>45506</v>
      </c>
      <c r="B666" s="499">
        <v>45509</v>
      </c>
      <c r="C666" s="500" t="s">
        <v>173</v>
      </c>
      <c r="D666" s="500" t="s">
        <v>760</v>
      </c>
      <c r="E666" s="501">
        <v>359438754.52999997</v>
      </c>
      <c r="F666" s="502" t="s">
        <v>878</v>
      </c>
      <c r="G666" s="100" t="s">
        <v>593</v>
      </c>
      <c r="H666" s="530"/>
      <c r="I666" s="525">
        <v>-1</v>
      </c>
      <c r="K666" s="548"/>
      <c r="L666" s="548"/>
      <c r="M666" s="548"/>
      <c r="N666" s="552"/>
      <c r="Y666" s="551"/>
    </row>
    <row r="667" spans="1:25">
      <c r="A667" s="499">
        <v>45506</v>
      </c>
      <c r="B667" s="499">
        <v>45509</v>
      </c>
      <c r="C667" s="500" t="s">
        <v>173</v>
      </c>
      <c r="D667" s="500" t="s">
        <v>760</v>
      </c>
      <c r="E667" s="501">
        <v>384577569.99000001</v>
      </c>
      <c r="F667" s="502" t="s">
        <v>878</v>
      </c>
      <c r="G667" s="100" t="s">
        <v>597</v>
      </c>
      <c r="H667" s="530"/>
      <c r="I667" s="525"/>
      <c r="K667" s="548"/>
      <c r="L667" s="548"/>
      <c r="M667" s="548"/>
      <c r="N667" s="552"/>
      <c r="Y667" s="551"/>
    </row>
    <row r="668" spans="1:25">
      <c r="A668" s="499">
        <v>45506</v>
      </c>
      <c r="B668" s="499">
        <v>45509</v>
      </c>
      <c r="C668" s="500" t="s">
        <v>173</v>
      </c>
      <c r="D668" s="500" t="s">
        <v>760</v>
      </c>
      <c r="E668" s="501">
        <v>465699401.14999998</v>
      </c>
      <c r="F668" s="502" t="s">
        <v>878</v>
      </c>
      <c r="G668" s="100" t="s">
        <v>597</v>
      </c>
      <c r="H668" s="530"/>
      <c r="I668" s="525"/>
      <c r="K668" s="548"/>
      <c r="L668" s="548"/>
      <c r="M668" s="548"/>
      <c r="N668" s="552"/>
      <c r="Y668" s="551"/>
    </row>
    <row r="669" spans="1:25">
      <c r="A669" s="499">
        <v>45506</v>
      </c>
      <c r="B669" s="499">
        <v>45509</v>
      </c>
      <c r="C669" s="500" t="s">
        <v>173</v>
      </c>
      <c r="D669" s="500" t="s">
        <v>760</v>
      </c>
      <c r="E669" s="501">
        <v>23025160.030000001</v>
      </c>
      <c r="F669" s="502" t="s">
        <v>878</v>
      </c>
      <c r="G669" s="100" t="s">
        <v>645</v>
      </c>
      <c r="H669" s="530"/>
      <c r="I669" s="525"/>
      <c r="K669" s="548"/>
      <c r="L669" s="548"/>
      <c r="M669" s="548"/>
      <c r="N669" s="552"/>
      <c r="Y669" s="551"/>
    </row>
    <row r="670" spans="1:25">
      <c r="A670" s="499">
        <v>45506</v>
      </c>
      <c r="B670" s="499">
        <v>45506</v>
      </c>
      <c r="C670" s="500" t="s">
        <v>173</v>
      </c>
      <c r="D670" s="500" t="s">
        <v>763</v>
      </c>
      <c r="E670" s="501">
        <v>-27003416.969999999</v>
      </c>
      <c r="F670" s="502" t="s">
        <v>878</v>
      </c>
      <c r="G670" s="100" t="s">
        <v>139</v>
      </c>
      <c r="H670" s="530"/>
      <c r="I670" s="525"/>
      <c r="K670" s="548"/>
      <c r="L670" s="548"/>
      <c r="M670" s="548"/>
      <c r="N670" s="552"/>
      <c r="Y670" s="551"/>
    </row>
    <row r="671" spans="1:25">
      <c r="A671" s="499">
        <v>45506</v>
      </c>
      <c r="B671" s="499">
        <v>45506</v>
      </c>
      <c r="C671" s="500" t="s">
        <v>173</v>
      </c>
      <c r="D671" s="500" t="s">
        <v>763</v>
      </c>
      <c r="E671" s="501">
        <v>-4933018519.4700003</v>
      </c>
      <c r="F671" s="502" t="s">
        <v>878</v>
      </c>
      <c r="G671" s="100" t="s">
        <v>645</v>
      </c>
      <c r="H671" s="530"/>
      <c r="I671" s="525"/>
      <c r="K671" s="548"/>
      <c r="L671" s="548"/>
      <c r="M671" s="548"/>
      <c r="N671" s="552"/>
      <c r="Y671" s="551"/>
    </row>
    <row r="672" spans="1:25">
      <c r="A672" s="499">
        <v>45506</v>
      </c>
      <c r="B672" s="499">
        <v>45506</v>
      </c>
      <c r="C672" s="500" t="s">
        <v>173</v>
      </c>
      <c r="D672" s="500" t="s">
        <v>763</v>
      </c>
      <c r="E672" s="501">
        <v>-417052773.26999998</v>
      </c>
      <c r="F672" s="502" t="s">
        <v>878</v>
      </c>
      <c r="G672" s="100" t="s">
        <v>139</v>
      </c>
      <c r="H672" s="530"/>
      <c r="I672" s="525"/>
      <c r="K672" s="548"/>
      <c r="L672" s="548"/>
      <c r="M672" s="548"/>
      <c r="N672" s="552"/>
      <c r="Y672" s="551"/>
    </row>
    <row r="673" spans="1:25">
      <c r="A673" s="499">
        <v>45506</v>
      </c>
      <c r="B673" s="499">
        <v>45506</v>
      </c>
      <c r="C673" s="500" t="s">
        <v>173</v>
      </c>
      <c r="D673" s="500" t="s">
        <v>763</v>
      </c>
      <c r="E673" s="501">
        <v>-866649065.26999998</v>
      </c>
      <c r="F673" s="502" t="s">
        <v>878</v>
      </c>
      <c r="G673" s="100" t="s">
        <v>78</v>
      </c>
      <c r="H673" s="530"/>
      <c r="I673" s="525"/>
      <c r="K673" s="548"/>
      <c r="L673" s="548"/>
      <c r="M673" s="548"/>
      <c r="N673" s="552"/>
      <c r="Y673" s="551"/>
    </row>
    <row r="674" spans="1:25">
      <c r="A674" s="499">
        <v>45506</v>
      </c>
      <c r="B674" s="499">
        <v>45509</v>
      </c>
      <c r="C674" s="500" t="s">
        <v>173</v>
      </c>
      <c r="D674" s="500" t="s">
        <v>763</v>
      </c>
      <c r="E674" s="501">
        <v>27032523.109999999</v>
      </c>
      <c r="F674" s="502" t="s">
        <v>878</v>
      </c>
      <c r="G674" s="100" t="s">
        <v>139</v>
      </c>
      <c r="H674" s="530"/>
      <c r="I674" s="525"/>
      <c r="K674" s="548"/>
      <c r="L674" s="548"/>
      <c r="M674" s="548"/>
      <c r="N674" s="552"/>
      <c r="Y674" s="551"/>
    </row>
    <row r="675" spans="1:25">
      <c r="A675" s="499">
        <v>45506</v>
      </c>
      <c r="B675" s="499">
        <v>45509</v>
      </c>
      <c r="C675" s="500" t="s">
        <v>173</v>
      </c>
      <c r="D675" s="500" t="s">
        <v>763</v>
      </c>
      <c r="E675" s="501">
        <v>4938335666.4799995</v>
      </c>
      <c r="F675" s="502" t="s">
        <v>878</v>
      </c>
      <c r="G675" s="100" t="s">
        <v>645</v>
      </c>
      <c r="H675" s="530"/>
      <c r="I675" s="525"/>
      <c r="K675" s="548"/>
      <c r="L675" s="548"/>
      <c r="M675" s="548"/>
      <c r="N675" s="552"/>
      <c r="Y675" s="551"/>
    </row>
    <row r="676" spans="1:25">
      <c r="A676" s="499">
        <v>45506</v>
      </c>
      <c r="B676" s="499">
        <v>45509</v>
      </c>
      <c r="C676" s="500" t="s">
        <v>173</v>
      </c>
      <c r="D676" s="500" t="s">
        <v>763</v>
      </c>
      <c r="E676" s="501">
        <v>417502301.45999998</v>
      </c>
      <c r="F676" s="502" t="s">
        <v>878</v>
      </c>
      <c r="G676" s="100" t="s">
        <v>139</v>
      </c>
      <c r="H676" s="530"/>
      <c r="I676" s="525"/>
      <c r="K676" s="548"/>
      <c r="L676" s="548"/>
      <c r="M676" s="548"/>
      <c r="N676" s="552"/>
      <c r="Y676" s="551"/>
    </row>
    <row r="677" spans="1:25">
      <c r="A677" s="499">
        <v>45506</v>
      </c>
      <c r="B677" s="499">
        <v>45509</v>
      </c>
      <c r="C677" s="500" t="s">
        <v>173</v>
      </c>
      <c r="D677" s="500" t="s">
        <v>763</v>
      </c>
      <c r="E677" s="501">
        <v>867583206.40999997</v>
      </c>
      <c r="F677" s="502" t="s">
        <v>878</v>
      </c>
      <c r="G677" s="100" t="s">
        <v>78</v>
      </c>
      <c r="H677" s="530"/>
      <c r="I677" s="525"/>
      <c r="K677" s="548"/>
      <c r="L677" s="548"/>
      <c r="M677" s="548"/>
      <c r="N677" s="552"/>
      <c r="Y677" s="551"/>
    </row>
    <row r="678" spans="1:25">
      <c r="A678" s="499">
        <v>45504</v>
      </c>
      <c r="B678" s="499">
        <v>45506</v>
      </c>
      <c r="C678" s="500" t="s">
        <v>173</v>
      </c>
      <c r="D678" s="500" t="s">
        <v>764</v>
      </c>
      <c r="E678" s="501">
        <v>5999059.7000000002</v>
      </c>
      <c r="F678" s="502" t="s">
        <v>912</v>
      </c>
      <c r="G678" s="100" t="s">
        <v>473</v>
      </c>
      <c r="H678" s="530"/>
      <c r="I678" s="525" t="s">
        <v>653</v>
      </c>
      <c r="J678" s="100"/>
      <c r="K678" s="548"/>
      <c r="L678" s="548"/>
      <c r="M678" s="548"/>
      <c r="N678" s="552">
        <v>6122</v>
      </c>
      <c r="O678" s="539">
        <v>1000</v>
      </c>
      <c r="W678" s="550">
        <f>VLOOKUP(G678,Справочник!A:C,3,0)</f>
        <v>0.1067</v>
      </c>
      <c r="X678" s="539" t="str">
        <f>VLOOKUP(G678,Справочник!A:G,7,0)</f>
        <v>Министерство финансов Республики Казахстан</v>
      </c>
      <c r="Y678" s="551">
        <f>VLOOKUP(G678,Справочник!A:B,2,0)</f>
        <v>46043</v>
      </c>
    </row>
    <row r="679" spans="1:25">
      <c r="A679" s="499">
        <v>45504</v>
      </c>
      <c r="B679" s="499">
        <v>45506</v>
      </c>
      <c r="C679" s="500" t="s">
        <v>173</v>
      </c>
      <c r="D679" s="500" t="s">
        <v>764</v>
      </c>
      <c r="E679" s="501">
        <v>8199956.1399999997</v>
      </c>
      <c r="F679" s="502" t="s">
        <v>912</v>
      </c>
      <c r="G679" s="100" t="s">
        <v>473</v>
      </c>
      <c r="H679" s="530"/>
      <c r="I679" s="525" t="s">
        <v>653</v>
      </c>
      <c r="J679" s="100"/>
      <c r="K679" s="548"/>
      <c r="L679" s="548"/>
      <c r="M679" s="548"/>
      <c r="N679" s="552">
        <v>8368</v>
      </c>
      <c r="O679" s="539">
        <v>1000</v>
      </c>
      <c r="W679" s="550">
        <f>VLOOKUP(G679,Справочник!A:C,3,0)</f>
        <v>0.1067</v>
      </c>
      <c r="X679" s="539" t="str">
        <f>VLOOKUP(G679,Справочник!A:G,7,0)</f>
        <v>Министерство финансов Республики Казахстан</v>
      </c>
      <c r="Y679" s="551">
        <f>VLOOKUP(G679,Справочник!A:B,2,0)</f>
        <v>46043</v>
      </c>
    </row>
    <row r="680" spans="1:25">
      <c r="A680" s="499">
        <v>45506</v>
      </c>
      <c r="B680" s="499">
        <v>45506</v>
      </c>
      <c r="C680" s="500" t="s">
        <v>173</v>
      </c>
      <c r="D680" s="500" t="s">
        <v>764</v>
      </c>
      <c r="E680" s="501">
        <v>-10004157.02</v>
      </c>
      <c r="F680" s="502" t="s">
        <v>878</v>
      </c>
      <c r="G680" s="100" t="s">
        <v>547</v>
      </c>
      <c r="H680" s="530"/>
      <c r="I680" s="525"/>
      <c r="K680" s="548"/>
      <c r="L680" s="548"/>
      <c r="M680" s="548"/>
      <c r="N680" s="552"/>
      <c r="Y680" s="551"/>
    </row>
    <row r="681" spans="1:25">
      <c r="A681" s="499">
        <v>45506</v>
      </c>
      <c r="B681" s="499">
        <v>45506</v>
      </c>
      <c r="C681" s="500" t="s">
        <v>173</v>
      </c>
      <c r="D681" s="500" t="s">
        <v>764</v>
      </c>
      <c r="E681" s="501">
        <v>-12010580.640000001</v>
      </c>
      <c r="F681" s="502" t="s">
        <v>878</v>
      </c>
      <c r="G681" s="100" t="s">
        <v>604</v>
      </c>
      <c r="H681" s="530"/>
      <c r="I681" s="525"/>
      <c r="K681" s="548"/>
      <c r="L681" s="548"/>
      <c r="M681" s="548"/>
      <c r="N681" s="552"/>
      <c r="Y681" s="551"/>
    </row>
    <row r="682" spans="1:25">
      <c r="A682" s="499">
        <v>45506</v>
      </c>
      <c r="B682" s="499">
        <v>45513</v>
      </c>
      <c r="C682" s="500" t="s">
        <v>173</v>
      </c>
      <c r="D682" s="500" t="s">
        <v>764</v>
      </c>
      <c r="E682" s="501">
        <v>10029700.42</v>
      </c>
      <c r="F682" s="502" t="s">
        <v>878</v>
      </c>
      <c r="G682" s="100" t="s">
        <v>547</v>
      </c>
      <c r="H682" s="530"/>
      <c r="I682" s="525"/>
      <c r="K682" s="548"/>
      <c r="L682" s="548"/>
      <c r="M682" s="548"/>
      <c r="N682" s="552"/>
      <c r="Y682" s="551"/>
    </row>
    <row r="683" spans="1:25">
      <c r="A683" s="499">
        <v>45506</v>
      </c>
      <c r="B683" s="499">
        <v>45537</v>
      </c>
      <c r="C683" s="500" t="s">
        <v>173</v>
      </c>
      <c r="D683" s="500" t="s">
        <v>764</v>
      </c>
      <c r="E683" s="501">
        <v>12146084.630000001</v>
      </c>
      <c r="F683" s="502" t="s">
        <v>878</v>
      </c>
      <c r="G683" s="100" t="s">
        <v>604</v>
      </c>
      <c r="H683" s="530"/>
      <c r="I683" s="525"/>
      <c r="K683" s="548"/>
      <c r="L683" s="548"/>
      <c r="M683" s="548"/>
      <c r="N683" s="552"/>
      <c r="Y683" s="551"/>
    </row>
    <row r="684" spans="1:25">
      <c r="A684" s="499">
        <v>45509</v>
      </c>
      <c r="B684" s="499">
        <v>45509</v>
      </c>
      <c r="C684" s="500" t="s">
        <v>173</v>
      </c>
      <c r="D684" s="500" t="s">
        <v>762</v>
      </c>
      <c r="E684" s="501">
        <v>-502209524.95999998</v>
      </c>
      <c r="F684" s="502" t="s">
        <v>878</v>
      </c>
      <c r="G684" s="100" t="s">
        <v>633</v>
      </c>
      <c r="H684" s="530"/>
      <c r="I684" s="525"/>
      <c r="K684" s="548"/>
      <c r="L684" s="548"/>
      <c r="M684" s="548"/>
      <c r="N684" s="552"/>
      <c r="Y684" s="551"/>
    </row>
    <row r="685" spans="1:25">
      <c r="A685" s="499">
        <v>45509</v>
      </c>
      <c r="B685" s="499">
        <v>45509</v>
      </c>
      <c r="C685" s="500" t="s">
        <v>173</v>
      </c>
      <c r="D685" s="500" t="s">
        <v>762</v>
      </c>
      <c r="E685" s="501">
        <v>-457328788.64999998</v>
      </c>
      <c r="F685" s="502" t="s">
        <v>878</v>
      </c>
      <c r="G685" s="100" t="s">
        <v>681</v>
      </c>
      <c r="H685" s="530"/>
      <c r="I685" s="525"/>
      <c r="K685" s="548"/>
      <c r="L685" s="548"/>
      <c r="M685" s="548"/>
      <c r="N685" s="552"/>
      <c r="Y685" s="551"/>
    </row>
    <row r="686" spans="1:25">
      <c r="A686" s="499">
        <v>45509</v>
      </c>
      <c r="B686" s="499">
        <v>45509</v>
      </c>
      <c r="C686" s="500" t="s">
        <v>173</v>
      </c>
      <c r="D686" s="500" t="s">
        <v>762</v>
      </c>
      <c r="E686" s="501">
        <v>-812275746.75999999</v>
      </c>
      <c r="F686" s="502" t="s">
        <v>878</v>
      </c>
      <c r="G686" s="100" t="s">
        <v>630</v>
      </c>
      <c r="H686" s="530"/>
      <c r="I686" s="525"/>
      <c r="K686" s="548"/>
      <c r="L686" s="548"/>
      <c r="M686" s="548"/>
      <c r="N686" s="552"/>
      <c r="Y686" s="551"/>
    </row>
    <row r="687" spans="1:25">
      <c r="A687" s="499">
        <v>45509</v>
      </c>
      <c r="B687" s="499">
        <v>45509</v>
      </c>
      <c r="C687" s="500" t="s">
        <v>173</v>
      </c>
      <c r="D687" s="500" t="s">
        <v>762</v>
      </c>
      <c r="E687" s="501">
        <v>-2000043336</v>
      </c>
      <c r="F687" s="502" t="s">
        <v>878</v>
      </c>
      <c r="G687" s="100" t="s">
        <v>644</v>
      </c>
      <c r="H687" s="530"/>
      <c r="I687" s="525"/>
      <c r="K687" s="548"/>
      <c r="L687" s="548"/>
      <c r="M687" s="548"/>
      <c r="N687" s="552"/>
      <c r="Y687" s="551"/>
    </row>
    <row r="688" spans="1:25">
      <c r="A688" s="499">
        <v>45509</v>
      </c>
      <c r="B688" s="499">
        <v>45509</v>
      </c>
      <c r="C688" s="500" t="s">
        <v>173</v>
      </c>
      <c r="D688" s="500" t="s">
        <v>762</v>
      </c>
      <c r="E688" s="501">
        <v>-2001744768</v>
      </c>
      <c r="F688" s="502" t="s">
        <v>878</v>
      </c>
      <c r="G688" s="100" t="s">
        <v>648</v>
      </c>
      <c r="H688" s="530"/>
      <c r="I688" s="525"/>
      <c r="K688" s="548"/>
      <c r="L688" s="548"/>
      <c r="M688" s="548"/>
      <c r="N688" s="552"/>
      <c r="Y688" s="551"/>
    </row>
    <row r="689" spans="1:25">
      <c r="A689" s="499">
        <v>45509</v>
      </c>
      <c r="B689" s="499">
        <v>45509</v>
      </c>
      <c r="C689" s="500" t="s">
        <v>173</v>
      </c>
      <c r="D689" s="500" t="s">
        <v>762</v>
      </c>
      <c r="E689" s="501">
        <v>-5000108340</v>
      </c>
      <c r="F689" s="502" t="s">
        <v>878</v>
      </c>
      <c r="G689" s="100" t="s">
        <v>644</v>
      </c>
      <c r="H689" s="530"/>
      <c r="I689" s="525"/>
      <c r="K689" s="548"/>
      <c r="L689" s="548"/>
      <c r="M689" s="548"/>
      <c r="N689" s="552"/>
      <c r="Y689" s="551"/>
    </row>
    <row r="690" spans="1:25">
      <c r="A690" s="499">
        <v>45509</v>
      </c>
      <c r="B690" s="499">
        <v>45509</v>
      </c>
      <c r="C690" s="500" t="s">
        <v>173</v>
      </c>
      <c r="D690" s="500" t="s">
        <v>762</v>
      </c>
      <c r="E690" s="501">
        <v>-1085972563.6199999</v>
      </c>
      <c r="F690" s="502" t="s">
        <v>878</v>
      </c>
      <c r="G690" s="100" t="s">
        <v>798</v>
      </c>
      <c r="H690" s="530"/>
      <c r="I690" s="525"/>
      <c r="K690" s="548"/>
      <c r="L690" s="548"/>
      <c r="M690" s="548"/>
      <c r="N690" s="552"/>
      <c r="Y690" s="551"/>
    </row>
    <row r="691" spans="1:25">
      <c r="A691" s="499">
        <v>45509</v>
      </c>
      <c r="B691" s="499">
        <v>45509</v>
      </c>
      <c r="C691" s="500" t="s">
        <v>173</v>
      </c>
      <c r="D691" s="500" t="s">
        <v>762</v>
      </c>
      <c r="E691" s="501">
        <v>-50044818.600000001</v>
      </c>
      <c r="F691" s="502" t="s">
        <v>878</v>
      </c>
      <c r="G691" s="100" t="s">
        <v>798</v>
      </c>
      <c r="H691" s="530"/>
      <c r="I691" s="525"/>
      <c r="K691" s="548"/>
      <c r="L691" s="548"/>
      <c r="M691" s="548"/>
      <c r="N691" s="552"/>
      <c r="Y691" s="551"/>
    </row>
    <row r="692" spans="1:25">
      <c r="A692" s="499">
        <v>45509</v>
      </c>
      <c r="B692" s="499">
        <v>45510</v>
      </c>
      <c r="C692" s="500" t="s">
        <v>173</v>
      </c>
      <c r="D692" s="500" t="s">
        <v>762</v>
      </c>
      <c r="E692" s="501">
        <v>502386537.35000002</v>
      </c>
      <c r="F692" s="502" t="s">
        <v>878</v>
      </c>
      <c r="G692" s="100" t="s">
        <v>633</v>
      </c>
      <c r="H692" s="530"/>
      <c r="I692" s="525"/>
      <c r="K692" s="548"/>
      <c r="L692" s="548"/>
      <c r="M692" s="548"/>
      <c r="N692" s="552"/>
      <c r="Y692" s="551"/>
    </row>
    <row r="693" spans="1:25">
      <c r="A693" s="499">
        <v>45509</v>
      </c>
      <c r="B693" s="499">
        <v>45510</v>
      </c>
      <c r="C693" s="500" t="s">
        <v>173</v>
      </c>
      <c r="D693" s="500" t="s">
        <v>762</v>
      </c>
      <c r="E693" s="501">
        <v>457489982.05000001</v>
      </c>
      <c r="F693" s="502" t="s">
        <v>878</v>
      </c>
      <c r="G693" s="100" t="s">
        <v>681</v>
      </c>
      <c r="H693" s="530"/>
      <c r="I693" s="525"/>
      <c r="K693" s="548"/>
      <c r="L693" s="548"/>
      <c r="M693" s="548"/>
      <c r="N693" s="552"/>
      <c r="Y693" s="551"/>
    </row>
    <row r="694" spans="1:25">
      <c r="A694" s="499">
        <v>45509</v>
      </c>
      <c r="B694" s="499">
        <v>45510</v>
      </c>
      <c r="C694" s="500" t="s">
        <v>173</v>
      </c>
      <c r="D694" s="500" t="s">
        <v>762</v>
      </c>
      <c r="E694" s="501">
        <v>812562047.33000004</v>
      </c>
      <c r="F694" s="502" t="s">
        <v>878</v>
      </c>
      <c r="G694" s="100" t="s">
        <v>630</v>
      </c>
      <c r="H694" s="530"/>
      <c r="I694" s="525"/>
      <c r="K694" s="548"/>
      <c r="L694" s="548"/>
      <c r="M694" s="548"/>
      <c r="N694" s="552"/>
      <c r="Y694" s="551"/>
    </row>
    <row r="695" spans="1:25">
      <c r="A695" s="499">
        <v>45509</v>
      </c>
      <c r="B695" s="499">
        <v>45510</v>
      </c>
      <c r="C695" s="500" t="s">
        <v>173</v>
      </c>
      <c r="D695" s="500" t="s">
        <v>762</v>
      </c>
      <c r="E695" s="501">
        <v>2000748280.24</v>
      </c>
      <c r="F695" s="502" t="s">
        <v>878</v>
      </c>
      <c r="G695" s="100" t="s">
        <v>644</v>
      </c>
      <c r="H695" s="530"/>
      <c r="I695" s="525"/>
      <c r="K695" s="548"/>
      <c r="L695" s="548"/>
      <c r="M695" s="548"/>
      <c r="N695" s="552"/>
      <c r="Y695" s="551"/>
    </row>
    <row r="696" spans="1:25">
      <c r="A696" s="499">
        <v>45509</v>
      </c>
      <c r="B696" s="499">
        <v>45510</v>
      </c>
      <c r="C696" s="500" t="s">
        <v>173</v>
      </c>
      <c r="D696" s="500" t="s">
        <v>762</v>
      </c>
      <c r="E696" s="501">
        <v>2002450311.9300001</v>
      </c>
      <c r="F696" s="502" t="s">
        <v>878</v>
      </c>
      <c r="G696" s="100" t="s">
        <v>648</v>
      </c>
      <c r="H696" s="530"/>
      <c r="I696" s="525"/>
      <c r="K696" s="548"/>
      <c r="L696" s="548">
        <v>-1</v>
      </c>
      <c r="M696" s="548"/>
      <c r="N696" s="552"/>
      <c r="Y696" s="551"/>
    </row>
    <row r="697" spans="1:25">
      <c r="A697" s="499">
        <v>45509</v>
      </c>
      <c r="B697" s="499">
        <v>45510</v>
      </c>
      <c r="C697" s="500" t="s">
        <v>173</v>
      </c>
      <c r="D697" s="500" t="s">
        <v>762</v>
      </c>
      <c r="E697" s="501">
        <v>5001870700.5900002</v>
      </c>
      <c r="F697" s="502" t="s">
        <v>878</v>
      </c>
      <c r="G697" s="100" t="s">
        <v>644</v>
      </c>
      <c r="H697" s="530"/>
      <c r="I697" s="525"/>
      <c r="K697" s="548"/>
      <c r="L697" s="548"/>
      <c r="M697" s="548"/>
      <c r="N697" s="552"/>
      <c r="Y697" s="551"/>
    </row>
    <row r="698" spans="1:25">
      <c r="A698" s="499">
        <v>45509</v>
      </c>
      <c r="B698" s="499">
        <v>45510</v>
      </c>
      <c r="C698" s="500" t="s">
        <v>173</v>
      </c>
      <c r="D698" s="500" t="s">
        <v>762</v>
      </c>
      <c r="E698" s="501">
        <v>1086355327.4100001</v>
      </c>
      <c r="F698" s="502" t="s">
        <v>878</v>
      </c>
      <c r="G698" s="100" t="s">
        <v>798</v>
      </c>
      <c r="H698" s="530"/>
      <c r="I698" s="525"/>
      <c r="K698" s="548"/>
      <c r="L698" s="548"/>
      <c r="M698" s="548"/>
      <c r="N698" s="552"/>
      <c r="Y698" s="551"/>
    </row>
    <row r="699" spans="1:25">
      <c r="A699" s="499">
        <v>45509</v>
      </c>
      <c r="B699" s="499">
        <v>45510</v>
      </c>
      <c r="C699" s="500" t="s">
        <v>173</v>
      </c>
      <c r="D699" s="500" t="s">
        <v>762</v>
      </c>
      <c r="E699" s="501">
        <v>50062457.479999997</v>
      </c>
      <c r="F699" s="502" t="s">
        <v>878</v>
      </c>
      <c r="G699" s="100" t="s">
        <v>798</v>
      </c>
      <c r="H699" s="530"/>
      <c r="I699" s="525"/>
      <c r="K699" s="548"/>
      <c r="L699" s="548"/>
      <c r="M699" s="548"/>
      <c r="N699" s="552"/>
      <c r="Y699" s="551"/>
    </row>
    <row r="700" spans="1:25">
      <c r="A700" s="499">
        <v>45509</v>
      </c>
      <c r="B700" s="499">
        <v>45509</v>
      </c>
      <c r="C700" s="500" t="s">
        <v>173</v>
      </c>
      <c r="D700" s="500" t="s">
        <v>761</v>
      </c>
      <c r="E700" s="501">
        <v>-7002043.6399999997</v>
      </c>
      <c r="F700" s="502" t="s">
        <v>878</v>
      </c>
      <c r="G700" s="100" t="s">
        <v>804</v>
      </c>
      <c r="H700" s="530"/>
      <c r="I700" s="525"/>
      <c r="K700" s="548"/>
      <c r="L700" s="548"/>
      <c r="M700" s="548"/>
      <c r="N700" s="552"/>
      <c r="Y700" s="551"/>
    </row>
    <row r="701" spans="1:25">
      <c r="A701" s="499">
        <v>45509</v>
      </c>
      <c r="B701" s="499">
        <v>45509</v>
      </c>
      <c r="C701" s="500" t="s">
        <v>173</v>
      </c>
      <c r="D701" s="500" t="s">
        <v>761</v>
      </c>
      <c r="E701" s="501">
        <v>-370108021.13</v>
      </c>
      <c r="F701" s="502" t="s">
        <v>878</v>
      </c>
      <c r="G701" s="100" t="s">
        <v>804</v>
      </c>
      <c r="H701" s="530"/>
      <c r="I701" s="525"/>
      <c r="K701" s="548"/>
      <c r="L701" s="548"/>
      <c r="M701" s="548"/>
      <c r="N701" s="552"/>
      <c r="Y701" s="551"/>
    </row>
    <row r="702" spans="1:25">
      <c r="A702" s="499">
        <v>45509</v>
      </c>
      <c r="B702" s="499">
        <v>45509</v>
      </c>
      <c r="C702" s="500" t="s">
        <v>173</v>
      </c>
      <c r="D702" s="500" t="s">
        <v>761</v>
      </c>
      <c r="E702" s="501">
        <v>-990645712.64999998</v>
      </c>
      <c r="F702" s="502" t="s">
        <v>878</v>
      </c>
      <c r="G702" s="100" t="s">
        <v>679</v>
      </c>
      <c r="H702" s="530"/>
      <c r="I702" s="525"/>
      <c r="K702" s="548"/>
      <c r="L702" s="548"/>
      <c r="M702" s="548"/>
      <c r="N702" s="552"/>
      <c r="Y702" s="551"/>
    </row>
    <row r="703" spans="1:25">
      <c r="A703" s="499">
        <v>45509</v>
      </c>
      <c r="B703" s="499">
        <v>45509</v>
      </c>
      <c r="C703" s="500" t="s">
        <v>173</v>
      </c>
      <c r="D703" s="500" t="s">
        <v>761</v>
      </c>
      <c r="E703" s="501">
        <v>-426113653.38999999</v>
      </c>
      <c r="F703" s="502" t="s">
        <v>878</v>
      </c>
      <c r="G703" s="100" t="s">
        <v>82</v>
      </c>
      <c r="H703" s="530"/>
      <c r="I703" s="525"/>
      <c r="K703" s="548"/>
      <c r="L703" s="548"/>
      <c r="M703" s="548"/>
      <c r="N703" s="552"/>
      <c r="Y703" s="551"/>
    </row>
    <row r="704" spans="1:25">
      <c r="A704" s="499">
        <v>45509</v>
      </c>
      <c r="B704" s="499">
        <v>45509</v>
      </c>
      <c r="C704" s="500" t="s">
        <v>173</v>
      </c>
      <c r="D704" s="500" t="s">
        <v>761</v>
      </c>
      <c r="E704" s="501">
        <v>-5000060.7</v>
      </c>
      <c r="F704" s="502" t="s">
        <v>878</v>
      </c>
      <c r="G704" s="100" t="s">
        <v>91</v>
      </c>
      <c r="H704" s="530"/>
      <c r="I704" s="525"/>
      <c r="K704" s="548"/>
      <c r="L704" s="548"/>
      <c r="M704" s="548"/>
      <c r="N704" s="552"/>
      <c r="Y704" s="551"/>
    </row>
    <row r="705" spans="1:25">
      <c r="A705" s="499">
        <v>45509</v>
      </c>
      <c r="B705" s="499">
        <v>45516</v>
      </c>
      <c r="C705" s="500" t="s">
        <v>173</v>
      </c>
      <c r="D705" s="500" t="s">
        <v>761</v>
      </c>
      <c r="E705" s="501">
        <v>7019653.9699999997</v>
      </c>
      <c r="F705" s="502" t="s">
        <v>878</v>
      </c>
      <c r="G705" s="100" t="s">
        <v>804</v>
      </c>
      <c r="H705" s="530"/>
      <c r="I705" s="525"/>
      <c r="K705" s="548"/>
      <c r="L705" s="548"/>
      <c r="M705" s="548"/>
      <c r="N705" s="552"/>
      <c r="Y705" s="551"/>
    </row>
    <row r="706" spans="1:25">
      <c r="A706" s="499">
        <v>45509</v>
      </c>
      <c r="B706" s="499">
        <v>45516</v>
      </c>
      <c r="C706" s="500" t="s">
        <v>173</v>
      </c>
      <c r="D706" s="500" t="s">
        <v>761</v>
      </c>
      <c r="E706" s="501">
        <v>371038852.92000002</v>
      </c>
      <c r="F706" s="502" t="s">
        <v>878</v>
      </c>
      <c r="G706" s="100" t="s">
        <v>804</v>
      </c>
      <c r="H706" s="530"/>
      <c r="I706" s="525"/>
      <c r="K706" s="548"/>
      <c r="L706" s="548"/>
      <c r="M706" s="548"/>
      <c r="N706" s="552"/>
      <c r="Y706" s="551"/>
    </row>
    <row r="707" spans="1:25">
      <c r="A707" s="499">
        <v>45509</v>
      </c>
      <c r="B707" s="499">
        <v>45516</v>
      </c>
      <c r="C707" s="500" t="s">
        <v>173</v>
      </c>
      <c r="D707" s="500" t="s">
        <v>761</v>
      </c>
      <c r="E707" s="501">
        <v>993154265.77999997</v>
      </c>
      <c r="F707" s="502" t="s">
        <v>878</v>
      </c>
      <c r="G707" s="100" t="s">
        <v>679</v>
      </c>
      <c r="H707" s="530"/>
      <c r="I707" s="525"/>
      <c r="K707" s="548"/>
      <c r="L707" s="548"/>
      <c r="M707" s="548"/>
      <c r="N707" s="552"/>
      <c r="Y707" s="551"/>
    </row>
    <row r="708" spans="1:25">
      <c r="A708" s="499">
        <v>45509</v>
      </c>
      <c r="B708" s="499">
        <v>45516</v>
      </c>
      <c r="C708" s="500" t="s">
        <v>173</v>
      </c>
      <c r="D708" s="500" t="s">
        <v>761</v>
      </c>
      <c r="E708" s="501">
        <v>427192675.61000001</v>
      </c>
      <c r="F708" s="502" t="s">
        <v>878</v>
      </c>
      <c r="G708" s="100" t="s">
        <v>82</v>
      </c>
      <c r="H708" s="530"/>
      <c r="I708" s="525"/>
      <c r="K708" s="548"/>
      <c r="L708" s="548"/>
      <c r="M708" s="548"/>
      <c r="N708" s="552"/>
      <c r="Y708" s="551"/>
    </row>
    <row r="709" spans="1:25">
      <c r="A709" s="499">
        <v>45509</v>
      </c>
      <c r="B709" s="499">
        <v>45516</v>
      </c>
      <c r="C709" s="500" t="s">
        <v>173</v>
      </c>
      <c r="D709" s="500" t="s">
        <v>761</v>
      </c>
      <c r="E709" s="501">
        <v>5012722.0599999996</v>
      </c>
      <c r="F709" s="502" t="s">
        <v>878</v>
      </c>
      <c r="G709" s="100" t="s">
        <v>91</v>
      </c>
      <c r="H709" s="530"/>
      <c r="I709" s="525"/>
      <c r="K709" s="548"/>
      <c r="L709" s="548"/>
      <c r="M709" s="548"/>
      <c r="N709" s="552"/>
      <c r="Y709" s="551"/>
    </row>
    <row r="710" spans="1:25">
      <c r="A710" s="499">
        <v>45509</v>
      </c>
      <c r="B710" s="499">
        <v>45509</v>
      </c>
      <c r="C710" s="500" t="s">
        <v>173</v>
      </c>
      <c r="D710" s="500" t="s">
        <v>759</v>
      </c>
      <c r="E710" s="501">
        <v>-998167423.48000002</v>
      </c>
      <c r="F710" s="502" t="s">
        <v>878</v>
      </c>
      <c r="G710" s="100" t="s">
        <v>597</v>
      </c>
      <c r="H710" s="484"/>
      <c r="I710" s="525"/>
      <c r="K710" s="548"/>
      <c r="L710" s="548"/>
      <c r="M710" s="548"/>
      <c r="N710" s="552"/>
      <c r="Y710" s="551"/>
    </row>
    <row r="711" spans="1:25">
      <c r="A711" s="499">
        <v>45509</v>
      </c>
      <c r="B711" s="499">
        <v>45509</v>
      </c>
      <c r="C711" s="500" t="s">
        <v>173</v>
      </c>
      <c r="D711" s="500" t="s">
        <v>759</v>
      </c>
      <c r="E711" s="501">
        <v>-4001247.34</v>
      </c>
      <c r="F711" s="502" t="s">
        <v>878</v>
      </c>
      <c r="G711" s="100" t="s">
        <v>498</v>
      </c>
      <c r="H711" s="484"/>
      <c r="I711" s="525"/>
      <c r="K711" s="548"/>
      <c r="L711" s="548"/>
      <c r="M711" s="548"/>
      <c r="N711" s="552"/>
      <c r="Y711" s="551"/>
    </row>
    <row r="712" spans="1:25">
      <c r="A712" s="499">
        <v>45509</v>
      </c>
      <c r="B712" s="499">
        <v>45510</v>
      </c>
      <c r="C712" s="500" t="s">
        <v>173</v>
      </c>
      <c r="D712" s="500" t="s">
        <v>759</v>
      </c>
      <c r="E712" s="501">
        <v>998521969.27999997</v>
      </c>
      <c r="F712" s="502" t="s">
        <v>878</v>
      </c>
      <c r="G712" s="100" t="s">
        <v>597</v>
      </c>
      <c r="H712" s="530"/>
      <c r="I712" s="525"/>
      <c r="K712" s="548"/>
      <c r="L712" s="548"/>
      <c r="M712" s="548"/>
      <c r="N712" s="552"/>
      <c r="Y712" s="551"/>
    </row>
    <row r="713" spans="1:25">
      <c r="A713" s="499">
        <v>45509</v>
      </c>
      <c r="B713" s="499">
        <v>45510</v>
      </c>
      <c r="C713" s="500" t="s">
        <v>173</v>
      </c>
      <c r="D713" s="500" t="s">
        <v>759</v>
      </c>
      <c r="E713" s="501">
        <v>4002668.58</v>
      </c>
      <c r="F713" s="502" t="s">
        <v>878</v>
      </c>
      <c r="G713" s="100" t="s">
        <v>498</v>
      </c>
      <c r="H713" s="530"/>
      <c r="I713" s="525"/>
      <c r="K713" s="548"/>
      <c r="L713" s="548"/>
      <c r="M713" s="548"/>
      <c r="N713" s="552"/>
      <c r="Y713" s="551"/>
    </row>
    <row r="714" spans="1:25">
      <c r="A714" s="499">
        <v>45509</v>
      </c>
      <c r="B714" s="499">
        <v>45509</v>
      </c>
      <c r="C714" s="500" t="s">
        <v>173</v>
      </c>
      <c r="D714" s="500" t="s">
        <v>760</v>
      </c>
      <c r="E714" s="501">
        <v>-361032526.75</v>
      </c>
      <c r="F714" s="502" t="s">
        <v>878</v>
      </c>
      <c r="G714" s="100" t="s">
        <v>834</v>
      </c>
      <c r="H714" s="530"/>
      <c r="I714" s="525"/>
      <c r="K714" s="548"/>
      <c r="L714" s="548"/>
      <c r="M714" s="548"/>
      <c r="N714" s="552"/>
      <c r="Y714" s="551"/>
    </row>
    <row r="715" spans="1:25">
      <c r="A715" s="499">
        <v>45509</v>
      </c>
      <c r="B715" s="499">
        <v>45509</v>
      </c>
      <c r="C715" s="500" t="s">
        <v>173</v>
      </c>
      <c r="D715" s="500" t="s">
        <v>760</v>
      </c>
      <c r="E715" s="501">
        <v>-2001744.77</v>
      </c>
      <c r="F715" s="502" t="s">
        <v>878</v>
      </c>
      <c r="G715" s="100" t="s">
        <v>649</v>
      </c>
      <c r="H715" s="530"/>
      <c r="I715" s="525"/>
      <c r="K715" s="548"/>
      <c r="L715" s="548"/>
      <c r="M715" s="548"/>
      <c r="N715" s="552"/>
      <c r="Y715" s="551"/>
    </row>
    <row r="716" spans="1:25">
      <c r="A716" s="499">
        <v>45509</v>
      </c>
      <c r="B716" s="499">
        <v>45509</v>
      </c>
      <c r="C716" s="500" t="s">
        <v>173</v>
      </c>
      <c r="D716" s="500" t="s">
        <v>760</v>
      </c>
      <c r="E716" s="501">
        <v>-1000950.11</v>
      </c>
      <c r="F716" s="502" t="s">
        <v>878</v>
      </c>
      <c r="G716" s="100" t="s">
        <v>599</v>
      </c>
      <c r="H716" s="530"/>
      <c r="I716" s="525"/>
      <c r="K716" s="548"/>
      <c r="L716" s="548"/>
      <c r="M716" s="548"/>
      <c r="N716" s="552"/>
      <c r="Y716" s="551"/>
    </row>
    <row r="717" spans="1:25">
      <c r="A717" s="499">
        <v>45509</v>
      </c>
      <c r="B717" s="499">
        <v>45509</v>
      </c>
      <c r="C717" s="500" t="s">
        <v>173</v>
      </c>
      <c r="D717" s="500" t="s">
        <v>760</v>
      </c>
      <c r="E717" s="501">
        <v>-1000145.33</v>
      </c>
      <c r="F717" s="502" t="s">
        <v>878</v>
      </c>
      <c r="G717" s="100" t="s">
        <v>593</v>
      </c>
      <c r="H717" s="530"/>
      <c r="I717" s="525"/>
      <c r="K717" s="548"/>
      <c r="L717" s="548"/>
      <c r="M717" s="548"/>
      <c r="N717" s="552"/>
      <c r="Y717" s="551"/>
    </row>
    <row r="718" spans="1:25">
      <c r="A718" s="499">
        <v>45509</v>
      </c>
      <c r="B718" s="499">
        <v>45509</v>
      </c>
      <c r="C718" s="500" t="s">
        <v>173</v>
      </c>
      <c r="D718" s="500" t="s">
        <v>760</v>
      </c>
      <c r="E718" s="501">
        <v>-1000145.33</v>
      </c>
      <c r="F718" s="502" t="s">
        <v>878</v>
      </c>
      <c r="G718" s="100" t="s">
        <v>593</v>
      </c>
      <c r="H718" s="530"/>
      <c r="I718" s="525"/>
      <c r="K718" s="548"/>
      <c r="L718" s="548"/>
      <c r="M718" s="548"/>
      <c r="N718" s="552"/>
      <c r="Y718" s="551"/>
    </row>
    <row r="719" spans="1:25">
      <c r="A719" s="499">
        <v>45509</v>
      </c>
      <c r="B719" s="499">
        <v>45509</v>
      </c>
      <c r="C719" s="500" t="s">
        <v>173</v>
      </c>
      <c r="D719" s="500" t="s">
        <v>760</v>
      </c>
      <c r="E719" s="501">
        <v>-1000409.48</v>
      </c>
      <c r="F719" s="502" t="s">
        <v>878</v>
      </c>
      <c r="G719" s="100" t="s">
        <v>601</v>
      </c>
      <c r="H719" s="530"/>
      <c r="I719" s="525"/>
      <c r="K719" s="548"/>
      <c r="L719" s="548"/>
      <c r="M719" s="548"/>
      <c r="N719" s="552"/>
      <c r="Y719" s="551"/>
    </row>
    <row r="720" spans="1:25">
      <c r="A720" s="499">
        <v>45509</v>
      </c>
      <c r="B720" s="499">
        <v>45509</v>
      </c>
      <c r="C720" s="500" t="s">
        <v>173</v>
      </c>
      <c r="D720" s="500" t="s">
        <v>760</v>
      </c>
      <c r="E720" s="501">
        <v>-1000349.53</v>
      </c>
      <c r="F720" s="502" t="s">
        <v>878</v>
      </c>
      <c r="G720" s="100" t="s">
        <v>90</v>
      </c>
      <c r="H720" s="530"/>
      <c r="I720" s="525"/>
      <c r="K720" s="548"/>
      <c r="L720" s="548"/>
      <c r="M720" s="548"/>
      <c r="N720" s="552"/>
      <c r="Y720" s="551"/>
    </row>
    <row r="721" spans="1:25">
      <c r="A721" s="499">
        <v>45509</v>
      </c>
      <c r="B721" s="499">
        <v>45509</v>
      </c>
      <c r="C721" s="500" t="s">
        <v>173</v>
      </c>
      <c r="D721" s="500" t="s">
        <v>760</v>
      </c>
      <c r="E721" s="501">
        <v>-3001612.62</v>
      </c>
      <c r="F721" s="502" t="s">
        <v>878</v>
      </c>
      <c r="G721" s="100" t="s">
        <v>589</v>
      </c>
      <c r="H721" s="530"/>
      <c r="I721" s="525"/>
      <c r="K721" s="548"/>
      <c r="L721" s="548"/>
      <c r="M721" s="548"/>
      <c r="N721" s="552"/>
      <c r="Y721" s="551"/>
    </row>
    <row r="722" spans="1:25">
      <c r="A722" s="499">
        <v>45509</v>
      </c>
      <c r="B722" s="499">
        <v>45509</v>
      </c>
      <c r="C722" s="500" t="s">
        <v>173</v>
      </c>
      <c r="D722" s="500" t="s">
        <v>760</v>
      </c>
      <c r="E722" s="501">
        <v>-4002900.76</v>
      </c>
      <c r="F722" s="502" t="s">
        <v>878</v>
      </c>
      <c r="G722" s="100" t="s">
        <v>605</v>
      </c>
      <c r="H722" s="530"/>
      <c r="I722" s="525"/>
      <c r="K722" s="548"/>
      <c r="L722" s="548"/>
      <c r="M722" s="548"/>
      <c r="N722" s="552"/>
      <c r="Y722" s="551"/>
    </row>
    <row r="723" spans="1:25">
      <c r="A723" s="499">
        <v>45509</v>
      </c>
      <c r="B723" s="499">
        <v>45509</v>
      </c>
      <c r="C723" s="500" t="s">
        <v>173</v>
      </c>
      <c r="D723" s="500" t="s">
        <v>760</v>
      </c>
      <c r="E723" s="501">
        <v>-3001612.62</v>
      </c>
      <c r="F723" s="502" t="s">
        <v>878</v>
      </c>
      <c r="G723" s="100" t="s">
        <v>589</v>
      </c>
      <c r="H723" s="530"/>
      <c r="I723" s="525"/>
      <c r="K723" s="548"/>
      <c r="L723" s="548"/>
      <c r="M723" s="548"/>
      <c r="N723" s="552"/>
      <c r="Y723" s="551"/>
    </row>
    <row r="724" spans="1:25">
      <c r="A724" s="499">
        <v>45509</v>
      </c>
      <c r="B724" s="499">
        <v>45509</v>
      </c>
      <c r="C724" s="500" t="s">
        <v>173</v>
      </c>
      <c r="D724" s="500" t="s">
        <v>760</v>
      </c>
      <c r="E724" s="501">
        <v>-4001865.1</v>
      </c>
      <c r="F724" s="502" t="s">
        <v>878</v>
      </c>
      <c r="G724" s="100" t="s">
        <v>551</v>
      </c>
      <c r="H724" s="530"/>
      <c r="I724" s="525"/>
      <c r="K724" s="548"/>
      <c r="L724" s="548"/>
      <c r="M724" s="548"/>
      <c r="N724" s="552"/>
      <c r="Y724" s="551"/>
    </row>
    <row r="725" spans="1:25">
      <c r="A725" s="499">
        <v>45509</v>
      </c>
      <c r="B725" s="499">
        <v>45509</v>
      </c>
      <c r="C725" s="500" t="s">
        <v>173</v>
      </c>
      <c r="D725" s="500" t="s">
        <v>760</v>
      </c>
      <c r="E725" s="501">
        <v>-3002497.8</v>
      </c>
      <c r="F725" s="502" t="s">
        <v>878</v>
      </c>
      <c r="G725" s="100" t="s">
        <v>818</v>
      </c>
      <c r="H725" s="530"/>
      <c r="I725" s="525"/>
      <c r="K725" s="548"/>
      <c r="L725" s="548"/>
      <c r="M725" s="548"/>
      <c r="N725" s="552"/>
      <c r="Y725" s="551"/>
    </row>
    <row r="726" spans="1:25">
      <c r="A726" s="499">
        <v>45509</v>
      </c>
      <c r="B726" s="499">
        <v>45509</v>
      </c>
      <c r="C726" s="500" t="s">
        <v>173</v>
      </c>
      <c r="D726" s="500" t="s">
        <v>760</v>
      </c>
      <c r="E726" s="501">
        <v>-5002047.42</v>
      </c>
      <c r="F726" s="502" t="s">
        <v>878</v>
      </c>
      <c r="G726" s="100" t="s">
        <v>601</v>
      </c>
      <c r="H726" s="530"/>
      <c r="I726" s="525"/>
      <c r="K726" s="548"/>
      <c r="L726" s="548"/>
      <c r="M726" s="548"/>
      <c r="N726" s="552"/>
      <c r="Y726" s="551"/>
    </row>
    <row r="727" spans="1:25">
      <c r="A727" s="499">
        <v>45509</v>
      </c>
      <c r="B727" s="499">
        <v>45509</v>
      </c>
      <c r="C727" s="500" t="s">
        <v>173</v>
      </c>
      <c r="D727" s="500" t="s">
        <v>760</v>
      </c>
      <c r="E727" s="501">
        <v>-3002355.88</v>
      </c>
      <c r="F727" s="502" t="s">
        <v>878</v>
      </c>
      <c r="G727" s="100" t="s">
        <v>603</v>
      </c>
      <c r="H727" s="530"/>
      <c r="I727" s="525"/>
      <c r="K727" s="548"/>
      <c r="L727" s="548"/>
      <c r="M727" s="548"/>
      <c r="N727" s="552"/>
      <c r="Y727" s="551"/>
    </row>
    <row r="728" spans="1:25">
      <c r="A728" s="499">
        <v>45509</v>
      </c>
      <c r="B728" s="499">
        <v>45509</v>
      </c>
      <c r="C728" s="500" t="s">
        <v>173</v>
      </c>
      <c r="D728" s="500" t="s">
        <v>760</v>
      </c>
      <c r="E728" s="501">
        <v>-6002797.6500000004</v>
      </c>
      <c r="F728" s="502" t="s">
        <v>878</v>
      </c>
      <c r="G728" s="100" t="s">
        <v>551</v>
      </c>
      <c r="H728" s="530"/>
      <c r="I728" s="525"/>
      <c r="K728" s="548"/>
      <c r="L728" s="548"/>
      <c r="M728" s="548"/>
      <c r="N728" s="552"/>
      <c r="Y728" s="551"/>
    </row>
    <row r="729" spans="1:25">
      <c r="A729" s="499">
        <v>45509</v>
      </c>
      <c r="B729" s="499">
        <v>45509</v>
      </c>
      <c r="C729" s="500" t="s">
        <v>173</v>
      </c>
      <c r="D729" s="500" t="s">
        <v>760</v>
      </c>
      <c r="E729" s="501">
        <v>-4002900.76</v>
      </c>
      <c r="F729" s="502" t="s">
        <v>878</v>
      </c>
      <c r="G729" s="100" t="s">
        <v>605</v>
      </c>
      <c r="H729" s="530"/>
      <c r="I729" s="525"/>
      <c r="K729" s="548"/>
      <c r="L729" s="548"/>
      <c r="M729" s="548"/>
      <c r="N729" s="552"/>
      <c r="Y729" s="551"/>
    </row>
    <row r="730" spans="1:25">
      <c r="A730" s="499">
        <v>45509</v>
      </c>
      <c r="B730" s="499">
        <v>45509</v>
      </c>
      <c r="C730" s="500" t="s">
        <v>173</v>
      </c>
      <c r="D730" s="500" t="s">
        <v>760</v>
      </c>
      <c r="E730" s="501">
        <v>-7002446.71</v>
      </c>
      <c r="F730" s="502" t="s">
        <v>878</v>
      </c>
      <c r="G730" s="100" t="s">
        <v>90</v>
      </c>
      <c r="H730" s="530"/>
      <c r="I730" s="525"/>
      <c r="K730" s="548"/>
      <c r="L730" s="548"/>
      <c r="M730" s="548"/>
      <c r="N730" s="552"/>
      <c r="Y730" s="551"/>
    </row>
    <row r="731" spans="1:25">
      <c r="A731" s="499">
        <v>45509</v>
      </c>
      <c r="B731" s="499">
        <v>45509</v>
      </c>
      <c r="C731" s="500" t="s">
        <v>173</v>
      </c>
      <c r="D731" s="500" t="s">
        <v>760</v>
      </c>
      <c r="E731" s="501">
        <v>-2001591.65</v>
      </c>
      <c r="F731" s="502" t="s">
        <v>878</v>
      </c>
      <c r="G731" s="100" t="s">
        <v>476</v>
      </c>
      <c r="H731" s="530"/>
      <c r="I731" s="525"/>
      <c r="K731" s="548"/>
      <c r="L731" s="548"/>
      <c r="M731" s="548"/>
      <c r="N731" s="552"/>
      <c r="Y731" s="551"/>
    </row>
    <row r="732" spans="1:25">
      <c r="A732" s="499">
        <v>45509</v>
      </c>
      <c r="B732" s="499">
        <v>45509</v>
      </c>
      <c r="C732" s="500" t="s">
        <v>173</v>
      </c>
      <c r="D732" s="500" t="s">
        <v>760</v>
      </c>
      <c r="E732" s="501">
        <v>-21008583.600000001</v>
      </c>
      <c r="F732" s="502" t="s">
        <v>878</v>
      </c>
      <c r="G732" s="100" t="s">
        <v>453</v>
      </c>
      <c r="H732" s="530"/>
      <c r="I732" s="525"/>
      <c r="K732" s="548"/>
      <c r="L732" s="548"/>
      <c r="M732" s="548"/>
      <c r="N732" s="552"/>
      <c r="Y732" s="551"/>
    </row>
    <row r="733" spans="1:25">
      <c r="A733" s="499">
        <v>45509</v>
      </c>
      <c r="B733" s="499">
        <v>45509</v>
      </c>
      <c r="C733" s="500" t="s">
        <v>173</v>
      </c>
      <c r="D733" s="500" t="s">
        <v>760</v>
      </c>
      <c r="E733" s="501">
        <v>-21013405.25</v>
      </c>
      <c r="F733" s="502" t="s">
        <v>878</v>
      </c>
      <c r="G733" s="100" t="s">
        <v>697</v>
      </c>
      <c r="H733" s="530"/>
      <c r="I733" s="525"/>
      <c r="K733" s="548"/>
      <c r="L733" s="548"/>
      <c r="M733" s="548"/>
      <c r="N733" s="552"/>
      <c r="Y733" s="551"/>
    </row>
    <row r="734" spans="1:25">
      <c r="A734" s="499">
        <v>45509</v>
      </c>
      <c r="B734" s="499">
        <v>45509</v>
      </c>
      <c r="C734" s="500" t="s">
        <v>173</v>
      </c>
      <c r="D734" s="500" t="s">
        <v>760</v>
      </c>
      <c r="E734" s="501">
        <v>-22011825.879999999</v>
      </c>
      <c r="F734" s="502" t="s">
        <v>878</v>
      </c>
      <c r="G734" s="100" t="s">
        <v>589</v>
      </c>
      <c r="H734" s="530"/>
      <c r="I734" s="525"/>
      <c r="K734" s="548"/>
      <c r="L734" s="548"/>
      <c r="M734" s="548"/>
      <c r="N734" s="552"/>
      <c r="Y734" s="551"/>
    </row>
    <row r="735" spans="1:25">
      <c r="A735" s="499">
        <v>45509</v>
      </c>
      <c r="B735" s="499">
        <v>45509</v>
      </c>
      <c r="C735" s="500" t="s">
        <v>173</v>
      </c>
      <c r="D735" s="500" t="s">
        <v>760</v>
      </c>
      <c r="E735" s="501">
        <v>-19002761.23</v>
      </c>
      <c r="F735" s="502" t="s">
        <v>878</v>
      </c>
      <c r="G735" s="100" t="s">
        <v>593</v>
      </c>
      <c r="H735" s="530"/>
      <c r="I735" s="525"/>
      <c r="K735" s="548"/>
      <c r="L735" s="548"/>
      <c r="M735" s="548"/>
      <c r="N735" s="552"/>
      <c r="Y735" s="551"/>
    </row>
    <row r="736" spans="1:25">
      <c r="A736" s="499">
        <v>45509</v>
      </c>
      <c r="B736" s="499">
        <v>45509</v>
      </c>
      <c r="C736" s="500" t="s">
        <v>173</v>
      </c>
      <c r="D736" s="500" t="s">
        <v>760</v>
      </c>
      <c r="E736" s="501">
        <v>-15011235</v>
      </c>
      <c r="F736" s="502" t="s">
        <v>878</v>
      </c>
      <c r="G736" s="100" t="s">
        <v>825</v>
      </c>
      <c r="H736" s="530"/>
      <c r="I736" s="525"/>
      <c r="K736" s="548"/>
      <c r="L736" s="548"/>
      <c r="M736" s="548"/>
      <c r="N736" s="552"/>
      <c r="Y736" s="551"/>
    </row>
    <row r="737" spans="1:25">
      <c r="A737" s="499">
        <v>45509</v>
      </c>
      <c r="B737" s="499">
        <v>45509</v>
      </c>
      <c r="C737" s="500" t="s">
        <v>173</v>
      </c>
      <c r="D737" s="500" t="s">
        <v>760</v>
      </c>
      <c r="E737" s="501">
        <v>-3001207.58</v>
      </c>
      <c r="F737" s="502" t="s">
        <v>878</v>
      </c>
      <c r="G737" s="100" t="s">
        <v>61</v>
      </c>
      <c r="H737" s="530"/>
      <c r="I737" s="525"/>
      <c r="K737" s="548"/>
      <c r="L737" s="548"/>
      <c r="M737" s="548"/>
      <c r="N737" s="552"/>
      <c r="Y737" s="551"/>
    </row>
    <row r="738" spans="1:25">
      <c r="A738" s="499">
        <v>45509</v>
      </c>
      <c r="B738" s="499">
        <v>45509</v>
      </c>
      <c r="C738" s="500" t="s">
        <v>173</v>
      </c>
      <c r="D738" s="500" t="s">
        <v>760</v>
      </c>
      <c r="E738" s="501">
        <v>-4000097.93</v>
      </c>
      <c r="F738" s="502" t="s">
        <v>878</v>
      </c>
      <c r="G738" s="100" t="s">
        <v>526</v>
      </c>
      <c r="H738" s="530"/>
      <c r="I738" s="525"/>
      <c r="K738" s="548"/>
      <c r="L738" s="548"/>
      <c r="M738" s="548"/>
      <c r="N738" s="552"/>
      <c r="Y738" s="551"/>
    </row>
    <row r="739" spans="1:25">
      <c r="A739" s="499">
        <v>45509</v>
      </c>
      <c r="B739" s="499">
        <v>45509</v>
      </c>
      <c r="C739" s="500" t="s">
        <v>173</v>
      </c>
      <c r="D739" s="500" t="s">
        <v>760</v>
      </c>
      <c r="E739" s="501">
        <v>-2000932.55</v>
      </c>
      <c r="F739" s="502" t="s">
        <v>878</v>
      </c>
      <c r="G739" s="100" t="s">
        <v>551</v>
      </c>
      <c r="H739" s="530"/>
      <c r="I739" s="525"/>
      <c r="K739" s="548"/>
      <c r="L739" s="548"/>
      <c r="M739" s="548"/>
      <c r="N739" s="552"/>
      <c r="Y739" s="551"/>
    </row>
    <row r="740" spans="1:25">
      <c r="A740" s="499">
        <v>45509</v>
      </c>
      <c r="B740" s="499">
        <v>45509</v>
      </c>
      <c r="C740" s="500" t="s">
        <v>173</v>
      </c>
      <c r="D740" s="500" t="s">
        <v>760</v>
      </c>
      <c r="E740" s="501">
        <v>-8005106.7599999998</v>
      </c>
      <c r="F740" s="502" t="s">
        <v>878</v>
      </c>
      <c r="G740" s="100" t="s">
        <v>697</v>
      </c>
      <c r="H740" s="530"/>
      <c r="I740" s="525"/>
      <c r="K740" s="548"/>
      <c r="L740" s="548"/>
      <c r="M740" s="548"/>
      <c r="N740" s="552"/>
      <c r="Y740" s="551"/>
    </row>
    <row r="741" spans="1:25">
      <c r="A741" s="499">
        <v>45509</v>
      </c>
      <c r="B741" s="499">
        <v>45509</v>
      </c>
      <c r="C741" s="500" t="s">
        <v>173</v>
      </c>
      <c r="D741" s="500" t="s">
        <v>760</v>
      </c>
      <c r="E741" s="501">
        <v>-9004196.4700000007</v>
      </c>
      <c r="F741" s="502" t="s">
        <v>878</v>
      </c>
      <c r="G741" s="100" t="s">
        <v>551</v>
      </c>
      <c r="H741" s="530"/>
      <c r="I741" s="525"/>
      <c r="K741" s="548"/>
      <c r="L741" s="548"/>
      <c r="M741" s="548"/>
      <c r="N741" s="552"/>
      <c r="Y741" s="551"/>
    </row>
    <row r="742" spans="1:25">
      <c r="A742" s="499">
        <v>45509</v>
      </c>
      <c r="B742" s="499">
        <v>45509</v>
      </c>
      <c r="C742" s="500" t="s">
        <v>173</v>
      </c>
      <c r="D742" s="500" t="s">
        <v>760</v>
      </c>
      <c r="E742" s="501">
        <v>-9006526.7200000007</v>
      </c>
      <c r="F742" s="502" t="s">
        <v>878</v>
      </c>
      <c r="G742" s="100" t="s">
        <v>605</v>
      </c>
      <c r="H742" s="530"/>
      <c r="I742" s="525"/>
      <c r="K742" s="548"/>
      <c r="L742" s="548"/>
      <c r="M742" s="548"/>
      <c r="N742" s="552"/>
      <c r="Y742" s="551"/>
    </row>
    <row r="743" spans="1:25">
      <c r="A743" s="499">
        <v>45509</v>
      </c>
      <c r="B743" s="499">
        <v>45509</v>
      </c>
      <c r="C743" s="500" t="s">
        <v>173</v>
      </c>
      <c r="D743" s="500" t="s">
        <v>760</v>
      </c>
      <c r="E743" s="501">
        <v>-10001677.59</v>
      </c>
      <c r="F743" s="502" t="s">
        <v>878</v>
      </c>
      <c r="G743" s="100" t="s">
        <v>597</v>
      </c>
      <c r="H743" s="530"/>
      <c r="I743" s="525"/>
      <c r="K743" s="548"/>
      <c r="L743" s="548"/>
      <c r="M743" s="548"/>
      <c r="N743" s="552"/>
      <c r="Y743" s="551"/>
    </row>
    <row r="744" spans="1:25">
      <c r="A744" s="499">
        <v>45509</v>
      </c>
      <c r="B744" s="499">
        <v>45509</v>
      </c>
      <c r="C744" s="500" t="s">
        <v>173</v>
      </c>
      <c r="D744" s="500" t="s">
        <v>760</v>
      </c>
      <c r="E744" s="501">
        <v>-7004707.2800000003</v>
      </c>
      <c r="F744" s="502" t="s">
        <v>878</v>
      </c>
      <c r="G744" s="100" t="s">
        <v>448</v>
      </c>
      <c r="H744" s="530"/>
      <c r="I744" s="525"/>
      <c r="K744" s="548"/>
      <c r="L744" s="548"/>
      <c r="M744" s="548"/>
      <c r="N744" s="552"/>
      <c r="Y744" s="551"/>
    </row>
    <row r="745" spans="1:25">
      <c r="A745" s="499">
        <v>45509</v>
      </c>
      <c r="B745" s="499">
        <v>45509</v>
      </c>
      <c r="C745" s="500" t="s">
        <v>173</v>
      </c>
      <c r="D745" s="500" t="s">
        <v>760</v>
      </c>
      <c r="E745" s="501">
        <v>-10010012.279999999</v>
      </c>
      <c r="F745" s="502" t="s">
        <v>878</v>
      </c>
      <c r="G745" s="100" t="s">
        <v>745</v>
      </c>
      <c r="H745" s="530"/>
      <c r="I745" s="525"/>
      <c r="K745" s="548"/>
      <c r="L745" s="548"/>
      <c r="M745" s="548"/>
      <c r="N745" s="552"/>
      <c r="Y745" s="551"/>
    </row>
    <row r="746" spans="1:25">
      <c r="A746" s="499">
        <v>45509</v>
      </c>
      <c r="B746" s="499">
        <v>45509</v>
      </c>
      <c r="C746" s="500" t="s">
        <v>173</v>
      </c>
      <c r="D746" s="500" t="s">
        <v>760</v>
      </c>
      <c r="E746" s="501">
        <v>-7004468.4199999999</v>
      </c>
      <c r="F746" s="502" t="s">
        <v>878</v>
      </c>
      <c r="G746" s="100" t="s">
        <v>697</v>
      </c>
      <c r="H746" s="530"/>
      <c r="I746" s="525"/>
      <c r="K746" s="548"/>
      <c r="L746" s="548"/>
      <c r="M746" s="548"/>
      <c r="N746" s="552"/>
      <c r="Y746" s="551"/>
    </row>
    <row r="747" spans="1:25">
      <c r="A747" s="499">
        <v>45509</v>
      </c>
      <c r="B747" s="499">
        <v>45509</v>
      </c>
      <c r="C747" s="500" t="s">
        <v>173</v>
      </c>
      <c r="D747" s="500" t="s">
        <v>760</v>
      </c>
      <c r="E747" s="501">
        <v>-8005106.7599999998</v>
      </c>
      <c r="F747" s="502" t="s">
        <v>878</v>
      </c>
      <c r="G747" s="100" t="s">
        <v>697</v>
      </c>
      <c r="H747" s="530"/>
      <c r="I747" s="525"/>
      <c r="K747" s="548"/>
      <c r="L747" s="548"/>
      <c r="M747" s="548"/>
      <c r="N747" s="552"/>
      <c r="Y747" s="551"/>
    </row>
    <row r="748" spans="1:25">
      <c r="A748" s="499">
        <v>45509</v>
      </c>
      <c r="B748" s="499">
        <v>45509</v>
      </c>
      <c r="C748" s="500" t="s">
        <v>173</v>
      </c>
      <c r="D748" s="500" t="s">
        <v>760</v>
      </c>
      <c r="E748" s="501">
        <v>-15015018.42</v>
      </c>
      <c r="F748" s="502" t="s">
        <v>878</v>
      </c>
      <c r="G748" s="100" t="s">
        <v>745</v>
      </c>
      <c r="H748" s="530"/>
      <c r="I748" s="525"/>
      <c r="K748" s="548"/>
      <c r="L748" s="548"/>
      <c r="M748" s="548"/>
      <c r="N748" s="552"/>
      <c r="Y748" s="551"/>
    </row>
    <row r="749" spans="1:25">
      <c r="A749" s="499">
        <v>45509</v>
      </c>
      <c r="B749" s="499">
        <v>45509</v>
      </c>
      <c r="C749" s="500" t="s">
        <v>173</v>
      </c>
      <c r="D749" s="500" t="s">
        <v>760</v>
      </c>
      <c r="E749" s="501">
        <v>-7006163.2800000003</v>
      </c>
      <c r="F749" s="502" t="s">
        <v>878</v>
      </c>
      <c r="G749" s="100" t="s">
        <v>822</v>
      </c>
      <c r="H749" s="530"/>
      <c r="I749" s="525"/>
      <c r="K749" s="548"/>
      <c r="L749" s="548"/>
      <c r="M749" s="548"/>
      <c r="N749" s="552"/>
      <c r="Y749" s="551"/>
    </row>
    <row r="750" spans="1:25">
      <c r="A750" s="499">
        <v>45509</v>
      </c>
      <c r="B750" s="499">
        <v>45509</v>
      </c>
      <c r="C750" s="500" t="s">
        <v>173</v>
      </c>
      <c r="D750" s="500" t="s">
        <v>760</v>
      </c>
      <c r="E750" s="501">
        <v>-18012104.420000002</v>
      </c>
      <c r="F750" s="502" t="s">
        <v>878</v>
      </c>
      <c r="G750" s="100" t="s">
        <v>448</v>
      </c>
      <c r="H750" s="530"/>
      <c r="I750" s="525"/>
      <c r="K750" s="548"/>
      <c r="L750" s="548"/>
      <c r="M750" s="548"/>
      <c r="N750" s="552"/>
      <c r="Y750" s="551"/>
    </row>
    <row r="751" spans="1:25">
      <c r="A751" s="499">
        <v>45509</v>
      </c>
      <c r="B751" s="499">
        <v>45509</v>
      </c>
      <c r="C751" s="500" t="s">
        <v>173</v>
      </c>
      <c r="D751" s="500" t="s">
        <v>760</v>
      </c>
      <c r="E751" s="501">
        <v>-15012001.890000001</v>
      </c>
      <c r="F751" s="502" t="s">
        <v>878</v>
      </c>
      <c r="G751" s="100" t="s">
        <v>591</v>
      </c>
      <c r="H751" s="530"/>
      <c r="I751" s="525"/>
      <c r="K751" s="548"/>
      <c r="L751" s="548"/>
      <c r="M751" s="548"/>
      <c r="N751" s="552"/>
      <c r="Y751" s="551"/>
    </row>
    <row r="752" spans="1:25">
      <c r="A752" s="499">
        <v>45509</v>
      </c>
      <c r="B752" s="499">
        <v>45509</v>
      </c>
      <c r="C752" s="500" t="s">
        <v>173</v>
      </c>
      <c r="D752" s="500" t="s">
        <v>760</v>
      </c>
      <c r="E752" s="501">
        <v>-19012776.890000001</v>
      </c>
      <c r="F752" s="502" t="s">
        <v>878</v>
      </c>
      <c r="G752" s="100" t="s">
        <v>448</v>
      </c>
      <c r="H752" s="530"/>
      <c r="I752" s="525"/>
      <c r="K752" s="548"/>
      <c r="L752" s="548"/>
      <c r="M752" s="548"/>
      <c r="N752" s="552"/>
      <c r="Y752" s="551"/>
    </row>
    <row r="753" spans="1:25">
      <c r="A753" s="499">
        <v>45509</v>
      </c>
      <c r="B753" s="499">
        <v>45509</v>
      </c>
      <c r="C753" s="500" t="s">
        <v>173</v>
      </c>
      <c r="D753" s="500" t="s">
        <v>760</v>
      </c>
      <c r="E753" s="501">
        <v>-19013778.629999999</v>
      </c>
      <c r="F753" s="502" t="s">
        <v>878</v>
      </c>
      <c r="G753" s="100" t="s">
        <v>605</v>
      </c>
      <c r="H753" s="530"/>
      <c r="I753" s="525"/>
      <c r="K753" s="548"/>
      <c r="L753" s="548"/>
      <c r="M753" s="548"/>
      <c r="N753" s="552"/>
      <c r="Y753" s="551"/>
    </row>
    <row r="754" spans="1:25">
      <c r="A754" s="499">
        <v>45509</v>
      </c>
      <c r="B754" s="499">
        <v>45509</v>
      </c>
      <c r="C754" s="500" t="s">
        <v>173</v>
      </c>
      <c r="D754" s="500" t="s">
        <v>760</v>
      </c>
      <c r="E754" s="501">
        <v>-18003019.66</v>
      </c>
      <c r="F754" s="502" t="s">
        <v>878</v>
      </c>
      <c r="G754" s="100" t="s">
        <v>597</v>
      </c>
      <c r="H754" s="530"/>
      <c r="I754" s="525"/>
      <c r="K754" s="548"/>
      <c r="L754" s="548"/>
      <c r="M754" s="548"/>
      <c r="N754" s="552"/>
      <c r="Y754" s="551"/>
    </row>
    <row r="755" spans="1:25">
      <c r="A755" s="499">
        <v>45509</v>
      </c>
      <c r="B755" s="499">
        <v>45509</v>
      </c>
      <c r="C755" s="500" t="s">
        <v>173</v>
      </c>
      <c r="D755" s="500" t="s">
        <v>760</v>
      </c>
      <c r="E755" s="501">
        <v>-2000932.55</v>
      </c>
      <c r="F755" s="502" t="s">
        <v>878</v>
      </c>
      <c r="G755" s="100" t="s">
        <v>551</v>
      </c>
      <c r="H755" s="530"/>
      <c r="I755" s="525"/>
      <c r="K755" s="548"/>
      <c r="L755" s="548"/>
      <c r="M755" s="548"/>
      <c r="N755" s="552"/>
      <c r="Y755" s="551"/>
    </row>
    <row r="756" spans="1:25">
      <c r="A756" s="499">
        <v>45509</v>
      </c>
      <c r="B756" s="499">
        <v>45509</v>
      </c>
      <c r="C756" s="500" t="s">
        <v>173</v>
      </c>
      <c r="D756" s="500" t="s">
        <v>760</v>
      </c>
      <c r="E756" s="501">
        <v>-6004034.8099999996</v>
      </c>
      <c r="F756" s="502" t="s">
        <v>878</v>
      </c>
      <c r="G756" s="100" t="s">
        <v>448</v>
      </c>
      <c r="H756" s="530"/>
      <c r="I756" s="525"/>
      <c r="K756" s="548"/>
      <c r="L756" s="548"/>
      <c r="M756" s="548"/>
      <c r="N756" s="552"/>
      <c r="Y756" s="551"/>
    </row>
    <row r="757" spans="1:25">
      <c r="A757" s="499">
        <v>45509</v>
      </c>
      <c r="B757" s="499">
        <v>45509</v>
      </c>
      <c r="C757" s="500" t="s">
        <v>173</v>
      </c>
      <c r="D757" s="500" t="s">
        <v>760</v>
      </c>
      <c r="E757" s="501">
        <v>-47034083.979999997</v>
      </c>
      <c r="F757" s="502" t="s">
        <v>878</v>
      </c>
      <c r="G757" s="100" t="s">
        <v>605</v>
      </c>
      <c r="H757" s="530"/>
      <c r="I757" s="525"/>
      <c r="K757" s="548"/>
      <c r="L757" s="548"/>
      <c r="M757" s="548"/>
      <c r="N757" s="552"/>
      <c r="Y757" s="551"/>
    </row>
    <row r="758" spans="1:25">
      <c r="A758" s="499">
        <v>45509</v>
      </c>
      <c r="B758" s="499">
        <v>45509</v>
      </c>
      <c r="C758" s="500" t="s">
        <v>173</v>
      </c>
      <c r="D758" s="500" t="s">
        <v>760</v>
      </c>
      <c r="E758" s="501">
        <v>-44018017.299999997</v>
      </c>
      <c r="F758" s="502" t="s">
        <v>878</v>
      </c>
      <c r="G758" s="100" t="s">
        <v>601</v>
      </c>
      <c r="H758" s="530"/>
      <c r="I758" s="525"/>
      <c r="K758" s="548"/>
      <c r="L758" s="548"/>
      <c r="M758" s="548"/>
      <c r="N758" s="552"/>
      <c r="Y758" s="551"/>
    </row>
    <row r="759" spans="1:25">
      <c r="A759" s="499">
        <v>45509</v>
      </c>
      <c r="B759" s="499">
        <v>45509</v>
      </c>
      <c r="C759" s="500" t="s">
        <v>173</v>
      </c>
      <c r="D759" s="500" t="s">
        <v>760</v>
      </c>
      <c r="E759" s="501">
        <v>-49031278.909999996</v>
      </c>
      <c r="F759" s="502" t="s">
        <v>878</v>
      </c>
      <c r="G759" s="100" t="s">
        <v>697</v>
      </c>
      <c r="H759" s="530"/>
      <c r="I759" s="525"/>
      <c r="K759" s="548"/>
      <c r="L759" s="548"/>
      <c r="M759" s="548"/>
      <c r="N759" s="552"/>
      <c r="Y759" s="551"/>
    </row>
    <row r="760" spans="1:25">
      <c r="A760" s="499">
        <v>45509</v>
      </c>
      <c r="B760" s="499">
        <v>45509</v>
      </c>
      <c r="C760" s="500" t="s">
        <v>173</v>
      </c>
      <c r="D760" s="500" t="s">
        <v>760</v>
      </c>
      <c r="E760" s="501">
        <v>-42034969.200000003</v>
      </c>
      <c r="F760" s="502" t="s">
        <v>878</v>
      </c>
      <c r="G760" s="100" t="s">
        <v>818</v>
      </c>
      <c r="H760" s="530"/>
      <c r="I760" s="525"/>
      <c r="K760" s="548"/>
      <c r="L760" s="548"/>
      <c r="M760" s="548"/>
      <c r="N760" s="552"/>
      <c r="Y760" s="551"/>
    </row>
    <row r="761" spans="1:25">
      <c r="A761" s="499">
        <v>45509</v>
      </c>
      <c r="B761" s="499">
        <v>45509</v>
      </c>
      <c r="C761" s="500" t="s">
        <v>173</v>
      </c>
      <c r="D761" s="500" t="s">
        <v>760</v>
      </c>
      <c r="E761" s="501">
        <v>-33000400.620000001</v>
      </c>
      <c r="F761" s="502" t="s">
        <v>878</v>
      </c>
      <c r="G761" s="100" t="s">
        <v>91</v>
      </c>
      <c r="H761" s="530"/>
      <c r="I761" s="525"/>
      <c r="K761" s="548"/>
      <c r="L761" s="548"/>
      <c r="M761" s="548"/>
      <c r="N761" s="552"/>
      <c r="Y761" s="551"/>
    </row>
    <row r="762" spans="1:25">
      <c r="A762" s="499">
        <v>45509</v>
      </c>
      <c r="B762" s="499">
        <v>45509</v>
      </c>
      <c r="C762" s="500" t="s">
        <v>173</v>
      </c>
      <c r="D762" s="500" t="s">
        <v>760</v>
      </c>
      <c r="E762" s="501">
        <v>-40018650.979999997</v>
      </c>
      <c r="F762" s="502" t="s">
        <v>878</v>
      </c>
      <c r="G762" s="100" t="s">
        <v>551</v>
      </c>
      <c r="H762" s="530"/>
      <c r="I762" s="525"/>
      <c r="K762" s="548"/>
      <c r="L762" s="548"/>
      <c r="M762" s="548"/>
      <c r="N762" s="552"/>
      <c r="Y762" s="551"/>
    </row>
    <row r="763" spans="1:25">
      <c r="A763" s="499">
        <v>45509</v>
      </c>
      <c r="B763" s="499">
        <v>45509</v>
      </c>
      <c r="C763" s="500" t="s">
        <v>173</v>
      </c>
      <c r="D763" s="500" t="s">
        <v>760</v>
      </c>
      <c r="E763" s="501">
        <v>-30016126.199999999</v>
      </c>
      <c r="F763" s="502" t="s">
        <v>878</v>
      </c>
      <c r="G763" s="100" t="s">
        <v>589</v>
      </c>
      <c r="H763" s="530"/>
      <c r="I763" s="525"/>
      <c r="K763" s="548"/>
      <c r="L763" s="548"/>
      <c r="M763" s="548"/>
      <c r="N763" s="552"/>
      <c r="Y763" s="551"/>
    </row>
    <row r="764" spans="1:25">
      <c r="A764" s="499">
        <v>45509</v>
      </c>
      <c r="B764" s="499">
        <v>45509</v>
      </c>
      <c r="C764" s="500" t="s">
        <v>173</v>
      </c>
      <c r="D764" s="500" t="s">
        <v>760</v>
      </c>
      <c r="E764" s="501">
        <v>-29016151.260000002</v>
      </c>
      <c r="F764" s="502" t="s">
        <v>878</v>
      </c>
      <c r="G764" s="100" t="s">
        <v>820</v>
      </c>
      <c r="H764" s="530"/>
      <c r="I764" s="525"/>
      <c r="K764" s="548"/>
      <c r="L764" s="548"/>
      <c r="M764" s="548"/>
      <c r="N764" s="552"/>
      <c r="Y764" s="551"/>
    </row>
    <row r="765" spans="1:25">
      <c r="A765" s="499">
        <v>45509</v>
      </c>
      <c r="B765" s="499">
        <v>45509</v>
      </c>
      <c r="C765" s="500" t="s">
        <v>173</v>
      </c>
      <c r="D765" s="500" t="s">
        <v>760</v>
      </c>
      <c r="E765" s="501">
        <v>-30022470</v>
      </c>
      <c r="F765" s="502" t="s">
        <v>878</v>
      </c>
      <c r="G765" s="100" t="s">
        <v>825</v>
      </c>
      <c r="H765" s="530"/>
      <c r="I765" s="525"/>
      <c r="K765" s="548"/>
      <c r="L765" s="548"/>
      <c r="M765" s="548"/>
      <c r="N765" s="552"/>
      <c r="Y765" s="551"/>
    </row>
    <row r="766" spans="1:25">
      <c r="A766" s="499">
        <v>45509</v>
      </c>
      <c r="B766" s="499">
        <v>45509</v>
      </c>
      <c r="C766" s="500" t="s">
        <v>173</v>
      </c>
      <c r="D766" s="500" t="s">
        <v>760</v>
      </c>
      <c r="E766" s="501">
        <v>-22012252.68</v>
      </c>
      <c r="F766" s="502" t="s">
        <v>878</v>
      </c>
      <c r="G766" s="100" t="s">
        <v>820</v>
      </c>
      <c r="H766" s="530"/>
      <c r="I766" s="525"/>
      <c r="K766" s="548"/>
      <c r="L766" s="548"/>
      <c r="M766" s="548"/>
      <c r="N766" s="552"/>
      <c r="Y766" s="551"/>
    </row>
    <row r="767" spans="1:25">
      <c r="A767" s="499">
        <v>45509</v>
      </c>
      <c r="B767" s="499">
        <v>45509</v>
      </c>
      <c r="C767" s="500" t="s">
        <v>173</v>
      </c>
      <c r="D767" s="500" t="s">
        <v>760</v>
      </c>
      <c r="E767" s="501">
        <v>-25018725</v>
      </c>
      <c r="F767" s="502" t="s">
        <v>878</v>
      </c>
      <c r="G767" s="100" t="s">
        <v>825</v>
      </c>
      <c r="H767" s="530"/>
      <c r="I767" s="525"/>
      <c r="K767" s="548"/>
      <c r="L767" s="548"/>
      <c r="M767" s="548"/>
      <c r="N767" s="552"/>
      <c r="Y767" s="551"/>
    </row>
    <row r="768" spans="1:25">
      <c r="A768" s="499">
        <v>45509</v>
      </c>
      <c r="B768" s="499">
        <v>45509</v>
      </c>
      <c r="C768" s="500" t="s">
        <v>173</v>
      </c>
      <c r="D768" s="500" t="s">
        <v>760</v>
      </c>
      <c r="E768" s="501">
        <v>-30024003.780000001</v>
      </c>
      <c r="F768" s="502" t="s">
        <v>878</v>
      </c>
      <c r="G768" s="100" t="s">
        <v>591</v>
      </c>
      <c r="H768" s="530"/>
      <c r="I768" s="525"/>
      <c r="K768" s="548"/>
      <c r="L768" s="548"/>
      <c r="M768" s="548"/>
      <c r="N768" s="552"/>
      <c r="Y768" s="551"/>
    </row>
    <row r="769" spans="1:25">
      <c r="A769" s="499">
        <v>45509</v>
      </c>
      <c r="B769" s="499">
        <v>45509</v>
      </c>
      <c r="C769" s="500" t="s">
        <v>173</v>
      </c>
      <c r="D769" s="500" t="s">
        <v>760</v>
      </c>
      <c r="E769" s="501">
        <v>-56022889.609999999</v>
      </c>
      <c r="F769" s="502" t="s">
        <v>878</v>
      </c>
      <c r="G769" s="100" t="s">
        <v>453</v>
      </c>
      <c r="H769" s="530"/>
      <c r="I769" s="525"/>
      <c r="K769" s="548"/>
      <c r="L769" s="548"/>
      <c r="M769" s="548"/>
      <c r="N769" s="552"/>
      <c r="Y769" s="551"/>
    </row>
    <row r="770" spans="1:25">
      <c r="A770" s="499">
        <v>45509</v>
      </c>
      <c r="B770" s="499">
        <v>45509</v>
      </c>
      <c r="C770" s="500" t="s">
        <v>173</v>
      </c>
      <c r="D770" s="500" t="s">
        <v>760</v>
      </c>
      <c r="E770" s="501">
        <v>-95064167.370000005</v>
      </c>
      <c r="F770" s="502" t="s">
        <v>878</v>
      </c>
      <c r="G770" s="100" t="s">
        <v>475</v>
      </c>
      <c r="H770" s="530"/>
      <c r="I770" s="525"/>
      <c r="K770" s="548"/>
      <c r="L770" s="548"/>
      <c r="M770" s="548"/>
      <c r="N770" s="552"/>
      <c r="Y770" s="551"/>
    </row>
    <row r="771" spans="1:25">
      <c r="A771" s="499">
        <v>45509</v>
      </c>
      <c r="B771" s="499">
        <v>45509</v>
      </c>
      <c r="C771" s="500" t="s">
        <v>173</v>
      </c>
      <c r="D771" s="500" t="s">
        <v>760</v>
      </c>
      <c r="E771" s="501">
        <v>-86047896.840000004</v>
      </c>
      <c r="F771" s="502" t="s">
        <v>878</v>
      </c>
      <c r="G771" s="100" t="s">
        <v>820</v>
      </c>
      <c r="H771" s="530"/>
      <c r="I771" s="525"/>
      <c r="K771" s="548"/>
      <c r="L771" s="548"/>
      <c r="M771" s="548"/>
      <c r="N771" s="552"/>
      <c r="Y771" s="551"/>
    </row>
    <row r="772" spans="1:25">
      <c r="A772" s="499">
        <v>45509</v>
      </c>
      <c r="B772" s="499">
        <v>45509</v>
      </c>
      <c r="C772" s="500" t="s">
        <v>173</v>
      </c>
      <c r="D772" s="500" t="s">
        <v>760</v>
      </c>
      <c r="E772" s="501">
        <v>-94089310.719999999</v>
      </c>
      <c r="F772" s="502" t="s">
        <v>878</v>
      </c>
      <c r="G772" s="100" t="s">
        <v>599</v>
      </c>
      <c r="H772" s="530"/>
      <c r="I772" s="525"/>
      <c r="K772" s="548"/>
      <c r="L772" s="548"/>
      <c r="M772" s="548"/>
      <c r="N772" s="552"/>
      <c r="Y772" s="551"/>
    </row>
    <row r="773" spans="1:25">
      <c r="A773" s="499">
        <v>45509</v>
      </c>
      <c r="B773" s="499">
        <v>45509</v>
      </c>
      <c r="C773" s="500" t="s">
        <v>173</v>
      </c>
      <c r="D773" s="500" t="s">
        <v>760</v>
      </c>
      <c r="E773" s="501">
        <v>-95064167.370000005</v>
      </c>
      <c r="F773" s="502" t="s">
        <v>878</v>
      </c>
      <c r="G773" s="100" t="s">
        <v>475</v>
      </c>
      <c r="H773" s="530"/>
      <c r="I773" s="525"/>
      <c r="K773" s="548"/>
      <c r="L773" s="548"/>
      <c r="M773" s="548"/>
      <c r="N773" s="552"/>
      <c r="Y773" s="551"/>
    </row>
    <row r="774" spans="1:25">
      <c r="A774" s="499">
        <v>45509</v>
      </c>
      <c r="B774" s="499">
        <v>45509</v>
      </c>
      <c r="C774" s="500" t="s">
        <v>173</v>
      </c>
      <c r="D774" s="500" t="s">
        <v>760</v>
      </c>
      <c r="E774" s="501">
        <v>-97097119.120000005</v>
      </c>
      <c r="F774" s="502" t="s">
        <v>878</v>
      </c>
      <c r="G774" s="100" t="s">
        <v>745</v>
      </c>
      <c r="H774" s="530"/>
      <c r="I774" s="525"/>
      <c r="K774" s="548"/>
      <c r="L774" s="548"/>
      <c r="M774" s="548"/>
      <c r="N774" s="552"/>
      <c r="Y774" s="551"/>
    </row>
    <row r="775" spans="1:25">
      <c r="A775" s="499">
        <v>45509</v>
      </c>
      <c r="B775" s="499">
        <v>45509</v>
      </c>
      <c r="C775" s="500" t="s">
        <v>173</v>
      </c>
      <c r="D775" s="500" t="s">
        <v>760</v>
      </c>
      <c r="E775" s="501">
        <v>-95091859.870000005</v>
      </c>
      <c r="F775" s="502" t="s">
        <v>878</v>
      </c>
      <c r="G775" s="100" t="s">
        <v>746</v>
      </c>
      <c r="H775" s="530"/>
      <c r="I775" s="525"/>
      <c r="K775" s="548"/>
      <c r="L775" s="548"/>
      <c r="M775" s="548"/>
      <c r="N775" s="552"/>
      <c r="Y775" s="551"/>
    </row>
    <row r="776" spans="1:25">
      <c r="A776" s="499">
        <v>45509</v>
      </c>
      <c r="B776" s="499">
        <v>45509</v>
      </c>
      <c r="C776" s="500" t="s">
        <v>173</v>
      </c>
      <c r="D776" s="500" t="s">
        <v>760</v>
      </c>
      <c r="E776" s="501">
        <v>-83080256.519999996</v>
      </c>
      <c r="F776" s="502" t="s">
        <v>878</v>
      </c>
      <c r="G776" s="100" t="s">
        <v>746</v>
      </c>
      <c r="H776" s="530"/>
      <c r="I776" s="525"/>
      <c r="K776" s="548"/>
      <c r="L776" s="548"/>
      <c r="M776" s="548"/>
      <c r="N776" s="552"/>
      <c r="Y776" s="551"/>
    </row>
    <row r="777" spans="1:25">
      <c r="A777" s="499">
        <v>45509</v>
      </c>
      <c r="B777" s="499">
        <v>45509</v>
      </c>
      <c r="C777" s="500" t="s">
        <v>173</v>
      </c>
      <c r="D777" s="500" t="s">
        <v>760</v>
      </c>
      <c r="E777" s="501">
        <v>-52027952.079999998</v>
      </c>
      <c r="F777" s="502" t="s">
        <v>878</v>
      </c>
      <c r="G777" s="100" t="s">
        <v>589</v>
      </c>
      <c r="H777" s="530"/>
      <c r="I777" s="525"/>
      <c r="K777" s="548"/>
      <c r="L777" s="548"/>
      <c r="M777" s="548"/>
      <c r="N777" s="552"/>
      <c r="Y777" s="551"/>
    </row>
    <row r="778" spans="1:25">
      <c r="A778" s="499">
        <v>45509</v>
      </c>
      <c r="B778" s="499">
        <v>45509</v>
      </c>
      <c r="C778" s="500" t="s">
        <v>173</v>
      </c>
      <c r="D778" s="500" t="s">
        <v>760</v>
      </c>
      <c r="E778" s="501">
        <v>-64029157.630000003</v>
      </c>
      <c r="F778" s="502" t="s">
        <v>878</v>
      </c>
      <c r="G778" s="100" t="s">
        <v>595</v>
      </c>
      <c r="H778" s="530"/>
      <c r="I778" s="525"/>
      <c r="K778" s="548"/>
      <c r="L778" s="548"/>
      <c r="M778" s="548"/>
      <c r="N778" s="552"/>
      <c r="Y778" s="551"/>
    </row>
    <row r="779" spans="1:25">
      <c r="A779" s="499">
        <v>45509</v>
      </c>
      <c r="B779" s="499">
        <v>45509</v>
      </c>
      <c r="C779" s="500" t="s">
        <v>173</v>
      </c>
      <c r="D779" s="500" t="s">
        <v>760</v>
      </c>
      <c r="E779" s="501">
        <v>-58051067.140000001</v>
      </c>
      <c r="F779" s="502" t="s">
        <v>878</v>
      </c>
      <c r="G779" s="100" t="s">
        <v>822</v>
      </c>
      <c r="H779" s="530"/>
      <c r="I779" s="525"/>
      <c r="K779" s="548"/>
      <c r="L779" s="548"/>
      <c r="M779" s="548"/>
      <c r="N779" s="552"/>
      <c r="Y779" s="551"/>
    </row>
    <row r="780" spans="1:25">
      <c r="A780" s="499">
        <v>45509</v>
      </c>
      <c r="B780" s="499">
        <v>45509</v>
      </c>
      <c r="C780" s="500" t="s">
        <v>173</v>
      </c>
      <c r="D780" s="500" t="s">
        <v>760</v>
      </c>
      <c r="E780" s="501">
        <v>-72068408.209999993</v>
      </c>
      <c r="F780" s="502" t="s">
        <v>878</v>
      </c>
      <c r="G780" s="100" t="s">
        <v>599</v>
      </c>
      <c r="H780" s="530"/>
      <c r="I780" s="525"/>
      <c r="K780" s="548"/>
      <c r="L780" s="548"/>
      <c r="M780" s="548"/>
      <c r="N780" s="552"/>
      <c r="Y780" s="551"/>
    </row>
    <row r="781" spans="1:25">
      <c r="A781" s="499">
        <v>45509</v>
      </c>
      <c r="B781" s="499">
        <v>45509</v>
      </c>
      <c r="C781" s="500" t="s">
        <v>173</v>
      </c>
      <c r="D781" s="500" t="s">
        <v>760</v>
      </c>
      <c r="E781" s="501">
        <v>-23012363.420000002</v>
      </c>
      <c r="F781" s="502" t="s">
        <v>878</v>
      </c>
      <c r="G781" s="100" t="s">
        <v>589</v>
      </c>
      <c r="H781" s="530"/>
      <c r="I781" s="525"/>
      <c r="K781" s="548"/>
      <c r="L781" s="548"/>
      <c r="M781" s="548"/>
      <c r="N781" s="552"/>
      <c r="Y781" s="551"/>
    </row>
    <row r="782" spans="1:25">
      <c r="A782" s="499">
        <v>45509</v>
      </c>
      <c r="B782" s="499">
        <v>45509</v>
      </c>
      <c r="C782" s="500" t="s">
        <v>173</v>
      </c>
      <c r="D782" s="500" t="s">
        <v>760</v>
      </c>
      <c r="E782" s="501">
        <v>-24021131.23</v>
      </c>
      <c r="F782" s="502" t="s">
        <v>878</v>
      </c>
      <c r="G782" s="100" t="s">
        <v>822</v>
      </c>
      <c r="H782" s="530"/>
      <c r="I782" s="525"/>
      <c r="K782" s="548"/>
      <c r="L782" s="548"/>
      <c r="M782" s="548"/>
      <c r="N782" s="552"/>
      <c r="Y782" s="551"/>
    </row>
    <row r="783" spans="1:25">
      <c r="A783" s="499">
        <v>45509</v>
      </c>
      <c r="B783" s="499">
        <v>45509</v>
      </c>
      <c r="C783" s="500" t="s">
        <v>173</v>
      </c>
      <c r="D783" s="500" t="s">
        <v>760</v>
      </c>
      <c r="E783" s="501">
        <v>-68053399.989999995</v>
      </c>
      <c r="F783" s="502" t="s">
        <v>878</v>
      </c>
      <c r="G783" s="100" t="s">
        <v>603</v>
      </c>
      <c r="H783" s="530"/>
      <c r="I783" s="525"/>
      <c r="K783" s="548"/>
      <c r="L783" s="548"/>
      <c r="M783" s="548"/>
      <c r="N783" s="552"/>
      <c r="Y783" s="551"/>
    </row>
    <row r="784" spans="1:25">
      <c r="A784" s="499">
        <v>45509</v>
      </c>
      <c r="B784" s="499">
        <v>45509</v>
      </c>
      <c r="C784" s="500" t="s">
        <v>173</v>
      </c>
      <c r="D784" s="500" t="s">
        <v>760</v>
      </c>
      <c r="E784" s="501">
        <v>-650437104.20000005</v>
      </c>
      <c r="F784" s="502" t="s">
        <v>878</v>
      </c>
      <c r="G784" s="100" t="s">
        <v>448</v>
      </c>
      <c r="H784" s="530"/>
      <c r="I784" s="525"/>
      <c r="K784" s="548"/>
      <c r="L784" s="548"/>
      <c r="M784" s="548"/>
      <c r="N784" s="552"/>
      <c r="Y784" s="551"/>
    </row>
    <row r="785" spans="1:25">
      <c r="A785" s="499">
        <v>45509</v>
      </c>
      <c r="B785" s="499">
        <v>45509</v>
      </c>
      <c r="C785" s="500" t="s">
        <v>173</v>
      </c>
      <c r="D785" s="500" t="s">
        <v>760</v>
      </c>
      <c r="E785" s="501">
        <v>-683509646.39999998</v>
      </c>
      <c r="F785" s="502" t="s">
        <v>878</v>
      </c>
      <c r="G785" s="100" t="s">
        <v>390</v>
      </c>
      <c r="H785" s="530"/>
      <c r="I785" s="525"/>
      <c r="K785" s="548"/>
      <c r="L785" s="548"/>
      <c r="M785" s="548"/>
      <c r="N785" s="552"/>
      <c r="Y785" s="551"/>
    </row>
    <row r="786" spans="1:25">
      <c r="A786" s="499">
        <v>45509</v>
      </c>
      <c r="B786" s="499">
        <v>45509</v>
      </c>
      <c r="C786" s="500" t="s">
        <v>173</v>
      </c>
      <c r="D786" s="500" t="s">
        <v>760</v>
      </c>
      <c r="E786" s="501">
        <v>-87009374.859999999</v>
      </c>
      <c r="F786" s="502" t="s">
        <v>878</v>
      </c>
      <c r="G786" s="100" t="s">
        <v>78</v>
      </c>
      <c r="H786" s="530"/>
      <c r="I786" s="525"/>
      <c r="K786" s="548"/>
      <c r="L786" s="548"/>
      <c r="M786" s="548"/>
      <c r="N786" s="552"/>
      <c r="Y786" s="551"/>
    </row>
    <row r="787" spans="1:25">
      <c r="A787" s="499">
        <v>45509</v>
      </c>
      <c r="B787" s="499">
        <v>45509</v>
      </c>
      <c r="C787" s="500" t="s">
        <v>173</v>
      </c>
      <c r="D787" s="500" t="s">
        <v>760</v>
      </c>
      <c r="E787" s="501">
        <v>-611455920.87</v>
      </c>
      <c r="F787" s="502" t="s">
        <v>878</v>
      </c>
      <c r="G787" s="100" t="s">
        <v>390</v>
      </c>
      <c r="H787" s="530"/>
      <c r="I787" s="525"/>
      <c r="K787" s="548"/>
      <c r="L787" s="548"/>
      <c r="M787" s="548"/>
      <c r="N787" s="552"/>
      <c r="Y787" s="551"/>
    </row>
    <row r="788" spans="1:25">
      <c r="A788" s="499">
        <v>45509</v>
      </c>
      <c r="B788" s="499">
        <v>45509</v>
      </c>
      <c r="C788" s="500" t="s">
        <v>173</v>
      </c>
      <c r="D788" s="500" t="s">
        <v>760</v>
      </c>
      <c r="E788" s="501">
        <v>-263060561.27000001</v>
      </c>
      <c r="F788" s="502" t="s">
        <v>878</v>
      </c>
      <c r="G788" s="100" t="s">
        <v>75</v>
      </c>
      <c r="H788" s="530"/>
      <c r="I788" s="525"/>
      <c r="K788" s="548"/>
      <c r="L788" s="548"/>
      <c r="M788" s="548"/>
      <c r="N788" s="552"/>
      <c r="Y788" s="551"/>
    </row>
    <row r="789" spans="1:25">
      <c r="A789" s="499">
        <v>45509</v>
      </c>
      <c r="B789" s="499">
        <v>45509</v>
      </c>
      <c r="C789" s="500" t="s">
        <v>173</v>
      </c>
      <c r="D789" s="500" t="s">
        <v>760</v>
      </c>
      <c r="E789" s="501">
        <v>-595459768.39999998</v>
      </c>
      <c r="F789" s="502" t="s">
        <v>878</v>
      </c>
      <c r="G789" s="100" t="s">
        <v>83</v>
      </c>
      <c r="H789" s="530"/>
      <c r="I789" s="525"/>
      <c r="K789" s="548"/>
      <c r="L789" s="548"/>
      <c r="M789" s="548"/>
      <c r="N789" s="552"/>
      <c r="Y789" s="551"/>
    </row>
    <row r="790" spans="1:25">
      <c r="A790" s="499">
        <v>45509</v>
      </c>
      <c r="B790" s="499">
        <v>45509</v>
      </c>
      <c r="C790" s="500" t="s">
        <v>173</v>
      </c>
      <c r="D790" s="500" t="s">
        <v>760</v>
      </c>
      <c r="E790" s="501">
        <v>-700017138.10000002</v>
      </c>
      <c r="F790" s="502" t="s">
        <v>878</v>
      </c>
      <c r="G790" s="100" t="s">
        <v>526</v>
      </c>
      <c r="H790" s="530"/>
      <c r="I790" s="525"/>
      <c r="K790" s="548"/>
      <c r="L790" s="548"/>
      <c r="M790" s="548"/>
      <c r="N790" s="552"/>
      <c r="Y790" s="551"/>
    </row>
    <row r="791" spans="1:25">
      <c r="A791" s="499">
        <v>45509</v>
      </c>
      <c r="B791" s="499">
        <v>45509</v>
      </c>
      <c r="C791" s="500" t="s">
        <v>173</v>
      </c>
      <c r="D791" s="500" t="s">
        <v>760</v>
      </c>
      <c r="E791" s="501">
        <v>-23002478.41</v>
      </c>
      <c r="F791" s="502" t="s">
        <v>878</v>
      </c>
      <c r="G791" s="100" t="s">
        <v>78</v>
      </c>
      <c r="H791" s="530"/>
      <c r="I791" s="525"/>
      <c r="K791" s="548"/>
      <c r="L791" s="548"/>
      <c r="M791" s="548"/>
      <c r="N791" s="552"/>
      <c r="Y791" s="551"/>
    </row>
    <row r="792" spans="1:25">
      <c r="A792" s="499">
        <v>45509</v>
      </c>
      <c r="B792" s="499">
        <v>45510</v>
      </c>
      <c r="C792" s="500" t="s">
        <v>173</v>
      </c>
      <c r="D792" s="500" t="s">
        <v>760</v>
      </c>
      <c r="E792" s="501">
        <v>361163227.43000001</v>
      </c>
      <c r="F792" s="502" t="s">
        <v>878</v>
      </c>
      <c r="G792" s="100" t="s">
        <v>834</v>
      </c>
      <c r="H792" s="530"/>
      <c r="I792" s="525"/>
      <c r="K792" s="548"/>
      <c r="L792" s="548"/>
      <c r="M792" s="548"/>
      <c r="N792" s="552"/>
      <c r="Y792" s="551"/>
    </row>
    <row r="793" spans="1:25">
      <c r="A793" s="499">
        <v>45509</v>
      </c>
      <c r="B793" s="499">
        <v>45510</v>
      </c>
      <c r="C793" s="500" t="s">
        <v>173</v>
      </c>
      <c r="D793" s="500" t="s">
        <v>760</v>
      </c>
      <c r="E793" s="501">
        <v>2002466.71</v>
      </c>
      <c r="F793" s="502" t="s">
        <v>878</v>
      </c>
      <c r="G793" s="100" t="s">
        <v>649</v>
      </c>
      <c r="H793" s="530"/>
      <c r="I793" s="525"/>
      <c r="K793" s="548"/>
      <c r="L793" s="548"/>
      <c r="M793" s="548"/>
      <c r="N793" s="552"/>
      <c r="Y793" s="551"/>
    </row>
    <row r="794" spans="1:25">
      <c r="A794" s="499">
        <v>45509</v>
      </c>
      <c r="B794" s="499">
        <v>45510</v>
      </c>
      <c r="C794" s="500" t="s">
        <v>173</v>
      </c>
      <c r="D794" s="500" t="s">
        <v>760</v>
      </c>
      <c r="E794" s="501">
        <v>1001311.11</v>
      </c>
      <c r="F794" s="502" t="s">
        <v>878</v>
      </c>
      <c r="G794" s="100" t="s">
        <v>599</v>
      </c>
      <c r="H794" s="530"/>
      <c r="I794" s="525"/>
      <c r="K794" s="548"/>
      <c r="L794" s="548"/>
      <c r="M794" s="548"/>
      <c r="N794" s="552"/>
      <c r="Y794" s="551"/>
    </row>
    <row r="795" spans="1:25">
      <c r="A795" s="499">
        <v>45509</v>
      </c>
      <c r="B795" s="499">
        <v>45510</v>
      </c>
      <c r="C795" s="500" t="s">
        <v>173</v>
      </c>
      <c r="D795" s="500" t="s">
        <v>760</v>
      </c>
      <c r="E795" s="501">
        <v>1000506.04</v>
      </c>
      <c r="F795" s="502" t="s">
        <v>878</v>
      </c>
      <c r="G795" s="100" t="s">
        <v>593</v>
      </c>
      <c r="H795" s="530"/>
      <c r="I795" s="525"/>
      <c r="K795" s="548"/>
      <c r="L795" s="548"/>
      <c r="M795" s="548"/>
      <c r="N795" s="552"/>
      <c r="Y795" s="551"/>
    </row>
    <row r="796" spans="1:25">
      <c r="A796" s="499">
        <v>45509</v>
      </c>
      <c r="B796" s="499">
        <v>45510</v>
      </c>
      <c r="C796" s="500" t="s">
        <v>173</v>
      </c>
      <c r="D796" s="500" t="s">
        <v>760</v>
      </c>
      <c r="E796" s="501">
        <v>1000506.04</v>
      </c>
      <c r="F796" s="502" t="s">
        <v>878</v>
      </c>
      <c r="G796" s="100" t="s">
        <v>593</v>
      </c>
      <c r="H796" s="530"/>
      <c r="I796" s="525"/>
      <c r="K796" s="548"/>
      <c r="L796" s="548"/>
      <c r="M796" s="548"/>
      <c r="N796" s="552"/>
      <c r="Y796" s="551"/>
    </row>
    <row r="797" spans="1:25">
      <c r="A797" s="499">
        <v>45509</v>
      </c>
      <c r="B797" s="499">
        <v>45510</v>
      </c>
      <c r="C797" s="500" t="s">
        <v>173</v>
      </c>
      <c r="D797" s="500" t="s">
        <v>760</v>
      </c>
      <c r="E797" s="501">
        <v>1000770.28</v>
      </c>
      <c r="F797" s="502" t="s">
        <v>878</v>
      </c>
      <c r="G797" s="100" t="s">
        <v>601</v>
      </c>
      <c r="H797" s="530"/>
      <c r="I797" s="525"/>
      <c r="K797" s="548"/>
      <c r="L797" s="548"/>
      <c r="M797" s="548"/>
      <c r="N797" s="552"/>
      <c r="Y797" s="551"/>
    </row>
    <row r="798" spans="1:25">
      <c r="A798" s="499">
        <v>45509</v>
      </c>
      <c r="B798" s="499">
        <v>45510</v>
      </c>
      <c r="C798" s="500" t="s">
        <v>173</v>
      </c>
      <c r="D798" s="500" t="s">
        <v>760</v>
      </c>
      <c r="E798" s="501">
        <v>1000710.31</v>
      </c>
      <c r="F798" s="502" t="s">
        <v>878</v>
      </c>
      <c r="G798" s="100" t="s">
        <v>90</v>
      </c>
      <c r="H798" s="530"/>
      <c r="I798" s="525"/>
      <c r="K798" s="548"/>
      <c r="L798" s="548"/>
      <c r="M798" s="548"/>
      <c r="N798" s="552"/>
      <c r="Y798" s="551"/>
    </row>
    <row r="799" spans="1:25">
      <c r="A799" s="499">
        <v>45509</v>
      </c>
      <c r="B799" s="499">
        <v>45510</v>
      </c>
      <c r="C799" s="500" t="s">
        <v>173</v>
      </c>
      <c r="D799" s="500" t="s">
        <v>760</v>
      </c>
      <c r="E799" s="501">
        <v>3002695.16</v>
      </c>
      <c r="F799" s="502" t="s">
        <v>878</v>
      </c>
      <c r="G799" s="100" t="s">
        <v>589</v>
      </c>
      <c r="H799" s="530"/>
      <c r="I799" s="525"/>
      <c r="K799" s="548"/>
      <c r="L799" s="548"/>
      <c r="M799" s="548"/>
      <c r="N799" s="552"/>
      <c r="Y799" s="551"/>
    </row>
    <row r="800" spans="1:25">
      <c r="A800" s="499">
        <v>45509</v>
      </c>
      <c r="B800" s="499">
        <v>45510</v>
      </c>
      <c r="C800" s="500" t="s">
        <v>173</v>
      </c>
      <c r="D800" s="500" t="s">
        <v>760</v>
      </c>
      <c r="E800" s="501">
        <v>4004344.42</v>
      </c>
      <c r="F800" s="502" t="s">
        <v>878</v>
      </c>
      <c r="G800" s="100" t="s">
        <v>605</v>
      </c>
      <c r="H800" s="530"/>
      <c r="I800" s="525"/>
      <c r="K800" s="548"/>
      <c r="L800" s="548"/>
      <c r="M800" s="548"/>
      <c r="N800" s="552"/>
      <c r="Y800" s="551"/>
    </row>
    <row r="801" spans="1:25">
      <c r="A801" s="499">
        <v>45509</v>
      </c>
      <c r="B801" s="499">
        <v>45510</v>
      </c>
      <c r="C801" s="500" t="s">
        <v>173</v>
      </c>
      <c r="D801" s="500" t="s">
        <v>760</v>
      </c>
      <c r="E801" s="501">
        <v>3002695.16</v>
      </c>
      <c r="F801" s="502" t="s">
        <v>878</v>
      </c>
      <c r="G801" s="100" t="s">
        <v>589</v>
      </c>
      <c r="H801" s="530"/>
      <c r="I801" s="525"/>
      <c r="K801" s="548"/>
      <c r="L801" s="548"/>
      <c r="M801" s="548"/>
      <c r="N801" s="552"/>
      <c r="Y801" s="551"/>
    </row>
    <row r="802" spans="1:25">
      <c r="A802" s="499">
        <v>45509</v>
      </c>
      <c r="B802" s="499">
        <v>45510</v>
      </c>
      <c r="C802" s="500" t="s">
        <v>173</v>
      </c>
      <c r="D802" s="500" t="s">
        <v>760</v>
      </c>
      <c r="E802" s="501">
        <v>4003308.38</v>
      </c>
      <c r="F802" s="502" t="s">
        <v>878</v>
      </c>
      <c r="G802" s="100" t="s">
        <v>551</v>
      </c>
      <c r="H802" s="530"/>
      <c r="I802" s="525"/>
      <c r="K802" s="548"/>
      <c r="L802" s="548"/>
      <c r="M802" s="548"/>
      <c r="N802" s="552"/>
      <c r="Y802" s="551"/>
    </row>
    <row r="803" spans="1:25">
      <c r="A803" s="499">
        <v>45509</v>
      </c>
      <c r="B803" s="499">
        <v>45510</v>
      </c>
      <c r="C803" s="500" t="s">
        <v>173</v>
      </c>
      <c r="D803" s="500" t="s">
        <v>760</v>
      </c>
      <c r="E803" s="501">
        <v>3003580.66</v>
      </c>
      <c r="F803" s="502" t="s">
        <v>878</v>
      </c>
      <c r="G803" s="100" t="s">
        <v>818</v>
      </c>
      <c r="H803" s="530"/>
      <c r="I803" s="525"/>
      <c r="K803" s="548"/>
      <c r="L803" s="548"/>
      <c r="M803" s="548"/>
      <c r="N803" s="552"/>
      <c r="Y803" s="551"/>
    </row>
    <row r="804" spans="1:25">
      <c r="A804" s="499">
        <v>45509</v>
      </c>
      <c r="B804" s="499">
        <v>45510</v>
      </c>
      <c r="C804" s="500" t="s">
        <v>173</v>
      </c>
      <c r="D804" s="500" t="s">
        <v>760</v>
      </c>
      <c r="E804" s="501">
        <v>5003851.42</v>
      </c>
      <c r="F804" s="502" t="s">
        <v>878</v>
      </c>
      <c r="G804" s="100" t="s">
        <v>601</v>
      </c>
      <c r="H804" s="530"/>
      <c r="I804" s="525"/>
      <c r="K804" s="548"/>
      <c r="L804" s="548"/>
      <c r="M804" s="548"/>
      <c r="N804" s="552"/>
      <c r="Y804" s="551"/>
    </row>
    <row r="805" spans="1:25">
      <c r="A805" s="499">
        <v>45509</v>
      </c>
      <c r="B805" s="499">
        <v>45510</v>
      </c>
      <c r="C805" s="500" t="s">
        <v>173</v>
      </c>
      <c r="D805" s="500" t="s">
        <v>760</v>
      </c>
      <c r="E805" s="501">
        <v>3003438.69</v>
      </c>
      <c r="F805" s="502" t="s">
        <v>878</v>
      </c>
      <c r="G805" s="100" t="s">
        <v>603</v>
      </c>
      <c r="H805" s="530"/>
      <c r="I805" s="525"/>
      <c r="K805" s="548"/>
      <c r="L805" s="548"/>
      <c r="M805" s="548"/>
      <c r="N805" s="552"/>
      <c r="Y805" s="551"/>
    </row>
    <row r="806" spans="1:25">
      <c r="A806" s="499">
        <v>45509</v>
      </c>
      <c r="B806" s="499">
        <v>45510</v>
      </c>
      <c r="C806" s="500" t="s">
        <v>173</v>
      </c>
      <c r="D806" s="500" t="s">
        <v>760</v>
      </c>
      <c r="E806" s="501">
        <v>6004962.5800000001</v>
      </c>
      <c r="F806" s="502" t="s">
        <v>878</v>
      </c>
      <c r="G806" s="100" t="s">
        <v>551</v>
      </c>
      <c r="H806" s="530"/>
      <c r="I806" s="525"/>
      <c r="K806" s="548"/>
      <c r="L806" s="548"/>
      <c r="M806" s="548"/>
      <c r="N806" s="552"/>
      <c r="Y806" s="551"/>
    </row>
    <row r="807" spans="1:25">
      <c r="A807" s="499">
        <v>45509</v>
      </c>
      <c r="B807" s="499">
        <v>45510</v>
      </c>
      <c r="C807" s="500" t="s">
        <v>173</v>
      </c>
      <c r="D807" s="500" t="s">
        <v>760</v>
      </c>
      <c r="E807" s="501">
        <v>4004344.42</v>
      </c>
      <c r="F807" s="502" t="s">
        <v>878</v>
      </c>
      <c r="G807" s="100" t="s">
        <v>605</v>
      </c>
      <c r="H807" s="530"/>
      <c r="I807" s="525"/>
      <c r="K807" s="548"/>
      <c r="L807" s="548"/>
      <c r="M807" s="548"/>
      <c r="N807" s="552"/>
      <c r="Y807" s="551"/>
    </row>
    <row r="808" spans="1:25">
      <c r="A808" s="499">
        <v>45509</v>
      </c>
      <c r="B808" s="499">
        <v>45510</v>
      </c>
      <c r="C808" s="500" t="s">
        <v>173</v>
      </c>
      <c r="D808" s="500" t="s">
        <v>760</v>
      </c>
      <c r="E808" s="501">
        <v>7004972.1600000001</v>
      </c>
      <c r="F808" s="502" t="s">
        <v>878</v>
      </c>
      <c r="G808" s="100" t="s">
        <v>90</v>
      </c>
      <c r="H808" s="530"/>
      <c r="I808" s="525"/>
      <c r="K808" s="548"/>
      <c r="L808" s="548"/>
      <c r="M808" s="548"/>
      <c r="N808" s="552"/>
      <c r="Y808" s="551"/>
    </row>
    <row r="809" spans="1:25">
      <c r="A809" s="499">
        <v>45509</v>
      </c>
      <c r="B809" s="499">
        <v>45510</v>
      </c>
      <c r="C809" s="500" t="s">
        <v>173</v>
      </c>
      <c r="D809" s="500" t="s">
        <v>760</v>
      </c>
      <c r="E809" s="501">
        <v>2002313.53</v>
      </c>
      <c r="F809" s="502" t="s">
        <v>878</v>
      </c>
      <c r="G809" s="100" t="s">
        <v>476</v>
      </c>
      <c r="H809" s="530"/>
      <c r="I809" s="525"/>
      <c r="K809" s="548"/>
      <c r="L809" s="548"/>
      <c r="M809" s="548"/>
      <c r="N809" s="552"/>
      <c r="Y809" s="551"/>
    </row>
    <row r="810" spans="1:25">
      <c r="A810" s="499">
        <v>45509</v>
      </c>
      <c r="B810" s="499">
        <v>45510</v>
      </c>
      <c r="C810" s="500" t="s">
        <v>173</v>
      </c>
      <c r="D810" s="500" t="s">
        <v>760</v>
      </c>
      <c r="E810" s="501">
        <v>21016160.41</v>
      </c>
      <c r="F810" s="502" t="s">
        <v>878</v>
      </c>
      <c r="G810" s="100" t="s">
        <v>453</v>
      </c>
      <c r="H810" s="530"/>
      <c r="I810" s="525"/>
      <c r="K810" s="548"/>
      <c r="L810" s="548"/>
      <c r="M810" s="548"/>
      <c r="N810" s="552"/>
      <c r="Y810" s="551"/>
    </row>
    <row r="811" spans="1:25">
      <c r="A811" s="499">
        <v>45509</v>
      </c>
      <c r="B811" s="499">
        <v>45510</v>
      </c>
      <c r="C811" s="500" t="s">
        <v>173</v>
      </c>
      <c r="D811" s="500" t="s">
        <v>760</v>
      </c>
      <c r="E811" s="501">
        <v>21020983.800000001</v>
      </c>
      <c r="F811" s="502" t="s">
        <v>878</v>
      </c>
      <c r="G811" s="100" t="s">
        <v>697</v>
      </c>
      <c r="H811" s="530"/>
      <c r="I811" s="525"/>
      <c r="K811" s="548"/>
      <c r="L811" s="548"/>
      <c r="M811" s="548"/>
      <c r="N811" s="552"/>
      <c r="Y811" s="551"/>
    </row>
    <row r="812" spans="1:25">
      <c r="A812" s="499">
        <v>45509</v>
      </c>
      <c r="B812" s="499">
        <v>45510</v>
      </c>
      <c r="C812" s="500" t="s">
        <v>173</v>
      </c>
      <c r="D812" s="500" t="s">
        <v>760</v>
      </c>
      <c r="E812" s="501">
        <v>22019764.510000002</v>
      </c>
      <c r="F812" s="502" t="s">
        <v>878</v>
      </c>
      <c r="G812" s="100" t="s">
        <v>589</v>
      </c>
      <c r="H812" s="530"/>
      <c r="I812" s="525"/>
      <c r="K812" s="548"/>
      <c r="L812" s="548"/>
      <c r="M812" s="548"/>
      <c r="N812" s="552"/>
      <c r="Y812" s="551"/>
    </row>
    <row r="813" spans="1:25">
      <c r="A813" s="499">
        <v>45509</v>
      </c>
      <c r="B813" s="499">
        <v>45510</v>
      </c>
      <c r="C813" s="500" t="s">
        <v>173</v>
      </c>
      <c r="D813" s="500" t="s">
        <v>760</v>
      </c>
      <c r="E813" s="501">
        <v>19009614.629999999</v>
      </c>
      <c r="F813" s="502" t="s">
        <v>878</v>
      </c>
      <c r="G813" s="100" t="s">
        <v>593</v>
      </c>
      <c r="H813" s="530"/>
      <c r="I813" s="525"/>
      <c r="K813" s="548"/>
      <c r="L813" s="548"/>
      <c r="M813" s="548"/>
      <c r="N813" s="552"/>
      <c r="Y813" s="551"/>
    </row>
    <row r="814" spans="1:25">
      <c r="A814" s="499">
        <v>45509</v>
      </c>
      <c r="B814" s="499">
        <v>45510</v>
      </c>
      <c r="C814" s="500" t="s">
        <v>173</v>
      </c>
      <c r="D814" s="500" t="s">
        <v>760</v>
      </c>
      <c r="E814" s="501">
        <v>15016648.85</v>
      </c>
      <c r="F814" s="502" t="s">
        <v>878</v>
      </c>
      <c r="G814" s="100" t="s">
        <v>825</v>
      </c>
      <c r="H814" s="530"/>
      <c r="I814" s="525"/>
      <c r="K814" s="548"/>
      <c r="L814" s="548"/>
      <c r="M814" s="548"/>
      <c r="N814" s="552"/>
      <c r="Y814" s="551"/>
    </row>
    <row r="815" spans="1:25">
      <c r="A815" s="499">
        <v>45509</v>
      </c>
      <c r="B815" s="499">
        <v>45510</v>
      </c>
      <c r="C815" s="500" t="s">
        <v>173</v>
      </c>
      <c r="D815" s="500" t="s">
        <v>760</v>
      </c>
      <c r="E815" s="501">
        <v>3002289.97</v>
      </c>
      <c r="F815" s="502" t="s">
        <v>878</v>
      </c>
      <c r="G815" s="100" t="s">
        <v>61</v>
      </c>
      <c r="H815" s="530"/>
      <c r="I815" s="525"/>
      <c r="K815" s="548"/>
      <c r="L815" s="548"/>
      <c r="M815" s="548"/>
      <c r="N815" s="552"/>
      <c r="Y815" s="551"/>
    </row>
    <row r="816" spans="1:25">
      <c r="A816" s="499">
        <v>45509</v>
      </c>
      <c r="B816" s="499">
        <v>45510</v>
      </c>
      <c r="C816" s="500" t="s">
        <v>173</v>
      </c>
      <c r="D816" s="500" t="s">
        <v>760</v>
      </c>
      <c r="E816" s="501">
        <v>4001540.58</v>
      </c>
      <c r="F816" s="502" t="s">
        <v>878</v>
      </c>
      <c r="G816" s="100" t="s">
        <v>526</v>
      </c>
      <c r="H816" s="530"/>
      <c r="I816" s="525"/>
      <c r="K816" s="548"/>
      <c r="L816" s="548"/>
      <c r="M816" s="548"/>
      <c r="N816" s="552"/>
      <c r="Y816" s="551"/>
    </row>
    <row r="817" spans="1:25">
      <c r="A817" s="499">
        <v>45509</v>
      </c>
      <c r="B817" s="499">
        <v>45510</v>
      </c>
      <c r="C817" s="500" t="s">
        <v>173</v>
      </c>
      <c r="D817" s="500" t="s">
        <v>760</v>
      </c>
      <c r="E817" s="501">
        <v>2001654.19</v>
      </c>
      <c r="F817" s="502" t="s">
        <v>878</v>
      </c>
      <c r="G817" s="100" t="s">
        <v>551</v>
      </c>
      <c r="H817" s="530"/>
      <c r="I817" s="525"/>
      <c r="K817" s="548"/>
      <c r="L817" s="548"/>
      <c r="M817" s="548"/>
      <c r="N817" s="552"/>
      <c r="Y817" s="551"/>
    </row>
    <row r="818" spans="1:25">
      <c r="A818" s="499">
        <v>45509</v>
      </c>
      <c r="B818" s="499">
        <v>45510</v>
      </c>
      <c r="C818" s="500" t="s">
        <v>173</v>
      </c>
      <c r="D818" s="500" t="s">
        <v>760</v>
      </c>
      <c r="E818" s="501">
        <v>8007993.8300000001</v>
      </c>
      <c r="F818" s="502" t="s">
        <v>878</v>
      </c>
      <c r="G818" s="100" t="s">
        <v>697</v>
      </c>
      <c r="H818" s="530"/>
      <c r="I818" s="525"/>
      <c r="K818" s="548"/>
      <c r="L818" s="548"/>
      <c r="M818" s="548"/>
      <c r="N818" s="552"/>
      <c r="Y818" s="551"/>
    </row>
    <row r="819" spans="1:25">
      <c r="A819" s="499">
        <v>45509</v>
      </c>
      <c r="B819" s="499">
        <v>45510</v>
      </c>
      <c r="C819" s="500" t="s">
        <v>173</v>
      </c>
      <c r="D819" s="500" t="s">
        <v>760</v>
      </c>
      <c r="E819" s="501">
        <v>9007443.8599999994</v>
      </c>
      <c r="F819" s="502" t="s">
        <v>878</v>
      </c>
      <c r="G819" s="100" t="s">
        <v>551</v>
      </c>
      <c r="H819" s="530"/>
      <c r="I819" s="525"/>
      <c r="K819" s="548"/>
      <c r="L819" s="548"/>
      <c r="M819" s="548"/>
      <c r="N819" s="552"/>
      <c r="Y819" s="551"/>
    </row>
    <row r="820" spans="1:25">
      <c r="A820" s="499">
        <v>45509</v>
      </c>
      <c r="B820" s="499">
        <v>45510</v>
      </c>
      <c r="C820" s="500" t="s">
        <v>173</v>
      </c>
      <c r="D820" s="500" t="s">
        <v>760</v>
      </c>
      <c r="E820" s="501">
        <v>9009774.9499999993</v>
      </c>
      <c r="F820" s="502" t="s">
        <v>878</v>
      </c>
      <c r="G820" s="100" t="s">
        <v>605</v>
      </c>
      <c r="H820" s="530"/>
      <c r="I820" s="525"/>
      <c r="K820" s="548"/>
      <c r="L820" s="548"/>
      <c r="M820" s="548"/>
      <c r="N820" s="552"/>
      <c r="Y820" s="551"/>
    </row>
    <row r="821" spans="1:25">
      <c r="A821" s="499">
        <v>45509</v>
      </c>
      <c r="B821" s="499">
        <v>45510</v>
      </c>
      <c r="C821" s="500" t="s">
        <v>173</v>
      </c>
      <c r="D821" s="500" t="s">
        <v>760</v>
      </c>
      <c r="E821" s="501">
        <v>10005284.73</v>
      </c>
      <c r="F821" s="502" t="s">
        <v>878</v>
      </c>
      <c r="G821" s="100" t="s">
        <v>597</v>
      </c>
      <c r="H821" s="530"/>
      <c r="I821" s="525"/>
      <c r="K821" s="548"/>
      <c r="L821" s="548"/>
      <c r="M821" s="548"/>
      <c r="N821" s="552"/>
      <c r="Y821" s="551"/>
    </row>
    <row r="822" spans="1:25">
      <c r="A822" s="499">
        <v>45509</v>
      </c>
      <c r="B822" s="499">
        <v>45510</v>
      </c>
      <c r="C822" s="500" t="s">
        <v>173</v>
      </c>
      <c r="D822" s="500" t="s">
        <v>760</v>
      </c>
      <c r="E822" s="501">
        <v>7007233.5499999998</v>
      </c>
      <c r="F822" s="502" t="s">
        <v>878</v>
      </c>
      <c r="G822" s="100" t="s">
        <v>448</v>
      </c>
      <c r="H822" s="530"/>
      <c r="I822" s="525"/>
      <c r="K822" s="548"/>
      <c r="L822" s="548"/>
      <c r="M822" s="548"/>
      <c r="N822" s="552"/>
      <c r="Y822" s="551"/>
    </row>
    <row r="823" spans="1:25">
      <c r="A823" s="499">
        <v>45509</v>
      </c>
      <c r="B823" s="499">
        <v>45510</v>
      </c>
      <c r="C823" s="500" t="s">
        <v>173</v>
      </c>
      <c r="D823" s="500" t="s">
        <v>760</v>
      </c>
      <c r="E823" s="501">
        <v>10013622.42</v>
      </c>
      <c r="F823" s="502" t="s">
        <v>878</v>
      </c>
      <c r="G823" s="100" t="s">
        <v>745</v>
      </c>
      <c r="H823" s="530"/>
      <c r="I823" s="525"/>
      <c r="K823" s="548"/>
      <c r="L823" s="548"/>
      <c r="M823" s="548"/>
      <c r="N823" s="552"/>
      <c r="Y823" s="551"/>
    </row>
    <row r="824" spans="1:25">
      <c r="A824" s="499">
        <v>45509</v>
      </c>
      <c r="B824" s="499">
        <v>45510</v>
      </c>
      <c r="C824" s="500" t="s">
        <v>173</v>
      </c>
      <c r="D824" s="500" t="s">
        <v>760</v>
      </c>
      <c r="E824" s="501">
        <v>7006994.5999999996</v>
      </c>
      <c r="F824" s="502" t="s">
        <v>878</v>
      </c>
      <c r="G824" s="100" t="s">
        <v>697</v>
      </c>
      <c r="H824" s="530"/>
      <c r="I824" s="525"/>
      <c r="K824" s="548"/>
      <c r="L824" s="548"/>
      <c r="M824" s="548"/>
      <c r="N824" s="552"/>
      <c r="Y824" s="551"/>
    </row>
    <row r="825" spans="1:25">
      <c r="A825" s="499">
        <v>45509</v>
      </c>
      <c r="B825" s="499">
        <v>45510</v>
      </c>
      <c r="C825" s="500" t="s">
        <v>173</v>
      </c>
      <c r="D825" s="500" t="s">
        <v>760</v>
      </c>
      <c r="E825" s="501">
        <v>8007993.8300000001</v>
      </c>
      <c r="F825" s="502" t="s">
        <v>878</v>
      </c>
      <c r="G825" s="100" t="s">
        <v>697</v>
      </c>
      <c r="H825" s="530"/>
      <c r="I825" s="525"/>
      <c r="K825" s="548"/>
      <c r="L825" s="548"/>
      <c r="M825" s="548"/>
      <c r="N825" s="552"/>
      <c r="Y825" s="551"/>
    </row>
    <row r="826" spans="1:25">
      <c r="A826" s="499">
        <v>45509</v>
      </c>
      <c r="B826" s="499">
        <v>45510</v>
      </c>
      <c r="C826" s="500" t="s">
        <v>173</v>
      </c>
      <c r="D826" s="500" t="s">
        <v>760</v>
      </c>
      <c r="E826" s="501">
        <v>15020433.630000001</v>
      </c>
      <c r="F826" s="502" t="s">
        <v>878</v>
      </c>
      <c r="G826" s="100" t="s">
        <v>745</v>
      </c>
      <c r="H826" s="530"/>
      <c r="I826" s="525"/>
      <c r="K826" s="548"/>
      <c r="L826" s="548"/>
      <c r="M826" s="548"/>
      <c r="N826" s="552"/>
      <c r="Y826" s="551"/>
    </row>
    <row r="827" spans="1:25">
      <c r="A827" s="499">
        <v>45509</v>
      </c>
      <c r="B827" s="499">
        <v>45510</v>
      </c>
      <c r="C827" s="500" t="s">
        <v>173</v>
      </c>
      <c r="D827" s="500" t="s">
        <v>760</v>
      </c>
      <c r="E827" s="501">
        <v>7008690.0700000003</v>
      </c>
      <c r="F827" s="502" t="s">
        <v>878</v>
      </c>
      <c r="G827" s="100" t="s">
        <v>822</v>
      </c>
      <c r="H827" s="530"/>
      <c r="I827" s="525"/>
      <c r="K827" s="548"/>
      <c r="L827" s="548"/>
      <c r="M827" s="548"/>
      <c r="N827" s="552"/>
      <c r="Y827" s="551"/>
    </row>
    <row r="828" spans="1:25">
      <c r="A828" s="499">
        <v>45509</v>
      </c>
      <c r="B828" s="499">
        <v>45510</v>
      </c>
      <c r="C828" s="500" t="s">
        <v>173</v>
      </c>
      <c r="D828" s="500" t="s">
        <v>760</v>
      </c>
      <c r="E828" s="501">
        <v>18018600.539999999</v>
      </c>
      <c r="F828" s="502" t="s">
        <v>878</v>
      </c>
      <c r="G828" s="100" t="s">
        <v>448</v>
      </c>
      <c r="H828" s="530"/>
      <c r="I828" s="525"/>
      <c r="K828" s="548"/>
      <c r="L828" s="548"/>
      <c r="M828" s="548"/>
      <c r="N828" s="552"/>
      <c r="Y828" s="551"/>
    </row>
    <row r="829" spans="1:25">
      <c r="A829" s="499">
        <v>45509</v>
      </c>
      <c r="B829" s="499">
        <v>45510</v>
      </c>
      <c r="C829" s="500" t="s">
        <v>173</v>
      </c>
      <c r="D829" s="500" t="s">
        <v>760</v>
      </c>
      <c r="E829" s="501">
        <v>15017416.01</v>
      </c>
      <c r="F829" s="502" t="s">
        <v>878</v>
      </c>
      <c r="G829" s="100" t="s">
        <v>591</v>
      </c>
      <c r="H829" s="530"/>
      <c r="I829" s="525"/>
      <c r="K829" s="548"/>
      <c r="L829" s="548"/>
      <c r="M829" s="548"/>
      <c r="N829" s="552"/>
      <c r="Y829" s="551"/>
    </row>
    <row r="830" spans="1:25">
      <c r="A830" s="499">
        <v>45509</v>
      </c>
      <c r="B830" s="499">
        <v>45510</v>
      </c>
      <c r="C830" s="500" t="s">
        <v>173</v>
      </c>
      <c r="D830" s="500" t="s">
        <v>760</v>
      </c>
      <c r="E830" s="501">
        <v>19019633.91</v>
      </c>
      <c r="F830" s="502" t="s">
        <v>878</v>
      </c>
      <c r="G830" s="100" t="s">
        <v>448</v>
      </c>
      <c r="H830" s="530"/>
      <c r="I830" s="525"/>
      <c r="K830" s="548"/>
      <c r="L830" s="548"/>
      <c r="M830" s="548"/>
      <c r="N830" s="552"/>
      <c r="Y830" s="551"/>
    </row>
    <row r="831" spans="1:25">
      <c r="A831" s="499">
        <v>45509</v>
      </c>
      <c r="B831" s="499">
        <v>45510</v>
      </c>
      <c r="C831" s="500" t="s">
        <v>173</v>
      </c>
      <c r="D831" s="500" t="s">
        <v>760</v>
      </c>
      <c r="E831" s="501">
        <v>19020636.010000002</v>
      </c>
      <c r="F831" s="502" t="s">
        <v>878</v>
      </c>
      <c r="G831" s="100" t="s">
        <v>605</v>
      </c>
      <c r="H831" s="530"/>
      <c r="I831" s="525"/>
      <c r="K831" s="548"/>
      <c r="L831" s="548"/>
      <c r="M831" s="548"/>
      <c r="N831" s="552"/>
      <c r="Y831" s="551"/>
    </row>
    <row r="832" spans="1:25">
      <c r="A832" s="499">
        <v>45509</v>
      </c>
      <c r="B832" s="499">
        <v>45510</v>
      </c>
      <c r="C832" s="500" t="s">
        <v>173</v>
      </c>
      <c r="D832" s="500" t="s">
        <v>760</v>
      </c>
      <c r="E832" s="501">
        <v>18009512.5</v>
      </c>
      <c r="F832" s="502" t="s">
        <v>878</v>
      </c>
      <c r="G832" s="100" t="s">
        <v>597</v>
      </c>
      <c r="H832" s="530"/>
      <c r="I832" s="525"/>
      <c r="K832" s="548"/>
      <c r="L832" s="548"/>
      <c r="M832" s="548"/>
      <c r="N832" s="552"/>
      <c r="Y832" s="551"/>
    </row>
    <row r="833" spans="1:25">
      <c r="A833" s="499">
        <v>45509</v>
      </c>
      <c r="B833" s="499">
        <v>45510</v>
      </c>
      <c r="C833" s="500" t="s">
        <v>173</v>
      </c>
      <c r="D833" s="500" t="s">
        <v>760</v>
      </c>
      <c r="E833" s="501">
        <v>2001654.19</v>
      </c>
      <c r="F833" s="502" t="s">
        <v>878</v>
      </c>
      <c r="G833" s="100" t="s">
        <v>551</v>
      </c>
      <c r="H833" s="530"/>
      <c r="I833" s="525"/>
      <c r="K833" s="548"/>
      <c r="L833" s="548"/>
      <c r="M833" s="548"/>
      <c r="N833" s="552"/>
      <c r="Y833" s="551"/>
    </row>
    <row r="834" spans="1:25">
      <c r="A834" s="499">
        <v>45509</v>
      </c>
      <c r="B834" s="499">
        <v>45510</v>
      </c>
      <c r="C834" s="500" t="s">
        <v>173</v>
      </c>
      <c r="D834" s="500" t="s">
        <v>760</v>
      </c>
      <c r="E834" s="501">
        <v>6006200.1799999997</v>
      </c>
      <c r="F834" s="502" t="s">
        <v>878</v>
      </c>
      <c r="G834" s="100" t="s">
        <v>448</v>
      </c>
      <c r="H834" s="530"/>
      <c r="I834" s="525"/>
      <c r="K834" s="548"/>
      <c r="L834" s="548"/>
      <c r="M834" s="548"/>
      <c r="N834" s="552"/>
      <c r="Y834" s="551"/>
    </row>
    <row r="835" spans="1:25">
      <c r="A835" s="499">
        <v>45509</v>
      </c>
      <c r="B835" s="499">
        <v>45510</v>
      </c>
      <c r="C835" s="500" t="s">
        <v>173</v>
      </c>
      <c r="D835" s="500" t="s">
        <v>760</v>
      </c>
      <c r="E835" s="501">
        <v>47051046.960000001</v>
      </c>
      <c r="F835" s="502" t="s">
        <v>878</v>
      </c>
      <c r="G835" s="100" t="s">
        <v>605</v>
      </c>
      <c r="H835" s="530"/>
      <c r="I835" s="525"/>
      <c r="K835" s="548"/>
      <c r="L835" s="548"/>
      <c r="M835" s="548"/>
      <c r="N835" s="552"/>
      <c r="Y835" s="551"/>
    </row>
    <row r="836" spans="1:25">
      <c r="A836" s="499">
        <v>45509</v>
      </c>
      <c r="B836" s="499">
        <v>45510</v>
      </c>
      <c r="C836" s="500" t="s">
        <v>173</v>
      </c>
      <c r="D836" s="500" t="s">
        <v>760</v>
      </c>
      <c r="E836" s="501">
        <v>44033892.530000001</v>
      </c>
      <c r="F836" s="502" t="s">
        <v>878</v>
      </c>
      <c r="G836" s="100" t="s">
        <v>601</v>
      </c>
      <c r="H836" s="530"/>
      <c r="I836" s="525"/>
      <c r="K836" s="548"/>
      <c r="L836" s="548"/>
      <c r="M836" s="548"/>
      <c r="N836" s="552"/>
      <c r="Y836" s="551"/>
    </row>
    <row r="837" spans="1:25">
      <c r="A837" s="499">
        <v>45509</v>
      </c>
      <c r="B837" s="499">
        <v>45510</v>
      </c>
      <c r="C837" s="500" t="s">
        <v>173</v>
      </c>
      <c r="D837" s="500" t="s">
        <v>760</v>
      </c>
      <c r="E837" s="501">
        <v>49048962.189999998</v>
      </c>
      <c r="F837" s="502" t="s">
        <v>878</v>
      </c>
      <c r="G837" s="100" t="s">
        <v>697</v>
      </c>
      <c r="H837" s="530"/>
      <c r="I837" s="525"/>
      <c r="K837" s="548"/>
      <c r="L837" s="548"/>
      <c r="M837" s="548"/>
      <c r="N837" s="552"/>
      <c r="Y837" s="551"/>
    </row>
    <row r="838" spans="1:25">
      <c r="A838" s="499">
        <v>45509</v>
      </c>
      <c r="B838" s="499">
        <v>45510</v>
      </c>
      <c r="C838" s="500" t="s">
        <v>173</v>
      </c>
      <c r="D838" s="500" t="s">
        <v>760</v>
      </c>
      <c r="E838" s="501">
        <v>42050129.240000002</v>
      </c>
      <c r="F838" s="502" t="s">
        <v>878</v>
      </c>
      <c r="G838" s="100" t="s">
        <v>818</v>
      </c>
      <c r="H838" s="530"/>
      <c r="I838" s="525"/>
      <c r="K838" s="548"/>
      <c r="L838" s="548"/>
      <c r="M838" s="548"/>
      <c r="N838" s="552"/>
      <c r="Y838" s="551"/>
    </row>
    <row r="839" spans="1:25">
      <c r="A839" s="499">
        <v>45509</v>
      </c>
      <c r="B839" s="499">
        <v>45510</v>
      </c>
      <c r="C839" s="500" t="s">
        <v>173</v>
      </c>
      <c r="D839" s="500" t="s">
        <v>760</v>
      </c>
      <c r="E839" s="501">
        <v>33012302.309999999</v>
      </c>
      <c r="F839" s="502" t="s">
        <v>878</v>
      </c>
      <c r="G839" s="100" t="s">
        <v>91</v>
      </c>
      <c r="H839" s="530"/>
      <c r="I839" s="525"/>
      <c r="K839" s="548"/>
      <c r="L839" s="548"/>
      <c r="M839" s="548"/>
      <c r="N839" s="552"/>
      <c r="Y839" s="551"/>
    </row>
    <row r="840" spans="1:25">
      <c r="A840" s="499">
        <v>45509</v>
      </c>
      <c r="B840" s="499">
        <v>45510</v>
      </c>
      <c r="C840" s="500" t="s">
        <v>173</v>
      </c>
      <c r="D840" s="500" t="s">
        <v>760</v>
      </c>
      <c r="E840" s="501">
        <v>40033083.829999998</v>
      </c>
      <c r="F840" s="502" t="s">
        <v>878</v>
      </c>
      <c r="G840" s="100" t="s">
        <v>551</v>
      </c>
      <c r="H840" s="530"/>
      <c r="I840" s="525"/>
      <c r="K840" s="548"/>
      <c r="L840" s="548"/>
      <c r="M840" s="548"/>
      <c r="N840" s="552"/>
      <c r="Y840" s="551"/>
    </row>
    <row r="841" spans="1:25">
      <c r="A841" s="499">
        <v>45509</v>
      </c>
      <c r="B841" s="499">
        <v>45510</v>
      </c>
      <c r="C841" s="500" t="s">
        <v>173</v>
      </c>
      <c r="D841" s="500" t="s">
        <v>760</v>
      </c>
      <c r="E841" s="501">
        <v>30026951.609999999</v>
      </c>
      <c r="F841" s="502" t="s">
        <v>878</v>
      </c>
      <c r="G841" s="100" t="s">
        <v>589</v>
      </c>
      <c r="H841" s="530"/>
      <c r="I841" s="525"/>
      <c r="K841" s="548"/>
      <c r="L841" s="548"/>
      <c r="M841" s="548"/>
      <c r="N841" s="552"/>
      <c r="Y841" s="551"/>
    </row>
    <row r="842" spans="1:25">
      <c r="A842" s="499">
        <v>45509</v>
      </c>
      <c r="B842" s="499">
        <v>45510</v>
      </c>
      <c r="C842" s="500" t="s">
        <v>173</v>
      </c>
      <c r="D842" s="500" t="s">
        <v>760</v>
      </c>
      <c r="E842" s="501">
        <v>29026616.02</v>
      </c>
      <c r="F842" s="502" t="s">
        <v>878</v>
      </c>
      <c r="G842" s="100" t="s">
        <v>820</v>
      </c>
      <c r="H842" s="530"/>
      <c r="I842" s="525"/>
      <c r="K842" s="548"/>
      <c r="L842" s="548"/>
      <c r="M842" s="548"/>
      <c r="N842" s="552"/>
      <c r="Y842" s="551"/>
    </row>
    <row r="843" spans="1:25">
      <c r="A843" s="499">
        <v>45509</v>
      </c>
      <c r="B843" s="499">
        <v>45510</v>
      </c>
      <c r="C843" s="500" t="s">
        <v>173</v>
      </c>
      <c r="D843" s="500" t="s">
        <v>760</v>
      </c>
      <c r="E843" s="501">
        <v>30033297.690000001</v>
      </c>
      <c r="F843" s="502" t="s">
        <v>878</v>
      </c>
      <c r="G843" s="100" t="s">
        <v>825</v>
      </c>
      <c r="H843" s="530"/>
      <c r="I843" s="525"/>
      <c r="K843" s="548"/>
      <c r="L843" s="548"/>
      <c r="M843" s="548"/>
      <c r="N843" s="552"/>
      <c r="Y843" s="551"/>
    </row>
    <row r="844" spans="1:25">
      <c r="A844" s="499">
        <v>45509</v>
      </c>
      <c r="B844" s="499">
        <v>45510</v>
      </c>
      <c r="C844" s="500" t="s">
        <v>173</v>
      </c>
      <c r="D844" s="500" t="s">
        <v>760</v>
      </c>
      <c r="E844" s="501">
        <v>22020191.469999999</v>
      </c>
      <c r="F844" s="502" t="s">
        <v>878</v>
      </c>
      <c r="G844" s="100" t="s">
        <v>820</v>
      </c>
      <c r="H844" s="530"/>
      <c r="I844" s="525"/>
      <c r="K844" s="548"/>
      <c r="L844" s="548"/>
      <c r="M844" s="548"/>
      <c r="N844" s="552"/>
      <c r="Y844" s="551"/>
    </row>
    <row r="845" spans="1:25">
      <c r="A845" s="499">
        <v>45509</v>
      </c>
      <c r="B845" s="499">
        <v>45510</v>
      </c>
      <c r="C845" s="500" t="s">
        <v>173</v>
      </c>
      <c r="D845" s="500" t="s">
        <v>760</v>
      </c>
      <c r="E845" s="501">
        <v>25027748.079999998</v>
      </c>
      <c r="F845" s="502" t="s">
        <v>878</v>
      </c>
      <c r="G845" s="100" t="s">
        <v>825</v>
      </c>
      <c r="H845" s="530"/>
      <c r="I845" s="525"/>
      <c r="K845" s="548"/>
      <c r="L845" s="548"/>
      <c r="M845" s="548"/>
      <c r="N845" s="552"/>
      <c r="Y845" s="551"/>
    </row>
    <row r="846" spans="1:25">
      <c r="A846" s="499">
        <v>45509</v>
      </c>
      <c r="B846" s="499">
        <v>45510</v>
      </c>
      <c r="C846" s="500" t="s">
        <v>173</v>
      </c>
      <c r="D846" s="500" t="s">
        <v>760</v>
      </c>
      <c r="E846" s="501">
        <v>30034832.030000001</v>
      </c>
      <c r="F846" s="502" t="s">
        <v>878</v>
      </c>
      <c r="G846" s="100" t="s">
        <v>591</v>
      </c>
      <c r="H846" s="530"/>
      <c r="I846" s="525"/>
      <c r="K846" s="548"/>
      <c r="L846" s="548"/>
      <c r="M846" s="548"/>
      <c r="N846" s="552"/>
      <c r="Y846" s="551"/>
    </row>
    <row r="847" spans="1:25">
      <c r="A847" s="499">
        <v>45509</v>
      </c>
      <c r="B847" s="499">
        <v>45510</v>
      </c>
      <c r="C847" s="500" t="s">
        <v>173</v>
      </c>
      <c r="D847" s="500" t="s">
        <v>760</v>
      </c>
      <c r="E847" s="501">
        <v>56043094.43</v>
      </c>
      <c r="F847" s="502" t="s">
        <v>878</v>
      </c>
      <c r="G847" s="100" t="s">
        <v>453</v>
      </c>
      <c r="H847" s="530"/>
      <c r="I847" s="525"/>
      <c r="K847" s="548"/>
      <c r="L847" s="548"/>
      <c r="M847" s="548"/>
      <c r="N847" s="552"/>
      <c r="Y847" s="551"/>
    </row>
    <row r="848" spans="1:25">
      <c r="A848" s="499">
        <v>45509</v>
      </c>
      <c r="B848" s="499">
        <v>45510</v>
      </c>
      <c r="C848" s="500" t="s">
        <v>173</v>
      </c>
      <c r="D848" s="500" t="s">
        <v>760</v>
      </c>
      <c r="E848" s="501">
        <v>95098452.549999997</v>
      </c>
      <c r="F848" s="502" t="s">
        <v>878</v>
      </c>
      <c r="G848" s="100" t="s">
        <v>475</v>
      </c>
      <c r="H848" s="530"/>
      <c r="I848" s="525"/>
      <c r="K848" s="548"/>
      <c r="L848" s="548"/>
      <c r="M848" s="548"/>
      <c r="N848" s="552"/>
      <c r="Y848" s="551"/>
    </row>
    <row r="849" spans="1:25">
      <c r="A849" s="499">
        <v>45509</v>
      </c>
      <c r="B849" s="499">
        <v>45510</v>
      </c>
      <c r="C849" s="500" t="s">
        <v>173</v>
      </c>
      <c r="D849" s="500" t="s">
        <v>760</v>
      </c>
      <c r="E849" s="501">
        <v>86078930.269999996</v>
      </c>
      <c r="F849" s="502" t="s">
        <v>878</v>
      </c>
      <c r="G849" s="100" t="s">
        <v>820</v>
      </c>
      <c r="H849" s="530"/>
      <c r="I849" s="525"/>
      <c r="K849" s="548"/>
      <c r="L849" s="548"/>
      <c r="M849" s="548"/>
      <c r="N849" s="552"/>
      <c r="Y849" s="551"/>
    </row>
    <row r="850" spans="1:25">
      <c r="A850" s="499">
        <v>45509</v>
      </c>
      <c r="B850" s="499">
        <v>45510</v>
      </c>
      <c r="C850" s="500" t="s">
        <v>173</v>
      </c>
      <c r="D850" s="500" t="s">
        <v>760</v>
      </c>
      <c r="E850" s="501">
        <v>94123244.310000002</v>
      </c>
      <c r="F850" s="502" t="s">
        <v>878</v>
      </c>
      <c r="G850" s="100" t="s">
        <v>599</v>
      </c>
      <c r="H850" s="530"/>
      <c r="I850" s="525"/>
      <c r="K850" s="548"/>
      <c r="L850" s="548"/>
      <c r="M850" s="548"/>
      <c r="N850" s="552"/>
      <c r="Y850" s="551"/>
    </row>
    <row r="851" spans="1:25">
      <c r="A851" s="499">
        <v>45509</v>
      </c>
      <c r="B851" s="499">
        <v>45510</v>
      </c>
      <c r="C851" s="500" t="s">
        <v>173</v>
      </c>
      <c r="D851" s="500" t="s">
        <v>760</v>
      </c>
      <c r="E851" s="501">
        <v>95098452.549999997</v>
      </c>
      <c r="F851" s="502" t="s">
        <v>878</v>
      </c>
      <c r="G851" s="100" t="s">
        <v>475</v>
      </c>
      <c r="H851" s="530"/>
      <c r="I851" s="525"/>
      <c r="K851" s="548"/>
      <c r="L851" s="548"/>
      <c r="M851" s="548"/>
      <c r="N851" s="552"/>
      <c r="Y851" s="551"/>
    </row>
    <row r="852" spans="1:25">
      <c r="A852" s="499">
        <v>45509</v>
      </c>
      <c r="B852" s="499">
        <v>45510</v>
      </c>
      <c r="C852" s="500" t="s">
        <v>173</v>
      </c>
      <c r="D852" s="500" t="s">
        <v>760</v>
      </c>
      <c r="E852" s="501">
        <v>97132137.489999995</v>
      </c>
      <c r="F852" s="502" t="s">
        <v>878</v>
      </c>
      <c r="G852" s="100" t="s">
        <v>745</v>
      </c>
      <c r="H852" s="530"/>
      <c r="I852" s="525"/>
      <c r="K852" s="548"/>
      <c r="L852" s="548"/>
      <c r="M852" s="548"/>
      <c r="N852" s="552"/>
      <c r="Y852" s="551"/>
    </row>
    <row r="853" spans="1:25">
      <c r="A853" s="499">
        <v>45509</v>
      </c>
      <c r="B853" s="499">
        <v>45510</v>
      </c>
      <c r="C853" s="500" t="s">
        <v>173</v>
      </c>
      <c r="D853" s="500" t="s">
        <v>760</v>
      </c>
      <c r="E853" s="501">
        <v>95126155.040000007</v>
      </c>
      <c r="F853" s="502" t="s">
        <v>878</v>
      </c>
      <c r="G853" s="100" t="s">
        <v>746</v>
      </c>
      <c r="H853" s="530"/>
      <c r="I853" s="525"/>
      <c r="K853" s="548"/>
      <c r="L853" s="548"/>
      <c r="M853" s="548"/>
      <c r="N853" s="552"/>
      <c r="Y853" s="551"/>
    </row>
    <row r="854" spans="1:25">
      <c r="A854" s="499">
        <v>45509</v>
      </c>
      <c r="B854" s="499">
        <v>45510</v>
      </c>
      <c r="C854" s="500" t="s">
        <v>173</v>
      </c>
      <c r="D854" s="500" t="s">
        <v>760</v>
      </c>
      <c r="E854" s="501">
        <v>83110219.659999996</v>
      </c>
      <c r="F854" s="502" t="s">
        <v>878</v>
      </c>
      <c r="G854" s="100" t="s">
        <v>746</v>
      </c>
      <c r="H854" s="530"/>
      <c r="I854" s="525"/>
      <c r="K854" s="548"/>
      <c r="L854" s="548"/>
      <c r="M854" s="548"/>
      <c r="N854" s="552"/>
      <c r="Y854" s="551"/>
    </row>
    <row r="855" spans="1:25">
      <c r="A855" s="499">
        <v>45509</v>
      </c>
      <c r="B855" s="499">
        <v>45510</v>
      </c>
      <c r="C855" s="500" t="s">
        <v>173</v>
      </c>
      <c r="D855" s="500" t="s">
        <v>760</v>
      </c>
      <c r="E855" s="501">
        <v>52046716.119999997</v>
      </c>
      <c r="F855" s="502" t="s">
        <v>878</v>
      </c>
      <c r="G855" s="100" t="s">
        <v>589</v>
      </c>
      <c r="H855" s="530"/>
      <c r="I855" s="525"/>
      <c r="K855" s="548"/>
      <c r="L855" s="548"/>
      <c r="M855" s="548"/>
      <c r="N855" s="552"/>
      <c r="Y855" s="551"/>
    </row>
    <row r="856" spans="1:25">
      <c r="A856" s="499">
        <v>45509</v>
      </c>
      <c r="B856" s="499">
        <v>45510</v>
      </c>
      <c r="C856" s="500" t="s">
        <v>173</v>
      </c>
      <c r="D856" s="500" t="s">
        <v>760</v>
      </c>
      <c r="E856" s="501">
        <v>64052249.939999998</v>
      </c>
      <c r="F856" s="502" t="s">
        <v>878</v>
      </c>
      <c r="G856" s="100" t="s">
        <v>595</v>
      </c>
      <c r="H856" s="530"/>
      <c r="I856" s="525"/>
      <c r="K856" s="548"/>
      <c r="L856" s="548"/>
      <c r="M856" s="548"/>
      <c r="N856" s="552"/>
      <c r="Y856" s="551"/>
    </row>
    <row r="857" spans="1:25">
      <c r="A857" s="499">
        <v>45509</v>
      </c>
      <c r="B857" s="499">
        <v>45510</v>
      </c>
      <c r="C857" s="500" t="s">
        <v>173</v>
      </c>
      <c r="D857" s="500" t="s">
        <v>760</v>
      </c>
      <c r="E857" s="501">
        <v>58072003.43</v>
      </c>
      <c r="F857" s="502" t="s">
        <v>878</v>
      </c>
      <c r="G857" s="100" t="s">
        <v>822</v>
      </c>
      <c r="H857" s="530"/>
      <c r="I857" s="525"/>
      <c r="K857" s="548"/>
      <c r="L857" s="548"/>
      <c r="M857" s="548"/>
      <c r="N857" s="552"/>
      <c r="Y857" s="551"/>
    </row>
    <row r="858" spans="1:25">
      <c r="A858" s="499">
        <v>45509</v>
      </c>
      <c r="B858" s="499">
        <v>45510</v>
      </c>
      <c r="C858" s="500" t="s">
        <v>173</v>
      </c>
      <c r="D858" s="500" t="s">
        <v>760</v>
      </c>
      <c r="E858" s="501">
        <v>72094399.900000006</v>
      </c>
      <c r="F858" s="502" t="s">
        <v>878</v>
      </c>
      <c r="G858" s="100" t="s">
        <v>599</v>
      </c>
      <c r="H858" s="530"/>
      <c r="I858" s="525"/>
      <c r="K858" s="548"/>
      <c r="L858" s="548"/>
      <c r="M858" s="548"/>
      <c r="N858" s="552"/>
      <c r="Y858" s="551"/>
    </row>
    <row r="859" spans="1:25">
      <c r="A859" s="499">
        <v>45509</v>
      </c>
      <c r="B859" s="499">
        <v>45510</v>
      </c>
      <c r="C859" s="500" t="s">
        <v>173</v>
      </c>
      <c r="D859" s="500" t="s">
        <v>760</v>
      </c>
      <c r="E859" s="501">
        <v>23020662.899999999</v>
      </c>
      <c r="F859" s="502" t="s">
        <v>878</v>
      </c>
      <c r="G859" s="100" t="s">
        <v>589</v>
      </c>
      <c r="H859" s="530"/>
      <c r="I859" s="525"/>
      <c r="K859" s="548"/>
      <c r="L859" s="548"/>
      <c r="M859" s="548"/>
      <c r="N859" s="552"/>
      <c r="Y859" s="551"/>
    </row>
    <row r="860" spans="1:25">
      <c r="A860" s="499">
        <v>45509</v>
      </c>
      <c r="B860" s="499">
        <v>45510</v>
      </c>
      <c r="C860" s="500" t="s">
        <v>173</v>
      </c>
      <c r="D860" s="500" t="s">
        <v>760</v>
      </c>
      <c r="E860" s="501">
        <v>24029794.52</v>
      </c>
      <c r="F860" s="502" t="s">
        <v>878</v>
      </c>
      <c r="G860" s="100" t="s">
        <v>822</v>
      </c>
      <c r="H860" s="530"/>
      <c r="I860" s="525"/>
      <c r="K860" s="548"/>
      <c r="L860" s="548"/>
      <c r="M860" s="548"/>
      <c r="N860" s="552"/>
      <c r="Y860" s="551"/>
    </row>
    <row r="861" spans="1:25">
      <c r="A861" s="499">
        <v>45509</v>
      </c>
      <c r="B861" s="499">
        <v>45510</v>
      </c>
      <c r="C861" s="500" t="s">
        <v>173</v>
      </c>
      <c r="D861" s="500" t="s">
        <v>760</v>
      </c>
      <c r="E861" s="501">
        <v>68077943.650000006</v>
      </c>
      <c r="F861" s="502" t="s">
        <v>878</v>
      </c>
      <c r="G861" s="100" t="s">
        <v>603</v>
      </c>
      <c r="H861" s="530"/>
      <c r="I861" s="525"/>
      <c r="K861" s="548"/>
      <c r="L861" s="548"/>
      <c r="M861" s="548"/>
      <c r="N861" s="552"/>
      <c r="Y861" s="551"/>
    </row>
    <row r="862" spans="1:25">
      <c r="A862" s="499">
        <v>45509</v>
      </c>
      <c r="B862" s="499">
        <v>45510</v>
      </c>
      <c r="C862" s="500" t="s">
        <v>173</v>
      </c>
      <c r="D862" s="500" t="s">
        <v>760</v>
      </c>
      <c r="E862" s="501">
        <v>650671686.29999995</v>
      </c>
      <c r="F862" s="502" t="s">
        <v>878</v>
      </c>
      <c r="G862" s="100" t="s">
        <v>448</v>
      </c>
      <c r="H862" s="530"/>
      <c r="I862" s="525"/>
      <c r="K862" s="548"/>
      <c r="L862" s="548"/>
      <c r="M862" s="548"/>
      <c r="N862" s="552"/>
      <c r="Y862" s="551"/>
    </row>
    <row r="863" spans="1:25">
      <c r="A863" s="499">
        <v>45509</v>
      </c>
      <c r="B863" s="499">
        <v>45510</v>
      </c>
      <c r="C863" s="500" t="s">
        <v>173</v>
      </c>
      <c r="D863" s="500" t="s">
        <v>760</v>
      </c>
      <c r="E863" s="501">
        <v>683756156.21000004</v>
      </c>
      <c r="F863" s="502" t="s">
        <v>878</v>
      </c>
      <c r="G863" s="100" t="s">
        <v>390</v>
      </c>
      <c r="H863" s="530"/>
      <c r="I863" s="525"/>
      <c r="K863" s="548"/>
      <c r="L863" s="548"/>
      <c r="M863" s="548"/>
      <c r="N863" s="552"/>
      <c r="Y863" s="551"/>
    </row>
    <row r="864" spans="1:25">
      <c r="A864" s="499">
        <v>45509</v>
      </c>
      <c r="B864" s="499">
        <v>45510</v>
      </c>
      <c r="C864" s="500" t="s">
        <v>173</v>
      </c>
      <c r="D864" s="500" t="s">
        <v>760</v>
      </c>
      <c r="E864" s="501">
        <v>87040755.049999997</v>
      </c>
      <c r="F864" s="502" t="s">
        <v>878</v>
      </c>
      <c r="G864" s="100" t="s">
        <v>78</v>
      </c>
      <c r="H864" s="530"/>
      <c r="I864" s="525"/>
      <c r="K864" s="548"/>
      <c r="L864" s="548"/>
      <c r="M864" s="548"/>
      <c r="N864" s="552"/>
      <c r="Y864" s="551"/>
    </row>
    <row r="865" spans="1:25">
      <c r="A865" s="499">
        <v>45509</v>
      </c>
      <c r="B865" s="499">
        <v>45510</v>
      </c>
      <c r="C865" s="500" t="s">
        <v>173</v>
      </c>
      <c r="D865" s="500" t="s">
        <v>760</v>
      </c>
      <c r="E865" s="501">
        <v>611676444.28999996</v>
      </c>
      <c r="F865" s="502" t="s">
        <v>878</v>
      </c>
      <c r="G865" s="100" t="s">
        <v>390</v>
      </c>
      <c r="H865" s="530"/>
      <c r="I865" s="525"/>
      <c r="K865" s="548"/>
      <c r="L865" s="548"/>
      <c r="M865" s="548"/>
      <c r="N865" s="552"/>
      <c r="Y865" s="551"/>
    </row>
    <row r="866" spans="1:25">
      <c r="A866" s="499">
        <v>45509</v>
      </c>
      <c r="B866" s="499">
        <v>45510</v>
      </c>
      <c r="C866" s="500" t="s">
        <v>173</v>
      </c>
      <c r="D866" s="500" t="s">
        <v>760</v>
      </c>
      <c r="E866" s="501">
        <v>263155434.84999999</v>
      </c>
      <c r="F866" s="502" t="s">
        <v>878</v>
      </c>
      <c r="G866" s="100" t="s">
        <v>75</v>
      </c>
      <c r="H866" s="530"/>
      <c r="I866" s="525"/>
      <c r="K866" s="548"/>
      <c r="L866" s="548"/>
      <c r="M866" s="548"/>
      <c r="N866" s="552"/>
      <c r="Y866" s="551"/>
    </row>
    <row r="867" spans="1:25">
      <c r="A867" s="499">
        <v>45509</v>
      </c>
      <c r="B867" s="499">
        <v>45510</v>
      </c>
      <c r="C867" s="500" t="s">
        <v>173</v>
      </c>
      <c r="D867" s="500" t="s">
        <v>760</v>
      </c>
      <c r="E867" s="501">
        <v>595674522.75999999</v>
      </c>
      <c r="F867" s="502" t="s">
        <v>878</v>
      </c>
      <c r="G867" s="100" t="s">
        <v>83</v>
      </c>
      <c r="H867" s="530"/>
      <c r="I867" s="525"/>
      <c r="K867" s="548"/>
      <c r="L867" s="548"/>
      <c r="M867" s="548"/>
      <c r="N867" s="552"/>
      <c r="Y867" s="551"/>
    </row>
    <row r="868" spans="1:25">
      <c r="A868" s="499">
        <v>45509</v>
      </c>
      <c r="B868" s="499">
        <v>45510</v>
      </c>
      <c r="C868" s="500" t="s">
        <v>173</v>
      </c>
      <c r="D868" s="500" t="s">
        <v>760</v>
      </c>
      <c r="E868" s="501">
        <v>700269601.38</v>
      </c>
      <c r="F868" s="502" t="s">
        <v>878</v>
      </c>
      <c r="G868" s="100" t="s">
        <v>526</v>
      </c>
      <c r="H868" s="530"/>
      <c r="I868" s="525"/>
      <c r="K868" s="548"/>
      <c r="L868" s="548"/>
      <c r="M868" s="548"/>
      <c r="N868" s="552"/>
      <c r="Y868" s="551"/>
    </row>
    <row r="869" spans="1:25">
      <c r="A869" s="499">
        <v>45509</v>
      </c>
      <c r="B869" s="499">
        <v>45510</v>
      </c>
      <c r="C869" s="500" t="s">
        <v>173</v>
      </c>
      <c r="D869" s="500" t="s">
        <v>760</v>
      </c>
      <c r="E869" s="501">
        <v>23010680.109999999</v>
      </c>
      <c r="F869" s="502" t="s">
        <v>878</v>
      </c>
      <c r="G869" s="100" t="s">
        <v>78</v>
      </c>
      <c r="H869" s="530"/>
      <c r="I869" s="525"/>
      <c r="K869" s="548"/>
      <c r="L869" s="548"/>
      <c r="M869" s="548"/>
      <c r="N869" s="552"/>
      <c r="Y869" s="551"/>
    </row>
    <row r="870" spans="1:25">
      <c r="A870" s="499">
        <v>45509</v>
      </c>
      <c r="B870" s="499">
        <v>45509</v>
      </c>
      <c r="C870" s="500" t="s">
        <v>173</v>
      </c>
      <c r="D870" s="500" t="s">
        <v>763</v>
      </c>
      <c r="E870" s="501">
        <v>-848553095.27999997</v>
      </c>
      <c r="F870" s="502" t="s">
        <v>878</v>
      </c>
      <c r="G870" s="100" t="s">
        <v>679</v>
      </c>
      <c r="H870" s="530"/>
      <c r="I870" s="525"/>
      <c r="K870" s="548"/>
      <c r="L870" s="548"/>
      <c r="M870" s="548"/>
      <c r="N870" s="552"/>
      <c r="Y870" s="551"/>
    </row>
    <row r="871" spans="1:25">
      <c r="A871" s="499">
        <v>45509</v>
      </c>
      <c r="B871" s="499">
        <v>45509</v>
      </c>
      <c r="C871" s="500" t="s">
        <v>173</v>
      </c>
      <c r="D871" s="500" t="s">
        <v>763</v>
      </c>
      <c r="E871" s="501">
        <v>-1000107.76</v>
      </c>
      <c r="F871" s="502" t="s">
        <v>878</v>
      </c>
      <c r="G871" s="100" t="s">
        <v>78</v>
      </c>
      <c r="H871" s="530">
        <v>-1</v>
      </c>
      <c r="I871" s="525"/>
      <c r="K871" s="548"/>
      <c r="L871" s="548"/>
      <c r="M871" s="548"/>
      <c r="N871" s="552"/>
      <c r="Y871" s="551"/>
    </row>
    <row r="872" spans="1:25">
      <c r="A872" s="499">
        <v>45509</v>
      </c>
      <c r="B872" s="499">
        <v>45509</v>
      </c>
      <c r="C872" s="500" t="s">
        <v>173</v>
      </c>
      <c r="D872" s="500" t="s">
        <v>763</v>
      </c>
      <c r="E872" s="501">
        <v>-1052000376.6199991</v>
      </c>
      <c r="F872" s="502" t="s">
        <v>878</v>
      </c>
      <c r="G872" s="100" t="s">
        <v>795</v>
      </c>
      <c r="H872" s="530"/>
      <c r="I872" s="525"/>
      <c r="K872" s="548"/>
      <c r="L872" s="548"/>
      <c r="M872" s="548"/>
      <c r="N872" s="552"/>
      <c r="Y872" s="551"/>
    </row>
    <row r="873" spans="1:25">
      <c r="A873" s="499">
        <v>45509</v>
      </c>
      <c r="B873" s="499">
        <v>45509</v>
      </c>
      <c r="C873" s="500" t="s">
        <v>173</v>
      </c>
      <c r="D873" s="500" t="s">
        <v>763</v>
      </c>
      <c r="E873" s="501">
        <v>-1151207258.27</v>
      </c>
      <c r="F873" s="502" t="s">
        <v>878</v>
      </c>
      <c r="G873" s="100" t="s">
        <v>548</v>
      </c>
      <c r="H873" s="530"/>
      <c r="I873" s="525"/>
      <c r="K873" s="548"/>
      <c r="L873" s="548"/>
      <c r="M873" s="548"/>
      <c r="N873" s="552"/>
      <c r="Y873" s="551"/>
    </row>
    <row r="874" spans="1:25">
      <c r="A874" s="499">
        <v>45509</v>
      </c>
      <c r="B874" s="499">
        <v>45509</v>
      </c>
      <c r="C874" s="500" t="s">
        <v>173</v>
      </c>
      <c r="D874" s="500" t="s">
        <v>763</v>
      </c>
      <c r="E874" s="501">
        <v>-1200389835.5999999</v>
      </c>
      <c r="F874" s="502" t="s">
        <v>878</v>
      </c>
      <c r="G874" s="100" t="s">
        <v>87</v>
      </c>
      <c r="H874" s="530"/>
      <c r="I874" s="525"/>
      <c r="K874" s="548"/>
      <c r="L874" s="548"/>
      <c r="M874" s="548"/>
      <c r="N874" s="552"/>
      <c r="Y874" s="551"/>
    </row>
    <row r="875" spans="1:25">
      <c r="A875" s="499">
        <v>45509</v>
      </c>
      <c r="B875" s="499">
        <v>45509</v>
      </c>
      <c r="C875" s="500" t="s">
        <v>173</v>
      </c>
      <c r="D875" s="500" t="s">
        <v>763</v>
      </c>
      <c r="E875" s="501">
        <v>-905131521.84000003</v>
      </c>
      <c r="F875" s="502" t="s">
        <v>878</v>
      </c>
      <c r="G875" s="100" t="s">
        <v>593</v>
      </c>
      <c r="H875" s="530"/>
      <c r="I875" s="525"/>
      <c r="K875" s="548"/>
      <c r="L875" s="548"/>
      <c r="M875" s="548"/>
      <c r="N875" s="552"/>
      <c r="Y875" s="551"/>
    </row>
    <row r="876" spans="1:25">
      <c r="A876" s="499">
        <v>45509</v>
      </c>
      <c r="B876" s="499">
        <v>45509</v>
      </c>
      <c r="C876" s="500" t="s">
        <v>173</v>
      </c>
      <c r="D876" s="500" t="s">
        <v>763</v>
      </c>
      <c r="E876" s="501">
        <v>-26002801.679999989</v>
      </c>
      <c r="F876" s="502" t="s">
        <v>878</v>
      </c>
      <c r="G876" s="100" t="s">
        <v>78</v>
      </c>
      <c r="H876" s="530"/>
      <c r="I876" s="525"/>
      <c r="K876" s="548"/>
      <c r="L876" s="548"/>
      <c r="M876" s="548"/>
      <c r="N876" s="552"/>
      <c r="Y876" s="551"/>
    </row>
    <row r="877" spans="1:25">
      <c r="A877" s="499">
        <v>45509</v>
      </c>
      <c r="B877" s="499">
        <v>45509</v>
      </c>
      <c r="C877" s="500" t="s">
        <v>173</v>
      </c>
      <c r="D877" s="500" t="s">
        <v>763</v>
      </c>
      <c r="E877" s="501">
        <v>-1066488790.85</v>
      </c>
      <c r="F877" s="502" t="s">
        <v>878</v>
      </c>
      <c r="G877" s="100" t="s">
        <v>683</v>
      </c>
      <c r="H877" s="530"/>
      <c r="I877" s="525"/>
      <c r="K877" s="548"/>
      <c r="L877" s="548"/>
      <c r="M877" s="548"/>
      <c r="N877" s="552"/>
      <c r="Y877" s="551"/>
    </row>
    <row r="878" spans="1:25">
      <c r="A878" s="499">
        <v>45509</v>
      </c>
      <c r="B878" s="499">
        <v>45510</v>
      </c>
      <c r="C878" s="500" t="s">
        <v>173</v>
      </c>
      <c r="D878" s="500" t="s">
        <v>763</v>
      </c>
      <c r="E878" s="501">
        <v>848855655.46000004</v>
      </c>
      <c r="F878" s="502" t="s">
        <v>878</v>
      </c>
      <c r="G878" s="100" t="s">
        <v>679</v>
      </c>
      <c r="H878" s="530"/>
      <c r="I878" s="525"/>
      <c r="K878" s="548"/>
      <c r="L878" s="548"/>
      <c r="M878" s="548"/>
      <c r="N878" s="552"/>
      <c r="Y878" s="551"/>
    </row>
    <row r="879" spans="1:25">
      <c r="A879" s="499">
        <v>45509</v>
      </c>
      <c r="B879" s="499">
        <v>45510</v>
      </c>
      <c r="C879" s="500" t="s">
        <v>173</v>
      </c>
      <c r="D879" s="500" t="s">
        <v>763</v>
      </c>
      <c r="E879" s="501">
        <v>1000464.36</v>
      </c>
      <c r="F879" s="502" t="s">
        <v>878</v>
      </c>
      <c r="G879" s="100" t="s">
        <v>78</v>
      </c>
      <c r="H879" s="530"/>
      <c r="I879" s="525"/>
      <c r="K879" s="548"/>
      <c r="L879" s="548"/>
      <c r="M879" s="548"/>
      <c r="N879" s="552"/>
      <c r="Y879" s="551"/>
    </row>
    <row r="880" spans="1:25">
      <c r="A880" s="499">
        <v>45509</v>
      </c>
      <c r="B880" s="499">
        <v>45510</v>
      </c>
      <c r="C880" s="500" t="s">
        <v>173</v>
      </c>
      <c r="D880" s="500" t="s">
        <v>763</v>
      </c>
      <c r="E880" s="501">
        <v>1052375477.99</v>
      </c>
      <c r="F880" s="502" t="s">
        <v>878</v>
      </c>
      <c r="G880" s="100" t="s">
        <v>795</v>
      </c>
      <c r="H880" s="530"/>
      <c r="I880" s="525"/>
      <c r="K880" s="548"/>
      <c r="L880" s="548"/>
      <c r="M880" s="548"/>
      <c r="N880" s="552"/>
      <c r="Y880" s="551"/>
    </row>
    <row r="881" spans="1:25">
      <c r="A881" s="499">
        <v>45509</v>
      </c>
      <c r="B881" s="499">
        <v>45510</v>
      </c>
      <c r="C881" s="500" t="s">
        <v>173</v>
      </c>
      <c r="D881" s="500" t="s">
        <v>763</v>
      </c>
      <c r="E881" s="501">
        <v>1151617732.8599999</v>
      </c>
      <c r="F881" s="502" t="s">
        <v>878</v>
      </c>
      <c r="G881" s="100" t="s">
        <v>548</v>
      </c>
      <c r="H881" s="530"/>
      <c r="I881" s="525"/>
      <c r="K881" s="548"/>
      <c r="L881" s="548"/>
      <c r="M881" s="548"/>
      <c r="N881" s="552"/>
      <c r="Y881" s="551"/>
    </row>
    <row r="882" spans="1:25">
      <c r="A882" s="499">
        <v>45509</v>
      </c>
      <c r="B882" s="499">
        <v>45510</v>
      </c>
      <c r="C882" s="500" t="s">
        <v>173</v>
      </c>
      <c r="D882" s="500" t="s">
        <v>763</v>
      </c>
      <c r="E882" s="501">
        <v>1200817846.73</v>
      </c>
      <c r="F882" s="502" t="s">
        <v>878</v>
      </c>
      <c r="G882" s="100" t="s">
        <v>87</v>
      </c>
      <c r="H882" s="530"/>
      <c r="I882" s="525"/>
      <c r="K882" s="548"/>
      <c r="L882" s="548"/>
      <c r="M882" s="548"/>
      <c r="N882" s="552"/>
      <c r="Y882" s="551"/>
    </row>
    <row r="883" spans="1:25">
      <c r="A883" s="499">
        <v>45509</v>
      </c>
      <c r="B883" s="499">
        <v>45510</v>
      </c>
      <c r="C883" s="500" t="s">
        <v>173</v>
      </c>
      <c r="D883" s="500" t="s">
        <v>763</v>
      </c>
      <c r="E883" s="501">
        <v>905454255.63</v>
      </c>
      <c r="F883" s="502" t="s">
        <v>878</v>
      </c>
      <c r="G883" s="100" t="s">
        <v>593</v>
      </c>
      <c r="H883" s="530"/>
      <c r="I883" s="525"/>
      <c r="K883" s="548"/>
      <c r="L883" s="548"/>
      <c r="M883" s="548"/>
      <c r="N883" s="552"/>
      <c r="Y883" s="551"/>
    </row>
    <row r="884" spans="1:25">
      <c r="A884" s="499">
        <v>45509</v>
      </c>
      <c r="B884" s="499">
        <v>45510</v>
      </c>
      <c r="C884" s="500" t="s">
        <v>173</v>
      </c>
      <c r="D884" s="500" t="s">
        <v>763</v>
      </c>
      <c r="E884" s="501">
        <v>26012073.170000002</v>
      </c>
      <c r="F884" s="502" t="s">
        <v>878</v>
      </c>
      <c r="G884" s="100" t="s">
        <v>78</v>
      </c>
      <c r="H884" s="530"/>
      <c r="I884" s="525"/>
      <c r="K884" s="548"/>
      <c r="L884" s="548"/>
      <c r="M884" s="548"/>
      <c r="N884" s="552"/>
      <c r="Y884" s="551"/>
    </row>
    <row r="885" spans="1:25">
      <c r="A885" s="499">
        <v>45509</v>
      </c>
      <c r="B885" s="499">
        <v>45510</v>
      </c>
      <c r="C885" s="500" t="s">
        <v>173</v>
      </c>
      <c r="D885" s="500" t="s">
        <v>763</v>
      </c>
      <c r="E885" s="501">
        <v>1066869058.21</v>
      </c>
      <c r="F885" s="502" t="s">
        <v>878</v>
      </c>
      <c r="G885" s="100" t="s">
        <v>683</v>
      </c>
      <c r="H885" s="530"/>
      <c r="I885" s="525"/>
      <c r="K885" s="548"/>
      <c r="L885" s="548"/>
      <c r="M885" s="548"/>
      <c r="N885" s="552"/>
      <c r="Y885" s="551"/>
    </row>
    <row r="886" spans="1:25">
      <c r="A886" s="499">
        <v>45510</v>
      </c>
      <c r="B886" s="499">
        <v>45510</v>
      </c>
      <c r="C886" s="500" t="s">
        <v>173</v>
      </c>
      <c r="D886" s="500" t="s">
        <v>761</v>
      </c>
      <c r="E886" s="501">
        <v>-2307114369.8899999</v>
      </c>
      <c r="F886" s="502" t="s">
        <v>878</v>
      </c>
      <c r="G886" s="100" t="s">
        <v>746</v>
      </c>
      <c r="H886" s="530"/>
      <c r="I886" s="525"/>
      <c r="K886" s="548"/>
      <c r="L886" s="548"/>
      <c r="M886" s="548"/>
      <c r="N886" s="552"/>
      <c r="Y886" s="551"/>
    </row>
    <row r="887" spans="1:25">
      <c r="A887" s="499">
        <v>45510</v>
      </c>
      <c r="B887" s="499">
        <v>45510</v>
      </c>
      <c r="C887" s="500" t="s">
        <v>173</v>
      </c>
      <c r="D887" s="500" t="s">
        <v>761</v>
      </c>
      <c r="E887" s="501">
        <v>-9003120.8399999999</v>
      </c>
      <c r="F887" s="502" t="s">
        <v>878</v>
      </c>
      <c r="G887" s="100" t="s">
        <v>597</v>
      </c>
      <c r="H887" s="530"/>
      <c r="I887" s="525"/>
      <c r="K887" s="548"/>
      <c r="L887" s="548"/>
      <c r="M887" s="548"/>
      <c r="N887" s="552"/>
      <c r="Y887" s="551"/>
    </row>
    <row r="888" spans="1:25">
      <c r="A888" s="499">
        <v>45510</v>
      </c>
      <c r="B888" s="499">
        <v>45517</v>
      </c>
      <c r="C888" s="500" t="s">
        <v>173</v>
      </c>
      <c r="D888" s="500" t="s">
        <v>761</v>
      </c>
      <c r="E888" s="501">
        <v>2313027138.4099998</v>
      </c>
      <c r="F888" s="502" t="s">
        <v>878</v>
      </c>
      <c r="G888" s="100" t="s">
        <v>746</v>
      </c>
      <c r="H888" s="530"/>
      <c r="I888" s="525"/>
      <c r="K888" s="548"/>
      <c r="L888" s="548"/>
      <c r="M888" s="548"/>
      <c r="N888" s="552"/>
      <c r="Y888" s="551"/>
    </row>
    <row r="889" spans="1:25">
      <c r="A889" s="499">
        <v>45510</v>
      </c>
      <c r="B889" s="499">
        <v>45517</v>
      </c>
      <c r="C889" s="500" t="s">
        <v>173</v>
      </c>
      <c r="D889" s="500" t="s">
        <v>761</v>
      </c>
      <c r="E889" s="501">
        <v>9025832.8100000005</v>
      </c>
      <c r="F889" s="502" t="s">
        <v>878</v>
      </c>
      <c r="G889" s="100" t="s">
        <v>597</v>
      </c>
      <c r="H889" s="530"/>
      <c r="I889" s="525"/>
      <c r="K889" s="548"/>
      <c r="L889" s="548"/>
      <c r="M889" s="548"/>
      <c r="N889" s="552"/>
      <c r="Y889" s="551"/>
    </row>
    <row r="890" spans="1:25">
      <c r="A890" s="499">
        <v>45510</v>
      </c>
      <c r="B890" s="499">
        <v>45512</v>
      </c>
      <c r="C890" s="500" t="s">
        <v>173</v>
      </c>
      <c r="D890" s="500" t="s">
        <v>761</v>
      </c>
      <c r="E890" s="501">
        <v>204118100</v>
      </c>
      <c r="F890" s="502" t="s">
        <v>912</v>
      </c>
      <c r="G890" s="100" t="s">
        <v>448</v>
      </c>
      <c r="H890" s="530"/>
      <c r="I890" s="525"/>
      <c r="K890" s="548"/>
      <c r="L890" s="548"/>
      <c r="M890" s="548"/>
      <c r="N890" s="552">
        <v>225000</v>
      </c>
      <c r="O890" s="539">
        <f>VLOOKUP(G890,[5]Лист1!$B:$K,10,0)</f>
        <v>1000</v>
      </c>
      <c r="W890" s="550">
        <f>VLOOKUP(G890,Справочник!A:C,3,0)</f>
        <v>0.1055</v>
      </c>
      <c r="X890" s="539" t="str">
        <f>VLOOKUP(G890,Справочник!A:G,7,0)</f>
        <v>Министерство финансов Республики Казахстан</v>
      </c>
      <c r="Y890" s="551">
        <f>VLOOKUP(G890,Справочник!A:B,2,0)</f>
        <v>47327</v>
      </c>
    </row>
    <row r="891" spans="1:25">
      <c r="A891" s="499">
        <v>45510</v>
      </c>
      <c r="B891" s="499">
        <v>45510</v>
      </c>
      <c r="C891" s="500" t="s">
        <v>173</v>
      </c>
      <c r="D891" s="500" t="s">
        <v>759</v>
      </c>
      <c r="E891" s="501">
        <v>-997094598.54999995</v>
      </c>
      <c r="F891" s="502" t="s">
        <v>878</v>
      </c>
      <c r="G891" s="100" t="s">
        <v>645</v>
      </c>
      <c r="H891" s="484"/>
      <c r="I891" s="525"/>
      <c r="K891" s="548"/>
      <c r="L891" s="548"/>
      <c r="M891" s="548"/>
      <c r="N891" s="552"/>
      <c r="Y891" s="551"/>
    </row>
    <row r="892" spans="1:25">
      <c r="A892" s="499">
        <v>45510</v>
      </c>
      <c r="B892" s="499">
        <v>45510</v>
      </c>
      <c r="C892" s="500" t="s">
        <v>173</v>
      </c>
      <c r="D892" s="500" t="s">
        <v>759</v>
      </c>
      <c r="E892" s="501">
        <v>-6004848.7300000004</v>
      </c>
      <c r="F892" s="502" t="s">
        <v>878</v>
      </c>
      <c r="G892" s="100" t="s">
        <v>417</v>
      </c>
      <c r="H892" s="484"/>
      <c r="I892" s="525"/>
      <c r="K892" s="548"/>
      <c r="L892" s="548"/>
      <c r="M892" s="548"/>
      <c r="N892" s="552"/>
      <c r="Y892" s="551"/>
    </row>
    <row r="893" spans="1:25">
      <c r="A893" s="499">
        <v>45510</v>
      </c>
      <c r="B893" s="499">
        <v>45511</v>
      </c>
      <c r="C893" s="500" t="s">
        <v>173</v>
      </c>
      <c r="D893" s="500" t="s">
        <v>759</v>
      </c>
      <c r="E893" s="501">
        <v>997448766.00999999</v>
      </c>
      <c r="F893" s="502" t="s">
        <v>878</v>
      </c>
      <c r="G893" s="100" t="s">
        <v>645</v>
      </c>
      <c r="H893" s="530"/>
      <c r="I893" s="525"/>
      <c r="K893" s="548"/>
      <c r="L893" s="548"/>
      <c r="M893" s="548"/>
      <c r="N893" s="552"/>
      <c r="Y893" s="551"/>
    </row>
    <row r="894" spans="1:25">
      <c r="A894" s="499">
        <v>45510</v>
      </c>
      <c r="B894" s="499">
        <v>45511</v>
      </c>
      <c r="C894" s="500" t="s">
        <v>173</v>
      </c>
      <c r="D894" s="500" t="s">
        <v>759</v>
      </c>
      <c r="E894" s="501">
        <v>6006957.0599999996</v>
      </c>
      <c r="F894" s="502" t="s">
        <v>878</v>
      </c>
      <c r="G894" s="100" t="s">
        <v>417</v>
      </c>
      <c r="H894" s="530"/>
      <c r="I894" s="525"/>
      <c r="K894" s="548"/>
      <c r="L894" s="548"/>
      <c r="M894" s="548"/>
      <c r="N894" s="552"/>
      <c r="Y894" s="551"/>
    </row>
    <row r="895" spans="1:25">
      <c r="A895" s="499">
        <v>45510</v>
      </c>
      <c r="B895" s="499">
        <v>45510</v>
      </c>
      <c r="C895" s="500" t="s">
        <v>173</v>
      </c>
      <c r="D895" s="500" t="s">
        <v>760</v>
      </c>
      <c r="E895" s="501">
        <v>-187041360.66</v>
      </c>
      <c r="F895" s="502" t="s">
        <v>878</v>
      </c>
      <c r="G895" s="100" t="s">
        <v>825</v>
      </c>
      <c r="H895" s="530"/>
      <c r="I895" s="525"/>
      <c r="K895" s="548"/>
      <c r="L895" s="548"/>
      <c r="M895" s="548"/>
      <c r="N895" s="552"/>
      <c r="Y895" s="551"/>
    </row>
    <row r="896" spans="1:25">
      <c r="A896" s="499">
        <v>45510</v>
      </c>
      <c r="B896" s="499">
        <v>45510</v>
      </c>
      <c r="C896" s="500" t="s">
        <v>173</v>
      </c>
      <c r="D896" s="500" t="s">
        <v>760</v>
      </c>
      <c r="E896" s="501">
        <v>-180030909.59999999</v>
      </c>
      <c r="F896" s="502" t="s">
        <v>878</v>
      </c>
      <c r="G896" s="100" t="s">
        <v>603</v>
      </c>
      <c r="H896" s="530"/>
      <c r="I896" s="525"/>
      <c r="K896" s="548"/>
      <c r="L896" s="548"/>
      <c r="M896" s="548"/>
      <c r="N896" s="552"/>
      <c r="Y896" s="551"/>
    </row>
    <row r="897" spans="1:25">
      <c r="A897" s="499">
        <v>45510</v>
      </c>
      <c r="B897" s="499">
        <v>45510</v>
      </c>
      <c r="C897" s="500" t="s">
        <v>173</v>
      </c>
      <c r="D897" s="500" t="s">
        <v>760</v>
      </c>
      <c r="E897" s="501">
        <v>-132079055.33</v>
      </c>
      <c r="F897" s="502" t="s">
        <v>878</v>
      </c>
      <c r="G897" s="100" t="s">
        <v>68</v>
      </c>
      <c r="H897" s="530"/>
      <c r="I897" s="525"/>
      <c r="K897" s="548"/>
      <c r="L897" s="548"/>
      <c r="M897" s="548"/>
      <c r="N897" s="552"/>
      <c r="Y897" s="551"/>
    </row>
    <row r="898" spans="1:25">
      <c r="A898" s="499">
        <v>45510</v>
      </c>
      <c r="B898" s="499">
        <v>45510</v>
      </c>
      <c r="C898" s="500" t="s">
        <v>173</v>
      </c>
      <c r="D898" s="500" t="s">
        <v>760</v>
      </c>
      <c r="E898" s="501">
        <v>-190065884.40000001</v>
      </c>
      <c r="F898" s="502" t="s">
        <v>878</v>
      </c>
      <c r="G898" s="100" t="s">
        <v>597</v>
      </c>
      <c r="H898" s="530"/>
      <c r="I898" s="525"/>
      <c r="K898" s="548"/>
      <c r="L898" s="548"/>
      <c r="M898" s="548"/>
      <c r="N898" s="552"/>
      <c r="Y898" s="551"/>
    </row>
    <row r="899" spans="1:25">
      <c r="A899" s="499">
        <v>45510</v>
      </c>
      <c r="B899" s="499">
        <v>45510</v>
      </c>
      <c r="C899" s="500" t="s">
        <v>173</v>
      </c>
      <c r="D899" s="500" t="s">
        <v>760</v>
      </c>
      <c r="E899" s="501">
        <v>-208137088.22</v>
      </c>
      <c r="F899" s="502" t="s">
        <v>878</v>
      </c>
      <c r="G899" s="100" t="s">
        <v>655</v>
      </c>
      <c r="H899" s="530"/>
      <c r="I899" s="525"/>
      <c r="K899" s="548"/>
      <c r="L899" s="548"/>
      <c r="M899" s="548"/>
      <c r="N899" s="552"/>
      <c r="Y899" s="551"/>
    </row>
    <row r="900" spans="1:25">
      <c r="A900" s="499">
        <v>45510</v>
      </c>
      <c r="B900" s="499">
        <v>45510</v>
      </c>
      <c r="C900" s="500" t="s">
        <v>173</v>
      </c>
      <c r="D900" s="500" t="s">
        <v>760</v>
      </c>
      <c r="E900" s="501">
        <v>-199093959.44</v>
      </c>
      <c r="F900" s="502" t="s">
        <v>878</v>
      </c>
      <c r="G900" s="100" t="s">
        <v>593</v>
      </c>
      <c r="H900" s="530"/>
      <c r="I900" s="525"/>
      <c r="K900" s="548"/>
      <c r="L900" s="548"/>
      <c r="M900" s="548"/>
      <c r="N900" s="552"/>
      <c r="Y900" s="551"/>
    </row>
    <row r="901" spans="1:25">
      <c r="A901" s="499">
        <v>45510</v>
      </c>
      <c r="B901" s="499">
        <v>45510</v>
      </c>
      <c r="C901" s="500" t="s">
        <v>173</v>
      </c>
      <c r="D901" s="500" t="s">
        <v>760</v>
      </c>
      <c r="E901" s="501">
        <v>-234066738.19999999</v>
      </c>
      <c r="F901" s="502" t="s">
        <v>878</v>
      </c>
      <c r="G901" s="100" t="s">
        <v>548</v>
      </c>
      <c r="H901" s="530"/>
      <c r="I901" s="525"/>
      <c r="K901" s="548"/>
      <c r="L901" s="548"/>
      <c r="M901" s="548"/>
      <c r="N901" s="552"/>
      <c r="Y901" s="551"/>
    </row>
    <row r="902" spans="1:25">
      <c r="A902" s="499">
        <v>45510</v>
      </c>
      <c r="B902" s="499">
        <v>45510</v>
      </c>
      <c r="C902" s="500" t="s">
        <v>173</v>
      </c>
      <c r="D902" s="500" t="s">
        <v>760</v>
      </c>
      <c r="E902" s="501">
        <v>-285007803.30000001</v>
      </c>
      <c r="F902" s="502" t="s">
        <v>878</v>
      </c>
      <c r="G902" s="100" t="s">
        <v>820</v>
      </c>
      <c r="H902" s="530"/>
      <c r="I902" s="525"/>
      <c r="K902" s="548"/>
      <c r="L902" s="548"/>
      <c r="M902" s="548"/>
      <c r="N902" s="552"/>
      <c r="Y902" s="551"/>
    </row>
    <row r="903" spans="1:25">
      <c r="A903" s="499">
        <v>45510</v>
      </c>
      <c r="B903" s="499">
        <v>45510</v>
      </c>
      <c r="C903" s="500" t="s">
        <v>173</v>
      </c>
      <c r="D903" s="500" t="s">
        <v>760</v>
      </c>
      <c r="E903" s="501">
        <v>-268010028.02000001</v>
      </c>
      <c r="F903" s="502" t="s">
        <v>878</v>
      </c>
      <c r="G903" s="100" t="s">
        <v>87</v>
      </c>
      <c r="H903" s="530"/>
      <c r="I903" s="525"/>
      <c r="K903" s="548"/>
      <c r="L903" s="548"/>
      <c r="M903" s="548"/>
      <c r="N903" s="552"/>
      <c r="Y903" s="551"/>
    </row>
    <row r="904" spans="1:25">
      <c r="A904" s="499">
        <v>45510</v>
      </c>
      <c r="B904" s="499">
        <v>45510</v>
      </c>
      <c r="C904" s="500" t="s">
        <v>173</v>
      </c>
      <c r="D904" s="500" t="s">
        <v>760</v>
      </c>
      <c r="E904" s="501">
        <v>-263162201.56999999</v>
      </c>
      <c r="F904" s="502" t="s">
        <v>878</v>
      </c>
      <c r="G904" s="100" t="s">
        <v>595</v>
      </c>
      <c r="H904" s="530"/>
      <c r="I904" s="525"/>
      <c r="K904" s="548"/>
      <c r="L904" s="548"/>
      <c r="M904" s="548"/>
      <c r="N904" s="552"/>
      <c r="Y904" s="551"/>
    </row>
    <row r="905" spans="1:25">
      <c r="A905" s="499">
        <v>45510</v>
      </c>
      <c r="B905" s="499">
        <v>45510</v>
      </c>
      <c r="C905" s="500" t="s">
        <v>173</v>
      </c>
      <c r="D905" s="500" t="s">
        <v>760</v>
      </c>
      <c r="E905" s="501">
        <v>-235189908.66999999</v>
      </c>
      <c r="F905" s="502" t="s">
        <v>878</v>
      </c>
      <c r="G905" s="100" t="s">
        <v>417</v>
      </c>
      <c r="H905" s="530"/>
      <c r="I905" s="525"/>
      <c r="K905" s="548"/>
      <c r="L905" s="548"/>
      <c r="M905" s="548"/>
      <c r="N905" s="552"/>
      <c r="Y905" s="551"/>
    </row>
    <row r="906" spans="1:25">
      <c r="A906" s="499">
        <v>45510</v>
      </c>
      <c r="B906" s="499">
        <v>45510</v>
      </c>
      <c r="C906" s="500" t="s">
        <v>173</v>
      </c>
      <c r="D906" s="500" t="s">
        <v>760</v>
      </c>
      <c r="E906" s="501">
        <v>-224184093.28</v>
      </c>
      <c r="F906" s="502" t="s">
        <v>878</v>
      </c>
      <c r="G906" s="100" t="s">
        <v>414</v>
      </c>
      <c r="H906" s="530"/>
      <c r="I906" s="525"/>
      <c r="K906" s="548"/>
      <c r="L906" s="548"/>
      <c r="M906" s="548"/>
      <c r="N906" s="552"/>
      <c r="Y906" s="551"/>
    </row>
    <row r="907" spans="1:25">
      <c r="A907" s="499">
        <v>45510</v>
      </c>
      <c r="B907" s="499">
        <v>45510</v>
      </c>
      <c r="C907" s="500" t="s">
        <v>173</v>
      </c>
      <c r="D907" s="500" t="s">
        <v>760</v>
      </c>
      <c r="E907" s="501">
        <v>-298103334.48000002</v>
      </c>
      <c r="F907" s="502" t="s">
        <v>878</v>
      </c>
      <c r="G907" s="100" t="s">
        <v>597</v>
      </c>
      <c r="H907" s="530"/>
      <c r="I907" s="525"/>
      <c r="K907" s="548"/>
      <c r="L907" s="548"/>
      <c r="M907" s="548"/>
      <c r="N907" s="552"/>
      <c r="Y907" s="551"/>
    </row>
    <row r="908" spans="1:25">
      <c r="A908" s="499">
        <v>45510</v>
      </c>
      <c r="B908" s="499">
        <v>45510</v>
      </c>
      <c r="C908" s="500" t="s">
        <v>173</v>
      </c>
      <c r="D908" s="500" t="s">
        <v>760</v>
      </c>
      <c r="E908" s="501">
        <v>-222147841.12</v>
      </c>
      <c r="F908" s="502" t="s">
        <v>878</v>
      </c>
      <c r="G908" s="100" t="s">
        <v>589</v>
      </c>
      <c r="H908" s="530"/>
      <c r="I908" s="525"/>
      <c r="K908" s="548"/>
      <c r="L908" s="548"/>
      <c r="M908" s="548"/>
      <c r="N908" s="552"/>
      <c r="Y908" s="551"/>
    </row>
    <row r="909" spans="1:25">
      <c r="A909" s="499">
        <v>45510</v>
      </c>
      <c r="B909" s="499">
        <v>45510</v>
      </c>
      <c r="C909" s="500" t="s">
        <v>173</v>
      </c>
      <c r="D909" s="500" t="s">
        <v>760</v>
      </c>
      <c r="E909" s="501">
        <v>-326251067.92000002</v>
      </c>
      <c r="F909" s="502" t="s">
        <v>878</v>
      </c>
      <c r="G909" s="100" t="s">
        <v>88</v>
      </c>
      <c r="H909" s="530"/>
      <c r="I909" s="525"/>
      <c r="K909" s="548"/>
      <c r="L909" s="548"/>
      <c r="M909" s="548"/>
      <c r="N909" s="552"/>
      <c r="Y909" s="551"/>
    </row>
    <row r="910" spans="1:25">
      <c r="A910" s="499">
        <v>45510</v>
      </c>
      <c r="B910" s="499">
        <v>45510</v>
      </c>
      <c r="C910" s="500" t="s">
        <v>173</v>
      </c>
      <c r="D910" s="500" t="s">
        <v>760</v>
      </c>
      <c r="E910" s="501">
        <v>-332115124.31999999</v>
      </c>
      <c r="F910" s="502" t="s">
        <v>878</v>
      </c>
      <c r="G910" s="100" t="s">
        <v>597</v>
      </c>
      <c r="H910" s="530"/>
      <c r="I910" s="525"/>
      <c r="K910" s="548"/>
      <c r="L910" s="548"/>
      <c r="M910" s="548"/>
      <c r="N910" s="552"/>
      <c r="Y910" s="551"/>
    </row>
    <row r="911" spans="1:25">
      <c r="A911" s="499">
        <v>45510</v>
      </c>
      <c r="B911" s="499">
        <v>45510</v>
      </c>
      <c r="C911" s="500" t="s">
        <v>173</v>
      </c>
      <c r="D911" s="500" t="s">
        <v>760</v>
      </c>
      <c r="E911" s="501">
        <v>-281080142.88999999</v>
      </c>
      <c r="F911" s="502" t="s">
        <v>878</v>
      </c>
      <c r="G911" s="100" t="s">
        <v>548</v>
      </c>
      <c r="H911" s="530"/>
      <c r="I911" s="525"/>
      <c r="K911" s="548"/>
      <c r="L911" s="548"/>
      <c r="M911" s="548"/>
      <c r="N911" s="552"/>
      <c r="Y911" s="551"/>
    </row>
    <row r="912" spans="1:25">
      <c r="A912" s="499">
        <v>45510</v>
      </c>
      <c r="B912" s="499">
        <v>45510</v>
      </c>
      <c r="C912" s="500" t="s">
        <v>173</v>
      </c>
      <c r="D912" s="500" t="s">
        <v>760</v>
      </c>
      <c r="E912" s="501">
        <v>-332021145.74000001</v>
      </c>
      <c r="F912" s="502" t="s">
        <v>878</v>
      </c>
      <c r="G912" s="100" t="s">
        <v>503</v>
      </c>
      <c r="H912" s="530"/>
      <c r="I912" s="525"/>
      <c r="K912" s="548"/>
      <c r="L912" s="548"/>
      <c r="M912" s="548"/>
      <c r="N912" s="552"/>
      <c r="Y912" s="551"/>
    </row>
    <row r="913" spans="1:25">
      <c r="A913" s="499">
        <v>45510</v>
      </c>
      <c r="B913" s="499">
        <v>45510</v>
      </c>
      <c r="C913" s="500" t="s">
        <v>173</v>
      </c>
      <c r="D913" s="500" t="s">
        <v>760</v>
      </c>
      <c r="E913" s="501">
        <v>-349136423.75</v>
      </c>
      <c r="F913" s="502" t="s">
        <v>878</v>
      </c>
      <c r="G913" s="100" t="s">
        <v>822</v>
      </c>
      <c r="H913" s="530"/>
      <c r="I913" s="525"/>
      <c r="K913" s="548"/>
      <c r="L913" s="548"/>
      <c r="M913" s="548"/>
      <c r="N913" s="552"/>
      <c r="Y913" s="551"/>
    </row>
    <row r="914" spans="1:25">
      <c r="A914" s="499">
        <v>45510</v>
      </c>
      <c r="B914" s="499">
        <v>45510</v>
      </c>
      <c r="C914" s="500" t="s">
        <v>173</v>
      </c>
      <c r="D914" s="500" t="s">
        <v>760</v>
      </c>
      <c r="E914" s="501">
        <v>-320151090.56</v>
      </c>
      <c r="F914" s="502" t="s">
        <v>878</v>
      </c>
      <c r="G914" s="100" t="s">
        <v>593</v>
      </c>
      <c r="H914" s="530"/>
      <c r="I914" s="525"/>
      <c r="K914" s="548"/>
      <c r="L914" s="548"/>
      <c r="M914" s="548"/>
      <c r="N914" s="552"/>
      <c r="Y914" s="551"/>
    </row>
    <row r="915" spans="1:25">
      <c r="A915" s="499">
        <v>45510</v>
      </c>
      <c r="B915" s="499">
        <v>45510</v>
      </c>
      <c r="C915" s="500" t="s">
        <v>173</v>
      </c>
      <c r="D915" s="500" t="s">
        <v>760</v>
      </c>
      <c r="E915" s="501">
        <v>-315089839.88999999</v>
      </c>
      <c r="F915" s="502" t="s">
        <v>878</v>
      </c>
      <c r="G915" s="100" t="s">
        <v>548</v>
      </c>
      <c r="H915" s="530"/>
      <c r="I915" s="525"/>
      <c r="K915" s="548"/>
      <c r="L915" s="548"/>
      <c r="M915" s="548"/>
      <c r="N915" s="552"/>
      <c r="Y915" s="551"/>
    </row>
    <row r="916" spans="1:25">
      <c r="A916" s="499">
        <v>45510</v>
      </c>
      <c r="B916" s="499">
        <v>45510</v>
      </c>
      <c r="C916" s="500" t="s">
        <v>173</v>
      </c>
      <c r="D916" s="500" t="s">
        <v>760</v>
      </c>
      <c r="E916" s="501">
        <v>-372274402.07999998</v>
      </c>
      <c r="F916" s="502" t="s">
        <v>878</v>
      </c>
      <c r="G916" s="100" t="s">
        <v>92</v>
      </c>
      <c r="H916" s="530"/>
      <c r="I916" s="525"/>
      <c r="K916" s="548"/>
      <c r="L916" s="548"/>
      <c r="M916" s="548"/>
      <c r="N916" s="552"/>
      <c r="Y916" s="551"/>
    </row>
    <row r="917" spans="1:25">
      <c r="A917" s="499">
        <v>45510</v>
      </c>
      <c r="B917" s="499">
        <v>45510</v>
      </c>
      <c r="C917" s="500" t="s">
        <v>173</v>
      </c>
      <c r="D917" s="500" t="s">
        <v>760</v>
      </c>
      <c r="E917" s="501">
        <v>-54012766.68</v>
      </c>
      <c r="F917" s="502" t="s">
        <v>878</v>
      </c>
      <c r="G917" s="100" t="s">
        <v>575</v>
      </c>
      <c r="H917" s="530"/>
      <c r="I917" s="525"/>
      <c r="K917" s="548"/>
      <c r="L917" s="548"/>
      <c r="M917" s="548"/>
      <c r="N917" s="552"/>
      <c r="Y917" s="551"/>
    </row>
    <row r="918" spans="1:25">
      <c r="A918" s="499">
        <v>45510</v>
      </c>
      <c r="B918" s="499">
        <v>45511</v>
      </c>
      <c r="C918" s="500" t="s">
        <v>173</v>
      </c>
      <c r="D918" s="500" t="s">
        <v>760</v>
      </c>
      <c r="E918" s="501">
        <v>187108307.16</v>
      </c>
      <c r="F918" s="502" t="s">
        <v>878</v>
      </c>
      <c r="G918" s="100" t="s">
        <v>825</v>
      </c>
      <c r="H918" s="530"/>
      <c r="I918" s="525"/>
      <c r="K918" s="548"/>
      <c r="L918" s="548"/>
      <c r="M918" s="548"/>
      <c r="N918" s="552"/>
      <c r="Y918" s="551"/>
    </row>
    <row r="919" spans="1:25">
      <c r="A919" s="499">
        <v>45510</v>
      </c>
      <c r="B919" s="499">
        <v>45511</v>
      </c>
      <c r="C919" s="500" t="s">
        <v>173</v>
      </c>
      <c r="D919" s="500" t="s">
        <v>760</v>
      </c>
      <c r="E919" s="501">
        <v>180095346.88999999</v>
      </c>
      <c r="F919" s="502" t="s">
        <v>878</v>
      </c>
      <c r="G919" s="100" t="s">
        <v>603</v>
      </c>
      <c r="H919" s="530"/>
      <c r="I919" s="525"/>
      <c r="K919" s="548"/>
      <c r="L919" s="548"/>
      <c r="M919" s="548"/>
      <c r="N919" s="552"/>
      <c r="Y919" s="551"/>
    </row>
    <row r="920" spans="1:25">
      <c r="A920" s="499">
        <v>45510</v>
      </c>
      <c r="B920" s="499">
        <v>45511</v>
      </c>
      <c r="C920" s="500" t="s">
        <v>173</v>
      </c>
      <c r="D920" s="500" t="s">
        <v>760</v>
      </c>
      <c r="E920" s="501">
        <v>132126329.53</v>
      </c>
      <c r="F920" s="502" t="s">
        <v>878</v>
      </c>
      <c r="G920" s="100" t="s">
        <v>68</v>
      </c>
      <c r="H920" s="530"/>
      <c r="I920" s="525"/>
      <c r="K920" s="548"/>
      <c r="L920" s="548"/>
      <c r="M920" s="548"/>
      <c r="N920" s="552"/>
      <c r="Y920" s="551"/>
    </row>
    <row r="921" spans="1:25">
      <c r="A921" s="499">
        <v>45510</v>
      </c>
      <c r="B921" s="499">
        <v>45511</v>
      </c>
      <c r="C921" s="500" t="s">
        <v>173</v>
      </c>
      <c r="D921" s="500" t="s">
        <v>760</v>
      </c>
      <c r="E921" s="501">
        <v>190133913.44999999</v>
      </c>
      <c r="F921" s="502" t="s">
        <v>878</v>
      </c>
      <c r="G921" s="100" t="s">
        <v>597</v>
      </c>
      <c r="H921" s="530"/>
      <c r="I921" s="525"/>
      <c r="K921" s="548"/>
      <c r="L921" s="548"/>
      <c r="M921" s="548"/>
      <c r="N921" s="552"/>
      <c r="Y921" s="551"/>
    </row>
    <row r="922" spans="1:25">
      <c r="A922" s="499">
        <v>45510</v>
      </c>
      <c r="B922" s="499">
        <v>45511</v>
      </c>
      <c r="C922" s="500" t="s">
        <v>173</v>
      </c>
      <c r="D922" s="500" t="s">
        <v>760</v>
      </c>
      <c r="E922" s="501">
        <v>208211585.37</v>
      </c>
      <c r="F922" s="502" t="s">
        <v>878</v>
      </c>
      <c r="G922" s="100" t="s">
        <v>655</v>
      </c>
      <c r="H922" s="530"/>
      <c r="I922" s="525"/>
      <c r="K922" s="548"/>
      <c r="L922" s="548"/>
      <c r="M922" s="548"/>
      <c r="N922" s="552"/>
      <c r="Y922" s="551"/>
    </row>
    <row r="923" spans="1:25">
      <c r="A923" s="499">
        <v>45510</v>
      </c>
      <c r="B923" s="499">
        <v>45511</v>
      </c>
      <c r="C923" s="500" t="s">
        <v>173</v>
      </c>
      <c r="D923" s="500" t="s">
        <v>760</v>
      </c>
      <c r="E923" s="501">
        <v>199165219.84999999</v>
      </c>
      <c r="F923" s="502" t="s">
        <v>878</v>
      </c>
      <c r="G923" s="100" t="s">
        <v>593</v>
      </c>
      <c r="H923" s="530"/>
      <c r="I923" s="525"/>
      <c r="K923" s="548"/>
      <c r="L923" s="548"/>
      <c r="M923" s="548"/>
      <c r="N923" s="552"/>
      <c r="Y923" s="551"/>
    </row>
    <row r="924" spans="1:25">
      <c r="A924" s="499">
        <v>45510</v>
      </c>
      <c r="B924" s="499">
        <v>45511</v>
      </c>
      <c r="C924" s="500" t="s">
        <v>173</v>
      </c>
      <c r="D924" s="500" t="s">
        <v>760</v>
      </c>
      <c r="E924" s="501">
        <v>234150516.19</v>
      </c>
      <c r="F924" s="502" t="s">
        <v>878</v>
      </c>
      <c r="G924" s="100" t="s">
        <v>548</v>
      </c>
      <c r="H924" s="530"/>
      <c r="I924" s="525"/>
      <c r="K924" s="548"/>
      <c r="L924" s="548"/>
      <c r="M924" s="548"/>
      <c r="N924" s="552"/>
      <c r="Y924" s="551"/>
    </row>
    <row r="925" spans="1:25">
      <c r="A925" s="499">
        <v>45510</v>
      </c>
      <c r="B925" s="499">
        <v>45511</v>
      </c>
      <c r="C925" s="500" t="s">
        <v>173</v>
      </c>
      <c r="D925" s="500" t="s">
        <v>760</v>
      </c>
      <c r="E925" s="501">
        <v>285109814.29000002</v>
      </c>
      <c r="F925" s="502" t="s">
        <v>878</v>
      </c>
      <c r="G925" s="100" t="s">
        <v>820</v>
      </c>
      <c r="H925" s="530"/>
      <c r="I925" s="525"/>
      <c r="K925" s="548"/>
      <c r="L925" s="548"/>
      <c r="M925" s="548"/>
      <c r="N925" s="552"/>
      <c r="Y925" s="551"/>
    </row>
    <row r="926" spans="1:25">
      <c r="A926" s="499">
        <v>45510</v>
      </c>
      <c r="B926" s="499">
        <v>45511</v>
      </c>
      <c r="C926" s="500" t="s">
        <v>173</v>
      </c>
      <c r="D926" s="500" t="s">
        <v>760</v>
      </c>
      <c r="E926" s="501">
        <v>268105955.11000001</v>
      </c>
      <c r="F926" s="502" t="s">
        <v>878</v>
      </c>
      <c r="G926" s="100" t="s">
        <v>87</v>
      </c>
      <c r="H926" s="530"/>
      <c r="I926" s="525"/>
      <c r="K926" s="548"/>
      <c r="L926" s="548"/>
      <c r="M926" s="548"/>
      <c r="N926" s="552"/>
      <c r="Y926" s="551"/>
    </row>
    <row r="927" spans="1:25">
      <c r="A927" s="499">
        <v>45510</v>
      </c>
      <c r="B927" s="499">
        <v>45511</v>
      </c>
      <c r="C927" s="500" t="s">
        <v>173</v>
      </c>
      <c r="D927" s="500" t="s">
        <v>760</v>
      </c>
      <c r="E927" s="501">
        <v>263256393.50999999</v>
      </c>
      <c r="F927" s="502" t="s">
        <v>878</v>
      </c>
      <c r="G927" s="100" t="s">
        <v>595</v>
      </c>
      <c r="H927" s="530"/>
      <c r="I927" s="525"/>
      <c r="K927" s="548"/>
      <c r="L927" s="548"/>
      <c r="M927" s="548"/>
      <c r="N927" s="552"/>
      <c r="Y927" s="551"/>
    </row>
    <row r="928" spans="1:25">
      <c r="A928" s="499">
        <v>45510</v>
      </c>
      <c r="B928" s="499">
        <v>45511</v>
      </c>
      <c r="C928" s="500" t="s">
        <v>173</v>
      </c>
      <c r="D928" s="500" t="s">
        <v>760</v>
      </c>
      <c r="E928" s="501">
        <v>235274088.66</v>
      </c>
      <c r="F928" s="502" t="s">
        <v>878</v>
      </c>
      <c r="G928" s="100" t="s">
        <v>417</v>
      </c>
      <c r="H928" s="530"/>
      <c r="I928" s="525"/>
      <c r="K928" s="548"/>
      <c r="L928" s="548"/>
      <c r="M928" s="548"/>
      <c r="N928" s="552"/>
      <c r="Y928" s="551"/>
    </row>
    <row r="929" spans="1:25">
      <c r="A929" s="499">
        <v>45510</v>
      </c>
      <c r="B929" s="499">
        <v>45511</v>
      </c>
      <c r="C929" s="500" t="s">
        <v>173</v>
      </c>
      <c r="D929" s="500" t="s">
        <v>760</v>
      </c>
      <c r="E929" s="501">
        <v>224264334.03</v>
      </c>
      <c r="F929" s="502" t="s">
        <v>878</v>
      </c>
      <c r="G929" s="100" t="s">
        <v>414</v>
      </c>
      <c r="H929" s="530"/>
      <c r="I929" s="525"/>
      <c r="K929" s="548"/>
      <c r="L929" s="548"/>
      <c r="M929" s="548"/>
      <c r="N929" s="552"/>
      <c r="Y929" s="551"/>
    </row>
    <row r="930" spans="1:25">
      <c r="A930" s="499">
        <v>45510</v>
      </c>
      <c r="B930" s="499">
        <v>45511</v>
      </c>
      <c r="C930" s="500" t="s">
        <v>173</v>
      </c>
      <c r="D930" s="500" t="s">
        <v>760</v>
      </c>
      <c r="E930" s="501">
        <v>298210032.67000002</v>
      </c>
      <c r="F930" s="502" t="s">
        <v>878</v>
      </c>
      <c r="G930" s="100" t="s">
        <v>597</v>
      </c>
      <c r="H930" s="530"/>
      <c r="I930" s="525"/>
      <c r="K930" s="548"/>
      <c r="L930" s="548"/>
      <c r="M930" s="548"/>
      <c r="N930" s="552"/>
      <c r="Y930" s="551"/>
    </row>
    <row r="931" spans="1:25">
      <c r="A931" s="499">
        <v>45510</v>
      </c>
      <c r="B931" s="499">
        <v>45511</v>
      </c>
      <c r="C931" s="500" t="s">
        <v>173</v>
      </c>
      <c r="D931" s="500" t="s">
        <v>760</v>
      </c>
      <c r="E931" s="501">
        <v>222227353.05000001</v>
      </c>
      <c r="F931" s="502" t="s">
        <v>878</v>
      </c>
      <c r="G931" s="100" t="s">
        <v>589</v>
      </c>
      <c r="H931" s="530"/>
      <c r="I931" s="525"/>
      <c r="K931" s="548"/>
      <c r="L931" s="548"/>
      <c r="M931" s="548"/>
      <c r="N931" s="552"/>
      <c r="Y931" s="551"/>
    </row>
    <row r="932" spans="1:25">
      <c r="A932" s="499">
        <v>45510</v>
      </c>
      <c r="B932" s="499">
        <v>45511</v>
      </c>
      <c r="C932" s="500" t="s">
        <v>173</v>
      </c>
      <c r="D932" s="500" t="s">
        <v>760</v>
      </c>
      <c r="E932" s="501">
        <v>326367840.83999997</v>
      </c>
      <c r="F932" s="502" t="s">
        <v>878</v>
      </c>
      <c r="G932" s="100" t="s">
        <v>88</v>
      </c>
      <c r="H932" s="530"/>
      <c r="I932" s="525"/>
      <c r="K932" s="548"/>
      <c r="L932" s="548"/>
      <c r="M932" s="548"/>
      <c r="N932" s="552"/>
      <c r="Y932" s="551"/>
    </row>
    <row r="933" spans="1:25">
      <c r="A933" s="499">
        <v>45510</v>
      </c>
      <c r="B933" s="499">
        <v>45511</v>
      </c>
      <c r="C933" s="500" t="s">
        <v>173</v>
      </c>
      <c r="D933" s="500" t="s">
        <v>760</v>
      </c>
      <c r="E933" s="501">
        <v>332233996.13</v>
      </c>
      <c r="F933" s="502" t="s">
        <v>878</v>
      </c>
      <c r="G933" s="100" t="s">
        <v>597</v>
      </c>
      <c r="H933" s="530"/>
      <c r="I933" s="525"/>
      <c r="K933" s="548"/>
      <c r="L933" s="548"/>
      <c r="M933" s="548"/>
      <c r="N933" s="552"/>
      <c r="Y933" s="551"/>
    </row>
    <row r="934" spans="1:25">
      <c r="A934" s="499">
        <v>45510</v>
      </c>
      <c r="B934" s="499">
        <v>45511</v>
      </c>
      <c r="C934" s="500" t="s">
        <v>173</v>
      </c>
      <c r="D934" s="500" t="s">
        <v>760</v>
      </c>
      <c r="E934" s="501">
        <v>281180748.07999998</v>
      </c>
      <c r="F934" s="502" t="s">
        <v>878</v>
      </c>
      <c r="G934" s="100" t="s">
        <v>548</v>
      </c>
      <c r="H934" s="530"/>
      <c r="I934" s="525"/>
      <c r="K934" s="548"/>
      <c r="L934" s="548"/>
      <c r="M934" s="548"/>
      <c r="N934" s="552"/>
      <c r="Y934" s="551"/>
    </row>
    <row r="935" spans="1:25">
      <c r="A935" s="499">
        <v>45510</v>
      </c>
      <c r="B935" s="499">
        <v>45511</v>
      </c>
      <c r="C935" s="500" t="s">
        <v>173</v>
      </c>
      <c r="D935" s="500" t="s">
        <v>760</v>
      </c>
      <c r="E935" s="501">
        <v>332139983.91000003</v>
      </c>
      <c r="F935" s="502" t="s">
        <v>878</v>
      </c>
      <c r="G935" s="100" t="s">
        <v>503</v>
      </c>
      <c r="H935" s="530"/>
      <c r="I935" s="525"/>
      <c r="K935" s="548"/>
      <c r="L935" s="548"/>
      <c r="M935" s="548"/>
      <c r="N935" s="552"/>
      <c r="Y935" s="551"/>
    </row>
    <row r="936" spans="1:25">
      <c r="A936" s="499">
        <v>45510</v>
      </c>
      <c r="B936" s="499">
        <v>45511</v>
      </c>
      <c r="C936" s="500" t="s">
        <v>173</v>
      </c>
      <c r="D936" s="500" t="s">
        <v>760</v>
      </c>
      <c r="E936" s="501">
        <v>349261387.88</v>
      </c>
      <c r="F936" s="502" t="s">
        <v>878</v>
      </c>
      <c r="G936" s="100" t="s">
        <v>822</v>
      </c>
      <c r="H936" s="530"/>
      <c r="I936" s="525"/>
      <c r="K936" s="548"/>
      <c r="L936" s="548"/>
      <c r="M936" s="548"/>
      <c r="N936" s="552"/>
      <c r="Y936" s="551"/>
    </row>
    <row r="937" spans="1:25">
      <c r="A937" s="499">
        <v>45510</v>
      </c>
      <c r="B937" s="499">
        <v>45511</v>
      </c>
      <c r="C937" s="500" t="s">
        <v>173</v>
      </c>
      <c r="D937" s="500" t="s">
        <v>760</v>
      </c>
      <c r="E937" s="501">
        <v>320265680.16000003</v>
      </c>
      <c r="F937" s="502" t="s">
        <v>878</v>
      </c>
      <c r="G937" s="100" t="s">
        <v>593</v>
      </c>
      <c r="H937" s="530"/>
      <c r="I937" s="525"/>
      <c r="K937" s="548"/>
      <c r="L937" s="548"/>
      <c r="M937" s="548"/>
      <c r="N937" s="552"/>
      <c r="Y937" s="551"/>
    </row>
    <row r="938" spans="1:25">
      <c r="A938" s="499">
        <v>45510</v>
      </c>
      <c r="B938" s="499">
        <v>45511</v>
      </c>
      <c r="C938" s="500" t="s">
        <v>173</v>
      </c>
      <c r="D938" s="500" t="s">
        <v>760</v>
      </c>
      <c r="E938" s="501">
        <v>315202617.94999999</v>
      </c>
      <c r="F938" s="502" t="s">
        <v>878</v>
      </c>
      <c r="G938" s="100" t="s">
        <v>548</v>
      </c>
      <c r="H938" s="530">
        <v>-1</v>
      </c>
      <c r="I938" s="525"/>
      <c r="K938" s="548"/>
      <c r="L938" s="548"/>
      <c r="M938" s="548"/>
      <c r="N938" s="552"/>
      <c r="Y938" s="551"/>
    </row>
    <row r="939" spans="1:25">
      <c r="A939" s="499">
        <v>45510</v>
      </c>
      <c r="B939" s="499">
        <v>45511</v>
      </c>
      <c r="C939" s="500" t="s">
        <v>173</v>
      </c>
      <c r="D939" s="500" t="s">
        <v>760</v>
      </c>
      <c r="E939" s="501">
        <v>372407647.83999997</v>
      </c>
      <c r="F939" s="502" t="s">
        <v>878</v>
      </c>
      <c r="G939" s="100" t="s">
        <v>92</v>
      </c>
      <c r="H939" s="530"/>
      <c r="I939" s="525"/>
      <c r="K939" s="548"/>
      <c r="L939" s="548"/>
      <c r="M939" s="548"/>
      <c r="N939" s="552"/>
      <c r="Y939" s="551"/>
    </row>
    <row r="940" spans="1:25">
      <c r="A940" s="499">
        <v>45510</v>
      </c>
      <c r="B940" s="499">
        <v>45511</v>
      </c>
      <c r="C940" s="500" t="s">
        <v>173</v>
      </c>
      <c r="D940" s="500" t="s">
        <v>760</v>
      </c>
      <c r="E940" s="501">
        <v>54032099.119999997</v>
      </c>
      <c r="F940" s="502" t="s">
        <v>878</v>
      </c>
      <c r="G940" s="100" t="s">
        <v>575</v>
      </c>
      <c r="H940" s="530"/>
      <c r="I940" s="525"/>
      <c r="K940" s="548"/>
      <c r="L940" s="548"/>
      <c r="M940" s="548"/>
      <c r="N940" s="552"/>
      <c r="Y940" s="551"/>
    </row>
    <row r="941" spans="1:25">
      <c r="A941" s="499">
        <v>45510</v>
      </c>
      <c r="B941" s="499">
        <v>45510</v>
      </c>
      <c r="C941" s="500" t="s">
        <v>173</v>
      </c>
      <c r="D941" s="500" t="s">
        <v>763</v>
      </c>
      <c r="E941" s="501">
        <v>-6229739007.249999</v>
      </c>
      <c r="F941" s="502" t="s">
        <v>878</v>
      </c>
      <c r="G941" s="100" t="s">
        <v>683</v>
      </c>
      <c r="H941" s="530"/>
      <c r="I941" s="525"/>
      <c r="K941" s="548"/>
      <c r="L941" s="548"/>
      <c r="M941" s="548"/>
      <c r="N941" s="552"/>
      <c r="Y941" s="551"/>
    </row>
    <row r="942" spans="1:25">
      <c r="A942" s="499">
        <v>45510</v>
      </c>
      <c r="B942" s="499">
        <v>45510</v>
      </c>
      <c r="C942" s="500" t="s">
        <v>173</v>
      </c>
      <c r="D942" s="500" t="s">
        <v>763</v>
      </c>
      <c r="E942" s="501">
        <v>-23011646.829999998</v>
      </c>
      <c r="F942" s="502" t="s">
        <v>878</v>
      </c>
      <c r="G942" s="100" t="s">
        <v>446</v>
      </c>
      <c r="H942" s="530"/>
      <c r="I942" s="525"/>
      <c r="K942" s="548"/>
      <c r="L942" s="548"/>
      <c r="M942" s="548"/>
      <c r="N942" s="552"/>
      <c r="Y942" s="551"/>
    </row>
    <row r="943" spans="1:25">
      <c r="A943" s="499">
        <v>45510</v>
      </c>
      <c r="B943" s="499">
        <v>45511</v>
      </c>
      <c r="C943" s="500" t="s">
        <v>173</v>
      </c>
      <c r="D943" s="500" t="s">
        <v>763</v>
      </c>
      <c r="E943" s="501">
        <v>6231960283.6700001</v>
      </c>
      <c r="F943" s="502" t="s">
        <v>878</v>
      </c>
      <c r="G943" s="100" t="s">
        <v>683</v>
      </c>
      <c r="H943" s="530"/>
      <c r="I943" s="525"/>
      <c r="K943" s="548"/>
      <c r="L943" s="548"/>
      <c r="M943" s="548"/>
      <c r="N943" s="552"/>
      <c r="Y943" s="551"/>
    </row>
    <row r="944" spans="1:25">
      <c r="A944" s="499">
        <v>45510</v>
      </c>
      <c r="B944" s="499">
        <v>45511</v>
      </c>
      <c r="C944" s="500" t="s">
        <v>173</v>
      </c>
      <c r="D944" s="500" t="s">
        <v>763</v>
      </c>
      <c r="E944" s="501">
        <v>23019851.870000001</v>
      </c>
      <c r="F944" s="502" t="s">
        <v>878</v>
      </c>
      <c r="G944" s="100" t="s">
        <v>446</v>
      </c>
      <c r="H944" s="530"/>
      <c r="I944" s="525"/>
      <c r="K944" s="548"/>
      <c r="L944" s="548"/>
      <c r="M944" s="548"/>
      <c r="N944" s="552"/>
      <c r="Y944" s="551"/>
    </row>
    <row r="945" spans="1:25">
      <c r="A945" s="499">
        <v>45510</v>
      </c>
      <c r="B945" s="499">
        <v>45510</v>
      </c>
      <c r="C945" s="500" t="s">
        <v>173</v>
      </c>
      <c r="D945" s="500" t="s">
        <v>762</v>
      </c>
      <c r="E945" s="501">
        <v>-9985623670.9400005</v>
      </c>
      <c r="F945" s="502" t="s">
        <v>878</v>
      </c>
      <c r="G945" s="100" t="s">
        <v>648</v>
      </c>
      <c r="H945" s="530"/>
      <c r="I945" s="525"/>
      <c r="K945" s="548"/>
      <c r="L945" s="548"/>
      <c r="M945" s="548"/>
      <c r="N945" s="552"/>
      <c r="Y945" s="551"/>
    </row>
    <row r="946" spans="1:25">
      <c r="A946" s="499">
        <v>45510</v>
      </c>
      <c r="B946" s="499">
        <v>45510</v>
      </c>
      <c r="C946" s="500" t="s">
        <v>173</v>
      </c>
      <c r="D946" s="500" t="s">
        <v>762</v>
      </c>
      <c r="E946" s="501">
        <v>-1881178475.3</v>
      </c>
      <c r="F946" s="502" t="s">
        <v>878</v>
      </c>
      <c r="G946" s="100" t="s">
        <v>644</v>
      </c>
      <c r="H946" s="530"/>
      <c r="I946" s="525"/>
      <c r="K946" s="548"/>
      <c r="L946" s="548"/>
      <c r="M946" s="548"/>
      <c r="N946" s="552"/>
      <c r="Y946" s="551"/>
    </row>
    <row r="947" spans="1:25">
      <c r="A947" s="499">
        <v>45510</v>
      </c>
      <c r="B947" s="499">
        <v>45510</v>
      </c>
      <c r="C947" s="500" t="s">
        <v>173</v>
      </c>
      <c r="D947" s="500" t="s">
        <v>762</v>
      </c>
      <c r="E947" s="501">
        <v>-45001683.810000002</v>
      </c>
      <c r="F947" s="502" t="s">
        <v>878</v>
      </c>
      <c r="G947" s="100" t="s">
        <v>686</v>
      </c>
      <c r="H947" s="530"/>
      <c r="I947" s="525"/>
      <c r="K947" s="548"/>
      <c r="L947" s="548"/>
      <c r="M947" s="548"/>
      <c r="N947" s="552"/>
      <c r="Y947" s="551"/>
    </row>
    <row r="948" spans="1:25">
      <c r="A948" s="499">
        <v>45510</v>
      </c>
      <c r="B948" s="499">
        <v>45511</v>
      </c>
      <c r="C948" s="500" t="s">
        <v>173</v>
      </c>
      <c r="D948" s="500" t="s">
        <v>762</v>
      </c>
      <c r="E948" s="501">
        <v>9989143275.8899994</v>
      </c>
      <c r="F948" s="502" t="s">
        <v>878</v>
      </c>
      <c r="G948" s="100" t="s">
        <v>648</v>
      </c>
      <c r="H948" s="530"/>
      <c r="I948" s="525"/>
      <c r="K948" s="548"/>
      <c r="L948" s="548"/>
      <c r="M948" s="548"/>
      <c r="N948" s="552"/>
      <c r="Y948" s="551"/>
    </row>
    <row r="949" spans="1:25">
      <c r="A949" s="499">
        <v>45510</v>
      </c>
      <c r="B949" s="499">
        <v>45511</v>
      </c>
      <c r="C949" s="500" t="s">
        <v>173</v>
      </c>
      <c r="D949" s="500" t="s">
        <v>762</v>
      </c>
      <c r="E949" s="501">
        <v>1881841523.8900001</v>
      </c>
      <c r="F949" s="502" t="s">
        <v>878</v>
      </c>
      <c r="G949" s="100" t="s">
        <v>644</v>
      </c>
      <c r="H949" s="530"/>
      <c r="I949" s="525"/>
      <c r="K949" s="548"/>
      <c r="L949" s="548"/>
      <c r="M949" s="548"/>
      <c r="N949" s="552"/>
      <c r="Y949" s="551"/>
    </row>
    <row r="950" spans="1:25">
      <c r="A950" s="499">
        <v>45510</v>
      </c>
      <c r="B950" s="499">
        <v>45511</v>
      </c>
      <c r="C950" s="500" t="s">
        <v>173</v>
      </c>
      <c r="D950" s="500" t="s">
        <v>762</v>
      </c>
      <c r="E950" s="501">
        <v>45017484.07</v>
      </c>
      <c r="F950" s="502" t="s">
        <v>878</v>
      </c>
      <c r="G950" s="100" t="s">
        <v>686</v>
      </c>
      <c r="H950" s="530"/>
      <c r="I950" s="525"/>
      <c r="K950" s="548"/>
      <c r="L950" s="548"/>
      <c r="M950" s="548"/>
      <c r="N950" s="552"/>
      <c r="Y950" s="551"/>
    </row>
    <row r="951" spans="1:25">
      <c r="A951" s="499">
        <v>45511</v>
      </c>
      <c r="B951" s="499">
        <v>45511</v>
      </c>
      <c r="C951" s="500" t="s">
        <v>173</v>
      </c>
      <c r="D951" s="500" t="s">
        <v>762</v>
      </c>
      <c r="E951" s="501">
        <v>-788475077.32000005</v>
      </c>
      <c r="F951" s="502" t="s">
        <v>878</v>
      </c>
      <c r="G951" s="100" t="s">
        <v>678</v>
      </c>
      <c r="H951" s="530"/>
      <c r="I951" s="525"/>
      <c r="K951" s="548"/>
      <c r="L951" s="548"/>
      <c r="M951" s="548"/>
      <c r="N951" s="552"/>
      <c r="Y951" s="551"/>
    </row>
    <row r="952" spans="1:25">
      <c r="A952" s="499">
        <v>45511</v>
      </c>
      <c r="B952" s="499">
        <v>45511</v>
      </c>
      <c r="C952" s="500" t="s">
        <v>173</v>
      </c>
      <c r="D952" s="500" t="s">
        <v>762</v>
      </c>
      <c r="E952" s="501">
        <v>-1032043252.4</v>
      </c>
      <c r="F952" s="502" t="s">
        <v>878</v>
      </c>
      <c r="G952" s="100" t="s">
        <v>588</v>
      </c>
      <c r="H952" s="530"/>
      <c r="I952" s="525"/>
      <c r="K952" s="548"/>
      <c r="L952" s="548"/>
      <c r="M952" s="548"/>
      <c r="N952" s="552"/>
      <c r="Y952" s="551"/>
    </row>
    <row r="953" spans="1:25">
      <c r="A953" s="499">
        <v>45511</v>
      </c>
      <c r="B953" s="499">
        <v>45511</v>
      </c>
      <c r="C953" s="500" t="s">
        <v>173</v>
      </c>
      <c r="D953" s="500" t="s">
        <v>762</v>
      </c>
      <c r="E953" s="501">
        <v>-1044122081.1799999</v>
      </c>
      <c r="F953" s="502" t="s">
        <v>878</v>
      </c>
      <c r="G953" s="100" t="s">
        <v>600</v>
      </c>
      <c r="H953" s="530"/>
      <c r="I953" s="525"/>
      <c r="K953" s="548"/>
      <c r="L953" s="548"/>
      <c r="M953" s="548"/>
      <c r="N953" s="552"/>
      <c r="Y953" s="551"/>
    </row>
    <row r="954" spans="1:25">
      <c r="A954" s="499">
        <v>45511</v>
      </c>
      <c r="B954" s="499">
        <v>45511</v>
      </c>
      <c r="C954" s="500" t="s">
        <v>173</v>
      </c>
      <c r="D954" s="500" t="s">
        <v>762</v>
      </c>
      <c r="E954" s="501">
        <v>-1052000425.01</v>
      </c>
      <c r="F954" s="502" t="s">
        <v>878</v>
      </c>
      <c r="G954" s="100" t="s">
        <v>794</v>
      </c>
      <c r="H954" s="530"/>
      <c r="I954" s="525"/>
      <c r="K954" s="548"/>
      <c r="L954" s="548"/>
      <c r="M954" s="548"/>
      <c r="N954" s="552"/>
      <c r="Y954" s="551"/>
    </row>
    <row r="955" spans="1:25">
      <c r="A955" s="499">
        <v>45511</v>
      </c>
      <c r="B955" s="499">
        <v>45511</v>
      </c>
      <c r="C955" s="500" t="s">
        <v>173</v>
      </c>
      <c r="D955" s="500" t="s">
        <v>762</v>
      </c>
      <c r="E955" s="501">
        <v>-1153755731.54</v>
      </c>
      <c r="F955" s="502" t="s">
        <v>878</v>
      </c>
      <c r="G955" s="100" t="s">
        <v>547</v>
      </c>
      <c r="H955" s="530"/>
      <c r="I955" s="525"/>
      <c r="K955" s="548"/>
      <c r="L955" s="548"/>
      <c r="M955" s="548"/>
      <c r="N955" s="552"/>
      <c r="Y955" s="551"/>
    </row>
    <row r="956" spans="1:25">
      <c r="A956" s="499">
        <v>45511</v>
      </c>
      <c r="B956" s="499">
        <v>45511</v>
      </c>
      <c r="C956" s="500" t="s">
        <v>173</v>
      </c>
      <c r="D956" s="500" t="s">
        <v>762</v>
      </c>
      <c r="E956" s="501">
        <v>-1198245685.8399999</v>
      </c>
      <c r="F956" s="502" t="s">
        <v>878</v>
      </c>
      <c r="G956" s="100" t="s">
        <v>686</v>
      </c>
      <c r="H956" s="530"/>
      <c r="I956" s="525"/>
      <c r="K956" s="548"/>
      <c r="L956" s="548"/>
      <c r="M956" s="548"/>
      <c r="N956" s="552"/>
      <c r="Y956" s="551"/>
    </row>
    <row r="957" spans="1:25">
      <c r="A957" s="499">
        <v>45511</v>
      </c>
      <c r="B957" s="499">
        <v>45511</v>
      </c>
      <c r="C957" s="500" t="s">
        <v>173</v>
      </c>
      <c r="D957" s="500" t="s">
        <v>762</v>
      </c>
      <c r="E957" s="501">
        <v>-1220142661.9200001</v>
      </c>
      <c r="F957" s="502" t="s">
        <v>878</v>
      </c>
      <c r="G957" s="100" t="s">
        <v>600</v>
      </c>
      <c r="H957" s="530"/>
      <c r="I957" s="525"/>
      <c r="K957" s="548"/>
      <c r="L957" s="548"/>
      <c r="M957" s="548"/>
      <c r="N957" s="552"/>
      <c r="Y957" s="551"/>
    </row>
    <row r="958" spans="1:25">
      <c r="A958" s="499">
        <v>45511</v>
      </c>
      <c r="B958" s="499">
        <v>45511</v>
      </c>
      <c r="C958" s="500" t="s">
        <v>173</v>
      </c>
      <c r="D958" s="500" t="s">
        <v>762</v>
      </c>
      <c r="E958" s="501">
        <v>-1287835803.54</v>
      </c>
      <c r="F958" s="502" t="s">
        <v>878</v>
      </c>
      <c r="G958" s="100" t="s">
        <v>677</v>
      </c>
      <c r="H958" s="530"/>
      <c r="I958" s="525"/>
      <c r="K958" s="548"/>
      <c r="L958" s="548"/>
      <c r="M958" s="548"/>
      <c r="N958" s="552"/>
      <c r="Y958" s="551"/>
    </row>
    <row r="959" spans="1:25">
      <c r="A959" s="499">
        <v>45511</v>
      </c>
      <c r="B959" s="499">
        <v>45511</v>
      </c>
      <c r="C959" s="500" t="s">
        <v>173</v>
      </c>
      <c r="D959" s="500" t="s">
        <v>762</v>
      </c>
      <c r="E959" s="501">
        <v>-1316860927.2</v>
      </c>
      <c r="F959" s="502" t="s">
        <v>878</v>
      </c>
      <c r="G959" s="100" t="s">
        <v>658</v>
      </c>
      <c r="H959" s="530"/>
      <c r="I959" s="525"/>
      <c r="K959" s="548"/>
      <c r="L959" s="548"/>
      <c r="M959" s="548"/>
      <c r="N959" s="552"/>
      <c r="Y959" s="551"/>
    </row>
    <row r="960" spans="1:25">
      <c r="A960" s="499">
        <v>45511</v>
      </c>
      <c r="B960" s="499">
        <v>45511</v>
      </c>
      <c r="C960" s="500" t="s">
        <v>173</v>
      </c>
      <c r="D960" s="500" t="s">
        <v>762</v>
      </c>
      <c r="E960" s="501">
        <v>-1773274491.5999999</v>
      </c>
      <c r="F960" s="502" t="s">
        <v>878</v>
      </c>
      <c r="G960" s="100" t="s">
        <v>633</v>
      </c>
      <c r="H960" s="530"/>
      <c r="I960" s="525"/>
      <c r="K960" s="548"/>
      <c r="L960" s="548"/>
      <c r="M960" s="548"/>
      <c r="N960" s="552"/>
      <c r="Y960" s="551"/>
    </row>
    <row r="961" spans="1:25">
      <c r="A961" s="499">
        <v>45511</v>
      </c>
      <c r="B961" s="499">
        <v>45511</v>
      </c>
      <c r="C961" s="500" t="s">
        <v>173</v>
      </c>
      <c r="D961" s="500" t="s">
        <v>762</v>
      </c>
      <c r="E961" s="501">
        <v>-51023449.799999997</v>
      </c>
      <c r="F961" s="502" t="s">
        <v>878</v>
      </c>
      <c r="G961" s="100" t="s">
        <v>590</v>
      </c>
      <c r="H961" s="530"/>
      <c r="I961" s="525"/>
      <c r="K961" s="548"/>
      <c r="L961" s="548"/>
      <c r="M961" s="548"/>
      <c r="N961" s="552"/>
      <c r="Y961" s="551"/>
    </row>
    <row r="962" spans="1:25">
      <c r="A962" s="499">
        <v>45511</v>
      </c>
      <c r="B962" s="499">
        <v>45512</v>
      </c>
      <c r="C962" s="500" t="s">
        <v>173</v>
      </c>
      <c r="D962" s="500" t="s">
        <v>762</v>
      </c>
      <c r="E962" s="501">
        <v>788755141.08000004</v>
      </c>
      <c r="F962" s="502" t="s">
        <v>878</v>
      </c>
      <c r="G962" s="100" t="s">
        <v>678</v>
      </c>
      <c r="H962" s="530"/>
      <c r="I962" s="525"/>
      <c r="K962" s="548"/>
      <c r="L962" s="548"/>
      <c r="M962" s="548"/>
      <c r="N962" s="552"/>
      <c r="Y962" s="551"/>
    </row>
    <row r="963" spans="1:25">
      <c r="A963" s="499">
        <v>45511</v>
      </c>
      <c r="B963" s="499">
        <v>45512</v>
      </c>
      <c r="C963" s="500" t="s">
        <v>173</v>
      </c>
      <c r="D963" s="500" t="s">
        <v>762</v>
      </c>
      <c r="E963" s="501">
        <v>1032409830.78</v>
      </c>
      <c r="F963" s="502" t="s">
        <v>878</v>
      </c>
      <c r="G963" s="100" t="s">
        <v>588</v>
      </c>
      <c r="H963" s="530"/>
      <c r="I963" s="525"/>
      <c r="K963" s="548"/>
      <c r="L963" s="548"/>
      <c r="M963" s="548"/>
      <c r="N963" s="552"/>
      <c r="Y963" s="551"/>
    </row>
    <row r="964" spans="1:25">
      <c r="A964" s="499">
        <v>45511</v>
      </c>
      <c r="B964" s="499">
        <v>45512</v>
      </c>
      <c r="C964" s="500" t="s">
        <v>173</v>
      </c>
      <c r="D964" s="500" t="s">
        <v>762</v>
      </c>
      <c r="E964" s="501">
        <v>1044492949.92</v>
      </c>
      <c r="F964" s="502" t="s">
        <v>878</v>
      </c>
      <c r="G964" s="100" t="s">
        <v>600</v>
      </c>
      <c r="H964" s="530"/>
      <c r="I964" s="525"/>
      <c r="K964" s="548"/>
      <c r="L964" s="548"/>
      <c r="M964" s="548"/>
      <c r="N964" s="552"/>
      <c r="Y964" s="551"/>
    </row>
    <row r="965" spans="1:25">
      <c r="A965" s="499">
        <v>45511</v>
      </c>
      <c r="B965" s="499">
        <v>45512</v>
      </c>
      <c r="C965" s="500" t="s">
        <v>173</v>
      </c>
      <c r="D965" s="500" t="s">
        <v>762</v>
      </c>
      <c r="E965" s="501">
        <v>1052374092.11</v>
      </c>
      <c r="F965" s="502" t="s">
        <v>878</v>
      </c>
      <c r="G965" s="100" t="s">
        <v>794</v>
      </c>
      <c r="H965" s="530"/>
      <c r="I965" s="525"/>
      <c r="K965" s="548"/>
      <c r="L965" s="548"/>
      <c r="M965" s="548"/>
      <c r="N965" s="552"/>
      <c r="Y965" s="551"/>
    </row>
    <row r="966" spans="1:25">
      <c r="A966" s="499">
        <v>45511</v>
      </c>
      <c r="B966" s="499">
        <v>45512</v>
      </c>
      <c r="C966" s="500" t="s">
        <v>173</v>
      </c>
      <c r="D966" s="500" t="s">
        <v>762</v>
      </c>
      <c r="E966" s="501">
        <v>1154165541.79</v>
      </c>
      <c r="F966" s="502" t="s">
        <v>878</v>
      </c>
      <c r="G966" s="100" t="s">
        <v>547</v>
      </c>
      <c r="H966" s="530"/>
      <c r="I966" s="525"/>
      <c r="K966" s="548"/>
      <c r="L966" s="548"/>
      <c r="M966" s="548"/>
      <c r="N966" s="552"/>
      <c r="Y966" s="551"/>
    </row>
    <row r="967" spans="1:25">
      <c r="A967" s="499">
        <v>45511</v>
      </c>
      <c r="B967" s="499">
        <v>45512</v>
      </c>
      <c r="C967" s="500" t="s">
        <v>173</v>
      </c>
      <c r="D967" s="500" t="s">
        <v>762</v>
      </c>
      <c r="E967" s="501">
        <v>1198671298.78</v>
      </c>
      <c r="F967" s="502" t="s">
        <v>878</v>
      </c>
      <c r="G967" s="100" t="s">
        <v>686</v>
      </c>
      <c r="H967" s="530"/>
      <c r="I967" s="525"/>
      <c r="K967" s="548"/>
      <c r="L967" s="548"/>
      <c r="M967" s="548"/>
      <c r="N967" s="552"/>
      <c r="Y967" s="551"/>
    </row>
    <row r="968" spans="1:25">
      <c r="A968" s="499">
        <v>45511</v>
      </c>
      <c r="B968" s="499">
        <v>45512</v>
      </c>
      <c r="C968" s="500" t="s">
        <v>173</v>
      </c>
      <c r="D968" s="500" t="s">
        <v>762</v>
      </c>
      <c r="E968" s="501">
        <v>1220576052.5899999</v>
      </c>
      <c r="F968" s="502" t="s">
        <v>878</v>
      </c>
      <c r="G968" s="100" t="s">
        <v>600</v>
      </c>
      <c r="H968" s="530"/>
      <c r="I968" s="525"/>
      <c r="K968" s="548"/>
      <c r="L968" s="548"/>
      <c r="M968" s="548"/>
      <c r="N968" s="552"/>
      <c r="Y968" s="551"/>
    </row>
    <row r="969" spans="1:25">
      <c r="A969" s="499">
        <v>45511</v>
      </c>
      <c r="B969" s="499">
        <v>45512</v>
      </c>
      <c r="C969" s="500" t="s">
        <v>173</v>
      </c>
      <c r="D969" s="500" t="s">
        <v>762</v>
      </c>
      <c r="E969" s="501">
        <v>1288293238.5999999</v>
      </c>
      <c r="F969" s="502" t="s">
        <v>878</v>
      </c>
      <c r="G969" s="100" t="s">
        <v>677</v>
      </c>
      <c r="H969" s="530"/>
      <c r="I969" s="525"/>
      <c r="K969" s="548"/>
      <c r="L969" s="548"/>
      <c r="M969" s="548"/>
      <c r="N969" s="552"/>
      <c r="Y969" s="551"/>
    </row>
    <row r="970" spans="1:25">
      <c r="A970" s="499">
        <v>45511</v>
      </c>
      <c r="B970" s="499">
        <v>45512</v>
      </c>
      <c r="C970" s="500" t="s">
        <v>173</v>
      </c>
      <c r="D970" s="500" t="s">
        <v>762</v>
      </c>
      <c r="E970" s="501">
        <v>1317328671.8800001</v>
      </c>
      <c r="F970" s="502" t="s">
        <v>878</v>
      </c>
      <c r="G970" s="100" t="s">
        <v>658</v>
      </c>
      <c r="H970" s="530"/>
      <c r="I970" s="525"/>
      <c r="K970" s="548"/>
      <c r="L970" s="548"/>
      <c r="M970" s="548"/>
      <c r="N970" s="552"/>
      <c r="Y970" s="551"/>
    </row>
    <row r="971" spans="1:25">
      <c r="A971" s="499">
        <v>45511</v>
      </c>
      <c r="B971" s="499">
        <v>45512</v>
      </c>
      <c r="C971" s="500" t="s">
        <v>173</v>
      </c>
      <c r="D971" s="500" t="s">
        <v>762</v>
      </c>
      <c r="E971" s="501">
        <v>1773904348.04</v>
      </c>
      <c r="F971" s="502" t="s">
        <v>878</v>
      </c>
      <c r="G971" s="100" t="s">
        <v>633</v>
      </c>
      <c r="H971" s="530"/>
      <c r="I971" s="525"/>
      <c r="K971" s="548"/>
      <c r="L971" s="548"/>
      <c r="M971" s="548"/>
      <c r="N971" s="552"/>
      <c r="Y971" s="551"/>
    </row>
    <row r="972" spans="1:25">
      <c r="A972" s="499">
        <v>45511</v>
      </c>
      <c r="B972" s="499">
        <v>45512</v>
      </c>
      <c r="C972" s="500" t="s">
        <v>173</v>
      </c>
      <c r="D972" s="500" t="s">
        <v>762</v>
      </c>
      <c r="E972" s="501">
        <v>51041573.159999996</v>
      </c>
      <c r="F972" s="502" t="s">
        <v>878</v>
      </c>
      <c r="G972" s="100" t="s">
        <v>590</v>
      </c>
      <c r="H972" s="530"/>
      <c r="I972" s="525"/>
      <c r="K972" s="548"/>
      <c r="L972" s="548"/>
      <c r="M972" s="548"/>
      <c r="N972" s="552"/>
      <c r="Y972" s="551"/>
    </row>
    <row r="973" spans="1:25">
      <c r="A973" s="499">
        <v>45511</v>
      </c>
      <c r="B973" s="499">
        <v>45511</v>
      </c>
      <c r="C973" s="500" t="s">
        <v>173</v>
      </c>
      <c r="D973" s="500" t="s">
        <v>761</v>
      </c>
      <c r="E973" s="501">
        <v>-1012164891.74</v>
      </c>
      <c r="F973" s="502" t="s">
        <v>878</v>
      </c>
      <c r="G973" s="100" t="s">
        <v>139</v>
      </c>
      <c r="H973" s="530"/>
      <c r="I973" s="525"/>
      <c r="K973" s="548"/>
      <c r="L973" s="548"/>
      <c r="M973" s="548"/>
      <c r="N973" s="552"/>
      <c r="Y973" s="551"/>
    </row>
    <row r="974" spans="1:25">
      <c r="A974" s="499">
        <v>45511</v>
      </c>
      <c r="B974" s="499">
        <v>45511</v>
      </c>
      <c r="C974" s="500" t="s">
        <v>173</v>
      </c>
      <c r="D974" s="500" t="s">
        <v>761</v>
      </c>
      <c r="E974" s="501">
        <v>-1531817676.48</v>
      </c>
      <c r="F974" s="502" t="s">
        <v>878</v>
      </c>
      <c r="G974" s="100" t="s">
        <v>526</v>
      </c>
      <c r="H974" s="530"/>
      <c r="I974" s="525"/>
      <c r="K974" s="548"/>
      <c r="L974" s="548"/>
      <c r="M974" s="548"/>
      <c r="N974" s="552"/>
      <c r="Y974" s="551"/>
    </row>
    <row r="975" spans="1:25">
      <c r="A975" s="499">
        <v>45511</v>
      </c>
      <c r="B975" s="499">
        <v>45511</v>
      </c>
      <c r="C975" s="500" t="s">
        <v>173</v>
      </c>
      <c r="D975" s="500" t="s">
        <v>761</v>
      </c>
      <c r="E975" s="501">
        <v>-460036154.16000003</v>
      </c>
      <c r="F975" s="502" t="s">
        <v>878</v>
      </c>
      <c r="G975" s="100" t="s">
        <v>422</v>
      </c>
      <c r="H975" s="530"/>
      <c r="I975" s="525"/>
      <c r="K975" s="548"/>
      <c r="L975" s="548"/>
      <c r="M975" s="548"/>
      <c r="N975" s="552"/>
      <c r="Y975" s="551"/>
    </row>
    <row r="976" spans="1:25">
      <c r="A976" s="499">
        <v>45511</v>
      </c>
      <c r="B976" s="499">
        <v>45511</v>
      </c>
      <c r="C976" s="500" t="s">
        <v>173</v>
      </c>
      <c r="D976" s="500" t="s">
        <v>761</v>
      </c>
      <c r="E976" s="501">
        <v>-13008442.460000001</v>
      </c>
      <c r="F976" s="502" t="s">
        <v>878</v>
      </c>
      <c r="G976" s="100" t="s">
        <v>476</v>
      </c>
      <c r="H976" s="530"/>
      <c r="I976" s="525"/>
      <c r="K976" s="548"/>
      <c r="L976" s="548"/>
      <c r="M976" s="548"/>
      <c r="N976" s="552"/>
      <c r="Y976" s="551"/>
    </row>
    <row r="977" spans="1:25">
      <c r="A977" s="499">
        <v>45511</v>
      </c>
      <c r="B977" s="499">
        <v>45512</v>
      </c>
      <c r="C977" s="500" t="s">
        <v>173</v>
      </c>
      <c r="D977" s="500" t="s">
        <v>761</v>
      </c>
      <c r="E977" s="501">
        <v>1012526892.79</v>
      </c>
      <c r="F977" s="502" t="s">
        <v>878</v>
      </c>
      <c r="G977" s="100" t="s">
        <v>139</v>
      </c>
      <c r="H977" s="530"/>
      <c r="I977" s="525"/>
      <c r="K977" s="548"/>
      <c r="L977" s="548"/>
      <c r="M977" s="548"/>
      <c r="N977" s="552"/>
      <c r="Y977" s="551"/>
    </row>
    <row r="978" spans="1:25">
      <c r="A978" s="499">
        <v>45511</v>
      </c>
      <c r="B978" s="499">
        <v>45518</v>
      </c>
      <c r="C978" s="500" t="s">
        <v>173</v>
      </c>
      <c r="D978" s="500" t="s">
        <v>761</v>
      </c>
      <c r="E978" s="501">
        <v>1535702466.55</v>
      </c>
      <c r="F978" s="502" t="s">
        <v>878</v>
      </c>
      <c r="G978" s="100" t="s">
        <v>526</v>
      </c>
      <c r="H978" s="530"/>
      <c r="I978" s="525"/>
      <c r="K978" s="548"/>
      <c r="L978" s="548"/>
      <c r="M978" s="548"/>
      <c r="N978" s="552"/>
      <c r="Y978" s="551"/>
    </row>
    <row r="979" spans="1:25">
      <c r="A979" s="499">
        <v>45511</v>
      </c>
      <c r="B979" s="499">
        <v>45518</v>
      </c>
      <c r="C979" s="500" t="s">
        <v>173</v>
      </c>
      <c r="D979" s="500" t="s">
        <v>761</v>
      </c>
      <c r="E979" s="501">
        <v>461202836.00999999</v>
      </c>
      <c r="F979" s="502" t="s">
        <v>878</v>
      </c>
      <c r="G979" s="100" t="s">
        <v>422</v>
      </c>
      <c r="H979" s="530">
        <v>-1</v>
      </c>
      <c r="I979" s="525"/>
      <c r="K979" s="548"/>
      <c r="L979" s="548"/>
      <c r="M979" s="548"/>
      <c r="N979" s="552"/>
      <c r="Y979" s="551"/>
    </row>
    <row r="980" spans="1:25">
      <c r="A980" s="499">
        <v>45511</v>
      </c>
      <c r="B980" s="499">
        <v>45518</v>
      </c>
      <c r="C980" s="500" t="s">
        <v>173</v>
      </c>
      <c r="D980" s="500" t="s">
        <v>761</v>
      </c>
      <c r="E980" s="501">
        <v>13041432.720000001</v>
      </c>
      <c r="F980" s="502" t="s">
        <v>878</v>
      </c>
      <c r="G980" s="100" t="s">
        <v>476</v>
      </c>
      <c r="H980" s="530"/>
      <c r="I980" s="525"/>
      <c r="K980" s="548"/>
      <c r="L980" s="548"/>
      <c r="M980" s="548"/>
      <c r="N980" s="552"/>
      <c r="Y980" s="551"/>
    </row>
    <row r="981" spans="1:25">
      <c r="A981" s="499">
        <v>45511</v>
      </c>
      <c r="B981" s="499">
        <v>45511</v>
      </c>
      <c r="C981" s="500" t="s">
        <v>173</v>
      </c>
      <c r="D981" s="500" t="s">
        <v>759</v>
      </c>
      <c r="E981" s="501">
        <v>-4973036124.3699999</v>
      </c>
      <c r="F981" s="502" t="s">
        <v>878</v>
      </c>
      <c r="G981" s="100" t="s">
        <v>645</v>
      </c>
      <c r="H981" s="484"/>
      <c r="I981" s="525"/>
      <c r="K981" s="548"/>
      <c r="L981" s="548"/>
      <c r="M981" s="548"/>
      <c r="N981" s="552"/>
      <c r="Y981" s="551"/>
    </row>
    <row r="982" spans="1:25">
      <c r="A982" s="499">
        <v>45511</v>
      </c>
      <c r="B982" s="499">
        <v>45511</v>
      </c>
      <c r="C982" s="500" t="s">
        <v>173</v>
      </c>
      <c r="D982" s="500" t="s">
        <v>759</v>
      </c>
      <c r="E982" s="501">
        <v>-1994060654.6700001</v>
      </c>
      <c r="F982" s="502" t="s">
        <v>878</v>
      </c>
      <c r="G982" s="100" t="s">
        <v>503</v>
      </c>
      <c r="H982" s="484"/>
      <c r="I982" s="525"/>
      <c r="K982" s="548"/>
      <c r="L982" s="548"/>
      <c r="M982" s="548"/>
      <c r="N982" s="552"/>
      <c r="Y982" s="551"/>
    </row>
    <row r="983" spans="1:25">
      <c r="A983" s="499">
        <v>45511</v>
      </c>
      <c r="B983" s="499">
        <v>45511</v>
      </c>
      <c r="C983" s="500" t="s">
        <v>173</v>
      </c>
      <c r="D983" s="500" t="s">
        <v>759</v>
      </c>
      <c r="E983" s="501">
        <v>-939316844.88999999</v>
      </c>
      <c r="F983" s="502" t="s">
        <v>878</v>
      </c>
      <c r="G983" s="100" t="s">
        <v>494</v>
      </c>
      <c r="H983" s="484"/>
      <c r="I983" s="525"/>
      <c r="K983" s="548"/>
      <c r="L983" s="548"/>
      <c r="M983" s="548"/>
      <c r="N983" s="552"/>
      <c r="Y983" s="551"/>
    </row>
    <row r="984" spans="1:25">
      <c r="A984" s="499">
        <v>45511</v>
      </c>
      <c r="B984" s="499">
        <v>45511</v>
      </c>
      <c r="C984" s="500" t="s">
        <v>173</v>
      </c>
      <c r="D984" s="500" t="s">
        <v>759</v>
      </c>
      <c r="E984" s="501">
        <v>-850066806.60000002</v>
      </c>
      <c r="F984" s="502" t="s">
        <v>878</v>
      </c>
      <c r="G984" s="100" t="s">
        <v>422</v>
      </c>
      <c r="H984" s="484"/>
      <c r="I984" s="525"/>
      <c r="K984" s="548"/>
      <c r="L984" s="548"/>
      <c r="M984" s="548"/>
      <c r="N984" s="552"/>
      <c r="Y984" s="551"/>
    </row>
    <row r="985" spans="1:25">
      <c r="A985" s="499">
        <v>45511</v>
      </c>
      <c r="B985" s="499">
        <v>45511</v>
      </c>
      <c r="C985" s="500" t="s">
        <v>173</v>
      </c>
      <c r="D985" s="500" t="s">
        <v>759</v>
      </c>
      <c r="E985" s="501">
        <v>-587269902.60000002</v>
      </c>
      <c r="F985" s="502" t="s">
        <v>878</v>
      </c>
      <c r="G985" s="100" t="s">
        <v>591</v>
      </c>
      <c r="H985" s="484"/>
      <c r="I985" s="525"/>
      <c r="K985" s="548"/>
      <c r="L985" s="548"/>
      <c r="M985" s="548"/>
      <c r="N985" s="552"/>
      <c r="Y985" s="551"/>
    </row>
    <row r="986" spans="1:25">
      <c r="A986" s="499">
        <v>45511</v>
      </c>
      <c r="B986" s="499">
        <v>45511</v>
      </c>
      <c r="C986" s="500" t="s">
        <v>173</v>
      </c>
      <c r="D986" s="500" t="s">
        <v>759</v>
      </c>
      <c r="E986" s="501">
        <v>-10006028.9</v>
      </c>
      <c r="F986" s="502" t="s">
        <v>878</v>
      </c>
      <c r="G986" s="100" t="s">
        <v>679</v>
      </c>
      <c r="H986" s="484"/>
      <c r="I986" s="525"/>
      <c r="K986" s="548"/>
      <c r="L986" s="548"/>
      <c r="M986" s="548"/>
      <c r="N986" s="552"/>
      <c r="Y986" s="551"/>
    </row>
    <row r="987" spans="1:25">
      <c r="A987" s="499">
        <v>45511</v>
      </c>
      <c r="B987" s="499">
        <v>45511</v>
      </c>
      <c r="C987" s="500" t="s">
        <v>173</v>
      </c>
      <c r="D987" s="500" t="s">
        <v>759</v>
      </c>
      <c r="E987" s="501">
        <v>-32019332.16</v>
      </c>
      <c r="F987" s="502" t="s">
        <v>878</v>
      </c>
      <c r="G987" s="100" t="s">
        <v>801</v>
      </c>
      <c r="H987" s="484"/>
      <c r="I987" s="525"/>
      <c r="K987" s="548"/>
      <c r="L987" s="548"/>
      <c r="M987" s="548"/>
      <c r="N987" s="552"/>
      <c r="Y987" s="551"/>
    </row>
    <row r="988" spans="1:25">
      <c r="A988" s="499">
        <v>45511</v>
      </c>
      <c r="B988" s="499">
        <v>45518</v>
      </c>
      <c r="C988" s="500" t="s">
        <v>173</v>
      </c>
      <c r="D988" s="500" t="s">
        <v>759</v>
      </c>
      <c r="E988" s="501">
        <v>4985638558.8100004</v>
      </c>
      <c r="F988" s="502" t="s">
        <v>878</v>
      </c>
      <c r="G988" s="100" t="s">
        <v>645</v>
      </c>
      <c r="H988" s="530"/>
      <c r="I988" s="525"/>
      <c r="K988" s="548"/>
      <c r="L988" s="548"/>
      <c r="M988" s="548"/>
      <c r="N988" s="552"/>
      <c r="Y988" s="551"/>
    </row>
    <row r="989" spans="1:25">
      <c r="A989" s="499">
        <v>45511</v>
      </c>
      <c r="B989" s="499">
        <v>45518</v>
      </c>
      <c r="C989" s="500" t="s">
        <v>173</v>
      </c>
      <c r="D989" s="500" t="s">
        <v>759</v>
      </c>
      <c r="E989" s="501">
        <v>1999113909.47</v>
      </c>
      <c r="F989" s="502" t="s">
        <v>878</v>
      </c>
      <c r="G989" s="100" t="s">
        <v>503</v>
      </c>
      <c r="H989" s="530"/>
      <c r="I989" s="525"/>
      <c r="K989" s="548"/>
      <c r="L989" s="548"/>
      <c r="M989" s="548"/>
      <c r="N989" s="552"/>
      <c r="Y989" s="551"/>
    </row>
    <row r="990" spans="1:25">
      <c r="A990" s="499">
        <v>45511</v>
      </c>
      <c r="B990" s="499">
        <v>45512</v>
      </c>
      <c r="C990" s="500" t="s">
        <v>173</v>
      </c>
      <c r="D990" s="500" t="s">
        <v>759</v>
      </c>
      <c r="E990" s="501">
        <v>939651765.24000001</v>
      </c>
      <c r="F990" s="502" t="s">
        <v>878</v>
      </c>
      <c r="G990" s="100" t="s">
        <v>494</v>
      </c>
      <c r="H990" s="530"/>
      <c r="I990" s="525"/>
      <c r="K990" s="548"/>
      <c r="L990" s="548"/>
      <c r="M990" s="548"/>
      <c r="N990" s="552"/>
      <c r="Y990" s="551"/>
    </row>
    <row r="991" spans="1:25">
      <c r="A991" s="499">
        <v>45511</v>
      </c>
      <c r="B991" s="499">
        <v>45512</v>
      </c>
      <c r="C991" s="500" t="s">
        <v>173</v>
      </c>
      <c r="D991" s="500" t="s">
        <v>759</v>
      </c>
      <c r="E991" s="501">
        <v>850369904.19000006</v>
      </c>
      <c r="F991" s="502" t="s">
        <v>878</v>
      </c>
      <c r="G991" s="100" t="s">
        <v>422</v>
      </c>
      <c r="H991" s="530"/>
      <c r="I991" s="525"/>
      <c r="K991" s="548"/>
      <c r="L991" s="548"/>
      <c r="M991" s="548"/>
      <c r="N991" s="552"/>
      <c r="Y991" s="551"/>
    </row>
    <row r="992" spans="1:25">
      <c r="A992" s="499">
        <v>45511</v>
      </c>
      <c r="B992" s="499">
        <v>45512</v>
      </c>
      <c r="C992" s="500" t="s">
        <v>173</v>
      </c>
      <c r="D992" s="500" t="s">
        <v>759</v>
      </c>
      <c r="E992" s="501">
        <v>587479298.01999998</v>
      </c>
      <c r="F992" s="502" t="s">
        <v>878</v>
      </c>
      <c r="G992" s="100" t="s">
        <v>591</v>
      </c>
      <c r="H992" s="530"/>
      <c r="I992" s="525"/>
      <c r="K992" s="548"/>
      <c r="L992" s="548"/>
      <c r="M992" s="548"/>
      <c r="N992" s="552"/>
      <c r="Y992" s="551"/>
    </row>
    <row r="993" spans="1:25">
      <c r="A993" s="499">
        <v>45511</v>
      </c>
      <c r="B993" s="499">
        <v>45512</v>
      </c>
      <c r="C993" s="500" t="s">
        <v>173</v>
      </c>
      <c r="D993" s="500" t="s">
        <v>759</v>
      </c>
      <c r="E993" s="501">
        <v>10009583.01</v>
      </c>
      <c r="F993" s="502" t="s">
        <v>878</v>
      </c>
      <c r="G993" s="100" t="s">
        <v>679</v>
      </c>
      <c r="H993" s="530"/>
      <c r="I993" s="525"/>
      <c r="K993" s="548"/>
      <c r="L993" s="548"/>
      <c r="M993" s="548"/>
      <c r="N993" s="552"/>
      <c r="Y993" s="551"/>
    </row>
    <row r="994" spans="1:25">
      <c r="A994" s="499">
        <v>45511</v>
      </c>
      <c r="B994" s="499">
        <v>45518</v>
      </c>
      <c r="C994" s="500" t="s">
        <v>173</v>
      </c>
      <c r="D994" s="500" t="s">
        <v>759</v>
      </c>
      <c r="E994" s="501">
        <v>32099984.129999999</v>
      </c>
      <c r="F994" s="502" t="s">
        <v>878</v>
      </c>
      <c r="G994" s="100" t="s">
        <v>801</v>
      </c>
      <c r="H994" s="530"/>
      <c r="I994" s="525"/>
      <c r="K994" s="548"/>
      <c r="L994" s="548"/>
      <c r="M994" s="548"/>
      <c r="N994" s="552"/>
      <c r="Y994" s="551"/>
    </row>
    <row r="995" spans="1:25">
      <c r="A995" s="499">
        <v>45511</v>
      </c>
      <c r="B995" s="499">
        <v>45511</v>
      </c>
      <c r="C995" s="500" t="s">
        <v>173</v>
      </c>
      <c r="D995" s="500" t="s">
        <v>760</v>
      </c>
      <c r="E995" s="501">
        <v>-1369038471.6400001</v>
      </c>
      <c r="F995" s="502" t="s">
        <v>878</v>
      </c>
      <c r="G995" s="100" t="s">
        <v>61</v>
      </c>
      <c r="H995" s="530"/>
      <c r="I995" s="525"/>
      <c r="K995" s="548"/>
      <c r="L995" s="548"/>
      <c r="M995" s="548"/>
      <c r="N995" s="552"/>
      <c r="Y995" s="551"/>
    </row>
    <row r="996" spans="1:25">
      <c r="A996" s="499">
        <v>45511</v>
      </c>
      <c r="B996" s="499">
        <v>45511</v>
      </c>
      <c r="C996" s="500" t="s">
        <v>173</v>
      </c>
      <c r="D996" s="500" t="s">
        <v>760</v>
      </c>
      <c r="E996" s="501">
        <v>-1393445149.8699999</v>
      </c>
      <c r="F996" s="502" t="s">
        <v>878</v>
      </c>
      <c r="G996" s="100" t="s">
        <v>605</v>
      </c>
      <c r="H996" s="530"/>
      <c r="I996" s="525"/>
      <c r="K996" s="548"/>
      <c r="L996" s="548"/>
      <c r="M996" s="548"/>
      <c r="N996" s="552"/>
      <c r="Y996" s="551"/>
    </row>
    <row r="997" spans="1:25">
      <c r="A997" s="499">
        <v>45511</v>
      </c>
      <c r="B997" s="499">
        <v>45511</v>
      </c>
      <c r="C997" s="500" t="s">
        <v>173</v>
      </c>
      <c r="D997" s="500" t="s">
        <v>760</v>
      </c>
      <c r="E997" s="501">
        <v>-2129759090.6900001</v>
      </c>
      <c r="F997" s="502" t="s">
        <v>878</v>
      </c>
      <c r="G997" s="100" t="s">
        <v>683</v>
      </c>
      <c r="H997" s="530"/>
      <c r="I997" s="525"/>
      <c r="K997" s="548"/>
      <c r="L997" s="548"/>
      <c r="M997" s="548"/>
      <c r="N997" s="552"/>
      <c r="Y997" s="551"/>
    </row>
    <row r="998" spans="1:25">
      <c r="A998" s="499">
        <v>45511</v>
      </c>
      <c r="B998" s="499">
        <v>45511</v>
      </c>
      <c r="C998" s="500" t="s">
        <v>173</v>
      </c>
      <c r="D998" s="500" t="s">
        <v>760</v>
      </c>
      <c r="E998" s="501">
        <v>-869013118.41999996</v>
      </c>
      <c r="F998" s="502" t="s">
        <v>878</v>
      </c>
      <c r="G998" s="100" t="s">
        <v>697</v>
      </c>
      <c r="H998" s="530"/>
      <c r="I998" s="525"/>
      <c r="K998" s="548"/>
      <c r="L998" s="548"/>
      <c r="M998" s="548"/>
      <c r="N998" s="552"/>
      <c r="Y998" s="551"/>
    </row>
    <row r="999" spans="1:25">
      <c r="A999" s="499">
        <v>45511</v>
      </c>
      <c r="B999" s="499">
        <v>45511</v>
      </c>
      <c r="C999" s="500" t="s">
        <v>173</v>
      </c>
      <c r="D999" s="500" t="s">
        <v>760</v>
      </c>
      <c r="E999" s="501">
        <v>-50016871.399999999</v>
      </c>
      <c r="F999" s="502" t="s">
        <v>878</v>
      </c>
      <c r="G999" s="100" t="s">
        <v>494</v>
      </c>
      <c r="H999" s="530"/>
      <c r="I999" s="525"/>
      <c r="K999" s="548"/>
      <c r="L999" s="548"/>
      <c r="M999" s="548"/>
      <c r="N999" s="552"/>
      <c r="Y999" s="551"/>
    </row>
    <row r="1000" spans="1:25">
      <c r="A1000" s="499">
        <v>45511</v>
      </c>
      <c r="B1000" s="499">
        <v>45512</v>
      </c>
      <c r="C1000" s="500" t="s">
        <v>173</v>
      </c>
      <c r="D1000" s="500" t="s">
        <v>760</v>
      </c>
      <c r="E1000" s="501">
        <v>1369524760.8399999</v>
      </c>
      <c r="F1000" s="502" t="s">
        <v>878</v>
      </c>
      <c r="G1000" s="100" t="s">
        <v>61</v>
      </c>
      <c r="H1000" s="530"/>
      <c r="I1000" s="525"/>
      <c r="K1000" s="548"/>
      <c r="L1000" s="548"/>
      <c r="M1000" s="548"/>
      <c r="N1000" s="552"/>
      <c r="Y1000" s="551"/>
    </row>
    <row r="1001" spans="1:25">
      <c r="A1001" s="499">
        <v>45511</v>
      </c>
      <c r="B1001" s="499">
        <v>45512</v>
      </c>
      <c r="C1001" s="500" t="s">
        <v>173</v>
      </c>
      <c r="D1001" s="500" t="s">
        <v>760</v>
      </c>
      <c r="E1001" s="501">
        <v>1393940108.4400001</v>
      </c>
      <c r="F1001" s="502" t="s">
        <v>878</v>
      </c>
      <c r="G1001" s="100" t="s">
        <v>605</v>
      </c>
      <c r="H1001" s="530"/>
      <c r="I1001" s="525"/>
      <c r="K1001" s="548"/>
      <c r="L1001" s="548"/>
      <c r="M1001" s="548"/>
      <c r="N1001" s="552"/>
      <c r="Y1001" s="551"/>
    </row>
    <row r="1002" spans="1:25">
      <c r="A1002" s="499">
        <v>45511</v>
      </c>
      <c r="B1002" s="499">
        <v>45512</v>
      </c>
      <c r="C1002" s="500" t="s">
        <v>173</v>
      </c>
      <c r="D1002" s="500" t="s">
        <v>760</v>
      </c>
      <c r="E1002" s="501">
        <v>2130515591.5899999</v>
      </c>
      <c r="F1002" s="502" t="s">
        <v>878</v>
      </c>
      <c r="G1002" s="100" t="s">
        <v>683</v>
      </c>
      <c r="H1002" s="530"/>
      <c r="I1002" s="525"/>
      <c r="K1002" s="548"/>
      <c r="L1002" s="548"/>
      <c r="M1002" s="548"/>
      <c r="N1002" s="552"/>
      <c r="Y1002" s="551"/>
    </row>
    <row r="1003" spans="1:25">
      <c r="A1003" s="499">
        <v>45511</v>
      </c>
      <c r="B1003" s="499">
        <v>45512</v>
      </c>
      <c r="C1003" s="500" t="s">
        <v>173</v>
      </c>
      <c r="D1003" s="500" t="s">
        <v>760</v>
      </c>
      <c r="E1003" s="501">
        <v>869321796.14999998</v>
      </c>
      <c r="F1003" s="502" t="s">
        <v>878</v>
      </c>
      <c r="G1003" s="100" t="s">
        <v>697</v>
      </c>
      <c r="H1003" s="530"/>
      <c r="I1003" s="525"/>
      <c r="K1003" s="548"/>
      <c r="L1003" s="548"/>
      <c r="M1003" s="548"/>
      <c r="N1003" s="552"/>
      <c r="Y1003" s="551"/>
    </row>
    <row r="1004" spans="1:25">
      <c r="A1004" s="499">
        <v>45511</v>
      </c>
      <c r="B1004" s="499">
        <v>45512</v>
      </c>
      <c r="C1004" s="500" t="s">
        <v>173</v>
      </c>
      <c r="D1004" s="500" t="s">
        <v>760</v>
      </c>
      <c r="E1004" s="501">
        <v>50034773.609999999</v>
      </c>
      <c r="F1004" s="502" t="s">
        <v>878</v>
      </c>
      <c r="G1004" s="100" t="s">
        <v>494</v>
      </c>
      <c r="H1004" s="530"/>
      <c r="I1004" s="525"/>
      <c r="K1004" s="548"/>
      <c r="L1004" s="548"/>
      <c r="M1004" s="548"/>
      <c r="N1004" s="552"/>
      <c r="Y1004" s="551"/>
    </row>
    <row r="1005" spans="1:25">
      <c r="A1005" s="499">
        <v>45511</v>
      </c>
      <c r="B1005" s="499">
        <v>45511</v>
      </c>
      <c r="C1005" s="500" t="s">
        <v>173</v>
      </c>
      <c r="D1005" s="500" t="s">
        <v>764</v>
      </c>
      <c r="E1005" s="501">
        <v>-2684159671.1599998</v>
      </c>
      <c r="F1005" s="502" t="s">
        <v>878</v>
      </c>
      <c r="G1005" s="100" t="s">
        <v>689</v>
      </c>
      <c r="H1005" s="530"/>
      <c r="I1005" s="525"/>
      <c r="K1005" s="548"/>
      <c r="L1005" s="548"/>
      <c r="M1005" s="548"/>
      <c r="N1005" s="552"/>
      <c r="Y1005" s="551"/>
    </row>
    <row r="1006" spans="1:25">
      <c r="A1006" s="499">
        <v>45511</v>
      </c>
      <c r="B1006" s="499">
        <v>45511</v>
      </c>
      <c r="C1006" s="500" t="s">
        <v>173</v>
      </c>
      <c r="D1006" s="500" t="s">
        <v>764</v>
      </c>
      <c r="E1006" s="501">
        <v>-1146008324.6600001</v>
      </c>
      <c r="F1006" s="502" t="s">
        <v>878</v>
      </c>
      <c r="G1006" s="100" t="s">
        <v>644</v>
      </c>
      <c r="H1006" s="530"/>
      <c r="I1006" s="525"/>
      <c r="K1006" s="548"/>
      <c r="L1006" s="548"/>
      <c r="M1006" s="548"/>
      <c r="N1006" s="552"/>
      <c r="Y1006" s="551"/>
    </row>
    <row r="1007" spans="1:25">
      <c r="A1007" s="499">
        <v>45511</v>
      </c>
      <c r="B1007" s="499">
        <v>45511</v>
      </c>
      <c r="C1007" s="500" t="s">
        <v>173</v>
      </c>
      <c r="D1007" s="500" t="s">
        <v>764</v>
      </c>
      <c r="E1007" s="501">
        <v>-18016581.739999998</v>
      </c>
      <c r="F1007" s="502" t="s">
        <v>878</v>
      </c>
      <c r="G1007" s="100" t="s">
        <v>816</v>
      </c>
      <c r="H1007" s="530"/>
      <c r="I1007" s="525"/>
      <c r="K1007" s="548"/>
      <c r="L1007" s="548"/>
      <c r="M1007" s="548"/>
      <c r="N1007" s="552"/>
      <c r="Y1007" s="551"/>
    </row>
    <row r="1008" spans="1:25">
      <c r="A1008" s="499">
        <v>45511</v>
      </c>
      <c r="B1008" s="499">
        <v>45518</v>
      </c>
      <c r="C1008" s="500" t="s">
        <v>173</v>
      </c>
      <c r="D1008" s="500" t="s">
        <v>764</v>
      </c>
      <c r="E1008" s="501">
        <v>2690961742.46</v>
      </c>
      <c r="F1008" s="502" t="s">
        <v>878</v>
      </c>
      <c r="G1008" s="100" t="s">
        <v>689</v>
      </c>
      <c r="H1008" s="530"/>
      <c r="I1008" s="525"/>
      <c r="K1008" s="548"/>
      <c r="L1008" s="548"/>
      <c r="M1008" s="548"/>
      <c r="N1008" s="552"/>
      <c r="Y1008" s="551"/>
    </row>
    <row r="1009" spans="1:25">
      <c r="A1009" s="499">
        <v>45511</v>
      </c>
      <c r="B1009" s="499">
        <v>45518</v>
      </c>
      <c r="C1009" s="500" t="s">
        <v>173</v>
      </c>
      <c r="D1009" s="500" t="s">
        <v>764</v>
      </c>
      <c r="E1009" s="501">
        <v>1148912485.0999999</v>
      </c>
      <c r="F1009" s="502" t="s">
        <v>878</v>
      </c>
      <c r="G1009" s="100" t="s">
        <v>644</v>
      </c>
      <c r="H1009" s="530"/>
      <c r="I1009" s="525"/>
      <c r="K1009" s="548"/>
      <c r="L1009" s="548"/>
      <c r="M1009" s="548"/>
      <c r="N1009" s="552"/>
      <c r="Y1009" s="551"/>
    </row>
    <row r="1010" spans="1:25">
      <c r="A1010" s="499">
        <v>45511</v>
      </c>
      <c r="B1010" s="499">
        <v>45518</v>
      </c>
      <c r="C1010" s="500" t="s">
        <v>173</v>
      </c>
      <c r="D1010" s="500" t="s">
        <v>764</v>
      </c>
      <c r="E1010" s="501">
        <v>18062272.969999999</v>
      </c>
      <c r="F1010" s="502" t="s">
        <v>878</v>
      </c>
      <c r="G1010" s="100" t="s">
        <v>816</v>
      </c>
      <c r="H1010" s="530">
        <v>-1</v>
      </c>
      <c r="I1010" s="525"/>
      <c r="K1010" s="548"/>
      <c r="L1010" s="548"/>
      <c r="M1010" s="548"/>
      <c r="N1010" s="552"/>
      <c r="Y1010" s="551"/>
    </row>
    <row r="1011" spans="1:25">
      <c r="A1011" s="499">
        <v>45511</v>
      </c>
      <c r="B1011" s="499">
        <v>45511</v>
      </c>
      <c r="C1011" s="500" t="s">
        <v>173</v>
      </c>
      <c r="D1011" s="500" t="s">
        <v>763</v>
      </c>
      <c r="E1011" s="501">
        <v>-1000532.19</v>
      </c>
      <c r="F1011" s="502" t="s">
        <v>878</v>
      </c>
      <c r="G1011" s="100" t="s">
        <v>503</v>
      </c>
      <c r="H1011" s="530"/>
      <c r="I1011" s="525"/>
      <c r="K1011" s="548"/>
      <c r="L1011" s="548"/>
      <c r="M1011" s="548"/>
      <c r="N1011" s="552"/>
      <c r="Y1011" s="551"/>
    </row>
    <row r="1012" spans="1:25">
      <c r="A1012" s="499">
        <v>45511</v>
      </c>
      <c r="B1012" s="499">
        <v>45511</v>
      </c>
      <c r="C1012" s="500" t="s">
        <v>173</v>
      </c>
      <c r="D1012" s="500" t="s">
        <v>763</v>
      </c>
      <c r="E1012" s="501">
        <v>-26013836.940000001</v>
      </c>
      <c r="F1012" s="502" t="s">
        <v>878</v>
      </c>
      <c r="G1012" s="100" t="s">
        <v>503</v>
      </c>
      <c r="H1012" s="530"/>
      <c r="I1012" s="525"/>
      <c r="K1012" s="548"/>
      <c r="L1012" s="548"/>
      <c r="M1012" s="548"/>
      <c r="N1012" s="552"/>
      <c r="Y1012" s="551"/>
    </row>
    <row r="1013" spans="1:25">
      <c r="A1013" s="499">
        <v>45511</v>
      </c>
      <c r="B1013" s="499">
        <v>45511</v>
      </c>
      <c r="C1013" s="500" t="s">
        <v>173</v>
      </c>
      <c r="D1013" s="500" t="s">
        <v>763</v>
      </c>
      <c r="E1013" s="501">
        <v>-6228312882.75</v>
      </c>
      <c r="F1013" s="502" t="s">
        <v>878</v>
      </c>
      <c r="G1013" s="100" t="s">
        <v>503</v>
      </c>
      <c r="H1013" s="530"/>
      <c r="I1013" s="525"/>
      <c r="K1013" s="548"/>
      <c r="L1013" s="548"/>
      <c r="M1013" s="548"/>
      <c r="N1013" s="552"/>
      <c r="Y1013" s="551"/>
    </row>
    <row r="1014" spans="1:25">
      <c r="A1014" s="499">
        <v>45511</v>
      </c>
      <c r="B1014" s="499">
        <v>45512</v>
      </c>
      <c r="C1014" s="500" t="s">
        <v>173</v>
      </c>
      <c r="D1014" s="500" t="s">
        <v>763</v>
      </c>
      <c r="E1014" s="501">
        <v>1000887.59</v>
      </c>
      <c r="F1014" s="502" t="s">
        <v>878</v>
      </c>
      <c r="G1014" s="100" t="s">
        <v>503</v>
      </c>
      <c r="H1014" s="530"/>
      <c r="I1014" s="525"/>
      <c r="K1014" s="548"/>
      <c r="L1014" s="548"/>
      <c r="M1014" s="548"/>
      <c r="N1014" s="552"/>
      <c r="Y1014" s="551"/>
    </row>
    <row r="1015" spans="1:25">
      <c r="A1015" s="499">
        <v>45511</v>
      </c>
      <c r="B1015" s="499">
        <v>45512</v>
      </c>
      <c r="C1015" s="500" t="s">
        <v>173</v>
      </c>
      <c r="D1015" s="500" t="s">
        <v>763</v>
      </c>
      <c r="E1015" s="501">
        <v>26023077.32</v>
      </c>
      <c r="F1015" s="502" t="s">
        <v>878</v>
      </c>
      <c r="G1015" s="100" t="s">
        <v>503</v>
      </c>
      <c r="H1015" s="530"/>
      <c r="I1015" s="525"/>
      <c r="K1015" s="548"/>
      <c r="L1015" s="548"/>
      <c r="M1015" s="548"/>
      <c r="N1015" s="552"/>
      <c r="Y1015" s="551"/>
    </row>
    <row r="1016" spans="1:25">
      <c r="A1016" s="499">
        <v>45511</v>
      </c>
      <c r="B1016" s="499">
        <v>45512</v>
      </c>
      <c r="C1016" s="500" t="s">
        <v>173</v>
      </c>
      <c r="D1016" s="500" t="s">
        <v>763</v>
      </c>
      <c r="E1016" s="501">
        <v>6230525244.1499996</v>
      </c>
      <c r="F1016" s="502" t="s">
        <v>878</v>
      </c>
      <c r="G1016" s="100" t="s">
        <v>503</v>
      </c>
      <c r="H1016" s="530"/>
      <c r="I1016" s="525"/>
      <c r="K1016" s="548"/>
      <c r="L1016" s="548"/>
      <c r="M1016" s="548"/>
      <c r="N1016" s="552"/>
      <c r="Y1016" s="551"/>
    </row>
    <row r="1017" spans="1:25">
      <c r="A1017" s="499">
        <v>45512</v>
      </c>
      <c r="B1017" s="499">
        <v>45512</v>
      </c>
      <c r="C1017" s="500" t="s">
        <v>173</v>
      </c>
      <c r="D1017" s="500" t="s">
        <v>762</v>
      </c>
      <c r="E1017" s="501">
        <v>-8585155475.0699997</v>
      </c>
      <c r="F1017" s="502" t="s">
        <v>878</v>
      </c>
      <c r="G1017" s="100" t="s">
        <v>707</v>
      </c>
      <c r="H1017" s="530"/>
      <c r="I1017" s="525"/>
      <c r="K1017" s="548"/>
      <c r="L1017" s="548"/>
      <c r="M1017" s="548"/>
      <c r="N1017" s="552"/>
      <c r="Y1017" s="551"/>
    </row>
    <row r="1018" spans="1:25">
      <c r="A1018" s="499">
        <v>45512</v>
      </c>
      <c r="B1018" s="499">
        <v>45512</v>
      </c>
      <c r="C1018" s="500" t="s">
        <v>173</v>
      </c>
      <c r="D1018" s="500" t="s">
        <v>762</v>
      </c>
      <c r="E1018" s="501">
        <v>-2355834345.8899999</v>
      </c>
      <c r="F1018" s="502" t="s">
        <v>878</v>
      </c>
      <c r="G1018" s="100" t="s">
        <v>689</v>
      </c>
      <c r="H1018" s="530"/>
      <c r="I1018" s="525"/>
      <c r="K1018" s="548"/>
      <c r="L1018" s="548"/>
      <c r="M1018" s="548"/>
      <c r="N1018" s="552"/>
      <c r="Y1018" s="551"/>
    </row>
    <row r="1019" spans="1:25">
      <c r="A1019" s="499">
        <v>45512</v>
      </c>
      <c r="B1019" s="499">
        <v>45512</v>
      </c>
      <c r="C1019" s="500" t="s">
        <v>173</v>
      </c>
      <c r="D1019" s="500" t="s">
        <v>762</v>
      </c>
      <c r="E1019" s="501">
        <v>-429000166.24000001</v>
      </c>
      <c r="F1019" s="502" t="s">
        <v>878</v>
      </c>
      <c r="G1019" s="100" t="s">
        <v>811</v>
      </c>
      <c r="H1019" s="530"/>
      <c r="I1019" s="525"/>
      <c r="K1019" s="548"/>
      <c r="L1019" s="548"/>
      <c r="M1019" s="548"/>
      <c r="N1019" s="552"/>
      <c r="Y1019" s="551"/>
    </row>
    <row r="1020" spans="1:25">
      <c r="A1020" s="499">
        <v>45512</v>
      </c>
      <c r="B1020" s="499">
        <v>45512</v>
      </c>
      <c r="C1020" s="500" t="s">
        <v>173</v>
      </c>
      <c r="D1020" s="500" t="s">
        <v>762</v>
      </c>
      <c r="E1020" s="501">
        <v>-51000019.759999998</v>
      </c>
      <c r="F1020" s="502" t="s">
        <v>878</v>
      </c>
      <c r="G1020" s="100" t="s">
        <v>811</v>
      </c>
      <c r="H1020" s="530"/>
      <c r="I1020" s="525"/>
      <c r="K1020" s="548"/>
      <c r="L1020" s="548"/>
      <c r="M1020" s="548"/>
      <c r="N1020" s="552"/>
      <c r="Y1020" s="551"/>
    </row>
    <row r="1021" spans="1:25">
      <c r="A1021" s="499">
        <v>45512</v>
      </c>
      <c r="B1021" s="499">
        <v>45513</v>
      </c>
      <c r="C1021" s="500" t="s">
        <v>173</v>
      </c>
      <c r="D1021" s="500" t="s">
        <v>762</v>
      </c>
      <c r="E1021" s="501">
        <v>8588204894.1499996</v>
      </c>
      <c r="F1021" s="502" t="s">
        <v>878</v>
      </c>
      <c r="G1021" s="100" t="s">
        <v>707</v>
      </c>
      <c r="H1021" s="530"/>
      <c r="I1021" s="525"/>
      <c r="K1021" s="548"/>
      <c r="L1021" s="548"/>
      <c r="M1021" s="548"/>
      <c r="N1021" s="552"/>
      <c r="Y1021" s="551"/>
    </row>
    <row r="1022" spans="1:25">
      <c r="A1022" s="499">
        <v>45512</v>
      </c>
      <c r="B1022" s="499">
        <v>45513</v>
      </c>
      <c r="C1022" s="500" t="s">
        <v>173</v>
      </c>
      <c r="D1022" s="500" t="s">
        <v>762</v>
      </c>
      <c r="E1022" s="501">
        <v>2356671124.0900002</v>
      </c>
      <c r="F1022" s="502" t="s">
        <v>878</v>
      </c>
      <c r="G1022" s="100" t="s">
        <v>689</v>
      </c>
      <c r="H1022" s="530"/>
      <c r="I1022" s="525"/>
      <c r="K1022" s="548"/>
      <c r="L1022" s="548"/>
      <c r="M1022" s="548"/>
      <c r="N1022" s="552"/>
      <c r="Y1022" s="551"/>
    </row>
    <row r="1023" spans="1:25">
      <c r="A1023" s="499">
        <v>45512</v>
      </c>
      <c r="B1023" s="499">
        <v>45513</v>
      </c>
      <c r="C1023" s="500" t="s">
        <v>173</v>
      </c>
      <c r="D1023" s="500" t="s">
        <v>762</v>
      </c>
      <c r="E1023" s="501">
        <v>429152544.51999998</v>
      </c>
      <c r="F1023" s="502" t="s">
        <v>878</v>
      </c>
      <c r="G1023" s="100" t="s">
        <v>811</v>
      </c>
      <c r="H1023" s="530"/>
      <c r="I1023" s="525"/>
      <c r="K1023" s="548"/>
      <c r="L1023" s="548"/>
      <c r="M1023" s="548"/>
      <c r="N1023" s="552"/>
      <c r="Y1023" s="551"/>
    </row>
    <row r="1024" spans="1:25">
      <c r="A1024" s="499">
        <v>45512</v>
      </c>
      <c r="B1024" s="499">
        <v>45513</v>
      </c>
      <c r="C1024" s="500" t="s">
        <v>173</v>
      </c>
      <c r="D1024" s="500" t="s">
        <v>762</v>
      </c>
      <c r="E1024" s="501">
        <v>51018134.659999996</v>
      </c>
      <c r="F1024" s="502" t="s">
        <v>878</v>
      </c>
      <c r="G1024" s="100" t="s">
        <v>811</v>
      </c>
      <c r="H1024" s="530"/>
      <c r="I1024" s="525"/>
      <c r="K1024" s="548"/>
      <c r="L1024" s="548"/>
      <c r="M1024" s="548"/>
      <c r="N1024" s="552"/>
      <c r="Y1024" s="551"/>
    </row>
    <row r="1025" spans="1:25">
      <c r="A1025" s="499">
        <v>45512</v>
      </c>
      <c r="B1025" s="499">
        <v>45512</v>
      </c>
      <c r="C1025" s="500" t="s">
        <v>173</v>
      </c>
      <c r="D1025" s="500" t="s">
        <v>762</v>
      </c>
      <c r="E1025" s="501">
        <v>-497570444.44</v>
      </c>
      <c r="F1025" s="502" t="s">
        <v>906</v>
      </c>
      <c r="G1025" s="100" t="s">
        <v>903</v>
      </c>
      <c r="H1025" s="530"/>
      <c r="I1025" s="525" t="s">
        <v>1730</v>
      </c>
      <c r="K1025" s="548">
        <v>113671947</v>
      </c>
      <c r="L1025" s="549">
        <v>99.062700000000007</v>
      </c>
      <c r="M1025" s="549">
        <f>E1025*(-1)/(N1025*O1025)*100</f>
        <v>99.514088888000003</v>
      </c>
      <c r="N1025" s="549">
        <v>500000</v>
      </c>
      <c r="O1025" s="539">
        <f>VLOOKUP(G1025,Справочник!A:J,10,0)</f>
        <v>1000</v>
      </c>
      <c r="T1025" s="549">
        <v>13.57</v>
      </c>
      <c r="U1025" s="538">
        <v>0</v>
      </c>
      <c r="V1025" s="538">
        <v>0</v>
      </c>
      <c r="W1025" s="550">
        <f>VLOOKUP(G1025,Справочник!A:C,3,0)</f>
        <v>0.125</v>
      </c>
      <c r="X1025" s="539" t="str">
        <f>VLOOKUP(G1025,Справочник!A:G,7,0)</f>
        <v>АО "Казахстанский фонд устойчивости"</v>
      </c>
      <c r="Y1025" s="551">
        <f>VLOOKUP(G1025,Справочник!A:B,2,0)</f>
        <v>45863</v>
      </c>
    </row>
    <row r="1026" spans="1:25">
      <c r="A1026" s="499">
        <v>45512</v>
      </c>
      <c r="B1026" s="499">
        <v>45512</v>
      </c>
      <c r="C1026" s="500" t="s">
        <v>173</v>
      </c>
      <c r="D1026" s="500" t="s">
        <v>761</v>
      </c>
      <c r="E1026" s="501">
        <v>-263024637.84</v>
      </c>
      <c r="F1026" s="502" t="s">
        <v>878</v>
      </c>
      <c r="G1026" s="100" t="s">
        <v>473</v>
      </c>
      <c r="H1026" s="530"/>
      <c r="I1026" s="525"/>
      <c r="K1026" s="548"/>
      <c r="L1026" s="548"/>
      <c r="M1026" s="548"/>
      <c r="N1026" s="552"/>
      <c r="Y1026" s="551"/>
    </row>
    <row r="1027" spans="1:25">
      <c r="A1027" s="499">
        <v>45512</v>
      </c>
      <c r="B1027" s="499">
        <v>45513</v>
      </c>
      <c r="C1027" s="500" t="s">
        <v>173</v>
      </c>
      <c r="D1027" s="500" t="s">
        <v>761</v>
      </c>
      <c r="E1027" s="501">
        <v>263118349.34999999</v>
      </c>
      <c r="F1027" s="502" t="s">
        <v>878</v>
      </c>
      <c r="G1027" s="100" t="s">
        <v>473</v>
      </c>
      <c r="H1027" s="530"/>
      <c r="I1027" s="525"/>
      <c r="K1027" s="548"/>
      <c r="L1027" s="548"/>
      <c r="M1027" s="548"/>
      <c r="N1027" s="552"/>
      <c r="Y1027" s="551"/>
    </row>
    <row r="1028" spans="1:25">
      <c r="A1028" s="499">
        <v>45510</v>
      </c>
      <c r="B1028" s="499">
        <v>45512</v>
      </c>
      <c r="C1028" s="500" t="s">
        <v>173</v>
      </c>
      <c r="D1028" s="500" t="s">
        <v>761</v>
      </c>
      <c r="E1028" s="501">
        <v>-451940777.77999997</v>
      </c>
      <c r="F1028" s="502" t="s">
        <v>906</v>
      </c>
      <c r="G1028" s="100" t="s">
        <v>448</v>
      </c>
      <c r="H1028" s="530"/>
      <c r="I1028" s="525" t="s">
        <v>676</v>
      </c>
      <c r="K1028" s="548">
        <v>113639867</v>
      </c>
      <c r="L1028" s="549">
        <v>90.095100000000002</v>
      </c>
      <c r="M1028" s="549">
        <f>E1028*(-1)/(N1028*O1028)*100</f>
        <v>90.388155555999987</v>
      </c>
      <c r="N1028" s="549">
        <v>500000</v>
      </c>
      <c r="O1028" s="539">
        <v>1000</v>
      </c>
      <c r="T1028" s="538">
        <v>13.4</v>
      </c>
      <c r="U1028" s="538">
        <v>0</v>
      </c>
      <c r="V1028" s="549">
        <v>45194.080000000002</v>
      </c>
      <c r="W1028" s="550">
        <f>VLOOKUP(G1028,Справочник!A:C,3,0)</f>
        <v>0.1055</v>
      </c>
      <c r="X1028" s="539" t="str">
        <f>VLOOKUP(G1028,Справочник!A:G,7,0)</f>
        <v>Министерство финансов Республики Казахстан</v>
      </c>
      <c r="Y1028" s="551">
        <f>VLOOKUP(G1028,Справочник!A:B,2,0)</f>
        <v>47327</v>
      </c>
    </row>
    <row r="1029" spans="1:25">
      <c r="A1029" s="499">
        <v>45510</v>
      </c>
      <c r="B1029" s="499">
        <v>45512</v>
      </c>
      <c r="C1029" s="500" t="s">
        <v>173</v>
      </c>
      <c r="D1029" s="500" t="s">
        <v>761</v>
      </c>
      <c r="E1029" s="501">
        <v>-499999408.11000001</v>
      </c>
      <c r="F1029" s="502" t="s">
        <v>906</v>
      </c>
      <c r="G1029" s="100" t="s">
        <v>448</v>
      </c>
      <c r="H1029" s="530"/>
      <c r="I1029" s="525" t="s">
        <v>676</v>
      </c>
      <c r="K1029" s="548">
        <v>113639875</v>
      </c>
      <c r="L1029" s="549">
        <v>90.052499999999995</v>
      </c>
      <c r="M1029" s="549">
        <f>E1029*(-1)/(N1029*O1029)*100</f>
        <v>90.345555555354792</v>
      </c>
      <c r="N1029" s="549">
        <v>553430</v>
      </c>
      <c r="O1029" s="539">
        <v>1000</v>
      </c>
      <c r="T1029" s="553">
        <v>13.41</v>
      </c>
      <c r="U1029" s="538">
        <v>0</v>
      </c>
      <c r="V1029" s="549">
        <v>49999.94</v>
      </c>
      <c r="W1029" s="550">
        <f>VLOOKUP(G1029,Справочник!A:C,3,0)</f>
        <v>0.1055</v>
      </c>
      <c r="X1029" s="539" t="str">
        <f>VLOOKUP(G1029,Справочник!A:G,7,0)</f>
        <v>Министерство финансов Республики Казахстан</v>
      </c>
      <c r="Y1029" s="551">
        <f>VLOOKUP(G1029,Справочник!A:B,2,0)</f>
        <v>47327</v>
      </c>
    </row>
    <row r="1030" spans="1:25">
      <c r="A1030" s="499">
        <v>45512</v>
      </c>
      <c r="B1030" s="499">
        <v>45512</v>
      </c>
      <c r="C1030" s="500" t="s">
        <v>173</v>
      </c>
      <c r="D1030" s="500" t="s">
        <v>759</v>
      </c>
      <c r="E1030" s="501">
        <v>-1478097728.3199999</v>
      </c>
      <c r="F1030" s="502" t="s">
        <v>878</v>
      </c>
      <c r="G1030" s="100" t="s">
        <v>597</v>
      </c>
      <c r="H1030" s="484"/>
      <c r="I1030" s="525"/>
      <c r="K1030" s="548"/>
      <c r="L1030" s="548"/>
      <c r="M1030" s="548"/>
      <c r="N1030" s="552"/>
      <c r="Y1030" s="551"/>
    </row>
    <row r="1031" spans="1:25">
      <c r="A1031" s="499">
        <v>45512</v>
      </c>
      <c r="B1031" s="499">
        <v>45512</v>
      </c>
      <c r="C1031" s="500" t="s">
        <v>173</v>
      </c>
      <c r="D1031" s="500" t="s">
        <v>759</v>
      </c>
      <c r="E1031" s="501">
        <v>-7001152.6799999997</v>
      </c>
      <c r="F1031" s="502" t="s">
        <v>878</v>
      </c>
      <c r="G1031" s="100" t="s">
        <v>634</v>
      </c>
      <c r="H1031" s="484"/>
      <c r="I1031" s="525"/>
      <c r="K1031" s="548"/>
      <c r="L1031" s="548"/>
      <c r="M1031" s="548"/>
      <c r="N1031" s="552"/>
      <c r="Y1031" s="551"/>
    </row>
    <row r="1032" spans="1:25">
      <c r="A1032" s="499">
        <v>45512</v>
      </c>
      <c r="B1032" s="499">
        <v>45513</v>
      </c>
      <c r="C1032" s="500" t="s">
        <v>173</v>
      </c>
      <c r="D1032" s="500" t="s">
        <v>759</v>
      </c>
      <c r="E1032" s="501">
        <v>1478622747.8299999</v>
      </c>
      <c r="F1032" s="502" t="s">
        <v>878</v>
      </c>
      <c r="G1032" s="100" t="s">
        <v>597</v>
      </c>
      <c r="H1032" s="484"/>
      <c r="I1032" s="525"/>
      <c r="K1032" s="548"/>
      <c r="L1032" s="548"/>
      <c r="M1032" s="548"/>
      <c r="N1032" s="552"/>
      <c r="Y1032" s="551"/>
    </row>
    <row r="1033" spans="1:25">
      <c r="A1033" s="499">
        <v>45512</v>
      </c>
      <c r="B1033" s="499">
        <v>45513</v>
      </c>
      <c r="C1033" s="500" t="s">
        <v>173</v>
      </c>
      <c r="D1033" s="500" t="s">
        <v>759</v>
      </c>
      <c r="E1033" s="501">
        <v>7003639.4500000002</v>
      </c>
      <c r="F1033" s="502" t="s">
        <v>878</v>
      </c>
      <c r="G1033" s="100" t="s">
        <v>634</v>
      </c>
      <c r="H1033" s="484"/>
      <c r="I1033" s="525"/>
      <c r="K1033" s="548"/>
      <c r="L1033" s="548"/>
      <c r="M1033" s="548"/>
      <c r="N1033" s="552"/>
      <c r="Y1033" s="551"/>
    </row>
    <row r="1034" spans="1:25">
      <c r="A1034" s="499">
        <v>45510</v>
      </c>
      <c r="B1034" s="499">
        <v>45512</v>
      </c>
      <c r="C1034" s="500" t="s">
        <v>173</v>
      </c>
      <c r="D1034" s="500" t="s">
        <v>759</v>
      </c>
      <c r="E1034" s="501">
        <v>-902589555.55999994</v>
      </c>
      <c r="F1034" s="502" t="s">
        <v>906</v>
      </c>
      <c r="G1034" s="100" t="s">
        <v>448</v>
      </c>
      <c r="H1034" s="530"/>
      <c r="I1034" s="525" t="s">
        <v>676</v>
      </c>
      <c r="K1034" s="548"/>
      <c r="L1034" s="549">
        <v>89.965900000000005</v>
      </c>
      <c r="M1034" s="549">
        <f>-E1034/(N1034*O1034)*100</f>
        <v>90.258955556000004</v>
      </c>
      <c r="N1034" s="549">
        <v>1000000</v>
      </c>
      <c r="O1034" s="539">
        <v>1000</v>
      </c>
      <c r="P1034" s="539">
        <v>92.593599999999995</v>
      </c>
      <c r="T1034" s="538">
        <v>13.44</v>
      </c>
      <c r="W1034" s="550">
        <f>VLOOKUP(G1034,Справочник!A:C,3,0)</f>
        <v>0.1055</v>
      </c>
      <c r="X1034" s="539" t="str">
        <f>VLOOKUP(G1034,Справочник!A:G,7,0)</f>
        <v>Министерство финансов Республики Казахстан</v>
      </c>
      <c r="Y1034" s="551">
        <f>VLOOKUP(G1034,Справочник!A:B,2,0)</f>
        <v>47327</v>
      </c>
    </row>
    <row r="1035" spans="1:25">
      <c r="A1035" s="499">
        <v>45510</v>
      </c>
      <c r="B1035" s="499">
        <v>45512</v>
      </c>
      <c r="C1035" s="500" t="s">
        <v>173</v>
      </c>
      <c r="D1035" s="500" t="s">
        <v>760</v>
      </c>
      <c r="E1035" s="501">
        <v>-1399999843.51</v>
      </c>
      <c r="F1035" s="502" t="s">
        <v>906</v>
      </c>
      <c r="G1035" s="100" t="s">
        <v>448</v>
      </c>
      <c r="H1035" s="530"/>
      <c r="I1035" s="525" t="s">
        <v>676</v>
      </c>
      <c r="K1035" s="548">
        <v>113639874</v>
      </c>
      <c r="L1035" s="549">
        <v>89.933700000000002</v>
      </c>
      <c r="M1035" s="549">
        <f>-E1035/(N1035*O1035)*100</f>
        <v>90.226755555713083</v>
      </c>
      <c r="N1035" s="549">
        <v>1551646</v>
      </c>
      <c r="O1035" s="539">
        <v>1000</v>
      </c>
      <c r="P1035" s="539">
        <v>92.593599999999995</v>
      </c>
      <c r="T1035" s="538">
        <v>13.45</v>
      </c>
      <c r="U1035" s="538">
        <v>0</v>
      </c>
      <c r="V1035" s="538">
        <v>139999.98000000001</v>
      </c>
      <c r="W1035" s="550">
        <f>VLOOKUP(G1035,Справочник!A:C,3,0)</f>
        <v>0.1055</v>
      </c>
      <c r="X1035" s="539" t="str">
        <f>VLOOKUP(G1035,Справочник!A:G,7,0)</f>
        <v>Министерство финансов Республики Казахстан</v>
      </c>
      <c r="Y1035" s="551">
        <f>VLOOKUP(G1035,Справочник!A:B,2,0)</f>
        <v>47327</v>
      </c>
    </row>
    <row r="1036" spans="1:25">
      <c r="A1036" s="499">
        <v>45512</v>
      </c>
      <c r="B1036" s="499">
        <v>45512</v>
      </c>
      <c r="C1036" s="500" t="s">
        <v>173</v>
      </c>
      <c r="D1036" s="500" t="s">
        <v>760</v>
      </c>
      <c r="E1036" s="501">
        <v>-1088179159.6500001</v>
      </c>
      <c r="F1036" s="502" t="s">
        <v>878</v>
      </c>
      <c r="G1036" s="100" t="s">
        <v>634</v>
      </c>
      <c r="H1036" s="530"/>
      <c r="I1036" s="525"/>
      <c r="K1036" s="548"/>
      <c r="L1036" s="548"/>
      <c r="M1036" s="548"/>
      <c r="N1036" s="552"/>
      <c r="Y1036" s="551"/>
    </row>
    <row r="1037" spans="1:25">
      <c r="A1037" s="499">
        <v>45512</v>
      </c>
      <c r="B1037" s="499">
        <v>45512</v>
      </c>
      <c r="C1037" s="500" t="s">
        <v>173</v>
      </c>
      <c r="D1037" s="500" t="s">
        <v>760</v>
      </c>
      <c r="E1037" s="501">
        <v>-3281888177.9200001</v>
      </c>
      <c r="F1037" s="502" t="s">
        <v>878</v>
      </c>
      <c r="G1037" s="100" t="s">
        <v>414</v>
      </c>
      <c r="H1037" s="530"/>
      <c r="I1037" s="525"/>
      <c r="K1037" s="548"/>
      <c r="L1037" s="548"/>
      <c r="M1037" s="548"/>
      <c r="N1037" s="552"/>
      <c r="Y1037" s="551"/>
    </row>
    <row r="1038" spans="1:25">
      <c r="A1038" s="499">
        <v>45512</v>
      </c>
      <c r="B1038" s="499">
        <v>45512</v>
      </c>
      <c r="C1038" s="500" t="s">
        <v>173</v>
      </c>
      <c r="D1038" s="500" t="s">
        <v>760</v>
      </c>
      <c r="E1038" s="501">
        <v>-43004028.240000002</v>
      </c>
      <c r="F1038" s="502" t="s">
        <v>878</v>
      </c>
      <c r="G1038" s="100" t="s">
        <v>473</v>
      </c>
      <c r="H1038" s="530"/>
      <c r="I1038" s="525"/>
      <c r="K1038" s="548"/>
      <c r="L1038" s="548"/>
      <c r="M1038" s="548"/>
      <c r="N1038" s="552"/>
      <c r="Y1038" s="551"/>
    </row>
    <row r="1039" spans="1:25">
      <c r="A1039" s="499">
        <v>45512</v>
      </c>
      <c r="B1039" s="499">
        <v>45513</v>
      </c>
      <c r="C1039" s="500" t="s">
        <v>173</v>
      </c>
      <c r="D1039" s="500" t="s">
        <v>760</v>
      </c>
      <c r="E1039" s="501">
        <v>1088568641.5699999</v>
      </c>
      <c r="F1039" s="502" t="s">
        <v>878</v>
      </c>
      <c r="G1039" s="100" t="s">
        <v>634</v>
      </c>
      <c r="H1039" s="530"/>
      <c r="I1039" s="525"/>
      <c r="K1039" s="548"/>
      <c r="L1039" s="548"/>
      <c r="M1039" s="548"/>
      <c r="N1039" s="552"/>
      <c r="Y1039" s="551"/>
    </row>
    <row r="1040" spans="1:25">
      <c r="A1040" s="499">
        <v>45512</v>
      </c>
      <c r="B1040" s="499">
        <v>45513</v>
      </c>
      <c r="C1040" s="500" t="s">
        <v>173</v>
      </c>
      <c r="D1040" s="500" t="s">
        <v>760</v>
      </c>
      <c r="E1040" s="501">
        <v>3283058350.3899999</v>
      </c>
      <c r="F1040" s="502" t="s">
        <v>878</v>
      </c>
      <c r="G1040" s="100" t="s">
        <v>414</v>
      </c>
      <c r="H1040" s="530"/>
      <c r="I1040" s="525"/>
      <c r="K1040" s="548"/>
      <c r="L1040" s="548"/>
      <c r="M1040" s="548"/>
      <c r="N1040" s="552"/>
      <c r="Y1040" s="551"/>
    </row>
    <row r="1041" spans="1:25">
      <c r="A1041" s="499">
        <v>45512</v>
      </c>
      <c r="B1041" s="499">
        <v>45513</v>
      </c>
      <c r="C1041" s="500" t="s">
        <v>173</v>
      </c>
      <c r="D1041" s="500" t="s">
        <v>760</v>
      </c>
      <c r="E1041" s="501">
        <v>43019361.530000001</v>
      </c>
      <c r="F1041" s="502" t="s">
        <v>878</v>
      </c>
      <c r="G1041" s="100" t="s">
        <v>473</v>
      </c>
      <c r="H1041" s="530"/>
      <c r="I1041" s="525"/>
      <c r="K1041" s="548"/>
      <c r="L1041" s="548"/>
      <c r="M1041" s="548"/>
      <c r="N1041" s="552"/>
      <c r="Y1041" s="551"/>
    </row>
    <row r="1042" spans="1:25">
      <c r="A1042" s="499">
        <v>45512</v>
      </c>
      <c r="B1042" s="499">
        <v>45512</v>
      </c>
      <c r="C1042" s="500" t="s">
        <v>173</v>
      </c>
      <c r="D1042" s="500" t="s">
        <v>763</v>
      </c>
      <c r="E1042" s="501">
        <v>-1000164.67</v>
      </c>
      <c r="F1042" s="502" t="s">
        <v>878</v>
      </c>
      <c r="G1042" s="100" t="s">
        <v>634</v>
      </c>
      <c r="H1042" s="530"/>
      <c r="I1042" s="525"/>
      <c r="K1042" s="548"/>
      <c r="L1042" s="548"/>
      <c r="M1042" s="548"/>
      <c r="N1042" s="552"/>
      <c r="Y1042" s="551"/>
    </row>
    <row r="1043" spans="1:25">
      <c r="A1043" s="499">
        <v>45512</v>
      </c>
      <c r="B1043" s="499">
        <v>45512</v>
      </c>
      <c r="C1043" s="500" t="s">
        <v>173</v>
      </c>
      <c r="D1043" s="500" t="s">
        <v>763</v>
      </c>
      <c r="E1043" s="501">
        <v>-6231508157.6599998</v>
      </c>
      <c r="F1043" s="502" t="s">
        <v>878</v>
      </c>
      <c r="G1043" s="100" t="s">
        <v>679</v>
      </c>
      <c r="H1043" s="530">
        <v>-1</v>
      </c>
      <c r="I1043" s="525"/>
      <c r="K1043" s="548"/>
      <c r="L1043" s="548"/>
      <c r="M1043" s="548"/>
      <c r="N1043" s="552"/>
      <c r="Y1043" s="551"/>
    </row>
    <row r="1044" spans="1:25">
      <c r="A1044" s="499">
        <v>45512</v>
      </c>
      <c r="B1044" s="499">
        <v>45512</v>
      </c>
      <c r="C1044" s="500" t="s">
        <v>173</v>
      </c>
      <c r="D1044" s="500" t="s">
        <v>763</v>
      </c>
      <c r="E1044" s="501">
        <v>-25014082.199999999</v>
      </c>
      <c r="F1044" s="502" t="s">
        <v>878</v>
      </c>
      <c r="G1044" s="100" t="s">
        <v>679</v>
      </c>
      <c r="H1044" s="530"/>
      <c r="I1044" s="525"/>
      <c r="K1044" s="548"/>
      <c r="L1044" s="548"/>
      <c r="M1044" s="548"/>
      <c r="N1044" s="552"/>
      <c r="Y1044" s="551"/>
    </row>
    <row r="1045" spans="1:25">
      <c r="A1045" s="499">
        <v>45512</v>
      </c>
      <c r="B1045" s="499">
        <v>45513</v>
      </c>
      <c r="C1045" s="500" t="s">
        <v>173</v>
      </c>
      <c r="D1045" s="500" t="s">
        <v>763</v>
      </c>
      <c r="E1045" s="501">
        <v>1000519.92</v>
      </c>
      <c r="F1045" s="502" t="s">
        <v>878</v>
      </c>
      <c r="G1045" s="100" t="s">
        <v>634</v>
      </c>
      <c r="H1045" s="530"/>
      <c r="I1045" s="525"/>
      <c r="K1045" s="548"/>
      <c r="L1045" s="548"/>
      <c r="M1045" s="548"/>
      <c r="N1045" s="552"/>
      <c r="Y1045" s="551"/>
    </row>
    <row r="1046" spans="1:25">
      <c r="A1046" s="499">
        <v>45512</v>
      </c>
      <c r="B1046" s="499">
        <v>45513</v>
      </c>
      <c r="C1046" s="500" t="s">
        <v>173</v>
      </c>
      <c r="D1046" s="500" t="s">
        <v>763</v>
      </c>
      <c r="E1046" s="501">
        <v>6233721568.9300003</v>
      </c>
      <c r="F1046" s="502" t="s">
        <v>878</v>
      </c>
      <c r="G1046" s="100" t="s">
        <v>679</v>
      </c>
      <c r="H1046" s="530"/>
      <c r="I1046" s="525"/>
      <c r="K1046" s="548"/>
      <c r="L1046" s="548"/>
      <c r="M1046" s="548"/>
      <c r="N1046" s="552"/>
      <c r="Y1046" s="551"/>
    </row>
    <row r="1047" spans="1:25">
      <c r="A1047" s="499">
        <v>45512</v>
      </c>
      <c r="B1047" s="499">
        <v>45513</v>
      </c>
      <c r="C1047" s="500" t="s">
        <v>173</v>
      </c>
      <c r="D1047" s="500" t="s">
        <v>763</v>
      </c>
      <c r="E1047" s="501">
        <v>25022967.120000001</v>
      </c>
      <c r="F1047" s="502" t="s">
        <v>878</v>
      </c>
      <c r="G1047" s="100" t="s">
        <v>679</v>
      </c>
      <c r="H1047" s="530"/>
      <c r="I1047" s="525"/>
      <c r="K1047" s="548"/>
      <c r="L1047" s="548"/>
      <c r="M1047" s="548"/>
      <c r="N1047" s="552"/>
      <c r="Y1047" s="551"/>
    </row>
    <row r="1048" spans="1:25">
      <c r="A1048" s="499">
        <v>45513</v>
      </c>
      <c r="B1048" s="499">
        <v>45513</v>
      </c>
      <c r="C1048" s="500" t="s">
        <v>173</v>
      </c>
      <c r="D1048" s="500" t="s">
        <v>762</v>
      </c>
      <c r="E1048" s="501">
        <v>-11380503547.15</v>
      </c>
      <c r="F1048" s="502" t="s">
        <v>878</v>
      </c>
      <c r="G1048" s="100" t="s">
        <v>656</v>
      </c>
      <c r="H1048" s="530"/>
      <c r="I1048" s="525"/>
      <c r="K1048" s="548"/>
      <c r="L1048" s="548"/>
      <c r="M1048" s="548"/>
      <c r="N1048" s="552"/>
      <c r="Y1048" s="551"/>
    </row>
    <row r="1049" spans="1:25">
      <c r="A1049" s="499">
        <v>45513</v>
      </c>
      <c r="B1049" s="499">
        <v>45513</v>
      </c>
      <c r="C1049" s="500" t="s">
        <v>173</v>
      </c>
      <c r="D1049" s="500" t="s">
        <v>762</v>
      </c>
      <c r="E1049" s="501">
        <v>-49019727.200000003</v>
      </c>
      <c r="F1049" s="502" t="s">
        <v>878</v>
      </c>
      <c r="G1049" s="100" t="s">
        <v>817</v>
      </c>
      <c r="H1049" s="530"/>
      <c r="I1049" s="525"/>
      <c r="K1049" s="548"/>
      <c r="L1049" s="548"/>
      <c r="M1049" s="548"/>
      <c r="N1049" s="552"/>
      <c r="Y1049" s="551"/>
    </row>
    <row r="1050" spans="1:25">
      <c r="A1050" s="499">
        <v>45513</v>
      </c>
      <c r="B1050" s="499">
        <v>45516</v>
      </c>
      <c r="C1050" s="500" t="s">
        <v>173</v>
      </c>
      <c r="D1050" s="500" t="s">
        <v>762</v>
      </c>
      <c r="E1050" s="501">
        <v>11392630686.360001</v>
      </c>
      <c r="F1050" s="502" t="s">
        <v>878</v>
      </c>
      <c r="G1050" s="100" t="s">
        <v>656</v>
      </c>
      <c r="H1050" s="530"/>
      <c r="I1050" s="525"/>
      <c r="K1050" s="548"/>
      <c r="L1050" s="548"/>
      <c r="M1050" s="548"/>
      <c r="N1050" s="552"/>
      <c r="Y1050" s="551"/>
    </row>
    <row r="1051" spans="1:25">
      <c r="A1051" s="499">
        <v>45513</v>
      </c>
      <c r="B1051" s="499">
        <v>45516</v>
      </c>
      <c r="C1051" s="500" t="s">
        <v>173</v>
      </c>
      <c r="D1051" s="500" t="s">
        <v>762</v>
      </c>
      <c r="E1051" s="501">
        <v>49071963.340000004</v>
      </c>
      <c r="F1051" s="502" t="s">
        <v>878</v>
      </c>
      <c r="G1051" s="100" t="s">
        <v>817</v>
      </c>
      <c r="H1051" s="530"/>
      <c r="I1051" s="525"/>
      <c r="K1051" s="548"/>
      <c r="L1051" s="548"/>
      <c r="M1051" s="548"/>
      <c r="N1051" s="552"/>
      <c r="Y1051" s="551"/>
    </row>
    <row r="1052" spans="1:25">
      <c r="A1052" s="499">
        <v>45513</v>
      </c>
      <c r="B1052" s="499">
        <v>45513</v>
      </c>
      <c r="C1052" s="500" t="s">
        <v>173</v>
      </c>
      <c r="D1052" s="500" t="s">
        <v>761</v>
      </c>
      <c r="E1052" s="501">
        <v>-264026139.46000001</v>
      </c>
      <c r="F1052" s="502" t="s">
        <v>878</v>
      </c>
      <c r="G1052" s="100" t="s">
        <v>890</v>
      </c>
      <c r="H1052" s="530"/>
      <c r="I1052" s="525"/>
      <c r="K1052" s="548"/>
      <c r="L1052" s="548"/>
      <c r="M1052" s="548"/>
      <c r="N1052" s="552"/>
      <c r="Y1052" s="551"/>
    </row>
    <row r="1053" spans="1:25">
      <c r="A1053" s="499">
        <v>45513</v>
      </c>
      <c r="B1053" s="499">
        <v>45520</v>
      </c>
      <c r="C1053" s="500" t="s">
        <v>173</v>
      </c>
      <c r="D1053" s="500" t="s">
        <v>761</v>
      </c>
      <c r="E1053" s="501">
        <v>264700271.78</v>
      </c>
      <c r="F1053" s="502" t="s">
        <v>878</v>
      </c>
      <c r="G1053" s="100" t="s">
        <v>890</v>
      </c>
      <c r="H1053" s="530"/>
      <c r="I1053" s="525"/>
      <c r="K1053" s="548"/>
      <c r="L1053" s="548"/>
      <c r="M1053" s="548"/>
      <c r="N1053" s="552"/>
      <c r="Y1053" s="551"/>
    </row>
    <row r="1054" spans="1:25">
      <c r="A1054" s="499">
        <v>45513</v>
      </c>
      <c r="B1054" s="499">
        <v>45513</v>
      </c>
      <c r="C1054" s="500" t="s">
        <v>173</v>
      </c>
      <c r="D1054" s="500" t="s">
        <v>759</v>
      </c>
      <c r="E1054" s="501">
        <v>-548173382.92999995</v>
      </c>
      <c r="F1054" s="502" t="s">
        <v>878</v>
      </c>
      <c r="G1054" s="100" t="s">
        <v>634</v>
      </c>
      <c r="H1054" s="484"/>
      <c r="I1054" s="525"/>
      <c r="K1054" s="548"/>
      <c r="L1054" s="548"/>
      <c r="M1054" s="548"/>
      <c r="N1054" s="552"/>
      <c r="Y1054" s="551"/>
    </row>
    <row r="1055" spans="1:25">
      <c r="A1055" s="499">
        <v>45513</v>
      </c>
      <c r="B1055" s="499">
        <v>45513</v>
      </c>
      <c r="C1055" s="500" t="s">
        <v>173</v>
      </c>
      <c r="D1055" s="500" t="s">
        <v>759</v>
      </c>
      <c r="E1055" s="501">
        <v>-930240386.39999998</v>
      </c>
      <c r="F1055" s="502" t="s">
        <v>878</v>
      </c>
      <c r="G1055" s="100" t="s">
        <v>649</v>
      </c>
      <c r="H1055" s="484"/>
      <c r="I1055" s="525"/>
      <c r="K1055" s="548"/>
      <c r="L1055" s="548"/>
      <c r="M1055" s="548"/>
      <c r="N1055" s="552"/>
      <c r="Y1055" s="551"/>
    </row>
    <row r="1056" spans="1:25">
      <c r="A1056" s="499">
        <v>45513</v>
      </c>
      <c r="B1056" s="499">
        <v>45513</v>
      </c>
      <c r="C1056" s="500" t="s">
        <v>173</v>
      </c>
      <c r="D1056" s="500" t="s">
        <v>759</v>
      </c>
      <c r="E1056" s="501">
        <v>-7000612.0099999998</v>
      </c>
      <c r="F1056" s="502" t="s">
        <v>878</v>
      </c>
      <c r="G1056" s="100" t="s">
        <v>645</v>
      </c>
      <c r="H1056" s="484"/>
      <c r="I1056" s="525"/>
      <c r="K1056" s="548"/>
      <c r="L1056" s="548"/>
      <c r="M1056" s="548"/>
      <c r="N1056" s="552"/>
      <c r="Y1056" s="551"/>
    </row>
    <row r="1057" spans="1:25">
      <c r="A1057" s="499">
        <v>45513</v>
      </c>
      <c r="B1057" s="499">
        <v>45516</v>
      </c>
      <c r="C1057" s="500" t="s">
        <v>173</v>
      </c>
      <c r="D1057" s="500" t="s">
        <v>759</v>
      </c>
      <c r="E1057" s="501">
        <v>548757524.57000005</v>
      </c>
      <c r="F1057" s="502" t="s">
        <v>878</v>
      </c>
      <c r="G1057" s="100" t="s">
        <v>634</v>
      </c>
      <c r="H1057" s="530"/>
      <c r="I1057" s="525"/>
      <c r="K1057" s="548"/>
      <c r="L1057" s="548"/>
      <c r="M1057" s="548"/>
      <c r="N1057" s="552"/>
      <c r="Y1057" s="551"/>
    </row>
    <row r="1058" spans="1:25">
      <c r="A1058" s="499">
        <v>45513</v>
      </c>
      <c r="B1058" s="499">
        <v>45516</v>
      </c>
      <c r="C1058" s="500" t="s">
        <v>173</v>
      </c>
      <c r="D1058" s="500" t="s">
        <v>759</v>
      </c>
      <c r="E1058" s="501">
        <v>931231664.27999997</v>
      </c>
      <c r="F1058" s="502" t="s">
        <v>878</v>
      </c>
      <c r="G1058" s="100" t="s">
        <v>649</v>
      </c>
      <c r="H1058" s="530"/>
      <c r="I1058" s="525"/>
      <c r="K1058" s="548"/>
      <c r="L1058" s="548"/>
      <c r="M1058" s="548"/>
      <c r="N1058" s="552"/>
      <c r="Y1058" s="551"/>
    </row>
    <row r="1059" spans="1:25">
      <c r="A1059" s="499">
        <v>45513</v>
      </c>
      <c r="B1059" s="499">
        <v>45516</v>
      </c>
      <c r="C1059" s="500" t="s">
        <v>173</v>
      </c>
      <c r="D1059" s="500" t="s">
        <v>759</v>
      </c>
      <c r="E1059" s="501">
        <v>7008014.4100000001</v>
      </c>
      <c r="F1059" s="502" t="s">
        <v>878</v>
      </c>
      <c r="G1059" s="100" t="s">
        <v>645</v>
      </c>
      <c r="H1059" s="530"/>
      <c r="I1059" s="525"/>
      <c r="K1059" s="548"/>
      <c r="L1059" s="548"/>
      <c r="M1059" s="548"/>
      <c r="N1059" s="552"/>
      <c r="Y1059" s="551"/>
    </row>
    <row r="1060" spans="1:25">
      <c r="A1060" s="499">
        <v>45513</v>
      </c>
      <c r="B1060" s="499">
        <v>45513</v>
      </c>
      <c r="C1060" s="500" t="s">
        <v>173</v>
      </c>
      <c r="D1060" s="500" t="s">
        <v>760</v>
      </c>
      <c r="E1060" s="501">
        <v>-3075972906.02</v>
      </c>
      <c r="F1060" s="502" t="s">
        <v>878</v>
      </c>
      <c r="G1060" s="100" t="s">
        <v>634</v>
      </c>
      <c r="H1060" s="530"/>
      <c r="I1060" s="525"/>
      <c r="K1060" s="548"/>
      <c r="L1060" s="548"/>
      <c r="M1060" s="548"/>
      <c r="N1060" s="552"/>
      <c r="Y1060" s="551"/>
    </row>
    <row r="1061" spans="1:25">
      <c r="A1061" s="499">
        <v>45513</v>
      </c>
      <c r="B1061" s="499">
        <v>45513</v>
      </c>
      <c r="C1061" s="500" t="s">
        <v>173</v>
      </c>
      <c r="D1061" s="500" t="s">
        <v>760</v>
      </c>
      <c r="E1061" s="501">
        <v>-44014228.789999999</v>
      </c>
      <c r="F1061" s="502" t="s">
        <v>878</v>
      </c>
      <c r="G1061" s="100" t="s">
        <v>139</v>
      </c>
      <c r="H1061" s="530"/>
      <c r="I1061" s="525"/>
      <c r="K1061" s="548"/>
      <c r="L1061" s="548"/>
      <c r="M1061" s="548"/>
      <c r="N1061" s="552"/>
      <c r="Y1061" s="551"/>
    </row>
    <row r="1062" spans="1:25">
      <c r="A1062" s="499">
        <v>45513</v>
      </c>
      <c r="B1062" s="499">
        <v>45516</v>
      </c>
      <c r="C1062" s="500" t="s">
        <v>173</v>
      </c>
      <c r="D1062" s="500" t="s">
        <v>760</v>
      </c>
      <c r="E1062" s="501">
        <v>3079260642.0100002</v>
      </c>
      <c r="F1062" s="502" t="s">
        <v>878</v>
      </c>
      <c r="G1062" s="100" t="s">
        <v>634</v>
      </c>
      <c r="H1062" s="530"/>
      <c r="I1062" s="525"/>
      <c r="K1062" s="548"/>
      <c r="L1062" s="548"/>
      <c r="M1062" s="548"/>
      <c r="N1062" s="552"/>
      <c r="Y1062" s="551"/>
    </row>
    <row r="1063" spans="1:25">
      <c r="A1063" s="499">
        <v>45513</v>
      </c>
      <c r="B1063" s="499">
        <v>45516</v>
      </c>
      <c r="C1063" s="500" t="s">
        <v>173</v>
      </c>
      <c r="D1063" s="500" t="s">
        <v>760</v>
      </c>
      <c r="E1063" s="501">
        <v>44061131.359999999</v>
      </c>
      <c r="F1063" s="502" t="s">
        <v>878</v>
      </c>
      <c r="G1063" s="100" t="s">
        <v>139</v>
      </c>
      <c r="H1063" s="530"/>
      <c r="I1063" s="525"/>
      <c r="K1063" s="548"/>
      <c r="L1063" s="548"/>
      <c r="M1063" s="548"/>
      <c r="N1063" s="552"/>
      <c r="Y1063" s="551"/>
    </row>
    <row r="1064" spans="1:25">
      <c r="A1064" s="499">
        <v>45511</v>
      </c>
      <c r="B1064" s="499">
        <v>45513</v>
      </c>
      <c r="C1064" s="500" t="s">
        <v>173</v>
      </c>
      <c r="D1064" s="500" t="s">
        <v>760</v>
      </c>
      <c r="E1064" s="501">
        <v>-1294150000</v>
      </c>
      <c r="F1064" s="502" t="s">
        <v>906</v>
      </c>
      <c r="G1064" s="100" t="s">
        <v>890</v>
      </c>
      <c r="H1064" s="530"/>
      <c r="I1064" s="525" t="s">
        <v>889</v>
      </c>
      <c r="K1064" s="548">
        <v>113663823</v>
      </c>
      <c r="L1064" s="549">
        <v>99.55</v>
      </c>
      <c r="M1064" s="549">
        <f>-E1064/(N1064*O1064)*100</f>
        <v>99.550000000000011</v>
      </c>
      <c r="N1064" s="549">
        <v>13000000</v>
      </c>
      <c r="O1064" s="539">
        <v>100</v>
      </c>
      <c r="P1064" s="539">
        <v>99.581699999999998</v>
      </c>
      <c r="T1064" s="553">
        <v>13.75</v>
      </c>
      <c r="U1064" s="538">
        <v>18118.099999999999</v>
      </c>
      <c r="V1064" s="538">
        <v>64707.5</v>
      </c>
      <c r="W1064" s="550">
        <f>VLOOKUP(G1064,Справочник!A:C,3,0)</f>
        <v>0</v>
      </c>
      <c r="X1064" s="539" t="str">
        <f>VLOOKUP(G1064,Справочник!A:G,7,0)</f>
        <v xml:space="preserve">Национальный банка Республики Казахстан </v>
      </c>
      <c r="Y1064" s="551">
        <f>VLOOKUP(G1064,Справочник!A:B,2,0)</f>
        <v>45525</v>
      </c>
    </row>
    <row r="1065" spans="1:25">
      <c r="A1065" s="499">
        <v>45513</v>
      </c>
      <c r="B1065" s="499">
        <v>45513</v>
      </c>
      <c r="C1065" s="500" t="s">
        <v>173</v>
      </c>
      <c r="D1065" s="500" t="s">
        <v>764</v>
      </c>
      <c r="E1065" s="501">
        <v>-9000408.6899999995</v>
      </c>
      <c r="F1065" s="502" t="s">
        <v>878</v>
      </c>
      <c r="G1065" s="100" t="s">
        <v>768</v>
      </c>
      <c r="H1065" s="530"/>
      <c r="I1065" s="525"/>
      <c r="K1065" s="548"/>
      <c r="L1065" s="548"/>
      <c r="M1065" s="548"/>
      <c r="N1065" s="552"/>
      <c r="Y1065" s="551"/>
    </row>
    <row r="1066" spans="1:25">
      <c r="A1066" s="499">
        <v>45513</v>
      </c>
      <c r="B1066" s="499">
        <v>45520</v>
      </c>
      <c r="C1066" s="500" t="s">
        <v>173</v>
      </c>
      <c r="D1066" s="500" t="s">
        <v>764</v>
      </c>
      <c r="E1066" s="501">
        <v>9023303.1699999999</v>
      </c>
      <c r="F1066" s="502" t="s">
        <v>878</v>
      </c>
      <c r="G1066" s="100" t="s">
        <v>768</v>
      </c>
      <c r="H1066" s="530"/>
      <c r="I1066" s="525"/>
      <c r="K1066" s="548"/>
      <c r="L1066" s="548"/>
      <c r="M1066" s="548"/>
      <c r="N1066" s="552"/>
      <c r="Y1066" s="551"/>
    </row>
    <row r="1067" spans="1:25">
      <c r="A1067" s="499">
        <v>45513</v>
      </c>
      <c r="B1067" s="499">
        <v>45513</v>
      </c>
      <c r="C1067" s="500" t="s">
        <v>173</v>
      </c>
      <c r="D1067" s="500" t="s">
        <v>763</v>
      </c>
      <c r="E1067" s="501">
        <v>-6230544688.2799997</v>
      </c>
      <c r="F1067" s="502" t="s">
        <v>878</v>
      </c>
      <c r="G1067" s="100" t="s">
        <v>645</v>
      </c>
      <c r="H1067" s="530"/>
      <c r="I1067" s="525"/>
      <c r="K1067" s="548"/>
      <c r="L1067" s="548"/>
      <c r="M1067" s="548"/>
      <c r="N1067" s="552"/>
      <c r="Y1067" s="551"/>
    </row>
    <row r="1068" spans="1:25">
      <c r="A1068" s="499">
        <v>45513</v>
      </c>
      <c r="B1068" s="499">
        <v>45513</v>
      </c>
      <c r="C1068" s="500" t="s">
        <v>173</v>
      </c>
      <c r="D1068" s="500" t="s">
        <v>763</v>
      </c>
      <c r="E1068" s="501">
        <v>-29018048.440000001</v>
      </c>
      <c r="F1068" s="502" t="s">
        <v>878</v>
      </c>
      <c r="G1068" s="100" t="s">
        <v>655</v>
      </c>
      <c r="H1068" s="530"/>
      <c r="I1068" s="525"/>
      <c r="K1068" s="548"/>
      <c r="L1068" s="548"/>
      <c r="M1068" s="548"/>
      <c r="N1068" s="552"/>
      <c r="Y1068" s="551"/>
    </row>
    <row r="1069" spans="1:25">
      <c r="A1069" s="499">
        <v>45513</v>
      </c>
      <c r="B1069" s="499">
        <v>45516</v>
      </c>
      <c r="C1069" s="500" t="s">
        <v>173</v>
      </c>
      <c r="D1069" s="500" t="s">
        <v>763</v>
      </c>
      <c r="E1069" s="501">
        <v>6237183895.4200001</v>
      </c>
      <c r="F1069" s="502" t="s">
        <v>878</v>
      </c>
      <c r="G1069" s="100" t="s">
        <v>645</v>
      </c>
      <c r="H1069" s="530"/>
      <c r="I1069" s="525"/>
      <c r="K1069" s="548"/>
      <c r="L1069" s="548"/>
      <c r="M1069" s="548"/>
      <c r="N1069" s="552"/>
      <c r="Y1069" s="551"/>
    </row>
    <row r="1070" spans="1:25">
      <c r="A1070" s="499">
        <v>45513</v>
      </c>
      <c r="B1070" s="499">
        <v>45516</v>
      </c>
      <c r="C1070" s="500" t="s">
        <v>173</v>
      </c>
      <c r="D1070" s="500" t="s">
        <v>763</v>
      </c>
      <c r="E1070" s="501">
        <v>29049064.449999999</v>
      </c>
      <c r="F1070" s="502" t="s">
        <v>878</v>
      </c>
      <c r="G1070" s="100" t="s">
        <v>655</v>
      </c>
      <c r="H1070" s="530"/>
      <c r="I1070" s="525"/>
      <c r="K1070" s="548"/>
      <c r="L1070" s="548"/>
      <c r="M1070" s="548"/>
      <c r="N1070" s="552"/>
      <c r="Y1070" s="551"/>
    </row>
    <row r="1071" spans="1:25">
      <c r="A1071" s="499">
        <v>45516</v>
      </c>
      <c r="B1071" s="499">
        <v>45516</v>
      </c>
      <c r="C1071" s="500" t="s">
        <v>173</v>
      </c>
      <c r="D1071" s="500" t="s">
        <v>762</v>
      </c>
      <c r="E1071" s="501">
        <v>-3709344437</v>
      </c>
      <c r="F1071" s="502" t="s">
        <v>878</v>
      </c>
      <c r="G1071" s="100" t="s">
        <v>696</v>
      </c>
      <c r="H1071" s="530"/>
      <c r="I1071" s="525"/>
      <c r="K1071" s="548"/>
      <c r="L1071" s="548"/>
      <c r="M1071" s="548"/>
      <c r="N1071" s="552"/>
      <c r="Y1071" s="551"/>
    </row>
    <row r="1072" spans="1:25">
      <c r="A1072" s="499">
        <v>45516</v>
      </c>
      <c r="B1072" s="499">
        <v>45516</v>
      </c>
      <c r="C1072" s="500" t="s">
        <v>173</v>
      </c>
      <c r="D1072" s="500" t="s">
        <v>762</v>
      </c>
      <c r="E1072" s="501">
        <v>-48009563.619999997</v>
      </c>
      <c r="F1072" s="502" t="s">
        <v>878</v>
      </c>
      <c r="G1072" s="100" t="s">
        <v>648</v>
      </c>
      <c r="H1072" s="530"/>
      <c r="I1072" s="525"/>
      <c r="K1072" s="548"/>
      <c r="L1072" s="548"/>
      <c r="M1072" s="548"/>
      <c r="N1072" s="552"/>
      <c r="Y1072" s="551"/>
    </row>
    <row r="1073" spans="1:25">
      <c r="A1073" s="499">
        <v>45516</v>
      </c>
      <c r="B1073" s="499">
        <v>45516</v>
      </c>
      <c r="C1073" s="500" t="s">
        <v>173</v>
      </c>
      <c r="D1073" s="500" t="s">
        <v>762</v>
      </c>
      <c r="E1073" s="501">
        <v>-7683615289</v>
      </c>
      <c r="F1073" s="502" t="s">
        <v>878</v>
      </c>
      <c r="G1073" s="100" t="s">
        <v>630</v>
      </c>
      <c r="H1073" s="530"/>
      <c r="I1073" s="525"/>
      <c r="K1073" s="548"/>
      <c r="L1073" s="548"/>
      <c r="M1073" s="548"/>
      <c r="N1073" s="552"/>
      <c r="Y1073" s="551"/>
    </row>
    <row r="1074" spans="1:25">
      <c r="A1074" s="499">
        <v>45516</v>
      </c>
      <c r="B1074" s="499">
        <v>45517</v>
      </c>
      <c r="C1074" s="500" t="s">
        <v>173</v>
      </c>
      <c r="D1074" s="500" t="s">
        <v>762</v>
      </c>
      <c r="E1074" s="501">
        <v>3710661963</v>
      </c>
      <c r="F1074" s="502" t="s">
        <v>878</v>
      </c>
      <c r="G1074" s="100" t="s">
        <v>696</v>
      </c>
      <c r="H1074" s="530"/>
      <c r="I1074" s="525"/>
      <c r="K1074" s="548"/>
      <c r="L1074" s="548"/>
      <c r="M1074" s="548"/>
      <c r="N1074" s="552"/>
      <c r="Y1074" s="551"/>
    </row>
    <row r="1075" spans="1:25">
      <c r="A1075" s="499">
        <v>45516</v>
      </c>
      <c r="B1075" s="499">
        <v>45517</v>
      </c>
      <c r="C1075" s="500" t="s">
        <v>173</v>
      </c>
      <c r="D1075" s="500" t="s">
        <v>762</v>
      </c>
      <c r="E1075" s="501">
        <v>48026563.729999997</v>
      </c>
      <c r="F1075" s="502" t="s">
        <v>878</v>
      </c>
      <c r="G1075" s="100" t="s">
        <v>648</v>
      </c>
      <c r="H1075" s="530"/>
      <c r="I1075" s="525"/>
      <c r="K1075" s="548"/>
      <c r="L1075" s="548"/>
      <c r="M1075" s="548"/>
      <c r="N1075" s="552"/>
      <c r="Y1075" s="551"/>
    </row>
    <row r="1076" spans="1:25">
      <c r="A1076" s="499">
        <v>45516</v>
      </c>
      <c r="B1076" s="499">
        <v>45517</v>
      </c>
      <c r="C1076" s="500" t="s">
        <v>173</v>
      </c>
      <c r="D1076" s="500" t="s">
        <v>762</v>
      </c>
      <c r="E1076" s="501">
        <v>7686344442</v>
      </c>
      <c r="F1076" s="502" t="s">
        <v>878</v>
      </c>
      <c r="G1076" s="100" t="s">
        <v>630</v>
      </c>
      <c r="H1076" s="530"/>
      <c r="I1076" s="525"/>
      <c r="K1076" s="548"/>
      <c r="L1076" s="548"/>
      <c r="M1076" s="548"/>
      <c r="N1076" s="552"/>
      <c r="Y1076" s="551"/>
    </row>
    <row r="1077" spans="1:25">
      <c r="A1077" s="499">
        <v>45516</v>
      </c>
      <c r="B1077" s="499">
        <v>45516</v>
      </c>
      <c r="C1077" s="500" t="s">
        <v>173</v>
      </c>
      <c r="D1077" s="500" t="s">
        <v>761</v>
      </c>
      <c r="E1077" s="501">
        <v>-1796747044.4000001</v>
      </c>
      <c r="F1077" s="502" t="s">
        <v>878</v>
      </c>
      <c r="G1077" s="100" t="s">
        <v>655</v>
      </c>
      <c r="H1077" s="530"/>
      <c r="I1077" s="525"/>
      <c r="K1077" s="548"/>
      <c r="L1077" s="548"/>
      <c r="M1077" s="548"/>
      <c r="N1077" s="552"/>
      <c r="Y1077" s="551"/>
    </row>
    <row r="1078" spans="1:25">
      <c r="A1078" s="499">
        <v>45516</v>
      </c>
      <c r="B1078" s="499">
        <v>45516</v>
      </c>
      <c r="C1078" s="500" t="s">
        <v>173</v>
      </c>
      <c r="D1078" s="500" t="s">
        <v>761</v>
      </c>
      <c r="E1078" s="501">
        <v>-8003261.1699999999</v>
      </c>
      <c r="F1078" s="502" t="s">
        <v>878</v>
      </c>
      <c r="G1078" s="100" t="s">
        <v>605</v>
      </c>
      <c r="H1078" s="530"/>
      <c r="I1078" s="525"/>
      <c r="K1078" s="548"/>
      <c r="L1078" s="548"/>
      <c r="M1078" s="548"/>
      <c r="N1078" s="552"/>
      <c r="Y1078" s="551"/>
    </row>
    <row r="1079" spans="1:25">
      <c r="A1079" s="499">
        <v>45516</v>
      </c>
      <c r="B1079" s="499">
        <v>45523</v>
      </c>
      <c r="C1079" s="500" t="s">
        <v>173</v>
      </c>
      <c r="D1079" s="500" t="s">
        <v>761</v>
      </c>
      <c r="E1079" s="501">
        <v>1801317458.3299999</v>
      </c>
      <c r="F1079" s="502" t="s">
        <v>878</v>
      </c>
      <c r="G1079" s="100" t="s">
        <v>655</v>
      </c>
      <c r="H1079" s="530"/>
      <c r="I1079" s="525"/>
      <c r="K1079" s="548"/>
      <c r="L1079" s="548"/>
      <c r="M1079" s="548"/>
      <c r="N1079" s="552"/>
      <c r="Y1079" s="551"/>
    </row>
    <row r="1080" spans="1:25">
      <c r="A1080" s="499">
        <v>45516</v>
      </c>
      <c r="B1080" s="499">
        <v>45523</v>
      </c>
      <c r="C1080" s="500" t="s">
        <v>173</v>
      </c>
      <c r="D1080" s="500" t="s">
        <v>761</v>
      </c>
      <c r="E1080" s="501">
        <v>8023435.5099999998</v>
      </c>
      <c r="F1080" s="502" t="s">
        <v>878</v>
      </c>
      <c r="G1080" s="100" t="s">
        <v>605</v>
      </c>
      <c r="H1080" s="530"/>
      <c r="I1080" s="525"/>
      <c r="K1080" s="548"/>
      <c r="L1080" s="548"/>
      <c r="M1080" s="548"/>
      <c r="N1080" s="552"/>
      <c r="Y1080" s="551"/>
    </row>
    <row r="1081" spans="1:25">
      <c r="A1081" s="499">
        <v>45516</v>
      </c>
      <c r="B1081" s="499">
        <v>45516</v>
      </c>
      <c r="C1081" s="500" t="s">
        <v>173</v>
      </c>
      <c r="D1081" s="500" t="s">
        <v>759</v>
      </c>
      <c r="E1081" s="501">
        <v>-1481352539.4400001</v>
      </c>
      <c r="F1081" s="502" t="s">
        <v>878</v>
      </c>
      <c r="G1081" s="100" t="s">
        <v>679</v>
      </c>
      <c r="H1081" s="530"/>
      <c r="I1081" s="525"/>
      <c r="K1081" s="548"/>
      <c r="L1081" s="548"/>
      <c r="M1081" s="548"/>
      <c r="N1081" s="552"/>
      <c r="Y1081" s="551"/>
    </row>
    <row r="1082" spans="1:25">
      <c r="A1082" s="499">
        <v>45516</v>
      </c>
      <c r="B1082" s="499">
        <v>45516</v>
      </c>
      <c r="C1082" s="500" t="s">
        <v>173</v>
      </c>
      <c r="D1082" s="500" t="s">
        <v>759</v>
      </c>
      <c r="E1082" s="501">
        <v>-6001195.4500000002</v>
      </c>
      <c r="F1082" s="502" t="s">
        <v>878</v>
      </c>
      <c r="G1082" s="100" t="s">
        <v>649</v>
      </c>
      <c r="H1082" s="530"/>
      <c r="I1082" s="525"/>
      <c r="K1082" s="548"/>
      <c r="L1082" s="548"/>
      <c r="M1082" s="548"/>
      <c r="N1082" s="552"/>
      <c r="Y1082" s="551"/>
    </row>
    <row r="1083" spans="1:25">
      <c r="A1083" s="499">
        <v>45516</v>
      </c>
      <c r="B1083" s="499">
        <v>45517</v>
      </c>
      <c r="C1083" s="500" t="s">
        <v>173</v>
      </c>
      <c r="D1083" s="500" t="s">
        <v>759</v>
      </c>
      <c r="E1083" s="501">
        <v>1481876679.2</v>
      </c>
      <c r="F1083" s="502" t="s">
        <v>878</v>
      </c>
      <c r="G1083" s="100" t="s">
        <v>679</v>
      </c>
      <c r="H1083" s="530"/>
      <c r="I1083" s="525"/>
      <c r="K1083" s="548"/>
      <c r="L1083" s="548"/>
      <c r="M1083" s="548"/>
      <c r="N1083" s="552"/>
      <c r="Y1083" s="551"/>
    </row>
    <row r="1084" spans="1:25">
      <c r="A1084" s="499">
        <v>45516</v>
      </c>
      <c r="B1084" s="499">
        <v>45517</v>
      </c>
      <c r="C1084" s="500" t="s">
        <v>173</v>
      </c>
      <c r="D1084" s="500" t="s">
        <v>759</v>
      </c>
      <c r="E1084" s="501">
        <v>6003320.46</v>
      </c>
      <c r="F1084" s="502" t="s">
        <v>878</v>
      </c>
      <c r="G1084" s="100" t="s">
        <v>649</v>
      </c>
      <c r="H1084" s="530"/>
      <c r="I1084" s="525"/>
      <c r="K1084" s="548"/>
      <c r="L1084" s="548"/>
      <c r="M1084" s="548"/>
      <c r="N1084" s="552"/>
      <c r="Y1084" s="551"/>
    </row>
    <row r="1085" spans="1:25">
      <c r="A1085" s="499">
        <v>45516</v>
      </c>
      <c r="B1085" s="499">
        <v>45516</v>
      </c>
      <c r="C1085" s="500" t="s">
        <v>173</v>
      </c>
      <c r="D1085" s="500" t="s">
        <v>760</v>
      </c>
      <c r="E1085" s="501">
        <v>-3080236102.3299999</v>
      </c>
      <c r="F1085" s="502" t="s">
        <v>878</v>
      </c>
      <c r="G1085" s="100" t="s">
        <v>890</v>
      </c>
      <c r="H1085" s="530">
        <v>-1</v>
      </c>
      <c r="I1085" s="525"/>
      <c r="K1085" s="548"/>
      <c r="L1085" s="548"/>
      <c r="M1085" s="548"/>
      <c r="N1085" s="552"/>
      <c r="Y1085" s="551"/>
    </row>
    <row r="1086" spans="1:25">
      <c r="A1086" s="499">
        <v>45516</v>
      </c>
      <c r="B1086" s="499">
        <v>45516</v>
      </c>
      <c r="C1086" s="500" t="s">
        <v>173</v>
      </c>
      <c r="D1086" s="500" t="s">
        <v>760</v>
      </c>
      <c r="E1086" s="501">
        <v>-26013104.440000001</v>
      </c>
      <c r="F1086" s="502" t="s">
        <v>878</v>
      </c>
      <c r="G1086" s="100" t="s">
        <v>591</v>
      </c>
      <c r="H1086" s="530"/>
      <c r="I1086" s="525"/>
      <c r="K1086" s="548"/>
      <c r="L1086" s="548"/>
      <c r="M1086" s="548"/>
      <c r="N1086" s="552"/>
      <c r="Y1086" s="551"/>
    </row>
    <row r="1087" spans="1:25">
      <c r="A1087" s="499">
        <v>45516</v>
      </c>
      <c r="B1087" s="499">
        <v>45516</v>
      </c>
      <c r="C1087" s="500" t="s">
        <v>173</v>
      </c>
      <c r="D1087" s="500" t="s">
        <v>760</v>
      </c>
      <c r="E1087" s="501">
        <v>-16001460.960000001</v>
      </c>
      <c r="F1087" s="502" t="s">
        <v>878</v>
      </c>
      <c r="G1087" s="100" t="s">
        <v>494</v>
      </c>
      <c r="H1087" s="530"/>
      <c r="I1087" s="525"/>
      <c r="K1087" s="548"/>
      <c r="L1087" s="548"/>
      <c r="M1087" s="548"/>
      <c r="N1087" s="552"/>
      <c r="Y1087" s="551"/>
    </row>
    <row r="1088" spans="1:25">
      <c r="A1088" s="499">
        <v>45516</v>
      </c>
      <c r="B1088" s="499">
        <v>45517</v>
      </c>
      <c r="C1088" s="500" t="s">
        <v>173</v>
      </c>
      <c r="D1088" s="500" t="s">
        <v>760</v>
      </c>
      <c r="E1088" s="501">
        <v>3081355423.0999999</v>
      </c>
      <c r="F1088" s="502" t="s">
        <v>878</v>
      </c>
      <c r="G1088" s="100" t="s">
        <v>890</v>
      </c>
      <c r="H1088" s="530"/>
      <c r="I1088" s="525"/>
      <c r="K1088" s="548"/>
      <c r="L1088" s="548"/>
      <c r="M1088" s="548"/>
      <c r="N1088" s="552"/>
      <c r="Y1088" s="551"/>
    </row>
    <row r="1089" spans="1:25">
      <c r="A1089" s="499">
        <v>45516</v>
      </c>
      <c r="B1089" s="499">
        <v>45517</v>
      </c>
      <c r="C1089" s="500" t="s">
        <v>173</v>
      </c>
      <c r="D1089" s="500" t="s">
        <v>760</v>
      </c>
      <c r="E1089" s="501">
        <v>26022415.07</v>
      </c>
      <c r="F1089" s="502" t="s">
        <v>878</v>
      </c>
      <c r="G1089" s="100" t="s">
        <v>591</v>
      </c>
      <c r="H1089" s="530"/>
      <c r="I1089" s="525"/>
      <c r="K1089" s="548"/>
      <c r="L1089" s="548"/>
      <c r="M1089" s="548"/>
      <c r="N1089" s="552"/>
      <c r="Y1089" s="551"/>
    </row>
    <row r="1090" spans="1:25">
      <c r="A1090" s="499">
        <v>45516</v>
      </c>
      <c r="B1090" s="499">
        <v>45517</v>
      </c>
      <c r="C1090" s="500" t="s">
        <v>173</v>
      </c>
      <c r="D1090" s="500" t="s">
        <v>760</v>
      </c>
      <c r="E1090" s="501">
        <v>16007188.220000001</v>
      </c>
      <c r="F1090" s="502" t="s">
        <v>878</v>
      </c>
      <c r="G1090" s="100" t="s">
        <v>494</v>
      </c>
      <c r="H1090" s="530"/>
      <c r="I1090" s="525"/>
      <c r="K1090" s="548"/>
      <c r="L1090" s="548"/>
      <c r="M1090" s="548"/>
      <c r="N1090" s="552"/>
      <c r="Y1090" s="551"/>
    </row>
    <row r="1091" spans="1:25">
      <c r="A1091" s="499">
        <v>45516</v>
      </c>
      <c r="B1091" s="499">
        <v>45516</v>
      </c>
      <c r="C1091" s="500" t="s">
        <v>173</v>
      </c>
      <c r="D1091" s="500" t="s">
        <v>763</v>
      </c>
      <c r="E1091" s="501">
        <v>-102009313.62</v>
      </c>
      <c r="F1091" s="502" t="s">
        <v>878</v>
      </c>
      <c r="G1091" s="100" t="s">
        <v>494</v>
      </c>
      <c r="H1091" s="530"/>
      <c r="I1091" s="525"/>
      <c r="K1091" s="548"/>
      <c r="L1091" s="548"/>
      <c r="M1091" s="548"/>
      <c r="N1091" s="552"/>
      <c r="Y1091" s="551"/>
    </row>
    <row r="1092" spans="1:25">
      <c r="A1092" s="499">
        <v>45516</v>
      </c>
      <c r="B1092" s="499">
        <v>45516</v>
      </c>
      <c r="C1092" s="500" t="s">
        <v>173</v>
      </c>
      <c r="D1092" s="500" t="s">
        <v>763</v>
      </c>
      <c r="E1092" s="501">
        <v>-25001534.079999991</v>
      </c>
      <c r="F1092" s="502" t="s">
        <v>878</v>
      </c>
      <c r="G1092" s="100" t="s">
        <v>593</v>
      </c>
      <c r="H1092" s="530"/>
      <c r="I1092" s="525"/>
      <c r="K1092" s="548"/>
      <c r="L1092" s="548"/>
      <c r="M1092" s="548"/>
      <c r="N1092" s="552"/>
      <c r="Y1092" s="551"/>
    </row>
    <row r="1093" spans="1:25">
      <c r="A1093" s="499">
        <v>45516</v>
      </c>
      <c r="B1093" s="499">
        <v>45516</v>
      </c>
      <c r="C1093" s="500" t="s">
        <v>173</v>
      </c>
      <c r="D1093" s="500" t="s">
        <v>763</v>
      </c>
      <c r="E1093" s="501">
        <v>-108003472.2</v>
      </c>
      <c r="F1093" s="502" t="s">
        <v>878</v>
      </c>
      <c r="G1093" s="100" t="s">
        <v>83</v>
      </c>
      <c r="H1093" s="530"/>
      <c r="I1093" s="525"/>
      <c r="K1093" s="548"/>
      <c r="L1093" s="548"/>
      <c r="M1093" s="548"/>
      <c r="N1093" s="552"/>
      <c r="Y1093" s="551"/>
    </row>
    <row r="1094" spans="1:25">
      <c r="A1094" s="499">
        <v>45516</v>
      </c>
      <c r="B1094" s="499">
        <v>45516</v>
      </c>
      <c r="C1094" s="500" t="s">
        <v>173</v>
      </c>
      <c r="D1094" s="500" t="s">
        <v>763</v>
      </c>
      <c r="E1094" s="501">
        <v>-6007169383.6499996</v>
      </c>
      <c r="F1094" s="502" t="s">
        <v>878</v>
      </c>
      <c r="G1094" s="100" t="s">
        <v>448</v>
      </c>
      <c r="H1094" s="530"/>
      <c r="I1094" s="525"/>
      <c r="K1094" s="548"/>
      <c r="L1094" s="548"/>
      <c r="M1094" s="548"/>
      <c r="N1094" s="552"/>
      <c r="Y1094" s="551"/>
    </row>
    <row r="1095" spans="1:25">
      <c r="A1095" s="499">
        <v>45516</v>
      </c>
      <c r="B1095" s="499">
        <v>45516</v>
      </c>
      <c r="C1095" s="500" t="s">
        <v>173</v>
      </c>
      <c r="D1095" s="500" t="s">
        <v>763</v>
      </c>
      <c r="E1095" s="501">
        <v>-24001472.710000001</v>
      </c>
      <c r="F1095" s="502" t="s">
        <v>878</v>
      </c>
      <c r="G1095" s="100" t="s">
        <v>593</v>
      </c>
      <c r="H1095" s="530"/>
      <c r="I1095" s="525"/>
      <c r="K1095" s="548"/>
      <c r="L1095" s="548"/>
      <c r="M1095" s="548"/>
      <c r="N1095" s="552"/>
      <c r="Y1095" s="551"/>
    </row>
    <row r="1096" spans="1:25">
      <c r="A1096" s="499">
        <v>45516</v>
      </c>
      <c r="B1096" s="499">
        <v>45517</v>
      </c>
      <c r="C1096" s="500" t="s">
        <v>173</v>
      </c>
      <c r="D1096" s="500" t="s">
        <v>763</v>
      </c>
      <c r="E1096" s="501">
        <v>102045546.98999999</v>
      </c>
      <c r="F1096" s="502" t="s">
        <v>878</v>
      </c>
      <c r="G1096" s="100" t="s">
        <v>494</v>
      </c>
      <c r="H1096" s="530"/>
      <c r="I1096" s="525"/>
      <c r="K1096" s="548"/>
      <c r="L1096" s="548"/>
      <c r="M1096" s="548"/>
      <c r="N1096" s="552"/>
      <c r="Y1096" s="551"/>
    </row>
    <row r="1097" spans="1:25">
      <c r="A1097" s="499">
        <v>45516</v>
      </c>
      <c r="B1097" s="499">
        <v>45517</v>
      </c>
      <c r="C1097" s="500" t="s">
        <v>173</v>
      </c>
      <c r="D1097" s="500" t="s">
        <v>763</v>
      </c>
      <c r="E1097" s="501">
        <v>25010414.539999999</v>
      </c>
      <c r="F1097" s="502" t="s">
        <v>878</v>
      </c>
      <c r="G1097" s="100" t="s">
        <v>593</v>
      </c>
      <c r="H1097" s="530"/>
      <c r="I1097" s="525"/>
      <c r="K1097" s="548"/>
      <c r="L1097" s="548"/>
      <c r="M1097" s="548"/>
      <c r="N1097" s="552"/>
      <c r="Y1097" s="551"/>
    </row>
    <row r="1098" spans="1:25">
      <c r="A1098" s="499">
        <v>45516</v>
      </c>
      <c r="B1098" s="499">
        <v>45517</v>
      </c>
      <c r="C1098" s="500" t="s">
        <v>173</v>
      </c>
      <c r="D1098" s="500" t="s">
        <v>763</v>
      </c>
      <c r="E1098" s="501">
        <v>108041834.68000001</v>
      </c>
      <c r="F1098" s="502" t="s">
        <v>878</v>
      </c>
      <c r="G1098" s="100" t="s">
        <v>83</v>
      </c>
      <c r="H1098" s="530"/>
      <c r="I1098" s="525"/>
      <c r="K1098" s="548"/>
      <c r="L1098" s="548"/>
      <c r="M1098" s="548"/>
      <c r="N1098" s="552"/>
      <c r="Y1098" s="551"/>
    </row>
    <row r="1099" spans="1:25">
      <c r="A1099" s="499">
        <v>45516</v>
      </c>
      <c r="B1099" s="499">
        <v>45517</v>
      </c>
      <c r="C1099" s="500" t="s">
        <v>173</v>
      </c>
      <c r="D1099" s="500" t="s">
        <v>763</v>
      </c>
      <c r="E1099" s="501">
        <v>6009303110.5200005</v>
      </c>
      <c r="F1099" s="502" t="s">
        <v>878</v>
      </c>
      <c r="G1099" s="100" t="s">
        <v>448</v>
      </c>
      <c r="H1099" s="530"/>
      <c r="I1099" s="525"/>
      <c r="K1099" s="548"/>
      <c r="L1099" s="548"/>
      <c r="M1099" s="548"/>
      <c r="N1099" s="552"/>
      <c r="Y1099" s="551"/>
    </row>
    <row r="1100" spans="1:25">
      <c r="A1100" s="499">
        <v>45516</v>
      </c>
      <c r="B1100" s="499">
        <v>45517</v>
      </c>
      <c r="C1100" s="500" t="s">
        <v>173</v>
      </c>
      <c r="D1100" s="500" t="s">
        <v>763</v>
      </c>
      <c r="E1100" s="501">
        <v>24009997.949999999</v>
      </c>
      <c r="F1100" s="502" t="s">
        <v>878</v>
      </c>
      <c r="G1100" s="100" t="s">
        <v>593</v>
      </c>
      <c r="H1100" s="530"/>
      <c r="I1100" s="525"/>
      <c r="K1100" s="548"/>
      <c r="L1100" s="548"/>
      <c r="M1100" s="548"/>
      <c r="N1100" s="552"/>
      <c r="Y1100" s="551"/>
    </row>
    <row r="1101" spans="1:25">
      <c r="A1101" s="499">
        <v>45517</v>
      </c>
      <c r="B1101" s="499">
        <v>45517</v>
      </c>
      <c r="C1101" s="500" t="s">
        <v>173</v>
      </c>
      <c r="D1101" s="500" t="s">
        <v>762</v>
      </c>
      <c r="E1101" s="501">
        <v>-44022690.18</v>
      </c>
      <c r="F1101" s="502" t="s">
        <v>878</v>
      </c>
      <c r="G1101" s="100" t="s">
        <v>687</v>
      </c>
      <c r="H1101" s="530"/>
      <c r="I1101" s="525"/>
      <c r="K1101" s="548"/>
      <c r="L1101" s="548"/>
      <c r="M1101" s="548"/>
      <c r="N1101" s="552"/>
      <c r="Y1101" s="551"/>
    </row>
    <row r="1102" spans="1:25">
      <c r="A1102" s="499">
        <v>45517</v>
      </c>
      <c r="B1102" s="499">
        <v>45517</v>
      </c>
      <c r="C1102" s="500" t="s">
        <v>173</v>
      </c>
      <c r="D1102" s="500" t="s">
        <v>762</v>
      </c>
      <c r="E1102" s="501">
        <v>-7774753227</v>
      </c>
      <c r="F1102" s="502" t="s">
        <v>878</v>
      </c>
      <c r="G1102" s="100" t="s">
        <v>682</v>
      </c>
      <c r="H1102" s="530"/>
      <c r="I1102" s="525"/>
      <c r="K1102" s="548"/>
      <c r="L1102" s="548"/>
      <c r="M1102" s="548"/>
      <c r="N1102" s="552"/>
      <c r="Y1102" s="551"/>
    </row>
    <row r="1103" spans="1:25">
      <c r="A1103" s="499">
        <v>45517</v>
      </c>
      <c r="B1103" s="499">
        <v>45517</v>
      </c>
      <c r="C1103" s="500" t="s">
        <v>173</v>
      </c>
      <c r="D1103" s="500" t="s">
        <v>762</v>
      </c>
      <c r="E1103" s="501">
        <v>-3625342932</v>
      </c>
      <c r="F1103" s="502" t="s">
        <v>878</v>
      </c>
      <c r="G1103" s="100" t="s">
        <v>675</v>
      </c>
      <c r="H1103" s="530"/>
      <c r="I1103" s="525"/>
      <c r="K1103" s="548"/>
      <c r="L1103" s="548"/>
      <c r="M1103" s="548"/>
      <c r="N1103" s="552"/>
      <c r="Y1103" s="551"/>
    </row>
    <row r="1104" spans="1:25">
      <c r="A1104" s="499">
        <v>45517</v>
      </c>
      <c r="B1104" s="499">
        <v>45518</v>
      </c>
      <c r="C1104" s="500" t="s">
        <v>173</v>
      </c>
      <c r="D1104" s="500" t="s">
        <v>762</v>
      </c>
      <c r="E1104" s="501">
        <v>44038328.340000004</v>
      </c>
      <c r="F1104" s="502" t="s">
        <v>878</v>
      </c>
      <c r="G1104" s="100" t="s">
        <v>687</v>
      </c>
      <c r="H1104" s="530"/>
      <c r="I1104" s="525"/>
      <c r="K1104" s="548"/>
      <c r="L1104" s="548"/>
      <c r="M1104" s="548"/>
      <c r="N1104" s="552"/>
      <c r="Y1104" s="551"/>
    </row>
    <row r="1105" spans="1:25">
      <c r="A1105" s="499">
        <v>45517</v>
      </c>
      <c r="B1105" s="499">
        <v>45518</v>
      </c>
      <c r="C1105" s="500" t="s">
        <v>173</v>
      </c>
      <c r="D1105" s="500" t="s">
        <v>762</v>
      </c>
      <c r="E1105" s="501">
        <v>7777514964</v>
      </c>
      <c r="F1105" s="502" t="s">
        <v>878</v>
      </c>
      <c r="G1105" s="100" t="s">
        <v>682</v>
      </c>
      <c r="H1105" s="530"/>
      <c r="I1105" s="525"/>
      <c r="K1105" s="548"/>
      <c r="L1105" s="548"/>
      <c r="M1105" s="548"/>
      <c r="N1105" s="552"/>
      <c r="Y1105" s="551"/>
    </row>
    <row r="1106" spans="1:25">
      <c r="A1106" s="499">
        <v>45517</v>
      </c>
      <c r="B1106" s="499">
        <v>45518</v>
      </c>
      <c r="C1106" s="500" t="s">
        <v>173</v>
      </c>
      <c r="D1106" s="500" t="s">
        <v>762</v>
      </c>
      <c r="E1106" s="501">
        <v>3626630721</v>
      </c>
      <c r="F1106" s="502" t="s">
        <v>878</v>
      </c>
      <c r="G1106" s="100" t="s">
        <v>675</v>
      </c>
      <c r="H1106" s="530"/>
      <c r="I1106" s="525"/>
      <c r="K1106" s="548"/>
      <c r="L1106" s="548"/>
      <c r="M1106" s="548"/>
      <c r="N1106" s="552"/>
      <c r="Y1106" s="551"/>
    </row>
    <row r="1107" spans="1:25">
      <c r="A1107" s="499">
        <v>45517</v>
      </c>
      <c r="B1107" s="499">
        <v>45517</v>
      </c>
      <c r="C1107" s="500" t="s">
        <v>173</v>
      </c>
      <c r="D1107" s="500" t="s">
        <v>761</v>
      </c>
      <c r="E1107" s="501">
        <v>-2311090066.3699999</v>
      </c>
      <c r="F1107" s="502" t="s">
        <v>878</v>
      </c>
      <c r="G1107" s="100" t="s">
        <v>748</v>
      </c>
      <c r="H1107" s="530"/>
      <c r="I1107" s="525"/>
      <c r="K1107" s="548"/>
      <c r="L1107" s="548"/>
      <c r="M1107" s="548"/>
      <c r="N1107" s="552"/>
      <c r="Y1107" s="551"/>
    </row>
    <row r="1108" spans="1:25">
      <c r="A1108" s="499">
        <v>45517</v>
      </c>
      <c r="B1108" s="499">
        <v>45517</v>
      </c>
      <c r="C1108" s="500" t="s">
        <v>173</v>
      </c>
      <c r="D1108" s="500" t="s">
        <v>761</v>
      </c>
      <c r="E1108" s="501">
        <v>-11001028.800000001</v>
      </c>
      <c r="F1108" s="502" t="s">
        <v>878</v>
      </c>
      <c r="G1108" s="100" t="s">
        <v>59</v>
      </c>
      <c r="H1108" s="530"/>
      <c r="I1108" s="525"/>
      <c r="K1108" s="548"/>
      <c r="L1108" s="548"/>
      <c r="M1108" s="548"/>
      <c r="N1108" s="552"/>
      <c r="Y1108" s="551"/>
    </row>
    <row r="1109" spans="1:25">
      <c r="A1109" s="499">
        <v>45517</v>
      </c>
      <c r="B1109" s="499">
        <v>45524</v>
      </c>
      <c r="C1109" s="500" t="s">
        <v>173</v>
      </c>
      <c r="D1109" s="500" t="s">
        <v>761</v>
      </c>
      <c r="E1109" s="501">
        <v>2316986503.27</v>
      </c>
      <c r="F1109" s="502" t="s">
        <v>878</v>
      </c>
      <c r="G1109" s="100" t="s">
        <v>748</v>
      </c>
      <c r="H1109" s="530"/>
      <c r="I1109" s="525"/>
      <c r="K1109" s="548"/>
      <c r="L1109" s="548"/>
      <c r="M1109" s="548"/>
      <c r="N1109" s="552"/>
      <c r="Y1109" s="551"/>
    </row>
    <row r="1110" spans="1:25">
      <c r="A1110" s="499">
        <v>45517</v>
      </c>
      <c r="B1110" s="499">
        <v>45524</v>
      </c>
      <c r="C1110" s="500" t="s">
        <v>173</v>
      </c>
      <c r="D1110" s="500" t="s">
        <v>761</v>
      </c>
      <c r="E1110" s="501">
        <v>11029012.289999999</v>
      </c>
      <c r="F1110" s="502" t="s">
        <v>878</v>
      </c>
      <c r="G1110" s="100" t="s">
        <v>59</v>
      </c>
      <c r="H1110" s="530"/>
      <c r="I1110" s="525"/>
      <c r="K1110" s="548"/>
      <c r="L1110" s="548"/>
      <c r="M1110" s="548"/>
      <c r="N1110" s="552"/>
      <c r="Y1110" s="551"/>
    </row>
    <row r="1111" spans="1:25">
      <c r="A1111" s="499">
        <v>45517</v>
      </c>
      <c r="B1111" s="499">
        <v>45517</v>
      </c>
      <c r="C1111" s="500" t="s">
        <v>173</v>
      </c>
      <c r="D1111" s="500" t="s">
        <v>759</v>
      </c>
      <c r="E1111" s="501">
        <v>-1482287529.5699999</v>
      </c>
      <c r="F1111" s="502" t="s">
        <v>878</v>
      </c>
      <c r="G1111" s="100" t="s">
        <v>683</v>
      </c>
      <c r="H1111" s="484"/>
      <c r="I1111" s="525"/>
      <c r="K1111" s="548"/>
      <c r="L1111" s="548"/>
      <c r="M1111" s="548"/>
      <c r="N1111" s="552"/>
      <c r="Y1111" s="551"/>
    </row>
    <row r="1112" spans="1:25">
      <c r="A1112" s="499">
        <v>45517</v>
      </c>
      <c r="B1112" s="499">
        <v>45517</v>
      </c>
      <c r="C1112" s="500" t="s">
        <v>173</v>
      </c>
      <c r="D1112" s="500" t="s">
        <v>759</v>
      </c>
      <c r="E1112" s="501">
        <v>-5001826.28</v>
      </c>
      <c r="F1112" s="502" t="s">
        <v>878</v>
      </c>
      <c r="G1112" s="100" t="s">
        <v>86</v>
      </c>
      <c r="H1112" s="484"/>
      <c r="I1112" s="525"/>
      <c r="K1112" s="548"/>
      <c r="L1112" s="548"/>
      <c r="M1112" s="548"/>
      <c r="N1112" s="552"/>
      <c r="Y1112" s="551"/>
    </row>
    <row r="1113" spans="1:25">
      <c r="A1113" s="499">
        <v>45517</v>
      </c>
      <c r="B1113" s="499">
        <v>45518</v>
      </c>
      <c r="C1113" s="500" t="s">
        <v>173</v>
      </c>
      <c r="D1113" s="500" t="s">
        <v>759</v>
      </c>
      <c r="E1113" s="501">
        <v>1482824154.1099999</v>
      </c>
      <c r="F1113" s="502" t="s">
        <v>878</v>
      </c>
      <c r="G1113" s="100" t="s">
        <v>683</v>
      </c>
      <c r="H1113" s="530"/>
      <c r="I1113" s="525"/>
      <c r="K1113" s="548"/>
      <c r="L1113" s="548"/>
      <c r="M1113" s="548"/>
      <c r="N1113" s="552"/>
      <c r="Y1113" s="551"/>
    </row>
    <row r="1114" spans="1:25">
      <c r="A1114" s="499">
        <v>45517</v>
      </c>
      <c r="B1114" s="499">
        <v>45518</v>
      </c>
      <c r="C1114" s="500" t="s">
        <v>173</v>
      </c>
      <c r="D1114" s="500" t="s">
        <v>759</v>
      </c>
      <c r="E1114" s="501">
        <v>5003626.13</v>
      </c>
      <c r="F1114" s="502" t="s">
        <v>878</v>
      </c>
      <c r="G1114" s="100" t="s">
        <v>86</v>
      </c>
      <c r="H1114" s="530"/>
      <c r="I1114" s="525"/>
      <c r="K1114" s="548"/>
      <c r="L1114" s="548"/>
      <c r="M1114" s="548"/>
      <c r="N1114" s="552"/>
      <c r="Y1114" s="551"/>
    </row>
    <row r="1115" spans="1:25">
      <c r="A1115" s="499">
        <v>45517</v>
      </c>
      <c r="B1115" s="499">
        <v>45517</v>
      </c>
      <c r="C1115" s="500" t="s">
        <v>173</v>
      </c>
      <c r="D1115" s="500" t="s">
        <v>760</v>
      </c>
      <c r="E1115" s="501">
        <v>-3081124819.0799999</v>
      </c>
      <c r="F1115" s="502" t="s">
        <v>878</v>
      </c>
      <c r="G1115" s="100" t="s">
        <v>87</v>
      </c>
      <c r="H1115" s="530"/>
      <c r="I1115" s="525"/>
      <c r="K1115" s="548"/>
      <c r="L1115" s="548"/>
      <c r="M1115" s="548"/>
      <c r="N1115" s="552"/>
      <c r="Y1115" s="551"/>
    </row>
    <row r="1116" spans="1:25">
      <c r="A1116" s="499">
        <v>45517</v>
      </c>
      <c r="B1116" s="499">
        <v>45517</v>
      </c>
      <c r="C1116" s="500" t="s">
        <v>173</v>
      </c>
      <c r="D1116" s="500" t="s">
        <v>760</v>
      </c>
      <c r="E1116" s="501">
        <v>-44016068.840000004</v>
      </c>
      <c r="F1116" s="502" t="s">
        <v>878</v>
      </c>
      <c r="G1116" s="100" t="s">
        <v>87</v>
      </c>
      <c r="H1116" s="530"/>
      <c r="I1116" s="525"/>
      <c r="K1116" s="548"/>
      <c r="L1116" s="548"/>
      <c r="M1116" s="548"/>
      <c r="N1116" s="552"/>
      <c r="Y1116" s="551"/>
    </row>
    <row r="1117" spans="1:25">
      <c r="A1117" s="499">
        <v>45517</v>
      </c>
      <c r="B1117" s="499">
        <v>45518</v>
      </c>
      <c r="C1117" s="500" t="s">
        <v>173</v>
      </c>
      <c r="D1117" s="500" t="s">
        <v>760</v>
      </c>
      <c r="E1117" s="508">
        <v>3082236044.4200001</v>
      </c>
      <c r="F1117" s="502" t="s">
        <v>878</v>
      </c>
      <c r="G1117" s="100" t="s">
        <v>87</v>
      </c>
      <c r="H1117" s="530"/>
      <c r="I1117" s="525"/>
      <c r="K1117" s="548"/>
      <c r="L1117" s="548"/>
      <c r="M1117" s="548"/>
      <c r="N1117" s="552"/>
      <c r="Y1117" s="551"/>
    </row>
    <row r="1118" spans="1:25">
      <c r="A1118" s="499">
        <v>45517</v>
      </c>
      <c r="B1118" s="499">
        <v>45518</v>
      </c>
      <c r="C1118" s="500" t="s">
        <v>173</v>
      </c>
      <c r="D1118" s="500" t="s">
        <v>760</v>
      </c>
      <c r="E1118" s="501">
        <v>44031943.490000002</v>
      </c>
      <c r="F1118" s="502" t="s">
        <v>878</v>
      </c>
      <c r="G1118" s="100" t="s">
        <v>87</v>
      </c>
      <c r="H1118" s="530"/>
      <c r="I1118" s="525"/>
      <c r="K1118" s="548"/>
      <c r="L1118" s="548"/>
      <c r="M1118" s="548"/>
      <c r="N1118" s="552"/>
      <c r="Y1118" s="551"/>
    </row>
    <row r="1119" spans="1:25">
      <c r="A1119" s="499">
        <v>45517</v>
      </c>
      <c r="B1119" s="499">
        <v>45517</v>
      </c>
      <c r="C1119" s="500" t="s">
        <v>173</v>
      </c>
      <c r="D1119" s="500" t="s">
        <v>763</v>
      </c>
      <c r="E1119" s="501">
        <v>-190151092.56</v>
      </c>
      <c r="F1119" s="502" t="s">
        <v>878</v>
      </c>
      <c r="G1119" s="100" t="s">
        <v>597</v>
      </c>
      <c r="H1119" s="530"/>
      <c r="I1119" s="525"/>
      <c r="K1119" s="548"/>
      <c r="L1119" s="548"/>
      <c r="M1119" s="548"/>
      <c r="N1119" s="552"/>
      <c r="Y1119" s="551"/>
    </row>
    <row r="1120" spans="1:25">
      <c r="A1120" s="499">
        <v>45517</v>
      </c>
      <c r="B1120" s="499">
        <v>45517</v>
      </c>
      <c r="C1120" s="500" t="s">
        <v>173</v>
      </c>
      <c r="D1120" s="500" t="s">
        <v>763</v>
      </c>
      <c r="E1120" s="501">
        <v>-178127299.55000001</v>
      </c>
      <c r="F1120" s="502" t="s">
        <v>878</v>
      </c>
      <c r="G1120" s="100" t="s">
        <v>68</v>
      </c>
      <c r="H1120" s="530"/>
      <c r="I1120" s="525"/>
      <c r="K1120" s="548"/>
      <c r="L1120" s="548"/>
      <c r="M1120" s="548"/>
      <c r="N1120" s="552"/>
      <c r="Y1120" s="551"/>
    </row>
    <row r="1121" spans="1:25">
      <c r="A1121" s="499">
        <v>45517</v>
      </c>
      <c r="B1121" s="499">
        <v>45517</v>
      </c>
      <c r="C1121" s="500" t="s">
        <v>173</v>
      </c>
      <c r="D1121" s="500" t="s">
        <v>763</v>
      </c>
      <c r="E1121" s="501">
        <v>-97008375.079999983</v>
      </c>
      <c r="F1121" s="502" t="s">
        <v>878</v>
      </c>
      <c r="G1121" s="100" t="s">
        <v>475</v>
      </c>
      <c r="H1121" s="530"/>
      <c r="I1121" s="525"/>
      <c r="K1121" s="548"/>
      <c r="L1121" s="548"/>
      <c r="M1121" s="548"/>
      <c r="N1121" s="552"/>
      <c r="Y1121" s="551"/>
    </row>
    <row r="1122" spans="1:25">
      <c r="A1122" s="499">
        <v>45517</v>
      </c>
      <c r="B1122" s="499">
        <v>45517</v>
      </c>
      <c r="C1122" s="500" t="s">
        <v>173</v>
      </c>
      <c r="D1122" s="500" t="s">
        <v>763</v>
      </c>
      <c r="E1122" s="501">
        <v>-108096468.84</v>
      </c>
      <c r="F1122" s="502" t="s">
        <v>878</v>
      </c>
      <c r="G1122" s="100" t="s">
        <v>83</v>
      </c>
      <c r="H1122" s="530"/>
      <c r="I1122" s="525"/>
      <c r="K1122" s="548"/>
      <c r="L1122" s="548"/>
      <c r="M1122" s="548"/>
      <c r="N1122" s="552"/>
      <c r="Y1122" s="551"/>
    </row>
    <row r="1123" spans="1:25">
      <c r="A1123" s="499">
        <v>45517</v>
      </c>
      <c r="B1123" s="499">
        <v>45517</v>
      </c>
      <c r="C1123" s="500" t="s">
        <v>173</v>
      </c>
      <c r="D1123" s="500" t="s">
        <v>763</v>
      </c>
      <c r="E1123" s="501">
        <v>-94038838.920000002</v>
      </c>
      <c r="F1123" s="502" t="s">
        <v>878</v>
      </c>
      <c r="G1123" s="100" t="s">
        <v>605</v>
      </c>
      <c r="H1123" s="530"/>
      <c r="I1123" s="525"/>
      <c r="K1123" s="548"/>
      <c r="L1123" s="548"/>
      <c r="M1123" s="548"/>
      <c r="N1123" s="552"/>
      <c r="Y1123" s="551"/>
    </row>
    <row r="1124" spans="1:25">
      <c r="A1124" s="499">
        <v>45517</v>
      </c>
      <c r="B1124" s="499">
        <v>45517</v>
      </c>
      <c r="C1124" s="500" t="s">
        <v>173</v>
      </c>
      <c r="D1124" s="500" t="s">
        <v>763</v>
      </c>
      <c r="E1124" s="501">
        <v>-164121296.03999999</v>
      </c>
      <c r="F1124" s="502" t="s">
        <v>878</v>
      </c>
      <c r="G1124" s="100" t="s">
        <v>91</v>
      </c>
      <c r="H1124" s="530"/>
      <c r="I1124" s="525"/>
      <c r="K1124" s="548"/>
      <c r="L1124" s="548"/>
      <c r="M1124" s="548"/>
      <c r="N1124" s="552"/>
      <c r="Y1124" s="551"/>
    </row>
    <row r="1125" spans="1:25">
      <c r="A1125" s="499">
        <v>45517</v>
      </c>
      <c r="B1125" s="499">
        <v>45517</v>
      </c>
      <c r="C1125" s="500" t="s">
        <v>173</v>
      </c>
      <c r="D1125" s="500" t="s">
        <v>763</v>
      </c>
      <c r="E1125" s="501">
        <v>-172129462.68000001</v>
      </c>
      <c r="F1125" s="502" t="s">
        <v>878</v>
      </c>
      <c r="G1125" s="100" t="s">
        <v>603</v>
      </c>
      <c r="H1125" s="530"/>
      <c r="I1125" s="525"/>
      <c r="K1125" s="548"/>
      <c r="L1125" s="548"/>
      <c r="M1125" s="548"/>
      <c r="N1125" s="552"/>
      <c r="Y1125" s="551"/>
    </row>
    <row r="1126" spans="1:25">
      <c r="A1126" s="499">
        <v>45517</v>
      </c>
      <c r="B1126" s="499">
        <v>45517</v>
      </c>
      <c r="C1126" s="500" t="s">
        <v>173</v>
      </c>
      <c r="D1126" s="500" t="s">
        <v>763</v>
      </c>
      <c r="E1126" s="501">
        <v>-113019209.09999999</v>
      </c>
      <c r="F1126" s="502" t="s">
        <v>878</v>
      </c>
      <c r="G1126" s="100" t="s">
        <v>593</v>
      </c>
      <c r="H1126" s="530"/>
      <c r="I1126" s="525"/>
      <c r="K1126" s="548"/>
      <c r="L1126" s="548"/>
      <c r="M1126" s="548"/>
      <c r="N1126" s="552"/>
      <c r="Y1126" s="551"/>
    </row>
    <row r="1127" spans="1:25">
      <c r="A1127" s="499">
        <v>45517</v>
      </c>
      <c r="B1127" s="499">
        <v>45517</v>
      </c>
      <c r="C1127" s="500" t="s">
        <v>173</v>
      </c>
      <c r="D1127" s="500" t="s">
        <v>763</v>
      </c>
      <c r="E1127" s="501">
        <v>-87014789.299999997</v>
      </c>
      <c r="F1127" s="502" t="s">
        <v>878</v>
      </c>
      <c r="G1127" s="100" t="s">
        <v>593</v>
      </c>
      <c r="H1127" s="530"/>
      <c r="I1127" s="525"/>
      <c r="K1127" s="548"/>
      <c r="L1127" s="548"/>
      <c r="M1127" s="548"/>
      <c r="N1127" s="552"/>
      <c r="Y1127" s="551"/>
    </row>
    <row r="1128" spans="1:25">
      <c r="A1128" s="499">
        <v>45517</v>
      </c>
      <c r="B1128" s="499">
        <v>45517</v>
      </c>
      <c r="C1128" s="500" t="s">
        <v>173</v>
      </c>
      <c r="D1128" s="500" t="s">
        <v>763</v>
      </c>
      <c r="E1128" s="501">
        <v>-125016339</v>
      </c>
      <c r="F1128" s="502" t="s">
        <v>878</v>
      </c>
      <c r="G1128" s="100" t="s">
        <v>825</v>
      </c>
      <c r="H1128" s="530"/>
      <c r="I1128" s="525"/>
      <c r="K1128" s="548"/>
      <c r="L1128" s="548"/>
      <c r="M1128" s="548"/>
      <c r="N1128" s="552"/>
      <c r="Y1128" s="551"/>
    </row>
    <row r="1129" spans="1:25">
      <c r="A1129" s="499">
        <v>45517</v>
      </c>
      <c r="B1129" s="499">
        <v>45517</v>
      </c>
      <c r="C1129" s="500" t="s">
        <v>173</v>
      </c>
      <c r="D1129" s="500" t="s">
        <v>763</v>
      </c>
      <c r="E1129" s="501">
        <v>-187024443.13999999</v>
      </c>
      <c r="F1129" s="502" t="s">
        <v>878</v>
      </c>
      <c r="G1129" s="100" t="s">
        <v>825</v>
      </c>
      <c r="H1129" s="530"/>
      <c r="I1129" s="525"/>
      <c r="K1129" s="548"/>
      <c r="L1129" s="548"/>
      <c r="M1129" s="548"/>
      <c r="N1129" s="552"/>
      <c r="Y1129" s="551"/>
    </row>
    <row r="1130" spans="1:25">
      <c r="A1130" s="499">
        <v>45517</v>
      </c>
      <c r="B1130" s="499">
        <v>45517</v>
      </c>
      <c r="C1130" s="500" t="s">
        <v>173</v>
      </c>
      <c r="D1130" s="500" t="s">
        <v>763</v>
      </c>
      <c r="E1130" s="501">
        <v>-102053134.15000001</v>
      </c>
      <c r="F1130" s="502" t="s">
        <v>878</v>
      </c>
      <c r="G1130" s="100" t="s">
        <v>494</v>
      </c>
      <c r="H1130" s="530"/>
      <c r="I1130" s="525"/>
      <c r="K1130" s="548"/>
      <c r="L1130" s="548"/>
      <c r="M1130" s="548"/>
      <c r="N1130" s="552"/>
      <c r="Y1130" s="551"/>
    </row>
    <row r="1131" spans="1:25">
      <c r="A1131" s="499">
        <v>45517</v>
      </c>
      <c r="B1131" s="499">
        <v>45517</v>
      </c>
      <c r="C1131" s="500" t="s">
        <v>173</v>
      </c>
      <c r="D1131" s="500" t="s">
        <v>763</v>
      </c>
      <c r="E1131" s="501">
        <v>-154083488.94</v>
      </c>
      <c r="F1131" s="502" t="s">
        <v>878</v>
      </c>
      <c r="G1131" s="100" t="s">
        <v>591</v>
      </c>
      <c r="H1131" s="530"/>
      <c r="I1131" s="525"/>
      <c r="K1131" s="548"/>
      <c r="L1131" s="548"/>
      <c r="M1131" s="548"/>
      <c r="N1131" s="552"/>
      <c r="Y1131" s="551"/>
    </row>
    <row r="1132" spans="1:25">
      <c r="A1132" s="499">
        <v>45517</v>
      </c>
      <c r="B1132" s="499">
        <v>45517</v>
      </c>
      <c r="C1132" s="500" t="s">
        <v>173</v>
      </c>
      <c r="D1132" s="500" t="s">
        <v>763</v>
      </c>
      <c r="E1132" s="501">
        <v>-84044739.239999995</v>
      </c>
      <c r="F1132" s="502" t="s">
        <v>878</v>
      </c>
      <c r="G1132" s="100" t="s">
        <v>746</v>
      </c>
      <c r="H1132" s="530"/>
      <c r="I1132" s="525"/>
      <c r="K1132" s="548"/>
      <c r="L1132" s="548"/>
      <c r="M1132" s="548"/>
      <c r="N1132" s="552"/>
      <c r="Y1132" s="551"/>
    </row>
    <row r="1133" spans="1:25">
      <c r="A1133" s="499">
        <v>45517</v>
      </c>
      <c r="B1133" s="499">
        <v>45517</v>
      </c>
      <c r="C1133" s="500" t="s">
        <v>173</v>
      </c>
      <c r="D1133" s="500" t="s">
        <v>763</v>
      </c>
      <c r="E1133" s="501">
        <v>-153055898.86000001</v>
      </c>
      <c r="F1133" s="502" t="s">
        <v>878</v>
      </c>
      <c r="G1133" s="100" t="s">
        <v>601</v>
      </c>
      <c r="H1133" s="530"/>
      <c r="I1133" s="525"/>
      <c r="K1133" s="548"/>
      <c r="L1133" s="548"/>
      <c r="M1133" s="548"/>
      <c r="N1133" s="552"/>
      <c r="Y1133" s="551"/>
    </row>
    <row r="1134" spans="1:25">
      <c r="A1134" s="499">
        <v>45517</v>
      </c>
      <c r="B1134" s="499">
        <v>45517</v>
      </c>
      <c r="C1134" s="500" t="s">
        <v>173</v>
      </c>
      <c r="D1134" s="500" t="s">
        <v>763</v>
      </c>
      <c r="E1134" s="501">
        <v>-3248729384.6700001</v>
      </c>
      <c r="F1134" s="502" t="s">
        <v>878</v>
      </c>
      <c r="G1134" s="100" t="s">
        <v>746</v>
      </c>
      <c r="H1134" s="530"/>
      <c r="I1134" s="525"/>
      <c r="K1134" s="548"/>
      <c r="L1134" s="548"/>
      <c r="M1134" s="548"/>
      <c r="N1134" s="552"/>
      <c r="Y1134" s="551"/>
    </row>
    <row r="1135" spans="1:25">
      <c r="A1135" s="499">
        <v>45517</v>
      </c>
      <c r="B1135" s="499">
        <v>45517</v>
      </c>
      <c r="C1135" s="500" t="s">
        <v>173</v>
      </c>
      <c r="D1135" s="500" t="s">
        <v>763</v>
      </c>
      <c r="E1135" s="501">
        <v>-98035853.299999997</v>
      </c>
      <c r="F1135" s="502" t="s">
        <v>878</v>
      </c>
      <c r="G1135" s="100" t="s">
        <v>745</v>
      </c>
      <c r="H1135" s="530"/>
      <c r="I1135" s="525"/>
      <c r="K1135" s="548"/>
      <c r="L1135" s="548"/>
      <c r="M1135" s="548"/>
      <c r="N1135" s="552"/>
      <c r="Y1135" s="551"/>
    </row>
    <row r="1136" spans="1:25">
      <c r="A1136" s="499">
        <v>45517</v>
      </c>
      <c r="B1136" s="499">
        <v>45517</v>
      </c>
      <c r="C1136" s="500" t="s">
        <v>173</v>
      </c>
      <c r="D1136" s="500" t="s">
        <v>763</v>
      </c>
      <c r="E1136" s="501">
        <v>-127087501.86</v>
      </c>
      <c r="F1136" s="502" t="s">
        <v>878</v>
      </c>
      <c r="G1136" s="100" t="s">
        <v>710</v>
      </c>
      <c r="H1136" s="530"/>
      <c r="I1136" s="525"/>
      <c r="K1136" s="548"/>
      <c r="L1136" s="548"/>
      <c r="M1136" s="548"/>
      <c r="N1136" s="552"/>
      <c r="Y1136" s="551"/>
    </row>
    <row r="1137" spans="1:25">
      <c r="A1137" s="499">
        <v>45517</v>
      </c>
      <c r="B1137" s="499">
        <v>45517</v>
      </c>
      <c r="C1137" s="500" t="s">
        <v>173</v>
      </c>
      <c r="D1137" s="500" t="s">
        <v>763</v>
      </c>
      <c r="E1137" s="501">
        <v>-114041538.75</v>
      </c>
      <c r="F1137" s="502" t="s">
        <v>878</v>
      </c>
      <c r="G1137" s="100" t="s">
        <v>90</v>
      </c>
      <c r="H1137" s="530"/>
      <c r="I1137" s="525"/>
      <c r="K1137" s="548"/>
      <c r="L1137" s="548"/>
      <c r="M1137" s="548"/>
      <c r="N1137" s="552"/>
      <c r="Y1137" s="551"/>
    </row>
    <row r="1138" spans="1:25">
      <c r="A1138" s="499">
        <v>45517</v>
      </c>
      <c r="B1138" s="499">
        <v>45517</v>
      </c>
      <c r="C1138" s="500" t="s">
        <v>173</v>
      </c>
      <c r="D1138" s="500" t="s">
        <v>763</v>
      </c>
      <c r="E1138" s="501">
        <v>-68028096.239999995</v>
      </c>
      <c r="F1138" s="502" t="s">
        <v>878</v>
      </c>
      <c r="G1138" s="100" t="s">
        <v>605</v>
      </c>
      <c r="H1138" s="530"/>
      <c r="I1138" s="525"/>
      <c r="K1138" s="548"/>
      <c r="L1138" s="548"/>
      <c r="M1138" s="548"/>
      <c r="N1138" s="552"/>
      <c r="Y1138" s="551"/>
    </row>
    <row r="1139" spans="1:25">
      <c r="A1139" s="499">
        <v>45517</v>
      </c>
      <c r="B1139" s="499">
        <v>45517</v>
      </c>
      <c r="C1139" s="500" t="s">
        <v>173</v>
      </c>
      <c r="D1139" s="500" t="s">
        <v>763</v>
      </c>
      <c r="E1139" s="501">
        <v>-87082937.449999988</v>
      </c>
      <c r="F1139" s="502" t="s">
        <v>878</v>
      </c>
      <c r="G1139" s="100" t="s">
        <v>820</v>
      </c>
      <c r="H1139" s="530"/>
      <c r="I1139" s="525"/>
      <c r="K1139" s="548"/>
      <c r="L1139" s="548"/>
      <c r="M1139" s="548"/>
      <c r="N1139" s="552"/>
      <c r="Y1139" s="551"/>
    </row>
    <row r="1140" spans="1:25">
      <c r="A1140" s="499">
        <v>45517</v>
      </c>
      <c r="B1140" s="499">
        <v>45517</v>
      </c>
      <c r="C1140" s="500" t="s">
        <v>173</v>
      </c>
      <c r="D1140" s="500" t="s">
        <v>763</v>
      </c>
      <c r="E1140" s="501">
        <v>-14014050.4</v>
      </c>
      <c r="F1140" s="502" t="s">
        <v>878</v>
      </c>
      <c r="G1140" s="100" t="s">
        <v>595</v>
      </c>
      <c r="H1140" s="530"/>
      <c r="I1140" s="525"/>
      <c r="K1140" s="548"/>
      <c r="L1140" s="548"/>
      <c r="M1140" s="548"/>
      <c r="N1140" s="552"/>
      <c r="Y1140" s="551"/>
    </row>
    <row r="1141" spans="1:25">
      <c r="A1141" s="499">
        <v>45517</v>
      </c>
      <c r="B1141" s="499">
        <v>45517</v>
      </c>
      <c r="C1141" s="500" t="s">
        <v>173</v>
      </c>
      <c r="D1141" s="500" t="s">
        <v>763</v>
      </c>
      <c r="E1141" s="501">
        <v>-72045446.760000005</v>
      </c>
      <c r="F1141" s="502" t="s">
        <v>878</v>
      </c>
      <c r="G1141" s="100" t="s">
        <v>599</v>
      </c>
      <c r="H1141" s="530"/>
      <c r="I1141" s="525"/>
      <c r="K1141" s="548"/>
      <c r="L1141" s="548"/>
      <c r="M1141" s="548"/>
      <c r="N1141" s="552"/>
      <c r="Y1141" s="551"/>
    </row>
    <row r="1142" spans="1:25">
      <c r="A1142" s="499">
        <v>45517</v>
      </c>
      <c r="B1142" s="499">
        <v>45517</v>
      </c>
      <c r="C1142" s="500" t="s">
        <v>173</v>
      </c>
      <c r="D1142" s="500" t="s">
        <v>763</v>
      </c>
      <c r="E1142" s="501">
        <v>-97008375.079999983</v>
      </c>
      <c r="F1142" s="502" t="s">
        <v>878</v>
      </c>
      <c r="G1142" s="100" t="s">
        <v>475</v>
      </c>
      <c r="H1142" s="530"/>
      <c r="I1142" s="525"/>
      <c r="K1142" s="548"/>
      <c r="L1142" s="548"/>
      <c r="M1142" s="548"/>
      <c r="N1142" s="552"/>
      <c r="Y1142" s="551"/>
    </row>
    <row r="1143" spans="1:25">
      <c r="A1143" s="499">
        <v>45517</v>
      </c>
      <c r="B1143" s="499">
        <v>45517</v>
      </c>
      <c r="C1143" s="500" t="s">
        <v>173</v>
      </c>
      <c r="D1143" s="500" t="s">
        <v>763</v>
      </c>
      <c r="E1143" s="501">
        <v>-68051182.920000002</v>
      </c>
      <c r="F1143" s="502" t="s">
        <v>878</v>
      </c>
      <c r="G1143" s="100" t="s">
        <v>603</v>
      </c>
      <c r="H1143" s="530"/>
      <c r="I1143" s="525"/>
      <c r="K1143" s="548"/>
      <c r="L1143" s="548"/>
      <c r="M1143" s="548"/>
      <c r="N1143" s="552"/>
      <c r="Y1143" s="551"/>
    </row>
    <row r="1144" spans="1:25">
      <c r="A1144" s="499">
        <v>45517</v>
      </c>
      <c r="B1144" s="499">
        <v>45517</v>
      </c>
      <c r="C1144" s="500" t="s">
        <v>173</v>
      </c>
      <c r="D1144" s="500" t="s">
        <v>763</v>
      </c>
      <c r="E1144" s="501">
        <v>-25013315.25</v>
      </c>
      <c r="F1144" s="502" t="s">
        <v>878</v>
      </c>
      <c r="G1144" s="100" t="s">
        <v>746</v>
      </c>
      <c r="H1144" s="530"/>
      <c r="I1144" s="525"/>
      <c r="K1144" s="548"/>
      <c r="L1144" s="548"/>
      <c r="M1144" s="548"/>
      <c r="N1144" s="552"/>
      <c r="Y1144" s="551"/>
    </row>
    <row r="1145" spans="1:25">
      <c r="A1145" s="499">
        <v>45517</v>
      </c>
      <c r="B1145" s="499">
        <v>45517</v>
      </c>
      <c r="C1145" s="500" t="s">
        <v>173</v>
      </c>
      <c r="D1145" s="500" t="s">
        <v>763</v>
      </c>
      <c r="E1145" s="501">
        <v>-70021451.640000001</v>
      </c>
      <c r="F1145" s="502" t="s">
        <v>878</v>
      </c>
      <c r="G1145" s="100" t="s">
        <v>697</v>
      </c>
      <c r="H1145" s="530"/>
      <c r="I1145" s="525"/>
      <c r="K1145" s="548"/>
      <c r="L1145" s="548"/>
      <c r="M1145" s="548"/>
      <c r="N1145" s="552"/>
      <c r="Y1145" s="551"/>
    </row>
    <row r="1146" spans="1:25">
      <c r="A1146" s="499">
        <v>45517</v>
      </c>
      <c r="B1146" s="499">
        <v>45517</v>
      </c>
      <c r="C1146" s="500" t="s">
        <v>173</v>
      </c>
      <c r="D1146" s="500" t="s">
        <v>763</v>
      </c>
      <c r="E1146" s="501">
        <v>-95050597.950000003</v>
      </c>
      <c r="F1146" s="502" t="s">
        <v>878</v>
      </c>
      <c r="G1146" s="100" t="s">
        <v>746</v>
      </c>
      <c r="H1146" s="530"/>
      <c r="I1146" s="525"/>
      <c r="K1146" s="548"/>
      <c r="L1146" s="548"/>
      <c r="M1146" s="548"/>
      <c r="N1146" s="552"/>
      <c r="Y1146" s="551"/>
    </row>
    <row r="1147" spans="1:25">
      <c r="A1147" s="499">
        <v>45517</v>
      </c>
      <c r="B1147" s="499">
        <v>45517</v>
      </c>
      <c r="C1147" s="500" t="s">
        <v>173</v>
      </c>
      <c r="D1147" s="500" t="s">
        <v>763</v>
      </c>
      <c r="E1147" s="501">
        <v>-75065133</v>
      </c>
      <c r="F1147" s="502" t="s">
        <v>878</v>
      </c>
      <c r="G1147" s="100" t="s">
        <v>655</v>
      </c>
      <c r="H1147" s="530"/>
      <c r="I1147" s="525"/>
      <c r="K1147" s="548"/>
      <c r="L1147" s="548"/>
      <c r="M1147" s="548"/>
      <c r="N1147" s="552"/>
      <c r="Y1147" s="551"/>
    </row>
    <row r="1148" spans="1:25">
      <c r="A1148" s="499">
        <v>45517</v>
      </c>
      <c r="B1148" s="499">
        <v>45518</v>
      </c>
      <c r="C1148" s="500" t="s">
        <v>173</v>
      </c>
      <c r="D1148" s="500" t="s">
        <v>763</v>
      </c>
      <c r="E1148" s="501">
        <v>190218633.09</v>
      </c>
      <c r="F1148" s="502" t="s">
        <v>878</v>
      </c>
      <c r="G1148" s="100" t="s">
        <v>597</v>
      </c>
      <c r="H1148" s="530"/>
      <c r="I1148" s="525"/>
      <c r="K1148" s="548"/>
      <c r="L1148" s="548"/>
      <c r="M1148" s="548"/>
      <c r="N1148" s="552"/>
      <c r="Y1148" s="551"/>
    </row>
    <row r="1149" spans="1:25">
      <c r="A1149" s="499">
        <v>45517</v>
      </c>
      <c r="B1149" s="499">
        <v>45518</v>
      </c>
      <c r="C1149" s="500" t="s">
        <v>173</v>
      </c>
      <c r="D1149" s="500" t="s">
        <v>763</v>
      </c>
      <c r="E1149" s="501">
        <v>178190569.30000001</v>
      </c>
      <c r="F1149" s="502" t="s">
        <v>878</v>
      </c>
      <c r="G1149" s="100" t="s">
        <v>68</v>
      </c>
      <c r="H1149" s="530"/>
      <c r="I1149" s="525"/>
      <c r="K1149" s="548"/>
      <c r="L1149" s="548"/>
      <c r="M1149" s="548"/>
      <c r="N1149" s="552"/>
      <c r="Y1149" s="551"/>
    </row>
    <row r="1150" spans="1:25">
      <c r="A1150" s="499">
        <v>45517</v>
      </c>
      <c r="B1150" s="499">
        <v>45518</v>
      </c>
      <c r="C1150" s="500" t="s">
        <v>173</v>
      </c>
      <c r="D1150" s="500" t="s">
        <v>763</v>
      </c>
      <c r="E1150" s="501">
        <v>97042831.870000005</v>
      </c>
      <c r="F1150" s="502" t="s">
        <v>878</v>
      </c>
      <c r="G1150" s="100" t="s">
        <v>475</v>
      </c>
      <c r="H1150" s="530"/>
      <c r="I1150" s="525"/>
      <c r="K1150" s="548"/>
      <c r="L1150" s="548"/>
      <c r="M1150" s="548"/>
      <c r="N1150" s="552"/>
      <c r="Y1150" s="551"/>
    </row>
    <row r="1151" spans="1:25">
      <c r="A1151" s="499">
        <v>45517</v>
      </c>
      <c r="B1151" s="499">
        <v>45518</v>
      </c>
      <c r="C1151" s="500" t="s">
        <v>173</v>
      </c>
      <c r="D1151" s="500" t="s">
        <v>763</v>
      </c>
      <c r="E1151" s="501">
        <v>108134864.06</v>
      </c>
      <c r="F1151" s="502" t="s">
        <v>878</v>
      </c>
      <c r="G1151" s="100" t="s">
        <v>83</v>
      </c>
      <c r="H1151" s="530"/>
      <c r="I1151" s="525"/>
      <c r="K1151" s="548"/>
      <c r="L1151" s="548"/>
      <c r="M1151" s="548"/>
      <c r="N1151" s="552"/>
      <c r="Y1151" s="551"/>
    </row>
    <row r="1152" spans="1:25">
      <c r="A1152" s="499">
        <v>45517</v>
      </c>
      <c r="B1152" s="499">
        <v>45518</v>
      </c>
      <c r="C1152" s="500" t="s">
        <v>173</v>
      </c>
      <c r="D1152" s="500" t="s">
        <v>763</v>
      </c>
      <c r="E1152" s="501">
        <v>94072240.950000003</v>
      </c>
      <c r="F1152" s="502" t="s">
        <v>878</v>
      </c>
      <c r="G1152" s="100" t="s">
        <v>605</v>
      </c>
      <c r="H1152" s="530"/>
      <c r="I1152" s="525"/>
      <c r="K1152" s="548"/>
      <c r="L1152" s="548"/>
      <c r="M1152" s="548"/>
      <c r="N1152" s="552"/>
      <c r="Y1152" s="551"/>
    </row>
    <row r="1153" spans="1:25">
      <c r="A1153" s="499">
        <v>45517</v>
      </c>
      <c r="B1153" s="499">
        <v>45518</v>
      </c>
      <c r="C1153" s="500" t="s">
        <v>173</v>
      </c>
      <c r="D1153" s="500" t="s">
        <v>763</v>
      </c>
      <c r="E1153" s="501">
        <v>164179590.94</v>
      </c>
      <c r="F1153" s="502" t="s">
        <v>878</v>
      </c>
      <c r="G1153" s="100" t="s">
        <v>91</v>
      </c>
      <c r="H1153" s="530"/>
      <c r="I1153" s="525"/>
      <c r="K1153" s="548"/>
      <c r="L1153" s="548"/>
      <c r="M1153" s="548"/>
      <c r="N1153" s="552"/>
      <c r="Y1153" s="551"/>
    </row>
    <row r="1154" spans="1:25">
      <c r="A1154" s="499">
        <v>45517</v>
      </c>
      <c r="B1154" s="499">
        <v>45518</v>
      </c>
      <c r="C1154" s="500" t="s">
        <v>173</v>
      </c>
      <c r="D1154" s="500" t="s">
        <v>763</v>
      </c>
      <c r="E1154" s="501">
        <v>172190602.03</v>
      </c>
      <c r="F1154" s="502" t="s">
        <v>878</v>
      </c>
      <c r="G1154" s="100" t="s">
        <v>603</v>
      </c>
      <c r="H1154" s="530"/>
      <c r="I1154" s="525"/>
      <c r="K1154" s="548"/>
      <c r="L1154" s="548"/>
      <c r="M1154" s="548"/>
      <c r="N1154" s="552"/>
      <c r="Y1154" s="551"/>
    </row>
    <row r="1155" spans="1:25">
      <c r="A1155" s="499">
        <v>45517</v>
      </c>
      <c r="B1155" s="499">
        <v>45518</v>
      </c>
      <c r="C1155" s="500" t="s">
        <v>173</v>
      </c>
      <c r="D1155" s="500" t="s">
        <v>763</v>
      </c>
      <c r="E1155" s="501">
        <v>113059352.84</v>
      </c>
      <c r="F1155" s="502" t="s">
        <v>878</v>
      </c>
      <c r="G1155" s="100" t="s">
        <v>593</v>
      </c>
      <c r="H1155" s="530"/>
      <c r="I1155" s="525"/>
      <c r="K1155" s="548"/>
      <c r="L1155" s="548"/>
      <c r="M1155" s="548"/>
      <c r="N1155" s="552"/>
      <c r="Y1155" s="551"/>
    </row>
    <row r="1156" spans="1:25">
      <c r="A1156" s="499">
        <v>45517</v>
      </c>
      <c r="B1156" s="499">
        <v>45518</v>
      </c>
      <c r="C1156" s="500" t="s">
        <v>173</v>
      </c>
      <c r="D1156" s="500" t="s">
        <v>763</v>
      </c>
      <c r="E1156" s="501">
        <v>87045696.430000007</v>
      </c>
      <c r="F1156" s="502" t="s">
        <v>878</v>
      </c>
      <c r="G1156" s="100" t="s">
        <v>593</v>
      </c>
      <c r="H1156" s="530"/>
      <c r="I1156" s="525"/>
      <c r="K1156" s="548"/>
      <c r="L1156" s="548"/>
      <c r="M1156" s="548"/>
      <c r="N1156" s="552"/>
      <c r="Y1156" s="551"/>
    </row>
    <row r="1157" spans="1:25">
      <c r="A1157" s="499">
        <v>45517</v>
      </c>
      <c r="B1157" s="499">
        <v>45518</v>
      </c>
      <c r="C1157" s="500" t="s">
        <v>173</v>
      </c>
      <c r="D1157" s="500" t="s">
        <v>763</v>
      </c>
      <c r="E1157" s="501">
        <v>125060744.05</v>
      </c>
      <c r="F1157" s="502" t="s">
        <v>878</v>
      </c>
      <c r="G1157" s="100" t="s">
        <v>825</v>
      </c>
      <c r="H1157" s="530"/>
      <c r="I1157" s="525"/>
      <c r="K1157" s="548"/>
      <c r="L1157" s="548"/>
      <c r="M1157" s="548"/>
      <c r="N1157" s="552"/>
      <c r="Y1157" s="551"/>
    </row>
    <row r="1158" spans="1:25">
      <c r="A1158" s="499">
        <v>45517</v>
      </c>
      <c r="B1158" s="499">
        <v>45518</v>
      </c>
      <c r="C1158" s="500" t="s">
        <v>173</v>
      </c>
      <c r="D1158" s="500" t="s">
        <v>763</v>
      </c>
      <c r="E1158" s="501">
        <v>187090873.09999999</v>
      </c>
      <c r="F1158" s="502" t="s">
        <v>878</v>
      </c>
      <c r="G1158" s="100" t="s">
        <v>825</v>
      </c>
      <c r="H1158" s="530"/>
      <c r="I1158" s="525"/>
      <c r="K1158" s="548"/>
      <c r="L1158" s="548"/>
      <c r="M1158" s="548"/>
      <c r="N1158" s="552"/>
      <c r="Y1158" s="551"/>
    </row>
    <row r="1159" spans="1:25">
      <c r="A1159" s="499">
        <v>45517</v>
      </c>
      <c r="B1159" s="499">
        <v>45518</v>
      </c>
      <c r="C1159" s="500" t="s">
        <v>173</v>
      </c>
      <c r="D1159" s="500" t="s">
        <v>763</v>
      </c>
      <c r="E1159" s="501">
        <v>102089382.81</v>
      </c>
      <c r="F1159" s="502" t="s">
        <v>878</v>
      </c>
      <c r="G1159" s="100" t="s">
        <v>494</v>
      </c>
      <c r="H1159" s="530"/>
      <c r="I1159" s="525"/>
      <c r="K1159" s="548"/>
      <c r="L1159" s="548"/>
      <c r="M1159" s="548"/>
      <c r="N1159" s="552"/>
      <c r="Y1159" s="551"/>
    </row>
    <row r="1160" spans="1:25">
      <c r="A1160" s="499">
        <v>45517</v>
      </c>
      <c r="B1160" s="499">
        <v>45518</v>
      </c>
      <c r="C1160" s="500" t="s">
        <v>173</v>
      </c>
      <c r="D1160" s="500" t="s">
        <v>763</v>
      </c>
      <c r="E1160" s="501">
        <v>154138218.47</v>
      </c>
      <c r="F1160" s="502" t="s">
        <v>878</v>
      </c>
      <c r="G1160" s="100" t="s">
        <v>591</v>
      </c>
      <c r="H1160" s="530"/>
      <c r="I1160" s="525"/>
      <c r="K1160" s="548"/>
      <c r="L1160" s="548"/>
      <c r="M1160" s="548"/>
      <c r="N1160" s="552"/>
      <c r="Y1160" s="551"/>
    </row>
    <row r="1161" spans="1:25">
      <c r="A1161" s="499">
        <v>45517</v>
      </c>
      <c r="B1161" s="499">
        <v>45518</v>
      </c>
      <c r="C1161" s="500" t="s">
        <v>173</v>
      </c>
      <c r="D1161" s="500" t="s">
        <v>763</v>
      </c>
      <c r="E1161" s="501">
        <v>84074591.430000007</v>
      </c>
      <c r="F1161" s="502" t="s">
        <v>878</v>
      </c>
      <c r="G1161" s="100" t="s">
        <v>746</v>
      </c>
      <c r="H1161" s="530"/>
      <c r="I1161" s="525"/>
      <c r="K1161" s="548"/>
      <c r="L1161" s="548"/>
      <c r="M1161" s="548"/>
      <c r="N1161" s="552"/>
      <c r="Y1161" s="551"/>
    </row>
    <row r="1162" spans="1:25">
      <c r="A1162" s="499">
        <v>45517</v>
      </c>
      <c r="B1162" s="499">
        <v>45518</v>
      </c>
      <c r="C1162" s="500" t="s">
        <v>173</v>
      </c>
      <c r="D1162" s="500" t="s">
        <v>763</v>
      </c>
      <c r="E1162" s="501">
        <v>153110263.40000001</v>
      </c>
      <c r="F1162" s="502" t="s">
        <v>878</v>
      </c>
      <c r="G1162" s="100" t="s">
        <v>601</v>
      </c>
      <c r="H1162" s="530"/>
      <c r="I1162" s="525"/>
      <c r="K1162" s="548"/>
      <c r="L1162" s="548"/>
      <c r="M1162" s="548"/>
      <c r="N1162" s="552"/>
      <c r="Y1162" s="551"/>
    </row>
    <row r="1163" spans="1:25">
      <c r="A1163" s="499">
        <v>45517</v>
      </c>
      <c r="B1163" s="499">
        <v>45518</v>
      </c>
      <c r="C1163" s="500" t="s">
        <v>173</v>
      </c>
      <c r="D1163" s="500" t="s">
        <v>763</v>
      </c>
      <c r="E1163" s="501">
        <v>3249883313.8200002</v>
      </c>
      <c r="F1163" s="502" t="s">
        <v>878</v>
      </c>
      <c r="G1163" s="100" t="s">
        <v>746</v>
      </c>
      <c r="H1163" s="530"/>
      <c r="I1163" s="525"/>
      <c r="K1163" s="548"/>
      <c r="L1163" s="548"/>
      <c r="M1163" s="548"/>
      <c r="N1163" s="552"/>
      <c r="Y1163" s="551"/>
    </row>
    <row r="1164" spans="1:25">
      <c r="A1164" s="499">
        <v>45517</v>
      </c>
      <c r="B1164" s="499">
        <v>45518</v>
      </c>
      <c r="C1164" s="500" t="s">
        <v>173</v>
      </c>
      <c r="D1164" s="500" t="s">
        <v>763</v>
      </c>
      <c r="E1164" s="501">
        <v>98070675.049999997</v>
      </c>
      <c r="F1164" s="502" t="s">
        <v>878</v>
      </c>
      <c r="G1164" s="100" t="s">
        <v>745</v>
      </c>
      <c r="H1164" s="530"/>
      <c r="I1164" s="525"/>
      <c r="K1164" s="548"/>
      <c r="L1164" s="548"/>
      <c r="M1164" s="548"/>
      <c r="N1164" s="552"/>
      <c r="Y1164" s="551"/>
    </row>
    <row r="1165" spans="1:25">
      <c r="A1165" s="499">
        <v>45517</v>
      </c>
      <c r="B1165" s="499">
        <v>45518</v>
      </c>
      <c r="C1165" s="500" t="s">
        <v>173</v>
      </c>
      <c r="D1165" s="500" t="s">
        <v>763</v>
      </c>
      <c r="E1165" s="501">
        <v>127132642.58</v>
      </c>
      <c r="F1165" s="502" t="s">
        <v>878</v>
      </c>
      <c r="G1165" s="100" t="s">
        <v>710</v>
      </c>
      <c r="H1165" s="530"/>
      <c r="I1165" s="525"/>
      <c r="K1165" s="548"/>
      <c r="L1165" s="548"/>
      <c r="M1165" s="548"/>
      <c r="N1165" s="552"/>
      <c r="Y1165" s="551"/>
    </row>
    <row r="1166" spans="1:25">
      <c r="A1166" s="499">
        <v>45517</v>
      </c>
      <c r="B1166" s="499">
        <v>45518</v>
      </c>
      <c r="C1166" s="500" t="s">
        <v>173</v>
      </c>
      <c r="D1166" s="500" t="s">
        <v>763</v>
      </c>
      <c r="E1166" s="501">
        <v>114082045.62</v>
      </c>
      <c r="F1166" s="502" t="s">
        <v>878</v>
      </c>
      <c r="G1166" s="100" t="s">
        <v>90</v>
      </c>
      <c r="H1166" s="530"/>
      <c r="I1166" s="525"/>
      <c r="K1166" s="548"/>
      <c r="L1166" s="548"/>
      <c r="M1166" s="548"/>
      <c r="N1166" s="552"/>
      <c r="Y1166" s="551"/>
    </row>
    <row r="1167" spans="1:25">
      <c r="A1167" s="499">
        <v>45517</v>
      </c>
      <c r="B1167" s="499">
        <v>45518</v>
      </c>
      <c r="C1167" s="500" t="s">
        <v>173</v>
      </c>
      <c r="D1167" s="500" t="s">
        <v>763</v>
      </c>
      <c r="E1167" s="501">
        <v>68052259.409999996</v>
      </c>
      <c r="F1167" s="502" t="s">
        <v>878</v>
      </c>
      <c r="G1167" s="100" t="s">
        <v>605</v>
      </c>
      <c r="H1167" s="530"/>
      <c r="I1167" s="525"/>
      <c r="K1167" s="548"/>
      <c r="L1167" s="548"/>
      <c r="M1167" s="548"/>
      <c r="N1167" s="552"/>
      <c r="Y1167" s="551"/>
    </row>
    <row r="1168" spans="1:25">
      <c r="A1168" s="499">
        <v>45517</v>
      </c>
      <c r="B1168" s="499">
        <v>45518</v>
      </c>
      <c r="C1168" s="500" t="s">
        <v>173</v>
      </c>
      <c r="D1168" s="500" t="s">
        <v>763</v>
      </c>
      <c r="E1168" s="501">
        <v>87113868.790000007</v>
      </c>
      <c r="F1168" s="502" t="s">
        <v>878</v>
      </c>
      <c r="G1168" s="100" t="s">
        <v>820</v>
      </c>
      <c r="H1168" s="530"/>
      <c r="I1168" s="525"/>
      <c r="K1168" s="548"/>
      <c r="L1168" s="548"/>
      <c r="M1168" s="548"/>
      <c r="N1168" s="552"/>
      <c r="Y1168" s="551"/>
    </row>
    <row r="1169" spans="1:25">
      <c r="A1169" s="499">
        <v>45517</v>
      </c>
      <c r="B1169" s="499">
        <v>45518</v>
      </c>
      <c r="C1169" s="500" t="s">
        <v>173</v>
      </c>
      <c r="D1169" s="500" t="s">
        <v>763</v>
      </c>
      <c r="E1169" s="501">
        <v>14019028.109999999</v>
      </c>
      <c r="F1169" s="502" t="s">
        <v>878</v>
      </c>
      <c r="G1169" s="100" t="s">
        <v>595</v>
      </c>
      <c r="H1169" s="530"/>
      <c r="I1169" s="525"/>
      <c r="K1169" s="548"/>
      <c r="L1169" s="548"/>
      <c r="M1169" s="548"/>
      <c r="N1169" s="552"/>
      <c r="Y1169" s="551"/>
    </row>
    <row r="1170" spans="1:25">
      <c r="A1170" s="499">
        <v>45517</v>
      </c>
      <c r="B1170" s="499">
        <v>45518</v>
      </c>
      <c r="C1170" s="500" t="s">
        <v>173</v>
      </c>
      <c r="D1170" s="500" t="s">
        <v>763</v>
      </c>
      <c r="E1170" s="501">
        <v>72071036.870000005</v>
      </c>
      <c r="F1170" s="502" t="s">
        <v>878</v>
      </c>
      <c r="G1170" s="100" t="s">
        <v>599</v>
      </c>
      <c r="H1170" s="530"/>
      <c r="I1170" s="525"/>
      <c r="K1170" s="548"/>
      <c r="L1170" s="548"/>
      <c r="M1170" s="548"/>
      <c r="N1170" s="552"/>
      <c r="Y1170" s="551"/>
    </row>
    <row r="1171" spans="1:25">
      <c r="A1171" s="499">
        <v>45517</v>
      </c>
      <c r="B1171" s="499">
        <v>45518</v>
      </c>
      <c r="C1171" s="500" t="s">
        <v>173</v>
      </c>
      <c r="D1171" s="500" t="s">
        <v>763</v>
      </c>
      <c r="E1171" s="501">
        <v>97042831.870000005</v>
      </c>
      <c r="F1171" s="502" t="s">
        <v>878</v>
      </c>
      <c r="G1171" s="100" t="s">
        <v>475</v>
      </c>
      <c r="H1171" s="530"/>
      <c r="I1171" s="525"/>
      <c r="K1171" s="548"/>
      <c r="L1171" s="548"/>
      <c r="M1171" s="548"/>
      <c r="N1171" s="552"/>
      <c r="Y1171" s="551"/>
    </row>
    <row r="1172" spans="1:25">
      <c r="A1172" s="499">
        <v>45517</v>
      </c>
      <c r="B1172" s="499">
        <v>45518</v>
      </c>
      <c r="C1172" s="500" t="s">
        <v>173</v>
      </c>
      <c r="D1172" s="500" t="s">
        <v>763</v>
      </c>
      <c r="E1172" s="501">
        <v>68075354.290000007</v>
      </c>
      <c r="F1172" s="502" t="s">
        <v>878</v>
      </c>
      <c r="G1172" s="100" t="s">
        <v>603</v>
      </c>
      <c r="H1172" s="530"/>
      <c r="I1172" s="525"/>
      <c r="K1172" s="548"/>
      <c r="L1172" s="548"/>
      <c r="M1172" s="548"/>
      <c r="N1172" s="552"/>
      <c r="Y1172" s="551"/>
    </row>
    <row r="1173" spans="1:25">
      <c r="A1173" s="499">
        <v>45517</v>
      </c>
      <c r="B1173" s="499">
        <v>45518</v>
      </c>
      <c r="C1173" s="500" t="s">
        <v>173</v>
      </c>
      <c r="D1173" s="500" t="s">
        <v>763</v>
      </c>
      <c r="E1173" s="501">
        <v>25022199.829999998</v>
      </c>
      <c r="F1173" s="502" t="s">
        <v>878</v>
      </c>
      <c r="G1173" s="100" t="s">
        <v>746</v>
      </c>
      <c r="H1173" s="530"/>
      <c r="I1173" s="525"/>
      <c r="K1173" s="548"/>
      <c r="L1173" s="548"/>
      <c r="M1173" s="548"/>
      <c r="N1173" s="552"/>
      <c r="Y1173" s="551"/>
    </row>
    <row r="1174" spans="1:25">
      <c r="A1174" s="499">
        <v>45517</v>
      </c>
      <c r="B1174" s="499">
        <v>45518</v>
      </c>
      <c r="C1174" s="500" t="s">
        <v>173</v>
      </c>
      <c r="D1174" s="500" t="s">
        <v>763</v>
      </c>
      <c r="E1174" s="501">
        <v>70046322.840000004</v>
      </c>
      <c r="F1174" s="502" t="s">
        <v>878</v>
      </c>
      <c r="G1174" s="100" t="s">
        <v>697</v>
      </c>
      <c r="H1174" s="530"/>
      <c r="I1174" s="525"/>
      <c r="K1174" s="548"/>
      <c r="L1174" s="548"/>
      <c r="M1174" s="548"/>
      <c r="N1174" s="552"/>
      <c r="Y1174" s="551"/>
    </row>
    <row r="1175" spans="1:25">
      <c r="A1175" s="499">
        <v>45517</v>
      </c>
      <c r="B1175" s="499">
        <v>45518</v>
      </c>
      <c r="C1175" s="500" t="s">
        <v>173</v>
      </c>
      <c r="D1175" s="500" t="s">
        <v>763</v>
      </c>
      <c r="E1175" s="501">
        <v>95084359.349999994</v>
      </c>
      <c r="F1175" s="502" t="s">
        <v>878</v>
      </c>
      <c r="G1175" s="100" t="s">
        <v>746</v>
      </c>
      <c r="H1175" s="530"/>
      <c r="I1175" s="525"/>
      <c r="K1175" s="548"/>
      <c r="L1175" s="548"/>
      <c r="M1175" s="548"/>
      <c r="N1175" s="552"/>
      <c r="Y1175" s="551"/>
    </row>
    <row r="1176" spans="1:25">
      <c r="A1176" s="499">
        <v>45517</v>
      </c>
      <c r="B1176" s="499">
        <v>45518</v>
      </c>
      <c r="C1176" s="500" t="s">
        <v>173</v>
      </c>
      <c r="D1176" s="500" t="s">
        <v>763</v>
      </c>
      <c r="E1176" s="501">
        <v>75091795.680000007</v>
      </c>
      <c r="F1176" s="502" t="s">
        <v>878</v>
      </c>
      <c r="G1176" s="100" t="s">
        <v>655</v>
      </c>
      <c r="H1176" s="530"/>
      <c r="I1176" s="525"/>
      <c r="K1176" s="548"/>
      <c r="L1176" s="548"/>
      <c r="M1176" s="548"/>
      <c r="N1176" s="552"/>
      <c r="Y1176" s="551"/>
    </row>
    <row r="1177" spans="1:25">
      <c r="A1177" s="499">
        <v>45518</v>
      </c>
      <c r="B1177" s="499">
        <v>45518</v>
      </c>
      <c r="C1177" s="500" t="s">
        <v>173</v>
      </c>
      <c r="D1177" s="500" t="s">
        <v>762</v>
      </c>
      <c r="E1177" s="501">
        <v>-4105914557.04</v>
      </c>
      <c r="F1177" s="502" t="s">
        <v>878</v>
      </c>
      <c r="G1177" s="100" t="s">
        <v>709</v>
      </c>
      <c r="H1177" s="530">
        <v>-1</v>
      </c>
      <c r="I1177" s="525"/>
      <c r="K1177" s="548"/>
      <c r="L1177" s="548"/>
      <c r="M1177" s="548"/>
      <c r="N1177" s="552"/>
      <c r="Y1177" s="551"/>
    </row>
    <row r="1178" spans="1:25">
      <c r="A1178" s="499">
        <v>45518</v>
      </c>
      <c r="B1178" s="499">
        <v>45518</v>
      </c>
      <c r="C1178" s="500" t="s">
        <v>173</v>
      </c>
      <c r="D1178" s="500" t="s">
        <v>762</v>
      </c>
      <c r="E1178" s="501">
        <v>-3700297842.3000002</v>
      </c>
      <c r="F1178" s="502" t="s">
        <v>878</v>
      </c>
      <c r="G1178" s="100" t="s">
        <v>670</v>
      </c>
      <c r="H1178" s="530"/>
      <c r="I1178" s="525"/>
      <c r="K1178" s="548"/>
      <c r="L1178" s="548"/>
      <c r="M1178" s="548"/>
      <c r="N1178" s="552"/>
      <c r="Y1178" s="551"/>
    </row>
    <row r="1179" spans="1:25">
      <c r="A1179" s="499">
        <v>45518</v>
      </c>
      <c r="B1179" s="499">
        <v>45518</v>
      </c>
      <c r="C1179" s="500" t="s">
        <v>173</v>
      </c>
      <c r="D1179" s="500" t="s">
        <v>762</v>
      </c>
      <c r="E1179" s="501">
        <v>-44015059.700000003</v>
      </c>
      <c r="F1179" s="502" t="s">
        <v>878</v>
      </c>
      <c r="G1179" s="100" t="s">
        <v>819</v>
      </c>
      <c r="H1179" s="530"/>
      <c r="I1179" s="525"/>
      <c r="K1179" s="548"/>
      <c r="L1179" s="548"/>
      <c r="M1179" s="548"/>
      <c r="N1179" s="552"/>
      <c r="Y1179" s="551"/>
    </row>
    <row r="1180" spans="1:25">
      <c r="A1180" s="499">
        <v>45518</v>
      </c>
      <c r="B1180" s="499">
        <v>45518</v>
      </c>
      <c r="C1180" s="500" t="s">
        <v>173</v>
      </c>
      <c r="D1180" s="500" t="s">
        <v>762</v>
      </c>
      <c r="E1180" s="501">
        <v>-3599459541.5500002</v>
      </c>
      <c r="F1180" s="502" t="s">
        <v>878</v>
      </c>
      <c r="G1180" s="100" t="s">
        <v>550</v>
      </c>
      <c r="H1180" s="530"/>
      <c r="I1180" s="525"/>
      <c r="K1180" s="548"/>
      <c r="L1180" s="548"/>
      <c r="M1180" s="548"/>
      <c r="N1180" s="552"/>
      <c r="Y1180" s="551"/>
    </row>
    <row r="1181" spans="1:25">
      <c r="A1181" s="499">
        <v>45518</v>
      </c>
      <c r="B1181" s="499">
        <v>45519</v>
      </c>
      <c r="C1181" s="500" t="s">
        <v>173</v>
      </c>
      <c r="D1181" s="500" t="s">
        <v>762</v>
      </c>
      <c r="E1181" s="501">
        <v>4107396500.52</v>
      </c>
      <c r="F1181" s="502" t="s">
        <v>878</v>
      </c>
      <c r="G1181" s="100" t="s">
        <v>709</v>
      </c>
      <c r="H1181" s="530"/>
      <c r="I1181" s="525"/>
      <c r="K1181" s="548"/>
      <c r="L1181" s="548"/>
      <c r="M1181" s="548"/>
      <c r="N1181" s="552"/>
      <c r="Y1181" s="551"/>
    </row>
    <row r="1182" spans="1:25">
      <c r="A1182" s="499">
        <v>45518</v>
      </c>
      <c r="B1182" s="499">
        <v>45519</v>
      </c>
      <c r="C1182" s="500" t="s">
        <v>173</v>
      </c>
      <c r="D1182" s="500" t="s">
        <v>762</v>
      </c>
      <c r="E1182" s="501">
        <v>3701633397.0700002</v>
      </c>
      <c r="F1182" s="502" t="s">
        <v>878</v>
      </c>
      <c r="G1182" s="100" t="s">
        <v>670</v>
      </c>
      <c r="H1182" s="530"/>
      <c r="I1182" s="525"/>
      <c r="K1182" s="548"/>
      <c r="L1182" s="548"/>
      <c r="M1182" s="548"/>
      <c r="N1182" s="552"/>
      <c r="Y1182" s="551"/>
    </row>
    <row r="1183" spans="1:25">
      <c r="A1183" s="499">
        <v>45518</v>
      </c>
      <c r="B1183" s="499">
        <v>45519</v>
      </c>
      <c r="C1183" s="500" t="s">
        <v>173</v>
      </c>
      <c r="D1183" s="500" t="s">
        <v>762</v>
      </c>
      <c r="E1183" s="501">
        <v>44030933.979999997</v>
      </c>
      <c r="F1183" s="502" t="s">
        <v>878</v>
      </c>
      <c r="G1183" s="100" t="s">
        <v>819</v>
      </c>
      <c r="H1183" s="530"/>
      <c r="I1183" s="525"/>
      <c r="K1183" s="548"/>
      <c r="L1183" s="548"/>
      <c r="M1183" s="548"/>
      <c r="N1183" s="552"/>
      <c r="Y1183" s="551"/>
    </row>
    <row r="1184" spans="1:25">
      <c r="A1184" s="499">
        <v>45518</v>
      </c>
      <c r="B1184" s="499">
        <v>45519</v>
      </c>
      <c r="C1184" s="500" t="s">
        <v>173</v>
      </c>
      <c r="D1184" s="500" t="s">
        <v>762</v>
      </c>
      <c r="E1184" s="501">
        <v>3600757746.6199999</v>
      </c>
      <c r="F1184" s="502" t="s">
        <v>878</v>
      </c>
      <c r="G1184" s="100" t="s">
        <v>550</v>
      </c>
      <c r="H1184" s="530"/>
      <c r="I1184" s="525"/>
      <c r="K1184" s="548"/>
      <c r="L1184" s="548"/>
      <c r="M1184" s="548"/>
      <c r="N1184" s="552"/>
      <c r="Y1184" s="551"/>
    </row>
    <row r="1185" spans="1:25">
      <c r="A1185" s="499">
        <v>45518</v>
      </c>
      <c r="B1185" s="499">
        <v>45518</v>
      </c>
      <c r="C1185" s="500" t="s">
        <v>173</v>
      </c>
      <c r="D1185" s="500" t="s">
        <v>761</v>
      </c>
      <c r="E1185" s="501">
        <v>-1503499906.8199999</v>
      </c>
      <c r="F1185" s="502" t="s">
        <v>878</v>
      </c>
      <c r="G1185" s="100" t="s">
        <v>589</v>
      </c>
      <c r="H1185" s="530"/>
      <c r="I1185" s="525"/>
      <c r="K1185" s="548"/>
      <c r="L1185" s="548"/>
      <c r="M1185" s="548"/>
      <c r="N1185" s="552"/>
      <c r="Y1185" s="551"/>
    </row>
    <row r="1186" spans="1:25">
      <c r="A1186" s="499">
        <v>45518</v>
      </c>
      <c r="B1186" s="499">
        <v>45518</v>
      </c>
      <c r="C1186" s="500" t="s">
        <v>173</v>
      </c>
      <c r="D1186" s="500" t="s">
        <v>761</v>
      </c>
      <c r="E1186" s="501">
        <v>-498377628.42000002</v>
      </c>
      <c r="F1186" s="502" t="s">
        <v>878</v>
      </c>
      <c r="G1186" s="100" t="s">
        <v>78</v>
      </c>
      <c r="H1186" s="530"/>
      <c r="I1186" s="525"/>
      <c r="K1186" s="548"/>
      <c r="L1186" s="548"/>
      <c r="M1186" s="548"/>
      <c r="N1186" s="552"/>
      <c r="Y1186" s="551"/>
    </row>
    <row r="1187" spans="1:25">
      <c r="A1187" s="499">
        <v>45518</v>
      </c>
      <c r="B1187" s="499">
        <v>45518</v>
      </c>
      <c r="C1187" s="500" t="s">
        <v>173</v>
      </c>
      <c r="D1187" s="500" t="s">
        <v>761</v>
      </c>
      <c r="E1187" s="501">
        <v>-8007265.1799999997</v>
      </c>
      <c r="F1187" s="502" t="s">
        <v>878</v>
      </c>
      <c r="G1187" s="100" t="s">
        <v>446</v>
      </c>
      <c r="H1187" s="530"/>
      <c r="I1187" s="525"/>
      <c r="K1187" s="548"/>
      <c r="L1187" s="548"/>
      <c r="M1187" s="548"/>
      <c r="N1187" s="552"/>
      <c r="Y1187" s="551"/>
    </row>
    <row r="1188" spans="1:25">
      <c r="A1188" s="499">
        <v>45518</v>
      </c>
      <c r="B1188" s="499">
        <v>45525</v>
      </c>
      <c r="C1188" s="500" t="s">
        <v>173</v>
      </c>
      <c r="D1188" s="500" t="s">
        <v>761</v>
      </c>
      <c r="E1188" s="501">
        <v>1507324383.3599999</v>
      </c>
      <c r="F1188" s="502" t="s">
        <v>878</v>
      </c>
      <c r="G1188" s="100" t="s">
        <v>589</v>
      </c>
      <c r="H1188" s="530"/>
      <c r="I1188" s="525"/>
      <c r="K1188" s="548"/>
      <c r="L1188" s="548"/>
      <c r="M1188" s="548"/>
      <c r="N1188" s="552"/>
      <c r="Y1188" s="551"/>
    </row>
    <row r="1189" spans="1:25">
      <c r="A1189" s="499">
        <v>45518</v>
      </c>
      <c r="B1189" s="499">
        <v>45519</v>
      </c>
      <c r="C1189" s="500" t="s">
        <v>173</v>
      </c>
      <c r="D1189" s="500" t="s">
        <v>761</v>
      </c>
      <c r="E1189" s="501">
        <v>498557371.17000002</v>
      </c>
      <c r="F1189" s="502" t="s">
        <v>878</v>
      </c>
      <c r="G1189" s="100" t="s">
        <v>78</v>
      </c>
      <c r="H1189" s="530"/>
      <c r="I1189" s="525"/>
      <c r="K1189" s="548"/>
      <c r="L1189" s="548"/>
      <c r="M1189" s="548"/>
      <c r="N1189" s="552"/>
      <c r="Y1189" s="551"/>
    </row>
    <row r="1190" spans="1:25">
      <c r="A1190" s="499">
        <v>45518</v>
      </c>
      <c r="B1190" s="499">
        <v>45519</v>
      </c>
      <c r="C1190" s="500" t="s">
        <v>173</v>
      </c>
      <c r="D1190" s="500" t="s">
        <v>761</v>
      </c>
      <c r="E1190" s="501">
        <v>8010153.0700000003</v>
      </c>
      <c r="F1190" s="502" t="s">
        <v>878</v>
      </c>
      <c r="G1190" s="100" t="s">
        <v>446</v>
      </c>
      <c r="H1190" s="530"/>
      <c r="I1190" s="525"/>
      <c r="K1190" s="548"/>
      <c r="L1190" s="548"/>
      <c r="M1190" s="548"/>
      <c r="N1190" s="552"/>
      <c r="Y1190" s="551"/>
    </row>
    <row r="1191" spans="1:25">
      <c r="A1191" s="499">
        <v>45518</v>
      </c>
      <c r="B1191" s="499">
        <v>45518</v>
      </c>
      <c r="C1191" s="500" t="s">
        <v>173</v>
      </c>
      <c r="D1191" s="500" t="s">
        <v>759</v>
      </c>
      <c r="E1191" s="501">
        <v>-1497949373.45</v>
      </c>
      <c r="F1191" s="502" t="s">
        <v>878</v>
      </c>
      <c r="G1191" s="100" t="s">
        <v>87</v>
      </c>
      <c r="H1191" s="484"/>
      <c r="I1191" s="525"/>
      <c r="K1191" s="548"/>
      <c r="L1191" s="548"/>
      <c r="M1191" s="548"/>
      <c r="N1191" s="552"/>
      <c r="Y1191" s="551"/>
    </row>
    <row r="1192" spans="1:25">
      <c r="A1192" s="499">
        <v>45518</v>
      </c>
      <c r="B1192" s="499">
        <v>45518</v>
      </c>
      <c r="C1192" s="500" t="s">
        <v>173</v>
      </c>
      <c r="D1192" s="500" t="s">
        <v>759</v>
      </c>
      <c r="E1192" s="501">
        <v>-870195240.17999995</v>
      </c>
      <c r="F1192" s="502" t="s">
        <v>878</v>
      </c>
      <c r="G1192" s="100" t="s">
        <v>61</v>
      </c>
      <c r="H1192" s="484"/>
      <c r="I1192" s="525"/>
      <c r="K1192" s="548"/>
      <c r="L1192" s="548"/>
      <c r="M1192" s="548"/>
      <c r="N1192" s="552"/>
      <c r="Y1192" s="551"/>
    </row>
    <row r="1193" spans="1:25">
      <c r="A1193" s="499">
        <v>45518</v>
      </c>
      <c r="B1193" s="499">
        <v>45518</v>
      </c>
      <c r="C1193" s="500" t="s">
        <v>173</v>
      </c>
      <c r="D1193" s="500" t="s">
        <v>759</v>
      </c>
      <c r="E1193" s="501">
        <v>-6069434602.6300001</v>
      </c>
      <c r="F1193" s="502" t="s">
        <v>878</v>
      </c>
      <c r="G1193" s="100" t="s">
        <v>75</v>
      </c>
      <c r="H1193" s="484"/>
      <c r="I1193" s="525"/>
      <c r="K1193" s="548"/>
      <c r="L1193" s="548"/>
      <c r="M1193" s="548"/>
      <c r="N1193" s="552"/>
      <c r="Y1193" s="551"/>
    </row>
    <row r="1194" spans="1:25">
      <c r="A1194" s="499">
        <v>45518</v>
      </c>
      <c r="B1194" s="499">
        <v>45518</v>
      </c>
      <c r="C1194" s="500" t="s">
        <v>173</v>
      </c>
      <c r="D1194" s="500" t="s">
        <v>759</v>
      </c>
      <c r="E1194" s="501">
        <v>-32007770.559999999</v>
      </c>
      <c r="F1194" s="502" t="s">
        <v>878</v>
      </c>
      <c r="G1194" s="100" t="s">
        <v>597</v>
      </c>
      <c r="H1194" s="484"/>
      <c r="I1194" s="525"/>
      <c r="K1194" s="548"/>
      <c r="L1194" s="548"/>
      <c r="M1194" s="548"/>
      <c r="N1194" s="552"/>
      <c r="Y1194" s="551"/>
    </row>
    <row r="1195" spans="1:25">
      <c r="A1195" s="499">
        <v>45518</v>
      </c>
      <c r="B1195" s="499">
        <v>45518</v>
      </c>
      <c r="C1195" s="500" t="s">
        <v>173</v>
      </c>
      <c r="D1195" s="500" t="s">
        <v>759</v>
      </c>
      <c r="E1195" s="501">
        <v>-36001084.850000001</v>
      </c>
      <c r="F1195" s="502" t="s">
        <v>878</v>
      </c>
      <c r="G1195" s="100" t="s">
        <v>645</v>
      </c>
      <c r="H1195" s="484"/>
      <c r="I1195" s="525"/>
      <c r="K1195" s="548"/>
      <c r="L1195" s="548"/>
      <c r="M1195" s="548"/>
      <c r="N1195" s="552"/>
      <c r="Y1195" s="551"/>
    </row>
    <row r="1196" spans="1:25">
      <c r="A1196" s="499">
        <v>45518</v>
      </c>
      <c r="B1196" s="499">
        <v>45519</v>
      </c>
      <c r="C1196" s="500" t="s">
        <v>173</v>
      </c>
      <c r="D1196" s="500" t="s">
        <v>759</v>
      </c>
      <c r="E1196" s="501">
        <v>1498488430.5899999</v>
      </c>
      <c r="F1196" s="502" t="s">
        <v>878</v>
      </c>
      <c r="G1196" s="100" t="s">
        <v>87</v>
      </c>
      <c r="H1196" s="530"/>
      <c r="I1196" s="525"/>
      <c r="K1196" s="548"/>
      <c r="L1196" s="548"/>
      <c r="M1196" s="548"/>
      <c r="N1196" s="552"/>
      <c r="Y1196" s="551"/>
    </row>
    <row r="1197" spans="1:25">
      <c r="A1197" s="499">
        <v>45518</v>
      </c>
      <c r="B1197" s="499">
        <v>45525</v>
      </c>
      <c r="C1197" s="500" t="s">
        <v>173</v>
      </c>
      <c r="D1197" s="500" t="s">
        <v>759</v>
      </c>
      <c r="E1197" s="501">
        <v>872425412.67999995</v>
      </c>
      <c r="F1197" s="502" t="s">
        <v>878</v>
      </c>
      <c r="G1197" s="100" t="s">
        <v>61</v>
      </c>
      <c r="H1197" s="530"/>
      <c r="I1197" s="525"/>
      <c r="K1197" s="548"/>
      <c r="L1197" s="548"/>
      <c r="M1197" s="548"/>
      <c r="N1197" s="552"/>
      <c r="Y1197" s="551"/>
    </row>
    <row r="1198" spans="1:25">
      <c r="A1198" s="499">
        <v>45518</v>
      </c>
      <c r="B1198" s="499">
        <v>45525</v>
      </c>
      <c r="C1198" s="500" t="s">
        <v>173</v>
      </c>
      <c r="D1198" s="500" t="s">
        <v>759</v>
      </c>
      <c r="E1198" s="501">
        <v>6084931560.6499996</v>
      </c>
      <c r="F1198" s="502" t="s">
        <v>878</v>
      </c>
      <c r="G1198" s="100" t="s">
        <v>75</v>
      </c>
      <c r="H1198" s="530"/>
      <c r="I1198" s="525"/>
      <c r="K1198" s="548"/>
      <c r="L1198" s="548"/>
      <c r="M1198" s="548"/>
      <c r="N1198" s="552"/>
      <c r="Y1198" s="551"/>
    </row>
    <row r="1199" spans="1:25">
      <c r="A1199" s="499">
        <v>45518</v>
      </c>
      <c r="B1199" s="499">
        <v>45525</v>
      </c>
      <c r="C1199" s="500" t="s">
        <v>173</v>
      </c>
      <c r="D1199" s="500" t="s">
        <v>759</v>
      </c>
      <c r="E1199" s="501">
        <v>32089495.32</v>
      </c>
      <c r="F1199" s="502" t="s">
        <v>878</v>
      </c>
      <c r="G1199" s="100" t="s">
        <v>597</v>
      </c>
      <c r="H1199" s="530"/>
      <c r="I1199" s="525"/>
      <c r="K1199" s="548"/>
      <c r="L1199" s="548"/>
      <c r="M1199" s="548"/>
      <c r="N1199" s="552"/>
      <c r="Y1199" s="551"/>
    </row>
    <row r="1200" spans="1:25">
      <c r="A1200" s="499">
        <v>45518</v>
      </c>
      <c r="B1200" s="499">
        <v>45519</v>
      </c>
      <c r="C1200" s="500" t="s">
        <v>173</v>
      </c>
      <c r="D1200" s="500" t="s">
        <v>759</v>
      </c>
      <c r="E1200" s="501">
        <v>36013872.119999997</v>
      </c>
      <c r="F1200" s="502" t="s">
        <v>878</v>
      </c>
      <c r="G1200" s="100" t="s">
        <v>645</v>
      </c>
      <c r="H1200" s="530"/>
      <c r="I1200" s="525"/>
      <c r="K1200" s="548"/>
      <c r="L1200" s="548"/>
      <c r="M1200" s="548"/>
      <c r="N1200" s="552"/>
      <c r="Y1200" s="551"/>
    </row>
    <row r="1201" spans="1:25">
      <c r="A1201" s="499">
        <v>45518</v>
      </c>
      <c r="B1201" s="499">
        <v>45518</v>
      </c>
      <c r="C1201" s="500" t="s">
        <v>173</v>
      </c>
      <c r="D1201" s="500" t="s">
        <v>760</v>
      </c>
      <c r="E1201" s="501">
        <v>-5001534.55</v>
      </c>
      <c r="F1201" s="502" t="s">
        <v>878</v>
      </c>
      <c r="G1201" s="100" t="s">
        <v>603</v>
      </c>
      <c r="H1201" s="530"/>
      <c r="I1201" s="525"/>
      <c r="K1201" s="548"/>
      <c r="L1201" s="548"/>
      <c r="M1201" s="548"/>
      <c r="N1201" s="552">
        <v>-1</v>
      </c>
      <c r="Y1201" s="551"/>
    </row>
    <row r="1202" spans="1:25">
      <c r="A1202" s="499">
        <v>45518</v>
      </c>
      <c r="B1202" s="499">
        <v>45518</v>
      </c>
      <c r="C1202" s="500" t="s">
        <v>173</v>
      </c>
      <c r="D1202" s="500" t="s">
        <v>760</v>
      </c>
      <c r="E1202" s="501">
        <v>-5000638.43</v>
      </c>
      <c r="F1202" s="502" t="s">
        <v>878</v>
      </c>
      <c r="G1202" s="100" t="s">
        <v>551</v>
      </c>
      <c r="H1202" s="530"/>
      <c r="I1202" s="525"/>
      <c r="K1202" s="548"/>
      <c r="L1202" s="548"/>
      <c r="M1202" s="548"/>
      <c r="N1202" s="552"/>
      <c r="Y1202" s="551"/>
    </row>
    <row r="1203" spans="1:25">
      <c r="A1203" s="499">
        <v>45518</v>
      </c>
      <c r="B1203" s="499">
        <v>45518</v>
      </c>
      <c r="C1203" s="500" t="s">
        <v>173</v>
      </c>
      <c r="D1203" s="500" t="s">
        <v>760</v>
      </c>
      <c r="E1203" s="501">
        <v>-7002223.1299999999</v>
      </c>
      <c r="F1203" s="502" t="s">
        <v>878</v>
      </c>
      <c r="G1203" s="100" t="s">
        <v>90</v>
      </c>
      <c r="H1203" s="530"/>
      <c r="I1203" s="525"/>
      <c r="K1203" s="548"/>
      <c r="L1203" s="548"/>
      <c r="M1203" s="548"/>
      <c r="N1203" s="552"/>
      <c r="Y1203" s="551"/>
    </row>
    <row r="1204" spans="1:25">
      <c r="A1204" s="499">
        <v>45518</v>
      </c>
      <c r="B1204" s="499">
        <v>45518</v>
      </c>
      <c r="C1204" s="500" t="s">
        <v>173</v>
      </c>
      <c r="D1204" s="500" t="s">
        <v>760</v>
      </c>
      <c r="E1204" s="501">
        <v>-4001369.06</v>
      </c>
      <c r="F1204" s="502" t="s">
        <v>878</v>
      </c>
      <c r="G1204" s="100" t="s">
        <v>820</v>
      </c>
      <c r="H1204" s="530"/>
      <c r="I1204" s="525"/>
      <c r="K1204" s="548"/>
      <c r="L1204" s="548"/>
      <c r="M1204" s="548"/>
      <c r="N1204" s="552"/>
      <c r="Y1204" s="551"/>
    </row>
    <row r="1205" spans="1:25">
      <c r="A1205" s="499">
        <v>45518</v>
      </c>
      <c r="B1205" s="499">
        <v>45518</v>
      </c>
      <c r="C1205" s="500" t="s">
        <v>173</v>
      </c>
      <c r="D1205" s="500" t="s">
        <v>760</v>
      </c>
      <c r="E1205" s="501">
        <v>-6002842.7000000002</v>
      </c>
      <c r="F1205" s="502" t="s">
        <v>878</v>
      </c>
      <c r="G1205" s="100" t="s">
        <v>448</v>
      </c>
      <c r="H1205" s="530"/>
      <c r="I1205" s="525"/>
      <c r="K1205" s="548"/>
      <c r="L1205" s="548"/>
      <c r="M1205" s="548"/>
      <c r="N1205" s="552"/>
      <c r="Y1205" s="551"/>
    </row>
    <row r="1206" spans="1:25">
      <c r="A1206" s="499">
        <v>45518</v>
      </c>
      <c r="B1206" s="499">
        <v>45518</v>
      </c>
      <c r="C1206" s="500" t="s">
        <v>173</v>
      </c>
      <c r="D1206" s="500" t="s">
        <v>760</v>
      </c>
      <c r="E1206" s="501">
        <v>-4003213.9</v>
      </c>
      <c r="F1206" s="502" t="s">
        <v>878</v>
      </c>
      <c r="G1206" s="100" t="s">
        <v>649</v>
      </c>
      <c r="H1206" s="530"/>
      <c r="I1206" s="525"/>
      <c r="K1206" s="548"/>
      <c r="L1206" s="548"/>
      <c r="M1206" s="548"/>
      <c r="N1206" s="552"/>
      <c r="Y1206" s="551"/>
    </row>
    <row r="1207" spans="1:25">
      <c r="A1207" s="499">
        <v>45518</v>
      </c>
      <c r="B1207" s="499">
        <v>45518</v>
      </c>
      <c r="C1207" s="500" t="s">
        <v>173</v>
      </c>
      <c r="D1207" s="500" t="s">
        <v>760</v>
      </c>
      <c r="E1207" s="501">
        <v>-6000766.1200000001</v>
      </c>
      <c r="F1207" s="502" t="s">
        <v>878</v>
      </c>
      <c r="G1207" s="100" t="s">
        <v>551</v>
      </c>
      <c r="H1207" s="530"/>
      <c r="I1207" s="525"/>
      <c r="K1207" s="548"/>
      <c r="L1207" s="548"/>
      <c r="M1207" s="548"/>
      <c r="N1207" s="552"/>
      <c r="Y1207" s="551"/>
    </row>
    <row r="1208" spans="1:25">
      <c r="A1208" s="499">
        <v>45518</v>
      </c>
      <c r="B1208" s="499">
        <v>45518</v>
      </c>
      <c r="C1208" s="500" t="s">
        <v>173</v>
      </c>
      <c r="D1208" s="500" t="s">
        <v>760</v>
      </c>
      <c r="E1208" s="501">
        <v>-6005032.9900000002</v>
      </c>
      <c r="F1208" s="502" t="s">
        <v>878</v>
      </c>
      <c r="G1208" s="100" t="s">
        <v>601</v>
      </c>
      <c r="H1208" s="530"/>
      <c r="I1208" s="525"/>
      <c r="K1208" s="548"/>
      <c r="L1208" s="548"/>
      <c r="M1208" s="548"/>
      <c r="N1208" s="552"/>
      <c r="Y1208" s="551"/>
    </row>
    <row r="1209" spans="1:25">
      <c r="A1209" s="499">
        <v>45518</v>
      </c>
      <c r="B1209" s="499">
        <v>45518</v>
      </c>
      <c r="C1209" s="500" t="s">
        <v>173</v>
      </c>
      <c r="D1209" s="500" t="s">
        <v>760</v>
      </c>
      <c r="E1209" s="501">
        <v>-5002368.92</v>
      </c>
      <c r="F1209" s="502" t="s">
        <v>878</v>
      </c>
      <c r="G1209" s="100" t="s">
        <v>448</v>
      </c>
      <c r="H1209" s="530"/>
      <c r="I1209" s="525"/>
      <c r="K1209" s="548"/>
      <c r="L1209" s="548"/>
      <c r="M1209" s="548"/>
      <c r="N1209" s="552"/>
      <c r="Y1209" s="551"/>
    </row>
    <row r="1210" spans="1:25">
      <c r="A1210" s="499">
        <v>45518</v>
      </c>
      <c r="B1210" s="499">
        <v>45518</v>
      </c>
      <c r="C1210" s="500" t="s">
        <v>173</v>
      </c>
      <c r="D1210" s="500" t="s">
        <v>760</v>
      </c>
      <c r="E1210" s="501">
        <v>-1000095.71</v>
      </c>
      <c r="F1210" s="502" t="s">
        <v>878</v>
      </c>
      <c r="G1210" s="100" t="s">
        <v>599</v>
      </c>
      <c r="H1210" s="530"/>
      <c r="I1210" s="525"/>
      <c r="K1210" s="548"/>
      <c r="L1210" s="548"/>
      <c r="M1210" s="548"/>
      <c r="N1210" s="552"/>
      <c r="Y1210" s="551"/>
    </row>
    <row r="1211" spans="1:25">
      <c r="A1211" s="499">
        <v>45518</v>
      </c>
      <c r="B1211" s="499">
        <v>45518</v>
      </c>
      <c r="C1211" s="500" t="s">
        <v>173</v>
      </c>
      <c r="D1211" s="500" t="s">
        <v>760</v>
      </c>
      <c r="E1211" s="501">
        <v>-2001606.95</v>
      </c>
      <c r="F1211" s="502" t="s">
        <v>878</v>
      </c>
      <c r="G1211" s="100" t="s">
        <v>649</v>
      </c>
      <c r="H1211" s="530"/>
      <c r="I1211" s="525"/>
      <c r="K1211" s="548"/>
      <c r="L1211" s="548"/>
      <c r="M1211" s="548"/>
      <c r="N1211" s="552"/>
      <c r="Y1211" s="551"/>
    </row>
    <row r="1212" spans="1:25">
      <c r="A1212" s="499">
        <v>45518</v>
      </c>
      <c r="B1212" s="499">
        <v>45518</v>
      </c>
      <c r="C1212" s="500" t="s">
        <v>173</v>
      </c>
      <c r="D1212" s="500" t="s">
        <v>760</v>
      </c>
      <c r="E1212" s="501">
        <v>-5000638.43</v>
      </c>
      <c r="F1212" s="502" t="s">
        <v>878</v>
      </c>
      <c r="G1212" s="100" t="s">
        <v>551</v>
      </c>
      <c r="H1212" s="530"/>
      <c r="I1212" s="525"/>
      <c r="K1212" s="548"/>
      <c r="L1212" s="548"/>
      <c r="M1212" s="548"/>
      <c r="N1212" s="552"/>
      <c r="Y1212" s="551"/>
    </row>
    <row r="1213" spans="1:25">
      <c r="A1213" s="499">
        <v>45518</v>
      </c>
      <c r="B1213" s="499">
        <v>45518</v>
      </c>
      <c r="C1213" s="500" t="s">
        <v>173</v>
      </c>
      <c r="D1213" s="500" t="s">
        <v>760</v>
      </c>
      <c r="E1213" s="501">
        <v>-1000345.78</v>
      </c>
      <c r="F1213" s="502" t="s">
        <v>878</v>
      </c>
      <c r="G1213" s="100" t="s">
        <v>453</v>
      </c>
      <c r="H1213" s="530"/>
      <c r="I1213" s="525"/>
      <c r="K1213" s="548"/>
      <c r="L1213" s="548"/>
      <c r="M1213" s="548"/>
      <c r="N1213" s="552"/>
      <c r="Y1213" s="551"/>
    </row>
    <row r="1214" spans="1:25">
      <c r="A1214" s="499">
        <v>45518</v>
      </c>
      <c r="B1214" s="499">
        <v>45518</v>
      </c>
      <c r="C1214" s="500" t="s">
        <v>173</v>
      </c>
      <c r="D1214" s="500" t="s">
        <v>760</v>
      </c>
      <c r="E1214" s="501">
        <v>-1000621.78</v>
      </c>
      <c r="F1214" s="502" t="s">
        <v>878</v>
      </c>
      <c r="G1214" s="100" t="s">
        <v>593</v>
      </c>
      <c r="H1214" s="530"/>
      <c r="I1214" s="525"/>
      <c r="K1214" s="548"/>
      <c r="L1214" s="548"/>
      <c r="M1214" s="548"/>
      <c r="N1214" s="552"/>
      <c r="Y1214" s="551"/>
    </row>
    <row r="1215" spans="1:25">
      <c r="A1215" s="499">
        <v>45518</v>
      </c>
      <c r="B1215" s="499">
        <v>45518</v>
      </c>
      <c r="C1215" s="500" t="s">
        <v>173</v>
      </c>
      <c r="D1215" s="500" t="s">
        <v>760</v>
      </c>
      <c r="E1215" s="501">
        <v>-2000691.56</v>
      </c>
      <c r="F1215" s="502" t="s">
        <v>878</v>
      </c>
      <c r="G1215" s="100" t="s">
        <v>453</v>
      </c>
      <c r="H1215" s="530"/>
      <c r="I1215" s="525"/>
      <c r="K1215" s="548"/>
      <c r="L1215" s="548"/>
      <c r="M1215" s="548"/>
      <c r="N1215" s="552"/>
      <c r="Y1215" s="551"/>
    </row>
    <row r="1216" spans="1:25">
      <c r="A1216" s="499">
        <v>45518</v>
      </c>
      <c r="B1216" s="499">
        <v>45518</v>
      </c>
      <c r="C1216" s="500" t="s">
        <v>173</v>
      </c>
      <c r="D1216" s="500" t="s">
        <v>760</v>
      </c>
      <c r="E1216" s="501">
        <v>-3000773.49</v>
      </c>
      <c r="F1216" s="502" t="s">
        <v>878</v>
      </c>
      <c r="G1216" s="100" t="s">
        <v>818</v>
      </c>
      <c r="H1216" s="530"/>
      <c r="I1216" s="525"/>
      <c r="K1216" s="548"/>
      <c r="L1216" s="548"/>
      <c r="M1216" s="548"/>
      <c r="N1216" s="552"/>
      <c r="Y1216" s="551"/>
    </row>
    <row r="1217" spans="1:25">
      <c r="A1217" s="499">
        <v>45518</v>
      </c>
      <c r="B1217" s="499">
        <v>45518</v>
      </c>
      <c r="C1217" s="500" t="s">
        <v>173</v>
      </c>
      <c r="D1217" s="500" t="s">
        <v>760</v>
      </c>
      <c r="E1217" s="501">
        <v>-2001243.56</v>
      </c>
      <c r="F1217" s="502" t="s">
        <v>878</v>
      </c>
      <c r="G1217" s="100" t="s">
        <v>593</v>
      </c>
      <c r="H1217" s="530"/>
      <c r="I1217" s="525"/>
      <c r="K1217" s="548"/>
      <c r="L1217" s="548"/>
      <c r="M1217" s="548"/>
      <c r="N1217" s="552"/>
      <c r="Y1217" s="551"/>
    </row>
    <row r="1218" spans="1:25">
      <c r="A1218" s="499">
        <v>45518</v>
      </c>
      <c r="B1218" s="499">
        <v>45518</v>
      </c>
      <c r="C1218" s="500" t="s">
        <v>173</v>
      </c>
      <c r="D1218" s="500" t="s">
        <v>760</v>
      </c>
      <c r="E1218" s="501">
        <v>-3000920.73</v>
      </c>
      <c r="F1218" s="502" t="s">
        <v>878</v>
      </c>
      <c r="G1218" s="100" t="s">
        <v>603</v>
      </c>
      <c r="H1218" s="530"/>
      <c r="I1218" s="525"/>
      <c r="K1218" s="548"/>
      <c r="L1218" s="548"/>
      <c r="M1218" s="548"/>
      <c r="N1218" s="552"/>
      <c r="Y1218" s="551"/>
    </row>
    <row r="1219" spans="1:25">
      <c r="A1219" s="499">
        <v>45518</v>
      </c>
      <c r="B1219" s="499">
        <v>45518</v>
      </c>
      <c r="C1219" s="500" t="s">
        <v>173</v>
      </c>
      <c r="D1219" s="500" t="s">
        <v>760</v>
      </c>
      <c r="E1219" s="501">
        <v>-2000255.37</v>
      </c>
      <c r="F1219" s="502" t="s">
        <v>878</v>
      </c>
      <c r="G1219" s="100" t="s">
        <v>551</v>
      </c>
      <c r="H1219" s="530"/>
      <c r="I1219" s="525"/>
      <c r="K1219" s="548"/>
      <c r="L1219" s="548"/>
      <c r="M1219" s="548"/>
      <c r="N1219" s="552"/>
      <c r="Y1219" s="551"/>
    </row>
    <row r="1220" spans="1:25">
      <c r="A1220" s="499">
        <v>45518</v>
      </c>
      <c r="B1220" s="499">
        <v>45518</v>
      </c>
      <c r="C1220" s="500" t="s">
        <v>173</v>
      </c>
      <c r="D1220" s="500" t="s">
        <v>760</v>
      </c>
      <c r="E1220" s="501">
        <v>-2000255.37</v>
      </c>
      <c r="F1220" s="502" t="s">
        <v>878</v>
      </c>
      <c r="G1220" s="100" t="s">
        <v>551</v>
      </c>
      <c r="H1220" s="530"/>
      <c r="I1220" s="525"/>
      <c r="K1220" s="548"/>
      <c r="L1220" s="548"/>
      <c r="M1220" s="548"/>
      <c r="N1220" s="552"/>
      <c r="Y1220" s="551"/>
    </row>
    <row r="1221" spans="1:25">
      <c r="A1221" s="499">
        <v>45518</v>
      </c>
      <c r="B1221" s="499">
        <v>45518</v>
      </c>
      <c r="C1221" s="500" t="s">
        <v>173</v>
      </c>
      <c r="D1221" s="500" t="s">
        <v>760</v>
      </c>
      <c r="E1221" s="501">
        <v>-3000673.24</v>
      </c>
      <c r="F1221" s="502" t="s">
        <v>878</v>
      </c>
      <c r="G1221" s="100" t="s">
        <v>61</v>
      </c>
      <c r="H1221" s="530"/>
      <c r="I1221" s="525"/>
      <c r="K1221" s="548"/>
      <c r="L1221" s="548"/>
      <c r="M1221" s="548"/>
      <c r="N1221" s="552"/>
      <c r="Y1221" s="551"/>
    </row>
    <row r="1222" spans="1:25">
      <c r="A1222" s="499">
        <v>45518</v>
      </c>
      <c r="B1222" s="499">
        <v>45518</v>
      </c>
      <c r="C1222" s="500" t="s">
        <v>173</v>
      </c>
      <c r="D1222" s="500" t="s">
        <v>760</v>
      </c>
      <c r="E1222" s="501">
        <v>-1000505.12</v>
      </c>
      <c r="F1222" s="502" t="s">
        <v>878</v>
      </c>
      <c r="G1222" s="100" t="s">
        <v>390</v>
      </c>
      <c r="H1222" s="530"/>
      <c r="I1222" s="525"/>
      <c r="K1222" s="548"/>
      <c r="L1222" s="548"/>
      <c r="M1222" s="548"/>
      <c r="N1222" s="552"/>
      <c r="Y1222" s="551"/>
    </row>
    <row r="1223" spans="1:25">
      <c r="A1223" s="499">
        <v>45518</v>
      </c>
      <c r="B1223" s="499">
        <v>45518</v>
      </c>
      <c r="C1223" s="500" t="s">
        <v>173</v>
      </c>
      <c r="D1223" s="500" t="s">
        <v>760</v>
      </c>
      <c r="E1223" s="501">
        <v>-1000838.83</v>
      </c>
      <c r="F1223" s="502" t="s">
        <v>878</v>
      </c>
      <c r="G1223" s="100" t="s">
        <v>601</v>
      </c>
      <c r="H1223" s="530"/>
      <c r="I1223" s="525"/>
      <c r="K1223" s="548"/>
      <c r="L1223" s="548"/>
      <c r="M1223" s="548"/>
      <c r="N1223" s="552"/>
      <c r="Y1223" s="551"/>
    </row>
    <row r="1224" spans="1:25">
      <c r="A1224" s="499">
        <v>45518</v>
      </c>
      <c r="B1224" s="499">
        <v>45518</v>
      </c>
      <c r="C1224" s="500" t="s">
        <v>173</v>
      </c>
      <c r="D1224" s="500" t="s">
        <v>760</v>
      </c>
      <c r="E1224" s="501">
        <v>-4003526.04</v>
      </c>
      <c r="F1224" s="502" t="s">
        <v>878</v>
      </c>
      <c r="G1224" s="100" t="s">
        <v>605</v>
      </c>
      <c r="H1224" s="530"/>
      <c r="I1224" s="525"/>
      <c r="K1224" s="548"/>
      <c r="L1224" s="548"/>
      <c r="M1224" s="548"/>
      <c r="N1224" s="552"/>
      <c r="Y1224" s="551"/>
    </row>
    <row r="1225" spans="1:25">
      <c r="A1225" s="499">
        <v>45518</v>
      </c>
      <c r="B1225" s="499">
        <v>45518</v>
      </c>
      <c r="C1225" s="500" t="s">
        <v>173</v>
      </c>
      <c r="D1225" s="500" t="s">
        <v>760</v>
      </c>
      <c r="E1225" s="501">
        <v>-7003118.0199999996</v>
      </c>
      <c r="F1225" s="502" t="s">
        <v>878</v>
      </c>
      <c r="G1225" s="100" t="s">
        <v>697</v>
      </c>
      <c r="H1225" s="530"/>
      <c r="I1225" s="525"/>
      <c r="K1225" s="548"/>
      <c r="L1225" s="548"/>
      <c r="M1225" s="548"/>
      <c r="N1225" s="552"/>
      <c r="Y1225" s="551"/>
    </row>
    <row r="1226" spans="1:25">
      <c r="A1226" s="499">
        <v>45518</v>
      </c>
      <c r="B1226" s="499">
        <v>45518</v>
      </c>
      <c r="C1226" s="500" t="s">
        <v>173</v>
      </c>
      <c r="D1226" s="500" t="s">
        <v>760</v>
      </c>
      <c r="E1226" s="501">
        <v>-2001273.86</v>
      </c>
      <c r="F1226" s="502" t="s">
        <v>878</v>
      </c>
      <c r="G1226" s="100" t="s">
        <v>476</v>
      </c>
      <c r="H1226" s="530"/>
      <c r="I1226" s="525"/>
      <c r="K1226" s="548"/>
      <c r="L1226" s="548"/>
      <c r="M1226" s="548"/>
      <c r="N1226" s="552"/>
      <c r="Y1226" s="551"/>
    </row>
    <row r="1227" spans="1:25">
      <c r="A1227" s="499">
        <v>45518</v>
      </c>
      <c r="B1227" s="499">
        <v>45518</v>
      </c>
      <c r="C1227" s="500" t="s">
        <v>173</v>
      </c>
      <c r="D1227" s="500" t="s">
        <v>760</v>
      </c>
      <c r="E1227" s="501">
        <v>-4001330.42</v>
      </c>
      <c r="F1227" s="502" t="s">
        <v>878</v>
      </c>
      <c r="G1227" s="100" t="s">
        <v>589</v>
      </c>
      <c r="H1227" s="530"/>
      <c r="I1227" s="525"/>
      <c r="K1227" s="548"/>
      <c r="L1227" s="548"/>
      <c r="M1227" s="548"/>
      <c r="N1227" s="552"/>
      <c r="Y1227" s="551"/>
    </row>
    <row r="1228" spans="1:25">
      <c r="A1228" s="499">
        <v>45518</v>
      </c>
      <c r="B1228" s="499">
        <v>45518</v>
      </c>
      <c r="C1228" s="500" t="s">
        <v>173</v>
      </c>
      <c r="D1228" s="500" t="s">
        <v>760</v>
      </c>
      <c r="E1228" s="501">
        <v>-2001243.56</v>
      </c>
      <c r="F1228" s="502" t="s">
        <v>878</v>
      </c>
      <c r="G1228" s="100" t="s">
        <v>593</v>
      </c>
      <c r="H1228" s="530"/>
      <c r="I1228" s="525"/>
      <c r="K1228" s="548"/>
      <c r="L1228" s="548"/>
      <c r="M1228" s="548"/>
      <c r="N1228" s="552"/>
      <c r="Y1228" s="551"/>
    </row>
    <row r="1229" spans="1:25">
      <c r="A1229" s="499">
        <v>45518</v>
      </c>
      <c r="B1229" s="499">
        <v>45518</v>
      </c>
      <c r="C1229" s="500" t="s">
        <v>173</v>
      </c>
      <c r="D1229" s="500" t="s">
        <v>760</v>
      </c>
      <c r="E1229" s="501">
        <v>-1000317.59</v>
      </c>
      <c r="F1229" s="502" t="s">
        <v>878</v>
      </c>
      <c r="G1229" s="100" t="s">
        <v>90</v>
      </c>
      <c r="H1229" s="530"/>
      <c r="I1229" s="525"/>
      <c r="K1229" s="548"/>
      <c r="L1229" s="548"/>
      <c r="M1229" s="548"/>
      <c r="N1229" s="552"/>
      <c r="Y1229" s="551"/>
    </row>
    <row r="1230" spans="1:25">
      <c r="A1230" s="499">
        <v>45518</v>
      </c>
      <c r="B1230" s="499">
        <v>45518</v>
      </c>
      <c r="C1230" s="500" t="s">
        <v>173</v>
      </c>
      <c r="D1230" s="500" t="s">
        <v>760</v>
      </c>
      <c r="E1230" s="501">
        <v>-2000947.57</v>
      </c>
      <c r="F1230" s="502" t="s">
        <v>878</v>
      </c>
      <c r="G1230" s="100" t="s">
        <v>448</v>
      </c>
      <c r="H1230" s="530"/>
      <c r="I1230" s="525"/>
      <c r="K1230" s="548"/>
      <c r="L1230" s="548"/>
      <c r="M1230" s="548"/>
      <c r="N1230" s="552"/>
      <c r="Y1230" s="551"/>
    </row>
    <row r="1231" spans="1:25">
      <c r="A1231" s="499">
        <v>45518</v>
      </c>
      <c r="B1231" s="499">
        <v>45518</v>
      </c>
      <c r="C1231" s="500" t="s">
        <v>173</v>
      </c>
      <c r="D1231" s="500" t="s">
        <v>760</v>
      </c>
      <c r="E1231" s="501">
        <v>-1000621.78</v>
      </c>
      <c r="F1231" s="502" t="s">
        <v>878</v>
      </c>
      <c r="G1231" s="100" t="s">
        <v>593</v>
      </c>
      <c r="H1231" s="530"/>
      <c r="I1231" s="525"/>
      <c r="K1231" s="548"/>
      <c r="L1231" s="548"/>
      <c r="M1231" s="548"/>
      <c r="N1231" s="552"/>
      <c r="Y1231" s="551"/>
    </row>
    <row r="1232" spans="1:25">
      <c r="A1232" s="499">
        <v>45518</v>
      </c>
      <c r="B1232" s="499">
        <v>45518</v>
      </c>
      <c r="C1232" s="500" t="s">
        <v>173</v>
      </c>
      <c r="D1232" s="500" t="s">
        <v>760</v>
      </c>
      <c r="E1232" s="501">
        <v>-52017295.509999998</v>
      </c>
      <c r="F1232" s="502" t="s">
        <v>878</v>
      </c>
      <c r="G1232" s="100" t="s">
        <v>589</v>
      </c>
      <c r="H1232" s="530"/>
      <c r="I1232" s="525"/>
      <c r="K1232" s="548"/>
      <c r="L1232" s="548"/>
      <c r="M1232" s="548"/>
      <c r="N1232" s="552"/>
      <c r="Y1232" s="551"/>
    </row>
    <row r="1233" spans="1:25">
      <c r="A1233" s="499">
        <v>45518</v>
      </c>
      <c r="B1233" s="499">
        <v>45518</v>
      </c>
      <c r="C1233" s="500" t="s">
        <v>173</v>
      </c>
      <c r="D1233" s="500" t="s">
        <v>760</v>
      </c>
      <c r="E1233" s="501">
        <v>-44036908.609999999</v>
      </c>
      <c r="F1233" s="502" t="s">
        <v>878</v>
      </c>
      <c r="G1233" s="100" t="s">
        <v>601</v>
      </c>
      <c r="H1233" s="530"/>
      <c r="I1233" s="525"/>
      <c r="K1233" s="548"/>
      <c r="L1233" s="548"/>
      <c r="M1233" s="548"/>
      <c r="N1233" s="552"/>
      <c r="Y1233" s="551"/>
    </row>
    <row r="1234" spans="1:25">
      <c r="A1234" s="499">
        <v>45518</v>
      </c>
      <c r="B1234" s="499">
        <v>45518</v>
      </c>
      <c r="C1234" s="500" t="s">
        <v>173</v>
      </c>
      <c r="D1234" s="500" t="s">
        <v>760</v>
      </c>
      <c r="E1234" s="501">
        <v>-57019709.460000001</v>
      </c>
      <c r="F1234" s="502" t="s">
        <v>878</v>
      </c>
      <c r="G1234" s="100" t="s">
        <v>453</v>
      </c>
      <c r="H1234" s="530"/>
      <c r="I1234" s="525"/>
      <c r="K1234" s="548"/>
      <c r="L1234" s="548"/>
      <c r="M1234" s="548"/>
      <c r="N1234" s="552"/>
      <c r="Y1234" s="551"/>
    </row>
    <row r="1235" spans="1:25">
      <c r="A1235" s="499">
        <v>45518</v>
      </c>
      <c r="B1235" s="499">
        <v>45518</v>
      </c>
      <c r="C1235" s="500" t="s">
        <v>173</v>
      </c>
      <c r="D1235" s="500" t="s">
        <v>760</v>
      </c>
      <c r="E1235" s="501">
        <v>-42009831.359999999</v>
      </c>
      <c r="F1235" s="502" t="s">
        <v>878</v>
      </c>
      <c r="G1235" s="100" t="s">
        <v>92</v>
      </c>
      <c r="H1235" s="530"/>
      <c r="I1235" s="525"/>
      <c r="K1235" s="548"/>
      <c r="L1235" s="548"/>
      <c r="M1235" s="548"/>
      <c r="N1235" s="552"/>
      <c r="Y1235" s="551"/>
    </row>
    <row r="1236" spans="1:25">
      <c r="A1236" s="499">
        <v>45518</v>
      </c>
      <c r="B1236" s="499">
        <v>45518</v>
      </c>
      <c r="C1236" s="500" t="s">
        <v>173</v>
      </c>
      <c r="D1236" s="500" t="s">
        <v>760</v>
      </c>
      <c r="E1236" s="501">
        <v>-40005107.439999998</v>
      </c>
      <c r="F1236" s="502" t="s">
        <v>878</v>
      </c>
      <c r="G1236" s="100" t="s">
        <v>551</v>
      </c>
      <c r="H1236" s="530"/>
      <c r="I1236" s="525"/>
      <c r="K1236" s="548"/>
      <c r="L1236" s="548"/>
      <c r="M1236" s="548"/>
      <c r="N1236" s="552"/>
      <c r="Y1236" s="551"/>
    </row>
    <row r="1237" spans="1:25">
      <c r="A1237" s="499">
        <v>45518</v>
      </c>
      <c r="B1237" s="499">
        <v>45518</v>
      </c>
      <c r="C1237" s="500" t="s">
        <v>173</v>
      </c>
      <c r="D1237" s="500" t="s">
        <v>760</v>
      </c>
      <c r="E1237" s="501">
        <v>-60017913.899999999</v>
      </c>
      <c r="F1237" s="502" t="s">
        <v>878</v>
      </c>
      <c r="G1237" s="100" t="s">
        <v>84</v>
      </c>
      <c r="H1237" s="530"/>
      <c r="I1237" s="525"/>
      <c r="K1237" s="548"/>
      <c r="L1237" s="548"/>
      <c r="M1237" s="548"/>
      <c r="N1237" s="552"/>
      <c r="Y1237" s="551"/>
    </row>
    <row r="1238" spans="1:25">
      <c r="A1238" s="499">
        <v>45518</v>
      </c>
      <c r="B1238" s="499">
        <v>45518</v>
      </c>
      <c r="C1238" s="500" t="s">
        <v>173</v>
      </c>
      <c r="D1238" s="500" t="s">
        <v>760</v>
      </c>
      <c r="E1238" s="501">
        <v>-58048059.960000001</v>
      </c>
      <c r="F1238" s="502" t="s">
        <v>878</v>
      </c>
      <c r="G1238" s="100" t="s">
        <v>822</v>
      </c>
      <c r="H1238" s="530"/>
      <c r="I1238" s="525"/>
      <c r="K1238" s="548"/>
      <c r="L1238" s="548"/>
      <c r="M1238" s="548"/>
      <c r="N1238" s="552"/>
      <c r="Y1238" s="551"/>
    </row>
    <row r="1239" spans="1:25">
      <c r="A1239" s="499">
        <v>45518</v>
      </c>
      <c r="B1239" s="499">
        <v>45518</v>
      </c>
      <c r="C1239" s="500" t="s">
        <v>173</v>
      </c>
      <c r="D1239" s="500" t="s">
        <v>760</v>
      </c>
      <c r="E1239" s="501">
        <v>-7005800.3399999999</v>
      </c>
      <c r="F1239" s="502" t="s">
        <v>878</v>
      </c>
      <c r="G1239" s="100" t="s">
        <v>822</v>
      </c>
      <c r="H1239" s="530"/>
      <c r="I1239" s="525"/>
      <c r="K1239" s="548"/>
      <c r="L1239" s="548"/>
      <c r="M1239" s="548"/>
      <c r="N1239" s="552"/>
      <c r="Y1239" s="551"/>
    </row>
    <row r="1240" spans="1:25">
      <c r="A1240" s="499">
        <v>45518</v>
      </c>
      <c r="B1240" s="499">
        <v>45518</v>
      </c>
      <c r="C1240" s="500" t="s">
        <v>173</v>
      </c>
      <c r="D1240" s="500" t="s">
        <v>760</v>
      </c>
      <c r="E1240" s="501">
        <v>-16014104.16</v>
      </c>
      <c r="F1240" s="502" t="s">
        <v>878</v>
      </c>
      <c r="G1240" s="100" t="s">
        <v>605</v>
      </c>
      <c r="H1240" s="530"/>
      <c r="I1240" s="525"/>
      <c r="K1240" s="548"/>
      <c r="L1240" s="548"/>
      <c r="M1240" s="548"/>
      <c r="N1240" s="552"/>
      <c r="Y1240" s="551"/>
    </row>
    <row r="1241" spans="1:25">
      <c r="A1241" s="499">
        <v>45518</v>
      </c>
      <c r="B1241" s="499">
        <v>45518</v>
      </c>
      <c r="C1241" s="500" t="s">
        <v>173</v>
      </c>
      <c r="D1241" s="500" t="s">
        <v>760</v>
      </c>
      <c r="E1241" s="501">
        <v>-38013830.780000001</v>
      </c>
      <c r="F1241" s="502" t="s">
        <v>878</v>
      </c>
      <c r="G1241" s="100" t="s">
        <v>93</v>
      </c>
      <c r="H1241" s="530"/>
      <c r="I1241" s="525"/>
      <c r="K1241" s="548"/>
      <c r="L1241" s="548"/>
      <c r="M1241" s="548"/>
      <c r="N1241" s="552"/>
      <c r="Y1241" s="551"/>
    </row>
    <row r="1242" spans="1:25">
      <c r="A1242" s="499">
        <v>45518</v>
      </c>
      <c r="B1242" s="499">
        <v>45518</v>
      </c>
      <c r="C1242" s="500" t="s">
        <v>173</v>
      </c>
      <c r="D1242" s="500" t="s">
        <v>760</v>
      </c>
      <c r="E1242" s="501">
        <v>-3000997.82</v>
      </c>
      <c r="F1242" s="502" t="s">
        <v>878</v>
      </c>
      <c r="G1242" s="100" t="s">
        <v>589</v>
      </c>
      <c r="H1242" s="530"/>
      <c r="I1242" s="525"/>
      <c r="K1242" s="548"/>
      <c r="L1242" s="548"/>
      <c r="M1242" s="548"/>
      <c r="N1242" s="552"/>
      <c r="Y1242" s="551"/>
    </row>
    <row r="1243" spans="1:25">
      <c r="A1243" s="499">
        <v>45518</v>
      </c>
      <c r="B1243" s="499">
        <v>45518</v>
      </c>
      <c r="C1243" s="500" t="s">
        <v>173</v>
      </c>
      <c r="D1243" s="500" t="s">
        <v>760</v>
      </c>
      <c r="E1243" s="501">
        <v>-4003632.59</v>
      </c>
      <c r="F1243" s="502" t="s">
        <v>878</v>
      </c>
      <c r="G1243" s="100" t="s">
        <v>446</v>
      </c>
      <c r="H1243" s="530"/>
      <c r="I1243" s="525"/>
      <c r="K1243" s="548"/>
      <c r="L1243" s="548"/>
      <c r="M1243" s="548"/>
      <c r="N1243" s="552"/>
      <c r="Y1243" s="551"/>
    </row>
    <row r="1244" spans="1:25">
      <c r="A1244" s="499">
        <v>45518</v>
      </c>
      <c r="B1244" s="499">
        <v>45518</v>
      </c>
      <c r="C1244" s="500" t="s">
        <v>173</v>
      </c>
      <c r="D1244" s="500" t="s">
        <v>760</v>
      </c>
      <c r="E1244" s="501">
        <v>-26014474.670000002</v>
      </c>
      <c r="F1244" s="502" t="s">
        <v>878</v>
      </c>
      <c r="G1244" s="100" t="s">
        <v>825</v>
      </c>
      <c r="H1244" s="530"/>
      <c r="I1244" s="525"/>
      <c r="K1244" s="548"/>
      <c r="L1244" s="548"/>
      <c r="M1244" s="548"/>
      <c r="N1244" s="552"/>
      <c r="Y1244" s="551"/>
    </row>
    <row r="1245" spans="1:25">
      <c r="A1245" s="499">
        <v>45518</v>
      </c>
      <c r="B1245" s="499">
        <v>45518</v>
      </c>
      <c r="C1245" s="500" t="s">
        <v>173</v>
      </c>
      <c r="D1245" s="500" t="s">
        <v>760</v>
      </c>
      <c r="E1245" s="501">
        <v>-15000700.890000001</v>
      </c>
      <c r="F1245" s="502" t="s">
        <v>878</v>
      </c>
      <c r="G1245" s="100" t="s">
        <v>591</v>
      </c>
      <c r="H1245" s="530"/>
      <c r="I1245" s="525"/>
      <c r="K1245" s="548"/>
      <c r="L1245" s="548"/>
      <c r="M1245" s="548"/>
      <c r="N1245" s="552"/>
      <c r="Y1245" s="551"/>
    </row>
    <row r="1246" spans="1:25">
      <c r="A1246" s="499">
        <v>45518</v>
      </c>
      <c r="B1246" s="499">
        <v>45518</v>
      </c>
      <c r="C1246" s="500" t="s">
        <v>173</v>
      </c>
      <c r="D1246" s="500" t="s">
        <v>760</v>
      </c>
      <c r="E1246" s="501">
        <v>-2000580.95</v>
      </c>
      <c r="F1246" s="502" t="s">
        <v>878</v>
      </c>
      <c r="G1246" s="100" t="s">
        <v>526</v>
      </c>
      <c r="H1246" s="530"/>
      <c r="I1246" s="525"/>
      <c r="K1246" s="548"/>
      <c r="L1246" s="548"/>
      <c r="M1246" s="548"/>
      <c r="N1246" s="552"/>
      <c r="Y1246" s="551"/>
    </row>
    <row r="1247" spans="1:25">
      <c r="A1247" s="499">
        <v>45518</v>
      </c>
      <c r="B1247" s="499">
        <v>45518</v>
      </c>
      <c r="C1247" s="500" t="s">
        <v>173</v>
      </c>
      <c r="D1247" s="500" t="s">
        <v>760</v>
      </c>
      <c r="E1247" s="501">
        <v>-31017258.260000002</v>
      </c>
      <c r="F1247" s="502" t="s">
        <v>878</v>
      </c>
      <c r="G1247" s="100" t="s">
        <v>825</v>
      </c>
      <c r="H1247" s="530"/>
      <c r="I1247" s="525"/>
      <c r="K1247" s="548"/>
      <c r="L1247" s="548"/>
      <c r="M1247" s="548"/>
      <c r="N1247" s="552"/>
      <c r="Y1247" s="551"/>
    </row>
    <row r="1248" spans="1:25">
      <c r="A1248" s="499">
        <v>45518</v>
      </c>
      <c r="B1248" s="499">
        <v>45518</v>
      </c>
      <c r="C1248" s="500" t="s">
        <v>173</v>
      </c>
      <c r="D1248" s="500" t="s">
        <v>760</v>
      </c>
      <c r="E1248" s="501">
        <v>-65027463.409999996</v>
      </c>
      <c r="F1248" s="502" t="s">
        <v>878</v>
      </c>
      <c r="G1248" s="100" t="s">
        <v>595</v>
      </c>
      <c r="H1248" s="530"/>
      <c r="I1248" s="525"/>
      <c r="K1248" s="548"/>
      <c r="L1248" s="548"/>
      <c r="M1248" s="548"/>
      <c r="N1248" s="552"/>
      <c r="Y1248" s="551"/>
    </row>
    <row r="1249" spans="1:25">
      <c r="A1249" s="499">
        <v>45518</v>
      </c>
      <c r="B1249" s="499">
        <v>45518</v>
      </c>
      <c r="C1249" s="500" t="s">
        <v>173</v>
      </c>
      <c r="D1249" s="500" t="s">
        <v>760</v>
      </c>
      <c r="E1249" s="501">
        <v>-19016748.690000001</v>
      </c>
      <c r="F1249" s="502" t="s">
        <v>878</v>
      </c>
      <c r="G1249" s="100" t="s">
        <v>605</v>
      </c>
      <c r="H1249" s="530"/>
      <c r="I1249" s="525"/>
      <c r="K1249" s="548"/>
      <c r="L1249" s="548"/>
      <c r="M1249" s="548"/>
      <c r="N1249" s="552"/>
      <c r="Y1249" s="551"/>
    </row>
    <row r="1250" spans="1:25">
      <c r="A1250" s="499">
        <v>45518</v>
      </c>
      <c r="B1250" s="499">
        <v>45518</v>
      </c>
      <c r="C1250" s="500" t="s">
        <v>173</v>
      </c>
      <c r="D1250" s="500" t="s">
        <v>760</v>
      </c>
      <c r="E1250" s="501">
        <v>-13003776.199999999</v>
      </c>
      <c r="F1250" s="502" t="s">
        <v>878</v>
      </c>
      <c r="G1250" s="100" t="s">
        <v>526</v>
      </c>
      <c r="H1250" s="530"/>
      <c r="I1250" s="525"/>
      <c r="K1250" s="548"/>
      <c r="L1250" s="548"/>
      <c r="M1250" s="548"/>
      <c r="N1250" s="552"/>
      <c r="Y1250" s="551"/>
    </row>
    <row r="1251" spans="1:25">
      <c r="A1251" s="499">
        <v>45518</v>
      </c>
      <c r="B1251" s="499">
        <v>45518</v>
      </c>
      <c r="C1251" s="500" t="s">
        <v>173</v>
      </c>
      <c r="D1251" s="500" t="s">
        <v>760</v>
      </c>
      <c r="E1251" s="501">
        <v>-15011817</v>
      </c>
      <c r="F1251" s="502" t="s">
        <v>878</v>
      </c>
      <c r="G1251" s="100" t="s">
        <v>745</v>
      </c>
      <c r="H1251" s="530"/>
      <c r="I1251" s="525"/>
      <c r="K1251" s="548"/>
      <c r="L1251" s="548"/>
      <c r="M1251" s="548"/>
      <c r="N1251" s="552"/>
      <c r="Y1251" s="551"/>
    </row>
    <row r="1252" spans="1:25">
      <c r="A1252" s="499">
        <v>45518</v>
      </c>
      <c r="B1252" s="499">
        <v>45518</v>
      </c>
      <c r="C1252" s="500" t="s">
        <v>173</v>
      </c>
      <c r="D1252" s="500" t="s">
        <v>760</v>
      </c>
      <c r="E1252" s="501">
        <v>-22007317.329999998</v>
      </c>
      <c r="F1252" s="502" t="s">
        <v>878</v>
      </c>
      <c r="G1252" s="100" t="s">
        <v>589</v>
      </c>
      <c r="H1252" s="530"/>
      <c r="I1252" s="525"/>
      <c r="K1252" s="548"/>
      <c r="L1252" s="548"/>
      <c r="M1252" s="548"/>
      <c r="N1252" s="552"/>
      <c r="Y1252" s="551"/>
    </row>
    <row r="1253" spans="1:25">
      <c r="A1253" s="499">
        <v>45518</v>
      </c>
      <c r="B1253" s="499">
        <v>45518</v>
      </c>
      <c r="C1253" s="500" t="s">
        <v>173</v>
      </c>
      <c r="D1253" s="500" t="s">
        <v>760</v>
      </c>
      <c r="E1253" s="501">
        <v>-7003316.4900000002</v>
      </c>
      <c r="F1253" s="502" t="s">
        <v>878</v>
      </c>
      <c r="G1253" s="100" t="s">
        <v>448</v>
      </c>
      <c r="H1253" s="530"/>
      <c r="I1253" s="525"/>
      <c r="K1253" s="548"/>
      <c r="L1253" s="548"/>
      <c r="M1253" s="548"/>
      <c r="N1253" s="552"/>
      <c r="Y1253" s="551"/>
    </row>
    <row r="1254" spans="1:25">
      <c r="A1254" s="499">
        <v>45518</v>
      </c>
      <c r="B1254" s="499">
        <v>45518</v>
      </c>
      <c r="C1254" s="500" t="s">
        <v>173</v>
      </c>
      <c r="D1254" s="500" t="s">
        <v>760</v>
      </c>
      <c r="E1254" s="501">
        <v>-10002428.300000001</v>
      </c>
      <c r="F1254" s="502" t="s">
        <v>878</v>
      </c>
      <c r="G1254" s="100" t="s">
        <v>597</v>
      </c>
      <c r="H1254" s="530"/>
      <c r="I1254" s="525"/>
      <c r="K1254" s="548"/>
      <c r="L1254" s="548"/>
      <c r="M1254" s="548"/>
      <c r="N1254" s="552"/>
      <c r="Y1254" s="551"/>
    </row>
    <row r="1255" spans="1:25">
      <c r="A1255" s="499">
        <v>45518</v>
      </c>
      <c r="B1255" s="499">
        <v>45518</v>
      </c>
      <c r="C1255" s="500" t="s">
        <v>173</v>
      </c>
      <c r="D1255" s="500" t="s">
        <v>760</v>
      </c>
      <c r="E1255" s="501">
        <v>-2000890.86</v>
      </c>
      <c r="F1255" s="502" t="s">
        <v>878</v>
      </c>
      <c r="G1255" s="100" t="s">
        <v>697</v>
      </c>
      <c r="H1255" s="530"/>
      <c r="I1255" s="525"/>
      <c r="K1255" s="548"/>
      <c r="L1255" s="548"/>
      <c r="M1255" s="548"/>
      <c r="N1255" s="552"/>
      <c r="Y1255" s="551"/>
    </row>
    <row r="1256" spans="1:25">
      <c r="A1256" s="499">
        <v>45518</v>
      </c>
      <c r="B1256" s="499">
        <v>45518</v>
      </c>
      <c r="C1256" s="500" t="s">
        <v>173</v>
      </c>
      <c r="D1256" s="500" t="s">
        <v>760</v>
      </c>
      <c r="E1256" s="501">
        <v>-23007649.940000001</v>
      </c>
      <c r="F1256" s="502" t="s">
        <v>878</v>
      </c>
      <c r="G1256" s="100" t="s">
        <v>589</v>
      </c>
      <c r="H1256" s="530"/>
      <c r="I1256" s="525"/>
      <c r="K1256" s="548"/>
      <c r="L1256" s="548"/>
      <c r="M1256" s="548"/>
      <c r="N1256" s="552"/>
      <c r="Y1256" s="551"/>
    </row>
    <row r="1257" spans="1:25">
      <c r="A1257" s="499">
        <v>45518</v>
      </c>
      <c r="B1257" s="499">
        <v>45518</v>
      </c>
      <c r="C1257" s="500" t="s">
        <v>173</v>
      </c>
      <c r="D1257" s="500" t="s">
        <v>760</v>
      </c>
      <c r="E1257" s="501">
        <v>-10002695.789999999</v>
      </c>
      <c r="F1257" s="502" t="s">
        <v>878</v>
      </c>
      <c r="G1257" s="100" t="s">
        <v>81</v>
      </c>
      <c r="H1257" s="530"/>
      <c r="I1257" s="525"/>
      <c r="K1257" s="548"/>
      <c r="L1257" s="548"/>
      <c r="M1257" s="548"/>
      <c r="N1257" s="552"/>
      <c r="Y1257" s="551"/>
    </row>
    <row r="1258" spans="1:25">
      <c r="A1258" s="499">
        <v>45518</v>
      </c>
      <c r="B1258" s="499">
        <v>45518</v>
      </c>
      <c r="C1258" s="500" t="s">
        <v>173</v>
      </c>
      <c r="D1258" s="500" t="s">
        <v>760</v>
      </c>
      <c r="E1258" s="501">
        <v>-24019886.879999999</v>
      </c>
      <c r="F1258" s="502" t="s">
        <v>878</v>
      </c>
      <c r="G1258" s="100" t="s">
        <v>822</v>
      </c>
      <c r="H1258" s="530"/>
      <c r="I1258" s="525"/>
      <c r="K1258" s="548"/>
      <c r="L1258" s="548"/>
      <c r="M1258" s="548"/>
      <c r="N1258" s="552"/>
      <c r="Y1258" s="551"/>
    </row>
    <row r="1259" spans="1:25">
      <c r="A1259" s="499">
        <v>45518</v>
      </c>
      <c r="B1259" s="499">
        <v>45518</v>
      </c>
      <c r="C1259" s="500" t="s">
        <v>173</v>
      </c>
      <c r="D1259" s="500" t="s">
        <v>760</v>
      </c>
      <c r="E1259" s="501">
        <v>-10007878</v>
      </c>
      <c r="F1259" s="502" t="s">
        <v>878</v>
      </c>
      <c r="G1259" s="100" t="s">
        <v>745</v>
      </c>
      <c r="H1259" s="530"/>
      <c r="I1259" s="525"/>
      <c r="K1259" s="548"/>
      <c r="L1259" s="548"/>
      <c r="M1259" s="548"/>
      <c r="N1259" s="552"/>
      <c r="Y1259" s="551"/>
    </row>
    <row r="1260" spans="1:25">
      <c r="A1260" s="499">
        <v>45518</v>
      </c>
      <c r="B1260" s="499">
        <v>45518</v>
      </c>
      <c r="C1260" s="500" t="s">
        <v>173</v>
      </c>
      <c r="D1260" s="500" t="s">
        <v>760</v>
      </c>
      <c r="E1260" s="501">
        <v>-22007529.850000001</v>
      </c>
      <c r="F1260" s="502" t="s">
        <v>878</v>
      </c>
      <c r="G1260" s="100" t="s">
        <v>820</v>
      </c>
      <c r="H1260" s="530"/>
      <c r="I1260" s="525"/>
      <c r="K1260" s="548"/>
      <c r="L1260" s="548"/>
      <c r="M1260" s="548"/>
      <c r="N1260" s="552"/>
      <c r="Y1260" s="551"/>
    </row>
    <row r="1261" spans="1:25">
      <c r="A1261" s="499">
        <v>45518</v>
      </c>
      <c r="B1261" s="499">
        <v>45518</v>
      </c>
      <c r="C1261" s="500" t="s">
        <v>173</v>
      </c>
      <c r="D1261" s="500" t="s">
        <v>760</v>
      </c>
      <c r="E1261" s="501">
        <v>-18008528.109999999</v>
      </c>
      <c r="F1261" s="502" t="s">
        <v>878</v>
      </c>
      <c r="G1261" s="100" t="s">
        <v>448</v>
      </c>
      <c r="H1261" s="530"/>
      <c r="I1261" s="525"/>
      <c r="K1261" s="548"/>
      <c r="L1261" s="548"/>
      <c r="M1261" s="548"/>
      <c r="N1261" s="552"/>
      <c r="Y1261" s="551"/>
    </row>
    <row r="1262" spans="1:25">
      <c r="A1262" s="499">
        <v>45518</v>
      </c>
      <c r="B1262" s="499">
        <v>45518</v>
      </c>
      <c r="C1262" s="500" t="s">
        <v>173</v>
      </c>
      <c r="D1262" s="500" t="s">
        <v>760</v>
      </c>
      <c r="E1262" s="501">
        <v>-25005610.350000001</v>
      </c>
      <c r="F1262" s="502" t="s">
        <v>878</v>
      </c>
      <c r="G1262" s="100" t="s">
        <v>61</v>
      </c>
      <c r="H1262" s="530"/>
      <c r="I1262" s="525"/>
      <c r="K1262" s="548"/>
      <c r="L1262" s="548"/>
      <c r="M1262" s="548"/>
      <c r="N1262" s="552"/>
      <c r="Y1262" s="551"/>
    </row>
    <row r="1263" spans="1:25">
      <c r="A1263" s="499">
        <v>45518</v>
      </c>
      <c r="B1263" s="499">
        <v>45518</v>
      </c>
      <c r="C1263" s="500" t="s">
        <v>173</v>
      </c>
      <c r="D1263" s="500" t="s">
        <v>760</v>
      </c>
      <c r="E1263" s="501">
        <v>-9007933.5899999999</v>
      </c>
      <c r="F1263" s="502" t="s">
        <v>878</v>
      </c>
      <c r="G1263" s="100" t="s">
        <v>605</v>
      </c>
      <c r="H1263" s="530"/>
      <c r="I1263" s="525"/>
      <c r="K1263" s="548"/>
      <c r="L1263" s="548"/>
      <c r="M1263" s="548"/>
      <c r="N1263" s="552"/>
      <c r="Y1263" s="551"/>
    </row>
    <row r="1264" spans="1:25">
      <c r="A1264" s="499">
        <v>45518</v>
      </c>
      <c r="B1264" s="499">
        <v>45518</v>
      </c>
      <c r="C1264" s="500" t="s">
        <v>173</v>
      </c>
      <c r="D1264" s="500" t="s">
        <v>760</v>
      </c>
      <c r="E1264" s="501">
        <v>-9004008.8900000006</v>
      </c>
      <c r="F1264" s="502" t="s">
        <v>878</v>
      </c>
      <c r="G1264" s="100" t="s">
        <v>697</v>
      </c>
      <c r="H1264" s="530"/>
      <c r="I1264" s="525"/>
      <c r="K1264" s="548"/>
      <c r="L1264" s="548"/>
      <c r="M1264" s="548"/>
      <c r="N1264" s="552"/>
      <c r="Y1264" s="551"/>
    </row>
    <row r="1265" spans="1:25">
      <c r="A1265" s="499">
        <v>45518</v>
      </c>
      <c r="B1265" s="499">
        <v>45518</v>
      </c>
      <c r="C1265" s="500" t="s">
        <v>173</v>
      </c>
      <c r="D1265" s="500" t="s">
        <v>760</v>
      </c>
      <c r="E1265" s="501">
        <v>-8003563.46</v>
      </c>
      <c r="F1265" s="502" t="s">
        <v>878</v>
      </c>
      <c r="G1265" s="100" t="s">
        <v>697</v>
      </c>
      <c r="H1265" s="530"/>
      <c r="I1265" s="525"/>
      <c r="K1265" s="548"/>
      <c r="L1265" s="548"/>
      <c r="M1265" s="548"/>
      <c r="N1265" s="552"/>
      <c r="Y1265" s="551"/>
    </row>
    <row r="1266" spans="1:25">
      <c r="A1266" s="499">
        <v>45518</v>
      </c>
      <c r="B1266" s="499">
        <v>45518</v>
      </c>
      <c r="C1266" s="500" t="s">
        <v>173</v>
      </c>
      <c r="D1266" s="500" t="s">
        <v>760</v>
      </c>
      <c r="E1266" s="501">
        <v>-34026673.409999996</v>
      </c>
      <c r="F1266" s="502" t="s">
        <v>878</v>
      </c>
      <c r="G1266" s="100" t="s">
        <v>91</v>
      </c>
      <c r="H1266" s="530"/>
      <c r="I1266" s="525"/>
      <c r="K1266" s="548"/>
      <c r="L1266" s="548"/>
      <c r="M1266" s="548"/>
      <c r="N1266" s="552"/>
      <c r="Y1266" s="551"/>
    </row>
    <row r="1267" spans="1:25">
      <c r="A1267" s="499">
        <v>45518</v>
      </c>
      <c r="B1267" s="499">
        <v>45518</v>
      </c>
      <c r="C1267" s="500" t="s">
        <v>173</v>
      </c>
      <c r="D1267" s="500" t="s">
        <v>760</v>
      </c>
      <c r="E1267" s="501">
        <v>-30001401.780000001</v>
      </c>
      <c r="F1267" s="502" t="s">
        <v>878</v>
      </c>
      <c r="G1267" s="100" t="s">
        <v>591</v>
      </c>
      <c r="H1267" s="530"/>
      <c r="I1267" s="525"/>
      <c r="K1267" s="548"/>
      <c r="L1267" s="548"/>
      <c r="M1267" s="548"/>
      <c r="N1267" s="552"/>
      <c r="Y1267" s="551"/>
    </row>
    <row r="1268" spans="1:25">
      <c r="A1268" s="499">
        <v>45518</v>
      </c>
      <c r="B1268" s="499">
        <v>45518</v>
      </c>
      <c r="C1268" s="500" t="s">
        <v>173</v>
      </c>
      <c r="D1268" s="500" t="s">
        <v>760</v>
      </c>
      <c r="E1268" s="501">
        <v>-15008350.77</v>
      </c>
      <c r="F1268" s="502" t="s">
        <v>878</v>
      </c>
      <c r="G1268" s="100" t="s">
        <v>825</v>
      </c>
      <c r="H1268" s="530"/>
      <c r="I1268" s="525"/>
      <c r="K1268" s="548"/>
      <c r="L1268" s="548"/>
      <c r="M1268" s="548"/>
      <c r="N1268" s="552"/>
      <c r="Y1268" s="551"/>
    </row>
    <row r="1269" spans="1:25">
      <c r="A1269" s="499">
        <v>45518</v>
      </c>
      <c r="B1269" s="499">
        <v>45518</v>
      </c>
      <c r="C1269" s="500" t="s">
        <v>173</v>
      </c>
      <c r="D1269" s="500" t="s">
        <v>760</v>
      </c>
      <c r="E1269" s="501">
        <v>-29009925.710000001</v>
      </c>
      <c r="F1269" s="502" t="s">
        <v>878</v>
      </c>
      <c r="G1269" s="100" t="s">
        <v>820</v>
      </c>
      <c r="H1269" s="530"/>
      <c r="I1269" s="525"/>
      <c r="K1269" s="548"/>
      <c r="L1269" s="548"/>
      <c r="M1269" s="548"/>
      <c r="N1269" s="552"/>
      <c r="Y1269" s="551"/>
    </row>
    <row r="1270" spans="1:25">
      <c r="A1270" s="499">
        <v>45518</v>
      </c>
      <c r="B1270" s="499">
        <v>45518</v>
      </c>
      <c r="C1270" s="500" t="s">
        <v>173</v>
      </c>
      <c r="D1270" s="500" t="s">
        <v>760</v>
      </c>
      <c r="E1270" s="501">
        <v>-42010828.859999999</v>
      </c>
      <c r="F1270" s="502" t="s">
        <v>878</v>
      </c>
      <c r="G1270" s="100" t="s">
        <v>818</v>
      </c>
      <c r="H1270" s="530"/>
      <c r="I1270" s="525"/>
      <c r="K1270" s="548"/>
      <c r="L1270" s="548"/>
      <c r="M1270" s="548"/>
      <c r="N1270" s="552"/>
      <c r="Y1270" s="551"/>
    </row>
    <row r="1271" spans="1:25">
      <c r="A1271" s="499">
        <v>45518</v>
      </c>
      <c r="B1271" s="499">
        <v>45518</v>
      </c>
      <c r="C1271" s="500" t="s">
        <v>173</v>
      </c>
      <c r="D1271" s="500" t="s">
        <v>760</v>
      </c>
      <c r="E1271" s="501">
        <v>-19011813.780000001</v>
      </c>
      <c r="F1271" s="502" t="s">
        <v>878</v>
      </c>
      <c r="G1271" s="100" t="s">
        <v>593</v>
      </c>
      <c r="H1271" s="530"/>
      <c r="I1271" s="525"/>
      <c r="K1271" s="548"/>
      <c r="L1271" s="548"/>
      <c r="M1271" s="548"/>
      <c r="N1271" s="552"/>
      <c r="Y1271" s="551"/>
    </row>
    <row r="1272" spans="1:25">
      <c r="A1272" s="499">
        <v>45518</v>
      </c>
      <c r="B1272" s="499">
        <v>45518</v>
      </c>
      <c r="C1272" s="500" t="s">
        <v>173</v>
      </c>
      <c r="D1272" s="500" t="s">
        <v>760</v>
      </c>
      <c r="E1272" s="501">
        <v>-13003989.83</v>
      </c>
      <c r="F1272" s="502" t="s">
        <v>878</v>
      </c>
      <c r="G1272" s="100" t="s">
        <v>603</v>
      </c>
      <c r="H1272" s="530"/>
      <c r="I1272" s="525"/>
      <c r="K1272" s="548"/>
      <c r="L1272" s="548"/>
      <c r="M1272" s="548"/>
      <c r="N1272" s="552"/>
      <c r="Y1272" s="551"/>
    </row>
    <row r="1273" spans="1:25">
      <c r="A1273" s="499">
        <v>45518</v>
      </c>
      <c r="B1273" s="499">
        <v>45518</v>
      </c>
      <c r="C1273" s="500" t="s">
        <v>173</v>
      </c>
      <c r="D1273" s="500" t="s">
        <v>760</v>
      </c>
      <c r="E1273" s="501">
        <v>-9002185.4700000007</v>
      </c>
      <c r="F1273" s="502" t="s">
        <v>878</v>
      </c>
      <c r="G1273" s="100" t="s">
        <v>597</v>
      </c>
      <c r="H1273" s="530"/>
      <c r="I1273" s="525"/>
      <c r="K1273" s="548"/>
      <c r="L1273" s="548"/>
      <c r="M1273" s="548"/>
      <c r="N1273" s="552"/>
      <c r="Y1273" s="551"/>
    </row>
    <row r="1274" spans="1:25">
      <c r="A1274" s="499">
        <v>45518</v>
      </c>
      <c r="B1274" s="499">
        <v>45518</v>
      </c>
      <c r="C1274" s="500" t="s">
        <v>173</v>
      </c>
      <c r="D1274" s="500" t="s">
        <v>760</v>
      </c>
      <c r="E1274" s="501">
        <v>-98077204.400000006</v>
      </c>
      <c r="F1274" s="502" t="s">
        <v>878</v>
      </c>
      <c r="G1274" s="100" t="s">
        <v>745</v>
      </c>
      <c r="H1274" s="530"/>
      <c r="I1274" s="525"/>
      <c r="K1274" s="548"/>
      <c r="L1274" s="548"/>
      <c r="M1274" s="548"/>
      <c r="N1274" s="552"/>
      <c r="Y1274" s="551"/>
    </row>
    <row r="1275" spans="1:25">
      <c r="A1275" s="499">
        <v>45518</v>
      </c>
      <c r="B1275" s="499">
        <v>45518</v>
      </c>
      <c r="C1275" s="500" t="s">
        <v>173</v>
      </c>
      <c r="D1275" s="500" t="s">
        <v>760</v>
      </c>
      <c r="E1275" s="501">
        <v>-98051840.040000007</v>
      </c>
      <c r="F1275" s="502" t="s">
        <v>878</v>
      </c>
      <c r="G1275" s="100" t="s">
        <v>475</v>
      </c>
      <c r="H1275" s="530"/>
      <c r="I1275" s="525"/>
      <c r="K1275" s="548"/>
      <c r="L1275" s="548"/>
      <c r="M1275" s="548"/>
      <c r="N1275" s="552"/>
      <c r="Y1275" s="551"/>
    </row>
    <row r="1276" spans="1:25">
      <c r="A1276" s="499">
        <v>45518</v>
      </c>
      <c r="B1276" s="499">
        <v>45518</v>
      </c>
      <c r="C1276" s="500" t="s">
        <v>173</v>
      </c>
      <c r="D1276" s="500" t="s">
        <v>760</v>
      </c>
      <c r="E1276" s="501">
        <v>-98051840.040000007</v>
      </c>
      <c r="F1276" s="502" t="s">
        <v>878</v>
      </c>
      <c r="G1276" s="100" t="s">
        <v>475</v>
      </c>
      <c r="H1276" s="530"/>
      <c r="I1276" s="525"/>
      <c r="K1276" s="548"/>
      <c r="L1276" s="548"/>
      <c r="M1276" s="548"/>
      <c r="N1276" s="552"/>
      <c r="Y1276" s="551"/>
    </row>
    <row r="1277" spans="1:25">
      <c r="A1277" s="499">
        <v>45518</v>
      </c>
      <c r="B1277" s="499">
        <v>45518</v>
      </c>
      <c r="C1277" s="500" t="s">
        <v>173</v>
      </c>
      <c r="D1277" s="500" t="s">
        <v>760</v>
      </c>
      <c r="E1277" s="501">
        <v>-95091603.75</v>
      </c>
      <c r="F1277" s="502" t="s">
        <v>878</v>
      </c>
      <c r="G1277" s="100" t="s">
        <v>746</v>
      </c>
      <c r="H1277" s="530"/>
      <c r="I1277" s="525"/>
      <c r="K1277" s="548"/>
      <c r="L1277" s="548"/>
      <c r="M1277" s="548"/>
      <c r="N1277" s="552"/>
      <c r="Y1277" s="551"/>
    </row>
    <row r="1278" spans="1:25">
      <c r="A1278" s="499">
        <v>45518</v>
      </c>
      <c r="B1278" s="499">
        <v>45518</v>
      </c>
      <c r="C1278" s="500" t="s">
        <v>173</v>
      </c>
      <c r="D1278" s="500" t="s">
        <v>760</v>
      </c>
      <c r="E1278" s="501">
        <v>-70031180.239999995</v>
      </c>
      <c r="F1278" s="502" t="s">
        <v>878</v>
      </c>
      <c r="G1278" s="100" t="s">
        <v>697</v>
      </c>
      <c r="H1278" s="530"/>
      <c r="I1278" s="525"/>
      <c r="K1278" s="548"/>
      <c r="L1278" s="548"/>
      <c r="M1278" s="548"/>
      <c r="N1278" s="552"/>
      <c r="Y1278" s="551"/>
    </row>
    <row r="1279" spans="1:25">
      <c r="A1279" s="499">
        <v>45518</v>
      </c>
      <c r="B1279" s="499">
        <v>45518</v>
      </c>
      <c r="C1279" s="500" t="s">
        <v>173</v>
      </c>
      <c r="D1279" s="500" t="s">
        <v>760</v>
      </c>
      <c r="E1279" s="501">
        <v>-87029777.140000001</v>
      </c>
      <c r="F1279" s="502" t="s">
        <v>878</v>
      </c>
      <c r="G1279" s="100" t="s">
        <v>820</v>
      </c>
      <c r="H1279" s="530"/>
      <c r="I1279" s="525"/>
      <c r="K1279" s="548"/>
      <c r="L1279" s="548"/>
      <c r="M1279" s="548"/>
      <c r="N1279" s="552"/>
      <c r="Y1279" s="551"/>
    </row>
    <row r="1280" spans="1:25">
      <c r="A1280" s="499">
        <v>45518</v>
      </c>
      <c r="B1280" s="499">
        <v>45518</v>
      </c>
      <c r="C1280" s="500" t="s">
        <v>173</v>
      </c>
      <c r="D1280" s="500" t="s">
        <v>760</v>
      </c>
      <c r="E1280" s="501">
        <v>-69021176.790000007</v>
      </c>
      <c r="F1280" s="502" t="s">
        <v>878</v>
      </c>
      <c r="G1280" s="100" t="s">
        <v>603</v>
      </c>
      <c r="H1280" s="530"/>
      <c r="I1280" s="525"/>
      <c r="K1280" s="548"/>
      <c r="L1280" s="548"/>
      <c r="M1280" s="548"/>
      <c r="N1280" s="552"/>
      <c r="Y1280" s="551"/>
    </row>
    <row r="1281" spans="1:25">
      <c r="A1281" s="499">
        <v>45518</v>
      </c>
      <c r="B1281" s="499">
        <v>45518</v>
      </c>
      <c r="C1281" s="500" t="s">
        <v>173</v>
      </c>
      <c r="D1281" s="500" t="s">
        <v>760</v>
      </c>
      <c r="E1281" s="501">
        <v>-94082861.939999998</v>
      </c>
      <c r="F1281" s="502" t="s">
        <v>878</v>
      </c>
      <c r="G1281" s="100" t="s">
        <v>605</v>
      </c>
      <c r="H1281" s="530"/>
      <c r="I1281" s="525"/>
      <c r="K1281" s="548"/>
      <c r="L1281" s="548"/>
      <c r="M1281" s="548"/>
      <c r="N1281" s="552"/>
      <c r="Y1281" s="551"/>
    </row>
    <row r="1282" spans="1:25">
      <c r="A1282" s="499">
        <v>45518</v>
      </c>
      <c r="B1282" s="499">
        <v>45518</v>
      </c>
      <c r="C1282" s="500" t="s">
        <v>173</v>
      </c>
      <c r="D1282" s="500" t="s">
        <v>760</v>
      </c>
      <c r="E1282" s="501">
        <v>-84080997</v>
      </c>
      <c r="F1282" s="502" t="s">
        <v>878</v>
      </c>
      <c r="G1282" s="100" t="s">
        <v>746</v>
      </c>
      <c r="H1282" s="530"/>
      <c r="I1282" s="525"/>
      <c r="K1282" s="548"/>
      <c r="L1282" s="548"/>
      <c r="M1282" s="548"/>
      <c r="N1282" s="552"/>
      <c r="Y1282" s="551"/>
    </row>
    <row r="1283" spans="1:25">
      <c r="A1283" s="499">
        <v>45518</v>
      </c>
      <c r="B1283" s="499">
        <v>45518</v>
      </c>
      <c r="C1283" s="500" t="s">
        <v>173</v>
      </c>
      <c r="D1283" s="500" t="s">
        <v>760</v>
      </c>
      <c r="E1283" s="501">
        <v>-72006891.260000005</v>
      </c>
      <c r="F1283" s="502" t="s">
        <v>878</v>
      </c>
      <c r="G1283" s="100" t="s">
        <v>599</v>
      </c>
      <c r="H1283" s="530"/>
      <c r="I1283" s="525"/>
      <c r="K1283" s="548"/>
      <c r="L1283" s="548"/>
      <c r="M1283" s="548"/>
      <c r="N1283" s="552"/>
      <c r="Y1283" s="551"/>
    </row>
    <row r="1284" spans="1:25">
      <c r="A1284" s="499">
        <v>45518</v>
      </c>
      <c r="B1284" s="499">
        <v>45518</v>
      </c>
      <c r="C1284" s="500" t="s">
        <v>173</v>
      </c>
      <c r="D1284" s="500" t="s">
        <v>760</v>
      </c>
      <c r="E1284" s="501">
        <v>-68059942.680000007</v>
      </c>
      <c r="F1284" s="502" t="s">
        <v>878</v>
      </c>
      <c r="G1284" s="100" t="s">
        <v>605</v>
      </c>
      <c r="H1284" s="530"/>
      <c r="I1284" s="525"/>
      <c r="K1284" s="548"/>
      <c r="L1284" s="548"/>
      <c r="M1284" s="548"/>
      <c r="N1284" s="552"/>
      <c r="Y1284" s="551"/>
    </row>
    <row r="1285" spans="1:25">
      <c r="A1285" s="499">
        <v>45518</v>
      </c>
      <c r="B1285" s="499">
        <v>45518</v>
      </c>
      <c r="C1285" s="500" t="s">
        <v>173</v>
      </c>
      <c r="D1285" s="500" t="s">
        <v>760</v>
      </c>
      <c r="E1285" s="501">
        <v>-1050796204.5</v>
      </c>
      <c r="F1285" s="502" t="s">
        <v>878</v>
      </c>
      <c r="G1285" s="100" t="s">
        <v>78</v>
      </c>
      <c r="H1285" s="530"/>
      <c r="I1285" s="525"/>
      <c r="K1285" s="548"/>
      <c r="L1285" s="548"/>
      <c r="M1285" s="548"/>
      <c r="N1285" s="552"/>
      <c r="Y1285" s="551"/>
    </row>
    <row r="1286" spans="1:25">
      <c r="A1286" s="499">
        <v>45518</v>
      </c>
      <c r="B1286" s="499">
        <v>45518</v>
      </c>
      <c r="C1286" s="500" t="s">
        <v>173</v>
      </c>
      <c r="D1286" s="500" t="s">
        <v>760</v>
      </c>
      <c r="E1286" s="501">
        <v>-44037279</v>
      </c>
      <c r="F1286" s="502" t="s">
        <v>878</v>
      </c>
      <c r="G1286" s="100" t="s">
        <v>82</v>
      </c>
      <c r="H1286" s="530"/>
      <c r="I1286" s="525"/>
      <c r="K1286" s="548"/>
      <c r="L1286" s="548"/>
      <c r="M1286" s="548"/>
      <c r="N1286" s="552"/>
      <c r="Y1286" s="551"/>
    </row>
    <row r="1287" spans="1:25">
      <c r="A1287" s="499">
        <v>45518</v>
      </c>
      <c r="B1287" s="499">
        <v>45519</v>
      </c>
      <c r="C1287" s="500" t="s">
        <v>173</v>
      </c>
      <c r="D1287" s="500" t="s">
        <v>760</v>
      </c>
      <c r="E1287" s="501">
        <v>5003338.37</v>
      </c>
      <c r="F1287" s="502" t="s">
        <v>878</v>
      </c>
      <c r="G1287" s="100" t="s">
        <v>603</v>
      </c>
      <c r="H1287" s="530"/>
      <c r="I1287" s="525"/>
      <c r="K1287" s="548"/>
      <c r="L1287" s="548"/>
      <c r="M1287" s="548"/>
      <c r="N1287" s="552"/>
      <c r="Y1287" s="551"/>
    </row>
    <row r="1288" spans="1:25">
      <c r="A1288" s="499">
        <v>45518</v>
      </c>
      <c r="B1288" s="499">
        <v>45519</v>
      </c>
      <c r="C1288" s="500" t="s">
        <v>173</v>
      </c>
      <c r="D1288" s="500" t="s">
        <v>760</v>
      </c>
      <c r="E1288" s="501">
        <v>5002441.93</v>
      </c>
      <c r="F1288" s="502" t="s">
        <v>878</v>
      </c>
      <c r="G1288" s="100" t="s">
        <v>551</v>
      </c>
      <c r="H1288" s="530"/>
      <c r="I1288" s="525"/>
      <c r="K1288" s="548"/>
      <c r="L1288" s="548"/>
      <c r="M1288" s="548"/>
      <c r="N1288" s="552"/>
      <c r="Y1288" s="551"/>
    </row>
    <row r="1289" spans="1:25">
      <c r="A1289" s="499">
        <v>45518</v>
      </c>
      <c r="B1289" s="499">
        <v>45519</v>
      </c>
      <c r="C1289" s="500" t="s">
        <v>173</v>
      </c>
      <c r="D1289" s="500" t="s">
        <v>760</v>
      </c>
      <c r="E1289" s="501">
        <v>7004748.5</v>
      </c>
      <c r="F1289" s="502" t="s">
        <v>878</v>
      </c>
      <c r="G1289" s="100" t="s">
        <v>90</v>
      </c>
      <c r="H1289" s="530"/>
      <c r="I1289" s="525"/>
      <c r="K1289" s="548"/>
      <c r="L1289" s="548"/>
      <c r="M1289" s="548"/>
      <c r="N1289" s="552"/>
      <c r="Y1289" s="551"/>
    </row>
    <row r="1290" spans="1:25">
      <c r="A1290" s="499">
        <v>45518</v>
      </c>
      <c r="B1290" s="499">
        <v>45519</v>
      </c>
      <c r="C1290" s="500" t="s">
        <v>173</v>
      </c>
      <c r="D1290" s="500" t="s">
        <v>760</v>
      </c>
      <c r="E1290" s="501">
        <v>4002812.17</v>
      </c>
      <c r="F1290" s="502" t="s">
        <v>878</v>
      </c>
      <c r="G1290" s="100" t="s">
        <v>820</v>
      </c>
      <c r="H1290" s="530"/>
      <c r="I1290" s="525"/>
      <c r="K1290" s="548"/>
      <c r="L1290" s="548"/>
      <c r="M1290" s="548"/>
      <c r="N1290" s="552"/>
      <c r="Y1290" s="551"/>
    </row>
    <row r="1291" spans="1:25">
      <c r="A1291" s="499">
        <v>45518</v>
      </c>
      <c r="B1291" s="499">
        <v>45519</v>
      </c>
      <c r="C1291" s="500" t="s">
        <v>173</v>
      </c>
      <c r="D1291" s="500" t="s">
        <v>760</v>
      </c>
      <c r="E1291" s="501">
        <v>6005007.6399999997</v>
      </c>
      <c r="F1291" s="502" t="s">
        <v>878</v>
      </c>
      <c r="G1291" s="100" t="s">
        <v>448</v>
      </c>
      <c r="H1291" s="530"/>
      <c r="I1291" s="525"/>
      <c r="K1291" s="548"/>
      <c r="L1291" s="548"/>
      <c r="M1291" s="548"/>
      <c r="N1291" s="552"/>
      <c r="Y1291" s="551"/>
    </row>
    <row r="1292" spans="1:25">
      <c r="A1292" s="499">
        <v>45518</v>
      </c>
      <c r="B1292" s="499">
        <v>45519</v>
      </c>
      <c r="C1292" s="500" t="s">
        <v>173</v>
      </c>
      <c r="D1292" s="500" t="s">
        <v>760</v>
      </c>
      <c r="E1292" s="501">
        <v>4004657.67</v>
      </c>
      <c r="F1292" s="502" t="s">
        <v>878</v>
      </c>
      <c r="G1292" s="100" t="s">
        <v>649</v>
      </c>
      <c r="H1292" s="530"/>
      <c r="I1292" s="525"/>
      <c r="K1292" s="548"/>
      <c r="L1292" s="548"/>
      <c r="M1292" s="548"/>
      <c r="N1292" s="552"/>
      <c r="Y1292" s="551"/>
    </row>
    <row r="1293" spans="1:25">
      <c r="A1293" s="499">
        <v>45518</v>
      </c>
      <c r="B1293" s="499">
        <v>45519</v>
      </c>
      <c r="C1293" s="500" t="s">
        <v>173</v>
      </c>
      <c r="D1293" s="500" t="s">
        <v>760</v>
      </c>
      <c r="E1293" s="501">
        <v>6002930.3099999996</v>
      </c>
      <c r="F1293" s="502" t="s">
        <v>878</v>
      </c>
      <c r="G1293" s="100" t="s">
        <v>551</v>
      </c>
      <c r="H1293" s="530"/>
      <c r="I1293" s="525"/>
      <c r="K1293" s="548"/>
      <c r="L1293" s="548"/>
      <c r="M1293" s="548"/>
      <c r="N1293" s="552"/>
      <c r="Y1293" s="551"/>
    </row>
    <row r="1294" spans="1:25">
      <c r="A1294" s="499">
        <v>45518</v>
      </c>
      <c r="B1294" s="499">
        <v>45519</v>
      </c>
      <c r="C1294" s="500" t="s">
        <v>173</v>
      </c>
      <c r="D1294" s="500" t="s">
        <v>760</v>
      </c>
      <c r="E1294" s="501">
        <v>6007198.7199999997</v>
      </c>
      <c r="F1294" s="502" t="s">
        <v>878</v>
      </c>
      <c r="G1294" s="100" t="s">
        <v>601</v>
      </c>
      <c r="H1294" s="530"/>
      <c r="I1294" s="525"/>
      <c r="K1294" s="548"/>
      <c r="L1294" s="548"/>
      <c r="M1294" s="548"/>
      <c r="N1294" s="552"/>
      <c r="Y1294" s="551"/>
    </row>
    <row r="1295" spans="1:25">
      <c r="A1295" s="499">
        <v>45518</v>
      </c>
      <c r="B1295" s="499">
        <v>45519</v>
      </c>
      <c r="C1295" s="500" t="s">
        <v>173</v>
      </c>
      <c r="D1295" s="500" t="s">
        <v>760</v>
      </c>
      <c r="E1295" s="501">
        <v>5004173.04</v>
      </c>
      <c r="F1295" s="502" t="s">
        <v>878</v>
      </c>
      <c r="G1295" s="100" t="s">
        <v>448</v>
      </c>
      <c r="H1295" s="530"/>
      <c r="I1295" s="525"/>
      <c r="K1295" s="548"/>
      <c r="L1295" s="548"/>
      <c r="M1295" s="548"/>
      <c r="N1295" s="552"/>
      <c r="Y1295" s="551"/>
    </row>
    <row r="1296" spans="1:25">
      <c r="A1296" s="499">
        <v>45518</v>
      </c>
      <c r="B1296" s="499">
        <v>45519</v>
      </c>
      <c r="C1296" s="500" t="s">
        <v>173</v>
      </c>
      <c r="D1296" s="500" t="s">
        <v>760</v>
      </c>
      <c r="E1296" s="501">
        <v>1000456.4</v>
      </c>
      <c r="F1296" s="502" t="s">
        <v>878</v>
      </c>
      <c r="G1296" s="100" t="s">
        <v>599</v>
      </c>
      <c r="H1296" s="530"/>
      <c r="I1296" s="525"/>
      <c r="K1296" s="548"/>
      <c r="L1296" s="548"/>
      <c r="M1296" s="548"/>
      <c r="N1296" s="552"/>
      <c r="Y1296" s="551"/>
    </row>
    <row r="1297" spans="1:25">
      <c r="A1297" s="499">
        <v>45518</v>
      </c>
      <c r="B1297" s="499">
        <v>45519</v>
      </c>
      <c r="C1297" s="500" t="s">
        <v>173</v>
      </c>
      <c r="D1297" s="500" t="s">
        <v>760</v>
      </c>
      <c r="E1297" s="501">
        <v>2002328.84</v>
      </c>
      <c r="F1297" s="502" t="s">
        <v>878</v>
      </c>
      <c r="G1297" s="100" t="s">
        <v>649</v>
      </c>
      <c r="H1297" s="530"/>
      <c r="I1297" s="525"/>
      <c r="K1297" s="548"/>
      <c r="L1297" s="548"/>
      <c r="M1297" s="548"/>
      <c r="N1297" s="552"/>
      <c r="Y1297" s="551"/>
    </row>
    <row r="1298" spans="1:25">
      <c r="A1298" s="499">
        <v>45518</v>
      </c>
      <c r="B1298" s="499">
        <v>45519</v>
      </c>
      <c r="C1298" s="500" t="s">
        <v>173</v>
      </c>
      <c r="D1298" s="500" t="s">
        <v>760</v>
      </c>
      <c r="E1298" s="501">
        <v>5002441.93</v>
      </c>
      <c r="F1298" s="502" t="s">
        <v>878</v>
      </c>
      <c r="G1298" s="100" t="s">
        <v>551</v>
      </c>
      <c r="H1298" s="530"/>
      <c r="I1298" s="525"/>
      <c r="K1298" s="548"/>
      <c r="L1298" s="548"/>
      <c r="M1298" s="548"/>
      <c r="N1298" s="552"/>
      <c r="Y1298" s="551"/>
    </row>
    <row r="1299" spans="1:25">
      <c r="A1299" s="499">
        <v>45518</v>
      </c>
      <c r="B1299" s="499">
        <v>45519</v>
      </c>
      <c r="C1299" s="500" t="s">
        <v>173</v>
      </c>
      <c r="D1299" s="500" t="s">
        <v>760</v>
      </c>
      <c r="E1299" s="501">
        <v>1000706.5600000001</v>
      </c>
      <c r="F1299" s="502" t="s">
        <v>878</v>
      </c>
      <c r="G1299" s="100" t="s">
        <v>453</v>
      </c>
      <c r="H1299" s="530"/>
      <c r="I1299" s="525"/>
      <c r="K1299" s="548"/>
      <c r="L1299" s="548"/>
      <c r="M1299" s="548"/>
      <c r="N1299" s="552"/>
      <c r="Y1299" s="551"/>
    </row>
    <row r="1300" spans="1:25">
      <c r="A1300" s="499">
        <v>45518</v>
      </c>
      <c r="B1300" s="499">
        <v>45519</v>
      </c>
      <c r="C1300" s="500" t="s">
        <v>173</v>
      </c>
      <c r="D1300" s="500" t="s">
        <v>760</v>
      </c>
      <c r="E1300" s="501">
        <v>1000982.66</v>
      </c>
      <c r="F1300" s="502" t="s">
        <v>878</v>
      </c>
      <c r="G1300" s="100" t="s">
        <v>593</v>
      </c>
      <c r="H1300" s="530"/>
      <c r="I1300" s="525"/>
      <c r="K1300" s="548"/>
      <c r="L1300" s="548"/>
      <c r="M1300" s="548"/>
      <c r="N1300" s="552"/>
      <c r="Y1300" s="551"/>
    </row>
    <row r="1301" spans="1:25">
      <c r="A1301" s="499">
        <v>45518</v>
      </c>
      <c r="B1301" s="499">
        <v>45519</v>
      </c>
      <c r="C1301" s="500" t="s">
        <v>173</v>
      </c>
      <c r="D1301" s="500" t="s">
        <v>760</v>
      </c>
      <c r="E1301" s="501">
        <v>2001413.1200000001</v>
      </c>
      <c r="F1301" s="502" t="s">
        <v>878</v>
      </c>
      <c r="G1301" s="100" t="s">
        <v>453</v>
      </c>
      <c r="H1301" s="530"/>
      <c r="I1301" s="525"/>
      <c r="K1301" s="548"/>
      <c r="L1301" s="548"/>
      <c r="M1301" s="548"/>
      <c r="N1301" s="552"/>
      <c r="Y1301" s="551"/>
    </row>
    <row r="1302" spans="1:25">
      <c r="A1302" s="499">
        <v>45518</v>
      </c>
      <c r="B1302" s="499">
        <v>45519</v>
      </c>
      <c r="C1302" s="500" t="s">
        <v>173</v>
      </c>
      <c r="D1302" s="500" t="s">
        <v>760</v>
      </c>
      <c r="E1302" s="501">
        <v>3001855.73</v>
      </c>
      <c r="F1302" s="502" t="s">
        <v>878</v>
      </c>
      <c r="G1302" s="100" t="s">
        <v>818</v>
      </c>
      <c r="H1302" s="530"/>
      <c r="I1302" s="525"/>
      <c r="K1302" s="548"/>
      <c r="L1302" s="548"/>
      <c r="M1302" s="548"/>
      <c r="N1302" s="552"/>
      <c r="Y1302" s="551"/>
    </row>
    <row r="1303" spans="1:25">
      <c r="A1303" s="499">
        <v>45518</v>
      </c>
      <c r="B1303" s="499">
        <v>45519</v>
      </c>
      <c r="C1303" s="500" t="s">
        <v>173</v>
      </c>
      <c r="D1303" s="500" t="s">
        <v>760</v>
      </c>
      <c r="E1303" s="501">
        <v>2001965.31</v>
      </c>
      <c r="F1303" s="502" t="s">
        <v>878</v>
      </c>
      <c r="G1303" s="100" t="s">
        <v>593</v>
      </c>
      <c r="H1303" s="530"/>
      <c r="I1303" s="525"/>
      <c r="K1303" s="548"/>
      <c r="L1303" s="548"/>
      <c r="M1303" s="548"/>
      <c r="N1303" s="552"/>
      <c r="Y1303" s="551"/>
    </row>
    <row r="1304" spans="1:25">
      <c r="A1304" s="499">
        <v>45518</v>
      </c>
      <c r="B1304" s="499">
        <v>45519</v>
      </c>
      <c r="C1304" s="500" t="s">
        <v>173</v>
      </c>
      <c r="D1304" s="500" t="s">
        <v>760</v>
      </c>
      <c r="E1304" s="501">
        <v>3002003.02</v>
      </c>
      <c r="F1304" s="502" t="s">
        <v>878</v>
      </c>
      <c r="G1304" s="100" t="s">
        <v>603</v>
      </c>
      <c r="H1304" s="530"/>
      <c r="I1304" s="525"/>
      <c r="K1304" s="548"/>
      <c r="L1304" s="548"/>
      <c r="M1304" s="548"/>
      <c r="N1304" s="552"/>
      <c r="Y1304" s="551"/>
    </row>
    <row r="1305" spans="1:25">
      <c r="A1305" s="499">
        <v>45518</v>
      </c>
      <c r="B1305" s="499">
        <v>45519</v>
      </c>
      <c r="C1305" s="500" t="s">
        <v>173</v>
      </c>
      <c r="D1305" s="500" t="s">
        <v>760</v>
      </c>
      <c r="E1305" s="501">
        <v>2000976.77</v>
      </c>
      <c r="F1305" s="502" t="s">
        <v>878</v>
      </c>
      <c r="G1305" s="100" t="s">
        <v>551</v>
      </c>
      <c r="H1305" s="530"/>
      <c r="I1305" s="525"/>
      <c r="K1305" s="548"/>
      <c r="L1305" s="548"/>
      <c r="M1305" s="548"/>
      <c r="N1305" s="552"/>
      <c r="Y1305" s="551"/>
    </row>
    <row r="1306" spans="1:25">
      <c r="A1306" s="499">
        <v>45518</v>
      </c>
      <c r="B1306" s="499">
        <v>45519</v>
      </c>
      <c r="C1306" s="500" t="s">
        <v>173</v>
      </c>
      <c r="D1306" s="500" t="s">
        <v>760</v>
      </c>
      <c r="E1306" s="501">
        <v>2000976.77</v>
      </c>
      <c r="F1306" s="502" t="s">
        <v>878</v>
      </c>
      <c r="G1306" s="100" t="s">
        <v>551</v>
      </c>
      <c r="H1306" s="530"/>
      <c r="I1306" s="525"/>
      <c r="K1306" s="548"/>
      <c r="L1306" s="548"/>
      <c r="M1306" s="548"/>
      <c r="N1306" s="552"/>
      <c r="Y1306" s="551"/>
    </row>
    <row r="1307" spans="1:25">
      <c r="A1307" s="499">
        <v>45518</v>
      </c>
      <c r="B1307" s="499">
        <v>45519</v>
      </c>
      <c r="C1307" s="500" t="s">
        <v>173</v>
      </c>
      <c r="D1307" s="500" t="s">
        <v>760</v>
      </c>
      <c r="E1307" s="501">
        <v>3001755.44</v>
      </c>
      <c r="F1307" s="502" t="s">
        <v>878</v>
      </c>
      <c r="G1307" s="100" t="s">
        <v>61</v>
      </c>
      <c r="H1307" s="530"/>
      <c r="I1307" s="525"/>
      <c r="K1307" s="548"/>
      <c r="L1307" s="548"/>
      <c r="M1307" s="548"/>
      <c r="N1307" s="552"/>
      <c r="Y1307" s="551"/>
    </row>
    <row r="1308" spans="1:25">
      <c r="A1308" s="499">
        <v>45518</v>
      </c>
      <c r="B1308" s="499">
        <v>45519</v>
      </c>
      <c r="C1308" s="500" t="s">
        <v>173</v>
      </c>
      <c r="D1308" s="500" t="s">
        <v>760</v>
      </c>
      <c r="E1308" s="501">
        <v>1000865.96</v>
      </c>
      <c r="F1308" s="502" t="s">
        <v>878</v>
      </c>
      <c r="G1308" s="100" t="s">
        <v>390</v>
      </c>
      <c r="H1308" s="530"/>
      <c r="I1308" s="525"/>
      <c r="K1308" s="548"/>
      <c r="L1308" s="548"/>
      <c r="M1308" s="548"/>
      <c r="N1308" s="552"/>
      <c r="Y1308" s="551"/>
    </row>
    <row r="1309" spans="1:25">
      <c r="A1309" s="499">
        <v>45518</v>
      </c>
      <c r="B1309" s="499">
        <v>45519</v>
      </c>
      <c r="C1309" s="500" t="s">
        <v>173</v>
      </c>
      <c r="D1309" s="500" t="s">
        <v>760</v>
      </c>
      <c r="E1309" s="501">
        <v>1001199.79</v>
      </c>
      <c r="F1309" s="502" t="s">
        <v>878</v>
      </c>
      <c r="G1309" s="100" t="s">
        <v>601</v>
      </c>
      <c r="H1309" s="530"/>
      <c r="I1309" s="525"/>
      <c r="K1309" s="548"/>
      <c r="L1309" s="548"/>
      <c r="M1309" s="548"/>
      <c r="N1309" s="552"/>
      <c r="Y1309" s="551"/>
    </row>
    <row r="1310" spans="1:25">
      <c r="A1310" s="499">
        <v>45518</v>
      </c>
      <c r="B1310" s="499">
        <v>45519</v>
      </c>
      <c r="C1310" s="500" t="s">
        <v>173</v>
      </c>
      <c r="D1310" s="500" t="s">
        <v>760</v>
      </c>
      <c r="E1310" s="501">
        <v>4004969.92</v>
      </c>
      <c r="F1310" s="502" t="s">
        <v>878</v>
      </c>
      <c r="G1310" s="100" t="s">
        <v>605</v>
      </c>
      <c r="H1310" s="530"/>
      <c r="I1310" s="525"/>
      <c r="K1310" s="548"/>
      <c r="L1310" s="548"/>
      <c r="M1310" s="548"/>
      <c r="N1310" s="552"/>
      <c r="Y1310" s="551"/>
    </row>
    <row r="1311" spans="1:25">
      <c r="A1311" s="499">
        <v>45518</v>
      </c>
      <c r="B1311" s="499">
        <v>45519</v>
      </c>
      <c r="C1311" s="500" t="s">
        <v>173</v>
      </c>
      <c r="D1311" s="500" t="s">
        <v>760</v>
      </c>
      <c r="E1311" s="501">
        <v>7005643.7199999997</v>
      </c>
      <c r="F1311" s="502" t="s">
        <v>878</v>
      </c>
      <c r="G1311" s="100" t="s">
        <v>697</v>
      </c>
      <c r="H1311" s="530"/>
      <c r="I1311" s="525"/>
      <c r="K1311" s="548"/>
      <c r="L1311" s="548"/>
      <c r="M1311" s="548"/>
      <c r="N1311" s="552"/>
      <c r="Y1311" s="551"/>
    </row>
    <row r="1312" spans="1:25">
      <c r="A1312" s="499">
        <v>45518</v>
      </c>
      <c r="B1312" s="499">
        <v>45519</v>
      </c>
      <c r="C1312" s="500" t="s">
        <v>173</v>
      </c>
      <c r="D1312" s="500" t="s">
        <v>760</v>
      </c>
      <c r="E1312" s="501">
        <v>2001995.63</v>
      </c>
      <c r="F1312" s="502" t="s">
        <v>878</v>
      </c>
      <c r="G1312" s="100" t="s">
        <v>476</v>
      </c>
      <c r="H1312" s="530"/>
      <c r="I1312" s="525"/>
      <c r="K1312" s="548"/>
      <c r="L1312" s="548"/>
      <c r="M1312" s="548"/>
      <c r="N1312" s="552"/>
      <c r="Y1312" s="551"/>
    </row>
    <row r="1313" spans="1:25">
      <c r="A1313" s="499">
        <v>45518</v>
      </c>
      <c r="B1313" s="499">
        <v>45519</v>
      </c>
      <c r="C1313" s="500" t="s">
        <v>173</v>
      </c>
      <c r="D1313" s="500" t="s">
        <v>760</v>
      </c>
      <c r="E1313" s="501">
        <v>4002773.51</v>
      </c>
      <c r="F1313" s="502" t="s">
        <v>878</v>
      </c>
      <c r="G1313" s="100" t="s">
        <v>589</v>
      </c>
      <c r="H1313" s="530"/>
      <c r="I1313" s="525"/>
      <c r="K1313" s="548"/>
      <c r="L1313" s="548"/>
      <c r="M1313" s="548"/>
      <c r="N1313" s="552"/>
      <c r="Y1313" s="551"/>
    </row>
    <row r="1314" spans="1:25">
      <c r="A1314" s="499">
        <v>45518</v>
      </c>
      <c r="B1314" s="499">
        <v>45519</v>
      </c>
      <c r="C1314" s="500" t="s">
        <v>173</v>
      </c>
      <c r="D1314" s="500" t="s">
        <v>760</v>
      </c>
      <c r="E1314" s="501">
        <v>2001965.31</v>
      </c>
      <c r="F1314" s="502" t="s">
        <v>878</v>
      </c>
      <c r="G1314" s="100" t="s">
        <v>593</v>
      </c>
      <c r="H1314" s="530"/>
      <c r="I1314" s="525"/>
      <c r="K1314" s="548"/>
      <c r="L1314" s="548"/>
      <c r="M1314" s="548"/>
      <c r="N1314" s="552"/>
      <c r="Y1314" s="551"/>
    </row>
    <row r="1315" spans="1:25">
      <c r="A1315" s="499">
        <v>45518</v>
      </c>
      <c r="B1315" s="499">
        <v>45519</v>
      </c>
      <c r="C1315" s="500" t="s">
        <v>173</v>
      </c>
      <c r="D1315" s="500" t="s">
        <v>760</v>
      </c>
      <c r="E1315" s="501">
        <v>1000678.36</v>
      </c>
      <c r="F1315" s="502" t="s">
        <v>878</v>
      </c>
      <c r="G1315" s="100" t="s">
        <v>90</v>
      </c>
      <c r="H1315" s="530"/>
      <c r="I1315" s="525"/>
      <c r="K1315" s="548"/>
      <c r="L1315" s="548"/>
      <c r="M1315" s="548"/>
      <c r="N1315" s="552"/>
      <c r="Y1315" s="551"/>
    </row>
    <row r="1316" spans="1:25">
      <c r="A1316" s="499">
        <v>45518</v>
      </c>
      <c r="B1316" s="499">
        <v>45519</v>
      </c>
      <c r="C1316" s="500" t="s">
        <v>173</v>
      </c>
      <c r="D1316" s="500" t="s">
        <v>760</v>
      </c>
      <c r="E1316" s="501">
        <v>2001669.22</v>
      </c>
      <c r="F1316" s="502" t="s">
        <v>878</v>
      </c>
      <c r="G1316" s="100" t="s">
        <v>448</v>
      </c>
      <c r="H1316" s="530"/>
      <c r="I1316" s="525"/>
      <c r="K1316" s="548"/>
      <c r="L1316" s="548"/>
      <c r="M1316" s="548"/>
      <c r="N1316" s="552"/>
      <c r="Y1316" s="551"/>
    </row>
    <row r="1317" spans="1:25">
      <c r="A1317" s="499">
        <v>45518</v>
      </c>
      <c r="B1317" s="499">
        <v>45519</v>
      </c>
      <c r="C1317" s="500" t="s">
        <v>173</v>
      </c>
      <c r="D1317" s="500" t="s">
        <v>760</v>
      </c>
      <c r="E1317" s="501">
        <v>1000982.66</v>
      </c>
      <c r="F1317" s="502" t="s">
        <v>878</v>
      </c>
      <c r="G1317" s="100" t="s">
        <v>593</v>
      </c>
      <c r="H1317" s="530"/>
      <c r="I1317" s="525"/>
      <c r="K1317" s="548"/>
      <c r="L1317" s="548"/>
      <c r="M1317" s="548"/>
      <c r="N1317" s="552"/>
      <c r="Y1317" s="551"/>
    </row>
    <row r="1318" spans="1:25">
      <c r="A1318" s="499">
        <v>45518</v>
      </c>
      <c r="B1318" s="499">
        <v>45519</v>
      </c>
      <c r="C1318" s="500" t="s">
        <v>173</v>
      </c>
      <c r="D1318" s="500" t="s">
        <v>760</v>
      </c>
      <c r="E1318" s="501">
        <v>52036055.700000003</v>
      </c>
      <c r="F1318" s="502" t="s">
        <v>878</v>
      </c>
      <c r="G1318" s="100" t="s">
        <v>589</v>
      </c>
      <c r="H1318" s="530"/>
      <c r="I1318" s="525"/>
      <c r="K1318" s="548"/>
      <c r="L1318" s="548"/>
      <c r="M1318" s="548"/>
      <c r="N1318" s="552"/>
      <c r="Y1318" s="551"/>
    </row>
    <row r="1319" spans="1:25">
      <c r="A1319" s="499">
        <v>45518</v>
      </c>
      <c r="B1319" s="499">
        <v>45519</v>
      </c>
      <c r="C1319" s="500" t="s">
        <v>173</v>
      </c>
      <c r="D1319" s="500" t="s">
        <v>760</v>
      </c>
      <c r="E1319" s="501">
        <v>44052790.649999999</v>
      </c>
      <c r="F1319" s="502" t="s">
        <v>878</v>
      </c>
      <c r="G1319" s="100" t="s">
        <v>601</v>
      </c>
      <c r="H1319" s="530"/>
      <c r="I1319" s="525"/>
      <c r="K1319" s="548"/>
      <c r="L1319" s="548"/>
      <c r="M1319" s="548"/>
      <c r="N1319" s="552"/>
      <c r="Y1319" s="551"/>
    </row>
    <row r="1320" spans="1:25">
      <c r="A1320" s="499">
        <v>45518</v>
      </c>
      <c r="B1320" s="499">
        <v>45519</v>
      </c>
      <c r="C1320" s="500" t="s">
        <v>173</v>
      </c>
      <c r="D1320" s="500" t="s">
        <v>760</v>
      </c>
      <c r="E1320" s="501">
        <v>57040273.789999999</v>
      </c>
      <c r="F1320" s="502" t="s">
        <v>878</v>
      </c>
      <c r="G1320" s="100" t="s">
        <v>453</v>
      </c>
      <c r="H1320" s="530"/>
      <c r="I1320" s="525"/>
      <c r="K1320" s="548"/>
      <c r="L1320" s="548"/>
      <c r="M1320" s="548"/>
      <c r="N1320" s="552"/>
      <c r="Y1320" s="551"/>
    </row>
    <row r="1321" spans="1:25">
      <c r="A1321" s="499">
        <v>45518</v>
      </c>
      <c r="B1321" s="499">
        <v>45519</v>
      </c>
      <c r="C1321" s="500" t="s">
        <v>173</v>
      </c>
      <c r="D1321" s="500" t="s">
        <v>760</v>
      </c>
      <c r="E1321" s="501">
        <v>42024982.329999998</v>
      </c>
      <c r="F1321" s="502" t="s">
        <v>878</v>
      </c>
      <c r="G1321" s="100" t="s">
        <v>92</v>
      </c>
      <c r="H1321" s="530"/>
      <c r="I1321" s="525"/>
      <c r="K1321" s="548"/>
      <c r="L1321" s="548"/>
      <c r="M1321" s="548"/>
      <c r="N1321" s="552"/>
      <c r="Y1321" s="551"/>
    </row>
    <row r="1322" spans="1:25">
      <c r="A1322" s="499">
        <v>45518</v>
      </c>
      <c r="B1322" s="499">
        <v>45519</v>
      </c>
      <c r="C1322" s="500" t="s">
        <v>173</v>
      </c>
      <c r="D1322" s="500" t="s">
        <v>760</v>
      </c>
      <c r="E1322" s="501">
        <v>40019535.399999999</v>
      </c>
      <c r="F1322" s="502" t="s">
        <v>878</v>
      </c>
      <c r="G1322" s="100" t="s">
        <v>551</v>
      </c>
      <c r="H1322" s="530"/>
      <c r="I1322" s="525"/>
      <c r="K1322" s="548"/>
      <c r="L1322" s="548"/>
      <c r="M1322" s="548"/>
      <c r="N1322" s="552"/>
      <c r="Y1322" s="551"/>
    </row>
    <row r="1323" spans="1:25">
      <c r="A1323" s="499">
        <v>45518</v>
      </c>
      <c r="B1323" s="499">
        <v>45519</v>
      </c>
      <c r="C1323" s="500" t="s">
        <v>173</v>
      </c>
      <c r="D1323" s="500" t="s">
        <v>760</v>
      </c>
      <c r="E1323" s="501">
        <v>60039559.539999999</v>
      </c>
      <c r="F1323" s="502" t="s">
        <v>878</v>
      </c>
      <c r="G1323" s="100" t="s">
        <v>84</v>
      </c>
      <c r="H1323" s="530"/>
      <c r="I1323" s="525"/>
      <c r="K1323" s="548"/>
      <c r="L1323" s="548"/>
      <c r="M1323" s="548"/>
      <c r="N1323" s="552"/>
      <c r="Y1323" s="551"/>
    </row>
    <row r="1324" spans="1:25">
      <c r="A1324" s="499">
        <v>45518</v>
      </c>
      <c r="B1324" s="499">
        <v>45519</v>
      </c>
      <c r="C1324" s="500" t="s">
        <v>173</v>
      </c>
      <c r="D1324" s="500" t="s">
        <v>760</v>
      </c>
      <c r="E1324" s="501">
        <v>58068995.170000002</v>
      </c>
      <c r="F1324" s="502" t="s">
        <v>878</v>
      </c>
      <c r="G1324" s="100" t="s">
        <v>822</v>
      </c>
      <c r="H1324" s="530"/>
      <c r="I1324" s="525"/>
      <c r="K1324" s="548"/>
      <c r="L1324" s="548"/>
      <c r="M1324" s="548"/>
      <c r="N1324" s="552"/>
      <c r="Y1324" s="551"/>
    </row>
    <row r="1325" spans="1:25">
      <c r="A1325" s="499">
        <v>45518</v>
      </c>
      <c r="B1325" s="499">
        <v>45519</v>
      </c>
      <c r="C1325" s="500" t="s">
        <v>173</v>
      </c>
      <c r="D1325" s="500" t="s">
        <v>760</v>
      </c>
      <c r="E1325" s="501">
        <v>7008327</v>
      </c>
      <c r="F1325" s="502" t="s">
        <v>878</v>
      </c>
      <c r="G1325" s="100" t="s">
        <v>822</v>
      </c>
      <c r="H1325" s="530"/>
      <c r="I1325" s="525"/>
      <c r="K1325" s="548"/>
      <c r="L1325" s="548"/>
      <c r="M1325" s="548"/>
      <c r="N1325" s="552"/>
      <c r="Y1325" s="551"/>
    </row>
    <row r="1326" spans="1:25">
      <c r="A1326" s="499">
        <v>45518</v>
      </c>
      <c r="B1326" s="499">
        <v>45519</v>
      </c>
      <c r="C1326" s="500" t="s">
        <v>173</v>
      </c>
      <c r="D1326" s="500" t="s">
        <v>760</v>
      </c>
      <c r="E1326" s="501">
        <v>16019879.689999999</v>
      </c>
      <c r="F1326" s="502" t="s">
        <v>878</v>
      </c>
      <c r="G1326" s="100" t="s">
        <v>605</v>
      </c>
      <c r="H1326" s="530"/>
      <c r="I1326" s="525"/>
      <c r="K1326" s="548"/>
      <c r="L1326" s="548"/>
      <c r="M1326" s="548"/>
      <c r="N1326" s="552"/>
      <c r="Y1326" s="551"/>
    </row>
    <row r="1327" spans="1:25">
      <c r="A1327" s="499">
        <v>45518</v>
      </c>
      <c r="B1327" s="499">
        <v>45519</v>
      </c>
      <c r="C1327" s="500" t="s">
        <v>173</v>
      </c>
      <c r="D1327" s="500" t="s">
        <v>760</v>
      </c>
      <c r="E1327" s="501">
        <v>38027540.579999998</v>
      </c>
      <c r="F1327" s="502" t="s">
        <v>878</v>
      </c>
      <c r="G1327" s="100" t="s">
        <v>93</v>
      </c>
      <c r="H1327" s="530"/>
      <c r="I1327" s="525"/>
      <c r="K1327" s="548"/>
      <c r="L1327" s="548"/>
      <c r="M1327" s="548"/>
      <c r="N1327" s="552"/>
      <c r="Y1327" s="551"/>
    </row>
    <row r="1328" spans="1:25">
      <c r="A1328" s="499">
        <v>45518</v>
      </c>
      <c r="B1328" s="499">
        <v>45519</v>
      </c>
      <c r="C1328" s="500" t="s">
        <v>173</v>
      </c>
      <c r="D1328" s="500" t="s">
        <v>760</v>
      </c>
      <c r="E1328" s="501">
        <v>3002080.14</v>
      </c>
      <c r="F1328" s="502" t="s">
        <v>878</v>
      </c>
      <c r="G1328" s="100" t="s">
        <v>589</v>
      </c>
      <c r="H1328" s="530"/>
      <c r="I1328" s="525"/>
      <c r="K1328" s="548"/>
      <c r="L1328" s="548"/>
      <c r="M1328" s="548"/>
      <c r="N1328" s="552"/>
      <c r="Y1328" s="551"/>
    </row>
    <row r="1329" spans="1:25">
      <c r="A1329" s="499">
        <v>45518</v>
      </c>
      <c r="B1329" s="499">
        <v>45519</v>
      </c>
      <c r="C1329" s="500" t="s">
        <v>173</v>
      </c>
      <c r="D1329" s="500" t="s">
        <v>760</v>
      </c>
      <c r="E1329" s="501">
        <v>4005076.51</v>
      </c>
      <c r="F1329" s="502" t="s">
        <v>878</v>
      </c>
      <c r="G1329" s="100" t="s">
        <v>446</v>
      </c>
      <c r="H1329" s="530"/>
      <c r="I1329" s="525"/>
      <c r="K1329" s="548"/>
      <c r="L1329" s="548"/>
      <c r="M1329" s="548"/>
      <c r="N1329" s="552"/>
      <c r="Y1329" s="551"/>
    </row>
    <row r="1330" spans="1:25">
      <c r="A1330" s="499">
        <v>45518</v>
      </c>
      <c r="B1330" s="499">
        <v>45519</v>
      </c>
      <c r="C1330" s="500" t="s">
        <v>173</v>
      </c>
      <c r="D1330" s="500" t="s">
        <v>760</v>
      </c>
      <c r="E1330" s="501">
        <v>26023856.870000001</v>
      </c>
      <c r="F1330" s="502" t="s">
        <v>878</v>
      </c>
      <c r="G1330" s="100" t="s">
        <v>825</v>
      </c>
      <c r="H1330" s="530"/>
      <c r="I1330" s="525"/>
      <c r="K1330" s="548"/>
      <c r="L1330" s="548"/>
      <c r="M1330" s="548"/>
      <c r="N1330" s="552"/>
      <c r="Y1330" s="551"/>
    </row>
    <row r="1331" spans="1:25">
      <c r="A1331" s="499">
        <v>45518</v>
      </c>
      <c r="B1331" s="499">
        <v>45519</v>
      </c>
      <c r="C1331" s="500" t="s">
        <v>173</v>
      </c>
      <c r="D1331" s="500" t="s">
        <v>760</v>
      </c>
      <c r="E1331" s="501">
        <v>15006110.939999999</v>
      </c>
      <c r="F1331" s="502" t="s">
        <v>878</v>
      </c>
      <c r="G1331" s="100" t="s">
        <v>591</v>
      </c>
      <c r="H1331" s="530"/>
      <c r="I1331" s="525"/>
      <c r="K1331" s="548"/>
      <c r="L1331" s="548"/>
      <c r="M1331" s="548"/>
      <c r="N1331" s="552"/>
      <c r="Y1331" s="551"/>
    </row>
    <row r="1332" spans="1:25">
      <c r="A1332" s="499">
        <v>45518</v>
      </c>
      <c r="B1332" s="499">
        <v>45519</v>
      </c>
      <c r="C1332" s="500" t="s">
        <v>173</v>
      </c>
      <c r="D1332" s="500" t="s">
        <v>760</v>
      </c>
      <c r="E1332" s="501">
        <v>2001302.47</v>
      </c>
      <c r="F1332" s="502" t="s">
        <v>878</v>
      </c>
      <c r="G1332" s="100" t="s">
        <v>526</v>
      </c>
      <c r="H1332" s="530"/>
      <c r="I1332" s="525"/>
      <c r="K1332" s="548"/>
      <c r="L1332" s="548"/>
      <c r="M1332" s="548"/>
      <c r="N1332" s="552"/>
      <c r="Y1332" s="551"/>
    </row>
    <row r="1333" spans="1:25">
      <c r="A1333" s="499">
        <v>45518</v>
      </c>
      <c r="B1333" s="499">
        <v>45519</v>
      </c>
      <c r="C1333" s="500" t="s">
        <v>173</v>
      </c>
      <c r="D1333" s="500" t="s">
        <v>760</v>
      </c>
      <c r="E1333" s="501">
        <v>31028444.73</v>
      </c>
      <c r="F1333" s="502" t="s">
        <v>878</v>
      </c>
      <c r="G1333" s="100" t="s">
        <v>825</v>
      </c>
      <c r="H1333" s="530"/>
      <c r="I1333" s="525"/>
      <c r="K1333" s="548"/>
      <c r="L1333" s="548"/>
      <c r="M1333" s="548"/>
      <c r="N1333" s="552"/>
      <c r="Y1333" s="551"/>
    </row>
    <row r="1334" spans="1:25">
      <c r="A1334" s="499">
        <v>45518</v>
      </c>
      <c r="B1334" s="499">
        <v>45519</v>
      </c>
      <c r="C1334" s="500" t="s">
        <v>173</v>
      </c>
      <c r="D1334" s="500" t="s">
        <v>760</v>
      </c>
      <c r="E1334" s="501">
        <v>65050915.759999998</v>
      </c>
      <c r="F1334" s="502" t="s">
        <v>878</v>
      </c>
      <c r="G1334" s="100" t="s">
        <v>595</v>
      </c>
      <c r="H1334" s="530"/>
      <c r="I1334" s="525"/>
      <c r="K1334" s="548"/>
      <c r="L1334" s="548"/>
      <c r="M1334" s="548"/>
      <c r="N1334" s="552"/>
      <c r="Y1334" s="551"/>
    </row>
    <row r="1335" spans="1:25">
      <c r="A1335" s="499">
        <v>45518</v>
      </c>
      <c r="B1335" s="499">
        <v>45519</v>
      </c>
      <c r="C1335" s="500" t="s">
        <v>173</v>
      </c>
      <c r="D1335" s="500" t="s">
        <v>760</v>
      </c>
      <c r="E1335" s="501">
        <v>19023607.140000001</v>
      </c>
      <c r="F1335" s="502" t="s">
        <v>878</v>
      </c>
      <c r="G1335" s="100" t="s">
        <v>605</v>
      </c>
      <c r="H1335" s="530"/>
      <c r="I1335" s="525"/>
      <c r="K1335" s="548"/>
      <c r="L1335" s="548"/>
      <c r="M1335" s="548"/>
      <c r="N1335" s="552"/>
      <c r="Y1335" s="551"/>
    </row>
    <row r="1336" spans="1:25">
      <c r="A1336" s="499">
        <v>45518</v>
      </c>
      <c r="B1336" s="499">
        <v>45519</v>
      </c>
      <c r="C1336" s="500" t="s">
        <v>173</v>
      </c>
      <c r="D1336" s="500" t="s">
        <v>760</v>
      </c>
      <c r="E1336" s="501">
        <v>13008466.050000001</v>
      </c>
      <c r="F1336" s="502" t="s">
        <v>878</v>
      </c>
      <c r="G1336" s="100" t="s">
        <v>526</v>
      </c>
      <c r="H1336" s="530"/>
      <c r="I1336" s="525"/>
      <c r="K1336" s="548"/>
      <c r="L1336" s="548"/>
      <c r="M1336" s="548"/>
      <c r="N1336" s="552"/>
      <c r="Y1336" s="551"/>
    </row>
    <row r="1337" spans="1:25">
      <c r="A1337" s="499">
        <v>45518</v>
      </c>
      <c r="B1337" s="499">
        <v>45519</v>
      </c>
      <c r="C1337" s="500" t="s">
        <v>173</v>
      </c>
      <c r="D1337" s="500" t="s">
        <v>760</v>
      </c>
      <c r="E1337" s="501">
        <v>15017231.060000001</v>
      </c>
      <c r="F1337" s="502" t="s">
        <v>878</v>
      </c>
      <c r="G1337" s="100" t="s">
        <v>745</v>
      </c>
      <c r="H1337" s="530"/>
      <c r="I1337" s="525"/>
      <c r="K1337" s="548"/>
      <c r="L1337" s="548"/>
      <c r="M1337" s="548"/>
      <c r="N1337" s="552"/>
      <c r="Y1337" s="551"/>
    </row>
    <row r="1338" spans="1:25">
      <c r="A1338" s="499">
        <v>45518</v>
      </c>
      <c r="B1338" s="499">
        <v>45519</v>
      </c>
      <c r="C1338" s="500" t="s">
        <v>173</v>
      </c>
      <c r="D1338" s="500" t="s">
        <v>760</v>
      </c>
      <c r="E1338" s="501">
        <v>22015254.34</v>
      </c>
      <c r="F1338" s="502" t="s">
        <v>878</v>
      </c>
      <c r="G1338" s="100" t="s">
        <v>589</v>
      </c>
      <c r="H1338" s="530"/>
      <c r="I1338" s="525"/>
      <c r="K1338" s="548"/>
      <c r="L1338" s="548"/>
      <c r="M1338" s="548"/>
      <c r="N1338" s="552"/>
      <c r="Y1338" s="551"/>
    </row>
    <row r="1339" spans="1:25">
      <c r="A1339" s="499">
        <v>45518</v>
      </c>
      <c r="B1339" s="499">
        <v>45519</v>
      </c>
      <c r="C1339" s="500" t="s">
        <v>173</v>
      </c>
      <c r="D1339" s="500" t="s">
        <v>760</v>
      </c>
      <c r="E1339" s="501">
        <v>7005842.2599999998</v>
      </c>
      <c r="F1339" s="502" t="s">
        <v>878</v>
      </c>
      <c r="G1339" s="100" t="s">
        <v>448</v>
      </c>
      <c r="H1339" s="530"/>
      <c r="I1339" s="525"/>
      <c r="K1339" s="548"/>
      <c r="L1339" s="548"/>
      <c r="M1339" s="548"/>
      <c r="N1339" s="552"/>
      <c r="Y1339" s="551"/>
    </row>
    <row r="1340" spans="1:25">
      <c r="A1340" s="499">
        <v>45518</v>
      </c>
      <c r="B1340" s="499">
        <v>45519</v>
      </c>
      <c r="C1340" s="500" t="s">
        <v>173</v>
      </c>
      <c r="D1340" s="500" t="s">
        <v>760</v>
      </c>
      <c r="E1340" s="501">
        <v>10006035.710000001</v>
      </c>
      <c r="F1340" s="502" t="s">
        <v>878</v>
      </c>
      <c r="G1340" s="100" t="s">
        <v>597</v>
      </c>
      <c r="H1340" s="530"/>
      <c r="I1340" s="525"/>
      <c r="K1340" s="548"/>
      <c r="L1340" s="548"/>
      <c r="M1340" s="548"/>
      <c r="N1340" s="552"/>
      <c r="Y1340" s="551"/>
    </row>
    <row r="1341" spans="1:25">
      <c r="A1341" s="499">
        <v>45518</v>
      </c>
      <c r="B1341" s="499">
        <v>45519</v>
      </c>
      <c r="C1341" s="500" t="s">
        <v>173</v>
      </c>
      <c r="D1341" s="500" t="s">
        <v>760</v>
      </c>
      <c r="E1341" s="501">
        <v>2001612.49</v>
      </c>
      <c r="F1341" s="502" t="s">
        <v>878</v>
      </c>
      <c r="G1341" s="100" t="s">
        <v>697</v>
      </c>
      <c r="H1341" s="530"/>
      <c r="I1341" s="525"/>
      <c r="K1341" s="548"/>
      <c r="L1341" s="548"/>
      <c r="M1341" s="548"/>
      <c r="N1341" s="552"/>
      <c r="Y1341" s="551"/>
    </row>
    <row r="1342" spans="1:25">
      <c r="A1342" s="499">
        <v>45518</v>
      </c>
      <c r="B1342" s="499">
        <v>45519</v>
      </c>
      <c r="C1342" s="500" t="s">
        <v>173</v>
      </c>
      <c r="D1342" s="500" t="s">
        <v>760</v>
      </c>
      <c r="E1342" s="501">
        <v>23015947.719999999</v>
      </c>
      <c r="F1342" s="502" t="s">
        <v>878</v>
      </c>
      <c r="G1342" s="100" t="s">
        <v>589</v>
      </c>
      <c r="H1342" s="530"/>
      <c r="I1342" s="525"/>
      <c r="K1342" s="548"/>
      <c r="L1342" s="548"/>
      <c r="M1342" s="548"/>
      <c r="N1342" s="552"/>
      <c r="Y1342" s="551"/>
    </row>
    <row r="1343" spans="1:25">
      <c r="A1343" s="499">
        <v>45518</v>
      </c>
      <c r="B1343" s="499">
        <v>45519</v>
      </c>
      <c r="C1343" s="500" t="s">
        <v>173</v>
      </c>
      <c r="D1343" s="500" t="s">
        <v>760</v>
      </c>
      <c r="E1343" s="501">
        <v>10006303.289999999</v>
      </c>
      <c r="F1343" s="502" t="s">
        <v>878</v>
      </c>
      <c r="G1343" s="100" t="s">
        <v>81</v>
      </c>
      <c r="H1343" s="530"/>
      <c r="I1343" s="525"/>
      <c r="K1343" s="548"/>
      <c r="L1343" s="548"/>
      <c r="M1343" s="548"/>
      <c r="N1343" s="552"/>
      <c r="Y1343" s="551"/>
    </row>
    <row r="1344" spans="1:25">
      <c r="A1344" s="499">
        <v>45518</v>
      </c>
      <c r="B1344" s="499">
        <v>45519</v>
      </c>
      <c r="C1344" s="500" t="s">
        <v>173</v>
      </c>
      <c r="D1344" s="500" t="s">
        <v>760</v>
      </c>
      <c r="E1344" s="501">
        <v>24028549.719999999</v>
      </c>
      <c r="F1344" s="502" t="s">
        <v>878</v>
      </c>
      <c r="G1344" s="100" t="s">
        <v>822</v>
      </c>
      <c r="H1344" s="530"/>
      <c r="I1344" s="525"/>
      <c r="K1344" s="548"/>
      <c r="L1344" s="548"/>
      <c r="M1344" s="548"/>
      <c r="N1344" s="552"/>
      <c r="Y1344" s="551"/>
    </row>
    <row r="1345" spans="1:25">
      <c r="A1345" s="499">
        <v>45518</v>
      </c>
      <c r="B1345" s="499">
        <v>45519</v>
      </c>
      <c r="C1345" s="500" t="s">
        <v>173</v>
      </c>
      <c r="D1345" s="500" t="s">
        <v>760</v>
      </c>
      <c r="E1345" s="501">
        <v>10011487.369999999</v>
      </c>
      <c r="F1345" s="502" t="s">
        <v>878</v>
      </c>
      <c r="G1345" s="100" t="s">
        <v>745</v>
      </c>
      <c r="H1345" s="530"/>
      <c r="I1345" s="525"/>
      <c r="K1345" s="548"/>
      <c r="L1345" s="548"/>
      <c r="M1345" s="548"/>
      <c r="N1345" s="552"/>
      <c r="Y1345" s="551"/>
    </row>
    <row r="1346" spans="1:25">
      <c r="A1346" s="499">
        <v>45518</v>
      </c>
      <c r="B1346" s="499">
        <v>45519</v>
      </c>
      <c r="C1346" s="500" t="s">
        <v>173</v>
      </c>
      <c r="D1346" s="500" t="s">
        <v>760</v>
      </c>
      <c r="E1346" s="501">
        <v>22015466.93</v>
      </c>
      <c r="F1346" s="502" t="s">
        <v>878</v>
      </c>
      <c r="G1346" s="100" t="s">
        <v>820</v>
      </c>
      <c r="H1346" s="530"/>
      <c r="I1346" s="525"/>
      <c r="K1346" s="548"/>
      <c r="L1346" s="548"/>
      <c r="M1346" s="548"/>
      <c r="N1346" s="552"/>
      <c r="Y1346" s="551"/>
    </row>
    <row r="1347" spans="1:25">
      <c r="A1347" s="499">
        <v>45518</v>
      </c>
      <c r="B1347" s="499">
        <v>45519</v>
      </c>
      <c r="C1347" s="500" t="s">
        <v>173</v>
      </c>
      <c r="D1347" s="500" t="s">
        <v>760</v>
      </c>
      <c r="E1347" s="501">
        <v>18015022.940000001</v>
      </c>
      <c r="F1347" s="502" t="s">
        <v>878</v>
      </c>
      <c r="G1347" s="100" t="s">
        <v>448</v>
      </c>
      <c r="H1347" s="530"/>
      <c r="I1347" s="525"/>
      <c r="K1347" s="548"/>
      <c r="L1347" s="548"/>
      <c r="M1347" s="548"/>
      <c r="N1347" s="552"/>
      <c r="Y1347" s="551"/>
    </row>
    <row r="1348" spans="1:25">
      <c r="A1348" s="499">
        <v>45518</v>
      </c>
      <c r="B1348" s="499">
        <v>45519</v>
      </c>
      <c r="C1348" s="500" t="s">
        <v>173</v>
      </c>
      <c r="D1348" s="500" t="s">
        <v>760</v>
      </c>
      <c r="E1348" s="501">
        <v>25014628.699999999</v>
      </c>
      <c r="F1348" s="502" t="s">
        <v>878</v>
      </c>
      <c r="G1348" s="100" t="s">
        <v>61</v>
      </c>
      <c r="H1348" s="530"/>
      <c r="I1348" s="525"/>
      <c r="K1348" s="548"/>
      <c r="L1348" s="548"/>
      <c r="M1348" s="548"/>
      <c r="N1348" s="552"/>
      <c r="Y1348" s="551"/>
    </row>
    <row r="1349" spans="1:25">
      <c r="A1349" s="499">
        <v>45518</v>
      </c>
      <c r="B1349" s="499">
        <v>45519</v>
      </c>
      <c r="C1349" s="500" t="s">
        <v>173</v>
      </c>
      <c r="D1349" s="500" t="s">
        <v>760</v>
      </c>
      <c r="E1349" s="501">
        <v>9011182.3300000001</v>
      </c>
      <c r="F1349" s="502" t="s">
        <v>878</v>
      </c>
      <c r="G1349" s="100" t="s">
        <v>605</v>
      </c>
      <c r="H1349" s="530"/>
      <c r="I1349" s="525"/>
      <c r="K1349" s="548"/>
      <c r="L1349" s="548"/>
      <c r="M1349" s="548"/>
      <c r="N1349" s="552"/>
      <c r="Y1349" s="551"/>
    </row>
    <row r="1350" spans="1:25">
      <c r="A1350" s="499">
        <v>45518</v>
      </c>
      <c r="B1350" s="499">
        <v>45519</v>
      </c>
      <c r="C1350" s="500" t="s">
        <v>173</v>
      </c>
      <c r="D1350" s="500" t="s">
        <v>760</v>
      </c>
      <c r="E1350" s="501">
        <v>9007256.2100000009</v>
      </c>
      <c r="F1350" s="502" t="s">
        <v>878</v>
      </c>
      <c r="G1350" s="100" t="s">
        <v>697</v>
      </c>
      <c r="H1350" s="530"/>
      <c r="I1350" s="525"/>
      <c r="K1350" s="548"/>
      <c r="L1350" s="548"/>
      <c r="M1350" s="548"/>
      <c r="N1350" s="552"/>
      <c r="Y1350" s="551"/>
    </row>
    <row r="1351" spans="1:25">
      <c r="A1351" s="499">
        <v>45518</v>
      </c>
      <c r="B1351" s="499">
        <v>45519</v>
      </c>
      <c r="C1351" s="500" t="s">
        <v>173</v>
      </c>
      <c r="D1351" s="500" t="s">
        <v>760</v>
      </c>
      <c r="E1351" s="501">
        <v>8006449.9699999997</v>
      </c>
      <c r="F1351" s="502" t="s">
        <v>878</v>
      </c>
      <c r="G1351" s="100" t="s">
        <v>697</v>
      </c>
      <c r="H1351" s="530"/>
      <c r="I1351" s="525"/>
      <c r="K1351" s="548"/>
      <c r="L1351" s="548"/>
      <c r="M1351" s="548"/>
      <c r="N1351" s="552"/>
      <c r="Y1351" s="551"/>
    </row>
    <row r="1352" spans="1:25">
      <c r="A1352" s="499">
        <v>45518</v>
      </c>
      <c r="B1352" s="499">
        <v>45519</v>
      </c>
      <c r="C1352" s="500" t="s">
        <v>173</v>
      </c>
      <c r="D1352" s="500" t="s">
        <v>760</v>
      </c>
      <c r="E1352" s="501">
        <v>34038945.229999997</v>
      </c>
      <c r="F1352" s="502" t="s">
        <v>878</v>
      </c>
      <c r="G1352" s="100" t="s">
        <v>91</v>
      </c>
      <c r="H1352" s="530"/>
      <c r="I1352" s="525"/>
      <c r="K1352" s="548"/>
      <c r="L1352" s="548"/>
      <c r="M1352" s="548"/>
      <c r="N1352" s="552"/>
      <c r="Y1352" s="551"/>
    </row>
    <row r="1353" spans="1:25">
      <c r="A1353" s="499">
        <v>45518</v>
      </c>
      <c r="B1353" s="499">
        <v>45519</v>
      </c>
      <c r="C1353" s="500" t="s">
        <v>173</v>
      </c>
      <c r="D1353" s="500" t="s">
        <v>760</v>
      </c>
      <c r="E1353" s="501">
        <v>30012221.879999999</v>
      </c>
      <c r="F1353" s="502" t="s">
        <v>878</v>
      </c>
      <c r="G1353" s="100" t="s">
        <v>591</v>
      </c>
      <c r="H1353" s="530"/>
      <c r="I1353" s="525"/>
      <c r="K1353" s="548"/>
      <c r="L1353" s="548"/>
      <c r="M1353" s="548"/>
      <c r="N1353" s="552"/>
      <c r="Y1353" s="551"/>
    </row>
    <row r="1354" spans="1:25">
      <c r="A1354" s="499">
        <v>45518</v>
      </c>
      <c r="B1354" s="499">
        <v>45519</v>
      </c>
      <c r="C1354" s="500" t="s">
        <v>173</v>
      </c>
      <c r="D1354" s="500" t="s">
        <v>760</v>
      </c>
      <c r="E1354" s="501">
        <v>15013763.58</v>
      </c>
      <c r="F1354" s="502" t="s">
        <v>878</v>
      </c>
      <c r="G1354" s="100" t="s">
        <v>825</v>
      </c>
      <c r="H1354" s="530"/>
      <c r="I1354" s="525"/>
      <c r="K1354" s="548"/>
      <c r="L1354" s="548"/>
      <c r="M1354" s="548"/>
      <c r="N1354" s="552"/>
      <c r="Y1354" s="551"/>
    </row>
    <row r="1355" spans="1:25">
      <c r="A1355" s="499">
        <v>45518</v>
      </c>
      <c r="B1355" s="499">
        <v>45519</v>
      </c>
      <c r="C1355" s="500" t="s">
        <v>173</v>
      </c>
      <c r="D1355" s="500" t="s">
        <v>760</v>
      </c>
      <c r="E1355" s="501">
        <v>29020388.23</v>
      </c>
      <c r="F1355" s="502" t="s">
        <v>878</v>
      </c>
      <c r="G1355" s="100" t="s">
        <v>820</v>
      </c>
      <c r="H1355" s="530"/>
      <c r="I1355" s="525"/>
      <c r="K1355" s="548"/>
      <c r="L1355" s="548"/>
      <c r="M1355" s="548"/>
      <c r="N1355" s="552"/>
      <c r="Y1355" s="551"/>
    </row>
    <row r="1356" spans="1:25">
      <c r="A1356" s="499">
        <v>45518</v>
      </c>
      <c r="B1356" s="499">
        <v>45519</v>
      </c>
      <c r="C1356" s="500" t="s">
        <v>173</v>
      </c>
      <c r="D1356" s="500" t="s">
        <v>760</v>
      </c>
      <c r="E1356" s="501">
        <v>42025980.189999998</v>
      </c>
      <c r="F1356" s="502" t="s">
        <v>878</v>
      </c>
      <c r="G1356" s="100" t="s">
        <v>818</v>
      </c>
      <c r="H1356" s="530"/>
      <c r="I1356" s="525"/>
      <c r="K1356" s="548"/>
      <c r="L1356" s="548"/>
      <c r="M1356" s="548"/>
      <c r="N1356" s="552"/>
      <c r="Y1356" s="551"/>
    </row>
    <row r="1357" spans="1:25">
      <c r="A1357" s="499">
        <v>45518</v>
      </c>
      <c r="B1357" s="499">
        <v>45519</v>
      </c>
      <c r="C1357" s="500" t="s">
        <v>173</v>
      </c>
      <c r="D1357" s="500" t="s">
        <v>760</v>
      </c>
      <c r="E1357" s="501">
        <v>19018670.449999999</v>
      </c>
      <c r="F1357" s="502" t="s">
        <v>878</v>
      </c>
      <c r="G1357" s="100" t="s">
        <v>593</v>
      </c>
      <c r="H1357" s="530"/>
      <c r="I1357" s="525"/>
      <c r="K1357" s="548"/>
      <c r="L1357" s="548"/>
      <c r="M1357" s="548"/>
      <c r="N1357" s="552"/>
      <c r="Y1357" s="551"/>
    </row>
    <row r="1358" spans="1:25">
      <c r="A1358" s="499">
        <v>45518</v>
      </c>
      <c r="B1358" s="499">
        <v>45519</v>
      </c>
      <c r="C1358" s="500" t="s">
        <v>173</v>
      </c>
      <c r="D1358" s="500" t="s">
        <v>760</v>
      </c>
      <c r="E1358" s="501">
        <v>13008679.76</v>
      </c>
      <c r="F1358" s="502" t="s">
        <v>878</v>
      </c>
      <c r="G1358" s="100" t="s">
        <v>603</v>
      </c>
      <c r="H1358" s="530"/>
      <c r="I1358" s="525"/>
      <c r="K1358" s="548"/>
      <c r="L1358" s="548"/>
      <c r="M1358" s="548"/>
      <c r="N1358" s="552"/>
      <c r="Y1358" s="551"/>
    </row>
    <row r="1359" spans="1:25">
      <c r="A1359" s="499">
        <v>45518</v>
      </c>
      <c r="B1359" s="499">
        <v>45519</v>
      </c>
      <c r="C1359" s="500" t="s">
        <v>173</v>
      </c>
      <c r="D1359" s="500" t="s">
        <v>760</v>
      </c>
      <c r="E1359" s="501">
        <v>9005432.1400000006</v>
      </c>
      <c r="F1359" s="502" t="s">
        <v>878</v>
      </c>
      <c r="G1359" s="100" t="s">
        <v>597</v>
      </c>
      <c r="H1359" s="530"/>
      <c r="I1359" s="525"/>
      <c r="K1359" s="548"/>
      <c r="L1359" s="548"/>
      <c r="M1359" s="548"/>
      <c r="N1359" s="552"/>
      <c r="Y1359" s="551"/>
    </row>
    <row r="1360" spans="1:25">
      <c r="A1360" s="499">
        <v>45518</v>
      </c>
      <c r="B1360" s="499">
        <v>45519</v>
      </c>
      <c r="C1360" s="500" t="s">
        <v>173</v>
      </c>
      <c r="D1360" s="500" t="s">
        <v>760</v>
      </c>
      <c r="E1360" s="501">
        <v>98112576.239999995</v>
      </c>
      <c r="F1360" s="502" t="s">
        <v>878</v>
      </c>
      <c r="G1360" s="100" t="s">
        <v>745</v>
      </c>
      <c r="H1360" s="530"/>
      <c r="I1360" s="525"/>
      <c r="K1360" s="548"/>
      <c r="L1360" s="548"/>
      <c r="M1360" s="548"/>
      <c r="N1360" s="552"/>
      <c r="Y1360" s="551"/>
    </row>
    <row r="1361" spans="1:25">
      <c r="A1361" s="499">
        <v>45518</v>
      </c>
      <c r="B1361" s="499">
        <v>45519</v>
      </c>
      <c r="C1361" s="500" t="s">
        <v>173</v>
      </c>
      <c r="D1361" s="500" t="s">
        <v>760</v>
      </c>
      <c r="E1361" s="501">
        <v>98087202.730000004</v>
      </c>
      <c r="F1361" s="502" t="s">
        <v>878</v>
      </c>
      <c r="G1361" s="100" t="s">
        <v>475</v>
      </c>
      <c r="H1361" s="530"/>
      <c r="I1361" s="525"/>
      <c r="K1361" s="548"/>
      <c r="L1361" s="548"/>
      <c r="M1361" s="548"/>
      <c r="N1361" s="552"/>
      <c r="Y1361" s="551"/>
    </row>
    <row r="1362" spans="1:25">
      <c r="A1362" s="499">
        <v>45518</v>
      </c>
      <c r="B1362" s="499">
        <v>45519</v>
      </c>
      <c r="C1362" s="500" t="s">
        <v>173</v>
      </c>
      <c r="D1362" s="500" t="s">
        <v>760</v>
      </c>
      <c r="E1362" s="501">
        <v>98087202.730000004</v>
      </c>
      <c r="F1362" s="502" t="s">
        <v>878</v>
      </c>
      <c r="G1362" s="100" t="s">
        <v>475</v>
      </c>
      <c r="H1362" s="530"/>
      <c r="I1362" s="525"/>
      <c r="K1362" s="548"/>
      <c r="L1362" s="548"/>
      <c r="M1362" s="548"/>
      <c r="N1362" s="552"/>
      <c r="Y1362" s="551"/>
    </row>
    <row r="1363" spans="1:25">
      <c r="A1363" s="499">
        <v>45518</v>
      </c>
      <c r="B1363" s="499">
        <v>45519</v>
      </c>
      <c r="C1363" s="500" t="s">
        <v>173</v>
      </c>
      <c r="D1363" s="500" t="s">
        <v>760</v>
      </c>
      <c r="E1363" s="501">
        <v>95125898.819999993</v>
      </c>
      <c r="F1363" s="502" t="s">
        <v>878</v>
      </c>
      <c r="G1363" s="100" t="s">
        <v>746</v>
      </c>
      <c r="H1363" s="530"/>
      <c r="I1363" s="525"/>
      <c r="K1363" s="548"/>
      <c r="L1363" s="548"/>
      <c r="M1363" s="548"/>
      <c r="N1363" s="552"/>
      <c r="Y1363" s="551"/>
    </row>
    <row r="1364" spans="1:25">
      <c r="A1364" s="499">
        <v>45518</v>
      </c>
      <c r="B1364" s="499">
        <v>45519</v>
      </c>
      <c r="C1364" s="500" t="s">
        <v>173</v>
      </c>
      <c r="D1364" s="500" t="s">
        <v>760</v>
      </c>
      <c r="E1364" s="501">
        <v>70056437.200000003</v>
      </c>
      <c r="F1364" s="502" t="s">
        <v>878</v>
      </c>
      <c r="G1364" s="100" t="s">
        <v>697</v>
      </c>
      <c r="H1364" s="530"/>
      <c r="I1364" s="525"/>
      <c r="K1364" s="548"/>
      <c r="L1364" s="548"/>
      <c r="M1364" s="548"/>
      <c r="N1364" s="552"/>
      <c r="Y1364" s="551"/>
    </row>
    <row r="1365" spans="1:25">
      <c r="A1365" s="499">
        <v>45518</v>
      </c>
      <c r="B1365" s="499">
        <v>45519</v>
      </c>
      <c r="C1365" s="500" t="s">
        <v>173</v>
      </c>
      <c r="D1365" s="500" t="s">
        <v>760</v>
      </c>
      <c r="E1365" s="501">
        <v>87061164.689999998</v>
      </c>
      <c r="F1365" s="502" t="s">
        <v>878</v>
      </c>
      <c r="G1365" s="100" t="s">
        <v>820</v>
      </c>
      <c r="H1365" s="530"/>
      <c r="I1365" s="525"/>
      <c r="K1365" s="548"/>
      <c r="L1365" s="548"/>
      <c r="M1365" s="548"/>
      <c r="N1365" s="552"/>
      <c r="Y1365" s="551"/>
    </row>
    <row r="1366" spans="1:25">
      <c r="A1366" s="499">
        <v>45518</v>
      </c>
      <c r="B1366" s="499">
        <v>45519</v>
      </c>
      <c r="C1366" s="500" t="s">
        <v>173</v>
      </c>
      <c r="D1366" s="500" t="s">
        <v>760</v>
      </c>
      <c r="E1366" s="501">
        <v>69046069.480000004</v>
      </c>
      <c r="F1366" s="502" t="s">
        <v>878</v>
      </c>
      <c r="G1366" s="100" t="s">
        <v>603</v>
      </c>
      <c r="H1366" s="530"/>
      <c r="I1366" s="525"/>
      <c r="K1366" s="548"/>
      <c r="L1366" s="548"/>
      <c r="M1366" s="548"/>
      <c r="N1366" s="552"/>
      <c r="Y1366" s="551"/>
    </row>
    <row r="1367" spans="1:25">
      <c r="A1367" s="499">
        <v>45518</v>
      </c>
      <c r="B1367" s="499">
        <v>45519</v>
      </c>
      <c r="C1367" s="500" t="s">
        <v>173</v>
      </c>
      <c r="D1367" s="500" t="s">
        <v>760</v>
      </c>
      <c r="E1367" s="501">
        <v>94116793.209999993</v>
      </c>
      <c r="F1367" s="502" t="s">
        <v>878</v>
      </c>
      <c r="G1367" s="100" t="s">
        <v>605</v>
      </c>
      <c r="H1367" s="530"/>
      <c r="I1367" s="525"/>
      <c r="K1367" s="548"/>
      <c r="L1367" s="548"/>
      <c r="M1367" s="548"/>
      <c r="N1367" s="552"/>
      <c r="Y1367" s="551"/>
    </row>
    <row r="1368" spans="1:25">
      <c r="A1368" s="499">
        <v>45518</v>
      </c>
      <c r="B1368" s="499">
        <v>45519</v>
      </c>
      <c r="C1368" s="500" t="s">
        <v>173</v>
      </c>
      <c r="D1368" s="500" t="s">
        <v>760</v>
      </c>
      <c r="E1368" s="501">
        <v>84111321.060000002</v>
      </c>
      <c r="F1368" s="502" t="s">
        <v>878</v>
      </c>
      <c r="G1368" s="100" t="s">
        <v>746</v>
      </c>
      <c r="H1368" s="530"/>
      <c r="I1368" s="525"/>
      <c r="K1368" s="548"/>
      <c r="L1368" s="548">
        <v>-1</v>
      </c>
      <c r="M1368" s="548"/>
      <c r="N1368" s="552"/>
      <c r="Y1368" s="551"/>
    </row>
    <row r="1369" spans="1:25">
      <c r="A1369" s="499">
        <v>45518</v>
      </c>
      <c r="B1369" s="499">
        <v>45519</v>
      </c>
      <c r="C1369" s="500" t="s">
        <v>173</v>
      </c>
      <c r="D1369" s="500" t="s">
        <v>760</v>
      </c>
      <c r="E1369" s="501">
        <v>72032860.760000005</v>
      </c>
      <c r="F1369" s="502" t="s">
        <v>878</v>
      </c>
      <c r="G1369" s="100" t="s">
        <v>599</v>
      </c>
      <c r="H1369" s="530"/>
      <c r="I1369" s="525"/>
      <c r="K1369" s="548"/>
      <c r="L1369" s="548"/>
      <c r="M1369" s="548"/>
      <c r="N1369" s="552"/>
      <c r="Y1369" s="551"/>
    </row>
    <row r="1370" spans="1:25">
      <c r="A1370" s="499">
        <v>45518</v>
      </c>
      <c r="B1370" s="499">
        <v>45519</v>
      </c>
      <c r="C1370" s="500" t="s">
        <v>173</v>
      </c>
      <c r="D1370" s="500" t="s">
        <v>760</v>
      </c>
      <c r="E1370" s="501">
        <v>68084488.700000003</v>
      </c>
      <c r="F1370" s="502" t="s">
        <v>878</v>
      </c>
      <c r="G1370" s="100" t="s">
        <v>605</v>
      </c>
      <c r="H1370" s="530"/>
      <c r="I1370" s="525"/>
      <c r="K1370" s="548"/>
      <c r="L1370" s="548"/>
      <c r="M1370" s="548"/>
      <c r="N1370" s="552"/>
      <c r="Y1370" s="551"/>
    </row>
    <row r="1371" spans="1:25">
      <c r="A1371" s="499">
        <v>45518</v>
      </c>
      <c r="B1371" s="499">
        <v>45519</v>
      </c>
      <c r="C1371" s="500" t="s">
        <v>173</v>
      </c>
      <c r="D1371" s="500" t="s">
        <v>760</v>
      </c>
      <c r="E1371" s="501">
        <v>1051175177.3099999</v>
      </c>
      <c r="F1371" s="502" t="s">
        <v>878</v>
      </c>
      <c r="G1371" s="100" t="s">
        <v>78</v>
      </c>
      <c r="H1371" s="530"/>
      <c r="I1371" s="525"/>
      <c r="K1371" s="548"/>
      <c r="L1371" s="548"/>
      <c r="M1371" s="548"/>
      <c r="N1371" s="552"/>
      <c r="Y1371" s="551"/>
    </row>
    <row r="1372" spans="1:25">
      <c r="A1372" s="499">
        <v>45518</v>
      </c>
      <c r="B1372" s="499">
        <v>45519</v>
      </c>
      <c r="C1372" s="500" t="s">
        <v>173</v>
      </c>
      <c r="D1372" s="500" t="s">
        <v>760</v>
      </c>
      <c r="E1372" s="501">
        <v>44053161.18</v>
      </c>
      <c r="F1372" s="502" t="s">
        <v>878</v>
      </c>
      <c r="G1372" s="100" t="s">
        <v>82</v>
      </c>
      <c r="H1372" s="530"/>
      <c r="I1372" s="525"/>
      <c r="K1372" s="548"/>
      <c r="L1372" s="548"/>
      <c r="M1372" s="548"/>
      <c r="N1372" s="552"/>
      <c r="Y1372" s="551"/>
    </row>
    <row r="1373" spans="1:25">
      <c r="A1373" s="499">
        <v>45516</v>
      </c>
      <c r="B1373" s="499">
        <v>45518</v>
      </c>
      <c r="C1373" s="500" t="s">
        <v>173</v>
      </c>
      <c r="D1373" s="500" t="s">
        <v>764</v>
      </c>
      <c r="E1373" s="501">
        <v>1967.74</v>
      </c>
      <c r="F1373" s="502" t="s">
        <v>912</v>
      </c>
      <c r="G1373" s="100" t="s">
        <v>473</v>
      </c>
      <c r="H1373" s="530"/>
      <c r="I1373" s="525" t="s">
        <v>653</v>
      </c>
      <c r="J1373" s="100"/>
      <c r="K1373" s="548"/>
      <c r="L1373" s="548"/>
      <c r="M1373" s="548"/>
      <c r="N1373" s="552">
        <v>2</v>
      </c>
      <c r="O1373" s="539">
        <v>1000</v>
      </c>
      <c r="W1373" s="550">
        <f>VLOOKUP(G1373,Справочник!A:C,3,0)</f>
        <v>0.1067</v>
      </c>
      <c r="X1373" s="539" t="str">
        <f>VLOOKUP(G1373,Справочник!A:G,7,0)</f>
        <v>Министерство финансов Республики Казахстан</v>
      </c>
      <c r="Y1373" s="551">
        <f>VLOOKUP(G1373,Справочник!A:B,2,0)</f>
        <v>46043</v>
      </c>
    </row>
    <row r="1374" spans="1:25">
      <c r="A1374" s="499">
        <v>45518</v>
      </c>
      <c r="B1374" s="499">
        <v>45518</v>
      </c>
      <c r="C1374" s="500" t="s">
        <v>173</v>
      </c>
      <c r="D1374" s="500" t="s">
        <v>764</v>
      </c>
      <c r="E1374" s="501">
        <v>-3843435900.7399998</v>
      </c>
      <c r="F1374" s="502" t="s">
        <v>878</v>
      </c>
      <c r="G1374" s="100" t="s">
        <v>686</v>
      </c>
      <c r="H1374" s="530"/>
      <c r="I1374" s="525"/>
      <c r="K1374" s="548"/>
      <c r="L1374" s="548"/>
      <c r="M1374" s="548"/>
      <c r="N1374" s="552"/>
      <c r="Y1374" s="551"/>
    </row>
    <row r="1375" spans="1:25">
      <c r="A1375" s="499">
        <v>45518</v>
      </c>
      <c r="B1375" s="499">
        <v>45518</v>
      </c>
      <c r="C1375" s="500" t="s">
        <v>173</v>
      </c>
      <c r="D1375" s="500" t="s">
        <v>764</v>
      </c>
      <c r="E1375" s="501">
        <v>-14011600.68</v>
      </c>
      <c r="F1375" s="502" t="s">
        <v>878</v>
      </c>
      <c r="G1375" s="100" t="s">
        <v>821</v>
      </c>
      <c r="H1375" s="530"/>
      <c r="I1375" s="525"/>
      <c r="K1375" s="548"/>
      <c r="L1375" s="548"/>
      <c r="M1375" s="548"/>
      <c r="N1375" s="552"/>
      <c r="Y1375" s="551"/>
    </row>
    <row r="1376" spans="1:25">
      <c r="A1376" s="499">
        <v>45518</v>
      </c>
      <c r="B1376" s="499">
        <v>45525</v>
      </c>
      <c r="C1376" s="500" t="s">
        <v>173</v>
      </c>
      <c r="D1376" s="500" t="s">
        <v>764</v>
      </c>
      <c r="E1376" s="501">
        <v>3853249263.7199998</v>
      </c>
      <c r="F1376" s="502" t="s">
        <v>878</v>
      </c>
      <c r="G1376" s="100" t="s">
        <v>686</v>
      </c>
      <c r="H1376" s="530"/>
      <c r="I1376" s="525"/>
      <c r="K1376" s="548"/>
      <c r="L1376" s="548"/>
      <c r="M1376" s="548"/>
      <c r="N1376" s="552"/>
      <c r="Y1376" s="551"/>
    </row>
    <row r="1377" spans="1:25">
      <c r="A1377" s="499">
        <v>45518</v>
      </c>
      <c r="B1377" s="499">
        <v>45525</v>
      </c>
      <c r="C1377" s="500" t="s">
        <v>173</v>
      </c>
      <c r="D1377" s="500" t="s">
        <v>764</v>
      </c>
      <c r="E1377" s="501">
        <v>14047376.199999999</v>
      </c>
      <c r="F1377" s="502" t="s">
        <v>878</v>
      </c>
      <c r="G1377" s="100" t="s">
        <v>821</v>
      </c>
      <c r="H1377" s="530"/>
      <c r="I1377" s="525"/>
      <c r="K1377" s="548"/>
      <c r="L1377" s="548"/>
      <c r="M1377" s="548"/>
      <c r="N1377" s="552"/>
      <c r="Y1377" s="551"/>
    </row>
    <row r="1378" spans="1:25">
      <c r="A1378" s="499">
        <v>45518</v>
      </c>
      <c r="B1378" s="499">
        <v>45518</v>
      </c>
      <c r="C1378" s="500" t="s">
        <v>173</v>
      </c>
      <c r="D1378" s="500" t="s">
        <v>763</v>
      </c>
      <c r="E1378" s="501">
        <v>-1348141245.75</v>
      </c>
      <c r="F1378" s="502" t="s">
        <v>878</v>
      </c>
      <c r="G1378" s="100" t="s">
        <v>82</v>
      </c>
      <c r="H1378" s="530"/>
      <c r="I1378" s="525"/>
      <c r="K1378" s="548"/>
      <c r="L1378" s="548"/>
      <c r="M1378" s="548"/>
      <c r="N1378" s="552"/>
      <c r="Y1378" s="551"/>
    </row>
    <row r="1379" spans="1:25">
      <c r="A1379" s="499">
        <v>45518</v>
      </c>
      <c r="B1379" s="499">
        <v>45518</v>
      </c>
      <c r="C1379" s="500" t="s">
        <v>173</v>
      </c>
      <c r="D1379" s="500" t="s">
        <v>763</v>
      </c>
      <c r="E1379" s="501">
        <v>-24021408.77</v>
      </c>
      <c r="F1379" s="502" t="s">
        <v>878</v>
      </c>
      <c r="G1379" s="100" t="s">
        <v>427</v>
      </c>
      <c r="H1379" s="530"/>
      <c r="I1379" s="525"/>
      <c r="K1379" s="548"/>
      <c r="L1379" s="548"/>
      <c r="M1379" s="548"/>
      <c r="N1379" s="552"/>
      <c r="Y1379" s="551"/>
    </row>
    <row r="1380" spans="1:25">
      <c r="A1380" s="499">
        <v>45518</v>
      </c>
      <c r="B1380" s="499">
        <v>45518</v>
      </c>
      <c r="C1380" s="500" t="s">
        <v>173</v>
      </c>
      <c r="D1380" s="500" t="s">
        <v>763</v>
      </c>
      <c r="E1380" s="501">
        <v>-4898284032.96</v>
      </c>
      <c r="F1380" s="502" t="s">
        <v>878</v>
      </c>
      <c r="G1380" s="100" t="s">
        <v>710</v>
      </c>
      <c r="H1380" s="530"/>
      <c r="I1380" s="525"/>
      <c r="K1380" s="548"/>
      <c r="L1380" s="548"/>
      <c r="M1380" s="548"/>
      <c r="N1380" s="552"/>
      <c r="Y1380" s="551"/>
    </row>
    <row r="1381" spans="1:25">
      <c r="A1381" s="499">
        <v>45518</v>
      </c>
      <c r="B1381" s="499">
        <v>45519</v>
      </c>
      <c r="C1381" s="500" t="s">
        <v>173</v>
      </c>
      <c r="D1381" s="500" t="s">
        <v>763</v>
      </c>
      <c r="E1381" s="501">
        <v>1348627832.6500001</v>
      </c>
      <c r="F1381" s="502" t="s">
        <v>878</v>
      </c>
      <c r="G1381" s="100" t="s">
        <v>82</v>
      </c>
      <c r="H1381" s="530"/>
      <c r="I1381" s="525"/>
      <c r="K1381" s="548"/>
      <c r="L1381" s="548"/>
      <c r="M1381" s="548"/>
      <c r="N1381" s="552"/>
      <c r="Y1381" s="551"/>
    </row>
    <row r="1382" spans="1:25">
      <c r="A1382" s="499">
        <v>45518</v>
      </c>
      <c r="B1382" s="499">
        <v>45519</v>
      </c>
      <c r="C1382" s="500" t="s">
        <v>173</v>
      </c>
      <c r="D1382" s="500" t="s">
        <v>763</v>
      </c>
      <c r="E1382" s="501">
        <v>24030078.859999999</v>
      </c>
      <c r="F1382" s="502" t="s">
        <v>878</v>
      </c>
      <c r="G1382" s="100" t="s">
        <v>427</v>
      </c>
      <c r="H1382" s="530"/>
      <c r="I1382" s="525"/>
      <c r="K1382" s="548"/>
      <c r="L1382" s="548"/>
      <c r="M1382" s="548"/>
      <c r="N1382" s="552"/>
      <c r="Y1382" s="551"/>
    </row>
    <row r="1383" spans="1:25">
      <c r="A1383" s="499">
        <v>45518</v>
      </c>
      <c r="B1383" s="499">
        <v>45519</v>
      </c>
      <c r="C1383" s="500" t="s">
        <v>173</v>
      </c>
      <c r="D1383" s="500" t="s">
        <v>763</v>
      </c>
      <c r="E1383" s="501">
        <v>4900051965.5299997</v>
      </c>
      <c r="F1383" s="502" t="s">
        <v>878</v>
      </c>
      <c r="G1383" s="100" t="s">
        <v>710</v>
      </c>
      <c r="H1383" s="530"/>
      <c r="I1383" s="525"/>
      <c r="K1383" s="548"/>
      <c r="L1383" s="548"/>
      <c r="M1383" s="548"/>
      <c r="N1383" s="552"/>
      <c r="Y1383" s="551"/>
    </row>
    <row r="1384" spans="1:25">
      <c r="A1384" s="499">
        <v>45517</v>
      </c>
      <c r="B1384" s="499">
        <v>45519</v>
      </c>
      <c r="C1384" s="500" t="s">
        <v>173</v>
      </c>
      <c r="D1384" s="500" t="s">
        <v>761</v>
      </c>
      <c r="E1384" s="501">
        <v>-499999655.23000002</v>
      </c>
      <c r="F1384" s="502" t="s">
        <v>906</v>
      </c>
      <c r="G1384" s="100" t="s">
        <v>60</v>
      </c>
      <c r="H1384" s="530"/>
      <c r="I1384" s="525" t="s">
        <v>713</v>
      </c>
      <c r="K1384" s="548">
        <v>113720090</v>
      </c>
      <c r="L1384" s="549">
        <v>76.984499999999997</v>
      </c>
      <c r="M1384" s="549">
        <f>E1384*(-1)/(N1384*O1384)*100</f>
        <v>78.609500000786099</v>
      </c>
      <c r="N1384" s="549">
        <v>636055</v>
      </c>
      <c r="O1384" s="539">
        <v>1000</v>
      </c>
      <c r="T1384" s="553">
        <v>13.29</v>
      </c>
      <c r="U1384" s="538">
        <v>0</v>
      </c>
      <c r="V1384" s="553">
        <v>49999.97</v>
      </c>
      <c r="W1384" s="550">
        <f>VLOOKUP(G1384,Справочник!A:C,3,0)</f>
        <v>0.05</v>
      </c>
      <c r="X1384" s="539" t="str">
        <f>VLOOKUP(G1384,Справочник!A:G,7,0)</f>
        <v>Министерство финансов Республики Казахстан</v>
      </c>
      <c r="Y1384" s="551" t="str">
        <f>VLOOKUP(G1384,Справочник!A:B,2,0)</f>
        <v>18.04.2028</v>
      </c>
    </row>
    <row r="1385" spans="1:25">
      <c r="A1385" s="499">
        <v>45519</v>
      </c>
      <c r="B1385" s="499">
        <v>45519</v>
      </c>
      <c r="C1385" s="500" t="s">
        <v>173</v>
      </c>
      <c r="D1385" s="500" t="s">
        <v>762</v>
      </c>
      <c r="E1385" s="501">
        <v>-1942129607.3299999</v>
      </c>
      <c r="F1385" s="502" t="s">
        <v>878</v>
      </c>
      <c r="G1385" s="100" t="s">
        <v>889</v>
      </c>
      <c r="H1385" s="530"/>
      <c r="I1385" s="525"/>
      <c r="K1385" s="548"/>
      <c r="L1385" s="548"/>
      <c r="M1385" s="548"/>
      <c r="N1385" s="552"/>
      <c r="Y1385" s="551"/>
    </row>
    <row r="1386" spans="1:25">
      <c r="A1386" s="499">
        <v>45519</v>
      </c>
      <c r="B1386" s="499">
        <v>45519</v>
      </c>
      <c r="C1386" s="500" t="s">
        <v>173</v>
      </c>
      <c r="D1386" s="500" t="s">
        <v>762</v>
      </c>
      <c r="E1386" s="501">
        <v>-9472794872.1900005</v>
      </c>
      <c r="F1386" s="502" t="s">
        <v>878</v>
      </c>
      <c r="G1386" s="100" t="s">
        <v>686</v>
      </c>
      <c r="H1386" s="530"/>
      <c r="I1386" s="525"/>
      <c r="K1386" s="548"/>
      <c r="L1386" s="548"/>
      <c r="M1386" s="548"/>
      <c r="N1386" s="552"/>
      <c r="Y1386" s="551"/>
    </row>
    <row r="1387" spans="1:25">
      <c r="A1387" s="499">
        <v>45519</v>
      </c>
      <c r="B1387" s="499">
        <v>45519</v>
      </c>
      <c r="C1387" s="500" t="s">
        <v>173</v>
      </c>
      <c r="D1387" s="500" t="s">
        <v>762</v>
      </c>
      <c r="E1387" s="501">
        <v>-38015229.18</v>
      </c>
      <c r="F1387" s="502" t="s">
        <v>878</v>
      </c>
      <c r="G1387" s="100" t="s">
        <v>686</v>
      </c>
      <c r="H1387" s="530"/>
      <c r="I1387" s="525"/>
      <c r="K1387" s="548"/>
      <c r="L1387" s="548"/>
      <c r="M1387" s="548"/>
      <c r="N1387" s="552"/>
      <c r="Y1387" s="551"/>
    </row>
    <row r="1388" spans="1:25">
      <c r="A1388" s="499">
        <v>45519</v>
      </c>
      <c r="B1388" s="499">
        <v>45520</v>
      </c>
      <c r="C1388" s="500" t="s">
        <v>173</v>
      </c>
      <c r="D1388" s="500" t="s">
        <v>762</v>
      </c>
      <c r="E1388" s="501">
        <v>1942819434.79</v>
      </c>
      <c r="F1388" s="502" t="s">
        <v>878</v>
      </c>
      <c r="G1388" s="100" t="s">
        <v>889</v>
      </c>
      <c r="H1388" s="530"/>
      <c r="I1388" s="525"/>
      <c r="K1388" s="548"/>
      <c r="L1388" s="548"/>
      <c r="M1388" s="548"/>
      <c r="N1388" s="552"/>
      <c r="Y1388" s="551"/>
    </row>
    <row r="1389" spans="1:25">
      <c r="A1389" s="499">
        <v>45519</v>
      </c>
      <c r="B1389" s="499">
        <v>45520</v>
      </c>
      <c r="C1389" s="500" t="s">
        <v>173</v>
      </c>
      <c r="D1389" s="500" t="s">
        <v>762</v>
      </c>
      <c r="E1389" s="501">
        <v>9476146636.8899994</v>
      </c>
      <c r="F1389" s="502" t="s">
        <v>878</v>
      </c>
      <c r="G1389" s="100" t="s">
        <v>686</v>
      </c>
      <c r="H1389" s="530"/>
      <c r="I1389" s="525"/>
      <c r="K1389" s="548"/>
      <c r="L1389" s="548"/>
      <c r="M1389" s="548"/>
      <c r="N1389" s="552"/>
      <c r="Y1389" s="551"/>
    </row>
    <row r="1390" spans="1:25">
      <c r="A1390" s="499">
        <v>45519</v>
      </c>
      <c r="B1390" s="499">
        <v>45520</v>
      </c>
      <c r="C1390" s="500" t="s">
        <v>173</v>
      </c>
      <c r="D1390" s="500" t="s">
        <v>762</v>
      </c>
      <c r="E1390" s="501">
        <v>38028680.130000003</v>
      </c>
      <c r="F1390" s="502" t="s">
        <v>878</v>
      </c>
      <c r="G1390" s="100" t="s">
        <v>686</v>
      </c>
      <c r="H1390" s="530"/>
      <c r="I1390" s="525"/>
      <c r="K1390" s="548"/>
      <c r="L1390" s="548"/>
      <c r="M1390" s="548"/>
      <c r="N1390" s="552"/>
      <c r="Y1390" s="551"/>
    </row>
    <row r="1391" spans="1:25">
      <c r="A1391" s="499">
        <v>45519</v>
      </c>
      <c r="B1391" s="499">
        <v>45519</v>
      </c>
      <c r="C1391" s="500" t="s">
        <v>173</v>
      </c>
      <c r="D1391" s="500" t="s">
        <v>759</v>
      </c>
      <c r="E1391" s="501">
        <v>-327332097.60000002</v>
      </c>
      <c r="F1391" s="502" t="s">
        <v>878</v>
      </c>
      <c r="G1391" s="100" t="s">
        <v>649</v>
      </c>
      <c r="H1391" s="484"/>
      <c r="I1391" s="525"/>
      <c r="K1391" s="548"/>
      <c r="L1391" s="548"/>
      <c r="M1391" s="548"/>
      <c r="N1391" s="552"/>
      <c r="Y1391" s="551"/>
    </row>
    <row r="1392" spans="1:25">
      <c r="A1392" s="499">
        <v>45519</v>
      </c>
      <c r="B1392" s="499">
        <v>45519</v>
      </c>
      <c r="C1392" s="500" t="s">
        <v>173</v>
      </c>
      <c r="D1392" s="500" t="s">
        <v>759</v>
      </c>
      <c r="E1392" s="501">
        <v>-1200480921.5999999</v>
      </c>
      <c r="F1392" s="502" t="s">
        <v>878</v>
      </c>
      <c r="G1392" s="100" t="s">
        <v>87</v>
      </c>
      <c r="H1392" s="484"/>
      <c r="I1392" s="525"/>
      <c r="K1392" s="548"/>
      <c r="L1392" s="548"/>
      <c r="M1392" s="548"/>
      <c r="N1392" s="552"/>
      <c r="Y1392" s="551"/>
    </row>
    <row r="1393" spans="1:25">
      <c r="A1393" s="499">
        <v>45519</v>
      </c>
      <c r="B1393" s="499">
        <v>45519</v>
      </c>
      <c r="C1393" s="500" t="s">
        <v>173</v>
      </c>
      <c r="D1393" s="500" t="s">
        <v>759</v>
      </c>
      <c r="E1393" s="501">
        <v>-6001566.54</v>
      </c>
      <c r="F1393" s="502" t="s">
        <v>878</v>
      </c>
      <c r="G1393" s="100" t="s">
        <v>634</v>
      </c>
      <c r="H1393" s="484"/>
      <c r="I1393" s="525"/>
      <c r="K1393" s="548"/>
      <c r="L1393" s="548"/>
      <c r="M1393" s="548"/>
      <c r="N1393" s="552"/>
      <c r="Y1393" s="551"/>
    </row>
    <row r="1394" spans="1:25">
      <c r="A1394" s="499">
        <v>45519</v>
      </c>
      <c r="B1394" s="499">
        <v>45520</v>
      </c>
      <c r="C1394" s="500" t="s">
        <v>173</v>
      </c>
      <c r="D1394" s="500" t="s">
        <v>759</v>
      </c>
      <c r="E1394" s="501">
        <v>327447917.70999998</v>
      </c>
      <c r="F1394" s="502" t="s">
        <v>878</v>
      </c>
      <c r="G1394" s="100" t="s">
        <v>649</v>
      </c>
      <c r="H1394" s="530"/>
      <c r="I1394" s="525"/>
      <c r="K1394" s="548"/>
      <c r="L1394" s="548"/>
      <c r="M1394" s="548"/>
      <c r="N1394" s="552"/>
      <c r="Y1394" s="551"/>
    </row>
    <row r="1395" spans="1:25">
      <c r="A1395" s="499">
        <v>45519</v>
      </c>
      <c r="B1395" s="499">
        <v>45520</v>
      </c>
      <c r="C1395" s="500" t="s">
        <v>173</v>
      </c>
      <c r="D1395" s="500" t="s">
        <v>759</v>
      </c>
      <c r="E1395" s="501">
        <v>1200905698.3299999</v>
      </c>
      <c r="F1395" s="502" t="s">
        <v>878</v>
      </c>
      <c r="G1395" s="100" t="s">
        <v>87</v>
      </c>
      <c r="H1395" s="530"/>
      <c r="I1395" s="525"/>
      <c r="K1395" s="548"/>
      <c r="L1395" s="548"/>
      <c r="M1395" s="548"/>
      <c r="N1395" s="552"/>
      <c r="Y1395" s="551"/>
    </row>
    <row r="1396" spans="1:25">
      <c r="A1396" s="499">
        <v>45519</v>
      </c>
      <c r="B1396" s="499">
        <v>45520</v>
      </c>
      <c r="C1396" s="500" t="s">
        <v>173</v>
      </c>
      <c r="D1396" s="500" t="s">
        <v>759</v>
      </c>
      <c r="E1396" s="501">
        <v>6003698.4199999999</v>
      </c>
      <c r="F1396" s="502" t="s">
        <v>878</v>
      </c>
      <c r="G1396" s="100" t="s">
        <v>634</v>
      </c>
      <c r="H1396" s="530"/>
      <c r="I1396" s="525"/>
      <c r="K1396" s="548"/>
      <c r="L1396" s="548"/>
      <c r="M1396" s="548"/>
      <c r="N1396" s="552"/>
      <c r="Y1396" s="551"/>
    </row>
    <row r="1397" spans="1:25">
      <c r="A1397" s="499">
        <v>45519</v>
      </c>
      <c r="B1397" s="499">
        <v>45519</v>
      </c>
      <c r="C1397" s="500" t="s">
        <v>173</v>
      </c>
      <c r="D1397" s="500" t="s">
        <v>760</v>
      </c>
      <c r="E1397" s="501">
        <v>-3080730015.4400001</v>
      </c>
      <c r="F1397" s="502" t="s">
        <v>878</v>
      </c>
      <c r="G1397" s="100" t="s">
        <v>822</v>
      </c>
      <c r="H1397" s="530"/>
      <c r="I1397" s="525"/>
      <c r="K1397" s="548"/>
      <c r="L1397" s="548"/>
      <c r="M1397" s="548"/>
      <c r="N1397" s="552"/>
      <c r="Y1397" s="551"/>
    </row>
    <row r="1398" spans="1:25">
      <c r="A1398" s="499">
        <v>45519</v>
      </c>
      <c r="B1398" s="499">
        <v>45519</v>
      </c>
      <c r="C1398" s="500" t="s">
        <v>173</v>
      </c>
      <c r="D1398" s="500" t="s">
        <v>760</v>
      </c>
      <c r="E1398" s="501">
        <v>-46005991.039999999</v>
      </c>
      <c r="F1398" s="502" t="s">
        <v>878</v>
      </c>
      <c r="G1398" s="100" t="s">
        <v>92</v>
      </c>
      <c r="H1398" s="530"/>
      <c r="I1398" s="525"/>
      <c r="K1398" s="548"/>
      <c r="L1398" s="548"/>
      <c r="M1398" s="548"/>
      <c r="N1398" s="552"/>
      <c r="Y1398" s="551"/>
    </row>
    <row r="1399" spans="1:25">
      <c r="A1399" s="499">
        <v>45519</v>
      </c>
      <c r="B1399" s="499">
        <v>45520</v>
      </c>
      <c r="C1399" s="500" t="s">
        <v>173</v>
      </c>
      <c r="D1399" s="500" t="s">
        <v>760</v>
      </c>
      <c r="E1399" s="501">
        <v>3081841098.4000001</v>
      </c>
      <c r="F1399" s="502" t="s">
        <v>878</v>
      </c>
      <c r="G1399" s="100" t="s">
        <v>822</v>
      </c>
      <c r="H1399" s="530"/>
      <c r="I1399" s="525"/>
      <c r="K1399" s="548"/>
      <c r="L1399" s="548"/>
      <c r="M1399" s="548"/>
      <c r="N1399" s="552"/>
      <c r="Y1399" s="551"/>
    </row>
    <row r="1400" spans="1:25">
      <c r="A1400" s="499">
        <v>45519</v>
      </c>
      <c r="B1400" s="499">
        <v>45520</v>
      </c>
      <c r="C1400" s="500" t="s">
        <v>173</v>
      </c>
      <c r="D1400" s="500" t="s">
        <v>760</v>
      </c>
      <c r="E1400" s="501">
        <v>46022457.539999999</v>
      </c>
      <c r="F1400" s="502" t="s">
        <v>878</v>
      </c>
      <c r="G1400" s="100" t="s">
        <v>92</v>
      </c>
      <c r="H1400" s="530"/>
      <c r="I1400" s="525"/>
      <c r="K1400" s="548"/>
      <c r="L1400" s="548"/>
      <c r="M1400" s="548"/>
      <c r="N1400" s="552"/>
      <c r="Y1400" s="551"/>
    </row>
    <row r="1401" spans="1:25">
      <c r="A1401" s="499">
        <v>45519</v>
      </c>
      <c r="B1401" s="499">
        <v>45519</v>
      </c>
      <c r="C1401" s="500" t="s">
        <v>173</v>
      </c>
      <c r="D1401" s="500" t="s">
        <v>763</v>
      </c>
      <c r="E1401" s="501">
        <v>-353063552</v>
      </c>
      <c r="F1401" s="502" t="s">
        <v>878</v>
      </c>
      <c r="G1401" s="100" t="s">
        <v>82</v>
      </c>
      <c r="H1401" s="530"/>
      <c r="I1401" s="525"/>
      <c r="K1401" s="548"/>
      <c r="L1401" s="548"/>
      <c r="M1401" s="548"/>
      <c r="N1401" s="552"/>
      <c r="Y1401" s="551"/>
    </row>
    <row r="1402" spans="1:25">
      <c r="A1402" s="499">
        <v>45519</v>
      </c>
      <c r="B1402" s="499">
        <v>45519</v>
      </c>
      <c r="C1402" s="500" t="s">
        <v>173</v>
      </c>
      <c r="D1402" s="500" t="s">
        <v>763</v>
      </c>
      <c r="E1402" s="501">
        <v>-45022175.060000002</v>
      </c>
      <c r="F1402" s="502" t="s">
        <v>878</v>
      </c>
      <c r="G1402" s="100" t="s">
        <v>55</v>
      </c>
      <c r="H1402" s="530"/>
      <c r="I1402" s="525"/>
      <c r="K1402" s="548"/>
      <c r="L1402" s="548"/>
      <c r="M1402" s="548"/>
      <c r="N1402" s="552"/>
      <c r="Y1402" s="551"/>
    </row>
    <row r="1403" spans="1:25">
      <c r="A1403" s="499">
        <v>45519</v>
      </c>
      <c r="B1403" s="499">
        <v>45519</v>
      </c>
      <c r="C1403" s="500" t="s">
        <v>173</v>
      </c>
      <c r="D1403" s="500" t="s">
        <v>763</v>
      </c>
      <c r="E1403" s="501">
        <v>-1000621.77</v>
      </c>
      <c r="F1403" s="502" t="s">
        <v>878</v>
      </c>
      <c r="G1403" s="100" t="s">
        <v>683</v>
      </c>
      <c r="H1403" s="530"/>
      <c r="I1403" s="525"/>
      <c r="K1403" s="548"/>
      <c r="L1403" s="548"/>
      <c r="M1403" s="548"/>
      <c r="N1403" s="552"/>
      <c r="Y1403" s="551"/>
    </row>
    <row r="1404" spans="1:25">
      <c r="A1404" s="499">
        <v>45519</v>
      </c>
      <c r="B1404" s="499">
        <v>45519</v>
      </c>
      <c r="C1404" s="500" t="s">
        <v>173</v>
      </c>
      <c r="D1404" s="500" t="s">
        <v>763</v>
      </c>
      <c r="E1404" s="501">
        <v>-3023478223.4899988</v>
      </c>
      <c r="F1404" s="502" t="s">
        <v>878</v>
      </c>
      <c r="G1404" s="100" t="s">
        <v>745</v>
      </c>
      <c r="H1404" s="530"/>
      <c r="I1404" s="525"/>
      <c r="K1404" s="548"/>
      <c r="L1404" s="548"/>
      <c r="M1404" s="548"/>
      <c r="N1404" s="552"/>
      <c r="Y1404" s="551"/>
    </row>
    <row r="1405" spans="1:25">
      <c r="A1405" s="499">
        <v>45519</v>
      </c>
      <c r="B1405" s="499">
        <v>45519</v>
      </c>
      <c r="C1405" s="500" t="s">
        <v>173</v>
      </c>
      <c r="D1405" s="500" t="s">
        <v>763</v>
      </c>
      <c r="E1405" s="501">
        <v>-497000354.66000003</v>
      </c>
      <c r="F1405" s="502" t="s">
        <v>878</v>
      </c>
      <c r="G1405" s="100" t="s">
        <v>812</v>
      </c>
      <c r="H1405" s="530"/>
      <c r="I1405" s="525"/>
      <c r="K1405" s="548"/>
      <c r="L1405" s="548"/>
      <c r="M1405" s="548"/>
      <c r="N1405" s="552"/>
      <c r="Y1405" s="551"/>
    </row>
    <row r="1406" spans="1:25">
      <c r="A1406" s="499">
        <v>45519</v>
      </c>
      <c r="B1406" s="499">
        <v>45519</v>
      </c>
      <c r="C1406" s="500" t="s">
        <v>173</v>
      </c>
      <c r="D1406" s="500" t="s">
        <v>763</v>
      </c>
      <c r="E1406" s="501">
        <v>-259040972.50999999</v>
      </c>
      <c r="F1406" s="502" t="s">
        <v>878</v>
      </c>
      <c r="G1406" s="100" t="s">
        <v>745</v>
      </c>
      <c r="H1406" s="530"/>
      <c r="I1406" s="525"/>
      <c r="K1406" s="548"/>
      <c r="L1406" s="548"/>
      <c r="M1406" s="548"/>
      <c r="N1406" s="552"/>
      <c r="Y1406" s="551"/>
    </row>
    <row r="1407" spans="1:25">
      <c r="A1407" s="499">
        <v>45519</v>
      </c>
      <c r="B1407" s="499">
        <v>45519</v>
      </c>
      <c r="C1407" s="500" t="s">
        <v>173</v>
      </c>
      <c r="D1407" s="500" t="s">
        <v>763</v>
      </c>
      <c r="E1407" s="501">
        <v>-26006788.329999998</v>
      </c>
      <c r="F1407" s="502" t="s">
        <v>878</v>
      </c>
      <c r="G1407" s="100" t="s">
        <v>634</v>
      </c>
      <c r="H1407" s="530"/>
      <c r="I1407" s="525"/>
      <c r="K1407" s="548"/>
      <c r="L1407" s="548"/>
      <c r="M1407" s="548"/>
      <c r="N1407" s="552"/>
      <c r="Y1407" s="551"/>
    </row>
    <row r="1408" spans="1:25">
      <c r="A1408" s="499">
        <v>45519</v>
      </c>
      <c r="B1408" s="499">
        <v>45519</v>
      </c>
      <c r="C1408" s="500" t="s">
        <v>173</v>
      </c>
      <c r="D1408" s="500" t="s">
        <v>763</v>
      </c>
      <c r="E1408" s="501">
        <v>-2068558864.5899999</v>
      </c>
      <c r="F1408" s="502" t="s">
        <v>878</v>
      </c>
      <c r="G1408" s="100" t="s">
        <v>601</v>
      </c>
      <c r="H1408" s="530"/>
      <c r="I1408" s="525"/>
      <c r="K1408" s="548"/>
      <c r="L1408" s="548"/>
      <c r="M1408" s="548"/>
      <c r="N1408" s="552"/>
      <c r="Y1408" s="551"/>
    </row>
    <row r="1409" spans="1:25">
      <c r="A1409" s="499">
        <v>45519</v>
      </c>
      <c r="B1409" s="499">
        <v>45520</v>
      </c>
      <c r="C1409" s="500" t="s">
        <v>173</v>
      </c>
      <c r="D1409" s="500" t="s">
        <v>763</v>
      </c>
      <c r="E1409" s="501">
        <v>353188959.01999998</v>
      </c>
      <c r="F1409" s="502" t="s">
        <v>878</v>
      </c>
      <c r="G1409" s="100" t="s">
        <v>82</v>
      </c>
      <c r="H1409" s="530"/>
      <c r="I1409" s="525"/>
      <c r="K1409" s="548"/>
      <c r="L1409" s="548"/>
      <c r="M1409" s="548"/>
      <c r="N1409" s="552"/>
      <c r="Y1409" s="551"/>
    </row>
    <row r="1410" spans="1:25">
      <c r="A1410" s="499">
        <v>45519</v>
      </c>
      <c r="B1410" s="499">
        <v>45520</v>
      </c>
      <c r="C1410" s="500" t="s">
        <v>173</v>
      </c>
      <c r="D1410" s="500" t="s">
        <v>763</v>
      </c>
      <c r="E1410" s="501">
        <v>45038166.909999996</v>
      </c>
      <c r="F1410" s="502" t="s">
        <v>878</v>
      </c>
      <c r="G1410" s="100" t="s">
        <v>55</v>
      </c>
      <c r="H1410" s="530"/>
      <c r="I1410" s="525"/>
      <c r="K1410" s="548"/>
      <c r="L1410" s="548"/>
      <c r="M1410" s="548"/>
      <c r="N1410" s="552"/>
      <c r="Y1410" s="551"/>
    </row>
    <row r="1411" spans="1:25">
      <c r="A1411" s="499">
        <v>45519</v>
      </c>
      <c r="B1411" s="499">
        <v>45520</v>
      </c>
      <c r="C1411" s="500" t="s">
        <v>173</v>
      </c>
      <c r="D1411" s="500" t="s">
        <v>763</v>
      </c>
      <c r="E1411" s="501">
        <v>1000977.19</v>
      </c>
      <c r="F1411" s="502" t="s">
        <v>878</v>
      </c>
      <c r="G1411" s="100" t="s">
        <v>683</v>
      </c>
      <c r="H1411" s="530"/>
      <c r="I1411" s="525"/>
      <c r="K1411" s="548"/>
      <c r="L1411" s="548"/>
      <c r="M1411" s="548"/>
      <c r="N1411" s="552"/>
      <c r="Y1411" s="551"/>
    </row>
    <row r="1412" spans="1:25">
      <c r="A1412" s="499">
        <v>45519</v>
      </c>
      <c r="B1412" s="499">
        <v>45520</v>
      </c>
      <c r="C1412" s="500" t="s">
        <v>173</v>
      </c>
      <c r="D1412" s="500" t="s">
        <v>763</v>
      </c>
      <c r="E1412" s="501">
        <v>3024552153.04</v>
      </c>
      <c r="F1412" s="502" t="s">
        <v>878</v>
      </c>
      <c r="G1412" s="100" t="s">
        <v>745</v>
      </c>
      <c r="H1412" s="530"/>
      <c r="I1412" s="525"/>
      <c r="K1412" s="548"/>
      <c r="L1412" s="548"/>
      <c r="M1412" s="548"/>
      <c r="N1412" s="552"/>
      <c r="Y1412" s="551"/>
    </row>
    <row r="1413" spans="1:25">
      <c r="A1413" s="499">
        <v>45519</v>
      </c>
      <c r="B1413" s="499">
        <v>45520</v>
      </c>
      <c r="C1413" s="500" t="s">
        <v>173</v>
      </c>
      <c r="D1413" s="500" t="s">
        <v>763</v>
      </c>
      <c r="E1413" s="501">
        <v>497176888.91000003</v>
      </c>
      <c r="F1413" s="502" t="s">
        <v>878</v>
      </c>
      <c r="G1413" s="100" t="s">
        <v>812</v>
      </c>
      <c r="H1413" s="530"/>
      <c r="I1413" s="525"/>
      <c r="K1413" s="548"/>
      <c r="L1413" s="548"/>
      <c r="M1413" s="548"/>
      <c r="N1413" s="552"/>
      <c r="Y1413" s="551"/>
    </row>
    <row r="1414" spans="1:25">
      <c r="A1414" s="499">
        <v>45519</v>
      </c>
      <c r="B1414" s="499">
        <v>45520</v>
      </c>
      <c r="C1414" s="500" t="s">
        <v>173</v>
      </c>
      <c r="D1414" s="500" t="s">
        <v>763</v>
      </c>
      <c r="E1414" s="501">
        <v>259132983.72</v>
      </c>
      <c r="F1414" s="502" t="s">
        <v>878</v>
      </c>
      <c r="G1414" s="100" t="s">
        <v>745</v>
      </c>
      <c r="H1414" s="530"/>
      <c r="I1414" s="525"/>
      <c r="K1414" s="548"/>
      <c r="L1414" s="548"/>
      <c r="M1414" s="548"/>
      <c r="N1414" s="552"/>
      <c r="Y1414" s="551"/>
    </row>
    <row r="1415" spans="1:25">
      <c r="A1415" s="499">
        <v>45519</v>
      </c>
      <c r="B1415" s="499">
        <v>45520</v>
      </c>
      <c r="C1415" s="500" t="s">
        <v>173</v>
      </c>
      <c r="D1415" s="500" t="s">
        <v>763</v>
      </c>
      <c r="E1415" s="501">
        <v>26016025.780000001</v>
      </c>
      <c r="F1415" s="502" t="s">
        <v>878</v>
      </c>
      <c r="G1415" s="100" t="s">
        <v>634</v>
      </c>
      <c r="H1415" s="530">
        <v>-1</v>
      </c>
      <c r="I1415" s="525"/>
      <c r="K1415" s="548"/>
      <c r="L1415" s="548"/>
      <c r="M1415" s="548"/>
      <c r="N1415" s="552"/>
      <c r="Y1415" s="551"/>
    </row>
    <row r="1416" spans="1:25">
      <c r="A1416" s="499">
        <v>45519</v>
      </c>
      <c r="B1416" s="499">
        <v>45520</v>
      </c>
      <c r="C1416" s="500" t="s">
        <v>173</v>
      </c>
      <c r="D1416" s="500" t="s">
        <v>763</v>
      </c>
      <c r="E1416" s="501">
        <v>2069293609.9200001</v>
      </c>
      <c r="F1416" s="502" t="s">
        <v>878</v>
      </c>
      <c r="G1416" s="100" t="s">
        <v>601</v>
      </c>
      <c r="H1416" s="530"/>
      <c r="I1416" s="525"/>
      <c r="K1416" s="548"/>
      <c r="L1416" s="548"/>
      <c r="M1416" s="548"/>
      <c r="N1416" s="552"/>
      <c r="Y1416" s="551"/>
    </row>
    <row r="1417" spans="1:25">
      <c r="A1417" s="499">
        <v>45520</v>
      </c>
      <c r="B1417" s="499">
        <v>45520</v>
      </c>
      <c r="C1417" s="500" t="s">
        <v>173</v>
      </c>
      <c r="D1417" s="500" t="s">
        <v>762</v>
      </c>
      <c r="E1417" s="501">
        <v>-4000076589.5999999</v>
      </c>
      <c r="F1417" s="502" t="s">
        <v>878</v>
      </c>
      <c r="G1417" s="100" t="s">
        <v>889</v>
      </c>
      <c r="H1417" s="530"/>
      <c r="I1417" s="525"/>
      <c r="K1417" s="548"/>
      <c r="L1417" s="548"/>
      <c r="M1417" s="548"/>
      <c r="N1417" s="552"/>
      <c r="Y1417" s="551"/>
    </row>
    <row r="1418" spans="1:25">
      <c r="A1418" s="499">
        <v>45520</v>
      </c>
      <c r="B1418" s="499">
        <v>45520</v>
      </c>
      <c r="C1418" s="500" t="s">
        <v>173</v>
      </c>
      <c r="D1418" s="500" t="s">
        <v>762</v>
      </c>
      <c r="E1418" s="501">
        <v>-47000899.93</v>
      </c>
      <c r="F1418" s="502" t="s">
        <v>878</v>
      </c>
      <c r="G1418" s="100" t="s">
        <v>889</v>
      </c>
      <c r="H1418" s="530"/>
      <c r="I1418" s="525"/>
      <c r="K1418" s="548"/>
      <c r="L1418" s="548"/>
      <c r="M1418" s="548"/>
      <c r="N1418" s="552"/>
      <c r="Y1418" s="551"/>
    </row>
    <row r="1419" spans="1:25">
      <c r="A1419" s="499">
        <v>45520</v>
      </c>
      <c r="B1419" s="499">
        <v>45520</v>
      </c>
      <c r="C1419" s="500" t="s">
        <v>173</v>
      </c>
      <c r="D1419" s="500" t="s">
        <v>762</v>
      </c>
      <c r="E1419" s="501">
        <v>-7410897580.3900003</v>
      </c>
      <c r="F1419" s="502" t="s">
        <v>878</v>
      </c>
      <c r="G1419" s="100" t="s">
        <v>821</v>
      </c>
      <c r="H1419" s="530"/>
      <c r="I1419" s="525"/>
      <c r="K1419" s="548"/>
      <c r="L1419" s="548"/>
      <c r="M1419" s="548"/>
      <c r="N1419" s="552"/>
      <c r="Y1419" s="551"/>
    </row>
    <row r="1420" spans="1:25">
      <c r="A1420" s="499">
        <v>45520</v>
      </c>
      <c r="B1420" s="499">
        <v>45523</v>
      </c>
      <c r="C1420" s="500" t="s">
        <v>173</v>
      </c>
      <c r="D1420" s="500" t="s">
        <v>762</v>
      </c>
      <c r="E1420" s="501">
        <v>4004371852.1700001</v>
      </c>
      <c r="F1420" s="502" t="s">
        <v>878</v>
      </c>
      <c r="G1420" s="100" t="s">
        <v>889</v>
      </c>
      <c r="H1420" s="530"/>
      <c r="I1420" s="525"/>
      <c r="K1420" s="548"/>
      <c r="L1420" s="548"/>
      <c r="M1420" s="548"/>
      <c r="N1420" s="552"/>
      <c r="Y1420" s="551"/>
    </row>
    <row r="1421" spans="1:25">
      <c r="A1421" s="499">
        <v>45520</v>
      </c>
      <c r="B1421" s="499">
        <v>45523</v>
      </c>
      <c r="C1421" s="500" t="s">
        <v>173</v>
      </c>
      <c r="D1421" s="500" t="s">
        <v>762</v>
      </c>
      <c r="E1421" s="501">
        <v>47051369.649999999</v>
      </c>
      <c r="F1421" s="502" t="s">
        <v>878</v>
      </c>
      <c r="G1421" s="100" t="s">
        <v>889</v>
      </c>
      <c r="H1421" s="530"/>
      <c r="I1421" s="525"/>
      <c r="K1421" s="548"/>
      <c r="L1421" s="548"/>
      <c r="M1421" s="548"/>
      <c r="N1421" s="552"/>
      <c r="Y1421" s="551"/>
    </row>
    <row r="1422" spans="1:25">
      <c r="A1422" s="499">
        <v>45520</v>
      </c>
      <c r="B1422" s="499">
        <v>45523</v>
      </c>
      <c r="C1422" s="500" t="s">
        <v>173</v>
      </c>
      <c r="D1422" s="500" t="s">
        <v>762</v>
      </c>
      <c r="E1422" s="501">
        <v>7418855305.0200005</v>
      </c>
      <c r="F1422" s="502" t="s">
        <v>878</v>
      </c>
      <c r="G1422" s="100" t="s">
        <v>821</v>
      </c>
      <c r="H1422" s="530"/>
      <c r="I1422" s="525"/>
      <c r="K1422" s="548"/>
      <c r="L1422" s="548"/>
      <c r="M1422" s="548"/>
      <c r="N1422" s="552"/>
      <c r="Y1422" s="551"/>
    </row>
    <row r="1423" spans="1:25">
      <c r="A1423" s="499">
        <v>45520</v>
      </c>
      <c r="B1423" s="499">
        <v>45520</v>
      </c>
      <c r="C1423" s="500" t="s">
        <v>173</v>
      </c>
      <c r="D1423" s="500" t="s">
        <v>761</v>
      </c>
      <c r="E1423" s="501">
        <v>-122018152.98999999</v>
      </c>
      <c r="F1423" s="502" t="s">
        <v>878</v>
      </c>
      <c r="G1423" s="100" t="s">
        <v>91</v>
      </c>
      <c r="H1423" s="530"/>
      <c r="I1423" s="525"/>
      <c r="K1423" s="548"/>
      <c r="L1423" s="548"/>
      <c r="M1423" s="548"/>
      <c r="N1423" s="552"/>
      <c r="Y1423" s="551"/>
    </row>
    <row r="1424" spans="1:25">
      <c r="A1424" s="499">
        <v>45520</v>
      </c>
      <c r="B1424" s="499">
        <v>45520</v>
      </c>
      <c r="C1424" s="500" t="s">
        <v>173</v>
      </c>
      <c r="D1424" s="500" t="s">
        <v>761</v>
      </c>
      <c r="E1424" s="501">
        <v>-148019504.91999999</v>
      </c>
      <c r="F1424" s="502" t="s">
        <v>878</v>
      </c>
      <c r="G1424" s="100" t="s">
        <v>820</v>
      </c>
      <c r="H1424" s="530"/>
      <c r="I1424" s="525"/>
      <c r="K1424" s="548"/>
      <c r="L1424" s="548"/>
      <c r="M1424" s="548"/>
      <c r="N1424" s="552"/>
      <c r="Y1424" s="551"/>
    </row>
    <row r="1425" spans="1:25">
      <c r="A1425" s="499">
        <v>45520</v>
      </c>
      <c r="B1425" s="499">
        <v>45520</v>
      </c>
      <c r="C1425" s="500" t="s">
        <v>173</v>
      </c>
      <c r="D1425" s="500" t="s">
        <v>761</v>
      </c>
      <c r="E1425" s="501">
        <v>-1000052.42</v>
      </c>
      <c r="F1425" s="502" t="s">
        <v>878</v>
      </c>
      <c r="G1425" s="100" t="s">
        <v>645</v>
      </c>
      <c r="H1425" s="530"/>
      <c r="I1425" s="525"/>
      <c r="K1425" s="548"/>
      <c r="L1425" s="548"/>
      <c r="M1425" s="548"/>
      <c r="N1425" s="552"/>
      <c r="Y1425" s="551"/>
    </row>
    <row r="1426" spans="1:25">
      <c r="A1426" s="499">
        <v>45520</v>
      </c>
      <c r="B1426" s="499">
        <v>45527</v>
      </c>
      <c r="C1426" s="500" t="s">
        <v>173</v>
      </c>
      <c r="D1426" s="500" t="s">
        <v>761</v>
      </c>
      <c r="E1426" s="501">
        <v>122329699.34</v>
      </c>
      <c r="F1426" s="502" t="s">
        <v>878</v>
      </c>
      <c r="G1426" s="100" t="s">
        <v>91</v>
      </c>
      <c r="H1426" s="530"/>
      <c r="I1426" s="525"/>
      <c r="K1426" s="548"/>
      <c r="L1426" s="548"/>
      <c r="M1426" s="548"/>
      <c r="N1426" s="552"/>
      <c r="Y1426" s="551"/>
    </row>
    <row r="1427" spans="1:25">
      <c r="A1427" s="499">
        <v>45520</v>
      </c>
      <c r="B1427" s="499">
        <v>45527</v>
      </c>
      <c r="C1427" s="500" t="s">
        <v>173</v>
      </c>
      <c r="D1427" s="500" t="s">
        <v>761</v>
      </c>
      <c r="E1427" s="501">
        <v>148397439.97</v>
      </c>
      <c r="F1427" s="502" t="s">
        <v>878</v>
      </c>
      <c r="G1427" s="100" t="s">
        <v>820</v>
      </c>
      <c r="H1427" s="530"/>
      <c r="I1427" s="525"/>
      <c r="K1427" s="548"/>
      <c r="L1427" s="548"/>
      <c r="M1427" s="548"/>
      <c r="N1427" s="552"/>
      <c r="Y1427" s="551"/>
    </row>
    <row r="1428" spans="1:25">
      <c r="A1428" s="499">
        <v>45520</v>
      </c>
      <c r="B1428" s="499">
        <v>45527</v>
      </c>
      <c r="C1428" s="500" t="s">
        <v>173</v>
      </c>
      <c r="D1428" s="500" t="s">
        <v>761</v>
      </c>
      <c r="E1428" s="501">
        <v>1002588.68</v>
      </c>
      <c r="F1428" s="502" t="s">
        <v>878</v>
      </c>
      <c r="G1428" s="100" t="s">
        <v>645</v>
      </c>
      <c r="H1428" s="530"/>
      <c r="I1428" s="525"/>
      <c r="K1428" s="548"/>
      <c r="L1428" s="548"/>
      <c r="M1428" s="548"/>
      <c r="N1428" s="552"/>
      <c r="Y1428" s="551"/>
    </row>
    <row r="1429" spans="1:25">
      <c r="A1429" s="499">
        <v>45520</v>
      </c>
      <c r="B1429" s="499">
        <v>45520</v>
      </c>
      <c r="C1429" s="500" t="s">
        <v>173</v>
      </c>
      <c r="D1429" s="500" t="s">
        <v>759</v>
      </c>
      <c r="E1429" s="501">
        <v>-1528897926.1400001</v>
      </c>
      <c r="F1429" s="502" t="s">
        <v>878</v>
      </c>
      <c r="G1429" s="100" t="s">
        <v>448</v>
      </c>
      <c r="H1429" s="484"/>
      <c r="I1429" s="525"/>
      <c r="K1429" s="548"/>
      <c r="L1429" s="548"/>
      <c r="M1429" s="548"/>
      <c r="N1429" s="552"/>
      <c r="Y1429" s="551"/>
    </row>
    <row r="1430" spans="1:25">
      <c r="A1430" s="499">
        <v>45520</v>
      </c>
      <c r="B1430" s="499">
        <v>45520</v>
      </c>
      <c r="C1430" s="500" t="s">
        <v>173</v>
      </c>
      <c r="D1430" s="500" t="s">
        <v>759</v>
      </c>
      <c r="E1430" s="501">
        <v>-6001340.1399999997</v>
      </c>
      <c r="F1430" s="502" t="s">
        <v>878</v>
      </c>
      <c r="G1430" s="100" t="s">
        <v>422</v>
      </c>
      <c r="H1430" s="484"/>
      <c r="I1430" s="525"/>
      <c r="K1430" s="548"/>
      <c r="L1430" s="548"/>
      <c r="M1430" s="548"/>
      <c r="N1430" s="552"/>
      <c r="Y1430" s="551"/>
    </row>
    <row r="1431" spans="1:25">
      <c r="A1431" s="499">
        <v>45520</v>
      </c>
      <c r="B1431" s="499">
        <v>45523</v>
      </c>
      <c r="C1431" s="500" t="s">
        <v>173</v>
      </c>
      <c r="D1431" s="500" t="s">
        <v>759</v>
      </c>
      <c r="E1431" s="501">
        <v>1530545877.5899999</v>
      </c>
      <c r="F1431" s="502" t="s">
        <v>878</v>
      </c>
      <c r="G1431" s="100" t="s">
        <v>448</v>
      </c>
      <c r="H1431" s="530"/>
      <c r="I1431" s="525"/>
      <c r="K1431" s="548"/>
      <c r="L1431" s="548"/>
      <c r="M1431" s="548"/>
      <c r="N1431" s="552"/>
      <c r="Y1431" s="551"/>
    </row>
    <row r="1432" spans="1:25">
      <c r="A1432" s="499">
        <v>45520</v>
      </c>
      <c r="B1432" s="499">
        <v>45523</v>
      </c>
      <c r="C1432" s="500" t="s">
        <v>173</v>
      </c>
      <c r="D1432" s="500" t="s">
        <v>759</v>
      </c>
      <c r="E1432" s="501">
        <v>6007808.7999999998</v>
      </c>
      <c r="F1432" s="502" t="s">
        <v>878</v>
      </c>
      <c r="G1432" s="100" t="s">
        <v>422</v>
      </c>
      <c r="H1432" s="530"/>
      <c r="I1432" s="525"/>
      <c r="K1432" s="548"/>
      <c r="L1432" s="548"/>
      <c r="M1432" s="548"/>
      <c r="N1432" s="552"/>
      <c r="Y1432" s="551"/>
    </row>
    <row r="1433" spans="1:25">
      <c r="A1433" s="499">
        <v>45520</v>
      </c>
      <c r="B1433" s="499">
        <v>45520</v>
      </c>
      <c r="C1433" s="500" t="s">
        <v>173</v>
      </c>
      <c r="D1433" s="500" t="s">
        <v>763</v>
      </c>
      <c r="E1433" s="501">
        <v>-3178118225.4099998</v>
      </c>
      <c r="F1433" s="502" t="s">
        <v>878</v>
      </c>
      <c r="G1433" s="100" t="s">
        <v>634</v>
      </c>
      <c r="H1433" s="530"/>
      <c r="I1433" s="525"/>
      <c r="K1433" s="548"/>
      <c r="L1433" s="548"/>
      <c r="M1433" s="548"/>
      <c r="N1433" s="552"/>
      <c r="Y1433" s="551"/>
    </row>
    <row r="1434" spans="1:25">
      <c r="A1434" s="499">
        <v>45520</v>
      </c>
      <c r="B1434" s="499">
        <v>45520</v>
      </c>
      <c r="C1434" s="500" t="s">
        <v>173</v>
      </c>
      <c r="D1434" s="500" t="s">
        <v>763</v>
      </c>
      <c r="E1434" s="501">
        <v>-3068058744.2199998</v>
      </c>
      <c r="F1434" s="502" t="s">
        <v>878</v>
      </c>
      <c r="G1434" s="100" t="s">
        <v>890</v>
      </c>
      <c r="H1434" s="530"/>
      <c r="I1434" s="525"/>
      <c r="K1434" s="548"/>
      <c r="L1434" s="548"/>
      <c r="M1434" s="548"/>
      <c r="N1434" s="552"/>
      <c r="Y1434" s="551"/>
    </row>
    <row r="1435" spans="1:25">
      <c r="A1435" s="499">
        <v>45520</v>
      </c>
      <c r="B1435" s="499">
        <v>45520</v>
      </c>
      <c r="C1435" s="500" t="s">
        <v>173</v>
      </c>
      <c r="D1435" s="500" t="s">
        <v>763</v>
      </c>
      <c r="E1435" s="501">
        <v>-29005406.530000001</v>
      </c>
      <c r="F1435" s="502" t="s">
        <v>878</v>
      </c>
      <c r="G1435" s="100" t="s">
        <v>551</v>
      </c>
      <c r="H1435" s="530"/>
      <c r="I1435" s="525"/>
      <c r="K1435" s="548"/>
      <c r="L1435" s="548"/>
      <c r="M1435" s="548"/>
      <c r="N1435" s="552"/>
      <c r="Y1435" s="551"/>
    </row>
    <row r="1436" spans="1:25">
      <c r="A1436" s="499">
        <v>45520</v>
      </c>
      <c r="B1436" s="499">
        <v>45523</v>
      </c>
      <c r="C1436" s="500" t="s">
        <v>173</v>
      </c>
      <c r="D1436" s="500" t="s">
        <v>763</v>
      </c>
      <c r="E1436" s="501">
        <v>3181530899.1799998</v>
      </c>
      <c r="F1436" s="502" t="s">
        <v>878</v>
      </c>
      <c r="G1436" s="100" t="s">
        <v>634</v>
      </c>
      <c r="H1436" s="530"/>
      <c r="I1436" s="525"/>
      <c r="K1436" s="548"/>
      <c r="L1436" s="548"/>
      <c r="M1436" s="548"/>
      <c r="N1436" s="552"/>
      <c r="Y1436" s="551"/>
    </row>
    <row r="1437" spans="1:25">
      <c r="A1437" s="499">
        <v>45520</v>
      </c>
      <c r="B1437" s="499">
        <v>45523</v>
      </c>
      <c r="C1437" s="500" t="s">
        <v>173</v>
      </c>
      <c r="D1437" s="500" t="s">
        <v>763</v>
      </c>
      <c r="E1437" s="501">
        <v>3071353235.7600002</v>
      </c>
      <c r="F1437" s="502" t="s">
        <v>878</v>
      </c>
      <c r="G1437" s="100" t="s">
        <v>890</v>
      </c>
      <c r="H1437" s="530"/>
      <c r="I1437" s="525"/>
      <c r="K1437" s="548"/>
      <c r="L1437" s="548"/>
      <c r="M1437" s="548"/>
      <c r="N1437" s="552"/>
      <c r="Y1437" s="551"/>
    </row>
    <row r="1438" spans="1:25">
      <c r="A1438" s="499">
        <v>45520</v>
      </c>
      <c r="B1438" s="499">
        <v>45523</v>
      </c>
      <c r="C1438" s="500" t="s">
        <v>173</v>
      </c>
      <c r="D1438" s="500" t="s">
        <v>763</v>
      </c>
      <c r="E1438" s="501">
        <v>29036670.550000001</v>
      </c>
      <c r="F1438" s="502" t="s">
        <v>878</v>
      </c>
      <c r="G1438" s="100" t="s">
        <v>551</v>
      </c>
      <c r="H1438" s="530"/>
      <c r="I1438" s="525"/>
      <c r="K1438" s="548"/>
      <c r="L1438" s="548"/>
      <c r="M1438" s="548"/>
      <c r="N1438" s="552"/>
      <c r="Y1438" s="551"/>
    </row>
    <row r="1439" spans="1:25">
      <c r="A1439" s="499">
        <v>45520</v>
      </c>
      <c r="B1439" s="499">
        <v>45520</v>
      </c>
      <c r="C1439" s="500" t="s">
        <v>173</v>
      </c>
      <c r="D1439" s="500" t="s">
        <v>760</v>
      </c>
      <c r="E1439" s="501">
        <v>-3080046621.96</v>
      </c>
      <c r="F1439" s="502" t="s">
        <v>878</v>
      </c>
      <c r="G1439" s="100" t="s">
        <v>139</v>
      </c>
      <c r="H1439" s="530"/>
      <c r="I1439" s="525"/>
      <c r="K1439" s="548"/>
      <c r="L1439" s="548"/>
      <c r="M1439" s="548"/>
      <c r="N1439" s="552"/>
      <c r="Y1439" s="551"/>
    </row>
    <row r="1440" spans="1:25">
      <c r="A1440" s="499">
        <v>45520</v>
      </c>
      <c r="B1440" s="499">
        <v>45520</v>
      </c>
      <c r="C1440" s="500" t="s">
        <v>173</v>
      </c>
      <c r="D1440" s="500" t="s">
        <v>760</v>
      </c>
      <c r="E1440" s="501">
        <v>-48000919.079999998</v>
      </c>
      <c r="F1440" s="502" t="s">
        <v>878</v>
      </c>
      <c r="G1440" s="100" t="s">
        <v>890</v>
      </c>
      <c r="H1440" s="530"/>
      <c r="I1440" s="525"/>
      <c r="K1440" s="548"/>
      <c r="L1440" s="548"/>
      <c r="M1440" s="548"/>
      <c r="N1440" s="552"/>
      <c r="Y1440" s="551"/>
    </row>
    <row r="1441" spans="1:25">
      <c r="A1441" s="499">
        <v>45520</v>
      </c>
      <c r="B1441" s="499">
        <v>45523</v>
      </c>
      <c r="C1441" s="500" t="s">
        <v>173</v>
      </c>
      <c r="D1441" s="500" t="s">
        <v>760</v>
      </c>
      <c r="E1441" s="501">
        <v>3083379131.4200001</v>
      </c>
      <c r="F1441" s="502" t="s">
        <v>878</v>
      </c>
      <c r="G1441" s="100" t="s">
        <v>139</v>
      </c>
      <c r="H1441" s="530"/>
      <c r="I1441" s="525"/>
      <c r="K1441" s="548"/>
      <c r="L1441" s="548"/>
      <c r="M1441" s="548"/>
      <c r="N1441" s="552"/>
      <c r="Y1441" s="551"/>
    </row>
    <row r="1442" spans="1:25">
      <c r="A1442" s="499">
        <v>45520</v>
      </c>
      <c r="B1442" s="499">
        <v>45523</v>
      </c>
      <c r="C1442" s="500" t="s">
        <v>173</v>
      </c>
      <c r="D1442" s="500" t="s">
        <v>760</v>
      </c>
      <c r="E1442" s="501">
        <v>48052893.850000001</v>
      </c>
      <c r="F1442" s="502" t="s">
        <v>878</v>
      </c>
      <c r="G1442" s="100" t="s">
        <v>890</v>
      </c>
      <c r="H1442" s="530"/>
      <c r="I1442" s="525"/>
      <c r="K1442" s="548"/>
      <c r="L1442" s="548"/>
      <c r="M1442" s="548"/>
      <c r="N1442" s="552"/>
      <c r="Y1442" s="551"/>
    </row>
    <row r="1443" spans="1:25">
      <c r="A1443" s="499">
        <v>45520</v>
      </c>
      <c r="B1443" s="499">
        <v>45520</v>
      </c>
      <c r="C1443" s="500" t="s">
        <v>173</v>
      </c>
      <c r="D1443" s="500" t="s">
        <v>764</v>
      </c>
      <c r="E1443" s="501">
        <v>-5000932.16</v>
      </c>
      <c r="F1443" s="502" t="s">
        <v>878</v>
      </c>
      <c r="G1443" s="100" t="s">
        <v>550</v>
      </c>
      <c r="H1443" s="530"/>
      <c r="I1443" s="525"/>
      <c r="K1443" s="548"/>
      <c r="L1443" s="548"/>
      <c r="M1443" s="548"/>
      <c r="N1443" s="552"/>
      <c r="Y1443" s="551"/>
    </row>
    <row r="1444" spans="1:25">
      <c r="A1444" s="499">
        <v>45520</v>
      </c>
      <c r="B1444" s="499">
        <v>45520</v>
      </c>
      <c r="C1444" s="500" t="s">
        <v>173</v>
      </c>
      <c r="D1444" s="500" t="s">
        <v>764</v>
      </c>
      <c r="E1444" s="501">
        <v>-5000186.01</v>
      </c>
      <c r="F1444" s="502" t="s">
        <v>878</v>
      </c>
      <c r="G1444" s="100" t="s">
        <v>633</v>
      </c>
      <c r="H1444" s="530"/>
      <c r="I1444" s="525"/>
      <c r="K1444" s="548"/>
      <c r="L1444" s="548"/>
      <c r="M1444" s="548"/>
      <c r="N1444" s="552"/>
      <c r="Y1444" s="551"/>
    </row>
    <row r="1445" spans="1:25">
      <c r="A1445" s="499">
        <v>45520</v>
      </c>
      <c r="B1445" s="499">
        <v>45527</v>
      </c>
      <c r="C1445" s="500" t="s">
        <v>173</v>
      </c>
      <c r="D1445" s="500" t="s">
        <v>764</v>
      </c>
      <c r="E1445" s="501">
        <v>5013700.93</v>
      </c>
      <c r="F1445" s="502" t="s">
        <v>878</v>
      </c>
      <c r="G1445" s="100" t="s">
        <v>550</v>
      </c>
      <c r="H1445" s="530"/>
      <c r="I1445" s="525"/>
      <c r="K1445" s="548"/>
      <c r="L1445" s="548"/>
      <c r="M1445" s="548"/>
      <c r="N1445" s="552"/>
      <c r="Y1445" s="551"/>
    </row>
    <row r="1446" spans="1:25">
      <c r="A1446" s="499">
        <v>45520</v>
      </c>
      <c r="B1446" s="499">
        <v>45527</v>
      </c>
      <c r="C1446" s="500" t="s">
        <v>173</v>
      </c>
      <c r="D1446" s="500" t="s">
        <v>764</v>
      </c>
      <c r="E1446" s="501">
        <v>5012914.63</v>
      </c>
      <c r="F1446" s="502" t="s">
        <v>878</v>
      </c>
      <c r="G1446" s="100" t="s">
        <v>633</v>
      </c>
      <c r="H1446" s="530"/>
      <c r="I1446" s="525"/>
      <c r="K1446" s="548"/>
      <c r="L1446" s="548"/>
      <c r="M1446" s="548"/>
      <c r="N1446" s="552"/>
      <c r="Y1446" s="551"/>
    </row>
    <row r="1447" spans="1:25">
      <c r="A1447" s="499">
        <v>45523</v>
      </c>
      <c r="B1447" s="499">
        <v>45523</v>
      </c>
      <c r="C1447" s="500" t="s">
        <v>173</v>
      </c>
      <c r="D1447" s="500" t="s">
        <v>762</v>
      </c>
      <c r="E1447" s="501">
        <v>-11419782998.34</v>
      </c>
      <c r="F1447" s="502" t="s">
        <v>878</v>
      </c>
      <c r="G1447" s="100" t="s">
        <v>633</v>
      </c>
      <c r="H1447" s="530"/>
      <c r="I1447" s="525"/>
      <c r="K1447" s="548"/>
      <c r="L1447" s="548"/>
      <c r="M1447" s="548"/>
      <c r="N1447" s="552"/>
      <c r="Y1447" s="551"/>
    </row>
    <row r="1448" spans="1:25">
      <c r="A1448" s="499">
        <v>45523</v>
      </c>
      <c r="B1448" s="499">
        <v>45523</v>
      </c>
      <c r="C1448" s="500" t="s">
        <v>173</v>
      </c>
      <c r="D1448" s="500" t="s">
        <v>762</v>
      </c>
      <c r="E1448" s="501">
        <v>-50001823.899999999</v>
      </c>
      <c r="F1448" s="502" t="s">
        <v>878</v>
      </c>
      <c r="G1448" s="100" t="s">
        <v>813</v>
      </c>
      <c r="H1448" s="530"/>
      <c r="I1448" s="525"/>
      <c r="K1448" s="548"/>
      <c r="L1448" s="548"/>
      <c r="M1448" s="548"/>
      <c r="N1448" s="552"/>
      <c r="Y1448" s="551"/>
    </row>
    <row r="1449" spans="1:25">
      <c r="A1449" s="499">
        <v>45523</v>
      </c>
      <c r="B1449" s="499">
        <v>45524</v>
      </c>
      <c r="C1449" s="500" t="s">
        <v>173</v>
      </c>
      <c r="D1449" s="500" t="s">
        <v>762</v>
      </c>
      <c r="E1449" s="501">
        <v>11423898488.440001</v>
      </c>
      <c r="F1449" s="502" t="s">
        <v>878</v>
      </c>
      <c r="G1449" s="100" t="s">
        <v>633</v>
      </c>
      <c r="H1449" s="530"/>
      <c r="I1449" s="525"/>
      <c r="K1449" s="548"/>
      <c r="L1449" s="548"/>
      <c r="M1449" s="548"/>
      <c r="N1449" s="552"/>
      <c r="Y1449" s="551"/>
    </row>
    <row r="1450" spans="1:25">
      <c r="A1450" s="499">
        <v>45523</v>
      </c>
      <c r="B1450" s="499">
        <v>45524</v>
      </c>
      <c r="C1450" s="500" t="s">
        <v>173</v>
      </c>
      <c r="D1450" s="500" t="s">
        <v>762</v>
      </c>
      <c r="E1450" s="501">
        <v>50019720.859999999</v>
      </c>
      <c r="F1450" s="502" t="s">
        <v>878</v>
      </c>
      <c r="G1450" s="100" t="s">
        <v>813</v>
      </c>
      <c r="H1450" s="530"/>
      <c r="I1450" s="525"/>
      <c r="K1450" s="548"/>
      <c r="L1450" s="548"/>
      <c r="M1450" s="548"/>
      <c r="N1450" s="552"/>
      <c r="Y1450" s="551"/>
    </row>
    <row r="1451" spans="1:25">
      <c r="A1451" s="499">
        <v>45523</v>
      </c>
      <c r="B1451" s="499">
        <v>45523</v>
      </c>
      <c r="C1451" s="500" t="s">
        <v>173</v>
      </c>
      <c r="D1451" s="500" t="s">
        <v>761</v>
      </c>
      <c r="E1451" s="501">
        <v>-8000056.6399999997</v>
      </c>
      <c r="F1451" s="502" t="s">
        <v>878</v>
      </c>
      <c r="G1451" s="100" t="s">
        <v>647</v>
      </c>
      <c r="H1451" s="530"/>
      <c r="I1451" s="525"/>
      <c r="K1451" s="548"/>
      <c r="L1451" s="548"/>
      <c r="M1451" s="548"/>
      <c r="N1451" s="552"/>
      <c r="Y1451" s="551"/>
    </row>
    <row r="1452" spans="1:25">
      <c r="A1452" s="499">
        <v>45523</v>
      </c>
      <c r="B1452" s="499">
        <v>45523</v>
      </c>
      <c r="C1452" s="500" t="s">
        <v>173</v>
      </c>
      <c r="D1452" s="500" t="s">
        <v>761</v>
      </c>
      <c r="E1452" s="501">
        <v>-1801012751.26</v>
      </c>
      <c r="F1452" s="502" t="s">
        <v>878</v>
      </c>
      <c r="G1452" s="100" t="s">
        <v>647</v>
      </c>
      <c r="H1452" s="530"/>
      <c r="I1452" s="525"/>
      <c r="K1452" s="548"/>
      <c r="L1452" s="548"/>
      <c r="M1452" s="548"/>
      <c r="N1452" s="552"/>
      <c r="Y1452" s="551"/>
    </row>
    <row r="1453" spans="1:25">
      <c r="A1453" s="499">
        <v>45523</v>
      </c>
      <c r="B1453" s="499">
        <v>45530</v>
      </c>
      <c r="C1453" s="500" t="s">
        <v>173</v>
      </c>
      <c r="D1453" s="500" t="s">
        <v>761</v>
      </c>
      <c r="E1453" s="501">
        <v>8020773.7300000004</v>
      </c>
      <c r="F1453" s="502" t="s">
        <v>878</v>
      </c>
      <c r="G1453" s="100" t="s">
        <v>647</v>
      </c>
      <c r="H1453" s="530"/>
      <c r="I1453" s="525"/>
      <c r="K1453" s="548"/>
      <c r="L1453" s="548"/>
      <c r="M1453" s="548"/>
      <c r="N1453" s="552"/>
      <c r="Y1453" s="551"/>
    </row>
    <row r="1454" spans="1:25">
      <c r="A1454" s="499">
        <v>45523</v>
      </c>
      <c r="B1454" s="499">
        <v>45530</v>
      </c>
      <c r="C1454" s="500" t="s">
        <v>173</v>
      </c>
      <c r="D1454" s="500" t="s">
        <v>761</v>
      </c>
      <c r="E1454" s="501">
        <v>1805676685.3699999</v>
      </c>
      <c r="F1454" s="502" t="s">
        <v>878</v>
      </c>
      <c r="G1454" s="100" t="s">
        <v>647</v>
      </c>
      <c r="H1454" s="530"/>
      <c r="I1454" s="525"/>
      <c r="K1454" s="548"/>
      <c r="L1454" s="548"/>
      <c r="M1454" s="548"/>
      <c r="N1454" s="552"/>
      <c r="Y1454" s="551"/>
    </row>
    <row r="1455" spans="1:25">
      <c r="A1455" s="499">
        <v>45523</v>
      </c>
      <c r="B1455" s="499">
        <v>45523</v>
      </c>
      <c r="C1455" s="500" t="s">
        <v>173</v>
      </c>
      <c r="D1455" s="500" t="s">
        <v>759</v>
      </c>
      <c r="E1455" s="501">
        <v>-1529193369.5699999</v>
      </c>
      <c r="F1455" s="502" t="s">
        <v>878</v>
      </c>
      <c r="G1455" s="100" t="s">
        <v>448</v>
      </c>
      <c r="H1455" s="484"/>
      <c r="I1455" s="525"/>
      <c r="K1455" s="548"/>
      <c r="L1455" s="548"/>
      <c r="M1455" s="548"/>
      <c r="N1455" s="552"/>
      <c r="Y1455" s="551"/>
    </row>
    <row r="1456" spans="1:25">
      <c r="A1456" s="499">
        <v>45523</v>
      </c>
      <c r="B1456" s="499">
        <v>45523</v>
      </c>
      <c r="C1456" s="500" t="s">
        <v>173</v>
      </c>
      <c r="D1456" s="500" t="s">
        <v>759</v>
      </c>
      <c r="E1456" s="501">
        <v>-7000885.2800000003</v>
      </c>
      <c r="F1456" s="502" t="s">
        <v>878</v>
      </c>
      <c r="G1456" s="100" t="s">
        <v>448</v>
      </c>
      <c r="H1456" s="484"/>
      <c r="I1456" s="525"/>
      <c r="K1456" s="548"/>
      <c r="L1456" s="548"/>
      <c r="M1456" s="548"/>
      <c r="N1456" s="552"/>
      <c r="Y1456" s="551"/>
    </row>
    <row r="1457" spans="1:25">
      <c r="A1457" s="499">
        <v>45523</v>
      </c>
      <c r="B1457" s="499">
        <v>45524</v>
      </c>
      <c r="C1457" s="500" t="s">
        <v>173</v>
      </c>
      <c r="D1457" s="500" t="s">
        <v>759</v>
      </c>
      <c r="E1457" s="501">
        <v>1529744907</v>
      </c>
      <c r="F1457" s="502" t="s">
        <v>878</v>
      </c>
      <c r="G1457" s="100" t="s">
        <v>448</v>
      </c>
      <c r="H1457" s="530"/>
      <c r="I1457" s="525"/>
      <c r="K1457" s="548"/>
      <c r="L1457" s="548"/>
      <c r="M1457" s="548"/>
      <c r="N1457" s="552"/>
      <c r="Y1457" s="551"/>
    </row>
    <row r="1458" spans="1:25">
      <c r="A1458" s="499">
        <v>45523</v>
      </c>
      <c r="B1458" s="499">
        <v>45524</v>
      </c>
      <c r="C1458" s="500" t="s">
        <v>173</v>
      </c>
      <c r="D1458" s="500" t="s">
        <v>759</v>
      </c>
      <c r="E1458" s="501">
        <v>7003410.2999999998</v>
      </c>
      <c r="F1458" s="502" t="s">
        <v>878</v>
      </c>
      <c r="G1458" s="100" t="s">
        <v>448</v>
      </c>
      <c r="H1458" s="530"/>
      <c r="I1458" s="525"/>
      <c r="K1458" s="548"/>
      <c r="L1458" s="548"/>
      <c r="M1458" s="548"/>
      <c r="N1458" s="552"/>
      <c r="Y1458" s="551"/>
    </row>
    <row r="1459" spans="1:25">
      <c r="A1459" s="499">
        <v>45523</v>
      </c>
      <c r="B1459" s="499">
        <v>45523</v>
      </c>
      <c r="C1459" s="500" t="s">
        <v>173</v>
      </c>
      <c r="D1459" s="500" t="s">
        <v>760</v>
      </c>
      <c r="E1459" s="501">
        <v>-3080244623.46</v>
      </c>
      <c r="F1459" s="502" t="s">
        <v>878</v>
      </c>
      <c r="G1459" s="100" t="s">
        <v>139</v>
      </c>
      <c r="H1459" s="530"/>
      <c r="I1459" s="525"/>
      <c r="K1459" s="548"/>
      <c r="L1459" s="548"/>
      <c r="M1459" s="548"/>
      <c r="N1459" s="552"/>
      <c r="Y1459" s="551"/>
    </row>
    <row r="1460" spans="1:25">
      <c r="A1460" s="499">
        <v>45523</v>
      </c>
      <c r="B1460" s="499">
        <v>45523</v>
      </c>
      <c r="C1460" s="500" t="s">
        <v>173</v>
      </c>
      <c r="D1460" s="500" t="s">
        <v>760</v>
      </c>
      <c r="E1460" s="501">
        <v>-50003971.159999996</v>
      </c>
      <c r="F1460" s="502" t="s">
        <v>878</v>
      </c>
      <c r="G1460" s="100" t="s">
        <v>139</v>
      </c>
      <c r="H1460" s="530"/>
      <c r="I1460" s="525"/>
      <c r="K1460" s="548"/>
      <c r="L1460" s="548"/>
      <c r="M1460" s="548"/>
      <c r="N1460" s="552"/>
      <c r="Y1460" s="551"/>
    </row>
    <row r="1461" spans="1:25">
      <c r="A1461" s="499">
        <v>45523</v>
      </c>
      <c r="B1461" s="499">
        <v>45524</v>
      </c>
      <c r="C1461" s="500" t="s">
        <v>173</v>
      </c>
      <c r="D1461" s="500" t="s">
        <v>760</v>
      </c>
      <c r="E1461" s="501">
        <v>3081363947.3299999</v>
      </c>
      <c r="F1461" s="502" t="s">
        <v>878</v>
      </c>
      <c r="G1461" s="100" t="s">
        <v>139</v>
      </c>
      <c r="H1461" s="530"/>
      <c r="I1461" s="525"/>
      <c r="K1461" s="548"/>
      <c r="L1461" s="548"/>
      <c r="M1461" s="548"/>
      <c r="N1461" s="552"/>
      <c r="Y1461" s="551"/>
    </row>
    <row r="1462" spans="1:25">
      <c r="A1462" s="499">
        <v>45523</v>
      </c>
      <c r="B1462" s="499">
        <v>45524</v>
      </c>
      <c r="C1462" s="500" t="s">
        <v>173</v>
      </c>
      <c r="D1462" s="500" t="s">
        <v>760</v>
      </c>
      <c r="E1462" s="501">
        <v>50022141.869999997</v>
      </c>
      <c r="F1462" s="502" t="s">
        <v>878</v>
      </c>
      <c r="G1462" s="100" t="s">
        <v>139</v>
      </c>
      <c r="H1462" s="530"/>
      <c r="I1462" s="525"/>
      <c r="K1462" s="548"/>
      <c r="L1462" s="548"/>
      <c r="M1462" s="548"/>
      <c r="N1462" s="552"/>
      <c r="Y1462" s="551"/>
    </row>
    <row r="1463" spans="1:25">
      <c r="A1463" s="499">
        <v>45523</v>
      </c>
      <c r="B1463" s="499">
        <v>45523</v>
      </c>
      <c r="C1463" s="500" t="s">
        <v>173</v>
      </c>
      <c r="D1463" s="500" t="s">
        <v>763</v>
      </c>
      <c r="E1463" s="501">
        <v>-25006730.399999999</v>
      </c>
      <c r="F1463" s="502" t="s">
        <v>878</v>
      </c>
      <c r="G1463" s="100" t="s">
        <v>710</v>
      </c>
      <c r="H1463" s="530">
        <v>-1</v>
      </c>
      <c r="I1463" s="525"/>
      <c r="K1463" s="548"/>
      <c r="L1463" s="548"/>
      <c r="M1463" s="548"/>
      <c r="N1463" s="552"/>
      <c r="Y1463" s="551"/>
    </row>
    <row r="1464" spans="1:25">
      <c r="A1464" s="499">
        <v>45523</v>
      </c>
      <c r="B1464" s="499">
        <v>45523</v>
      </c>
      <c r="C1464" s="500" t="s">
        <v>173</v>
      </c>
      <c r="D1464" s="500" t="s">
        <v>763</v>
      </c>
      <c r="E1464" s="501">
        <v>-2389643157.02</v>
      </c>
      <c r="F1464" s="502" t="s">
        <v>878</v>
      </c>
      <c r="G1464" s="100" t="s">
        <v>710</v>
      </c>
      <c r="H1464" s="530"/>
      <c r="I1464" s="525"/>
      <c r="K1464" s="548"/>
      <c r="L1464" s="548"/>
      <c r="M1464" s="548"/>
      <c r="N1464" s="552"/>
      <c r="Y1464" s="551"/>
    </row>
    <row r="1465" spans="1:25">
      <c r="A1465" s="499">
        <v>45523</v>
      </c>
      <c r="B1465" s="499">
        <v>45523</v>
      </c>
      <c r="C1465" s="500" t="s">
        <v>173</v>
      </c>
      <c r="D1465" s="500" t="s">
        <v>763</v>
      </c>
      <c r="E1465" s="501">
        <v>-3866858123.52</v>
      </c>
      <c r="F1465" s="502" t="s">
        <v>878</v>
      </c>
      <c r="G1465" s="100" t="s">
        <v>724</v>
      </c>
      <c r="H1465" s="530"/>
      <c r="I1465" s="525"/>
      <c r="K1465" s="548"/>
      <c r="L1465" s="548"/>
      <c r="M1465" s="548"/>
      <c r="N1465" s="552"/>
      <c r="Y1465" s="551"/>
    </row>
    <row r="1466" spans="1:25">
      <c r="A1466" s="499">
        <v>45523</v>
      </c>
      <c r="B1466" s="499">
        <v>45524</v>
      </c>
      <c r="C1466" s="500" t="s">
        <v>173</v>
      </c>
      <c r="D1466" s="500" t="s">
        <v>763</v>
      </c>
      <c r="E1466" s="501">
        <v>25015680.899999999</v>
      </c>
      <c r="F1466" s="502" t="s">
        <v>878</v>
      </c>
      <c r="G1466" s="100" t="s">
        <v>710</v>
      </c>
      <c r="H1466" s="530"/>
      <c r="I1466" s="525"/>
      <c r="K1466" s="548"/>
      <c r="L1466" s="548"/>
      <c r="M1466" s="548"/>
      <c r="N1466" s="552"/>
      <c r="Y1466" s="551"/>
    </row>
    <row r="1467" spans="1:25">
      <c r="A1467" s="499">
        <v>45523</v>
      </c>
      <c r="B1467" s="499">
        <v>45524</v>
      </c>
      <c r="C1467" s="500" t="s">
        <v>173</v>
      </c>
      <c r="D1467" s="500" t="s">
        <v>763</v>
      </c>
      <c r="E1467" s="501">
        <v>2390498466.46</v>
      </c>
      <c r="F1467" s="502" t="s">
        <v>878</v>
      </c>
      <c r="G1467" s="100" t="s">
        <v>710</v>
      </c>
      <c r="H1467" s="530"/>
      <c r="I1467" s="525"/>
      <c r="K1467" s="548"/>
      <c r="L1467" s="548"/>
      <c r="M1467" s="548"/>
      <c r="N1467" s="552"/>
      <c r="Y1467" s="551"/>
    </row>
    <row r="1468" spans="1:25">
      <c r="A1468" s="499">
        <v>45523</v>
      </c>
      <c r="B1468" s="499">
        <v>45524</v>
      </c>
      <c r="C1468" s="500" t="s">
        <v>173</v>
      </c>
      <c r="D1468" s="500" t="s">
        <v>763</v>
      </c>
      <c r="E1468" s="501">
        <v>3868247445.5</v>
      </c>
      <c r="F1468" s="502" t="s">
        <v>878</v>
      </c>
      <c r="G1468" s="100" t="s">
        <v>724</v>
      </c>
      <c r="H1468" s="530"/>
      <c r="I1468" s="525"/>
      <c r="K1468" s="548"/>
      <c r="L1468" s="548"/>
      <c r="M1468" s="548"/>
      <c r="N1468" s="552"/>
      <c r="Y1468" s="551"/>
    </row>
    <row r="1469" spans="1:25">
      <c r="A1469" s="499">
        <v>45524</v>
      </c>
      <c r="B1469" s="499">
        <v>45524</v>
      </c>
      <c r="C1469" s="500" t="s">
        <v>173</v>
      </c>
      <c r="D1469" s="500" t="s">
        <v>762</v>
      </c>
      <c r="E1469" s="501">
        <v>-10213239191.389999</v>
      </c>
      <c r="F1469" s="502" t="s">
        <v>878</v>
      </c>
      <c r="G1469" s="100" t="s">
        <v>687</v>
      </c>
      <c r="H1469" s="530"/>
      <c r="I1469" s="525"/>
      <c r="K1469" s="548"/>
      <c r="L1469" s="548"/>
      <c r="M1469" s="548"/>
      <c r="N1469" s="552"/>
      <c r="Y1469" s="551"/>
    </row>
    <row r="1470" spans="1:25">
      <c r="A1470" s="499">
        <v>45524</v>
      </c>
      <c r="B1470" s="499">
        <v>45524</v>
      </c>
      <c r="C1470" s="500" t="s">
        <v>173</v>
      </c>
      <c r="D1470" s="500" t="s">
        <v>762</v>
      </c>
      <c r="E1470" s="501">
        <v>-43003645.710000001</v>
      </c>
      <c r="F1470" s="502" t="s">
        <v>878</v>
      </c>
      <c r="G1470" s="100" t="s">
        <v>685</v>
      </c>
      <c r="H1470" s="530"/>
      <c r="I1470" s="525"/>
      <c r="K1470" s="548"/>
      <c r="L1470" s="548"/>
      <c r="M1470" s="548"/>
      <c r="N1470" s="552"/>
      <c r="Y1470" s="551"/>
    </row>
    <row r="1471" spans="1:25">
      <c r="A1471" s="499">
        <v>45524</v>
      </c>
      <c r="B1471" s="499">
        <v>45524</v>
      </c>
      <c r="C1471" s="500" t="s">
        <v>173</v>
      </c>
      <c r="D1471" s="500" t="s">
        <v>762</v>
      </c>
      <c r="E1471" s="501">
        <v>-1217037282.8</v>
      </c>
      <c r="F1471" s="502" t="s">
        <v>878</v>
      </c>
      <c r="G1471" s="100" t="s">
        <v>633</v>
      </c>
      <c r="H1471" s="530"/>
      <c r="I1471" s="525"/>
      <c r="K1471" s="548"/>
      <c r="L1471" s="548"/>
      <c r="M1471" s="548"/>
      <c r="N1471" s="552"/>
      <c r="Y1471" s="551"/>
    </row>
    <row r="1472" spans="1:25">
      <c r="A1472" s="499">
        <v>45524</v>
      </c>
      <c r="B1472" s="499">
        <v>45525</v>
      </c>
      <c r="C1472" s="500" t="s">
        <v>173</v>
      </c>
      <c r="D1472" s="500" t="s">
        <v>762</v>
      </c>
      <c r="E1472" s="501">
        <v>10216922682.610001</v>
      </c>
      <c r="F1472" s="502" t="s">
        <v>878</v>
      </c>
      <c r="G1472" s="100" t="s">
        <v>687</v>
      </c>
      <c r="H1472" s="530"/>
      <c r="I1472" s="525"/>
      <c r="K1472" s="548"/>
      <c r="L1472" s="548"/>
      <c r="M1472" s="548"/>
      <c r="N1472" s="552"/>
      <c r="Y1472" s="551"/>
    </row>
    <row r="1473" spans="1:25">
      <c r="A1473" s="499">
        <v>45524</v>
      </c>
      <c r="B1473" s="499">
        <v>45525</v>
      </c>
      <c r="C1473" s="500" t="s">
        <v>173</v>
      </c>
      <c r="D1473" s="500" t="s">
        <v>762</v>
      </c>
      <c r="E1473" s="501">
        <v>43019155.340000004</v>
      </c>
      <c r="F1473" s="502" t="s">
        <v>878</v>
      </c>
      <c r="G1473" s="100" t="s">
        <v>685</v>
      </c>
      <c r="H1473" s="530"/>
      <c r="I1473" s="525"/>
      <c r="K1473" s="548"/>
      <c r="L1473" s="548"/>
      <c r="M1473" s="548"/>
      <c r="N1473" s="552"/>
      <c r="Y1473" s="551"/>
    </row>
    <row r="1474" spans="1:25">
      <c r="A1474" s="499">
        <v>45524</v>
      </c>
      <c r="B1474" s="499">
        <v>45525</v>
      </c>
      <c r="C1474" s="500" t="s">
        <v>173</v>
      </c>
      <c r="D1474" s="500" t="s">
        <v>762</v>
      </c>
      <c r="E1474" s="501">
        <v>1217476214.28</v>
      </c>
      <c r="F1474" s="502" t="s">
        <v>878</v>
      </c>
      <c r="G1474" s="100" t="s">
        <v>633</v>
      </c>
      <c r="H1474" s="530"/>
      <c r="I1474" s="525"/>
      <c r="K1474" s="548"/>
      <c r="L1474" s="548"/>
      <c r="M1474" s="548"/>
      <c r="N1474" s="552"/>
      <c r="Y1474" s="551"/>
    </row>
    <row r="1475" spans="1:25">
      <c r="A1475" s="499">
        <v>45524</v>
      </c>
      <c r="B1475" s="499">
        <v>45526</v>
      </c>
      <c r="C1475" s="500" t="s">
        <v>173</v>
      </c>
      <c r="D1475" s="500" t="s">
        <v>761</v>
      </c>
      <c r="E1475" s="501">
        <v>-499999479.19999999</v>
      </c>
      <c r="F1475" s="502" t="s">
        <v>906</v>
      </c>
      <c r="G1475" s="100" t="s">
        <v>722</v>
      </c>
      <c r="H1475" s="530"/>
      <c r="I1475" s="525" t="s">
        <v>721</v>
      </c>
      <c r="K1475" s="548">
        <v>113799147</v>
      </c>
      <c r="L1475" s="549">
        <v>69.213200000000001</v>
      </c>
      <c r="M1475" s="549">
        <f>E1475*(-1)/(N1475*O1475)*100</f>
        <v>69.839449999790475</v>
      </c>
      <c r="N1475" s="549">
        <v>715927</v>
      </c>
      <c r="O1475" s="539">
        <v>1000</v>
      </c>
      <c r="T1475" s="553">
        <v>13.16</v>
      </c>
      <c r="U1475" s="538">
        <v>0</v>
      </c>
      <c r="V1475" s="549">
        <v>49999.95</v>
      </c>
      <c r="W1475" s="550">
        <f>VLOOKUP(G1475,Справочник!A:C,3,0)</f>
        <v>8.3500000000000005E-2</v>
      </c>
      <c r="X1475" s="539" t="str">
        <f>VLOOKUP(G1475,Справочник!A:G,7,0)</f>
        <v>Министерство финансов Республики Казахстан</v>
      </c>
      <c r="Y1475" s="551">
        <f>VLOOKUP(G1475,Справочник!A:B,2,0)</f>
        <v>50976</v>
      </c>
    </row>
    <row r="1476" spans="1:25">
      <c r="A1476" s="499">
        <v>45524</v>
      </c>
      <c r="B1476" s="499">
        <v>45524</v>
      </c>
      <c r="C1476" s="500" t="s">
        <v>173</v>
      </c>
      <c r="D1476" s="500" t="s">
        <v>761</v>
      </c>
      <c r="E1476" s="501">
        <v>-10000348.02</v>
      </c>
      <c r="F1476" s="502" t="s">
        <v>878</v>
      </c>
      <c r="G1476" s="100" t="s">
        <v>748</v>
      </c>
      <c r="H1476" s="530"/>
      <c r="I1476" s="525"/>
      <c r="K1476" s="548"/>
      <c r="L1476" s="548"/>
      <c r="M1476" s="548"/>
      <c r="N1476" s="552"/>
      <c r="Y1476" s="551"/>
    </row>
    <row r="1477" spans="1:25">
      <c r="A1477" s="499">
        <v>45524</v>
      </c>
      <c r="B1477" s="499">
        <v>45524</v>
      </c>
      <c r="C1477" s="500" t="s">
        <v>173</v>
      </c>
      <c r="D1477" s="500" t="s">
        <v>761</v>
      </c>
      <c r="E1477" s="501">
        <v>-2318056554.5599999</v>
      </c>
      <c r="F1477" s="502" t="s">
        <v>878</v>
      </c>
      <c r="G1477" s="100" t="s">
        <v>647</v>
      </c>
      <c r="H1477" s="530"/>
      <c r="I1477" s="525"/>
      <c r="K1477" s="548"/>
      <c r="L1477" s="548"/>
      <c r="M1477" s="548"/>
      <c r="N1477" s="552"/>
      <c r="Y1477" s="551"/>
    </row>
    <row r="1478" spans="1:25">
      <c r="A1478" s="499">
        <v>45524</v>
      </c>
      <c r="B1478" s="499">
        <v>45531</v>
      </c>
      <c r="C1478" s="500" t="s">
        <v>173</v>
      </c>
      <c r="D1478" s="500" t="s">
        <v>761</v>
      </c>
      <c r="E1478" s="501">
        <v>10025977.33</v>
      </c>
      <c r="F1478" s="502" t="s">
        <v>878</v>
      </c>
      <c r="G1478" s="100" t="s">
        <v>748</v>
      </c>
      <c r="H1478" s="530"/>
      <c r="I1478" s="525"/>
      <c r="K1478" s="548"/>
      <c r="L1478" s="548"/>
      <c r="M1478" s="548"/>
      <c r="N1478" s="552"/>
      <c r="Y1478" s="551"/>
    </row>
    <row r="1479" spans="1:25">
      <c r="A1479" s="499">
        <v>45524</v>
      </c>
      <c r="B1479" s="499">
        <v>45531</v>
      </c>
      <c r="C1479" s="500" t="s">
        <v>173</v>
      </c>
      <c r="D1479" s="500" t="s">
        <v>761</v>
      </c>
      <c r="E1479" s="501">
        <v>2323988499.2800002</v>
      </c>
      <c r="F1479" s="502" t="s">
        <v>878</v>
      </c>
      <c r="G1479" s="100" t="s">
        <v>647</v>
      </c>
      <c r="H1479" s="530"/>
      <c r="I1479" s="525"/>
      <c r="K1479" s="548"/>
      <c r="L1479" s="548"/>
      <c r="M1479" s="548"/>
      <c r="N1479" s="552"/>
      <c r="Y1479" s="551"/>
    </row>
    <row r="1480" spans="1:25">
      <c r="A1480" s="499">
        <v>45524</v>
      </c>
      <c r="B1480" s="499">
        <v>45524</v>
      </c>
      <c r="C1480" s="500" t="s">
        <v>173</v>
      </c>
      <c r="D1480" s="500" t="s">
        <v>759</v>
      </c>
      <c r="E1480" s="501">
        <v>-391011978.29000002</v>
      </c>
      <c r="F1480" s="502" t="s">
        <v>878</v>
      </c>
      <c r="G1480" s="100" t="s">
        <v>634</v>
      </c>
      <c r="H1480" s="484"/>
      <c r="I1480" s="525"/>
      <c r="K1480" s="548"/>
      <c r="L1480" s="548"/>
      <c r="M1480" s="548"/>
      <c r="N1480" s="552"/>
      <c r="Y1480" s="551"/>
    </row>
    <row r="1481" spans="1:25">
      <c r="A1481" s="499">
        <v>45524</v>
      </c>
      <c r="B1481" s="499">
        <v>45524</v>
      </c>
      <c r="C1481" s="500" t="s">
        <v>173</v>
      </c>
      <c r="D1481" s="500" t="s">
        <v>759</v>
      </c>
      <c r="E1481" s="501">
        <v>-1139096228.0699999</v>
      </c>
      <c r="F1481" s="502" t="s">
        <v>878</v>
      </c>
      <c r="G1481" s="100" t="s">
        <v>645</v>
      </c>
      <c r="H1481" s="484"/>
      <c r="I1481" s="525"/>
      <c r="K1481" s="548"/>
      <c r="L1481" s="548"/>
      <c r="M1481" s="548"/>
      <c r="N1481" s="552"/>
      <c r="Y1481" s="551"/>
    </row>
    <row r="1482" spans="1:25">
      <c r="A1482" s="499">
        <v>45524</v>
      </c>
      <c r="B1482" s="499">
        <v>45524</v>
      </c>
      <c r="C1482" s="500" t="s">
        <v>173</v>
      </c>
      <c r="D1482" s="500" t="s">
        <v>759</v>
      </c>
      <c r="E1482" s="501">
        <v>-7000214.4500000002</v>
      </c>
      <c r="F1482" s="502" t="s">
        <v>878</v>
      </c>
      <c r="G1482" s="100" t="s">
        <v>634</v>
      </c>
      <c r="H1482" s="484"/>
      <c r="I1482" s="525"/>
      <c r="K1482" s="548"/>
      <c r="L1482" s="548"/>
      <c r="M1482" s="548"/>
      <c r="N1482" s="552"/>
      <c r="Y1482" s="551"/>
    </row>
    <row r="1483" spans="1:25">
      <c r="A1483" s="499">
        <v>45524</v>
      </c>
      <c r="B1483" s="499">
        <v>45525</v>
      </c>
      <c r="C1483" s="500" t="s">
        <v>173</v>
      </c>
      <c r="D1483" s="500" t="s">
        <v>759</v>
      </c>
      <c r="E1483" s="501">
        <v>391153053.49000001</v>
      </c>
      <c r="F1483" s="502" t="s">
        <v>878</v>
      </c>
      <c r="G1483" s="100" t="s">
        <v>634</v>
      </c>
      <c r="H1483" s="530"/>
      <c r="I1483" s="525"/>
      <c r="K1483" s="548"/>
      <c r="L1483" s="548"/>
      <c r="M1483" s="548"/>
      <c r="N1483" s="552"/>
      <c r="Y1483" s="551"/>
    </row>
    <row r="1484" spans="1:25">
      <c r="A1484" s="499">
        <v>45524</v>
      </c>
      <c r="B1484" s="499">
        <v>45525</v>
      </c>
      <c r="C1484" s="500" t="s">
        <v>173</v>
      </c>
      <c r="D1484" s="500" t="s">
        <v>759</v>
      </c>
      <c r="E1484" s="501">
        <v>1139507360.8900001</v>
      </c>
      <c r="F1484" s="502" t="s">
        <v>878</v>
      </c>
      <c r="G1484" s="100" t="s">
        <v>645</v>
      </c>
      <c r="H1484" s="530"/>
      <c r="I1484" s="525"/>
      <c r="K1484" s="548"/>
      <c r="L1484" s="548"/>
      <c r="M1484" s="548"/>
      <c r="N1484" s="552"/>
      <c r="Y1484" s="551"/>
    </row>
    <row r="1485" spans="1:25">
      <c r="A1485" s="499">
        <v>45524</v>
      </c>
      <c r="B1485" s="499">
        <v>45525</v>
      </c>
      <c r="C1485" s="500" t="s">
        <v>173</v>
      </c>
      <c r="D1485" s="500" t="s">
        <v>759</v>
      </c>
      <c r="E1485" s="501">
        <v>7002740.0899999999</v>
      </c>
      <c r="F1485" s="502" t="s">
        <v>878</v>
      </c>
      <c r="G1485" s="100" t="s">
        <v>634</v>
      </c>
      <c r="H1485" s="530"/>
      <c r="I1485" s="525"/>
      <c r="K1485" s="548"/>
      <c r="L1485" s="548"/>
      <c r="M1485" s="548"/>
      <c r="N1485" s="552"/>
      <c r="Y1485" s="551"/>
    </row>
    <row r="1486" spans="1:25">
      <c r="A1486" s="499">
        <v>45524</v>
      </c>
      <c r="B1486" s="499">
        <v>45524</v>
      </c>
      <c r="C1486" s="500" t="s">
        <v>173</v>
      </c>
      <c r="D1486" s="500" t="s">
        <v>760</v>
      </c>
      <c r="E1486" s="501">
        <v>-3080740395.04</v>
      </c>
      <c r="F1486" s="502" t="s">
        <v>878</v>
      </c>
      <c r="G1486" s="100" t="s">
        <v>139</v>
      </c>
      <c r="H1486" s="530"/>
      <c r="I1486" s="525"/>
      <c r="K1486" s="548"/>
      <c r="L1486" s="548"/>
      <c r="M1486" s="548"/>
      <c r="N1486" s="552"/>
      <c r="Y1486" s="551"/>
    </row>
    <row r="1487" spans="1:25">
      <c r="A1487" s="499">
        <v>45524</v>
      </c>
      <c r="B1487" s="499">
        <v>45524</v>
      </c>
      <c r="C1487" s="500" t="s">
        <v>173</v>
      </c>
      <c r="D1487" s="500" t="s">
        <v>760</v>
      </c>
      <c r="E1487" s="501">
        <v>-50046165</v>
      </c>
      <c r="F1487" s="502" t="s">
        <v>878</v>
      </c>
      <c r="G1487" s="100" t="s">
        <v>498</v>
      </c>
      <c r="H1487" s="530"/>
      <c r="I1487" s="525"/>
      <c r="K1487" s="548"/>
      <c r="L1487" s="548"/>
      <c r="M1487" s="548"/>
      <c r="N1487" s="552"/>
      <c r="Y1487" s="551"/>
    </row>
    <row r="1488" spans="1:25">
      <c r="A1488" s="499">
        <v>45524</v>
      </c>
      <c r="B1488" s="499">
        <v>45525</v>
      </c>
      <c r="C1488" s="500" t="s">
        <v>173</v>
      </c>
      <c r="D1488" s="500" t="s">
        <v>760</v>
      </c>
      <c r="E1488" s="501">
        <v>3081859890.6500001</v>
      </c>
      <c r="F1488" s="502" t="s">
        <v>878</v>
      </c>
      <c r="G1488" s="100" t="s">
        <v>139</v>
      </c>
      <c r="H1488" s="530"/>
      <c r="I1488" s="525"/>
      <c r="K1488" s="548"/>
      <c r="L1488" s="548"/>
      <c r="M1488" s="548"/>
      <c r="N1488" s="552"/>
      <c r="Y1488" s="551"/>
    </row>
    <row r="1489" spans="1:25">
      <c r="A1489" s="499">
        <v>45524</v>
      </c>
      <c r="B1489" s="499">
        <v>45525</v>
      </c>
      <c r="C1489" s="500" t="s">
        <v>173</v>
      </c>
      <c r="D1489" s="500" t="s">
        <v>760</v>
      </c>
      <c r="E1489" s="501">
        <v>50064487.909999996</v>
      </c>
      <c r="F1489" s="502" t="s">
        <v>878</v>
      </c>
      <c r="G1489" s="100" t="s">
        <v>498</v>
      </c>
      <c r="H1489" s="530"/>
      <c r="I1489" s="525"/>
      <c r="K1489" s="548"/>
      <c r="L1489" s="548"/>
      <c r="M1489" s="548"/>
      <c r="N1489" s="552"/>
      <c r="Y1489" s="551"/>
    </row>
    <row r="1490" spans="1:25">
      <c r="A1490" s="499">
        <v>45524</v>
      </c>
      <c r="B1490" s="499">
        <v>45524</v>
      </c>
      <c r="C1490" s="500" t="s">
        <v>173</v>
      </c>
      <c r="D1490" s="500" t="s">
        <v>763</v>
      </c>
      <c r="E1490" s="501">
        <v>-1256038477.5599999</v>
      </c>
      <c r="F1490" s="502" t="s">
        <v>878</v>
      </c>
      <c r="G1490" s="100" t="s">
        <v>634</v>
      </c>
      <c r="H1490" s="530"/>
      <c r="I1490" s="525"/>
      <c r="K1490" s="548"/>
      <c r="L1490" s="548"/>
      <c r="M1490" s="548"/>
      <c r="N1490" s="552"/>
      <c r="Y1490" s="551"/>
    </row>
    <row r="1491" spans="1:25">
      <c r="A1491" s="499">
        <v>45524</v>
      </c>
      <c r="B1491" s="499">
        <v>45524</v>
      </c>
      <c r="C1491" s="500" t="s">
        <v>173</v>
      </c>
      <c r="D1491" s="500" t="s">
        <v>763</v>
      </c>
      <c r="E1491" s="501">
        <v>-5000422423.5</v>
      </c>
      <c r="F1491" s="502" t="s">
        <v>878</v>
      </c>
      <c r="G1491" s="100" t="s">
        <v>645</v>
      </c>
      <c r="H1491" s="530"/>
      <c r="I1491" s="525"/>
      <c r="K1491" s="548"/>
      <c r="L1491" s="548"/>
      <c r="M1491" s="548"/>
      <c r="N1491" s="552"/>
      <c r="Y1491" s="551"/>
    </row>
    <row r="1492" spans="1:25">
      <c r="A1492" s="499">
        <v>45524</v>
      </c>
      <c r="B1492" s="499">
        <v>45524</v>
      </c>
      <c r="C1492" s="500" t="s">
        <v>173</v>
      </c>
      <c r="D1492" s="500" t="s">
        <v>763</v>
      </c>
      <c r="E1492" s="501">
        <v>-27000606.70999999</v>
      </c>
      <c r="F1492" s="502" t="s">
        <v>878</v>
      </c>
      <c r="G1492" s="100" t="s">
        <v>575</v>
      </c>
      <c r="H1492" s="530"/>
      <c r="I1492" s="525"/>
      <c r="K1492" s="548"/>
      <c r="L1492" s="548"/>
      <c r="M1492" s="548"/>
      <c r="N1492" s="552"/>
      <c r="Y1492" s="551"/>
    </row>
    <row r="1493" spans="1:25">
      <c r="A1493" s="499">
        <v>45524</v>
      </c>
      <c r="B1493" s="499">
        <v>45525</v>
      </c>
      <c r="C1493" s="500" t="s">
        <v>173</v>
      </c>
      <c r="D1493" s="500" t="s">
        <v>763</v>
      </c>
      <c r="E1493" s="501">
        <v>1256491475.04</v>
      </c>
      <c r="F1493" s="502" t="s">
        <v>878</v>
      </c>
      <c r="G1493" s="100" t="s">
        <v>634</v>
      </c>
      <c r="H1493" s="530"/>
      <c r="I1493" s="525"/>
      <c r="K1493" s="548"/>
      <c r="L1493" s="548"/>
      <c r="M1493" s="548"/>
      <c r="N1493" s="552">
        <v>-1</v>
      </c>
      <c r="Y1493" s="551"/>
    </row>
    <row r="1494" spans="1:25">
      <c r="A1494" s="499">
        <v>45524</v>
      </c>
      <c r="B1494" s="499">
        <v>45525</v>
      </c>
      <c r="C1494" s="500" t="s">
        <v>173</v>
      </c>
      <c r="D1494" s="500" t="s">
        <v>763</v>
      </c>
      <c r="E1494" s="501">
        <v>5002227220.7700005</v>
      </c>
      <c r="F1494" s="502" t="s">
        <v>878</v>
      </c>
      <c r="G1494" s="100" t="s">
        <v>645</v>
      </c>
      <c r="H1494" s="530"/>
      <c r="I1494" s="525"/>
      <c r="K1494" s="548"/>
      <c r="L1494" s="548"/>
      <c r="M1494" s="548"/>
      <c r="N1494" s="552"/>
      <c r="Y1494" s="551"/>
    </row>
    <row r="1495" spans="1:25">
      <c r="A1495" s="499">
        <v>45524</v>
      </c>
      <c r="B1495" s="499">
        <v>45525</v>
      </c>
      <c r="C1495" s="500" t="s">
        <v>173</v>
      </c>
      <c r="D1495" s="500" t="s">
        <v>763</v>
      </c>
      <c r="E1495" s="501">
        <v>27010344.710000001</v>
      </c>
      <c r="F1495" s="502" t="s">
        <v>878</v>
      </c>
      <c r="G1495" s="100" t="s">
        <v>575</v>
      </c>
      <c r="H1495" s="530"/>
      <c r="I1495" s="525"/>
      <c r="K1495" s="548"/>
      <c r="L1495" s="548"/>
      <c r="M1495" s="548"/>
      <c r="N1495" s="552"/>
      <c r="Y1495" s="551"/>
    </row>
    <row r="1496" spans="1:25">
      <c r="A1496" s="499">
        <v>45525</v>
      </c>
      <c r="B1496" s="499">
        <v>45525</v>
      </c>
      <c r="C1496" s="500" t="s">
        <v>173</v>
      </c>
      <c r="D1496" s="500" t="s">
        <v>762</v>
      </c>
      <c r="E1496" s="501">
        <v>-2721822215.04</v>
      </c>
      <c r="F1496" s="502" t="s">
        <v>878</v>
      </c>
      <c r="G1496" s="100" t="s">
        <v>687</v>
      </c>
      <c r="H1496" s="530"/>
      <c r="I1496" s="525"/>
      <c r="K1496" s="548"/>
      <c r="L1496" s="548"/>
      <c r="M1496" s="548"/>
      <c r="N1496" s="552"/>
      <c r="Y1496" s="551"/>
    </row>
    <row r="1497" spans="1:25">
      <c r="A1497" s="499">
        <v>45525</v>
      </c>
      <c r="B1497" s="499">
        <v>45525</v>
      </c>
      <c r="C1497" s="500" t="s">
        <v>173</v>
      </c>
      <c r="D1497" s="500" t="s">
        <v>762</v>
      </c>
      <c r="E1497" s="501">
        <v>-48030670.75</v>
      </c>
      <c r="F1497" s="502" t="s">
        <v>878</v>
      </c>
      <c r="G1497" s="100" t="s">
        <v>678</v>
      </c>
      <c r="H1497" s="530"/>
      <c r="I1497" s="525"/>
      <c r="K1497" s="548"/>
      <c r="L1497" s="548"/>
      <c r="M1497" s="548"/>
      <c r="N1497" s="552"/>
      <c r="Y1497" s="551"/>
    </row>
    <row r="1498" spans="1:25">
      <c r="A1498" s="499">
        <v>45525</v>
      </c>
      <c r="B1498" s="499">
        <v>45525</v>
      </c>
      <c r="C1498" s="500" t="s">
        <v>173</v>
      </c>
      <c r="D1498" s="500" t="s">
        <v>762</v>
      </c>
      <c r="E1498" s="501">
        <v>-8708779529.7099991</v>
      </c>
      <c r="F1498" s="502" t="s">
        <v>878</v>
      </c>
      <c r="G1498" s="100" t="s">
        <v>644</v>
      </c>
      <c r="H1498" s="530"/>
      <c r="I1498" s="525"/>
      <c r="K1498" s="548"/>
      <c r="L1498" s="548"/>
      <c r="M1498" s="548"/>
      <c r="N1498" s="552"/>
      <c r="Y1498" s="551"/>
    </row>
    <row r="1499" spans="1:25">
      <c r="A1499" s="499">
        <v>45525</v>
      </c>
      <c r="B1499" s="499">
        <v>45526</v>
      </c>
      <c r="C1499" s="500" t="s">
        <v>173</v>
      </c>
      <c r="D1499" s="500" t="s">
        <v>762</v>
      </c>
      <c r="E1499" s="501">
        <v>2722796426.5999999</v>
      </c>
      <c r="F1499" s="502" t="s">
        <v>878</v>
      </c>
      <c r="G1499" s="100" t="s">
        <v>687</v>
      </c>
      <c r="H1499" s="530"/>
      <c r="I1499" s="525"/>
      <c r="K1499" s="548"/>
      <c r="L1499" s="548"/>
      <c r="M1499" s="548"/>
      <c r="N1499" s="552"/>
      <c r="Y1499" s="551"/>
    </row>
    <row r="1500" spans="1:25">
      <c r="A1500" s="499">
        <v>45525</v>
      </c>
      <c r="B1500" s="499">
        <v>45526</v>
      </c>
      <c r="C1500" s="500" t="s">
        <v>173</v>
      </c>
      <c r="D1500" s="500" t="s">
        <v>762</v>
      </c>
      <c r="E1500" s="501">
        <v>48047862.32</v>
      </c>
      <c r="F1500" s="502" t="s">
        <v>878</v>
      </c>
      <c r="G1500" s="100" t="s">
        <v>678</v>
      </c>
      <c r="H1500" s="530"/>
      <c r="I1500" s="525"/>
      <c r="K1500" s="548"/>
      <c r="L1500" s="548"/>
      <c r="M1500" s="548"/>
      <c r="N1500" s="552"/>
      <c r="Y1500" s="551"/>
    </row>
    <row r="1501" spans="1:25">
      <c r="A1501" s="499">
        <v>45525</v>
      </c>
      <c r="B1501" s="499">
        <v>45526</v>
      </c>
      <c r="C1501" s="500" t="s">
        <v>173</v>
      </c>
      <c r="D1501" s="500" t="s">
        <v>762</v>
      </c>
      <c r="E1501" s="501">
        <v>8711896606.5400009</v>
      </c>
      <c r="F1501" s="502" t="s">
        <v>878</v>
      </c>
      <c r="G1501" s="100" t="s">
        <v>644</v>
      </c>
      <c r="H1501" s="530"/>
      <c r="I1501" s="525"/>
      <c r="K1501" s="548"/>
      <c r="L1501" s="548"/>
      <c r="M1501" s="548"/>
      <c r="N1501" s="552"/>
      <c r="Y1501" s="551"/>
    </row>
    <row r="1502" spans="1:25">
      <c r="A1502" s="499">
        <v>45525</v>
      </c>
      <c r="B1502" s="499">
        <v>45527</v>
      </c>
      <c r="C1502" s="500" t="s">
        <v>173</v>
      </c>
      <c r="D1502" s="500" t="s">
        <v>761</v>
      </c>
      <c r="E1502" s="501">
        <v>-414944166.67000002</v>
      </c>
      <c r="F1502" s="502" t="s">
        <v>906</v>
      </c>
      <c r="G1502" s="100" t="s">
        <v>82</v>
      </c>
      <c r="H1502" s="530"/>
      <c r="I1502" s="525" t="s">
        <v>706</v>
      </c>
      <c r="K1502" s="548">
        <v>113806336</v>
      </c>
      <c r="L1502" s="549">
        <v>78.743499999999997</v>
      </c>
      <c r="M1502" s="549">
        <f>E1502*(-1)/(N1502*O1502)*100</f>
        <v>82.988833334000006</v>
      </c>
      <c r="N1502" s="549">
        <v>500000</v>
      </c>
      <c r="O1502" s="539">
        <v>1000</v>
      </c>
      <c r="T1502" s="553">
        <v>13.39</v>
      </c>
      <c r="U1502" s="538">
        <v>20747.21</v>
      </c>
      <c r="V1502" s="538">
        <v>41494.42</v>
      </c>
      <c r="W1502" s="550">
        <f>VLOOKUP(G1502,Справочник!A:C,3,0)</f>
        <v>7.6799999999999993E-2</v>
      </c>
      <c r="X1502" s="539" t="str">
        <f>VLOOKUP(G1502,Справочник!A:G,7,0)</f>
        <v>Министерство финансов Республики Казахстан</v>
      </c>
      <c r="Y1502" s="551" t="str">
        <f>VLOOKUP(G1502,Справочник!A:B,2,0)</f>
        <v>04.02.2030</v>
      </c>
    </row>
    <row r="1503" spans="1:25">
      <c r="A1503" s="499">
        <v>45525</v>
      </c>
      <c r="B1503" s="499">
        <v>45525</v>
      </c>
      <c r="C1503" s="500" t="s">
        <v>173</v>
      </c>
      <c r="D1503" s="500" t="s">
        <v>761</v>
      </c>
      <c r="E1503" s="501">
        <v>-37025238.740000002</v>
      </c>
      <c r="F1503" s="502" t="s">
        <v>878</v>
      </c>
      <c r="G1503" s="100" t="s">
        <v>589</v>
      </c>
      <c r="H1503" s="530"/>
      <c r="I1503" s="525"/>
      <c r="K1503" s="548"/>
      <c r="L1503" s="548"/>
      <c r="M1503" s="548"/>
      <c r="N1503" s="552"/>
      <c r="Y1503" s="551"/>
    </row>
    <row r="1504" spans="1:25">
      <c r="A1504" s="499">
        <v>45525</v>
      </c>
      <c r="B1504" s="499">
        <v>45525</v>
      </c>
      <c r="C1504" s="500" t="s">
        <v>173</v>
      </c>
      <c r="D1504" s="500" t="s">
        <v>761</v>
      </c>
      <c r="E1504" s="501">
        <v>-225118433.93000001</v>
      </c>
      <c r="F1504" s="502" t="s">
        <v>878</v>
      </c>
      <c r="G1504" s="100" t="s">
        <v>414</v>
      </c>
      <c r="H1504" s="530"/>
      <c r="I1504" s="525"/>
      <c r="K1504" s="548"/>
      <c r="L1504" s="548"/>
      <c r="M1504" s="548"/>
      <c r="N1504" s="552"/>
      <c r="Y1504" s="551"/>
    </row>
    <row r="1505" spans="1:25">
      <c r="A1505" s="499">
        <v>45525</v>
      </c>
      <c r="B1505" s="499">
        <v>45525</v>
      </c>
      <c r="C1505" s="500" t="s">
        <v>173</v>
      </c>
      <c r="D1505" s="500" t="s">
        <v>761</v>
      </c>
      <c r="E1505" s="501">
        <v>-6000135.0099999998</v>
      </c>
      <c r="F1505" s="502" t="s">
        <v>878</v>
      </c>
      <c r="G1505" s="100" t="s">
        <v>448</v>
      </c>
      <c r="H1505" s="530"/>
      <c r="I1505" s="525"/>
      <c r="K1505" s="548"/>
      <c r="L1505" s="548"/>
      <c r="M1505" s="548"/>
      <c r="N1505" s="552"/>
      <c r="Y1505" s="551"/>
    </row>
    <row r="1506" spans="1:25">
      <c r="A1506" s="499">
        <v>45525</v>
      </c>
      <c r="B1506" s="499">
        <v>45525</v>
      </c>
      <c r="C1506" s="500" t="s">
        <v>173</v>
      </c>
      <c r="D1506" s="500" t="s">
        <v>761</v>
      </c>
      <c r="E1506" s="501">
        <v>-250039620.75</v>
      </c>
      <c r="F1506" s="502" t="s">
        <v>878</v>
      </c>
      <c r="G1506" s="100" t="s">
        <v>87</v>
      </c>
      <c r="H1506" s="530"/>
      <c r="I1506" s="525"/>
      <c r="K1506" s="548"/>
      <c r="L1506" s="548"/>
      <c r="M1506" s="548"/>
      <c r="N1506" s="552"/>
      <c r="Y1506" s="551"/>
    </row>
    <row r="1507" spans="1:25">
      <c r="A1507" s="499">
        <v>45525</v>
      </c>
      <c r="B1507" s="499">
        <v>45525</v>
      </c>
      <c r="C1507" s="500" t="s">
        <v>173</v>
      </c>
      <c r="D1507" s="500" t="s">
        <v>761</v>
      </c>
      <c r="E1507" s="501">
        <v>-264238955.38</v>
      </c>
      <c r="F1507" s="502" t="s">
        <v>878</v>
      </c>
      <c r="G1507" s="100" t="s">
        <v>595</v>
      </c>
      <c r="H1507" s="530"/>
      <c r="I1507" s="525"/>
      <c r="K1507" s="548"/>
      <c r="L1507" s="548"/>
      <c r="M1507" s="548"/>
      <c r="N1507" s="552"/>
      <c r="Y1507" s="551"/>
    </row>
    <row r="1508" spans="1:25">
      <c r="A1508" s="499">
        <v>45525</v>
      </c>
      <c r="B1508" s="499">
        <v>45525</v>
      </c>
      <c r="C1508" s="500" t="s">
        <v>173</v>
      </c>
      <c r="D1508" s="500" t="s">
        <v>761</v>
      </c>
      <c r="E1508" s="501">
        <v>-246081565.72999999</v>
      </c>
      <c r="F1508" s="502" t="s">
        <v>878</v>
      </c>
      <c r="G1508" s="100" t="s">
        <v>84</v>
      </c>
      <c r="H1508" s="530"/>
      <c r="I1508" s="525"/>
      <c r="K1508" s="548"/>
      <c r="L1508" s="548"/>
      <c r="M1508" s="548"/>
      <c r="N1508" s="552"/>
      <c r="Y1508" s="551"/>
    </row>
    <row r="1509" spans="1:25">
      <c r="A1509" s="499">
        <v>45525</v>
      </c>
      <c r="B1509" s="499">
        <v>45525</v>
      </c>
      <c r="C1509" s="500" t="s">
        <v>173</v>
      </c>
      <c r="D1509" s="500" t="s">
        <v>761</v>
      </c>
      <c r="E1509" s="501">
        <v>-244107576.66999999</v>
      </c>
      <c r="F1509" s="502" t="s">
        <v>878</v>
      </c>
      <c r="G1509" s="100" t="s">
        <v>605</v>
      </c>
      <c r="H1509" s="530"/>
      <c r="I1509" s="525"/>
      <c r="K1509" s="548"/>
      <c r="L1509" s="548"/>
      <c r="M1509" s="548"/>
      <c r="N1509" s="552"/>
      <c r="Y1509" s="551"/>
    </row>
    <row r="1510" spans="1:25">
      <c r="A1510" s="499">
        <v>45525</v>
      </c>
      <c r="B1510" s="499">
        <v>45525</v>
      </c>
      <c r="C1510" s="500" t="s">
        <v>173</v>
      </c>
      <c r="D1510" s="500" t="s">
        <v>761</v>
      </c>
      <c r="E1510" s="501">
        <v>-235157434.02000001</v>
      </c>
      <c r="F1510" s="502" t="s">
        <v>878</v>
      </c>
      <c r="G1510" s="100" t="s">
        <v>417</v>
      </c>
      <c r="H1510" s="530"/>
      <c r="I1510" s="525"/>
      <c r="K1510" s="548"/>
      <c r="L1510" s="548"/>
      <c r="M1510" s="548"/>
      <c r="N1510" s="552"/>
      <c r="Y1510" s="551"/>
    </row>
    <row r="1511" spans="1:25">
      <c r="A1511" s="499">
        <v>45525</v>
      </c>
      <c r="B1511" s="499">
        <v>45526</v>
      </c>
      <c r="C1511" s="500" t="s">
        <v>173</v>
      </c>
      <c r="D1511" s="500" t="s">
        <v>761</v>
      </c>
      <c r="E1511" s="501">
        <v>37038642.579999998</v>
      </c>
      <c r="F1511" s="502" t="s">
        <v>878</v>
      </c>
      <c r="G1511" s="100" t="s">
        <v>589</v>
      </c>
      <c r="H1511" s="530"/>
      <c r="I1511" s="525"/>
      <c r="K1511" s="548"/>
      <c r="L1511" s="548"/>
      <c r="M1511" s="548"/>
      <c r="N1511" s="552"/>
      <c r="Y1511" s="551"/>
    </row>
    <row r="1512" spans="1:25">
      <c r="A1512" s="499">
        <v>45525</v>
      </c>
      <c r="B1512" s="499">
        <v>45526</v>
      </c>
      <c r="C1512" s="500" t="s">
        <v>173</v>
      </c>
      <c r="D1512" s="500" t="s">
        <v>761</v>
      </c>
      <c r="E1512" s="501">
        <v>225199931.11000001</v>
      </c>
      <c r="F1512" s="502" t="s">
        <v>878</v>
      </c>
      <c r="G1512" s="100" t="s">
        <v>414</v>
      </c>
      <c r="H1512" s="530"/>
      <c r="I1512" s="525"/>
      <c r="K1512" s="548"/>
      <c r="L1512" s="548"/>
      <c r="M1512" s="548"/>
      <c r="N1512" s="552"/>
      <c r="Y1512" s="551"/>
    </row>
    <row r="1513" spans="1:25">
      <c r="A1513" s="499">
        <v>45525</v>
      </c>
      <c r="B1513" s="499">
        <v>45526</v>
      </c>
      <c r="C1513" s="500" t="s">
        <v>173</v>
      </c>
      <c r="D1513" s="500" t="s">
        <v>761</v>
      </c>
      <c r="E1513" s="501">
        <v>6002292.4699999997</v>
      </c>
      <c r="F1513" s="502" t="s">
        <v>878</v>
      </c>
      <c r="G1513" s="100" t="s">
        <v>448</v>
      </c>
      <c r="H1513" s="530"/>
      <c r="I1513" s="525"/>
      <c r="K1513" s="548"/>
      <c r="L1513" s="548"/>
      <c r="M1513" s="548"/>
      <c r="N1513" s="552"/>
      <c r="Y1513" s="551"/>
    </row>
    <row r="1514" spans="1:25">
      <c r="A1514" s="499">
        <v>45525</v>
      </c>
      <c r="B1514" s="499">
        <v>45526</v>
      </c>
      <c r="C1514" s="500" t="s">
        <v>173</v>
      </c>
      <c r="D1514" s="500" t="s">
        <v>761</v>
      </c>
      <c r="E1514" s="501">
        <v>250130139.87</v>
      </c>
      <c r="F1514" s="502" t="s">
        <v>878</v>
      </c>
      <c r="G1514" s="100" t="s">
        <v>87</v>
      </c>
      <c r="H1514" s="530"/>
      <c r="I1514" s="525"/>
      <c r="K1514" s="548"/>
      <c r="L1514" s="548"/>
      <c r="M1514" s="548"/>
      <c r="N1514" s="552"/>
      <c r="Y1514" s="551"/>
    </row>
    <row r="1515" spans="1:25">
      <c r="A1515" s="499">
        <v>45525</v>
      </c>
      <c r="B1515" s="499">
        <v>45526</v>
      </c>
      <c r="C1515" s="500" t="s">
        <v>173</v>
      </c>
      <c r="D1515" s="500" t="s">
        <v>761</v>
      </c>
      <c r="E1515" s="501">
        <v>264334614.94</v>
      </c>
      <c r="F1515" s="502" t="s">
        <v>878</v>
      </c>
      <c r="G1515" s="100" t="s">
        <v>595</v>
      </c>
      <c r="H1515" s="530"/>
      <c r="I1515" s="525"/>
      <c r="K1515" s="548"/>
      <c r="L1515" s="548"/>
      <c r="M1515" s="548"/>
      <c r="N1515" s="552"/>
      <c r="Y1515" s="551"/>
    </row>
    <row r="1516" spans="1:25">
      <c r="A1516" s="499">
        <v>45525</v>
      </c>
      <c r="B1516" s="499">
        <v>45526</v>
      </c>
      <c r="C1516" s="500" t="s">
        <v>173</v>
      </c>
      <c r="D1516" s="500" t="s">
        <v>761</v>
      </c>
      <c r="E1516" s="501">
        <v>246170651.96000001</v>
      </c>
      <c r="F1516" s="502" t="s">
        <v>878</v>
      </c>
      <c r="G1516" s="100" t="s">
        <v>84</v>
      </c>
      <c r="H1516" s="530"/>
      <c r="I1516" s="525"/>
      <c r="K1516" s="548"/>
      <c r="L1516" s="548"/>
      <c r="M1516" s="548"/>
      <c r="N1516" s="552"/>
      <c r="Y1516" s="551"/>
    </row>
    <row r="1517" spans="1:25">
      <c r="A1517" s="499">
        <v>45525</v>
      </c>
      <c r="B1517" s="499">
        <v>45526</v>
      </c>
      <c r="C1517" s="500" t="s">
        <v>173</v>
      </c>
      <c r="D1517" s="500" t="s">
        <v>761</v>
      </c>
      <c r="E1517" s="501">
        <v>244195948.28</v>
      </c>
      <c r="F1517" s="502" t="s">
        <v>878</v>
      </c>
      <c r="G1517" s="100" t="s">
        <v>605</v>
      </c>
      <c r="H1517" s="530"/>
      <c r="I1517" s="525"/>
      <c r="K1517" s="548"/>
      <c r="L1517" s="548"/>
      <c r="M1517" s="548"/>
      <c r="N1517" s="552"/>
      <c r="Y1517" s="551"/>
    </row>
    <row r="1518" spans="1:25">
      <c r="A1518" s="499">
        <v>45525</v>
      </c>
      <c r="B1518" s="499">
        <v>45526</v>
      </c>
      <c r="C1518" s="500" t="s">
        <v>173</v>
      </c>
      <c r="D1518" s="500" t="s">
        <v>761</v>
      </c>
      <c r="E1518" s="501">
        <v>235242565.50999999</v>
      </c>
      <c r="F1518" s="502" t="s">
        <v>878</v>
      </c>
      <c r="G1518" s="100" t="s">
        <v>417</v>
      </c>
      <c r="H1518" s="530"/>
      <c r="I1518" s="525"/>
      <c r="K1518" s="548"/>
      <c r="L1518" s="548"/>
      <c r="M1518" s="548"/>
      <c r="N1518" s="552"/>
      <c r="Y1518" s="551"/>
    </row>
    <row r="1519" spans="1:25">
      <c r="A1519" s="499">
        <v>45525</v>
      </c>
      <c r="B1519" s="499">
        <v>45525</v>
      </c>
      <c r="C1519" s="500" t="s">
        <v>173</v>
      </c>
      <c r="D1519" s="500" t="s">
        <v>759</v>
      </c>
      <c r="E1519" s="501">
        <v>-4818164004.7200003</v>
      </c>
      <c r="F1519" s="502" t="s">
        <v>878</v>
      </c>
      <c r="G1519" s="100" t="s">
        <v>910</v>
      </c>
      <c r="H1519" s="484"/>
      <c r="I1519" s="525"/>
      <c r="K1519" s="548"/>
      <c r="L1519" s="548"/>
      <c r="M1519" s="548"/>
      <c r="N1519" s="552"/>
      <c r="Y1519" s="551"/>
    </row>
    <row r="1520" spans="1:25">
      <c r="A1520" s="499">
        <v>45525</v>
      </c>
      <c r="B1520" s="499">
        <v>45525</v>
      </c>
      <c r="C1520" s="500" t="s">
        <v>173</v>
      </c>
      <c r="D1520" s="500" t="s">
        <v>759</v>
      </c>
      <c r="E1520" s="501">
        <v>-3672590218.46</v>
      </c>
      <c r="F1520" s="502" t="s">
        <v>878</v>
      </c>
      <c r="G1520" s="100" t="s">
        <v>516</v>
      </c>
      <c r="H1520" s="484"/>
      <c r="I1520" s="525"/>
      <c r="K1520" s="548"/>
      <c r="L1520" s="548"/>
      <c r="M1520" s="548"/>
      <c r="N1520" s="552"/>
      <c r="Y1520" s="551"/>
    </row>
    <row r="1521" spans="1:25">
      <c r="A1521" s="499">
        <v>45525</v>
      </c>
      <c r="B1521" s="499">
        <v>45525</v>
      </c>
      <c r="C1521" s="500" t="s">
        <v>173</v>
      </c>
      <c r="D1521" s="500" t="s">
        <v>759</v>
      </c>
      <c r="E1521" s="501">
        <v>-36023420.159999996</v>
      </c>
      <c r="F1521" s="502" t="s">
        <v>878</v>
      </c>
      <c r="G1521" s="100" t="s">
        <v>683</v>
      </c>
      <c r="H1521" s="484"/>
      <c r="I1521" s="525"/>
      <c r="K1521" s="548"/>
      <c r="L1521" s="548"/>
      <c r="M1521" s="548"/>
      <c r="N1521" s="552"/>
      <c r="Y1521" s="551"/>
    </row>
    <row r="1522" spans="1:25">
      <c r="A1522" s="499">
        <v>45525</v>
      </c>
      <c r="B1522" s="499">
        <v>45526</v>
      </c>
      <c r="C1522" s="500" t="s">
        <v>173</v>
      </c>
      <c r="D1522" s="500" t="s">
        <v>759</v>
      </c>
      <c r="E1522" s="501">
        <v>4819899070.3400002</v>
      </c>
      <c r="F1522" s="502" t="s">
        <v>878</v>
      </c>
      <c r="G1522" s="100" t="s">
        <v>910</v>
      </c>
      <c r="H1522" s="530"/>
      <c r="I1522" s="525"/>
      <c r="K1522" s="548"/>
      <c r="L1522" s="548"/>
      <c r="M1522" s="548"/>
      <c r="N1522" s="552"/>
      <c r="Y1522" s="551"/>
    </row>
    <row r="1523" spans="1:25">
      <c r="A1523" s="499">
        <v>45525</v>
      </c>
      <c r="B1523" s="499">
        <v>45526</v>
      </c>
      <c r="C1523" s="500" t="s">
        <v>173</v>
      </c>
      <c r="D1523" s="500" t="s">
        <v>759</v>
      </c>
      <c r="E1523" s="501">
        <v>3673912752.3099999</v>
      </c>
      <c r="F1523" s="502" t="s">
        <v>878</v>
      </c>
      <c r="G1523" s="100" t="s">
        <v>516</v>
      </c>
      <c r="H1523" s="530"/>
      <c r="I1523" s="525"/>
      <c r="K1523" s="548"/>
      <c r="L1523" s="548"/>
      <c r="M1523" s="548"/>
      <c r="N1523" s="552"/>
      <c r="Y1523" s="551"/>
    </row>
    <row r="1524" spans="1:25">
      <c r="A1524" s="499">
        <v>45525</v>
      </c>
      <c r="B1524" s="499">
        <v>45526</v>
      </c>
      <c r="C1524" s="500" t="s">
        <v>173</v>
      </c>
      <c r="D1524" s="500" t="s">
        <v>759</v>
      </c>
      <c r="E1524" s="501">
        <v>36036373.43</v>
      </c>
      <c r="F1524" s="502" t="s">
        <v>878</v>
      </c>
      <c r="G1524" s="100" t="s">
        <v>683</v>
      </c>
      <c r="H1524" s="530"/>
      <c r="I1524" s="525"/>
      <c r="K1524" s="548"/>
      <c r="L1524" s="548"/>
      <c r="M1524" s="548"/>
      <c r="N1524" s="552"/>
      <c r="Y1524" s="551"/>
    </row>
    <row r="1525" spans="1:25">
      <c r="A1525" s="499">
        <v>45525</v>
      </c>
      <c r="B1525" s="499">
        <v>45525</v>
      </c>
      <c r="C1525" s="500" t="s">
        <v>173</v>
      </c>
      <c r="D1525" s="500" t="s">
        <v>760</v>
      </c>
      <c r="E1525" s="501">
        <v>1300000000</v>
      </c>
      <c r="F1525" s="502" t="s">
        <v>911</v>
      </c>
      <c r="G1525" s="100" t="s">
        <v>890</v>
      </c>
      <c r="H1525" s="530"/>
      <c r="I1525" s="525"/>
      <c r="K1525" s="548"/>
      <c r="L1525" s="548"/>
      <c r="M1525" s="548"/>
      <c r="N1525" s="552"/>
      <c r="Y1525" s="551"/>
    </row>
    <row r="1526" spans="1:25">
      <c r="A1526" s="499">
        <v>45525</v>
      </c>
      <c r="B1526" s="499">
        <v>45525</v>
      </c>
      <c r="C1526" s="500" t="s">
        <v>173</v>
      </c>
      <c r="D1526" s="500" t="s">
        <v>760</v>
      </c>
      <c r="E1526" s="501">
        <v>-3000783.59</v>
      </c>
      <c r="F1526" s="502" t="s">
        <v>878</v>
      </c>
      <c r="G1526" s="100" t="s">
        <v>61</v>
      </c>
      <c r="H1526" s="530"/>
      <c r="I1526" s="525"/>
      <c r="K1526" s="548"/>
      <c r="L1526" s="548"/>
      <c r="M1526" s="548"/>
      <c r="N1526" s="552"/>
      <c r="Y1526" s="551"/>
    </row>
    <row r="1527" spans="1:25">
      <c r="A1527" s="499">
        <v>45525</v>
      </c>
      <c r="B1527" s="499">
        <v>45525</v>
      </c>
      <c r="C1527" s="500" t="s">
        <v>173</v>
      </c>
      <c r="D1527" s="500" t="s">
        <v>760</v>
      </c>
      <c r="E1527" s="501">
        <v>-2000832.48</v>
      </c>
      <c r="F1527" s="502" t="s">
        <v>878</v>
      </c>
      <c r="G1527" s="100" t="s">
        <v>593</v>
      </c>
      <c r="H1527" s="530"/>
      <c r="I1527" s="525"/>
      <c r="K1527" s="548"/>
      <c r="L1527" s="548"/>
      <c r="M1527" s="548"/>
      <c r="N1527" s="552"/>
      <c r="Y1527" s="551"/>
    </row>
    <row r="1528" spans="1:25">
      <c r="A1528" s="499">
        <v>45525</v>
      </c>
      <c r="B1528" s="499">
        <v>45525</v>
      </c>
      <c r="C1528" s="500" t="s">
        <v>173</v>
      </c>
      <c r="D1528" s="500" t="s">
        <v>760</v>
      </c>
      <c r="E1528" s="501">
        <v>-3001227.91</v>
      </c>
      <c r="F1528" s="502" t="s">
        <v>878</v>
      </c>
      <c r="G1528" s="100" t="s">
        <v>551</v>
      </c>
      <c r="H1528" s="530"/>
      <c r="I1528" s="525"/>
      <c r="K1528" s="548"/>
      <c r="L1528" s="548"/>
      <c r="M1528" s="548"/>
      <c r="N1528" s="552"/>
      <c r="Y1528" s="551"/>
    </row>
    <row r="1529" spans="1:25">
      <c r="A1529" s="499">
        <v>45525</v>
      </c>
      <c r="B1529" s="499">
        <v>45525</v>
      </c>
      <c r="C1529" s="500" t="s">
        <v>173</v>
      </c>
      <c r="D1529" s="500" t="s">
        <v>760</v>
      </c>
      <c r="E1529" s="501">
        <v>-2001364.26</v>
      </c>
      <c r="F1529" s="502" t="s">
        <v>878</v>
      </c>
      <c r="G1529" s="100" t="s">
        <v>589</v>
      </c>
      <c r="H1529" s="530"/>
      <c r="I1529" s="525"/>
      <c r="K1529" s="548"/>
      <c r="L1529" s="548"/>
      <c r="M1529" s="548"/>
      <c r="N1529" s="552"/>
      <c r="Y1529" s="551"/>
    </row>
    <row r="1530" spans="1:25">
      <c r="A1530" s="499">
        <v>45525</v>
      </c>
      <c r="B1530" s="499">
        <v>45525</v>
      </c>
      <c r="C1530" s="500" t="s">
        <v>173</v>
      </c>
      <c r="D1530" s="500" t="s">
        <v>760</v>
      </c>
      <c r="E1530" s="501">
        <v>-3002046.38</v>
      </c>
      <c r="F1530" s="502" t="s">
        <v>878</v>
      </c>
      <c r="G1530" s="100" t="s">
        <v>589</v>
      </c>
      <c r="H1530" s="530"/>
      <c r="I1530" s="525"/>
      <c r="K1530" s="548"/>
      <c r="L1530" s="548"/>
      <c r="M1530" s="548"/>
      <c r="N1530" s="552"/>
      <c r="Y1530" s="551"/>
    </row>
    <row r="1531" spans="1:25">
      <c r="A1531" s="499">
        <v>45525</v>
      </c>
      <c r="B1531" s="499">
        <v>45525</v>
      </c>
      <c r="C1531" s="500" t="s">
        <v>173</v>
      </c>
      <c r="D1531" s="500" t="s">
        <v>760</v>
      </c>
      <c r="E1531" s="501">
        <v>-3000238.46</v>
      </c>
      <c r="F1531" s="502" t="s">
        <v>878</v>
      </c>
      <c r="G1531" s="100" t="s">
        <v>603</v>
      </c>
      <c r="H1531" s="530"/>
      <c r="I1531" s="525"/>
      <c r="K1531" s="548"/>
      <c r="L1531" s="548"/>
      <c r="M1531" s="548"/>
      <c r="N1531" s="552"/>
      <c r="Y1531" s="551"/>
    </row>
    <row r="1532" spans="1:25">
      <c r="A1532" s="499">
        <v>45525</v>
      </c>
      <c r="B1532" s="499">
        <v>45525</v>
      </c>
      <c r="C1532" s="500" t="s">
        <v>173</v>
      </c>
      <c r="D1532" s="500" t="s">
        <v>760</v>
      </c>
      <c r="E1532" s="501">
        <v>-2000884.03</v>
      </c>
      <c r="F1532" s="502" t="s">
        <v>878</v>
      </c>
      <c r="G1532" s="100" t="s">
        <v>476</v>
      </c>
      <c r="H1532" s="530"/>
      <c r="I1532" s="525"/>
      <c r="K1532" s="548"/>
      <c r="L1532" s="548"/>
      <c r="M1532" s="548"/>
      <c r="N1532" s="552"/>
      <c r="Y1532" s="551"/>
    </row>
    <row r="1533" spans="1:25">
      <c r="A1533" s="499">
        <v>45525</v>
      </c>
      <c r="B1533" s="499">
        <v>45525</v>
      </c>
      <c r="C1533" s="500" t="s">
        <v>173</v>
      </c>
      <c r="D1533" s="500" t="s">
        <v>760</v>
      </c>
      <c r="E1533" s="501">
        <v>-3002443.92</v>
      </c>
      <c r="F1533" s="502" t="s">
        <v>878</v>
      </c>
      <c r="G1533" s="100" t="s">
        <v>818</v>
      </c>
      <c r="H1533" s="530"/>
      <c r="I1533" s="525"/>
      <c r="K1533" s="548"/>
      <c r="L1533" s="548"/>
      <c r="M1533" s="548"/>
      <c r="N1533" s="552"/>
      <c r="Y1533" s="551"/>
    </row>
    <row r="1534" spans="1:25">
      <c r="A1534" s="499">
        <v>45525</v>
      </c>
      <c r="B1534" s="499">
        <v>45525</v>
      </c>
      <c r="C1534" s="500" t="s">
        <v>173</v>
      </c>
      <c r="D1534" s="500" t="s">
        <v>760</v>
      </c>
      <c r="E1534" s="501">
        <v>-2000818.6</v>
      </c>
      <c r="F1534" s="502" t="s">
        <v>878</v>
      </c>
      <c r="G1534" s="100" t="s">
        <v>551</v>
      </c>
      <c r="H1534" s="530"/>
      <c r="I1534" s="525"/>
      <c r="K1534" s="548"/>
      <c r="L1534" s="548"/>
      <c r="M1534" s="548"/>
      <c r="N1534" s="552"/>
      <c r="Y1534" s="551"/>
    </row>
    <row r="1535" spans="1:25">
      <c r="A1535" s="499">
        <v>45525</v>
      </c>
      <c r="B1535" s="499">
        <v>45525</v>
      </c>
      <c r="C1535" s="500" t="s">
        <v>173</v>
      </c>
      <c r="D1535" s="500" t="s">
        <v>760</v>
      </c>
      <c r="E1535" s="501">
        <v>-4002465.47</v>
      </c>
      <c r="F1535" s="502" t="s">
        <v>878</v>
      </c>
      <c r="G1535" s="100" t="s">
        <v>601</v>
      </c>
      <c r="H1535" s="530"/>
      <c r="I1535" s="525"/>
      <c r="K1535" s="548"/>
      <c r="L1535" s="548"/>
      <c r="M1535" s="548"/>
      <c r="N1535" s="552"/>
      <c r="Y1535" s="551"/>
    </row>
    <row r="1536" spans="1:25">
      <c r="A1536" s="499">
        <v>45525</v>
      </c>
      <c r="B1536" s="499">
        <v>45525</v>
      </c>
      <c r="C1536" s="500" t="s">
        <v>173</v>
      </c>
      <c r="D1536" s="500" t="s">
        <v>760</v>
      </c>
      <c r="E1536" s="501">
        <v>-2000881.78</v>
      </c>
      <c r="F1536" s="502" t="s">
        <v>878</v>
      </c>
      <c r="G1536" s="100" t="s">
        <v>605</v>
      </c>
      <c r="H1536" s="530"/>
      <c r="I1536" s="525"/>
      <c r="K1536" s="548"/>
      <c r="L1536" s="548"/>
      <c r="M1536" s="548"/>
      <c r="N1536" s="552"/>
      <c r="Y1536" s="551"/>
    </row>
    <row r="1537" spans="1:25">
      <c r="A1537" s="499">
        <v>45525</v>
      </c>
      <c r="B1537" s="499">
        <v>45525</v>
      </c>
      <c r="C1537" s="500" t="s">
        <v>173</v>
      </c>
      <c r="D1537" s="500" t="s">
        <v>760</v>
      </c>
      <c r="E1537" s="501">
        <v>-2000832.48</v>
      </c>
      <c r="F1537" s="502" t="s">
        <v>878</v>
      </c>
      <c r="G1537" s="100" t="s">
        <v>593</v>
      </c>
      <c r="H1537" s="530"/>
      <c r="I1537" s="525"/>
      <c r="K1537" s="548"/>
      <c r="L1537" s="548"/>
      <c r="M1537" s="548"/>
      <c r="N1537" s="552"/>
      <c r="Y1537" s="551"/>
    </row>
    <row r="1538" spans="1:25">
      <c r="A1538" s="499">
        <v>45525</v>
      </c>
      <c r="B1538" s="499">
        <v>45525</v>
      </c>
      <c r="C1538" s="500" t="s">
        <v>173</v>
      </c>
      <c r="D1538" s="500" t="s">
        <v>760</v>
      </c>
      <c r="E1538" s="501">
        <v>-4000590.9</v>
      </c>
      <c r="F1538" s="502" t="s">
        <v>878</v>
      </c>
      <c r="G1538" s="100" t="s">
        <v>820</v>
      </c>
      <c r="H1538" s="530"/>
      <c r="I1538" s="525"/>
      <c r="K1538" s="548"/>
      <c r="L1538" s="548"/>
      <c r="M1538" s="548"/>
      <c r="N1538" s="552"/>
      <c r="Y1538" s="551"/>
    </row>
    <row r="1539" spans="1:25">
      <c r="A1539" s="499">
        <v>45525</v>
      </c>
      <c r="B1539" s="499">
        <v>45525</v>
      </c>
      <c r="C1539" s="500" t="s">
        <v>173</v>
      </c>
      <c r="D1539" s="500" t="s">
        <v>760</v>
      </c>
      <c r="E1539" s="501">
        <v>-2001147.21</v>
      </c>
      <c r="F1539" s="502" t="s">
        <v>878</v>
      </c>
      <c r="G1539" s="100" t="s">
        <v>591</v>
      </c>
      <c r="H1539" s="530"/>
      <c r="I1539" s="525"/>
      <c r="K1539" s="548"/>
      <c r="L1539" s="548"/>
      <c r="M1539" s="548"/>
      <c r="N1539" s="552"/>
      <c r="Y1539" s="551"/>
    </row>
    <row r="1540" spans="1:25">
      <c r="A1540" s="499">
        <v>45525</v>
      </c>
      <c r="B1540" s="499">
        <v>45525</v>
      </c>
      <c r="C1540" s="500" t="s">
        <v>173</v>
      </c>
      <c r="D1540" s="500" t="s">
        <v>760</v>
      </c>
      <c r="E1540" s="501">
        <v>-1000416.24</v>
      </c>
      <c r="F1540" s="502" t="s">
        <v>878</v>
      </c>
      <c r="G1540" s="100" t="s">
        <v>593</v>
      </c>
      <c r="H1540" s="530"/>
      <c r="I1540" s="525"/>
      <c r="K1540" s="548"/>
      <c r="L1540" s="548"/>
      <c r="M1540" s="548"/>
      <c r="N1540" s="552"/>
      <c r="Y1540" s="551"/>
    </row>
    <row r="1541" spans="1:25">
      <c r="A1541" s="499">
        <v>45525</v>
      </c>
      <c r="B1541" s="499">
        <v>45525</v>
      </c>
      <c r="C1541" s="500" t="s">
        <v>173</v>
      </c>
      <c r="D1541" s="500" t="s">
        <v>760</v>
      </c>
      <c r="E1541" s="501">
        <v>-1000416.24</v>
      </c>
      <c r="F1541" s="502" t="s">
        <v>878</v>
      </c>
      <c r="G1541" s="100" t="s">
        <v>593</v>
      </c>
      <c r="H1541" s="530"/>
      <c r="I1541" s="525"/>
      <c r="K1541" s="548"/>
      <c r="L1541" s="548"/>
      <c r="M1541" s="548"/>
      <c r="N1541" s="552"/>
      <c r="Y1541" s="551"/>
    </row>
    <row r="1542" spans="1:25">
      <c r="A1542" s="499">
        <v>45525</v>
      </c>
      <c r="B1542" s="499">
        <v>45525</v>
      </c>
      <c r="C1542" s="500" t="s">
        <v>173</v>
      </c>
      <c r="D1542" s="500" t="s">
        <v>760</v>
      </c>
      <c r="E1542" s="501">
        <v>-2000254.46</v>
      </c>
      <c r="F1542" s="502" t="s">
        <v>878</v>
      </c>
      <c r="G1542" s="100" t="s">
        <v>649</v>
      </c>
      <c r="H1542" s="530"/>
      <c r="I1542" s="525"/>
      <c r="K1542" s="548"/>
      <c r="L1542" s="548"/>
      <c r="M1542" s="548"/>
      <c r="N1542" s="552"/>
      <c r="Y1542" s="551"/>
    </row>
    <row r="1543" spans="1:25">
      <c r="A1543" s="499">
        <v>45525</v>
      </c>
      <c r="B1543" s="499">
        <v>45525</v>
      </c>
      <c r="C1543" s="500" t="s">
        <v>173</v>
      </c>
      <c r="D1543" s="500" t="s">
        <v>760</v>
      </c>
      <c r="E1543" s="501">
        <v>-5000397.43</v>
      </c>
      <c r="F1543" s="502" t="s">
        <v>878</v>
      </c>
      <c r="G1543" s="100" t="s">
        <v>603</v>
      </c>
      <c r="H1543" s="530"/>
      <c r="I1543" s="525"/>
      <c r="K1543" s="548"/>
      <c r="L1543" s="548"/>
      <c r="M1543" s="548"/>
      <c r="N1543" s="552"/>
      <c r="Y1543" s="551"/>
    </row>
    <row r="1544" spans="1:25">
      <c r="A1544" s="499">
        <v>45525</v>
      </c>
      <c r="B1544" s="499">
        <v>45525</v>
      </c>
      <c r="C1544" s="500" t="s">
        <v>173</v>
      </c>
      <c r="D1544" s="500" t="s">
        <v>760</v>
      </c>
      <c r="E1544" s="501">
        <v>-2001147.21</v>
      </c>
      <c r="F1544" s="502" t="s">
        <v>878</v>
      </c>
      <c r="G1544" s="100" t="s">
        <v>591</v>
      </c>
      <c r="H1544" s="530"/>
      <c r="I1544" s="525"/>
      <c r="K1544" s="548"/>
      <c r="L1544" s="548"/>
      <c r="M1544" s="548"/>
      <c r="N1544" s="552"/>
      <c r="Y1544" s="551"/>
    </row>
    <row r="1545" spans="1:25">
      <c r="A1545" s="499">
        <v>45525</v>
      </c>
      <c r="B1545" s="499">
        <v>45525</v>
      </c>
      <c r="C1545" s="500" t="s">
        <v>173</v>
      </c>
      <c r="D1545" s="500" t="s">
        <v>760</v>
      </c>
      <c r="E1545" s="501">
        <v>-1000570.21</v>
      </c>
      <c r="F1545" s="502" t="s">
        <v>878</v>
      </c>
      <c r="G1545" s="100" t="s">
        <v>697</v>
      </c>
      <c r="H1545" s="530"/>
      <c r="I1545" s="525"/>
      <c r="K1545" s="548"/>
      <c r="L1545" s="548"/>
      <c r="M1545" s="548"/>
      <c r="N1545" s="552"/>
      <c r="Y1545" s="551"/>
    </row>
    <row r="1546" spans="1:25">
      <c r="A1546" s="499">
        <v>45525</v>
      </c>
      <c r="B1546" s="499">
        <v>45525</v>
      </c>
      <c r="C1546" s="500" t="s">
        <v>173</v>
      </c>
      <c r="D1546" s="500" t="s">
        <v>760</v>
      </c>
      <c r="E1546" s="501">
        <v>-4001763.55</v>
      </c>
      <c r="F1546" s="502" t="s">
        <v>878</v>
      </c>
      <c r="G1546" s="100" t="s">
        <v>605</v>
      </c>
      <c r="H1546" s="530"/>
      <c r="I1546" s="525"/>
      <c r="K1546" s="548"/>
      <c r="L1546" s="548"/>
      <c r="M1546" s="548"/>
      <c r="N1546" s="552"/>
      <c r="Y1546" s="551"/>
    </row>
    <row r="1547" spans="1:25">
      <c r="A1547" s="499">
        <v>45525</v>
      </c>
      <c r="B1547" s="499">
        <v>45525</v>
      </c>
      <c r="C1547" s="500" t="s">
        <v>173</v>
      </c>
      <c r="D1547" s="500" t="s">
        <v>760</v>
      </c>
      <c r="E1547" s="501">
        <v>-6003698.21</v>
      </c>
      <c r="F1547" s="502" t="s">
        <v>878</v>
      </c>
      <c r="G1547" s="100" t="s">
        <v>601</v>
      </c>
      <c r="H1547" s="530"/>
      <c r="I1547" s="525"/>
      <c r="K1547" s="548"/>
      <c r="L1547" s="548"/>
      <c r="M1547" s="548"/>
      <c r="N1547" s="552"/>
      <c r="Y1547" s="551"/>
    </row>
    <row r="1548" spans="1:25">
      <c r="A1548" s="499">
        <v>45525</v>
      </c>
      <c r="B1548" s="499">
        <v>45525</v>
      </c>
      <c r="C1548" s="500" t="s">
        <v>173</v>
      </c>
      <c r="D1548" s="500" t="s">
        <v>760</v>
      </c>
      <c r="E1548" s="501">
        <v>-6002455.8099999996</v>
      </c>
      <c r="F1548" s="502" t="s">
        <v>878</v>
      </c>
      <c r="G1548" s="100" t="s">
        <v>551</v>
      </c>
      <c r="H1548" s="530"/>
      <c r="I1548" s="525"/>
      <c r="K1548" s="548"/>
      <c r="L1548" s="548"/>
      <c r="M1548" s="548"/>
      <c r="N1548" s="552"/>
      <c r="Y1548" s="551"/>
    </row>
    <row r="1549" spans="1:25">
      <c r="A1549" s="499">
        <v>45525</v>
      </c>
      <c r="B1549" s="499">
        <v>45525</v>
      </c>
      <c r="C1549" s="500" t="s">
        <v>173</v>
      </c>
      <c r="D1549" s="500" t="s">
        <v>760</v>
      </c>
      <c r="E1549" s="501">
        <v>-6000135.0099999998</v>
      </c>
      <c r="F1549" s="502" t="s">
        <v>878</v>
      </c>
      <c r="G1549" s="100" t="s">
        <v>448</v>
      </c>
      <c r="H1549" s="530"/>
      <c r="I1549" s="525"/>
      <c r="K1549" s="548"/>
      <c r="L1549" s="548"/>
      <c r="M1549" s="548"/>
      <c r="N1549" s="552"/>
      <c r="Y1549" s="551"/>
    </row>
    <row r="1550" spans="1:25">
      <c r="A1550" s="499">
        <v>45525</v>
      </c>
      <c r="B1550" s="499">
        <v>45525</v>
      </c>
      <c r="C1550" s="500" t="s">
        <v>173</v>
      </c>
      <c r="D1550" s="500" t="s">
        <v>760</v>
      </c>
      <c r="E1550" s="501">
        <v>-7001413.0800000001</v>
      </c>
      <c r="F1550" s="502" t="s">
        <v>878</v>
      </c>
      <c r="G1550" s="100" t="s">
        <v>90</v>
      </c>
      <c r="H1550" s="530"/>
      <c r="I1550" s="525"/>
      <c r="K1550" s="548"/>
      <c r="L1550" s="548"/>
      <c r="M1550" s="548"/>
      <c r="N1550" s="552"/>
      <c r="Y1550" s="551"/>
    </row>
    <row r="1551" spans="1:25">
      <c r="A1551" s="499">
        <v>45525</v>
      </c>
      <c r="B1551" s="499">
        <v>45525</v>
      </c>
      <c r="C1551" s="500" t="s">
        <v>173</v>
      </c>
      <c r="D1551" s="500" t="s">
        <v>760</v>
      </c>
      <c r="E1551" s="501">
        <v>-1000670.22</v>
      </c>
      <c r="F1551" s="502" t="s">
        <v>878</v>
      </c>
      <c r="G1551" s="100" t="s">
        <v>599</v>
      </c>
      <c r="H1551" s="530"/>
      <c r="I1551" s="525"/>
      <c r="K1551" s="548"/>
      <c r="L1551" s="548"/>
      <c r="M1551" s="548"/>
      <c r="N1551" s="552"/>
      <c r="Y1551" s="551"/>
    </row>
    <row r="1552" spans="1:25">
      <c r="A1552" s="499">
        <v>45525</v>
      </c>
      <c r="B1552" s="499">
        <v>45525</v>
      </c>
      <c r="C1552" s="500" t="s">
        <v>173</v>
      </c>
      <c r="D1552" s="500" t="s">
        <v>760</v>
      </c>
      <c r="E1552" s="501">
        <v>-1000201.87</v>
      </c>
      <c r="F1552" s="502" t="s">
        <v>878</v>
      </c>
      <c r="G1552" s="100" t="s">
        <v>90</v>
      </c>
      <c r="H1552" s="530"/>
      <c r="I1552" s="525"/>
      <c r="K1552" s="548"/>
      <c r="L1552" s="548"/>
      <c r="M1552" s="548"/>
      <c r="N1552" s="552"/>
      <c r="Y1552" s="551"/>
    </row>
    <row r="1553" spans="1:25">
      <c r="A1553" s="499">
        <v>45525</v>
      </c>
      <c r="B1553" s="499">
        <v>45525</v>
      </c>
      <c r="C1553" s="500" t="s">
        <v>173</v>
      </c>
      <c r="D1553" s="500" t="s">
        <v>760</v>
      </c>
      <c r="E1553" s="501">
        <v>-1000616.37</v>
      </c>
      <c r="F1553" s="502" t="s">
        <v>878</v>
      </c>
      <c r="G1553" s="100" t="s">
        <v>601</v>
      </c>
      <c r="H1553" s="530"/>
      <c r="I1553" s="525"/>
      <c r="K1553" s="548"/>
      <c r="L1553" s="548"/>
      <c r="M1553" s="548"/>
      <c r="N1553" s="552"/>
      <c r="Y1553" s="551"/>
    </row>
    <row r="1554" spans="1:25">
      <c r="A1554" s="499">
        <v>45525</v>
      </c>
      <c r="B1554" s="499">
        <v>45525</v>
      </c>
      <c r="C1554" s="500" t="s">
        <v>173</v>
      </c>
      <c r="D1554" s="500" t="s">
        <v>760</v>
      </c>
      <c r="E1554" s="501">
        <v>-1000959.89</v>
      </c>
      <c r="F1554" s="502" t="s">
        <v>878</v>
      </c>
      <c r="G1554" s="100" t="s">
        <v>453</v>
      </c>
      <c r="H1554" s="530"/>
      <c r="I1554" s="525"/>
      <c r="K1554" s="548"/>
      <c r="L1554" s="548"/>
      <c r="M1554" s="548"/>
      <c r="N1554" s="552"/>
      <c r="Y1554" s="551"/>
    </row>
    <row r="1555" spans="1:25">
      <c r="A1555" s="499">
        <v>45525</v>
      </c>
      <c r="B1555" s="499">
        <v>45525</v>
      </c>
      <c r="C1555" s="500" t="s">
        <v>173</v>
      </c>
      <c r="D1555" s="500" t="s">
        <v>760</v>
      </c>
      <c r="E1555" s="501">
        <v>-1000409.3</v>
      </c>
      <c r="F1555" s="502" t="s">
        <v>878</v>
      </c>
      <c r="G1555" s="100" t="s">
        <v>551</v>
      </c>
      <c r="H1555" s="530"/>
      <c r="I1555" s="525"/>
      <c r="K1555" s="548"/>
      <c r="L1555" s="548"/>
      <c r="M1555" s="548"/>
      <c r="N1555" s="552"/>
      <c r="Y1555" s="551"/>
    </row>
    <row r="1556" spans="1:25">
      <c r="A1556" s="499">
        <v>45525</v>
      </c>
      <c r="B1556" s="499">
        <v>45525</v>
      </c>
      <c r="C1556" s="500" t="s">
        <v>173</v>
      </c>
      <c r="D1556" s="500" t="s">
        <v>760</v>
      </c>
      <c r="E1556" s="501">
        <v>-5002204.4400000004</v>
      </c>
      <c r="F1556" s="502" t="s">
        <v>878</v>
      </c>
      <c r="G1556" s="100" t="s">
        <v>605</v>
      </c>
      <c r="H1556" s="530"/>
      <c r="I1556" s="525"/>
      <c r="K1556" s="548"/>
      <c r="L1556" s="548"/>
      <c r="M1556" s="548"/>
      <c r="N1556" s="552"/>
      <c r="Y1556" s="551"/>
    </row>
    <row r="1557" spans="1:25">
      <c r="A1557" s="499">
        <v>45525</v>
      </c>
      <c r="B1557" s="499">
        <v>45525</v>
      </c>
      <c r="C1557" s="500" t="s">
        <v>173</v>
      </c>
      <c r="D1557" s="500" t="s">
        <v>760</v>
      </c>
      <c r="E1557" s="501">
        <v>-5000112.51</v>
      </c>
      <c r="F1557" s="502" t="s">
        <v>878</v>
      </c>
      <c r="G1557" s="100" t="s">
        <v>448</v>
      </c>
      <c r="H1557" s="530"/>
      <c r="I1557" s="525"/>
      <c r="K1557" s="548"/>
      <c r="L1557" s="548"/>
      <c r="M1557" s="548"/>
      <c r="N1557" s="552"/>
      <c r="Y1557" s="551"/>
    </row>
    <row r="1558" spans="1:25">
      <c r="A1558" s="499">
        <v>45525</v>
      </c>
      <c r="B1558" s="499">
        <v>45525</v>
      </c>
      <c r="C1558" s="500" t="s">
        <v>173</v>
      </c>
      <c r="D1558" s="500" t="s">
        <v>760</v>
      </c>
      <c r="E1558" s="501">
        <v>-1000409.3</v>
      </c>
      <c r="F1558" s="502" t="s">
        <v>878</v>
      </c>
      <c r="G1558" s="100" t="s">
        <v>551</v>
      </c>
      <c r="H1558" s="530"/>
      <c r="I1558" s="525"/>
      <c r="K1558" s="548"/>
      <c r="L1558" s="548"/>
      <c r="M1558" s="548"/>
      <c r="N1558" s="552"/>
      <c r="Y1558" s="551"/>
    </row>
    <row r="1559" spans="1:25">
      <c r="A1559" s="499">
        <v>45525</v>
      </c>
      <c r="B1559" s="499">
        <v>45525</v>
      </c>
      <c r="C1559" s="500" t="s">
        <v>173</v>
      </c>
      <c r="D1559" s="500" t="s">
        <v>760</v>
      </c>
      <c r="E1559" s="501">
        <v>-1000682.13</v>
      </c>
      <c r="F1559" s="502" t="s">
        <v>878</v>
      </c>
      <c r="G1559" s="100" t="s">
        <v>589</v>
      </c>
      <c r="H1559" s="530"/>
      <c r="I1559" s="525"/>
      <c r="K1559" s="548"/>
      <c r="L1559" s="548"/>
      <c r="M1559" s="548"/>
      <c r="N1559" s="552"/>
      <c r="Y1559" s="551"/>
    </row>
    <row r="1560" spans="1:25">
      <c r="A1560" s="499">
        <v>45525</v>
      </c>
      <c r="B1560" s="499">
        <v>45525</v>
      </c>
      <c r="C1560" s="500" t="s">
        <v>173</v>
      </c>
      <c r="D1560" s="500" t="s">
        <v>760</v>
      </c>
      <c r="E1560" s="501">
        <v>-2001232.74</v>
      </c>
      <c r="F1560" s="502" t="s">
        <v>878</v>
      </c>
      <c r="G1560" s="100" t="s">
        <v>601</v>
      </c>
      <c r="H1560" s="530"/>
      <c r="I1560" s="525"/>
      <c r="K1560" s="548"/>
      <c r="L1560" s="548"/>
      <c r="M1560" s="548"/>
      <c r="N1560" s="552"/>
      <c r="Y1560" s="551"/>
    </row>
    <row r="1561" spans="1:25">
      <c r="A1561" s="499">
        <v>45525</v>
      </c>
      <c r="B1561" s="499">
        <v>45525</v>
      </c>
      <c r="C1561" s="500" t="s">
        <v>173</v>
      </c>
      <c r="D1561" s="500" t="s">
        <v>760</v>
      </c>
      <c r="E1561" s="501">
        <v>-1000416.24</v>
      </c>
      <c r="F1561" s="502" t="s">
        <v>878</v>
      </c>
      <c r="G1561" s="100" t="s">
        <v>593</v>
      </c>
      <c r="H1561" s="530"/>
      <c r="I1561" s="525"/>
      <c r="K1561" s="548"/>
      <c r="L1561" s="548"/>
      <c r="M1561" s="548"/>
      <c r="N1561" s="552"/>
      <c r="Y1561" s="551"/>
    </row>
    <row r="1562" spans="1:25">
      <c r="A1562" s="499">
        <v>45525</v>
      </c>
      <c r="B1562" s="499">
        <v>45525</v>
      </c>
      <c r="C1562" s="500" t="s">
        <v>173</v>
      </c>
      <c r="D1562" s="500" t="s">
        <v>760</v>
      </c>
      <c r="E1562" s="501">
        <v>-31011774.050000001</v>
      </c>
      <c r="F1562" s="502" t="s">
        <v>878</v>
      </c>
      <c r="G1562" s="100" t="s">
        <v>825</v>
      </c>
      <c r="H1562" s="530"/>
      <c r="I1562" s="525"/>
      <c r="K1562" s="548"/>
      <c r="L1562" s="548"/>
      <c r="M1562" s="548"/>
      <c r="N1562" s="552"/>
      <c r="Y1562" s="551"/>
    </row>
    <row r="1563" spans="1:25">
      <c r="A1563" s="499">
        <v>45525</v>
      </c>
      <c r="B1563" s="499">
        <v>45525</v>
      </c>
      <c r="C1563" s="500" t="s">
        <v>173</v>
      </c>
      <c r="D1563" s="500" t="s">
        <v>760</v>
      </c>
      <c r="E1563" s="501">
        <v>-30017208.149999999</v>
      </c>
      <c r="F1563" s="502" t="s">
        <v>878</v>
      </c>
      <c r="G1563" s="100" t="s">
        <v>591</v>
      </c>
      <c r="H1563" s="530"/>
      <c r="I1563" s="525"/>
      <c r="K1563" s="548"/>
      <c r="L1563" s="548"/>
      <c r="M1563" s="548"/>
      <c r="N1563" s="552"/>
      <c r="Y1563" s="551"/>
    </row>
    <row r="1564" spans="1:25">
      <c r="A1564" s="499">
        <v>45525</v>
      </c>
      <c r="B1564" s="499">
        <v>45525</v>
      </c>
      <c r="C1564" s="500" t="s">
        <v>173</v>
      </c>
      <c r="D1564" s="500" t="s">
        <v>760</v>
      </c>
      <c r="E1564" s="501">
        <v>-30004431.75</v>
      </c>
      <c r="F1564" s="502" t="s">
        <v>878</v>
      </c>
      <c r="G1564" s="100" t="s">
        <v>820</v>
      </c>
      <c r="H1564" s="530"/>
      <c r="I1564" s="525"/>
      <c r="K1564" s="548"/>
      <c r="L1564" s="548"/>
      <c r="M1564" s="548"/>
      <c r="N1564" s="552"/>
      <c r="Y1564" s="551"/>
    </row>
    <row r="1565" spans="1:25">
      <c r="A1565" s="499">
        <v>45525</v>
      </c>
      <c r="B1565" s="499">
        <v>45525</v>
      </c>
      <c r="C1565" s="500" t="s">
        <v>173</v>
      </c>
      <c r="D1565" s="500" t="s">
        <v>760</v>
      </c>
      <c r="E1565" s="501">
        <v>-33018452.780000001</v>
      </c>
      <c r="F1565" s="502" t="s">
        <v>878</v>
      </c>
      <c r="G1565" s="100" t="s">
        <v>91</v>
      </c>
      <c r="H1565" s="530"/>
      <c r="I1565" s="525"/>
      <c r="K1565" s="548"/>
      <c r="L1565" s="548"/>
      <c r="M1565" s="548"/>
      <c r="N1565" s="552"/>
      <c r="Y1565" s="551"/>
    </row>
    <row r="1566" spans="1:25">
      <c r="A1566" s="499">
        <v>45525</v>
      </c>
      <c r="B1566" s="499">
        <v>45525</v>
      </c>
      <c r="C1566" s="500" t="s">
        <v>173</v>
      </c>
      <c r="D1566" s="500" t="s">
        <v>760</v>
      </c>
      <c r="E1566" s="501">
        <v>-28008747.73</v>
      </c>
      <c r="F1566" s="502" t="s">
        <v>878</v>
      </c>
      <c r="G1566" s="100" t="s">
        <v>81</v>
      </c>
      <c r="H1566" s="530"/>
      <c r="I1566" s="525"/>
      <c r="K1566" s="548"/>
      <c r="L1566" s="548"/>
      <c r="M1566" s="548"/>
      <c r="N1566" s="552"/>
      <c r="Y1566" s="551"/>
    </row>
    <row r="1567" spans="1:25">
      <c r="A1567" s="499">
        <v>45525</v>
      </c>
      <c r="B1567" s="499">
        <v>45525</v>
      </c>
      <c r="C1567" s="500" t="s">
        <v>173</v>
      </c>
      <c r="D1567" s="500" t="s">
        <v>760</v>
      </c>
      <c r="E1567" s="501">
        <v>-41000216.689999998</v>
      </c>
      <c r="F1567" s="502" t="s">
        <v>878</v>
      </c>
      <c r="G1567" s="100" t="s">
        <v>92</v>
      </c>
      <c r="H1567" s="530"/>
      <c r="I1567" s="525"/>
      <c r="K1567" s="548"/>
      <c r="L1567" s="548"/>
      <c r="M1567" s="548"/>
      <c r="N1567" s="552"/>
      <c r="Y1567" s="551"/>
    </row>
    <row r="1568" spans="1:25">
      <c r="A1568" s="499">
        <v>45525</v>
      </c>
      <c r="B1568" s="499">
        <v>45525</v>
      </c>
      <c r="C1568" s="500" t="s">
        <v>173</v>
      </c>
      <c r="D1568" s="500" t="s">
        <v>760</v>
      </c>
      <c r="E1568" s="501">
        <v>-40016372.100000001</v>
      </c>
      <c r="F1568" s="502" t="s">
        <v>878</v>
      </c>
      <c r="G1568" s="100" t="s">
        <v>551</v>
      </c>
      <c r="H1568" s="530"/>
      <c r="I1568" s="525"/>
      <c r="K1568" s="548"/>
      <c r="L1568" s="548"/>
      <c r="M1568" s="548"/>
      <c r="N1568" s="552"/>
      <c r="Y1568" s="551"/>
    </row>
    <row r="1569" spans="1:25">
      <c r="A1569" s="499">
        <v>45525</v>
      </c>
      <c r="B1569" s="499">
        <v>45525</v>
      </c>
      <c r="C1569" s="500" t="s">
        <v>173</v>
      </c>
      <c r="D1569" s="500" t="s">
        <v>760</v>
      </c>
      <c r="E1569" s="501">
        <v>-26009875.010000002</v>
      </c>
      <c r="F1569" s="502" t="s">
        <v>878</v>
      </c>
      <c r="G1569" s="100" t="s">
        <v>825</v>
      </c>
      <c r="H1569" s="530"/>
      <c r="I1569" s="525"/>
      <c r="K1569" s="548"/>
      <c r="L1569" s="548"/>
      <c r="M1569" s="548"/>
      <c r="N1569" s="552"/>
      <c r="Y1569" s="551"/>
    </row>
    <row r="1570" spans="1:25">
      <c r="A1570" s="499">
        <v>45525</v>
      </c>
      <c r="B1570" s="499">
        <v>45525</v>
      </c>
      <c r="C1570" s="500" t="s">
        <v>173</v>
      </c>
      <c r="D1570" s="500" t="s">
        <v>760</v>
      </c>
      <c r="E1570" s="501">
        <v>-37014495.450000003</v>
      </c>
      <c r="F1570" s="502" t="s">
        <v>878</v>
      </c>
      <c r="G1570" s="100" t="s">
        <v>93</v>
      </c>
      <c r="H1570" s="530"/>
      <c r="I1570" s="525"/>
      <c r="K1570" s="548"/>
      <c r="L1570" s="548"/>
      <c r="M1570" s="548"/>
      <c r="N1570" s="552"/>
      <c r="Y1570" s="551"/>
    </row>
    <row r="1571" spans="1:25">
      <c r="A1571" s="499">
        <v>45525</v>
      </c>
      <c r="B1571" s="499">
        <v>45525</v>
      </c>
      <c r="C1571" s="500" t="s">
        <v>173</v>
      </c>
      <c r="D1571" s="500" t="s">
        <v>760</v>
      </c>
      <c r="E1571" s="501">
        <v>-23015688.940000001</v>
      </c>
      <c r="F1571" s="502" t="s">
        <v>878</v>
      </c>
      <c r="G1571" s="100" t="s">
        <v>589</v>
      </c>
      <c r="H1571" s="530"/>
      <c r="I1571" s="525"/>
      <c r="K1571" s="548"/>
      <c r="L1571" s="548"/>
      <c r="M1571" s="548"/>
      <c r="N1571" s="552"/>
      <c r="Y1571" s="551"/>
    </row>
    <row r="1572" spans="1:25">
      <c r="A1572" s="499">
        <v>45525</v>
      </c>
      <c r="B1572" s="499">
        <v>45525</v>
      </c>
      <c r="C1572" s="500" t="s">
        <v>173</v>
      </c>
      <c r="D1572" s="500" t="s">
        <v>760</v>
      </c>
      <c r="E1572" s="501">
        <v>-24006268.73</v>
      </c>
      <c r="F1572" s="502" t="s">
        <v>878</v>
      </c>
      <c r="G1572" s="100" t="s">
        <v>61</v>
      </c>
      <c r="H1572" s="530"/>
      <c r="I1572" s="525"/>
      <c r="K1572" s="548"/>
      <c r="L1572" s="548"/>
      <c r="M1572" s="548"/>
      <c r="N1572" s="552"/>
      <c r="Y1572" s="551"/>
    </row>
    <row r="1573" spans="1:25">
      <c r="A1573" s="499">
        <v>45525</v>
      </c>
      <c r="B1573" s="499">
        <v>45525</v>
      </c>
      <c r="C1573" s="500" t="s">
        <v>173</v>
      </c>
      <c r="D1573" s="500" t="s">
        <v>760</v>
      </c>
      <c r="E1573" s="501">
        <v>-15005697.119999999</v>
      </c>
      <c r="F1573" s="502" t="s">
        <v>878</v>
      </c>
      <c r="G1573" s="100" t="s">
        <v>825</v>
      </c>
      <c r="H1573" s="530"/>
      <c r="I1573" s="525"/>
      <c r="K1573" s="548"/>
      <c r="L1573" s="548"/>
      <c r="M1573" s="548"/>
      <c r="N1573" s="552"/>
      <c r="Y1573" s="551"/>
    </row>
    <row r="1574" spans="1:25">
      <c r="A1574" s="499">
        <v>45525</v>
      </c>
      <c r="B1574" s="499">
        <v>45525</v>
      </c>
      <c r="C1574" s="500" t="s">
        <v>173</v>
      </c>
      <c r="D1574" s="500" t="s">
        <v>760</v>
      </c>
      <c r="E1574" s="501">
        <v>-19007908.559999999</v>
      </c>
      <c r="F1574" s="502" t="s">
        <v>878</v>
      </c>
      <c r="G1574" s="100" t="s">
        <v>593</v>
      </c>
      <c r="H1574" s="530"/>
      <c r="I1574" s="525"/>
      <c r="K1574" s="548"/>
      <c r="L1574" s="548"/>
      <c r="M1574" s="548"/>
      <c r="N1574" s="552"/>
      <c r="Y1574" s="551"/>
    </row>
    <row r="1575" spans="1:25">
      <c r="A1575" s="499">
        <v>45525</v>
      </c>
      <c r="B1575" s="499">
        <v>45525</v>
      </c>
      <c r="C1575" s="500" t="s">
        <v>173</v>
      </c>
      <c r="D1575" s="500" t="s">
        <v>760</v>
      </c>
      <c r="E1575" s="501">
        <v>-11006529.380000001</v>
      </c>
      <c r="F1575" s="502" t="s">
        <v>878</v>
      </c>
      <c r="G1575" s="100" t="s">
        <v>745</v>
      </c>
      <c r="H1575" s="530"/>
      <c r="I1575" s="525"/>
      <c r="K1575" s="548"/>
      <c r="L1575" s="548"/>
      <c r="M1575" s="548"/>
      <c r="N1575" s="552"/>
      <c r="Y1575" s="551"/>
    </row>
    <row r="1576" spans="1:25">
      <c r="A1576" s="499">
        <v>45525</v>
      </c>
      <c r="B1576" s="499">
        <v>45525</v>
      </c>
      <c r="C1576" s="500" t="s">
        <v>173</v>
      </c>
      <c r="D1576" s="500" t="s">
        <v>760</v>
      </c>
      <c r="E1576" s="501">
        <v>-47020721.740000002</v>
      </c>
      <c r="F1576" s="502" t="s">
        <v>878</v>
      </c>
      <c r="G1576" s="100" t="s">
        <v>605</v>
      </c>
      <c r="H1576" s="530"/>
      <c r="I1576" s="525"/>
      <c r="K1576" s="548"/>
      <c r="L1576" s="548"/>
      <c r="M1576" s="548"/>
      <c r="N1576" s="552"/>
      <c r="Y1576" s="551"/>
    </row>
    <row r="1577" spans="1:25">
      <c r="A1577" s="499">
        <v>45525</v>
      </c>
      <c r="B1577" s="499">
        <v>45525</v>
      </c>
      <c r="C1577" s="500" t="s">
        <v>173</v>
      </c>
      <c r="D1577" s="500" t="s">
        <v>760</v>
      </c>
      <c r="E1577" s="501">
        <v>-22003249.949999999</v>
      </c>
      <c r="F1577" s="502" t="s">
        <v>878</v>
      </c>
      <c r="G1577" s="100" t="s">
        <v>820</v>
      </c>
      <c r="H1577" s="530"/>
      <c r="I1577" s="525"/>
      <c r="K1577" s="548"/>
      <c r="L1577" s="548"/>
      <c r="M1577" s="548"/>
      <c r="N1577" s="552"/>
      <c r="Y1577" s="551"/>
    </row>
    <row r="1578" spans="1:25">
      <c r="A1578" s="499">
        <v>45525</v>
      </c>
      <c r="B1578" s="499">
        <v>45525</v>
      </c>
      <c r="C1578" s="500" t="s">
        <v>173</v>
      </c>
      <c r="D1578" s="500" t="s">
        <v>760</v>
      </c>
      <c r="E1578" s="501">
        <v>-65058833.710000001</v>
      </c>
      <c r="F1578" s="502" t="s">
        <v>878</v>
      </c>
      <c r="G1578" s="100" t="s">
        <v>595</v>
      </c>
      <c r="H1578" s="530"/>
      <c r="I1578" s="525"/>
      <c r="K1578" s="548"/>
      <c r="L1578" s="548"/>
      <c r="M1578" s="548"/>
      <c r="N1578" s="552"/>
      <c r="Y1578" s="551"/>
    </row>
    <row r="1579" spans="1:25">
      <c r="A1579" s="499">
        <v>45525</v>
      </c>
      <c r="B1579" s="499">
        <v>45525</v>
      </c>
      <c r="C1579" s="500" t="s">
        <v>173</v>
      </c>
      <c r="D1579" s="500" t="s">
        <v>760</v>
      </c>
      <c r="E1579" s="501">
        <v>-42034214.880000003</v>
      </c>
      <c r="F1579" s="502" t="s">
        <v>878</v>
      </c>
      <c r="G1579" s="100" t="s">
        <v>818</v>
      </c>
      <c r="H1579" s="530"/>
      <c r="I1579" s="525"/>
      <c r="K1579" s="548"/>
      <c r="L1579" s="548"/>
      <c r="M1579" s="548"/>
      <c r="N1579" s="552"/>
      <c r="Y1579" s="551"/>
    </row>
    <row r="1580" spans="1:25">
      <c r="A1580" s="499">
        <v>45525</v>
      </c>
      <c r="B1580" s="499">
        <v>45525</v>
      </c>
      <c r="C1580" s="500" t="s">
        <v>173</v>
      </c>
      <c r="D1580" s="500" t="s">
        <v>760</v>
      </c>
      <c r="E1580" s="501">
        <v>-22015006.82</v>
      </c>
      <c r="F1580" s="502" t="s">
        <v>878</v>
      </c>
      <c r="G1580" s="100" t="s">
        <v>589</v>
      </c>
      <c r="H1580" s="530"/>
      <c r="I1580" s="525"/>
      <c r="K1580" s="548"/>
      <c r="L1580" s="548"/>
      <c r="M1580" s="548"/>
      <c r="N1580" s="552"/>
      <c r="Y1580" s="551"/>
    </row>
    <row r="1581" spans="1:25">
      <c r="A1581" s="499">
        <v>45525</v>
      </c>
      <c r="B1581" s="499">
        <v>45525</v>
      </c>
      <c r="C1581" s="500" t="s">
        <v>173</v>
      </c>
      <c r="D1581" s="500" t="s">
        <v>760</v>
      </c>
      <c r="E1581" s="501">
        <v>-13002181.92</v>
      </c>
      <c r="F1581" s="502" t="s">
        <v>878</v>
      </c>
      <c r="G1581" s="100" t="s">
        <v>526</v>
      </c>
      <c r="H1581" s="530"/>
      <c r="I1581" s="525"/>
      <c r="K1581" s="548"/>
      <c r="L1581" s="548"/>
      <c r="M1581" s="548"/>
      <c r="N1581" s="552"/>
      <c r="Y1581" s="551"/>
    </row>
    <row r="1582" spans="1:25">
      <c r="A1582" s="499">
        <v>45525</v>
      </c>
      <c r="B1582" s="499">
        <v>45525</v>
      </c>
      <c r="C1582" s="500" t="s">
        <v>173</v>
      </c>
      <c r="D1582" s="500" t="s">
        <v>760</v>
      </c>
      <c r="E1582" s="501">
        <v>-7005311.46</v>
      </c>
      <c r="F1582" s="502" t="s">
        <v>878</v>
      </c>
      <c r="G1582" s="100" t="s">
        <v>822</v>
      </c>
      <c r="H1582" s="530"/>
      <c r="I1582" s="525"/>
      <c r="K1582" s="548"/>
      <c r="L1582" s="548"/>
      <c r="M1582" s="548"/>
      <c r="N1582" s="552"/>
      <c r="Y1582" s="551"/>
    </row>
    <row r="1583" spans="1:25">
      <c r="A1583" s="499">
        <v>45525</v>
      </c>
      <c r="B1583" s="499">
        <v>45525</v>
      </c>
      <c r="C1583" s="500" t="s">
        <v>173</v>
      </c>
      <c r="D1583" s="500" t="s">
        <v>760</v>
      </c>
      <c r="E1583" s="501">
        <v>-69005484.530000001</v>
      </c>
      <c r="F1583" s="502" t="s">
        <v>878</v>
      </c>
      <c r="G1583" s="100" t="s">
        <v>603</v>
      </c>
      <c r="H1583" s="530"/>
      <c r="I1583" s="525"/>
      <c r="K1583" s="548"/>
      <c r="L1583" s="548"/>
      <c r="M1583" s="548"/>
      <c r="N1583" s="552"/>
      <c r="Y1583" s="551"/>
    </row>
    <row r="1584" spans="1:25">
      <c r="A1584" s="499">
        <v>45525</v>
      </c>
      <c r="B1584" s="499">
        <v>45525</v>
      </c>
      <c r="C1584" s="500" t="s">
        <v>173</v>
      </c>
      <c r="D1584" s="500" t="s">
        <v>760</v>
      </c>
      <c r="E1584" s="501">
        <v>-8004561.7000000002</v>
      </c>
      <c r="F1584" s="502" t="s">
        <v>878</v>
      </c>
      <c r="G1584" s="100" t="s">
        <v>697</v>
      </c>
      <c r="H1584" s="530"/>
      <c r="I1584" s="525"/>
      <c r="K1584" s="548"/>
      <c r="L1584" s="548"/>
      <c r="M1584" s="548"/>
      <c r="N1584" s="552"/>
      <c r="Y1584" s="551"/>
    </row>
    <row r="1585" spans="1:25">
      <c r="A1585" s="499">
        <v>45525</v>
      </c>
      <c r="B1585" s="499">
        <v>45525</v>
      </c>
      <c r="C1585" s="500" t="s">
        <v>173</v>
      </c>
      <c r="D1585" s="500" t="s">
        <v>760</v>
      </c>
      <c r="E1585" s="501">
        <v>-9003967.9900000002</v>
      </c>
      <c r="F1585" s="502" t="s">
        <v>878</v>
      </c>
      <c r="G1585" s="100" t="s">
        <v>605</v>
      </c>
      <c r="H1585" s="530"/>
      <c r="I1585" s="525"/>
      <c r="K1585" s="548"/>
      <c r="L1585" s="548"/>
      <c r="M1585" s="548"/>
      <c r="N1585" s="552"/>
      <c r="Y1585" s="551"/>
    </row>
    <row r="1586" spans="1:25">
      <c r="A1586" s="499">
        <v>45525</v>
      </c>
      <c r="B1586" s="499">
        <v>45525</v>
      </c>
      <c r="C1586" s="500" t="s">
        <v>173</v>
      </c>
      <c r="D1586" s="500" t="s">
        <v>760</v>
      </c>
      <c r="E1586" s="501">
        <v>-61020225.649999999</v>
      </c>
      <c r="F1586" s="502" t="s">
        <v>878</v>
      </c>
      <c r="G1586" s="100" t="s">
        <v>84</v>
      </c>
      <c r="H1586" s="530"/>
      <c r="I1586" s="525"/>
      <c r="K1586" s="548"/>
      <c r="L1586" s="548"/>
      <c r="M1586" s="548"/>
      <c r="N1586" s="552"/>
      <c r="Y1586" s="551"/>
    </row>
    <row r="1587" spans="1:25">
      <c r="A1587" s="499">
        <v>45525</v>
      </c>
      <c r="B1587" s="499">
        <v>45525</v>
      </c>
      <c r="C1587" s="500" t="s">
        <v>173</v>
      </c>
      <c r="D1587" s="500" t="s">
        <v>760</v>
      </c>
      <c r="E1587" s="501">
        <v>-7000157.5099999998</v>
      </c>
      <c r="F1587" s="502" t="s">
        <v>878</v>
      </c>
      <c r="G1587" s="100" t="s">
        <v>448</v>
      </c>
      <c r="H1587" s="530"/>
      <c r="I1587" s="525"/>
      <c r="K1587" s="548"/>
      <c r="L1587" s="548"/>
      <c r="M1587" s="548"/>
      <c r="N1587" s="552"/>
      <c r="Y1587" s="551"/>
    </row>
    <row r="1588" spans="1:25">
      <c r="A1588" s="499">
        <v>45525</v>
      </c>
      <c r="B1588" s="499">
        <v>45525</v>
      </c>
      <c r="C1588" s="500" t="s">
        <v>173</v>
      </c>
      <c r="D1588" s="500" t="s">
        <v>760</v>
      </c>
      <c r="E1588" s="501">
        <v>-52035470.659999996</v>
      </c>
      <c r="F1588" s="502" t="s">
        <v>878</v>
      </c>
      <c r="G1588" s="100" t="s">
        <v>589</v>
      </c>
      <c r="H1588" s="530"/>
      <c r="I1588" s="525"/>
      <c r="K1588" s="548"/>
      <c r="L1588" s="548"/>
      <c r="M1588" s="548"/>
      <c r="N1588" s="552"/>
      <c r="Y1588" s="551"/>
    </row>
    <row r="1589" spans="1:25">
      <c r="A1589" s="499">
        <v>45525</v>
      </c>
      <c r="B1589" s="499">
        <v>45525</v>
      </c>
      <c r="C1589" s="500" t="s">
        <v>173</v>
      </c>
      <c r="D1589" s="500" t="s">
        <v>760</v>
      </c>
      <c r="E1589" s="501">
        <v>-15008903.699999999</v>
      </c>
      <c r="F1589" s="502" t="s">
        <v>878</v>
      </c>
      <c r="G1589" s="100" t="s">
        <v>745</v>
      </c>
      <c r="H1589" s="530"/>
      <c r="I1589" s="525"/>
      <c r="K1589" s="548"/>
      <c r="L1589" s="548"/>
      <c r="M1589" s="548"/>
      <c r="N1589" s="552"/>
      <c r="Y1589" s="551"/>
    </row>
    <row r="1590" spans="1:25">
      <c r="A1590" s="499">
        <v>45525</v>
      </c>
      <c r="B1590" s="499">
        <v>45525</v>
      </c>
      <c r="C1590" s="500" t="s">
        <v>173</v>
      </c>
      <c r="D1590" s="500" t="s">
        <v>760</v>
      </c>
      <c r="E1590" s="501">
        <v>-7003991.4800000004</v>
      </c>
      <c r="F1590" s="502" t="s">
        <v>878</v>
      </c>
      <c r="G1590" s="100" t="s">
        <v>697</v>
      </c>
      <c r="H1590" s="530"/>
      <c r="I1590" s="525"/>
      <c r="K1590" s="548"/>
      <c r="L1590" s="548"/>
      <c r="M1590" s="548"/>
      <c r="N1590" s="552"/>
      <c r="Y1590" s="551"/>
    </row>
    <row r="1591" spans="1:25">
      <c r="A1591" s="499">
        <v>45525</v>
      </c>
      <c r="B1591" s="499">
        <v>45525</v>
      </c>
      <c r="C1591" s="500" t="s">
        <v>173</v>
      </c>
      <c r="D1591" s="500" t="s">
        <v>760</v>
      </c>
      <c r="E1591" s="501">
        <v>-19000427.539999999</v>
      </c>
      <c r="F1591" s="502" t="s">
        <v>878</v>
      </c>
      <c r="G1591" s="100" t="s">
        <v>448</v>
      </c>
      <c r="H1591" s="530"/>
      <c r="I1591" s="525"/>
      <c r="K1591" s="548"/>
      <c r="L1591" s="548"/>
      <c r="M1591" s="548"/>
      <c r="N1591" s="552"/>
      <c r="Y1591" s="551"/>
    </row>
    <row r="1592" spans="1:25">
      <c r="A1592" s="499">
        <v>45525</v>
      </c>
      <c r="B1592" s="499">
        <v>45525</v>
      </c>
      <c r="C1592" s="500" t="s">
        <v>173</v>
      </c>
      <c r="D1592" s="500" t="s">
        <v>760</v>
      </c>
      <c r="E1592" s="501">
        <v>-18000405.039999999</v>
      </c>
      <c r="F1592" s="502" t="s">
        <v>878</v>
      </c>
      <c r="G1592" s="100" t="s">
        <v>448</v>
      </c>
      <c r="H1592" s="530"/>
      <c r="I1592" s="525"/>
      <c r="K1592" s="548"/>
      <c r="L1592" s="548"/>
      <c r="M1592" s="548"/>
      <c r="N1592" s="552"/>
      <c r="Y1592" s="551"/>
    </row>
    <row r="1593" spans="1:25">
      <c r="A1593" s="499">
        <v>45525</v>
      </c>
      <c r="B1593" s="499">
        <v>45525</v>
      </c>
      <c r="C1593" s="500" t="s">
        <v>173</v>
      </c>
      <c r="D1593" s="500" t="s">
        <v>760</v>
      </c>
      <c r="E1593" s="501">
        <v>-10007868</v>
      </c>
      <c r="F1593" s="502" t="s">
        <v>878</v>
      </c>
      <c r="G1593" s="100" t="s">
        <v>597</v>
      </c>
      <c r="H1593" s="530"/>
      <c r="I1593" s="525"/>
      <c r="K1593" s="548"/>
      <c r="L1593" s="548"/>
      <c r="M1593" s="548"/>
      <c r="N1593" s="552"/>
      <c r="Y1593" s="551"/>
    </row>
    <row r="1594" spans="1:25">
      <c r="A1594" s="499">
        <v>45525</v>
      </c>
      <c r="B1594" s="499">
        <v>45525</v>
      </c>
      <c r="C1594" s="500" t="s">
        <v>173</v>
      </c>
      <c r="D1594" s="500" t="s">
        <v>760</v>
      </c>
      <c r="E1594" s="501">
        <v>-19008376.870000001</v>
      </c>
      <c r="F1594" s="502" t="s">
        <v>878</v>
      </c>
      <c r="G1594" s="100" t="s">
        <v>605</v>
      </c>
      <c r="H1594" s="530"/>
      <c r="I1594" s="525"/>
      <c r="K1594" s="548"/>
      <c r="L1594" s="548"/>
      <c r="M1594" s="548"/>
      <c r="N1594" s="552"/>
      <c r="Y1594" s="551"/>
    </row>
    <row r="1595" spans="1:25">
      <c r="A1595" s="499">
        <v>45525</v>
      </c>
      <c r="B1595" s="499">
        <v>45525</v>
      </c>
      <c r="C1595" s="500" t="s">
        <v>173</v>
      </c>
      <c r="D1595" s="500" t="s">
        <v>760</v>
      </c>
      <c r="E1595" s="501">
        <v>-8004561.7000000002</v>
      </c>
      <c r="F1595" s="502" t="s">
        <v>878</v>
      </c>
      <c r="G1595" s="100" t="s">
        <v>697</v>
      </c>
      <c r="H1595" s="530"/>
      <c r="I1595" s="525"/>
      <c r="K1595" s="548"/>
      <c r="L1595" s="548"/>
      <c r="M1595" s="548"/>
      <c r="N1595" s="552"/>
      <c r="Y1595" s="551"/>
    </row>
    <row r="1596" spans="1:25">
      <c r="A1596" s="499">
        <v>45525</v>
      </c>
      <c r="B1596" s="499">
        <v>45525</v>
      </c>
      <c r="C1596" s="500" t="s">
        <v>173</v>
      </c>
      <c r="D1596" s="500" t="s">
        <v>760</v>
      </c>
      <c r="E1596" s="501">
        <v>-58044009.240000002</v>
      </c>
      <c r="F1596" s="502" t="s">
        <v>878</v>
      </c>
      <c r="G1596" s="100" t="s">
        <v>822</v>
      </c>
      <c r="H1596" s="530"/>
      <c r="I1596" s="525"/>
      <c r="K1596" s="548"/>
      <c r="L1596" s="548"/>
      <c r="M1596" s="548"/>
      <c r="N1596" s="552"/>
      <c r="Y1596" s="551"/>
    </row>
    <row r="1597" spans="1:25">
      <c r="A1597" s="499">
        <v>45525</v>
      </c>
      <c r="B1597" s="499">
        <v>45525</v>
      </c>
      <c r="C1597" s="500" t="s">
        <v>173</v>
      </c>
      <c r="D1597" s="500" t="s">
        <v>760</v>
      </c>
      <c r="E1597" s="501">
        <v>-57054713.619999997</v>
      </c>
      <c r="F1597" s="502" t="s">
        <v>878</v>
      </c>
      <c r="G1597" s="100" t="s">
        <v>453</v>
      </c>
      <c r="H1597" s="530"/>
      <c r="I1597" s="525"/>
      <c r="K1597" s="548"/>
      <c r="L1597" s="548"/>
      <c r="M1597" s="548"/>
      <c r="N1597" s="552"/>
      <c r="Y1597" s="551"/>
    </row>
    <row r="1598" spans="1:25">
      <c r="A1598" s="499">
        <v>45525</v>
      </c>
      <c r="B1598" s="499">
        <v>45525</v>
      </c>
      <c r="C1598" s="500" t="s">
        <v>173</v>
      </c>
      <c r="D1598" s="500" t="s">
        <v>760</v>
      </c>
      <c r="E1598" s="501">
        <v>-24018210.719999999</v>
      </c>
      <c r="F1598" s="502" t="s">
        <v>878</v>
      </c>
      <c r="G1598" s="100" t="s">
        <v>822</v>
      </c>
      <c r="H1598" s="530"/>
      <c r="I1598" s="525"/>
      <c r="K1598" s="548"/>
      <c r="L1598" s="548"/>
      <c r="M1598" s="548"/>
      <c r="N1598" s="552"/>
      <c r="Y1598" s="551"/>
    </row>
    <row r="1599" spans="1:25">
      <c r="A1599" s="499">
        <v>45525</v>
      </c>
      <c r="B1599" s="499">
        <v>45525</v>
      </c>
      <c r="C1599" s="500" t="s">
        <v>173</v>
      </c>
      <c r="D1599" s="500" t="s">
        <v>760</v>
      </c>
      <c r="E1599" s="501">
        <v>-62006448</v>
      </c>
      <c r="F1599" s="502" t="s">
        <v>878</v>
      </c>
      <c r="G1599" s="100" t="s">
        <v>68</v>
      </c>
      <c r="H1599" s="530"/>
      <c r="I1599" s="525"/>
      <c r="K1599" s="548"/>
      <c r="L1599" s="548"/>
      <c r="M1599" s="548"/>
      <c r="N1599" s="552"/>
      <c r="Y1599" s="551"/>
    </row>
    <row r="1600" spans="1:25">
      <c r="A1600" s="499">
        <v>45525</v>
      </c>
      <c r="B1600" s="499">
        <v>45525</v>
      </c>
      <c r="C1600" s="500" t="s">
        <v>173</v>
      </c>
      <c r="D1600" s="500" t="s">
        <v>760</v>
      </c>
      <c r="E1600" s="501">
        <v>-207080615.12</v>
      </c>
      <c r="F1600" s="502" t="s">
        <v>878</v>
      </c>
      <c r="G1600" s="100" t="s">
        <v>655</v>
      </c>
      <c r="H1600" s="530"/>
      <c r="I1600" s="525"/>
      <c r="K1600" s="548"/>
      <c r="L1600" s="548"/>
      <c r="M1600" s="548"/>
      <c r="N1600" s="552"/>
      <c r="Y1600" s="551"/>
    </row>
    <row r="1601" spans="1:25">
      <c r="A1601" s="499">
        <v>45525</v>
      </c>
      <c r="B1601" s="499">
        <v>45525</v>
      </c>
      <c r="C1601" s="500" t="s">
        <v>173</v>
      </c>
      <c r="D1601" s="500" t="s">
        <v>760</v>
      </c>
      <c r="E1601" s="501">
        <v>-186126875.81</v>
      </c>
      <c r="F1601" s="502" t="s">
        <v>878</v>
      </c>
      <c r="G1601" s="100" t="s">
        <v>589</v>
      </c>
      <c r="H1601" s="530"/>
      <c r="I1601" s="525"/>
      <c r="K1601" s="548"/>
      <c r="L1601" s="548"/>
      <c r="M1601" s="548"/>
      <c r="N1601" s="552"/>
      <c r="Y1601" s="551"/>
    </row>
    <row r="1602" spans="1:25">
      <c r="A1602" s="499">
        <v>45525</v>
      </c>
      <c r="B1602" s="499">
        <v>45525</v>
      </c>
      <c r="C1602" s="500" t="s">
        <v>173</v>
      </c>
      <c r="D1602" s="500" t="s">
        <v>760</v>
      </c>
      <c r="E1602" s="501">
        <v>-191150278.80000001</v>
      </c>
      <c r="F1602" s="502" t="s">
        <v>878</v>
      </c>
      <c r="G1602" s="100" t="s">
        <v>597</v>
      </c>
      <c r="H1602" s="530"/>
      <c r="I1602" s="525"/>
      <c r="K1602" s="548"/>
      <c r="L1602" s="548"/>
      <c r="M1602" s="548"/>
      <c r="N1602" s="552"/>
      <c r="Y1602" s="551"/>
    </row>
    <row r="1603" spans="1:25">
      <c r="A1603" s="499">
        <v>45525</v>
      </c>
      <c r="B1603" s="499">
        <v>45525</v>
      </c>
      <c r="C1603" s="500" t="s">
        <v>173</v>
      </c>
      <c r="D1603" s="500" t="s">
        <v>760</v>
      </c>
      <c r="E1603" s="501">
        <v>-181014386.97</v>
      </c>
      <c r="F1603" s="502" t="s">
        <v>878</v>
      </c>
      <c r="G1603" s="100" t="s">
        <v>603</v>
      </c>
      <c r="H1603" s="530"/>
      <c r="I1603" s="525"/>
      <c r="K1603" s="548"/>
      <c r="L1603" s="548"/>
      <c r="M1603" s="548"/>
      <c r="N1603" s="552"/>
      <c r="Y1603" s="551"/>
    </row>
    <row r="1604" spans="1:25">
      <c r="A1604" s="499">
        <v>45525</v>
      </c>
      <c r="B1604" s="499">
        <v>45525</v>
      </c>
      <c r="C1604" s="500" t="s">
        <v>173</v>
      </c>
      <c r="D1604" s="500" t="s">
        <v>760</v>
      </c>
      <c r="E1604" s="501">
        <v>-87012852.079999998</v>
      </c>
      <c r="F1604" s="502" t="s">
        <v>878</v>
      </c>
      <c r="G1604" s="100" t="s">
        <v>820</v>
      </c>
      <c r="H1604" s="530"/>
      <c r="I1604" s="525"/>
      <c r="K1604" s="548"/>
      <c r="L1604" s="548"/>
      <c r="M1604" s="548"/>
      <c r="N1604" s="552"/>
      <c r="Y1604" s="551"/>
    </row>
    <row r="1605" spans="1:25">
      <c r="A1605" s="499">
        <v>45525</v>
      </c>
      <c r="B1605" s="499">
        <v>45525</v>
      </c>
      <c r="C1605" s="500" t="s">
        <v>173</v>
      </c>
      <c r="D1605" s="500" t="s">
        <v>760</v>
      </c>
      <c r="E1605" s="501">
        <v>-96064027.099999994</v>
      </c>
      <c r="F1605" s="502" t="s">
        <v>878</v>
      </c>
      <c r="G1605" s="100" t="s">
        <v>475</v>
      </c>
      <c r="H1605" s="530"/>
      <c r="I1605" s="525"/>
      <c r="K1605" s="548"/>
      <c r="L1605" s="548"/>
      <c r="M1605" s="548"/>
      <c r="N1605" s="552"/>
      <c r="Y1605" s="551"/>
    </row>
    <row r="1606" spans="1:25">
      <c r="A1606" s="499">
        <v>45525</v>
      </c>
      <c r="B1606" s="499">
        <v>45525</v>
      </c>
      <c r="C1606" s="500" t="s">
        <v>173</v>
      </c>
      <c r="D1606" s="500" t="s">
        <v>760</v>
      </c>
      <c r="E1606" s="501">
        <v>-84078246.420000002</v>
      </c>
      <c r="F1606" s="502" t="s">
        <v>878</v>
      </c>
      <c r="G1606" s="100" t="s">
        <v>746</v>
      </c>
      <c r="H1606" s="530"/>
      <c r="I1606" s="525"/>
      <c r="K1606" s="548"/>
      <c r="L1606" s="548"/>
      <c r="M1606" s="548"/>
      <c r="N1606" s="552"/>
      <c r="Y1606" s="551"/>
    </row>
    <row r="1607" spans="1:25">
      <c r="A1607" s="499">
        <v>45525</v>
      </c>
      <c r="B1607" s="499">
        <v>45525</v>
      </c>
      <c r="C1607" s="500" t="s">
        <v>173</v>
      </c>
      <c r="D1607" s="500" t="s">
        <v>760</v>
      </c>
      <c r="E1607" s="501">
        <v>-96089424.480000004</v>
      </c>
      <c r="F1607" s="502" t="s">
        <v>878</v>
      </c>
      <c r="G1607" s="100" t="s">
        <v>746</v>
      </c>
      <c r="H1607" s="530"/>
      <c r="I1607" s="525"/>
      <c r="K1607" s="548"/>
      <c r="L1607" s="548"/>
      <c r="M1607" s="548"/>
      <c r="N1607" s="552"/>
      <c r="Y1607" s="551"/>
    </row>
    <row r="1608" spans="1:25">
      <c r="A1608" s="499">
        <v>45525</v>
      </c>
      <c r="B1608" s="499">
        <v>45525</v>
      </c>
      <c r="C1608" s="500" t="s">
        <v>173</v>
      </c>
      <c r="D1608" s="500" t="s">
        <v>760</v>
      </c>
      <c r="E1608" s="501">
        <v>-72048255.840000004</v>
      </c>
      <c r="F1608" s="502" t="s">
        <v>878</v>
      </c>
      <c r="G1608" s="100" t="s">
        <v>599</v>
      </c>
      <c r="H1608" s="530"/>
      <c r="I1608" s="525"/>
      <c r="K1608" s="548"/>
      <c r="L1608" s="548"/>
      <c r="M1608" s="548"/>
      <c r="N1608" s="552"/>
      <c r="Y1608" s="551"/>
    </row>
    <row r="1609" spans="1:25">
      <c r="A1609" s="499">
        <v>45525</v>
      </c>
      <c r="B1609" s="499">
        <v>45525</v>
      </c>
      <c r="C1609" s="500" t="s">
        <v>173</v>
      </c>
      <c r="D1609" s="500" t="s">
        <v>760</v>
      </c>
      <c r="E1609" s="501">
        <v>-96064027.099999994</v>
      </c>
      <c r="F1609" s="502" t="s">
        <v>878</v>
      </c>
      <c r="G1609" s="100" t="s">
        <v>475</v>
      </c>
      <c r="H1609" s="530"/>
      <c r="I1609" s="525"/>
      <c r="K1609" s="548"/>
      <c r="L1609" s="548"/>
      <c r="M1609" s="548"/>
      <c r="N1609" s="552"/>
      <c r="Y1609" s="551"/>
    </row>
    <row r="1610" spans="1:25">
      <c r="A1610" s="499">
        <v>45525</v>
      </c>
      <c r="B1610" s="499">
        <v>45525</v>
      </c>
      <c r="C1610" s="500" t="s">
        <v>173</v>
      </c>
      <c r="D1610" s="500" t="s">
        <v>760</v>
      </c>
      <c r="E1610" s="501">
        <v>-69039344.629999995</v>
      </c>
      <c r="F1610" s="502" t="s">
        <v>878</v>
      </c>
      <c r="G1610" s="100" t="s">
        <v>697</v>
      </c>
      <c r="H1610" s="530"/>
      <c r="I1610" s="525"/>
      <c r="K1610" s="548"/>
      <c r="L1610" s="548"/>
      <c r="M1610" s="548"/>
      <c r="N1610" s="552"/>
      <c r="Y1610" s="551"/>
    </row>
    <row r="1611" spans="1:25">
      <c r="A1611" s="499">
        <v>45525</v>
      </c>
      <c r="B1611" s="499">
        <v>45525</v>
      </c>
      <c r="C1611" s="500" t="s">
        <v>173</v>
      </c>
      <c r="D1611" s="500" t="s">
        <v>760</v>
      </c>
      <c r="E1611" s="501">
        <v>-98058170.840000004</v>
      </c>
      <c r="F1611" s="502" t="s">
        <v>878</v>
      </c>
      <c r="G1611" s="100" t="s">
        <v>745</v>
      </c>
      <c r="H1611" s="530"/>
      <c r="I1611" s="525"/>
      <c r="K1611" s="548"/>
      <c r="L1611" s="548"/>
      <c r="M1611" s="548"/>
      <c r="N1611" s="552"/>
      <c r="Y1611" s="551"/>
    </row>
    <row r="1612" spans="1:25">
      <c r="A1612" s="499">
        <v>45525</v>
      </c>
      <c r="B1612" s="499">
        <v>45525</v>
      </c>
      <c r="C1612" s="500" t="s">
        <v>173</v>
      </c>
      <c r="D1612" s="500" t="s">
        <v>760</v>
      </c>
      <c r="E1612" s="501">
        <v>-222148788.84</v>
      </c>
      <c r="F1612" s="502" t="s">
        <v>878</v>
      </c>
      <c r="G1612" s="100" t="s">
        <v>599</v>
      </c>
      <c r="H1612" s="530"/>
      <c r="I1612" s="525"/>
      <c r="K1612" s="548"/>
      <c r="L1612" s="548"/>
      <c r="M1612" s="548"/>
      <c r="N1612" s="552"/>
      <c r="Y1612" s="551"/>
    </row>
    <row r="1613" spans="1:25">
      <c r="A1613" s="499">
        <v>45525</v>
      </c>
      <c r="B1613" s="499">
        <v>45525</v>
      </c>
      <c r="C1613" s="500" t="s">
        <v>173</v>
      </c>
      <c r="D1613" s="500" t="s">
        <v>760</v>
      </c>
      <c r="E1613" s="501">
        <v>-188071403.90000001</v>
      </c>
      <c r="F1613" s="502" t="s">
        <v>878</v>
      </c>
      <c r="G1613" s="100" t="s">
        <v>825</v>
      </c>
      <c r="H1613" s="530"/>
      <c r="I1613" s="525"/>
      <c r="K1613" s="548"/>
      <c r="L1613" s="548"/>
      <c r="M1613" s="548"/>
      <c r="N1613" s="552"/>
      <c r="Y1613" s="551"/>
    </row>
    <row r="1614" spans="1:25">
      <c r="A1614" s="499">
        <v>45525</v>
      </c>
      <c r="B1614" s="499">
        <v>45525</v>
      </c>
      <c r="C1614" s="500" t="s">
        <v>173</v>
      </c>
      <c r="D1614" s="500" t="s">
        <v>760</v>
      </c>
      <c r="E1614" s="501">
        <v>-43033832.399999999</v>
      </c>
      <c r="F1614" s="502" t="s">
        <v>878</v>
      </c>
      <c r="G1614" s="100" t="s">
        <v>597</v>
      </c>
      <c r="H1614" s="530"/>
      <c r="I1614" s="525"/>
      <c r="K1614" s="548"/>
      <c r="L1614" s="548"/>
      <c r="M1614" s="548"/>
      <c r="N1614" s="552"/>
      <c r="Y1614" s="551"/>
    </row>
    <row r="1615" spans="1:25">
      <c r="A1615" s="499">
        <v>45525</v>
      </c>
      <c r="B1615" s="499">
        <v>45525</v>
      </c>
      <c r="C1615" s="500" t="s">
        <v>173</v>
      </c>
      <c r="D1615" s="500" t="s">
        <v>760</v>
      </c>
      <c r="E1615" s="501">
        <v>-7000003.5099999998</v>
      </c>
      <c r="F1615" s="502" t="s">
        <v>878</v>
      </c>
      <c r="G1615" s="100" t="s">
        <v>795</v>
      </c>
      <c r="H1615" s="530"/>
      <c r="I1615" s="525"/>
      <c r="K1615" s="548"/>
      <c r="L1615" s="548"/>
      <c r="M1615" s="548"/>
      <c r="N1615" s="552"/>
      <c r="Y1615" s="551"/>
    </row>
    <row r="1616" spans="1:25">
      <c r="A1616" s="499">
        <v>45525</v>
      </c>
      <c r="B1616" s="499">
        <v>45525</v>
      </c>
      <c r="C1616" s="500" t="s">
        <v>173</v>
      </c>
      <c r="D1616" s="500" t="s">
        <v>760</v>
      </c>
      <c r="E1616" s="501">
        <v>-94062973.609999999</v>
      </c>
      <c r="F1616" s="502" t="s">
        <v>878</v>
      </c>
      <c r="G1616" s="100" t="s">
        <v>417</v>
      </c>
      <c r="H1616" s="530"/>
      <c r="I1616" s="525"/>
      <c r="K1616" s="548"/>
      <c r="L1616" s="548"/>
      <c r="M1616" s="548"/>
      <c r="N1616" s="552"/>
      <c r="Y1616" s="551"/>
    </row>
    <row r="1617" spans="1:25">
      <c r="A1617" s="499">
        <v>45525</v>
      </c>
      <c r="B1617" s="499">
        <v>45525</v>
      </c>
      <c r="C1617" s="500" t="s">
        <v>173</v>
      </c>
      <c r="D1617" s="500" t="s">
        <v>760</v>
      </c>
      <c r="E1617" s="501">
        <v>-64050355.200000003</v>
      </c>
      <c r="F1617" s="502" t="s">
        <v>878</v>
      </c>
      <c r="G1617" s="100" t="s">
        <v>597</v>
      </c>
      <c r="H1617" s="530"/>
      <c r="I1617" s="525"/>
      <c r="K1617" s="548"/>
      <c r="L1617" s="548"/>
      <c r="M1617" s="548"/>
      <c r="N1617" s="552"/>
      <c r="Y1617" s="551"/>
    </row>
    <row r="1618" spans="1:25">
      <c r="A1618" s="499">
        <v>45525</v>
      </c>
      <c r="B1618" s="499">
        <v>45525</v>
      </c>
      <c r="C1618" s="500" t="s">
        <v>173</v>
      </c>
      <c r="D1618" s="500" t="s">
        <v>760</v>
      </c>
      <c r="E1618" s="501">
        <v>-27010682.82</v>
      </c>
      <c r="F1618" s="502" t="s">
        <v>878</v>
      </c>
      <c r="G1618" s="100" t="s">
        <v>548</v>
      </c>
      <c r="H1618" s="530"/>
      <c r="I1618" s="525"/>
      <c r="K1618" s="548"/>
      <c r="L1618" s="548"/>
      <c r="M1618" s="548"/>
      <c r="N1618" s="552"/>
      <c r="Y1618" s="551"/>
    </row>
    <row r="1619" spans="1:25">
      <c r="A1619" s="499">
        <v>45525</v>
      </c>
      <c r="B1619" s="499">
        <v>45525</v>
      </c>
      <c r="C1619" s="500" t="s">
        <v>173</v>
      </c>
      <c r="D1619" s="500" t="s">
        <v>760</v>
      </c>
      <c r="E1619" s="501">
        <v>-16012427.84</v>
      </c>
      <c r="F1619" s="502" t="s">
        <v>878</v>
      </c>
      <c r="G1619" s="100" t="s">
        <v>498</v>
      </c>
      <c r="H1619" s="530"/>
      <c r="I1619" s="525"/>
      <c r="K1619" s="548"/>
      <c r="L1619" s="548"/>
      <c r="M1619" s="548"/>
      <c r="N1619" s="552"/>
      <c r="Y1619" s="551"/>
    </row>
    <row r="1620" spans="1:25">
      <c r="A1620" s="499">
        <v>45525</v>
      </c>
      <c r="B1620" s="499">
        <v>45525</v>
      </c>
      <c r="C1620" s="500" t="s">
        <v>173</v>
      </c>
      <c r="D1620" s="500" t="s">
        <v>760</v>
      </c>
      <c r="E1620" s="501">
        <v>-32012661.120000001</v>
      </c>
      <c r="F1620" s="502" t="s">
        <v>878</v>
      </c>
      <c r="G1620" s="100" t="s">
        <v>548</v>
      </c>
      <c r="H1620" s="530"/>
      <c r="I1620" s="525"/>
      <c r="K1620" s="548"/>
      <c r="L1620" s="548"/>
      <c r="M1620" s="548"/>
      <c r="N1620" s="552"/>
      <c r="Y1620" s="551"/>
    </row>
    <row r="1621" spans="1:25">
      <c r="A1621" s="499">
        <v>45525</v>
      </c>
      <c r="B1621" s="499">
        <v>45525</v>
      </c>
      <c r="C1621" s="500" t="s">
        <v>173</v>
      </c>
      <c r="D1621" s="500" t="s">
        <v>760</v>
      </c>
      <c r="E1621" s="501">
        <v>-20015736</v>
      </c>
      <c r="F1621" s="502" t="s">
        <v>878</v>
      </c>
      <c r="G1621" s="100" t="s">
        <v>597</v>
      </c>
      <c r="H1621" s="530"/>
      <c r="I1621" s="525"/>
      <c r="K1621" s="548"/>
      <c r="L1621" s="548"/>
      <c r="M1621" s="548"/>
      <c r="N1621" s="552"/>
      <c r="Y1621" s="551"/>
    </row>
    <row r="1622" spans="1:25">
      <c r="A1622" s="499">
        <v>45525</v>
      </c>
      <c r="B1622" s="499">
        <v>45525</v>
      </c>
      <c r="C1622" s="500" t="s">
        <v>173</v>
      </c>
      <c r="D1622" s="500" t="s">
        <v>760</v>
      </c>
      <c r="E1622" s="501">
        <v>-41025271.090000004</v>
      </c>
      <c r="F1622" s="502" t="s">
        <v>878</v>
      </c>
      <c r="G1622" s="100" t="s">
        <v>601</v>
      </c>
      <c r="H1622" s="530"/>
      <c r="I1622" s="525"/>
      <c r="K1622" s="548"/>
      <c r="L1622" s="548"/>
      <c r="M1622" s="548"/>
      <c r="N1622" s="552"/>
      <c r="Y1622" s="551"/>
    </row>
    <row r="1623" spans="1:25">
      <c r="A1623" s="499">
        <v>45525</v>
      </c>
      <c r="B1623" s="499">
        <v>45525</v>
      </c>
      <c r="C1623" s="500" t="s">
        <v>173</v>
      </c>
      <c r="D1623" s="500" t="s">
        <v>760</v>
      </c>
      <c r="E1623" s="501">
        <v>-971033052.84000003</v>
      </c>
      <c r="F1623" s="502" t="s">
        <v>878</v>
      </c>
      <c r="G1623" s="100" t="s">
        <v>910</v>
      </c>
      <c r="H1623" s="530"/>
      <c r="I1623" s="525"/>
      <c r="K1623" s="548"/>
      <c r="L1623" s="548"/>
      <c r="M1623" s="548"/>
      <c r="N1623" s="552"/>
      <c r="Y1623" s="551"/>
    </row>
    <row r="1624" spans="1:25">
      <c r="A1624" s="499">
        <v>45525</v>
      </c>
      <c r="B1624" s="499">
        <v>45525</v>
      </c>
      <c r="C1624" s="500" t="s">
        <v>173</v>
      </c>
      <c r="D1624" s="500" t="s">
        <v>760</v>
      </c>
      <c r="E1624" s="501">
        <v>-29000948.600000001</v>
      </c>
      <c r="F1624" s="502" t="s">
        <v>878</v>
      </c>
      <c r="G1624" s="100" t="s">
        <v>634</v>
      </c>
      <c r="H1624" s="530"/>
      <c r="I1624" s="525"/>
      <c r="K1624" s="548"/>
      <c r="L1624" s="548"/>
      <c r="M1624" s="548"/>
      <c r="N1624" s="552"/>
      <c r="Y1624" s="551"/>
    </row>
    <row r="1625" spans="1:25">
      <c r="A1625" s="499">
        <v>45525</v>
      </c>
      <c r="B1625" s="499">
        <v>45525</v>
      </c>
      <c r="C1625" s="500" t="s">
        <v>173</v>
      </c>
      <c r="D1625" s="500" t="s">
        <v>760</v>
      </c>
      <c r="E1625" s="501">
        <v>-8003329.9199999999</v>
      </c>
      <c r="F1625" s="502" t="s">
        <v>878</v>
      </c>
      <c r="G1625" s="100" t="s">
        <v>593</v>
      </c>
      <c r="H1625" s="530"/>
      <c r="I1625" s="525"/>
      <c r="K1625" s="548"/>
      <c r="L1625" s="548"/>
      <c r="M1625" s="548"/>
      <c r="N1625" s="552"/>
      <c r="Y1625" s="551"/>
    </row>
    <row r="1626" spans="1:25">
      <c r="A1626" s="499">
        <v>45525</v>
      </c>
      <c r="B1626" s="499">
        <v>45526</v>
      </c>
      <c r="C1626" s="500" t="s">
        <v>173</v>
      </c>
      <c r="D1626" s="500" t="s">
        <v>760</v>
      </c>
      <c r="E1626" s="501">
        <v>3001869.92</v>
      </c>
      <c r="F1626" s="502" t="s">
        <v>878</v>
      </c>
      <c r="G1626" s="100" t="s">
        <v>61</v>
      </c>
      <c r="H1626" s="530"/>
      <c r="I1626" s="525"/>
      <c r="K1626" s="548"/>
      <c r="L1626" s="548"/>
      <c r="M1626" s="548"/>
      <c r="N1626" s="552"/>
      <c r="Y1626" s="551"/>
    </row>
    <row r="1627" spans="1:25">
      <c r="A1627" s="499">
        <v>45525</v>
      </c>
      <c r="B1627" s="499">
        <v>45526</v>
      </c>
      <c r="C1627" s="500" t="s">
        <v>173</v>
      </c>
      <c r="D1627" s="500" t="s">
        <v>760</v>
      </c>
      <c r="E1627" s="501">
        <v>2001556.81</v>
      </c>
      <c r="F1627" s="502" t="s">
        <v>878</v>
      </c>
      <c r="G1627" s="100" t="s">
        <v>593</v>
      </c>
      <c r="H1627" s="530"/>
      <c r="I1627" s="525"/>
      <c r="K1627" s="548"/>
      <c r="L1627" s="548"/>
      <c r="M1627" s="548"/>
      <c r="N1627" s="552"/>
      <c r="Y1627" s="551"/>
    </row>
    <row r="1628" spans="1:25">
      <c r="A1628" s="499">
        <v>45525</v>
      </c>
      <c r="B1628" s="499">
        <v>45526</v>
      </c>
      <c r="C1628" s="500" t="s">
        <v>173</v>
      </c>
      <c r="D1628" s="500" t="s">
        <v>760</v>
      </c>
      <c r="E1628" s="501">
        <v>3002314.4</v>
      </c>
      <c r="F1628" s="502" t="s">
        <v>878</v>
      </c>
      <c r="G1628" s="100" t="s">
        <v>551</v>
      </c>
      <c r="H1628" s="530"/>
      <c r="I1628" s="525"/>
      <c r="K1628" s="548"/>
      <c r="L1628" s="548"/>
      <c r="M1628" s="548"/>
      <c r="N1628" s="552"/>
      <c r="Y1628" s="551"/>
    </row>
    <row r="1629" spans="1:25">
      <c r="A1629" s="499">
        <v>45525</v>
      </c>
      <c r="B1629" s="499">
        <v>45526</v>
      </c>
      <c r="C1629" s="500" t="s">
        <v>173</v>
      </c>
      <c r="D1629" s="500" t="s">
        <v>760</v>
      </c>
      <c r="E1629" s="501">
        <v>2002088.79</v>
      </c>
      <c r="F1629" s="502" t="s">
        <v>878</v>
      </c>
      <c r="G1629" s="100" t="s">
        <v>589</v>
      </c>
      <c r="H1629" s="530"/>
      <c r="I1629" s="525"/>
      <c r="K1629" s="548"/>
      <c r="L1629" s="548"/>
      <c r="M1629" s="548"/>
      <c r="N1629" s="552"/>
      <c r="Y1629" s="551"/>
    </row>
    <row r="1630" spans="1:25">
      <c r="A1630" s="499">
        <v>45525</v>
      </c>
      <c r="B1630" s="499">
        <v>45526</v>
      </c>
      <c r="C1630" s="500" t="s">
        <v>173</v>
      </c>
      <c r="D1630" s="500" t="s">
        <v>760</v>
      </c>
      <c r="E1630" s="501">
        <v>3003133.17</v>
      </c>
      <c r="F1630" s="502" t="s">
        <v>878</v>
      </c>
      <c r="G1630" s="100" t="s">
        <v>589</v>
      </c>
      <c r="H1630" s="530"/>
      <c r="I1630" s="525"/>
      <c r="K1630" s="548"/>
      <c r="L1630" s="548"/>
      <c r="M1630" s="548"/>
      <c r="N1630" s="552"/>
      <c r="Y1630" s="551"/>
    </row>
    <row r="1631" spans="1:25">
      <c r="A1631" s="499">
        <v>45525</v>
      </c>
      <c r="B1631" s="499">
        <v>45526</v>
      </c>
      <c r="C1631" s="500" t="s">
        <v>173</v>
      </c>
      <c r="D1631" s="500" t="s">
        <v>760</v>
      </c>
      <c r="E1631" s="501">
        <v>3001324.6</v>
      </c>
      <c r="F1631" s="502" t="s">
        <v>878</v>
      </c>
      <c r="G1631" s="100" t="s">
        <v>603</v>
      </c>
      <c r="H1631" s="530"/>
      <c r="I1631" s="525"/>
      <c r="K1631" s="548"/>
      <c r="L1631" s="548"/>
      <c r="M1631" s="548"/>
      <c r="N1631" s="552"/>
      <c r="Y1631" s="551"/>
    </row>
    <row r="1632" spans="1:25">
      <c r="A1632" s="499">
        <v>45525</v>
      </c>
      <c r="B1632" s="499">
        <v>45526</v>
      </c>
      <c r="C1632" s="500" t="s">
        <v>173</v>
      </c>
      <c r="D1632" s="500" t="s">
        <v>760</v>
      </c>
      <c r="E1632" s="501">
        <v>2001608.38</v>
      </c>
      <c r="F1632" s="502" t="s">
        <v>878</v>
      </c>
      <c r="G1632" s="100" t="s">
        <v>476</v>
      </c>
      <c r="H1632" s="530"/>
      <c r="I1632" s="525"/>
      <c r="K1632" s="548"/>
      <c r="L1632" s="548"/>
      <c r="M1632" s="548"/>
      <c r="N1632" s="552"/>
      <c r="Y1632" s="551"/>
    </row>
    <row r="1633" spans="1:25">
      <c r="A1633" s="499">
        <v>45525</v>
      </c>
      <c r="B1633" s="499">
        <v>45526</v>
      </c>
      <c r="C1633" s="500" t="s">
        <v>173</v>
      </c>
      <c r="D1633" s="500" t="s">
        <v>760</v>
      </c>
      <c r="E1633" s="501">
        <v>3003530.85</v>
      </c>
      <c r="F1633" s="502" t="s">
        <v>878</v>
      </c>
      <c r="G1633" s="100" t="s">
        <v>818</v>
      </c>
      <c r="H1633" s="530"/>
      <c r="I1633" s="525"/>
      <c r="K1633" s="548"/>
      <c r="L1633" s="548"/>
      <c r="M1633" s="548"/>
      <c r="N1633" s="552"/>
      <c r="Y1633" s="551"/>
    </row>
    <row r="1634" spans="1:25">
      <c r="A1634" s="499">
        <v>45525</v>
      </c>
      <c r="B1634" s="499">
        <v>45526</v>
      </c>
      <c r="C1634" s="500" t="s">
        <v>173</v>
      </c>
      <c r="D1634" s="500" t="s">
        <v>760</v>
      </c>
      <c r="E1634" s="501">
        <v>2001542.93</v>
      </c>
      <c r="F1634" s="502" t="s">
        <v>878</v>
      </c>
      <c r="G1634" s="100" t="s">
        <v>551</v>
      </c>
      <c r="H1634" s="530"/>
      <c r="I1634" s="525"/>
      <c r="K1634" s="548"/>
      <c r="L1634" s="548"/>
      <c r="M1634" s="548"/>
      <c r="N1634" s="552"/>
      <c r="Y1634" s="551"/>
    </row>
    <row r="1635" spans="1:25">
      <c r="A1635" s="499">
        <v>45525</v>
      </c>
      <c r="B1635" s="499">
        <v>45526</v>
      </c>
      <c r="C1635" s="500" t="s">
        <v>173</v>
      </c>
      <c r="D1635" s="500" t="s">
        <v>760</v>
      </c>
      <c r="E1635" s="501">
        <v>4003914.43</v>
      </c>
      <c r="F1635" s="502" t="s">
        <v>878</v>
      </c>
      <c r="G1635" s="100" t="s">
        <v>601</v>
      </c>
      <c r="H1635" s="530"/>
      <c r="I1635" s="525"/>
      <c r="K1635" s="548"/>
      <c r="L1635" s="548"/>
      <c r="M1635" s="548"/>
      <c r="N1635" s="552"/>
      <c r="Y1635" s="551"/>
    </row>
    <row r="1636" spans="1:25">
      <c r="A1636" s="499">
        <v>45525</v>
      </c>
      <c r="B1636" s="499">
        <v>45526</v>
      </c>
      <c r="C1636" s="500" t="s">
        <v>173</v>
      </c>
      <c r="D1636" s="500" t="s">
        <v>760</v>
      </c>
      <c r="E1636" s="501">
        <v>2001606.13</v>
      </c>
      <c r="F1636" s="502" t="s">
        <v>878</v>
      </c>
      <c r="G1636" s="100" t="s">
        <v>605</v>
      </c>
      <c r="H1636" s="530"/>
      <c r="I1636" s="525"/>
      <c r="K1636" s="548"/>
      <c r="L1636" s="548"/>
      <c r="M1636" s="548"/>
      <c r="N1636" s="552"/>
      <c r="Y1636" s="551"/>
    </row>
    <row r="1637" spans="1:25">
      <c r="A1637" s="499">
        <v>45525</v>
      </c>
      <c r="B1637" s="499">
        <v>45526</v>
      </c>
      <c r="C1637" s="500" t="s">
        <v>173</v>
      </c>
      <c r="D1637" s="500" t="s">
        <v>760</v>
      </c>
      <c r="E1637" s="501">
        <v>2001556.81</v>
      </c>
      <c r="F1637" s="502" t="s">
        <v>878</v>
      </c>
      <c r="G1637" s="100" t="s">
        <v>593</v>
      </c>
      <c r="H1637" s="530"/>
      <c r="I1637" s="525"/>
      <c r="K1637" s="548"/>
      <c r="L1637" s="548"/>
      <c r="M1637" s="548"/>
      <c r="N1637" s="552"/>
      <c r="Y1637" s="551"/>
    </row>
    <row r="1638" spans="1:25">
      <c r="A1638" s="499">
        <v>45525</v>
      </c>
      <c r="B1638" s="499">
        <v>45526</v>
      </c>
      <c r="C1638" s="500" t="s">
        <v>173</v>
      </c>
      <c r="D1638" s="500" t="s">
        <v>760</v>
      </c>
      <c r="E1638" s="501">
        <v>4002039.18</v>
      </c>
      <c r="F1638" s="502" t="s">
        <v>878</v>
      </c>
      <c r="G1638" s="100" t="s">
        <v>820</v>
      </c>
      <c r="H1638" s="530"/>
      <c r="I1638" s="525"/>
      <c r="K1638" s="548"/>
      <c r="L1638" s="548"/>
      <c r="M1638" s="548"/>
      <c r="N1638" s="552"/>
      <c r="Y1638" s="551"/>
    </row>
    <row r="1639" spans="1:25">
      <c r="A1639" s="499">
        <v>45525</v>
      </c>
      <c r="B1639" s="499">
        <v>45526</v>
      </c>
      <c r="C1639" s="500" t="s">
        <v>173</v>
      </c>
      <c r="D1639" s="500" t="s">
        <v>760</v>
      </c>
      <c r="E1639" s="501">
        <v>2001871.66</v>
      </c>
      <c r="F1639" s="502" t="s">
        <v>878</v>
      </c>
      <c r="G1639" s="100" t="s">
        <v>591</v>
      </c>
      <c r="H1639" s="530"/>
      <c r="I1639" s="525"/>
      <c r="K1639" s="548"/>
      <c r="L1639" s="548"/>
      <c r="M1639" s="548"/>
      <c r="N1639" s="552"/>
      <c r="Y1639" s="551"/>
    </row>
    <row r="1640" spans="1:25">
      <c r="A1640" s="499">
        <v>45525</v>
      </c>
      <c r="B1640" s="499">
        <v>45526</v>
      </c>
      <c r="C1640" s="500" t="s">
        <v>173</v>
      </c>
      <c r="D1640" s="500" t="s">
        <v>760</v>
      </c>
      <c r="E1640" s="501">
        <v>1000778.41</v>
      </c>
      <c r="F1640" s="502" t="s">
        <v>878</v>
      </c>
      <c r="G1640" s="100" t="s">
        <v>593</v>
      </c>
      <c r="H1640" s="530"/>
      <c r="I1640" s="525"/>
      <c r="K1640" s="548"/>
      <c r="L1640" s="548"/>
      <c r="M1640" s="548"/>
      <c r="N1640" s="552"/>
      <c r="Y1640" s="551"/>
    </row>
    <row r="1641" spans="1:25">
      <c r="A1641" s="499">
        <v>45525</v>
      </c>
      <c r="B1641" s="499">
        <v>45526</v>
      </c>
      <c r="C1641" s="500" t="s">
        <v>173</v>
      </c>
      <c r="D1641" s="500" t="s">
        <v>760</v>
      </c>
      <c r="E1641" s="501">
        <v>1000778.41</v>
      </c>
      <c r="F1641" s="502" t="s">
        <v>878</v>
      </c>
      <c r="G1641" s="100" t="s">
        <v>593</v>
      </c>
      <c r="H1641" s="530"/>
      <c r="I1641" s="525"/>
      <c r="K1641" s="548"/>
      <c r="L1641" s="548"/>
      <c r="M1641" s="548"/>
      <c r="N1641" s="552"/>
      <c r="Y1641" s="551"/>
    </row>
    <row r="1642" spans="1:25">
      <c r="A1642" s="499">
        <v>45525</v>
      </c>
      <c r="B1642" s="499">
        <v>45526</v>
      </c>
      <c r="C1642" s="500" t="s">
        <v>173</v>
      </c>
      <c r="D1642" s="500" t="s">
        <v>760</v>
      </c>
      <c r="E1642" s="501">
        <v>2000978.58</v>
      </c>
      <c r="F1642" s="502" t="s">
        <v>878</v>
      </c>
      <c r="G1642" s="100" t="s">
        <v>649</v>
      </c>
      <c r="H1642" s="530"/>
      <c r="I1642" s="525"/>
      <c r="K1642" s="548"/>
      <c r="L1642" s="548"/>
      <c r="M1642" s="548"/>
      <c r="N1642" s="552"/>
      <c r="Y1642" s="551"/>
    </row>
    <row r="1643" spans="1:25">
      <c r="A1643" s="499">
        <v>45525</v>
      </c>
      <c r="B1643" s="499">
        <v>45526</v>
      </c>
      <c r="C1643" s="500" t="s">
        <v>173</v>
      </c>
      <c r="D1643" s="500" t="s">
        <v>760</v>
      </c>
      <c r="E1643" s="501">
        <v>5002207.66</v>
      </c>
      <c r="F1643" s="502" t="s">
        <v>878</v>
      </c>
      <c r="G1643" s="100" t="s">
        <v>603</v>
      </c>
      <c r="H1643" s="530"/>
      <c r="I1643" s="525"/>
      <c r="K1643" s="548"/>
      <c r="L1643" s="548"/>
      <c r="M1643" s="548"/>
      <c r="N1643" s="552"/>
      <c r="Y1643" s="551"/>
    </row>
    <row r="1644" spans="1:25">
      <c r="A1644" s="499">
        <v>45525</v>
      </c>
      <c r="B1644" s="499">
        <v>45526</v>
      </c>
      <c r="C1644" s="500" t="s">
        <v>173</v>
      </c>
      <c r="D1644" s="500" t="s">
        <v>760</v>
      </c>
      <c r="E1644" s="501">
        <v>2001871.66</v>
      </c>
      <c r="F1644" s="502" t="s">
        <v>878</v>
      </c>
      <c r="G1644" s="100" t="s">
        <v>591</v>
      </c>
      <c r="H1644" s="530"/>
      <c r="I1644" s="525"/>
      <c r="K1644" s="548"/>
      <c r="L1644" s="548"/>
      <c r="M1644" s="548"/>
      <c r="N1644" s="552"/>
      <c r="Y1644" s="551"/>
    </row>
    <row r="1645" spans="1:25">
      <c r="A1645" s="499">
        <v>45525</v>
      </c>
      <c r="B1645" s="499">
        <v>45526</v>
      </c>
      <c r="C1645" s="500" t="s">
        <v>173</v>
      </c>
      <c r="D1645" s="500" t="s">
        <v>760</v>
      </c>
      <c r="E1645" s="501">
        <v>1000932.43</v>
      </c>
      <c r="F1645" s="502" t="s">
        <v>878</v>
      </c>
      <c r="G1645" s="100" t="s">
        <v>697</v>
      </c>
      <c r="H1645" s="530"/>
      <c r="I1645" s="525"/>
      <c r="K1645" s="548"/>
      <c r="L1645" s="548"/>
      <c r="M1645" s="548"/>
      <c r="N1645" s="552"/>
      <c r="Y1645" s="551"/>
    </row>
    <row r="1646" spans="1:25">
      <c r="A1646" s="499">
        <v>45525</v>
      </c>
      <c r="B1646" s="499">
        <v>45526</v>
      </c>
      <c r="C1646" s="500" t="s">
        <v>173</v>
      </c>
      <c r="D1646" s="500" t="s">
        <v>760</v>
      </c>
      <c r="E1646" s="501">
        <v>4003212.25</v>
      </c>
      <c r="F1646" s="502" t="s">
        <v>878</v>
      </c>
      <c r="G1646" s="100" t="s">
        <v>605</v>
      </c>
      <c r="H1646" s="530"/>
      <c r="I1646" s="525"/>
      <c r="K1646" s="548"/>
      <c r="L1646" s="548"/>
      <c r="M1646" s="548"/>
      <c r="N1646" s="552"/>
      <c r="Y1646" s="551"/>
    </row>
    <row r="1647" spans="1:25">
      <c r="A1647" s="499">
        <v>45525</v>
      </c>
      <c r="B1647" s="499">
        <v>45526</v>
      </c>
      <c r="C1647" s="500" t="s">
        <v>173</v>
      </c>
      <c r="D1647" s="500" t="s">
        <v>760</v>
      </c>
      <c r="E1647" s="501">
        <v>6005871.6500000004</v>
      </c>
      <c r="F1647" s="502" t="s">
        <v>878</v>
      </c>
      <c r="G1647" s="100" t="s">
        <v>601</v>
      </c>
      <c r="H1647" s="530"/>
      <c r="I1647" s="525"/>
      <c r="K1647" s="548"/>
      <c r="L1647" s="548"/>
      <c r="M1647" s="548"/>
      <c r="N1647" s="552"/>
      <c r="Y1647" s="551"/>
    </row>
    <row r="1648" spans="1:25">
      <c r="A1648" s="499">
        <v>45525</v>
      </c>
      <c r="B1648" s="499">
        <v>45526</v>
      </c>
      <c r="C1648" s="500" t="s">
        <v>173</v>
      </c>
      <c r="D1648" s="500" t="s">
        <v>760</v>
      </c>
      <c r="E1648" s="501">
        <v>6004628.7999999998</v>
      </c>
      <c r="F1648" s="502" t="s">
        <v>878</v>
      </c>
      <c r="G1648" s="100" t="s">
        <v>551</v>
      </c>
      <c r="H1648" s="530"/>
      <c r="I1648" s="525"/>
      <c r="K1648" s="548"/>
      <c r="L1648" s="548"/>
      <c r="M1648" s="548"/>
      <c r="N1648" s="552"/>
      <c r="Y1648" s="551"/>
    </row>
    <row r="1649" spans="1:25">
      <c r="A1649" s="499">
        <v>45525</v>
      </c>
      <c r="B1649" s="499">
        <v>45526</v>
      </c>
      <c r="C1649" s="500" t="s">
        <v>173</v>
      </c>
      <c r="D1649" s="500" t="s">
        <v>760</v>
      </c>
      <c r="E1649" s="501">
        <v>6002307.1600000001</v>
      </c>
      <c r="F1649" s="502" t="s">
        <v>878</v>
      </c>
      <c r="G1649" s="100" t="s">
        <v>448</v>
      </c>
      <c r="H1649" s="530"/>
      <c r="I1649" s="525"/>
      <c r="K1649" s="548"/>
      <c r="L1649" s="548"/>
      <c r="M1649" s="548"/>
      <c r="N1649" s="552"/>
      <c r="Y1649" s="551"/>
    </row>
    <row r="1650" spans="1:25">
      <c r="A1650" s="499">
        <v>45525</v>
      </c>
      <c r="B1650" s="499">
        <v>45526</v>
      </c>
      <c r="C1650" s="500" t="s">
        <v>173</v>
      </c>
      <c r="D1650" s="500" t="s">
        <v>760</v>
      </c>
      <c r="E1650" s="501">
        <v>7003947.71</v>
      </c>
      <c r="F1650" s="502" t="s">
        <v>878</v>
      </c>
      <c r="G1650" s="100" t="s">
        <v>90</v>
      </c>
      <c r="H1650" s="530"/>
      <c r="I1650" s="525"/>
      <c r="K1650" s="548"/>
      <c r="L1650" s="548"/>
      <c r="M1650" s="548"/>
      <c r="N1650" s="552"/>
      <c r="Y1650" s="551"/>
    </row>
    <row r="1651" spans="1:25">
      <c r="A1651" s="499">
        <v>45525</v>
      </c>
      <c r="B1651" s="499">
        <v>45526</v>
      </c>
      <c r="C1651" s="500" t="s">
        <v>173</v>
      </c>
      <c r="D1651" s="500" t="s">
        <v>760</v>
      </c>
      <c r="E1651" s="501">
        <v>1001032.48</v>
      </c>
      <c r="F1651" s="502" t="s">
        <v>878</v>
      </c>
      <c r="G1651" s="100" t="s">
        <v>599</v>
      </c>
      <c r="H1651" s="530"/>
      <c r="I1651" s="525"/>
      <c r="K1651" s="548"/>
      <c r="L1651" s="548"/>
      <c r="M1651" s="548"/>
      <c r="N1651" s="552"/>
      <c r="Y1651" s="551"/>
    </row>
    <row r="1652" spans="1:25">
      <c r="A1652" s="499">
        <v>45525</v>
      </c>
      <c r="B1652" s="499">
        <v>45526</v>
      </c>
      <c r="C1652" s="500" t="s">
        <v>173</v>
      </c>
      <c r="D1652" s="500" t="s">
        <v>760</v>
      </c>
      <c r="E1652" s="501">
        <v>1000563.96</v>
      </c>
      <c r="F1652" s="502" t="s">
        <v>878</v>
      </c>
      <c r="G1652" s="100" t="s">
        <v>90</v>
      </c>
      <c r="H1652" s="530"/>
      <c r="I1652" s="525"/>
      <c r="K1652" s="548"/>
      <c r="L1652" s="548"/>
      <c r="M1652" s="548"/>
      <c r="N1652" s="552"/>
      <c r="Y1652" s="551"/>
    </row>
    <row r="1653" spans="1:25">
      <c r="A1653" s="499">
        <v>45525</v>
      </c>
      <c r="B1653" s="499">
        <v>45526</v>
      </c>
      <c r="C1653" s="500" t="s">
        <v>173</v>
      </c>
      <c r="D1653" s="500" t="s">
        <v>760</v>
      </c>
      <c r="E1653" s="501">
        <v>1000978.61</v>
      </c>
      <c r="F1653" s="502" t="s">
        <v>878</v>
      </c>
      <c r="G1653" s="100" t="s">
        <v>601</v>
      </c>
      <c r="H1653" s="530"/>
      <c r="I1653" s="525"/>
      <c r="K1653" s="548"/>
      <c r="L1653" s="548"/>
      <c r="M1653" s="548"/>
      <c r="N1653" s="552"/>
      <c r="Y1653" s="551"/>
    </row>
    <row r="1654" spans="1:25">
      <c r="A1654" s="499">
        <v>45525</v>
      </c>
      <c r="B1654" s="499">
        <v>45526</v>
      </c>
      <c r="C1654" s="500" t="s">
        <v>173</v>
      </c>
      <c r="D1654" s="500" t="s">
        <v>760</v>
      </c>
      <c r="E1654" s="501">
        <v>1001322.25</v>
      </c>
      <c r="F1654" s="502" t="s">
        <v>878</v>
      </c>
      <c r="G1654" s="100" t="s">
        <v>453</v>
      </c>
      <c r="H1654" s="530"/>
      <c r="I1654" s="525"/>
      <c r="K1654" s="548"/>
      <c r="L1654" s="548"/>
      <c r="M1654" s="548"/>
      <c r="N1654" s="552"/>
      <c r="Y1654" s="551"/>
    </row>
    <row r="1655" spans="1:25">
      <c r="A1655" s="499">
        <v>45525</v>
      </c>
      <c r="B1655" s="499">
        <v>45526</v>
      </c>
      <c r="C1655" s="500" t="s">
        <v>173</v>
      </c>
      <c r="D1655" s="500" t="s">
        <v>760</v>
      </c>
      <c r="E1655" s="501">
        <v>1000771.46</v>
      </c>
      <c r="F1655" s="502" t="s">
        <v>878</v>
      </c>
      <c r="G1655" s="100" t="s">
        <v>551</v>
      </c>
      <c r="H1655" s="530"/>
      <c r="I1655" s="525"/>
      <c r="K1655" s="548"/>
      <c r="L1655" s="548"/>
      <c r="M1655" s="548"/>
      <c r="N1655" s="552"/>
      <c r="Y1655" s="551"/>
    </row>
    <row r="1656" spans="1:25">
      <c r="A1656" s="499">
        <v>45525</v>
      </c>
      <c r="B1656" s="499">
        <v>45526</v>
      </c>
      <c r="C1656" s="500" t="s">
        <v>173</v>
      </c>
      <c r="D1656" s="500" t="s">
        <v>760</v>
      </c>
      <c r="E1656" s="501">
        <v>5004015.32</v>
      </c>
      <c r="F1656" s="502" t="s">
        <v>878</v>
      </c>
      <c r="G1656" s="100" t="s">
        <v>605</v>
      </c>
      <c r="H1656" s="530"/>
      <c r="I1656" s="525"/>
      <c r="K1656" s="548"/>
      <c r="L1656" s="548"/>
      <c r="M1656" s="548"/>
      <c r="N1656" s="552"/>
      <c r="Y1656" s="551"/>
    </row>
    <row r="1657" spans="1:25">
      <c r="A1657" s="499">
        <v>45525</v>
      </c>
      <c r="B1657" s="499">
        <v>45526</v>
      </c>
      <c r="C1657" s="500" t="s">
        <v>173</v>
      </c>
      <c r="D1657" s="500" t="s">
        <v>760</v>
      </c>
      <c r="E1657" s="501">
        <v>5001922.63</v>
      </c>
      <c r="F1657" s="502" t="s">
        <v>878</v>
      </c>
      <c r="G1657" s="100" t="s">
        <v>448</v>
      </c>
      <c r="H1657" s="530"/>
      <c r="I1657" s="525"/>
      <c r="K1657" s="548"/>
      <c r="L1657" s="548"/>
      <c r="M1657" s="548"/>
      <c r="N1657" s="552"/>
      <c r="Y1657" s="551"/>
    </row>
    <row r="1658" spans="1:25">
      <c r="A1658" s="499">
        <v>45525</v>
      </c>
      <c r="B1658" s="499">
        <v>45526</v>
      </c>
      <c r="C1658" s="500" t="s">
        <v>173</v>
      </c>
      <c r="D1658" s="500" t="s">
        <v>760</v>
      </c>
      <c r="E1658" s="501">
        <v>1000771.46</v>
      </c>
      <c r="F1658" s="502" t="s">
        <v>878</v>
      </c>
      <c r="G1658" s="100" t="s">
        <v>551</v>
      </c>
      <c r="H1658" s="530"/>
      <c r="I1658" s="525"/>
      <c r="K1658" s="548"/>
      <c r="L1658" s="548"/>
      <c r="M1658" s="548"/>
      <c r="N1658" s="552"/>
      <c r="Y1658" s="551"/>
    </row>
    <row r="1659" spans="1:25">
      <c r="A1659" s="499">
        <v>45525</v>
      </c>
      <c r="B1659" s="499">
        <v>45526</v>
      </c>
      <c r="C1659" s="500" t="s">
        <v>173</v>
      </c>
      <c r="D1659" s="500" t="s">
        <v>760</v>
      </c>
      <c r="E1659" s="501">
        <v>1001044.39</v>
      </c>
      <c r="F1659" s="502" t="s">
        <v>878</v>
      </c>
      <c r="G1659" s="100" t="s">
        <v>589</v>
      </c>
      <c r="H1659" s="530"/>
      <c r="I1659" s="525"/>
      <c r="K1659" s="548"/>
      <c r="L1659" s="548"/>
      <c r="M1659" s="548"/>
      <c r="N1659" s="552"/>
      <c r="Y1659" s="551"/>
    </row>
    <row r="1660" spans="1:25">
      <c r="A1660" s="499">
        <v>45525</v>
      </c>
      <c r="B1660" s="499">
        <v>45526</v>
      </c>
      <c r="C1660" s="500" t="s">
        <v>173</v>
      </c>
      <c r="D1660" s="500" t="s">
        <v>760</v>
      </c>
      <c r="E1660" s="501">
        <v>2001957.22</v>
      </c>
      <c r="F1660" s="502" t="s">
        <v>878</v>
      </c>
      <c r="G1660" s="100" t="s">
        <v>601</v>
      </c>
      <c r="H1660" s="530"/>
      <c r="I1660" s="525"/>
      <c r="K1660" s="548"/>
      <c r="L1660" s="548"/>
      <c r="M1660" s="548"/>
      <c r="N1660" s="552"/>
      <c r="Y1660" s="551"/>
    </row>
    <row r="1661" spans="1:25">
      <c r="A1661" s="499">
        <v>45525</v>
      </c>
      <c r="B1661" s="499">
        <v>45526</v>
      </c>
      <c r="C1661" s="500" t="s">
        <v>173</v>
      </c>
      <c r="D1661" s="500" t="s">
        <v>760</v>
      </c>
      <c r="E1661" s="501">
        <v>1000778.41</v>
      </c>
      <c r="F1661" s="502" t="s">
        <v>878</v>
      </c>
      <c r="G1661" s="100" t="s">
        <v>593</v>
      </c>
      <c r="H1661" s="530"/>
      <c r="I1661" s="525"/>
      <c r="K1661" s="548"/>
      <c r="L1661" s="548"/>
      <c r="M1661" s="548"/>
      <c r="N1661" s="552"/>
      <c r="Y1661" s="551"/>
    </row>
    <row r="1662" spans="1:25">
      <c r="A1662" s="499">
        <v>45525</v>
      </c>
      <c r="B1662" s="499">
        <v>45526</v>
      </c>
      <c r="C1662" s="500" t="s">
        <v>173</v>
      </c>
      <c r="D1662" s="500" t="s">
        <v>760</v>
      </c>
      <c r="E1662" s="501">
        <v>31023000.82</v>
      </c>
      <c r="F1662" s="502" t="s">
        <v>878</v>
      </c>
      <c r="G1662" s="100" t="s">
        <v>825</v>
      </c>
      <c r="H1662" s="530"/>
      <c r="I1662" s="525"/>
      <c r="K1662" s="548"/>
      <c r="L1662" s="548"/>
      <c r="M1662" s="548"/>
      <c r="N1662" s="552"/>
      <c r="Y1662" s="551"/>
    </row>
    <row r="1663" spans="1:25">
      <c r="A1663" s="499">
        <v>45525</v>
      </c>
      <c r="B1663" s="499">
        <v>45526</v>
      </c>
      <c r="C1663" s="500" t="s">
        <v>173</v>
      </c>
      <c r="D1663" s="500" t="s">
        <v>760</v>
      </c>
      <c r="E1663" s="501">
        <v>30028074.870000001</v>
      </c>
      <c r="F1663" s="502" t="s">
        <v>878</v>
      </c>
      <c r="G1663" s="100" t="s">
        <v>591</v>
      </c>
      <c r="H1663" s="530"/>
      <c r="I1663" s="525"/>
      <c r="K1663" s="548"/>
      <c r="L1663" s="548"/>
      <c r="M1663" s="548"/>
      <c r="N1663" s="552"/>
      <c r="Y1663" s="551"/>
    </row>
    <row r="1664" spans="1:25">
      <c r="A1664" s="499">
        <v>45525</v>
      </c>
      <c r="B1664" s="499">
        <v>45526</v>
      </c>
      <c r="C1664" s="500" t="s">
        <v>173</v>
      </c>
      <c r="D1664" s="500" t="s">
        <v>760</v>
      </c>
      <c r="E1664" s="501">
        <v>30015293.850000001</v>
      </c>
      <c r="F1664" s="502" t="s">
        <v>878</v>
      </c>
      <c r="G1664" s="100" t="s">
        <v>820</v>
      </c>
      <c r="H1664" s="530"/>
      <c r="I1664" s="525"/>
      <c r="K1664" s="548"/>
      <c r="L1664" s="548"/>
      <c r="M1664" s="548"/>
      <c r="N1664" s="552"/>
      <c r="Y1664" s="551"/>
    </row>
    <row r="1665" spans="1:25">
      <c r="A1665" s="499">
        <v>45525</v>
      </c>
      <c r="B1665" s="499">
        <v>45526</v>
      </c>
      <c r="C1665" s="500" t="s">
        <v>173</v>
      </c>
      <c r="D1665" s="500" t="s">
        <v>760</v>
      </c>
      <c r="E1665" s="501">
        <v>33030406</v>
      </c>
      <c r="F1665" s="502" t="s">
        <v>878</v>
      </c>
      <c r="G1665" s="100" t="s">
        <v>91</v>
      </c>
      <c r="H1665" s="530"/>
      <c r="I1665" s="525"/>
      <c r="K1665" s="548"/>
      <c r="L1665" s="548"/>
      <c r="M1665" s="548"/>
      <c r="N1665" s="552"/>
      <c r="Y1665" s="551"/>
    </row>
    <row r="1666" spans="1:25">
      <c r="A1666" s="499">
        <v>45525</v>
      </c>
      <c r="B1666" s="499">
        <v>45526</v>
      </c>
      <c r="C1666" s="500" t="s">
        <v>173</v>
      </c>
      <c r="D1666" s="500" t="s">
        <v>760</v>
      </c>
      <c r="E1666" s="501">
        <v>28018887.359999999</v>
      </c>
      <c r="F1666" s="502" t="s">
        <v>878</v>
      </c>
      <c r="G1666" s="100" t="s">
        <v>81</v>
      </c>
      <c r="H1666" s="530"/>
      <c r="I1666" s="525"/>
      <c r="K1666" s="548"/>
      <c r="L1666" s="548"/>
      <c r="M1666" s="548"/>
      <c r="N1666" s="552"/>
      <c r="Y1666" s="551"/>
    </row>
    <row r="1667" spans="1:25">
      <c r="A1667" s="499">
        <v>45525</v>
      </c>
      <c r="B1667" s="499">
        <v>45526</v>
      </c>
      <c r="C1667" s="500" t="s">
        <v>173</v>
      </c>
      <c r="D1667" s="500" t="s">
        <v>760</v>
      </c>
      <c r="E1667" s="501">
        <v>41015059.439999998</v>
      </c>
      <c r="F1667" s="502" t="s">
        <v>878</v>
      </c>
      <c r="G1667" s="100" t="s">
        <v>92</v>
      </c>
      <c r="H1667" s="530"/>
      <c r="I1667" s="525"/>
      <c r="K1667" s="548"/>
      <c r="L1667" s="548"/>
      <c r="M1667" s="548"/>
      <c r="N1667" s="552"/>
      <c r="Y1667" s="551"/>
    </row>
    <row r="1668" spans="1:25">
      <c r="A1668" s="499">
        <v>45525</v>
      </c>
      <c r="B1668" s="499">
        <v>45526</v>
      </c>
      <c r="C1668" s="500" t="s">
        <v>173</v>
      </c>
      <c r="D1668" s="500" t="s">
        <v>760</v>
      </c>
      <c r="E1668" s="501">
        <v>40030858.68</v>
      </c>
      <c r="F1668" s="502" t="s">
        <v>878</v>
      </c>
      <c r="G1668" s="100" t="s">
        <v>551</v>
      </c>
      <c r="H1668" s="530"/>
      <c r="I1668" s="525"/>
      <c r="K1668" s="548"/>
      <c r="L1668" s="548"/>
      <c r="M1668" s="548"/>
      <c r="N1668" s="552"/>
      <c r="Y1668" s="551"/>
    </row>
    <row r="1669" spans="1:25">
      <c r="A1669" s="499">
        <v>45525</v>
      </c>
      <c r="B1669" s="499">
        <v>45526</v>
      </c>
      <c r="C1669" s="500" t="s">
        <v>173</v>
      </c>
      <c r="D1669" s="500" t="s">
        <v>760</v>
      </c>
      <c r="E1669" s="501">
        <v>26019291.010000002</v>
      </c>
      <c r="F1669" s="502" t="s">
        <v>878</v>
      </c>
      <c r="G1669" s="100" t="s">
        <v>825</v>
      </c>
      <c r="H1669" s="530"/>
      <c r="I1669" s="525"/>
      <c r="K1669" s="548"/>
      <c r="L1669" s="548"/>
      <c r="M1669" s="548"/>
      <c r="N1669" s="552"/>
      <c r="Y1669" s="551"/>
    </row>
    <row r="1670" spans="1:25">
      <c r="A1670" s="499">
        <v>45525</v>
      </c>
      <c r="B1670" s="499">
        <v>45526</v>
      </c>
      <c r="C1670" s="500" t="s">
        <v>173</v>
      </c>
      <c r="D1670" s="500" t="s">
        <v>760</v>
      </c>
      <c r="E1670" s="501">
        <v>37027895.299999997</v>
      </c>
      <c r="F1670" s="502" t="s">
        <v>878</v>
      </c>
      <c r="G1670" s="100" t="s">
        <v>93</v>
      </c>
      <c r="H1670" s="530"/>
      <c r="I1670" s="525"/>
      <c r="K1670" s="548"/>
      <c r="L1670" s="548"/>
      <c r="M1670" s="548"/>
      <c r="N1670" s="552"/>
      <c r="Y1670" s="551"/>
    </row>
    <row r="1671" spans="1:25">
      <c r="A1671" s="499">
        <v>45525</v>
      </c>
      <c r="B1671" s="499">
        <v>45526</v>
      </c>
      <c r="C1671" s="500" t="s">
        <v>173</v>
      </c>
      <c r="D1671" s="500" t="s">
        <v>760</v>
      </c>
      <c r="E1671" s="501">
        <v>23024021</v>
      </c>
      <c r="F1671" s="502" t="s">
        <v>878</v>
      </c>
      <c r="G1671" s="100" t="s">
        <v>589</v>
      </c>
      <c r="H1671" s="530"/>
      <c r="I1671" s="525"/>
      <c r="K1671" s="548"/>
      <c r="L1671" s="548"/>
      <c r="M1671" s="548"/>
      <c r="N1671" s="552"/>
      <c r="Y1671" s="551"/>
    </row>
    <row r="1672" spans="1:25">
      <c r="A1672" s="499">
        <v>45525</v>
      </c>
      <c r="B1672" s="499">
        <v>45526</v>
      </c>
      <c r="C1672" s="500" t="s">
        <v>173</v>
      </c>
      <c r="D1672" s="500" t="s">
        <v>760</v>
      </c>
      <c r="E1672" s="501">
        <v>24014959.390000001</v>
      </c>
      <c r="F1672" s="502" t="s">
        <v>878</v>
      </c>
      <c r="G1672" s="100" t="s">
        <v>61</v>
      </c>
      <c r="H1672" s="530"/>
      <c r="I1672" s="525"/>
      <c r="K1672" s="548"/>
      <c r="L1672" s="548"/>
      <c r="M1672" s="548"/>
      <c r="N1672" s="552"/>
      <c r="Y1672" s="551"/>
    </row>
    <row r="1673" spans="1:25">
      <c r="A1673" s="499">
        <v>45525</v>
      </c>
      <c r="B1673" s="499">
        <v>45526</v>
      </c>
      <c r="C1673" s="500" t="s">
        <v>173</v>
      </c>
      <c r="D1673" s="500" t="s">
        <v>760</v>
      </c>
      <c r="E1673" s="501">
        <v>15011129.43</v>
      </c>
      <c r="F1673" s="502" t="s">
        <v>878</v>
      </c>
      <c r="G1673" s="100" t="s">
        <v>825</v>
      </c>
      <c r="H1673" s="530"/>
      <c r="I1673" s="525"/>
      <c r="K1673" s="548"/>
      <c r="L1673" s="548"/>
      <c r="M1673" s="548"/>
      <c r="N1673" s="552"/>
      <c r="Y1673" s="551"/>
    </row>
    <row r="1674" spans="1:25">
      <c r="A1674" s="499">
        <v>45525</v>
      </c>
      <c r="B1674" s="499">
        <v>45526</v>
      </c>
      <c r="C1674" s="500" t="s">
        <v>173</v>
      </c>
      <c r="D1674" s="500" t="s">
        <v>760</v>
      </c>
      <c r="E1674" s="501">
        <v>19014789.73</v>
      </c>
      <c r="F1674" s="502" t="s">
        <v>878</v>
      </c>
      <c r="G1674" s="100" t="s">
        <v>593</v>
      </c>
      <c r="H1674" s="530"/>
      <c r="I1674" s="525"/>
      <c r="K1674" s="548"/>
      <c r="L1674" s="548"/>
      <c r="M1674" s="548"/>
      <c r="N1674" s="552"/>
      <c r="Y1674" s="551"/>
    </row>
    <row r="1675" spans="1:25">
      <c r="A1675" s="499">
        <v>45525</v>
      </c>
      <c r="B1675" s="499">
        <v>45526</v>
      </c>
      <c r="C1675" s="500" t="s">
        <v>173</v>
      </c>
      <c r="D1675" s="500" t="s">
        <v>760</v>
      </c>
      <c r="E1675" s="501">
        <v>11010513.92</v>
      </c>
      <c r="F1675" s="502" t="s">
        <v>878</v>
      </c>
      <c r="G1675" s="100" t="s">
        <v>745</v>
      </c>
      <c r="H1675" s="530"/>
      <c r="I1675" s="525"/>
      <c r="K1675" s="548"/>
      <c r="L1675" s="548"/>
      <c r="M1675" s="548"/>
      <c r="N1675" s="552"/>
      <c r="Y1675" s="551"/>
    </row>
    <row r="1676" spans="1:25">
      <c r="A1676" s="499">
        <v>45525</v>
      </c>
      <c r="B1676" s="499">
        <v>45526</v>
      </c>
      <c r="C1676" s="500" t="s">
        <v>173</v>
      </c>
      <c r="D1676" s="500" t="s">
        <v>760</v>
      </c>
      <c r="E1676" s="501">
        <v>47037744.009999998</v>
      </c>
      <c r="F1676" s="502" t="s">
        <v>878</v>
      </c>
      <c r="G1676" s="100" t="s">
        <v>605</v>
      </c>
      <c r="H1676" s="530"/>
      <c r="I1676" s="525"/>
      <c r="K1676" s="548"/>
      <c r="L1676" s="548"/>
      <c r="M1676" s="548"/>
      <c r="N1676" s="552"/>
      <c r="Y1676" s="551"/>
    </row>
    <row r="1677" spans="1:25">
      <c r="A1677" s="499">
        <v>45525</v>
      </c>
      <c r="B1677" s="499">
        <v>45526</v>
      </c>
      <c r="C1677" s="500" t="s">
        <v>173</v>
      </c>
      <c r="D1677" s="500" t="s">
        <v>760</v>
      </c>
      <c r="E1677" s="501">
        <v>22011215.489999998</v>
      </c>
      <c r="F1677" s="502" t="s">
        <v>878</v>
      </c>
      <c r="G1677" s="100" t="s">
        <v>820</v>
      </c>
      <c r="H1677" s="530"/>
      <c r="I1677" s="525"/>
      <c r="K1677" s="548"/>
      <c r="L1677" s="548"/>
      <c r="M1677" s="548"/>
      <c r="N1677" s="552"/>
      <c r="Y1677" s="551"/>
    </row>
    <row r="1678" spans="1:25">
      <c r="A1678" s="499">
        <v>45525</v>
      </c>
      <c r="B1678" s="499">
        <v>45526</v>
      </c>
      <c r="C1678" s="500" t="s">
        <v>173</v>
      </c>
      <c r="D1678" s="500" t="s">
        <v>760</v>
      </c>
      <c r="E1678" s="501">
        <v>65082386.07</v>
      </c>
      <c r="F1678" s="502" t="s">
        <v>878</v>
      </c>
      <c r="G1678" s="100" t="s">
        <v>595</v>
      </c>
      <c r="H1678" s="530"/>
      <c r="I1678" s="525"/>
      <c r="K1678" s="548"/>
      <c r="L1678" s="548"/>
      <c r="M1678" s="548"/>
      <c r="N1678" s="552"/>
      <c r="Y1678" s="551"/>
    </row>
    <row r="1679" spans="1:25">
      <c r="A1679" s="499">
        <v>45525</v>
      </c>
      <c r="B1679" s="499">
        <v>45526</v>
      </c>
      <c r="C1679" s="500" t="s">
        <v>173</v>
      </c>
      <c r="D1679" s="500" t="s">
        <v>760</v>
      </c>
      <c r="E1679" s="501">
        <v>42049431.950000003</v>
      </c>
      <c r="F1679" s="502" t="s">
        <v>878</v>
      </c>
      <c r="G1679" s="100" t="s">
        <v>818</v>
      </c>
      <c r="H1679" s="530"/>
      <c r="I1679" s="525"/>
      <c r="K1679" s="548"/>
      <c r="L1679" s="548"/>
      <c r="M1679" s="548"/>
      <c r="N1679" s="552"/>
      <c r="Y1679" s="551"/>
    </row>
    <row r="1680" spans="1:25">
      <c r="A1680" s="499">
        <v>45525</v>
      </c>
      <c r="B1680" s="499">
        <v>45526</v>
      </c>
      <c r="C1680" s="500" t="s">
        <v>173</v>
      </c>
      <c r="D1680" s="500" t="s">
        <v>760</v>
      </c>
      <c r="E1680" s="501">
        <v>22022976.609999999</v>
      </c>
      <c r="F1680" s="502" t="s">
        <v>878</v>
      </c>
      <c r="G1680" s="100" t="s">
        <v>589</v>
      </c>
      <c r="H1680" s="530"/>
      <c r="I1680" s="525"/>
      <c r="K1680" s="548"/>
      <c r="L1680" s="548"/>
      <c r="M1680" s="548"/>
      <c r="N1680" s="552"/>
      <c r="Y1680" s="551"/>
    </row>
    <row r="1681" spans="1:25">
      <c r="A1681" s="499">
        <v>45525</v>
      </c>
      <c r="B1681" s="499">
        <v>45526</v>
      </c>
      <c r="C1681" s="500" t="s">
        <v>173</v>
      </c>
      <c r="D1681" s="500" t="s">
        <v>760</v>
      </c>
      <c r="E1681" s="501">
        <v>13006888.92</v>
      </c>
      <c r="F1681" s="502" t="s">
        <v>878</v>
      </c>
      <c r="G1681" s="100" t="s">
        <v>526</v>
      </c>
      <c r="H1681" s="530"/>
      <c r="I1681" s="525"/>
      <c r="K1681" s="548"/>
      <c r="L1681" s="548"/>
      <c r="M1681" s="548"/>
      <c r="N1681" s="552"/>
      <c r="Y1681" s="551"/>
    </row>
    <row r="1682" spans="1:25">
      <c r="A1682" s="499">
        <v>45525</v>
      </c>
      <c r="B1682" s="499">
        <v>45526</v>
      </c>
      <c r="C1682" s="500" t="s">
        <v>173</v>
      </c>
      <c r="D1682" s="500" t="s">
        <v>760</v>
      </c>
      <c r="E1682" s="501">
        <v>7007847.5</v>
      </c>
      <c r="F1682" s="502" t="s">
        <v>878</v>
      </c>
      <c r="G1682" s="100" t="s">
        <v>822</v>
      </c>
      <c r="H1682" s="530"/>
      <c r="I1682" s="525"/>
      <c r="K1682" s="548"/>
      <c r="L1682" s="548"/>
      <c r="M1682" s="548"/>
      <c r="N1682" s="552"/>
      <c r="Y1682" s="551"/>
    </row>
    <row r="1683" spans="1:25">
      <c r="A1683" s="499">
        <v>45525</v>
      </c>
      <c r="B1683" s="499">
        <v>45526</v>
      </c>
      <c r="C1683" s="500" t="s">
        <v>173</v>
      </c>
      <c r="D1683" s="500" t="s">
        <v>760</v>
      </c>
      <c r="E1683" s="501">
        <v>69030465.650000006</v>
      </c>
      <c r="F1683" s="502" t="s">
        <v>878</v>
      </c>
      <c r="G1683" s="100" t="s">
        <v>603</v>
      </c>
      <c r="H1683" s="530"/>
      <c r="I1683" s="525"/>
      <c r="K1683" s="548"/>
      <c r="L1683" s="548"/>
      <c r="M1683" s="548"/>
      <c r="N1683" s="552"/>
      <c r="Y1683" s="551"/>
    </row>
    <row r="1684" spans="1:25">
      <c r="A1684" s="499">
        <v>45525</v>
      </c>
      <c r="B1684" s="499">
        <v>45526</v>
      </c>
      <c r="C1684" s="500" t="s">
        <v>173</v>
      </c>
      <c r="D1684" s="500" t="s">
        <v>760</v>
      </c>
      <c r="E1684" s="501">
        <v>8007459.4800000004</v>
      </c>
      <c r="F1684" s="502" t="s">
        <v>878</v>
      </c>
      <c r="G1684" s="100" t="s">
        <v>697</v>
      </c>
      <c r="H1684" s="530"/>
      <c r="I1684" s="525"/>
      <c r="K1684" s="548"/>
      <c r="L1684" s="548"/>
      <c r="M1684" s="548"/>
      <c r="N1684" s="552"/>
      <c r="Y1684" s="551"/>
    </row>
    <row r="1685" spans="1:25">
      <c r="A1685" s="499">
        <v>45525</v>
      </c>
      <c r="B1685" s="499">
        <v>45526</v>
      </c>
      <c r="C1685" s="500" t="s">
        <v>173</v>
      </c>
      <c r="D1685" s="500" t="s">
        <v>760</v>
      </c>
      <c r="E1685" s="501">
        <v>9007227.5700000003</v>
      </c>
      <c r="F1685" s="502" t="s">
        <v>878</v>
      </c>
      <c r="G1685" s="100" t="s">
        <v>605</v>
      </c>
      <c r="H1685" s="530"/>
      <c r="I1685" s="525"/>
      <c r="K1685" s="548"/>
      <c r="L1685" s="548"/>
      <c r="M1685" s="548"/>
      <c r="N1685" s="552"/>
      <c r="Y1685" s="551"/>
    </row>
    <row r="1686" spans="1:25">
      <c r="A1686" s="499">
        <v>45525</v>
      </c>
      <c r="B1686" s="499">
        <v>45526</v>
      </c>
      <c r="C1686" s="500" t="s">
        <v>173</v>
      </c>
      <c r="D1686" s="500" t="s">
        <v>760</v>
      </c>
      <c r="E1686" s="501">
        <v>61042315.969999999</v>
      </c>
      <c r="F1686" s="502" t="s">
        <v>878</v>
      </c>
      <c r="G1686" s="100" t="s">
        <v>84</v>
      </c>
      <c r="H1686" s="530"/>
      <c r="I1686" s="525"/>
      <c r="K1686" s="548"/>
      <c r="L1686" s="548"/>
      <c r="M1686" s="548"/>
      <c r="N1686" s="552"/>
      <c r="Y1686" s="551"/>
    </row>
    <row r="1687" spans="1:25">
      <c r="A1687" s="499">
        <v>45525</v>
      </c>
      <c r="B1687" s="499">
        <v>45526</v>
      </c>
      <c r="C1687" s="500" t="s">
        <v>173</v>
      </c>
      <c r="D1687" s="500" t="s">
        <v>760</v>
      </c>
      <c r="E1687" s="501">
        <v>7002691.6799999997</v>
      </c>
      <c r="F1687" s="502" t="s">
        <v>878</v>
      </c>
      <c r="G1687" s="100" t="s">
        <v>448</v>
      </c>
      <c r="H1687" s="530"/>
      <c r="I1687" s="525"/>
      <c r="K1687" s="548"/>
      <c r="L1687" s="548"/>
      <c r="M1687" s="548"/>
      <c r="N1687" s="552"/>
      <c r="Y1687" s="551"/>
    </row>
    <row r="1688" spans="1:25">
      <c r="A1688" s="499">
        <v>45525</v>
      </c>
      <c r="B1688" s="499">
        <v>45526</v>
      </c>
      <c r="C1688" s="500" t="s">
        <v>173</v>
      </c>
      <c r="D1688" s="500" t="s">
        <v>760</v>
      </c>
      <c r="E1688" s="501">
        <v>52054308.350000001</v>
      </c>
      <c r="F1688" s="502" t="s">
        <v>878</v>
      </c>
      <c r="G1688" s="100" t="s">
        <v>589</v>
      </c>
      <c r="H1688" s="530"/>
      <c r="I1688" s="525"/>
      <c r="K1688" s="548"/>
      <c r="L1688" s="548"/>
      <c r="M1688" s="548"/>
      <c r="N1688" s="552"/>
      <c r="Y1688" s="551"/>
    </row>
    <row r="1689" spans="1:25">
      <c r="A1689" s="499">
        <v>45525</v>
      </c>
      <c r="B1689" s="499">
        <v>45526</v>
      </c>
      <c r="C1689" s="500" t="s">
        <v>173</v>
      </c>
      <c r="D1689" s="500" t="s">
        <v>760</v>
      </c>
      <c r="E1689" s="501">
        <v>15014337.17</v>
      </c>
      <c r="F1689" s="502" t="s">
        <v>878</v>
      </c>
      <c r="G1689" s="100" t="s">
        <v>745</v>
      </c>
      <c r="H1689" s="530"/>
      <c r="I1689" s="525"/>
      <c r="K1689" s="548"/>
      <c r="L1689" s="548"/>
      <c r="M1689" s="548"/>
      <c r="N1689" s="552"/>
      <c r="Y1689" s="551"/>
    </row>
    <row r="1690" spans="1:25">
      <c r="A1690" s="499">
        <v>45525</v>
      </c>
      <c r="B1690" s="499">
        <v>45526</v>
      </c>
      <c r="C1690" s="500" t="s">
        <v>173</v>
      </c>
      <c r="D1690" s="500" t="s">
        <v>760</v>
      </c>
      <c r="E1690" s="501">
        <v>7006527.04</v>
      </c>
      <c r="F1690" s="502" t="s">
        <v>878</v>
      </c>
      <c r="G1690" s="100" t="s">
        <v>697</v>
      </c>
      <c r="H1690" s="530"/>
      <c r="I1690" s="525"/>
      <c r="K1690" s="548"/>
      <c r="L1690" s="548"/>
      <c r="M1690" s="548"/>
      <c r="N1690" s="552"/>
      <c r="Y1690" s="551"/>
    </row>
    <row r="1691" spans="1:25">
      <c r="A1691" s="499">
        <v>45525</v>
      </c>
      <c r="B1691" s="499">
        <v>45526</v>
      </c>
      <c r="C1691" s="500" t="s">
        <v>173</v>
      </c>
      <c r="D1691" s="500" t="s">
        <v>760</v>
      </c>
      <c r="E1691" s="501">
        <v>19007306.010000002</v>
      </c>
      <c r="F1691" s="502" t="s">
        <v>878</v>
      </c>
      <c r="G1691" s="100" t="s">
        <v>448</v>
      </c>
      <c r="H1691" s="530"/>
      <c r="I1691" s="525"/>
      <c r="K1691" s="548"/>
      <c r="L1691" s="548"/>
      <c r="M1691" s="548"/>
      <c r="N1691" s="552"/>
      <c r="Y1691" s="551"/>
    </row>
    <row r="1692" spans="1:25">
      <c r="A1692" s="499">
        <v>45525</v>
      </c>
      <c r="B1692" s="499">
        <v>45526</v>
      </c>
      <c r="C1692" s="500" t="s">
        <v>173</v>
      </c>
      <c r="D1692" s="500" t="s">
        <v>760</v>
      </c>
      <c r="E1692" s="501">
        <v>18006921.48</v>
      </c>
      <c r="F1692" s="502" t="s">
        <v>878</v>
      </c>
      <c r="G1692" s="100" t="s">
        <v>448</v>
      </c>
      <c r="H1692" s="530"/>
      <c r="I1692" s="525"/>
      <c r="K1692" s="548"/>
      <c r="L1692" s="548"/>
      <c r="M1692" s="548"/>
      <c r="N1692" s="552"/>
      <c r="Y1692" s="551"/>
    </row>
    <row r="1693" spans="1:25">
      <c r="A1693" s="499">
        <v>45525</v>
      </c>
      <c r="B1693" s="499">
        <v>45526</v>
      </c>
      <c r="C1693" s="500" t="s">
        <v>173</v>
      </c>
      <c r="D1693" s="500" t="s">
        <v>760</v>
      </c>
      <c r="E1693" s="501">
        <v>10011491.01</v>
      </c>
      <c r="F1693" s="502" t="s">
        <v>878</v>
      </c>
      <c r="G1693" s="100" t="s">
        <v>597</v>
      </c>
      <c r="H1693" s="530"/>
      <c r="I1693" s="525"/>
      <c r="K1693" s="548"/>
      <c r="L1693" s="548"/>
      <c r="M1693" s="548"/>
      <c r="N1693" s="552"/>
      <c r="Y1693" s="551"/>
    </row>
    <row r="1694" spans="1:25">
      <c r="A1694" s="499">
        <v>45525</v>
      </c>
      <c r="B1694" s="499">
        <v>45526</v>
      </c>
      <c r="C1694" s="500" t="s">
        <v>173</v>
      </c>
      <c r="D1694" s="500" t="s">
        <v>760</v>
      </c>
      <c r="E1694" s="501">
        <v>19015258.210000001</v>
      </c>
      <c r="F1694" s="502" t="s">
        <v>878</v>
      </c>
      <c r="G1694" s="100" t="s">
        <v>605</v>
      </c>
      <c r="H1694" s="530"/>
      <c r="I1694" s="525"/>
      <c r="K1694" s="548"/>
      <c r="L1694" s="548"/>
      <c r="M1694" s="548"/>
      <c r="N1694" s="552"/>
      <c r="Y1694" s="551"/>
    </row>
    <row r="1695" spans="1:25">
      <c r="A1695" s="499">
        <v>45525</v>
      </c>
      <c r="B1695" s="499">
        <v>45526</v>
      </c>
      <c r="C1695" s="500" t="s">
        <v>173</v>
      </c>
      <c r="D1695" s="500" t="s">
        <v>760</v>
      </c>
      <c r="E1695" s="501">
        <v>8007459.4800000004</v>
      </c>
      <c r="F1695" s="502" t="s">
        <v>878</v>
      </c>
      <c r="G1695" s="100" t="s">
        <v>697</v>
      </c>
      <c r="H1695" s="530"/>
      <c r="I1695" s="525"/>
      <c r="K1695" s="548"/>
      <c r="L1695" s="548"/>
      <c r="M1695" s="548"/>
      <c r="N1695" s="552"/>
      <c r="Y1695" s="551"/>
    </row>
    <row r="1696" spans="1:25">
      <c r="A1696" s="499">
        <v>45525</v>
      </c>
      <c r="B1696" s="499">
        <v>45526</v>
      </c>
      <c r="C1696" s="500" t="s">
        <v>173</v>
      </c>
      <c r="D1696" s="500" t="s">
        <v>760</v>
      </c>
      <c r="E1696" s="501">
        <v>58065022.119999997</v>
      </c>
      <c r="F1696" s="502" t="s">
        <v>878</v>
      </c>
      <c r="G1696" s="100" t="s">
        <v>822</v>
      </c>
      <c r="H1696" s="530"/>
      <c r="I1696" s="525"/>
      <c r="K1696" s="548"/>
      <c r="L1696" s="548"/>
      <c r="M1696" s="548"/>
      <c r="N1696" s="552"/>
      <c r="Y1696" s="551"/>
    </row>
    <row r="1697" spans="1:25">
      <c r="A1697" s="499">
        <v>45525</v>
      </c>
      <c r="B1697" s="499">
        <v>45526</v>
      </c>
      <c r="C1697" s="500" t="s">
        <v>173</v>
      </c>
      <c r="D1697" s="500" t="s">
        <v>760</v>
      </c>
      <c r="E1697" s="501">
        <v>57075368.359999999</v>
      </c>
      <c r="F1697" s="502" t="s">
        <v>878</v>
      </c>
      <c r="G1697" s="100" t="s">
        <v>453</v>
      </c>
      <c r="H1697" s="530"/>
      <c r="I1697" s="525"/>
      <c r="K1697" s="548"/>
      <c r="L1697" s="548"/>
      <c r="M1697" s="548"/>
      <c r="N1697" s="552"/>
      <c r="Y1697" s="551"/>
    </row>
    <row r="1698" spans="1:25">
      <c r="A1698" s="499">
        <v>45525</v>
      </c>
      <c r="B1698" s="499">
        <v>45526</v>
      </c>
      <c r="C1698" s="500" t="s">
        <v>173</v>
      </c>
      <c r="D1698" s="500" t="s">
        <v>760</v>
      </c>
      <c r="E1698" s="501">
        <v>24026905.710000001</v>
      </c>
      <c r="F1698" s="502" t="s">
        <v>878</v>
      </c>
      <c r="G1698" s="100" t="s">
        <v>822</v>
      </c>
      <c r="H1698" s="530"/>
      <c r="I1698" s="525"/>
      <c r="K1698" s="548"/>
      <c r="L1698" s="548"/>
      <c r="M1698" s="548"/>
      <c r="N1698" s="552"/>
      <c r="Y1698" s="551"/>
    </row>
    <row r="1699" spans="1:25">
      <c r="A1699" s="499">
        <v>45525</v>
      </c>
      <c r="B1699" s="499">
        <v>45526</v>
      </c>
      <c r="C1699" s="500" t="s">
        <v>173</v>
      </c>
      <c r="D1699" s="500" t="s">
        <v>760</v>
      </c>
      <c r="E1699" s="501">
        <v>62028895.350000001</v>
      </c>
      <c r="F1699" s="502" t="s">
        <v>878</v>
      </c>
      <c r="G1699" s="100" t="s">
        <v>68</v>
      </c>
      <c r="H1699" s="530"/>
      <c r="I1699" s="525"/>
      <c r="K1699" s="548"/>
      <c r="L1699" s="548"/>
      <c r="M1699" s="548"/>
      <c r="N1699" s="552"/>
      <c r="Y1699" s="551"/>
    </row>
    <row r="1700" spans="1:25">
      <c r="A1700" s="499">
        <v>45525</v>
      </c>
      <c r="B1700" s="499">
        <v>45526</v>
      </c>
      <c r="C1700" s="500" t="s">
        <v>173</v>
      </c>
      <c r="D1700" s="500" t="s">
        <v>760</v>
      </c>
      <c r="E1700" s="501">
        <v>207155581.69999999</v>
      </c>
      <c r="F1700" s="502" t="s">
        <v>878</v>
      </c>
      <c r="G1700" s="100" t="s">
        <v>655</v>
      </c>
      <c r="H1700" s="530"/>
      <c r="I1700" s="525"/>
      <c r="K1700" s="548"/>
      <c r="L1700" s="548"/>
      <c r="M1700" s="548"/>
      <c r="N1700" s="552"/>
      <c r="Y1700" s="551"/>
    </row>
    <row r="1701" spans="1:25">
      <c r="A1701" s="499">
        <v>45525</v>
      </c>
      <c r="B1701" s="499">
        <v>45526</v>
      </c>
      <c r="C1701" s="500" t="s">
        <v>173</v>
      </c>
      <c r="D1701" s="500" t="s">
        <v>760</v>
      </c>
      <c r="E1701" s="501">
        <v>186194256.78999999</v>
      </c>
      <c r="F1701" s="502" t="s">
        <v>878</v>
      </c>
      <c r="G1701" s="100" t="s">
        <v>589</v>
      </c>
      <c r="H1701" s="530"/>
      <c r="I1701" s="525"/>
      <c r="K1701" s="548"/>
      <c r="L1701" s="548"/>
      <c r="M1701" s="548"/>
      <c r="N1701" s="552"/>
      <c r="Y1701" s="551"/>
    </row>
    <row r="1702" spans="1:25">
      <c r="A1702" s="499">
        <v>45525</v>
      </c>
      <c r="B1702" s="499">
        <v>45526</v>
      </c>
      <c r="C1702" s="500" t="s">
        <v>173</v>
      </c>
      <c r="D1702" s="500" t="s">
        <v>760</v>
      </c>
      <c r="E1702" s="501">
        <v>191219478.33000001</v>
      </c>
      <c r="F1702" s="502" t="s">
        <v>878</v>
      </c>
      <c r="G1702" s="100" t="s">
        <v>597</v>
      </c>
      <c r="H1702" s="530"/>
      <c r="I1702" s="525"/>
      <c r="K1702" s="548"/>
      <c r="L1702" s="548"/>
      <c r="M1702" s="548"/>
      <c r="N1702" s="552"/>
      <c r="Y1702" s="551"/>
    </row>
    <row r="1703" spans="1:25">
      <c r="A1703" s="499">
        <v>45525</v>
      </c>
      <c r="B1703" s="499">
        <v>45526</v>
      </c>
      <c r="C1703" s="500" t="s">
        <v>173</v>
      </c>
      <c r="D1703" s="500" t="s">
        <v>760</v>
      </c>
      <c r="E1703" s="501">
        <v>181079917.15000001</v>
      </c>
      <c r="F1703" s="502" t="s">
        <v>878</v>
      </c>
      <c r="G1703" s="100" t="s">
        <v>603</v>
      </c>
      <c r="H1703" s="530"/>
      <c r="I1703" s="525"/>
      <c r="K1703" s="548"/>
      <c r="L1703" s="548"/>
      <c r="M1703" s="548"/>
      <c r="N1703" s="552"/>
      <c r="Y1703" s="551"/>
    </row>
    <row r="1704" spans="1:25">
      <c r="A1704" s="499">
        <v>45525</v>
      </c>
      <c r="B1704" s="499">
        <v>45526</v>
      </c>
      <c r="C1704" s="500" t="s">
        <v>173</v>
      </c>
      <c r="D1704" s="500" t="s">
        <v>760</v>
      </c>
      <c r="E1704" s="501">
        <v>87044352.159999996</v>
      </c>
      <c r="F1704" s="502" t="s">
        <v>878</v>
      </c>
      <c r="G1704" s="100" t="s">
        <v>820</v>
      </c>
      <c r="H1704" s="530"/>
      <c r="I1704" s="525"/>
      <c r="K1704" s="548"/>
      <c r="L1704" s="548"/>
      <c r="M1704" s="548"/>
      <c r="N1704" s="552"/>
      <c r="Y1704" s="551"/>
    </row>
    <row r="1705" spans="1:25">
      <c r="A1705" s="499">
        <v>45525</v>
      </c>
      <c r="B1705" s="499">
        <v>45526</v>
      </c>
      <c r="C1705" s="500" t="s">
        <v>173</v>
      </c>
      <c r="D1705" s="500" t="s">
        <v>760</v>
      </c>
      <c r="E1705" s="501">
        <v>96098803.849999994</v>
      </c>
      <c r="F1705" s="502" t="s">
        <v>878</v>
      </c>
      <c r="G1705" s="100" t="s">
        <v>475</v>
      </c>
      <c r="H1705" s="530"/>
      <c r="I1705" s="525"/>
      <c r="K1705" s="548"/>
      <c r="L1705" s="548"/>
      <c r="M1705" s="548"/>
      <c r="N1705" s="552"/>
      <c r="Y1705" s="551"/>
    </row>
    <row r="1706" spans="1:25">
      <c r="A1706" s="499">
        <v>45525</v>
      </c>
      <c r="B1706" s="499">
        <v>45526</v>
      </c>
      <c r="C1706" s="500" t="s">
        <v>173</v>
      </c>
      <c r="D1706" s="500" t="s">
        <v>760</v>
      </c>
      <c r="E1706" s="501">
        <v>84108684.120000005</v>
      </c>
      <c r="F1706" s="502" t="s">
        <v>878</v>
      </c>
      <c r="G1706" s="100" t="s">
        <v>746</v>
      </c>
      <c r="H1706" s="530"/>
      <c r="I1706" s="525"/>
      <c r="K1706" s="548"/>
      <c r="L1706" s="548"/>
      <c r="M1706" s="548"/>
      <c r="N1706" s="552"/>
      <c r="Y1706" s="551"/>
    </row>
    <row r="1707" spans="1:25">
      <c r="A1707" s="499">
        <v>45525</v>
      </c>
      <c r="B1707" s="499">
        <v>45526</v>
      </c>
      <c r="C1707" s="500" t="s">
        <v>173</v>
      </c>
      <c r="D1707" s="500" t="s">
        <v>760</v>
      </c>
      <c r="E1707" s="501">
        <v>96124210.430000007</v>
      </c>
      <c r="F1707" s="502" t="s">
        <v>878</v>
      </c>
      <c r="G1707" s="100" t="s">
        <v>746</v>
      </c>
      <c r="H1707" s="530"/>
      <c r="I1707" s="525"/>
      <c r="K1707" s="548"/>
      <c r="L1707" s="548"/>
      <c r="M1707" s="548"/>
      <c r="N1707" s="552"/>
      <c r="Y1707" s="551"/>
    </row>
    <row r="1708" spans="1:25">
      <c r="A1708" s="499">
        <v>45525</v>
      </c>
      <c r="B1708" s="499">
        <v>45526</v>
      </c>
      <c r="C1708" s="500" t="s">
        <v>173</v>
      </c>
      <c r="D1708" s="500" t="s">
        <v>760</v>
      </c>
      <c r="E1708" s="501">
        <v>72074338.489999995</v>
      </c>
      <c r="F1708" s="502" t="s">
        <v>878</v>
      </c>
      <c r="G1708" s="100" t="s">
        <v>599</v>
      </c>
      <c r="H1708" s="530"/>
      <c r="I1708" s="525"/>
      <c r="K1708" s="548"/>
      <c r="L1708" s="548"/>
      <c r="M1708" s="548"/>
      <c r="N1708" s="552"/>
      <c r="Y1708" s="551"/>
    </row>
    <row r="1709" spans="1:25">
      <c r="A1709" s="499">
        <v>45525</v>
      </c>
      <c r="B1709" s="499">
        <v>45526</v>
      </c>
      <c r="C1709" s="500" t="s">
        <v>173</v>
      </c>
      <c r="D1709" s="500" t="s">
        <v>760</v>
      </c>
      <c r="E1709" s="501">
        <v>96098803.849999994</v>
      </c>
      <c r="F1709" s="502" t="s">
        <v>878</v>
      </c>
      <c r="G1709" s="100" t="s">
        <v>475</v>
      </c>
      <c r="H1709" s="530"/>
      <c r="I1709" s="525"/>
      <c r="K1709" s="548"/>
      <c r="L1709" s="548"/>
      <c r="M1709" s="548"/>
      <c r="N1709" s="552"/>
      <c r="Y1709" s="551"/>
    </row>
    <row r="1710" spans="1:25">
      <c r="A1710" s="499">
        <v>45525</v>
      </c>
      <c r="B1710" s="499">
        <v>45526</v>
      </c>
      <c r="C1710" s="500" t="s">
        <v>173</v>
      </c>
      <c r="D1710" s="500" t="s">
        <v>760</v>
      </c>
      <c r="E1710" s="501">
        <v>69064338</v>
      </c>
      <c r="F1710" s="502" t="s">
        <v>878</v>
      </c>
      <c r="G1710" s="100" t="s">
        <v>697</v>
      </c>
      <c r="H1710" s="530"/>
      <c r="I1710" s="525"/>
      <c r="K1710" s="548"/>
      <c r="L1710" s="548"/>
      <c r="M1710" s="548"/>
      <c r="N1710" s="552"/>
      <c r="Y1710" s="551"/>
    </row>
    <row r="1711" spans="1:25">
      <c r="A1711" s="499">
        <v>45525</v>
      </c>
      <c r="B1711" s="499">
        <v>45526</v>
      </c>
      <c r="C1711" s="500" t="s">
        <v>173</v>
      </c>
      <c r="D1711" s="500" t="s">
        <v>760</v>
      </c>
      <c r="E1711" s="501">
        <v>98093669.510000005</v>
      </c>
      <c r="F1711" s="502" t="s">
        <v>878</v>
      </c>
      <c r="G1711" s="100" t="s">
        <v>745</v>
      </c>
      <c r="H1711" s="530"/>
      <c r="I1711" s="525"/>
      <c r="K1711" s="548"/>
      <c r="L1711" s="548"/>
      <c r="M1711" s="548"/>
      <c r="N1711" s="552"/>
      <c r="Y1711" s="551"/>
    </row>
    <row r="1712" spans="1:25">
      <c r="A1712" s="499">
        <v>45525</v>
      </c>
      <c r="B1712" s="499">
        <v>45526</v>
      </c>
      <c r="C1712" s="500" t="s">
        <v>173</v>
      </c>
      <c r="D1712" s="500" t="s">
        <v>760</v>
      </c>
      <c r="E1712" s="501">
        <v>222229210.34</v>
      </c>
      <c r="F1712" s="502" t="s">
        <v>878</v>
      </c>
      <c r="G1712" s="100" t="s">
        <v>599</v>
      </c>
      <c r="H1712" s="530"/>
      <c r="I1712" s="525"/>
      <c r="K1712" s="548"/>
      <c r="L1712" s="548"/>
      <c r="M1712" s="548"/>
      <c r="N1712" s="552"/>
      <c r="Y1712" s="551"/>
    </row>
    <row r="1713" spans="1:25">
      <c r="A1713" s="499">
        <v>45525</v>
      </c>
      <c r="B1713" s="499">
        <v>45526</v>
      </c>
      <c r="C1713" s="500" t="s">
        <v>173</v>
      </c>
      <c r="D1713" s="500" t="s">
        <v>760</v>
      </c>
      <c r="E1713" s="501">
        <v>188139488.83000001</v>
      </c>
      <c r="F1713" s="502" t="s">
        <v>878</v>
      </c>
      <c r="G1713" s="100" t="s">
        <v>825</v>
      </c>
      <c r="H1713" s="530"/>
      <c r="I1713" s="525"/>
      <c r="K1713" s="548"/>
      <c r="L1713" s="548"/>
      <c r="M1713" s="548"/>
      <c r="N1713" s="552"/>
      <c r="Y1713" s="551"/>
    </row>
    <row r="1714" spans="1:25">
      <c r="A1714" s="499">
        <v>45525</v>
      </c>
      <c r="B1714" s="499">
        <v>45526</v>
      </c>
      <c r="C1714" s="500" t="s">
        <v>173</v>
      </c>
      <c r="D1714" s="500" t="s">
        <v>760</v>
      </c>
      <c r="E1714" s="501">
        <v>43049411.590000004</v>
      </c>
      <c r="F1714" s="502" t="s">
        <v>878</v>
      </c>
      <c r="G1714" s="100" t="s">
        <v>597</v>
      </c>
      <c r="H1714" s="530"/>
      <c r="I1714" s="525"/>
      <c r="K1714" s="548"/>
      <c r="L1714" s="548"/>
      <c r="M1714" s="548"/>
      <c r="N1714" s="552"/>
      <c r="Y1714" s="551"/>
    </row>
    <row r="1715" spans="1:25">
      <c r="A1715" s="499">
        <v>45525</v>
      </c>
      <c r="B1715" s="499">
        <v>45526</v>
      </c>
      <c r="C1715" s="500" t="s">
        <v>173</v>
      </c>
      <c r="D1715" s="500" t="s">
        <v>760</v>
      </c>
      <c r="E1715" s="501">
        <v>7002537.6600000001</v>
      </c>
      <c r="F1715" s="502" t="s">
        <v>878</v>
      </c>
      <c r="G1715" s="100" t="s">
        <v>795</v>
      </c>
      <c r="H1715" s="530"/>
      <c r="I1715" s="525"/>
      <c r="K1715" s="548"/>
      <c r="L1715" s="548"/>
      <c r="M1715" s="548"/>
      <c r="N1715" s="552"/>
      <c r="Y1715" s="551"/>
    </row>
    <row r="1716" spans="1:25">
      <c r="A1716" s="499">
        <v>45525</v>
      </c>
      <c r="B1716" s="499">
        <v>45526</v>
      </c>
      <c r="C1716" s="500" t="s">
        <v>173</v>
      </c>
      <c r="D1716" s="500" t="s">
        <v>760</v>
      </c>
      <c r="E1716" s="501">
        <v>94096897.959999993</v>
      </c>
      <c r="F1716" s="502" t="s">
        <v>878</v>
      </c>
      <c r="G1716" s="100" t="s">
        <v>417</v>
      </c>
      <c r="H1716" s="530"/>
      <c r="I1716" s="525"/>
      <c r="K1716" s="548"/>
      <c r="L1716" s="548"/>
      <c r="M1716" s="548"/>
      <c r="N1716" s="552"/>
      <c r="Y1716" s="551"/>
    </row>
    <row r="1717" spans="1:25">
      <c r="A1717" s="499">
        <v>45525</v>
      </c>
      <c r="B1717" s="499">
        <v>45526</v>
      </c>
      <c r="C1717" s="500" t="s">
        <v>173</v>
      </c>
      <c r="D1717" s="500" t="s">
        <v>760</v>
      </c>
      <c r="E1717" s="501">
        <v>64073455.329999998</v>
      </c>
      <c r="F1717" s="502" t="s">
        <v>878</v>
      </c>
      <c r="G1717" s="100" t="s">
        <v>597</v>
      </c>
      <c r="H1717" s="530"/>
      <c r="I1717" s="525"/>
      <c r="K1717" s="548"/>
      <c r="L1717" s="548"/>
      <c r="M1717" s="548"/>
      <c r="N1717" s="552"/>
      <c r="Y1717" s="551"/>
    </row>
    <row r="1718" spans="1:25">
      <c r="A1718" s="499">
        <v>45525</v>
      </c>
      <c r="B1718" s="499">
        <v>45526</v>
      </c>
      <c r="C1718" s="500" t="s">
        <v>173</v>
      </c>
      <c r="D1718" s="500" t="s">
        <v>760</v>
      </c>
      <c r="E1718" s="501">
        <v>27020424.379999999</v>
      </c>
      <c r="F1718" s="502" t="s">
        <v>878</v>
      </c>
      <c r="G1718" s="100" t="s">
        <v>548</v>
      </c>
      <c r="H1718" s="530"/>
      <c r="I1718" s="525"/>
      <c r="K1718" s="548"/>
      <c r="L1718" s="548"/>
      <c r="M1718" s="548"/>
      <c r="N1718" s="552"/>
      <c r="Y1718" s="551"/>
    </row>
    <row r="1719" spans="1:25">
      <c r="A1719" s="499">
        <v>45525</v>
      </c>
      <c r="B1719" s="499">
        <v>45526</v>
      </c>
      <c r="C1719" s="500" t="s">
        <v>173</v>
      </c>
      <c r="D1719" s="500" t="s">
        <v>760</v>
      </c>
      <c r="E1719" s="501">
        <v>16018202.810000001</v>
      </c>
      <c r="F1719" s="502" t="s">
        <v>878</v>
      </c>
      <c r="G1719" s="100" t="s">
        <v>498</v>
      </c>
      <c r="H1719" s="530"/>
      <c r="I1719" s="525"/>
      <c r="K1719" s="548"/>
      <c r="L1719" s="548"/>
      <c r="M1719" s="548"/>
      <c r="N1719" s="552"/>
      <c r="Y1719" s="551"/>
    </row>
    <row r="1720" spans="1:25">
      <c r="A1720" s="499">
        <v>45525</v>
      </c>
      <c r="B1720" s="499">
        <v>45526</v>
      </c>
      <c r="C1720" s="500" t="s">
        <v>173</v>
      </c>
      <c r="D1720" s="500" t="s">
        <v>760</v>
      </c>
      <c r="E1720" s="501">
        <v>32024206.670000002</v>
      </c>
      <c r="F1720" s="502" t="s">
        <v>878</v>
      </c>
      <c r="G1720" s="100" t="s">
        <v>548</v>
      </c>
      <c r="H1720" s="530"/>
      <c r="I1720" s="525"/>
      <c r="K1720" s="548"/>
      <c r="L1720" s="548"/>
      <c r="M1720" s="548"/>
      <c r="N1720" s="552"/>
      <c r="Y1720" s="551"/>
    </row>
    <row r="1721" spans="1:25">
      <c r="A1721" s="499">
        <v>45525</v>
      </c>
      <c r="B1721" s="499">
        <v>45526</v>
      </c>
      <c r="C1721" s="500" t="s">
        <v>173</v>
      </c>
      <c r="D1721" s="500" t="s">
        <v>760</v>
      </c>
      <c r="E1721" s="501">
        <v>20022954.789999999</v>
      </c>
      <c r="F1721" s="502" t="s">
        <v>878</v>
      </c>
      <c r="G1721" s="100" t="s">
        <v>597</v>
      </c>
      <c r="H1721" s="530"/>
      <c r="I1721" s="525"/>
      <c r="K1721" s="548"/>
      <c r="L1721" s="548"/>
      <c r="M1721" s="548"/>
      <c r="N1721" s="552"/>
      <c r="Y1721" s="551"/>
    </row>
    <row r="1722" spans="1:25">
      <c r="A1722" s="499">
        <v>45525</v>
      </c>
      <c r="B1722" s="499">
        <v>45526</v>
      </c>
      <c r="C1722" s="500" t="s">
        <v>173</v>
      </c>
      <c r="D1722" s="500" t="s">
        <v>760</v>
      </c>
      <c r="E1722" s="501">
        <v>41040067.090000004</v>
      </c>
      <c r="F1722" s="502" t="s">
        <v>878</v>
      </c>
      <c r="G1722" s="100" t="s">
        <v>601</v>
      </c>
      <c r="H1722" s="530"/>
      <c r="I1722" s="525"/>
      <c r="K1722" s="548"/>
      <c r="L1722" s="548"/>
      <c r="M1722" s="548"/>
      <c r="N1722" s="552"/>
      <c r="Y1722" s="551"/>
    </row>
    <row r="1723" spans="1:25">
      <c r="A1723" s="499">
        <v>45525</v>
      </c>
      <c r="B1723" s="499">
        <v>45526</v>
      </c>
      <c r="C1723" s="500" t="s">
        <v>173</v>
      </c>
      <c r="D1723" s="500" t="s">
        <v>760</v>
      </c>
      <c r="E1723" s="501">
        <v>971383261.48000002</v>
      </c>
      <c r="F1723" s="502" t="s">
        <v>878</v>
      </c>
      <c r="G1723" s="100" t="s">
        <v>910</v>
      </c>
      <c r="H1723" s="530"/>
      <c r="I1723" s="525"/>
      <c r="K1723" s="548"/>
      <c r="L1723" s="548"/>
      <c r="M1723" s="548"/>
      <c r="N1723" s="552"/>
      <c r="Y1723" s="551"/>
    </row>
    <row r="1724" spans="1:25">
      <c r="A1724" s="499">
        <v>45525</v>
      </c>
      <c r="B1724" s="499">
        <v>45526</v>
      </c>
      <c r="C1724" s="500" t="s">
        <v>173</v>
      </c>
      <c r="D1724" s="500" t="s">
        <v>760</v>
      </c>
      <c r="E1724" s="501">
        <v>29011407.960000001</v>
      </c>
      <c r="F1724" s="502" t="s">
        <v>878</v>
      </c>
      <c r="G1724" s="100" t="s">
        <v>634</v>
      </c>
      <c r="H1724" s="530">
        <v>-1</v>
      </c>
      <c r="I1724" s="525"/>
      <c r="K1724" s="548"/>
      <c r="L1724" s="548"/>
      <c r="M1724" s="548"/>
      <c r="N1724" s="552"/>
      <c r="Y1724" s="551"/>
    </row>
    <row r="1725" spans="1:25">
      <c r="A1725" s="499">
        <v>45525</v>
      </c>
      <c r="B1725" s="499">
        <v>45526</v>
      </c>
      <c r="C1725" s="500" t="s">
        <v>173</v>
      </c>
      <c r="D1725" s="500" t="s">
        <v>760</v>
      </c>
      <c r="E1725" s="501">
        <v>8006216.3700000001</v>
      </c>
      <c r="F1725" s="502" t="s">
        <v>878</v>
      </c>
      <c r="G1725" s="100" t="s">
        <v>593</v>
      </c>
      <c r="H1725" s="530"/>
      <c r="I1725" s="525"/>
      <c r="K1725" s="548"/>
      <c r="L1725" s="548"/>
      <c r="M1725" s="548"/>
      <c r="N1725" s="552"/>
      <c r="Y1725" s="551"/>
    </row>
    <row r="1726" spans="1:25">
      <c r="A1726" s="499">
        <v>45525</v>
      </c>
      <c r="B1726" s="499">
        <v>45525</v>
      </c>
      <c r="C1726" s="500" t="s">
        <v>173</v>
      </c>
      <c r="D1726" s="500" t="s">
        <v>763</v>
      </c>
      <c r="E1726" s="501">
        <v>-4692985042.2299986</v>
      </c>
      <c r="F1726" s="502" t="s">
        <v>878</v>
      </c>
      <c r="G1726" s="100" t="s">
        <v>139</v>
      </c>
      <c r="H1726" s="530"/>
      <c r="I1726" s="525"/>
      <c r="K1726" s="548"/>
      <c r="L1726" s="548"/>
      <c r="M1726" s="548"/>
      <c r="N1726" s="552"/>
      <c r="Y1726" s="551"/>
    </row>
    <row r="1727" spans="1:25">
      <c r="A1727" s="499">
        <v>45525</v>
      </c>
      <c r="B1727" s="499">
        <v>45525</v>
      </c>
      <c r="C1727" s="500" t="s">
        <v>173</v>
      </c>
      <c r="D1727" s="500" t="s">
        <v>763</v>
      </c>
      <c r="E1727" s="501">
        <v>-1567369441.9400001</v>
      </c>
      <c r="F1727" s="502" t="s">
        <v>878</v>
      </c>
      <c r="G1727" s="100" t="s">
        <v>494</v>
      </c>
      <c r="H1727" s="530"/>
      <c r="I1727" s="525"/>
      <c r="K1727" s="548"/>
      <c r="L1727" s="548"/>
      <c r="M1727" s="548"/>
      <c r="N1727" s="552"/>
      <c r="Y1727" s="551"/>
    </row>
    <row r="1728" spans="1:25">
      <c r="A1728" s="499">
        <v>45525</v>
      </c>
      <c r="B1728" s="499">
        <v>45525</v>
      </c>
      <c r="C1728" s="500" t="s">
        <v>173</v>
      </c>
      <c r="D1728" s="500" t="s">
        <v>763</v>
      </c>
      <c r="E1728" s="501">
        <v>-26005458.460000001</v>
      </c>
      <c r="F1728" s="502" t="s">
        <v>878</v>
      </c>
      <c r="G1728" s="100" t="s">
        <v>139</v>
      </c>
      <c r="H1728" s="530"/>
      <c r="I1728" s="525"/>
      <c r="K1728" s="548"/>
      <c r="L1728" s="548"/>
      <c r="M1728" s="548"/>
      <c r="N1728" s="552"/>
      <c r="Y1728" s="551"/>
    </row>
    <row r="1729" spans="1:25">
      <c r="A1729" s="499">
        <v>45525</v>
      </c>
      <c r="B1729" s="499">
        <v>45526</v>
      </c>
      <c r="C1729" s="500" t="s">
        <v>173</v>
      </c>
      <c r="D1729" s="500" t="s">
        <v>763</v>
      </c>
      <c r="E1729" s="501">
        <v>4694684005.3900003</v>
      </c>
      <c r="F1729" s="502" t="s">
        <v>878</v>
      </c>
      <c r="G1729" s="100" t="s">
        <v>139</v>
      </c>
      <c r="H1729" s="530"/>
      <c r="I1729" s="525"/>
      <c r="K1729" s="548"/>
      <c r="L1729" s="548"/>
      <c r="M1729" s="548"/>
      <c r="N1729" s="552"/>
      <c r="Y1729" s="551"/>
    </row>
    <row r="1730" spans="1:25">
      <c r="A1730" s="499">
        <v>45525</v>
      </c>
      <c r="B1730" s="499">
        <v>45526</v>
      </c>
      <c r="C1730" s="500" t="s">
        <v>173</v>
      </c>
      <c r="D1730" s="500" t="s">
        <v>763</v>
      </c>
      <c r="E1730" s="501">
        <v>1567934735.5699999</v>
      </c>
      <c r="F1730" s="502" t="s">
        <v>878</v>
      </c>
      <c r="G1730" s="100" t="s">
        <v>494</v>
      </c>
      <c r="H1730" s="530"/>
      <c r="I1730" s="525"/>
      <c r="K1730" s="548"/>
      <c r="L1730" s="548"/>
      <c r="M1730" s="548"/>
      <c r="N1730" s="552"/>
      <c r="Y1730" s="551"/>
    </row>
    <row r="1731" spans="1:25">
      <c r="A1731" s="499">
        <v>45525</v>
      </c>
      <c r="B1731" s="499">
        <v>45526</v>
      </c>
      <c r="C1731" s="500" t="s">
        <v>173</v>
      </c>
      <c r="D1731" s="500" t="s">
        <v>763</v>
      </c>
      <c r="E1731" s="501">
        <v>26014837.48</v>
      </c>
      <c r="F1731" s="502" t="s">
        <v>878</v>
      </c>
      <c r="G1731" s="100" t="s">
        <v>139</v>
      </c>
      <c r="H1731" s="530"/>
      <c r="I1731" s="525"/>
      <c r="K1731" s="548"/>
      <c r="L1731" s="548"/>
      <c r="M1731" s="548"/>
      <c r="N1731" s="552"/>
      <c r="Y1731" s="551"/>
    </row>
    <row r="1732" spans="1:25">
      <c r="A1732" s="499">
        <v>45525</v>
      </c>
      <c r="B1732" s="499">
        <v>45525</v>
      </c>
      <c r="C1732" s="500" t="s">
        <v>173</v>
      </c>
      <c r="D1732" s="500" t="s">
        <v>764</v>
      </c>
      <c r="E1732" s="501">
        <v>-17002694.210000001</v>
      </c>
      <c r="F1732" s="502" t="s">
        <v>878</v>
      </c>
      <c r="G1732" s="100" t="s">
        <v>686</v>
      </c>
      <c r="H1732" s="530"/>
      <c r="I1732" s="525"/>
      <c r="K1732" s="548"/>
      <c r="L1732" s="548"/>
      <c r="M1732" s="548"/>
      <c r="N1732" s="552"/>
      <c r="Y1732" s="551"/>
    </row>
    <row r="1733" spans="1:25">
      <c r="A1733" s="499">
        <v>45525</v>
      </c>
      <c r="B1733" s="499">
        <v>45525</v>
      </c>
      <c r="C1733" s="500" t="s">
        <v>173</v>
      </c>
      <c r="D1733" s="500" t="s">
        <v>764</v>
      </c>
      <c r="E1733" s="501">
        <v>-286042249.35000002</v>
      </c>
      <c r="F1733" s="502" t="s">
        <v>878</v>
      </c>
      <c r="G1733" s="100" t="s">
        <v>819</v>
      </c>
      <c r="H1733" s="530"/>
      <c r="I1733" s="525"/>
      <c r="K1733" s="548"/>
      <c r="L1733" s="548"/>
      <c r="M1733" s="548"/>
      <c r="N1733" s="552"/>
      <c r="Y1733" s="551"/>
    </row>
    <row r="1734" spans="1:25">
      <c r="A1734" s="499">
        <v>45525</v>
      </c>
      <c r="B1734" s="499">
        <v>45525</v>
      </c>
      <c r="C1734" s="500" t="s">
        <v>173</v>
      </c>
      <c r="D1734" s="500" t="s">
        <v>764</v>
      </c>
      <c r="E1734" s="501">
        <v>-307241547.60000002</v>
      </c>
      <c r="F1734" s="502" t="s">
        <v>878</v>
      </c>
      <c r="G1734" s="100" t="s">
        <v>596</v>
      </c>
      <c r="H1734" s="530"/>
      <c r="I1734" s="525"/>
      <c r="K1734" s="548"/>
      <c r="L1734" s="548"/>
      <c r="M1734" s="548"/>
      <c r="N1734" s="552"/>
      <c r="Y1734" s="551"/>
    </row>
    <row r="1735" spans="1:25">
      <c r="A1735" s="499">
        <v>45525</v>
      </c>
      <c r="B1735" s="499">
        <v>45525</v>
      </c>
      <c r="C1735" s="500" t="s">
        <v>173</v>
      </c>
      <c r="D1735" s="500" t="s">
        <v>764</v>
      </c>
      <c r="E1735" s="501">
        <v>-316125028.56</v>
      </c>
      <c r="F1735" s="502" t="s">
        <v>878</v>
      </c>
      <c r="G1735" s="100" t="s">
        <v>547</v>
      </c>
      <c r="H1735" s="530"/>
      <c r="I1735" s="525"/>
      <c r="K1735" s="548"/>
      <c r="L1735" s="548"/>
      <c r="M1735" s="548"/>
      <c r="N1735" s="552"/>
      <c r="Y1735" s="551"/>
    </row>
    <row r="1736" spans="1:25">
      <c r="A1736" s="499">
        <v>45525</v>
      </c>
      <c r="B1736" s="499">
        <v>45525</v>
      </c>
      <c r="C1736" s="500" t="s">
        <v>173</v>
      </c>
      <c r="D1736" s="500" t="s">
        <v>764</v>
      </c>
      <c r="E1736" s="501">
        <v>-317125424.22000003</v>
      </c>
      <c r="F1736" s="502" t="s">
        <v>878</v>
      </c>
      <c r="G1736" s="100" t="s">
        <v>547</v>
      </c>
      <c r="H1736" s="530"/>
      <c r="I1736" s="525"/>
      <c r="K1736" s="548"/>
      <c r="L1736" s="548"/>
      <c r="M1736" s="548"/>
      <c r="N1736" s="552"/>
      <c r="Y1736" s="551"/>
    </row>
    <row r="1737" spans="1:25">
      <c r="A1737" s="499">
        <v>45525</v>
      </c>
      <c r="B1737" s="499">
        <v>45525</v>
      </c>
      <c r="C1737" s="500" t="s">
        <v>173</v>
      </c>
      <c r="D1737" s="500" t="s">
        <v>764</v>
      </c>
      <c r="E1737" s="501">
        <v>-318167386.61000001</v>
      </c>
      <c r="F1737" s="502" t="s">
        <v>878</v>
      </c>
      <c r="G1737" s="100" t="s">
        <v>693</v>
      </c>
      <c r="H1737" s="530"/>
      <c r="I1737" s="525"/>
      <c r="K1737" s="548"/>
      <c r="L1737" s="548"/>
      <c r="M1737" s="548"/>
      <c r="N1737" s="552"/>
      <c r="Y1737" s="551"/>
    </row>
    <row r="1738" spans="1:25">
      <c r="A1738" s="499">
        <v>45525</v>
      </c>
      <c r="B1738" s="499">
        <v>45525</v>
      </c>
      <c r="C1738" s="500" t="s">
        <v>173</v>
      </c>
      <c r="D1738" s="500" t="s">
        <v>764</v>
      </c>
      <c r="E1738" s="501">
        <v>-322134029.27999997</v>
      </c>
      <c r="F1738" s="502" t="s">
        <v>878</v>
      </c>
      <c r="G1738" s="100" t="s">
        <v>592</v>
      </c>
      <c r="H1738" s="530"/>
      <c r="I1738" s="525"/>
      <c r="K1738" s="548"/>
      <c r="L1738" s="548"/>
      <c r="M1738" s="548"/>
      <c r="N1738" s="552"/>
      <c r="Y1738" s="551"/>
    </row>
    <row r="1739" spans="1:25">
      <c r="A1739" s="499">
        <v>45525</v>
      </c>
      <c r="B1739" s="499">
        <v>45525</v>
      </c>
      <c r="C1739" s="500" t="s">
        <v>173</v>
      </c>
      <c r="D1739" s="500" t="s">
        <v>764</v>
      </c>
      <c r="E1739" s="501">
        <v>-325197787.19999999</v>
      </c>
      <c r="F1739" s="502" t="s">
        <v>878</v>
      </c>
      <c r="G1739" s="100" t="s">
        <v>680</v>
      </c>
      <c r="H1739" s="530"/>
      <c r="I1739" s="525"/>
      <c r="K1739" s="548"/>
      <c r="L1739" s="548"/>
      <c r="M1739" s="548"/>
      <c r="N1739" s="552"/>
      <c r="Y1739" s="551"/>
    </row>
    <row r="1740" spans="1:25">
      <c r="A1740" s="499">
        <v>45525</v>
      </c>
      <c r="B1740" s="499">
        <v>45525</v>
      </c>
      <c r="C1740" s="500" t="s">
        <v>173</v>
      </c>
      <c r="D1740" s="500" t="s">
        <v>764</v>
      </c>
      <c r="E1740" s="501">
        <v>-325273620.75</v>
      </c>
      <c r="F1740" s="502" t="s">
        <v>878</v>
      </c>
      <c r="G1740" s="100" t="s">
        <v>671</v>
      </c>
      <c r="H1740" s="530"/>
      <c r="I1740" s="525"/>
      <c r="K1740" s="548"/>
      <c r="L1740" s="548"/>
      <c r="M1740" s="548"/>
      <c r="N1740" s="552"/>
      <c r="Y1740" s="551"/>
    </row>
    <row r="1741" spans="1:25">
      <c r="A1741" s="499">
        <v>45525</v>
      </c>
      <c r="B1741" s="499">
        <v>45525</v>
      </c>
      <c r="C1741" s="500" t="s">
        <v>173</v>
      </c>
      <c r="D1741" s="500" t="s">
        <v>764</v>
      </c>
      <c r="E1741" s="501">
        <v>-336264364.80000001</v>
      </c>
      <c r="F1741" s="502" t="s">
        <v>878</v>
      </c>
      <c r="G1741" s="100" t="s">
        <v>596</v>
      </c>
      <c r="H1741" s="530"/>
      <c r="I1741" s="525"/>
      <c r="K1741" s="548"/>
      <c r="L1741" s="548"/>
      <c r="M1741" s="548"/>
      <c r="N1741" s="552"/>
      <c r="Y1741" s="551"/>
    </row>
    <row r="1742" spans="1:25">
      <c r="A1742" s="499">
        <v>45525</v>
      </c>
      <c r="B1742" s="499">
        <v>45525</v>
      </c>
      <c r="C1742" s="500" t="s">
        <v>173</v>
      </c>
      <c r="D1742" s="500" t="s">
        <v>764</v>
      </c>
      <c r="E1742" s="501">
        <v>-342135315.72000003</v>
      </c>
      <c r="F1742" s="502" t="s">
        <v>878</v>
      </c>
      <c r="G1742" s="100" t="s">
        <v>547</v>
      </c>
      <c r="H1742" s="530"/>
      <c r="I1742" s="525"/>
      <c r="K1742" s="548"/>
      <c r="L1742" s="548"/>
      <c r="M1742" s="548"/>
      <c r="N1742" s="552"/>
      <c r="Y1742" s="551"/>
    </row>
    <row r="1743" spans="1:25">
      <c r="A1743" s="499">
        <v>45525</v>
      </c>
      <c r="B1743" s="499">
        <v>45525</v>
      </c>
      <c r="C1743" s="500" t="s">
        <v>173</v>
      </c>
      <c r="D1743" s="500" t="s">
        <v>764</v>
      </c>
      <c r="E1743" s="501">
        <v>-351266331.77999997</v>
      </c>
      <c r="F1743" s="502" t="s">
        <v>878</v>
      </c>
      <c r="G1743" s="100" t="s">
        <v>821</v>
      </c>
      <c r="H1743" s="530"/>
      <c r="I1743" s="525"/>
      <c r="K1743" s="548"/>
      <c r="L1743" s="548"/>
      <c r="M1743" s="548"/>
      <c r="N1743" s="552"/>
      <c r="Y1743" s="551"/>
    </row>
    <row r="1744" spans="1:25">
      <c r="A1744" s="499">
        <v>45525</v>
      </c>
      <c r="B1744" s="499">
        <v>45525</v>
      </c>
      <c r="C1744" s="500" t="s">
        <v>173</v>
      </c>
      <c r="D1744" s="500" t="s">
        <v>764</v>
      </c>
      <c r="E1744" s="501">
        <v>-288001522.07999998</v>
      </c>
      <c r="F1744" s="502" t="s">
        <v>878</v>
      </c>
      <c r="G1744" s="100" t="s">
        <v>692</v>
      </c>
      <c r="H1744" s="530"/>
      <c r="I1744" s="525"/>
      <c r="K1744" s="548"/>
      <c r="L1744" s="548"/>
      <c r="M1744" s="548"/>
      <c r="N1744" s="552"/>
      <c r="Y1744" s="551"/>
    </row>
    <row r="1745" spans="1:25">
      <c r="A1745" s="499">
        <v>45525</v>
      </c>
      <c r="B1745" s="499">
        <v>45525</v>
      </c>
      <c r="C1745" s="500" t="s">
        <v>173</v>
      </c>
      <c r="D1745" s="500" t="s">
        <v>764</v>
      </c>
      <c r="E1745" s="501">
        <v>-15009758.4</v>
      </c>
      <c r="F1745" s="502" t="s">
        <v>878</v>
      </c>
      <c r="G1745" s="100" t="s">
        <v>682</v>
      </c>
      <c r="H1745" s="530"/>
      <c r="I1745" s="525"/>
      <c r="K1745" s="548"/>
      <c r="L1745" s="548"/>
      <c r="M1745" s="548"/>
      <c r="N1745" s="552"/>
      <c r="Y1745" s="551"/>
    </row>
    <row r="1746" spans="1:25">
      <c r="A1746" s="499">
        <v>45525</v>
      </c>
      <c r="B1746" s="499">
        <v>45526</v>
      </c>
      <c r="C1746" s="500" t="s">
        <v>173</v>
      </c>
      <c r="D1746" s="500" t="s">
        <v>764</v>
      </c>
      <c r="E1746" s="501">
        <v>17008849.559999999</v>
      </c>
      <c r="F1746" s="502" t="s">
        <v>878</v>
      </c>
      <c r="G1746" s="100" t="s">
        <v>686</v>
      </c>
      <c r="H1746" s="530"/>
      <c r="I1746" s="525"/>
      <c r="K1746" s="548"/>
      <c r="L1746" s="548"/>
      <c r="M1746" s="548"/>
      <c r="N1746" s="552"/>
      <c r="Y1746" s="551"/>
    </row>
    <row r="1747" spans="1:25">
      <c r="A1747" s="499">
        <v>45525</v>
      </c>
      <c r="B1747" s="499">
        <v>45526</v>
      </c>
      <c r="C1747" s="500" t="s">
        <v>173</v>
      </c>
      <c r="D1747" s="500" t="s">
        <v>764</v>
      </c>
      <c r="E1747" s="501">
        <v>286145802.89999998</v>
      </c>
      <c r="F1747" s="502" t="s">
        <v>878</v>
      </c>
      <c r="G1747" s="100" t="s">
        <v>819</v>
      </c>
      <c r="H1747" s="530"/>
      <c r="I1747" s="525"/>
      <c r="K1747" s="548"/>
      <c r="L1747" s="548"/>
      <c r="M1747" s="548"/>
      <c r="N1747" s="552"/>
      <c r="Y1747" s="551"/>
    </row>
    <row r="1748" spans="1:25">
      <c r="A1748" s="499">
        <v>45525</v>
      </c>
      <c r="B1748" s="499">
        <v>45526</v>
      </c>
      <c r="C1748" s="500" t="s">
        <v>173</v>
      </c>
      <c r="D1748" s="500" t="s">
        <v>764</v>
      </c>
      <c r="E1748" s="501">
        <v>307352775.75999999</v>
      </c>
      <c r="F1748" s="502" t="s">
        <v>878</v>
      </c>
      <c r="G1748" s="100" t="s">
        <v>596</v>
      </c>
      <c r="H1748" s="530"/>
      <c r="I1748" s="525"/>
      <c r="K1748" s="548"/>
      <c r="L1748" s="548"/>
      <c r="M1748" s="548"/>
      <c r="N1748" s="552"/>
      <c r="Y1748" s="551"/>
    </row>
    <row r="1749" spans="1:25">
      <c r="A1749" s="499">
        <v>45525</v>
      </c>
      <c r="B1749" s="499">
        <v>45526</v>
      </c>
      <c r="C1749" s="500" t="s">
        <v>173</v>
      </c>
      <c r="D1749" s="500" t="s">
        <v>764</v>
      </c>
      <c r="E1749" s="501">
        <v>316239472.73000002</v>
      </c>
      <c r="F1749" s="502" t="s">
        <v>878</v>
      </c>
      <c r="G1749" s="100" t="s">
        <v>547</v>
      </c>
      <c r="H1749" s="530"/>
      <c r="I1749" s="525"/>
      <c r="K1749" s="548"/>
      <c r="L1749" s="548"/>
      <c r="M1749" s="548"/>
      <c r="N1749" s="552"/>
      <c r="Y1749" s="551"/>
    </row>
    <row r="1750" spans="1:25">
      <c r="A1750" s="499">
        <v>45525</v>
      </c>
      <c r="B1750" s="499">
        <v>45526</v>
      </c>
      <c r="C1750" s="500" t="s">
        <v>173</v>
      </c>
      <c r="D1750" s="500" t="s">
        <v>764</v>
      </c>
      <c r="E1750" s="501">
        <v>317240230.56</v>
      </c>
      <c r="F1750" s="502" t="s">
        <v>878</v>
      </c>
      <c r="G1750" s="100" t="s">
        <v>547</v>
      </c>
      <c r="H1750" s="530"/>
      <c r="I1750" s="525"/>
      <c r="K1750" s="548"/>
      <c r="L1750" s="548"/>
      <c r="M1750" s="548"/>
      <c r="N1750" s="552"/>
      <c r="Y1750" s="551"/>
    </row>
    <row r="1751" spans="1:25">
      <c r="A1751" s="499">
        <v>45525</v>
      </c>
      <c r="B1751" s="499">
        <v>45526</v>
      </c>
      <c r="C1751" s="500" t="s">
        <v>173</v>
      </c>
      <c r="D1751" s="500" t="s">
        <v>764</v>
      </c>
      <c r="E1751" s="501">
        <v>318282570.16000003</v>
      </c>
      <c r="F1751" s="502" t="s">
        <v>878</v>
      </c>
      <c r="G1751" s="100" t="s">
        <v>693</v>
      </c>
      <c r="H1751" s="530"/>
      <c r="I1751" s="525"/>
      <c r="K1751" s="548"/>
      <c r="L1751" s="548"/>
      <c r="M1751" s="548"/>
      <c r="N1751" s="552"/>
      <c r="Y1751" s="551"/>
    </row>
    <row r="1752" spans="1:25">
      <c r="A1752" s="499">
        <v>45525</v>
      </c>
      <c r="B1752" s="499">
        <v>45526</v>
      </c>
      <c r="C1752" s="500" t="s">
        <v>173</v>
      </c>
      <c r="D1752" s="500" t="s">
        <v>764</v>
      </c>
      <c r="E1752" s="501">
        <v>322250648.83999997</v>
      </c>
      <c r="F1752" s="502" t="s">
        <v>878</v>
      </c>
      <c r="G1752" s="100" t="s">
        <v>592</v>
      </c>
      <c r="H1752" s="530"/>
      <c r="I1752" s="525"/>
      <c r="K1752" s="548"/>
      <c r="L1752" s="548"/>
      <c r="M1752" s="548"/>
      <c r="N1752" s="552"/>
      <c r="Y1752" s="551"/>
    </row>
    <row r="1753" spans="1:25">
      <c r="A1753" s="499">
        <v>45525</v>
      </c>
      <c r="B1753" s="499">
        <v>45526</v>
      </c>
      <c r="C1753" s="500" t="s">
        <v>173</v>
      </c>
      <c r="D1753" s="500" t="s">
        <v>764</v>
      </c>
      <c r="E1753" s="501">
        <v>325315515.91000003</v>
      </c>
      <c r="F1753" s="502" t="s">
        <v>878</v>
      </c>
      <c r="G1753" s="100" t="s">
        <v>680</v>
      </c>
      <c r="H1753" s="530"/>
      <c r="I1753" s="525"/>
      <c r="K1753" s="548"/>
      <c r="L1753" s="548"/>
      <c r="M1753" s="548"/>
      <c r="N1753" s="552"/>
      <c r="Y1753" s="551"/>
    </row>
    <row r="1754" spans="1:25">
      <c r="A1754" s="499">
        <v>45525</v>
      </c>
      <c r="B1754" s="499">
        <v>45526</v>
      </c>
      <c r="C1754" s="500" t="s">
        <v>173</v>
      </c>
      <c r="D1754" s="500" t="s">
        <v>764</v>
      </c>
      <c r="E1754" s="501">
        <v>325391376.91000003</v>
      </c>
      <c r="F1754" s="502" t="s">
        <v>878</v>
      </c>
      <c r="G1754" s="100" t="s">
        <v>671</v>
      </c>
      <c r="H1754" s="530"/>
      <c r="I1754" s="525"/>
      <c r="K1754" s="548"/>
      <c r="L1754" s="548"/>
      <c r="M1754" s="548"/>
      <c r="N1754" s="552"/>
      <c r="Y1754" s="551"/>
    </row>
    <row r="1755" spans="1:25">
      <c r="A1755" s="499">
        <v>45525</v>
      </c>
      <c r="B1755" s="499">
        <v>45526</v>
      </c>
      <c r="C1755" s="500" t="s">
        <v>173</v>
      </c>
      <c r="D1755" s="500" t="s">
        <v>764</v>
      </c>
      <c r="E1755" s="501">
        <v>336386099.85000002</v>
      </c>
      <c r="F1755" s="502" t="s">
        <v>878</v>
      </c>
      <c r="G1755" s="100" t="s">
        <v>596</v>
      </c>
      <c r="H1755" s="530"/>
      <c r="I1755" s="525"/>
      <c r="K1755" s="548"/>
      <c r="L1755" s="548"/>
      <c r="M1755" s="548"/>
      <c r="N1755" s="552"/>
      <c r="Y1755" s="551"/>
    </row>
    <row r="1756" spans="1:25">
      <c r="A1756" s="499">
        <v>45525</v>
      </c>
      <c r="B1756" s="499">
        <v>45526</v>
      </c>
      <c r="C1756" s="500" t="s">
        <v>173</v>
      </c>
      <c r="D1756" s="500" t="s">
        <v>764</v>
      </c>
      <c r="E1756" s="501">
        <v>342259176.18000001</v>
      </c>
      <c r="F1756" s="502" t="s">
        <v>878</v>
      </c>
      <c r="G1756" s="100" t="s">
        <v>547</v>
      </c>
      <c r="H1756" s="530"/>
      <c r="I1756" s="525"/>
      <c r="K1756" s="548"/>
      <c r="L1756" s="548"/>
      <c r="M1756" s="548"/>
      <c r="N1756" s="552"/>
      <c r="Y1756" s="551"/>
    </row>
    <row r="1757" spans="1:25">
      <c r="A1757" s="499">
        <v>45525</v>
      </c>
      <c r="B1757" s="499">
        <v>45526</v>
      </c>
      <c r="C1757" s="500" t="s">
        <v>173</v>
      </c>
      <c r="D1757" s="500" t="s">
        <v>764</v>
      </c>
      <c r="E1757" s="501">
        <v>351393497.87</v>
      </c>
      <c r="F1757" s="502" t="s">
        <v>878</v>
      </c>
      <c r="G1757" s="100" t="s">
        <v>821</v>
      </c>
      <c r="H1757" s="530"/>
      <c r="I1757" s="525"/>
      <c r="K1757" s="548"/>
      <c r="L1757" s="548"/>
      <c r="M1757" s="548"/>
      <c r="N1757" s="552"/>
      <c r="Y1757" s="551"/>
    </row>
    <row r="1758" spans="1:25">
      <c r="A1758" s="499">
        <v>45525</v>
      </c>
      <c r="B1758" s="499">
        <v>45526</v>
      </c>
      <c r="C1758" s="500" t="s">
        <v>173</v>
      </c>
      <c r="D1758" s="500" t="s">
        <v>764</v>
      </c>
      <c r="E1758" s="501">
        <v>288105784.93000001</v>
      </c>
      <c r="F1758" s="502" t="s">
        <v>878</v>
      </c>
      <c r="G1758" s="100" t="s">
        <v>692</v>
      </c>
      <c r="H1758" s="530"/>
      <c r="I1758" s="525"/>
      <c r="K1758" s="548"/>
      <c r="L1758" s="548"/>
      <c r="M1758" s="548"/>
      <c r="N1758" s="552"/>
      <c r="Y1758" s="551"/>
    </row>
    <row r="1759" spans="1:25">
      <c r="A1759" s="499">
        <v>45525</v>
      </c>
      <c r="B1759" s="499">
        <v>45526</v>
      </c>
      <c r="C1759" s="500" t="s">
        <v>173</v>
      </c>
      <c r="D1759" s="500" t="s">
        <v>764</v>
      </c>
      <c r="E1759" s="501">
        <v>15015155.6</v>
      </c>
      <c r="F1759" s="502" t="s">
        <v>878</v>
      </c>
      <c r="G1759" s="100" t="s">
        <v>682</v>
      </c>
      <c r="H1759" s="530">
        <v>-1</v>
      </c>
      <c r="I1759" s="525"/>
      <c r="K1759" s="548"/>
      <c r="L1759" s="548"/>
      <c r="M1759" s="548"/>
      <c r="N1759" s="552"/>
      <c r="Y1759" s="551"/>
    </row>
    <row r="1760" spans="1:25">
      <c r="A1760" s="499">
        <v>45523</v>
      </c>
      <c r="B1760" s="499">
        <v>45525</v>
      </c>
      <c r="C1760" s="500" t="s">
        <v>173</v>
      </c>
      <c r="D1760" s="500" t="s">
        <v>764</v>
      </c>
      <c r="E1760" s="501">
        <v>986.18</v>
      </c>
      <c r="F1760" s="502" t="s">
        <v>912</v>
      </c>
      <c r="G1760" s="100" t="s">
        <v>473</v>
      </c>
      <c r="H1760" s="530"/>
      <c r="I1760" s="525" t="s">
        <v>653</v>
      </c>
      <c r="J1760" s="100"/>
      <c r="K1760" s="548"/>
      <c r="L1760" s="548"/>
      <c r="M1760" s="548"/>
      <c r="N1760" s="552">
        <v>1</v>
      </c>
      <c r="O1760" s="539">
        <v>1000</v>
      </c>
      <c r="W1760" s="550">
        <f>VLOOKUP(G1760,Справочник!A:C,3,0)</f>
        <v>0.1067</v>
      </c>
      <c r="X1760" s="539" t="str">
        <f>VLOOKUP(G1760,Справочник!A:G,7,0)</f>
        <v>Министерство финансов Республики Казахстан</v>
      </c>
      <c r="Y1760" s="551">
        <f>VLOOKUP(G1760,Справочник!A:B,2,0)</f>
        <v>46043</v>
      </c>
    </row>
    <row r="1761" spans="1:25">
      <c r="A1761" s="499">
        <v>45526</v>
      </c>
      <c r="B1761" s="499">
        <v>45526</v>
      </c>
      <c r="C1761" s="500" t="s">
        <v>173</v>
      </c>
      <c r="D1761" s="500" t="s">
        <v>762</v>
      </c>
      <c r="E1761" s="501">
        <v>-5331520220.5200005</v>
      </c>
      <c r="F1761" s="502" t="s">
        <v>878</v>
      </c>
      <c r="G1761" s="100" t="s">
        <v>677</v>
      </c>
      <c r="H1761" s="530"/>
      <c r="I1761" s="525"/>
      <c r="K1761" s="548"/>
      <c r="L1761" s="548"/>
      <c r="M1761" s="548"/>
      <c r="N1761" s="552"/>
      <c r="Y1761" s="551"/>
    </row>
    <row r="1762" spans="1:25">
      <c r="A1762" s="499">
        <v>45526</v>
      </c>
      <c r="B1762" s="499">
        <v>45526</v>
      </c>
      <c r="C1762" s="500" t="s">
        <v>173</v>
      </c>
      <c r="D1762" s="500" t="s">
        <v>762</v>
      </c>
      <c r="E1762" s="501">
        <v>-3586264795.98</v>
      </c>
      <c r="F1762" s="502" t="s">
        <v>878</v>
      </c>
      <c r="G1762" s="100" t="s">
        <v>644</v>
      </c>
      <c r="H1762" s="530"/>
      <c r="I1762" s="525"/>
      <c r="K1762" s="548"/>
      <c r="L1762" s="548"/>
      <c r="M1762" s="548"/>
      <c r="N1762" s="552"/>
      <c r="Y1762" s="551"/>
    </row>
    <row r="1763" spans="1:25">
      <c r="A1763" s="499">
        <v>45526</v>
      </c>
      <c r="B1763" s="499">
        <v>45526</v>
      </c>
      <c r="C1763" s="500" t="s">
        <v>173</v>
      </c>
      <c r="D1763" s="500" t="s">
        <v>762</v>
      </c>
      <c r="E1763" s="501">
        <v>-2519186006.9899998</v>
      </c>
      <c r="F1763" s="502" t="s">
        <v>878</v>
      </c>
      <c r="G1763" s="100" t="s">
        <v>644</v>
      </c>
      <c r="H1763" s="530"/>
      <c r="I1763" s="525"/>
      <c r="K1763" s="548"/>
      <c r="L1763" s="548"/>
      <c r="M1763" s="548"/>
      <c r="N1763" s="552"/>
      <c r="Y1763" s="551"/>
    </row>
    <row r="1764" spans="1:25">
      <c r="A1764" s="499">
        <v>45526</v>
      </c>
      <c r="B1764" s="499">
        <v>45526</v>
      </c>
      <c r="C1764" s="500" t="s">
        <v>173</v>
      </c>
      <c r="D1764" s="500" t="s">
        <v>762</v>
      </c>
      <c r="E1764" s="501">
        <v>-44003249.030000001</v>
      </c>
      <c r="F1764" s="502" t="s">
        <v>878</v>
      </c>
      <c r="G1764" s="100" t="s">
        <v>644</v>
      </c>
      <c r="H1764" s="530"/>
      <c r="I1764" s="525"/>
      <c r="K1764" s="548"/>
      <c r="L1764" s="548"/>
      <c r="M1764" s="548"/>
      <c r="N1764" s="552"/>
      <c r="Y1764" s="551"/>
    </row>
    <row r="1765" spans="1:25">
      <c r="A1765" s="499">
        <v>45526</v>
      </c>
      <c r="B1765" s="499">
        <v>45527</v>
      </c>
      <c r="C1765" s="500" t="s">
        <v>173</v>
      </c>
      <c r="D1765" s="500" t="s">
        <v>762</v>
      </c>
      <c r="E1765" s="501">
        <v>5333430259.4899998</v>
      </c>
      <c r="F1765" s="502" t="s">
        <v>878</v>
      </c>
      <c r="G1765" s="100" t="s">
        <v>677</v>
      </c>
      <c r="H1765" s="530"/>
      <c r="I1765" s="525"/>
      <c r="K1765" s="548"/>
      <c r="L1765" s="548"/>
      <c r="M1765" s="548"/>
      <c r="N1765" s="552"/>
      <c r="Y1765" s="551"/>
    </row>
    <row r="1766" spans="1:25">
      <c r="A1766" s="499">
        <v>45526</v>
      </c>
      <c r="B1766" s="499">
        <v>45527</v>
      </c>
      <c r="C1766" s="500" t="s">
        <v>173</v>
      </c>
      <c r="D1766" s="500" t="s">
        <v>762</v>
      </c>
      <c r="E1766" s="501">
        <v>3587549599.8400002</v>
      </c>
      <c r="F1766" s="502" t="s">
        <v>878</v>
      </c>
      <c r="G1766" s="100" t="s">
        <v>644</v>
      </c>
      <c r="H1766" s="530"/>
      <c r="I1766" s="525"/>
      <c r="K1766" s="548"/>
      <c r="L1766" s="548"/>
      <c r="M1766" s="548"/>
      <c r="N1766" s="552"/>
      <c r="Y1766" s="551"/>
    </row>
    <row r="1767" spans="1:25">
      <c r="A1767" s="499">
        <v>45526</v>
      </c>
      <c r="B1767" s="499">
        <v>45527</v>
      </c>
      <c r="C1767" s="500" t="s">
        <v>173</v>
      </c>
      <c r="D1767" s="500" t="s">
        <v>762</v>
      </c>
      <c r="E1767" s="501">
        <v>2520088439.9899998</v>
      </c>
      <c r="F1767" s="502" t="s">
        <v>878</v>
      </c>
      <c r="G1767" s="100" t="s">
        <v>644</v>
      </c>
      <c r="H1767" s="530"/>
      <c r="I1767" s="525"/>
      <c r="K1767" s="548"/>
      <c r="L1767" s="548"/>
      <c r="M1767" s="548"/>
      <c r="N1767" s="552"/>
      <c r="Y1767" s="551"/>
    </row>
    <row r="1768" spans="1:25">
      <c r="A1768" s="499">
        <v>45526</v>
      </c>
      <c r="B1768" s="499">
        <v>45527</v>
      </c>
      <c r="C1768" s="500" t="s">
        <v>173</v>
      </c>
      <c r="D1768" s="500" t="s">
        <v>762</v>
      </c>
      <c r="E1768" s="501">
        <v>44019012.049999997</v>
      </c>
      <c r="F1768" s="502" t="s">
        <v>878</v>
      </c>
      <c r="G1768" s="100" t="s">
        <v>644</v>
      </c>
      <c r="H1768" s="530"/>
      <c r="I1768" s="525"/>
      <c r="K1768" s="548"/>
      <c r="L1768" s="548"/>
      <c r="M1768" s="548"/>
      <c r="N1768" s="552"/>
      <c r="Y1768" s="551"/>
    </row>
    <row r="1769" spans="1:25">
      <c r="A1769" s="499">
        <v>45526</v>
      </c>
      <c r="B1769" s="499">
        <v>45526</v>
      </c>
      <c r="C1769" s="500" t="s">
        <v>173</v>
      </c>
      <c r="D1769" s="500" t="s">
        <v>763</v>
      </c>
      <c r="E1769" s="501">
        <v>-27001993.719999999</v>
      </c>
      <c r="F1769" s="502" t="s">
        <v>878</v>
      </c>
      <c r="G1769" s="100" t="s">
        <v>645</v>
      </c>
      <c r="H1769" s="530"/>
      <c r="I1769" s="525"/>
      <c r="K1769" s="548"/>
      <c r="L1769" s="548"/>
      <c r="M1769" s="548"/>
      <c r="N1769" s="552"/>
      <c r="Y1769" s="551"/>
    </row>
    <row r="1770" spans="1:25">
      <c r="A1770" s="499">
        <v>45526</v>
      </c>
      <c r="B1770" s="499">
        <v>45526</v>
      </c>
      <c r="C1770" s="500" t="s">
        <v>173</v>
      </c>
      <c r="D1770" s="500" t="s">
        <v>763</v>
      </c>
      <c r="E1770" s="501">
        <v>-1263093261.9400001</v>
      </c>
      <c r="F1770" s="502" t="s">
        <v>878</v>
      </c>
      <c r="G1770" s="100" t="s">
        <v>645</v>
      </c>
      <c r="H1770" s="530"/>
      <c r="I1770" s="525"/>
      <c r="K1770" s="548"/>
      <c r="L1770" s="548"/>
      <c r="M1770" s="548"/>
      <c r="N1770" s="552"/>
      <c r="Y1770" s="551"/>
    </row>
    <row r="1771" spans="1:25">
      <c r="A1771" s="499">
        <v>45526</v>
      </c>
      <c r="B1771" s="499">
        <v>45526</v>
      </c>
      <c r="C1771" s="500" t="s">
        <v>173</v>
      </c>
      <c r="D1771" s="500" t="s">
        <v>763</v>
      </c>
      <c r="E1771" s="501">
        <v>-4998100394.8299999</v>
      </c>
      <c r="F1771" s="502" t="s">
        <v>878</v>
      </c>
      <c r="G1771" s="100" t="s">
        <v>910</v>
      </c>
      <c r="H1771" s="530"/>
      <c r="I1771" s="525"/>
      <c r="K1771" s="548"/>
      <c r="L1771" s="548"/>
      <c r="M1771" s="548"/>
      <c r="N1771" s="552"/>
      <c r="Y1771" s="551"/>
    </row>
    <row r="1772" spans="1:25">
      <c r="A1772" s="499">
        <v>45526</v>
      </c>
      <c r="B1772" s="499">
        <v>45527</v>
      </c>
      <c r="C1772" s="500" t="s">
        <v>173</v>
      </c>
      <c r="D1772" s="500" t="s">
        <v>763</v>
      </c>
      <c r="E1772" s="501">
        <v>27011666.559999999</v>
      </c>
      <c r="F1772" s="502" t="s">
        <v>878</v>
      </c>
      <c r="G1772" s="100" t="s">
        <v>645</v>
      </c>
      <c r="H1772" s="530"/>
      <c r="I1772" s="525"/>
      <c r="K1772" s="548"/>
      <c r="L1772" s="548"/>
      <c r="M1772" s="548"/>
      <c r="N1772" s="552"/>
      <c r="Y1772" s="551"/>
    </row>
    <row r="1773" spans="1:25">
      <c r="A1773" s="499">
        <v>45526</v>
      </c>
      <c r="B1773" s="499">
        <v>45527</v>
      </c>
      <c r="C1773" s="500" t="s">
        <v>173</v>
      </c>
      <c r="D1773" s="500" t="s">
        <v>763</v>
      </c>
      <c r="E1773" s="501">
        <v>1263545728.8599999</v>
      </c>
      <c r="F1773" s="502" t="s">
        <v>878</v>
      </c>
      <c r="G1773" s="100" t="s">
        <v>645</v>
      </c>
      <c r="H1773" s="530"/>
      <c r="I1773" s="525"/>
      <c r="K1773" s="548"/>
      <c r="L1773" s="548"/>
      <c r="M1773" s="548"/>
      <c r="N1773" s="552"/>
      <c r="Y1773" s="551"/>
    </row>
    <row r="1774" spans="1:25">
      <c r="A1774" s="499">
        <v>45526</v>
      </c>
      <c r="B1774" s="499">
        <v>45527</v>
      </c>
      <c r="C1774" s="500" t="s">
        <v>173</v>
      </c>
      <c r="D1774" s="500" t="s">
        <v>763</v>
      </c>
      <c r="E1774" s="501">
        <v>4999890834.5600004</v>
      </c>
      <c r="F1774" s="502" t="s">
        <v>878</v>
      </c>
      <c r="G1774" s="100" t="s">
        <v>910</v>
      </c>
      <c r="H1774" s="530"/>
      <c r="I1774" s="525"/>
      <c r="K1774" s="548"/>
      <c r="L1774" s="548"/>
      <c r="M1774" s="548"/>
      <c r="N1774" s="552"/>
      <c r="Y1774" s="551"/>
    </row>
    <row r="1775" spans="1:25">
      <c r="A1775" s="499">
        <v>45526</v>
      </c>
      <c r="B1775" s="499">
        <v>45526</v>
      </c>
      <c r="C1775" s="500" t="s">
        <v>173</v>
      </c>
      <c r="D1775" s="500" t="s">
        <v>761</v>
      </c>
      <c r="E1775" s="501">
        <v>-219028573.37</v>
      </c>
      <c r="F1775" s="502" t="s">
        <v>878</v>
      </c>
      <c r="G1775" s="100" t="s">
        <v>597</v>
      </c>
      <c r="H1775" s="530"/>
      <c r="I1775" s="525"/>
      <c r="K1775" s="548"/>
      <c r="L1775" s="548"/>
      <c r="M1775" s="548"/>
      <c r="N1775" s="552"/>
      <c r="Y1775" s="551"/>
    </row>
    <row r="1776" spans="1:25">
      <c r="A1776" s="499">
        <v>45526</v>
      </c>
      <c r="B1776" s="499">
        <v>45526</v>
      </c>
      <c r="C1776" s="500" t="s">
        <v>173</v>
      </c>
      <c r="D1776" s="500" t="s">
        <v>761</v>
      </c>
      <c r="E1776" s="501">
        <v>-370012706.91000003</v>
      </c>
      <c r="F1776" s="502" t="s">
        <v>878</v>
      </c>
      <c r="G1776" s="100" t="s">
        <v>92</v>
      </c>
      <c r="H1776" s="530"/>
      <c r="I1776" s="525"/>
      <c r="K1776" s="548"/>
      <c r="L1776" s="548"/>
      <c r="M1776" s="548"/>
      <c r="N1776" s="552"/>
      <c r="Y1776" s="551"/>
    </row>
    <row r="1777" spans="1:25">
      <c r="A1777" s="499">
        <v>45526</v>
      </c>
      <c r="B1777" s="499">
        <v>45527</v>
      </c>
      <c r="C1777" s="500" t="s">
        <v>173</v>
      </c>
      <c r="D1777" s="500" t="s">
        <v>761</v>
      </c>
      <c r="E1777" s="501">
        <v>219107447.59</v>
      </c>
      <c r="F1777" s="502" t="s">
        <v>878</v>
      </c>
      <c r="G1777" s="100" t="s">
        <v>597</v>
      </c>
      <c r="H1777" s="530"/>
      <c r="I1777" s="525"/>
      <c r="K1777" s="548"/>
      <c r="L1777" s="548"/>
      <c r="M1777" s="548"/>
      <c r="N1777" s="552"/>
      <c r="Y1777" s="551"/>
    </row>
    <row r="1778" spans="1:25">
      <c r="A1778" s="499">
        <v>45526</v>
      </c>
      <c r="B1778" s="499">
        <v>45527</v>
      </c>
      <c r="C1778" s="500" t="s">
        <v>173</v>
      </c>
      <c r="D1778" s="500" t="s">
        <v>761</v>
      </c>
      <c r="E1778" s="501">
        <v>370145951.92000002</v>
      </c>
      <c r="F1778" s="502" t="s">
        <v>878</v>
      </c>
      <c r="G1778" s="100" t="s">
        <v>92</v>
      </c>
      <c r="H1778" s="530"/>
      <c r="I1778" s="525"/>
      <c r="K1778" s="548"/>
      <c r="L1778" s="548"/>
      <c r="M1778" s="548"/>
      <c r="N1778" s="552"/>
      <c r="Y1778" s="551"/>
    </row>
    <row r="1779" spans="1:25">
      <c r="A1779" s="499">
        <v>45524</v>
      </c>
      <c r="B1779" s="499">
        <v>45526</v>
      </c>
      <c r="C1779" s="500" t="s">
        <v>173</v>
      </c>
      <c r="D1779" s="500" t="s">
        <v>761</v>
      </c>
      <c r="E1779" s="501">
        <v>-417099000</v>
      </c>
      <c r="F1779" s="502" t="s">
        <v>906</v>
      </c>
      <c r="G1779" s="100" t="s">
        <v>82</v>
      </c>
      <c r="H1779" s="530"/>
      <c r="I1779" s="525" t="s">
        <v>706</v>
      </c>
      <c r="K1779" s="548">
        <v>113792535</v>
      </c>
      <c r="L1779" s="549">
        <v>79.195800000000006</v>
      </c>
      <c r="M1779" s="549">
        <f>E1779*(-1)/(N1779*O1779)*100</f>
        <v>83.419799999999995</v>
      </c>
      <c r="N1779" s="549">
        <v>500000</v>
      </c>
      <c r="O1779" s="539">
        <v>1000</v>
      </c>
      <c r="T1779" s="553">
        <v>13.25</v>
      </c>
      <c r="U1779" s="538">
        <v>20854.95</v>
      </c>
      <c r="V1779" s="538">
        <v>41709.9</v>
      </c>
      <c r="W1779" s="550">
        <f>VLOOKUP(G1779,Справочник!A:C,3,0)</f>
        <v>7.6799999999999993E-2</v>
      </c>
      <c r="X1779" s="539" t="str">
        <f>VLOOKUP(G1779,Справочник!A:G,7,0)</f>
        <v>Министерство финансов Республики Казахстан</v>
      </c>
      <c r="Y1779" s="551" t="str">
        <f>VLOOKUP(G1779,Справочник!A:B,2,0)</f>
        <v>04.02.2030</v>
      </c>
    </row>
    <row r="1780" spans="1:25">
      <c r="A1780" s="499">
        <v>45526</v>
      </c>
      <c r="B1780" s="499">
        <v>45526</v>
      </c>
      <c r="C1780" s="500" t="s">
        <v>173</v>
      </c>
      <c r="D1780" s="500" t="s">
        <v>759</v>
      </c>
      <c r="E1780" s="501">
        <v>-458033819.44999999</v>
      </c>
      <c r="F1780" s="502" t="s">
        <v>878</v>
      </c>
      <c r="G1780" s="100" t="s">
        <v>645</v>
      </c>
      <c r="H1780" s="484"/>
      <c r="I1780" s="525"/>
      <c r="K1780" s="548"/>
      <c r="L1780" s="548"/>
      <c r="M1780" s="548"/>
      <c r="N1780" s="552"/>
      <c r="Y1780" s="551"/>
    </row>
    <row r="1781" spans="1:25">
      <c r="A1781" s="499">
        <v>45526</v>
      </c>
      <c r="B1781" s="499">
        <v>45526</v>
      </c>
      <c r="C1781" s="500" t="s">
        <v>173</v>
      </c>
      <c r="D1781" s="500" t="s">
        <v>759</v>
      </c>
      <c r="E1781" s="501">
        <v>-1066493029.26</v>
      </c>
      <c r="F1781" s="502" t="s">
        <v>878</v>
      </c>
      <c r="G1781" s="100" t="s">
        <v>655</v>
      </c>
      <c r="H1781" s="484"/>
      <c r="I1781" s="525"/>
      <c r="K1781" s="548"/>
      <c r="L1781" s="548"/>
      <c r="M1781" s="548"/>
      <c r="N1781" s="552"/>
      <c r="Y1781" s="551"/>
    </row>
    <row r="1782" spans="1:25">
      <c r="A1782" s="499">
        <v>45526</v>
      </c>
      <c r="B1782" s="499">
        <v>45526</v>
      </c>
      <c r="C1782" s="500" t="s">
        <v>173</v>
      </c>
      <c r="D1782" s="500" t="s">
        <v>759</v>
      </c>
      <c r="E1782" s="501">
        <v>-6001461.9900000002</v>
      </c>
      <c r="F1782" s="502" t="s">
        <v>878</v>
      </c>
      <c r="G1782" s="100" t="s">
        <v>139</v>
      </c>
      <c r="H1782" s="484"/>
      <c r="I1782" s="525"/>
      <c r="K1782" s="548"/>
      <c r="L1782" s="548"/>
      <c r="M1782" s="548"/>
      <c r="N1782" s="552"/>
      <c r="Y1782" s="551"/>
    </row>
    <row r="1783" spans="1:25">
      <c r="A1783" s="499">
        <v>45526</v>
      </c>
      <c r="B1783" s="499">
        <v>45526</v>
      </c>
      <c r="C1783" s="500" t="s">
        <v>173</v>
      </c>
      <c r="D1783" s="500" t="s">
        <v>759</v>
      </c>
      <c r="E1783" s="501">
        <v>-6975297144.2399998</v>
      </c>
      <c r="F1783" s="502" t="s">
        <v>878</v>
      </c>
      <c r="G1783" s="100" t="s">
        <v>78</v>
      </c>
      <c r="H1783" s="484"/>
      <c r="I1783" s="525"/>
      <c r="K1783" s="548"/>
      <c r="L1783" s="548"/>
      <c r="M1783" s="548"/>
      <c r="N1783" s="552"/>
      <c r="Y1783" s="551"/>
    </row>
    <row r="1784" spans="1:25">
      <c r="A1784" s="499">
        <v>45526</v>
      </c>
      <c r="B1784" s="499">
        <v>45526</v>
      </c>
      <c r="C1784" s="500" t="s">
        <v>173</v>
      </c>
      <c r="D1784" s="500" t="s">
        <v>759</v>
      </c>
      <c r="E1784" s="501">
        <v>-24007460.399999999</v>
      </c>
      <c r="F1784" s="502" t="s">
        <v>878</v>
      </c>
      <c r="G1784" s="100" t="s">
        <v>61</v>
      </c>
      <c r="H1784" s="484"/>
      <c r="I1784" s="525"/>
      <c r="K1784" s="548"/>
      <c r="L1784" s="548"/>
      <c r="M1784" s="548"/>
      <c r="N1784" s="552"/>
      <c r="Y1784" s="551"/>
    </row>
    <row r="1785" spans="1:25">
      <c r="A1785" s="499">
        <v>45526</v>
      </c>
      <c r="B1785" s="499">
        <v>45527</v>
      </c>
      <c r="C1785" s="500" t="s">
        <v>173</v>
      </c>
      <c r="D1785" s="500" t="s">
        <v>759</v>
      </c>
      <c r="E1785" s="501">
        <v>458197896.93000001</v>
      </c>
      <c r="F1785" s="502" t="s">
        <v>878</v>
      </c>
      <c r="G1785" s="100" t="s">
        <v>645</v>
      </c>
      <c r="H1785" s="530"/>
      <c r="I1785" s="525"/>
      <c r="K1785" s="548"/>
      <c r="L1785" s="548"/>
      <c r="M1785" s="548"/>
      <c r="N1785" s="552"/>
      <c r="Y1785" s="551"/>
    </row>
    <row r="1786" spans="1:25">
      <c r="A1786" s="499">
        <v>45526</v>
      </c>
      <c r="B1786" s="499">
        <v>45527</v>
      </c>
      <c r="C1786" s="500" t="s">
        <v>173</v>
      </c>
      <c r="D1786" s="500" t="s">
        <v>759</v>
      </c>
      <c r="E1786" s="501">
        <v>1066875072.71</v>
      </c>
      <c r="F1786" s="502" t="s">
        <v>878</v>
      </c>
      <c r="G1786" s="100" t="s">
        <v>655</v>
      </c>
      <c r="H1786" s="530"/>
      <c r="I1786" s="525"/>
      <c r="K1786" s="548"/>
      <c r="L1786" s="548"/>
      <c r="M1786" s="548"/>
      <c r="N1786" s="552"/>
      <c r="Y1786" s="551"/>
    </row>
    <row r="1787" spans="1:25">
      <c r="A1787" s="499">
        <v>45526</v>
      </c>
      <c r="B1787" s="499">
        <v>45527</v>
      </c>
      <c r="C1787" s="500" t="s">
        <v>173</v>
      </c>
      <c r="D1787" s="500" t="s">
        <v>759</v>
      </c>
      <c r="E1787" s="501">
        <v>6003618.25</v>
      </c>
      <c r="F1787" s="502" t="s">
        <v>878</v>
      </c>
      <c r="G1787" s="100" t="s">
        <v>139</v>
      </c>
      <c r="H1787" s="530"/>
      <c r="I1787" s="525"/>
      <c r="K1787" s="548"/>
      <c r="L1787" s="548"/>
      <c r="M1787" s="548"/>
      <c r="N1787" s="552"/>
      <c r="Y1787" s="551"/>
    </row>
    <row r="1788" spans="1:25">
      <c r="A1788" s="499">
        <v>45526</v>
      </c>
      <c r="B1788" s="499">
        <v>45533</v>
      </c>
      <c r="C1788" s="500" t="s">
        <v>173</v>
      </c>
      <c r="D1788" s="500" t="s">
        <v>759</v>
      </c>
      <c r="E1788" s="501">
        <v>6993040318.1199999</v>
      </c>
      <c r="F1788" s="502" t="s">
        <v>878</v>
      </c>
      <c r="G1788" s="100" t="s">
        <v>78</v>
      </c>
      <c r="H1788" s="530"/>
      <c r="I1788" s="525"/>
      <c r="K1788" s="548"/>
      <c r="L1788" s="548"/>
      <c r="M1788" s="548"/>
      <c r="N1788" s="552"/>
      <c r="Y1788" s="551"/>
    </row>
    <row r="1789" spans="1:25">
      <c r="A1789" s="499">
        <v>45526</v>
      </c>
      <c r="B1789" s="499">
        <v>45533</v>
      </c>
      <c r="C1789" s="500" t="s">
        <v>173</v>
      </c>
      <c r="D1789" s="500" t="s">
        <v>759</v>
      </c>
      <c r="E1789" s="501">
        <v>24068530.390000001</v>
      </c>
      <c r="F1789" s="502" t="s">
        <v>878</v>
      </c>
      <c r="G1789" s="100" t="s">
        <v>61</v>
      </c>
      <c r="H1789" s="530"/>
      <c r="I1789" s="525"/>
      <c r="K1789" s="548"/>
      <c r="L1789" s="548"/>
      <c r="M1789" s="548"/>
      <c r="N1789" s="552"/>
      <c r="Y1789" s="551"/>
    </row>
    <row r="1790" spans="1:25">
      <c r="A1790" s="499">
        <v>45526</v>
      </c>
      <c r="B1790" s="499">
        <v>45526</v>
      </c>
      <c r="C1790" s="500" t="s">
        <v>173</v>
      </c>
      <c r="D1790" s="500" t="s">
        <v>760</v>
      </c>
      <c r="E1790" s="501">
        <v>-4401072126</v>
      </c>
      <c r="F1790" s="502" t="s">
        <v>878</v>
      </c>
      <c r="G1790" s="100" t="s">
        <v>139</v>
      </c>
      <c r="H1790" s="530"/>
      <c r="I1790" s="525"/>
      <c r="K1790" s="548"/>
      <c r="L1790" s="548"/>
      <c r="M1790" s="548"/>
      <c r="N1790" s="552"/>
      <c r="Y1790" s="551"/>
    </row>
    <row r="1791" spans="1:25">
      <c r="A1791" s="499">
        <v>45526</v>
      </c>
      <c r="B1791" s="499">
        <v>45526</v>
      </c>
      <c r="C1791" s="500" t="s">
        <v>173</v>
      </c>
      <c r="D1791" s="500" t="s">
        <v>760</v>
      </c>
      <c r="E1791" s="501">
        <v>-34000682.960000001</v>
      </c>
      <c r="F1791" s="502" t="s">
        <v>878</v>
      </c>
      <c r="G1791" s="100" t="s">
        <v>910</v>
      </c>
      <c r="H1791" s="530"/>
      <c r="I1791" s="525"/>
      <c r="K1791" s="548"/>
      <c r="L1791" s="548"/>
      <c r="M1791" s="548"/>
      <c r="N1791" s="552"/>
      <c r="Y1791" s="551"/>
    </row>
    <row r="1792" spans="1:25">
      <c r="A1792" s="499">
        <v>45526</v>
      </c>
      <c r="B1792" s="499">
        <v>45527</v>
      </c>
      <c r="C1792" s="500" t="s">
        <v>173</v>
      </c>
      <c r="D1792" s="500" t="s">
        <v>760</v>
      </c>
      <c r="E1792" s="501">
        <v>4402658183.4099998</v>
      </c>
      <c r="F1792" s="502" t="s">
        <v>878</v>
      </c>
      <c r="G1792" s="100" t="s">
        <v>139</v>
      </c>
      <c r="H1792" s="530"/>
      <c r="I1792" s="525"/>
      <c r="K1792" s="548"/>
      <c r="L1792" s="548"/>
      <c r="M1792" s="548"/>
      <c r="N1792" s="552"/>
      <c r="Y1792" s="551"/>
    </row>
    <row r="1793" spans="1:25">
      <c r="A1793" s="499">
        <v>45526</v>
      </c>
      <c r="B1793" s="499">
        <v>45527</v>
      </c>
      <c r="C1793" s="500" t="s">
        <v>173</v>
      </c>
      <c r="D1793" s="500" t="s">
        <v>760</v>
      </c>
      <c r="E1793" s="501">
        <v>34012936.119999997</v>
      </c>
      <c r="F1793" s="502" t="s">
        <v>878</v>
      </c>
      <c r="G1793" s="100" t="s">
        <v>910</v>
      </c>
      <c r="H1793" s="530"/>
      <c r="I1793" s="525"/>
      <c r="K1793" s="548"/>
      <c r="L1793" s="548"/>
      <c r="M1793" s="548"/>
      <c r="N1793" s="552"/>
      <c r="Y1793" s="551"/>
    </row>
    <row r="1794" spans="1:25">
      <c r="A1794" s="499">
        <v>45526</v>
      </c>
      <c r="B1794" s="499">
        <v>45526</v>
      </c>
      <c r="C1794" s="500" t="s">
        <v>173</v>
      </c>
      <c r="D1794" s="500" t="s">
        <v>764</v>
      </c>
      <c r="E1794" s="501">
        <v>-2644644250.2600002</v>
      </c>
      <c r="F1794" s="502" t="s">
        <v>878</v>
      </c>
      <c r="G1794" s="100" t="s">
        <v>630</v>
      </c>
      <c r="H1794" s="530"/>
      <c r="I1794" s="525"/>
      <c r="K1794" s="548"/>
      <c r="L1794" s="548"/>
      <c r="M1794" s="548"/>
      <c r="N1794" s="552"/>
      <c r="Y1794" s="551"/>
    </row>
    <row r="1795" spans="1:25">
      <c r="A1795" s="499">
        <v>45526</v>
      </c>
      <c r="B1795" s="499">
        <v>45526</v>
      </c>
      <c r="C1795" s="500" t="s">
        <v>173</v>
      </c>
      <c r="D1795" s="500" t="s">
        <v>764</v>
      </c>
      <c r="E1795" s="501">
        <v>-1207024245.01</v>
      </c>
      <c r="F1795" s="502" t="s">
        <v>878</v>
      </c>
      <c r="G1795" s="100" t="s">
        <v>909</v>
      </c>
      <c r="H1795" s="530"/>
      <c r="I1795" s="525"/>
      <c r="K1795" s="548"/>
      <c r="L1795" s="548"/>
      <c r="M1795" s="548"/>
      <c r="N1795" s="552"/>
      <c r="Y1795" s="551"/>
    </row>
    <row r="1796" spans="1:25">
      <c r="A1796" s="499">
        <v>45526</v>
      </c>
      <c r="B1796" s="499">
        <v>45526</v>
      </c>
      <c r="C1796" s="500" t="s">
        <v>173</v>
      </c>
      <c r="D1796" s="500" t="s">
        <v>764</v>
      </c>
      <c r="E1796" s="501">
        <v>-17006235.59</v>
      </c>
      <c r="F1796" s="502" t="s">
        <v>878</v>
      </c>
      <c r="G1796" s="100" t="s">
        <v>550</v>
      </c>
      <c r="H1796" s="530"/>
      <c r="I1796" s="525"/>
      <c r="K1796" s="548"/>
      <c r="L1796" s="548"/>
      <c r="M1796" s="548"/>
      <c r="N1796" s="552"/>
      <c r="Y1796" s="551"/>
    </row>
    <row r="1797" spans="1:25">
      <c r="A1797" s="499">
        <v>45526</v>
      </c>
      <c r="B1797" s="499">
        <v>45527</v>
      </c>
      <c r="C1797" s="500" t="s">
        <v>173</v>
      </c>
      <c r="D1797" s="500" t="s">
        <v>764</v>
      </c>
      <c r="E1797" s="501">
        <v>2645597333.8000002</v>
      </c>
      <c r="F1797" s="502" t="s">
        <v>878</v>
      </c>
      <c r="G1797" s="100" t="s">
        <v>630</v>
      </c>
      <c r="H1797" s="530"/>
      <c r="I1797" s="525"/>
      <c r="K1797" s="548"/>
      <c r="L1797" s="548"/>
      <c r="M1797" s="548"/>
      <c r="N1797" s="552"/>
      <c r="Y1797" s="551"/>
    </row>
    <row r="1798" spans="1:25">
      <c r="A1798" s="499">
        <v>45526</v>
      </c>
      <c r="B1798" s="499">
        <v>45527</v>
      </c>
      <c r="C1798" s="500" t="s">
        <v>173</v>
      </c>
      <c r="D1798" s="500" t="s">
        <v>764</v>
      </c>
      <c r="E1798" s="501">
        <v>1207459235.4400001</v>
      </c>
      <c r="F1798" s="502" t="s">
        <v>878</v>
      </c>
      <c r="G1798" s="100" t="s">
        <v>909</v>
      </c>
      <c r="H1798" s="530"/>
      <c r="I1798" s="525"/>
      <c r="K1798" s="548"/>
      <c r="L1798" s="548"/>
      <c r="M1798" s="548"/>
      <c r="N1798" s="552">
        <v>-1</v>
      </c>
      <c r="Y1798" s="551"/>
    </row>
    <row r="1799" spans="1:25">
      <c r="A1799" s="499">
        <v>45526</v>
      </c>
      <c r="B1799" s="499">
        <v>45527</v>
      </c>
      <c r="C1799" s="500" t="s">
        <v>173</v>
      </c>
      <c r="D1799" s="500" t="s">
        <v>764</v>
      </c>
      <c r="E1799" s="501">
        <v>17012327.59</v>
      </c>
      <c r="F1799" s="502" t="s">
        <v>878</v>
      </c>
      <c r="G1799" s="100" t="s">
        <v>550</v>
      </c>
      <c r="H1799" s="530"/>
      <c r="I1799" s="525"/>
      <c r="K1799" s="548"/>
      <c r="L1799" s="548"/>
      <c r="M1799" s="548"/>
      <c r="N1799" s="552"/>
      <c r="Y1799" s="551"/>
    </row>
    <row r="1800" spans="1:25">
      <c r="A1800" s="499">
        <v>45527</v>
      </c>
      <c r="B1800" s="499">
        <v>45527</v>
      </c>
      <c r="C1800" s="500" t="s">
        <v>173</v>
      </c>
      <c r="D1800" s="500" t="s">
        <v>762</v>
      </c>
      <c r="E1800" s="501">
        <v>-6355621768.1199999</v>
      </c>
      <c r="F1800" s="502" t="s">
        <v>878</v>
      </c>
      <c r="G1800" s="100" t="s">
        <v>630</v>
      </c>
      <c r="H1800" s="530"/>
      <c r="I1800" s="525"/>
      <c r="K1800" s="548"/>
      <c r="L1800" s="548"/>
      <c r="M1800" s="548"/>
      <c r="N1800" s="552"/>
      <c r="Y1800" s="551"/>
    </row>
    <row r="1801" spans="1:25">
      <c r="A1801" s="499">
        <v>45527</v>
      </c>
      <c r="B1801" s="499">
        <v>45527</v>
      </c>
      <c r="C1801" s="500" t="s">
        <v>173</v>
      </c>
      <c r="D1801" s="500" t="s">
        <v>762</v>
      </c>
      <c r="E1801" s="501">
        <v>-5083033380.6300001</v>
      </c>
      <c r="F1801" s="502" t="s">
        <v>878</v>
      </c>
      <c r="G1801" s="100" t="s">
        <v>550</v>
      </c>
      <c r="H1801" s="530"/>
      <c r="I1801" s="525"/>
      <c r="K1801" s="548"/>
      <c r="L1801" s="548"/>
      <c r="M1801" s="548"/>
      <c r="N1801" s="552"/>
      <c r="Y1801" s="551"/>
    </row>
    <row r="1802" spans="1:25">
      <c r="A1802" s="499">
        <v>45527</v>
      </c>
      <c r="B1802" s="499">
        <v>45527</v>
      </c>
      <c r="C1802" s="500" t="s">
        <v>173</v>
      </c>
      <c r="D1802" s="500" t="s">
        <v>762</v>
      </c>
      <c r="E1802" s="501">
        <v>-48004140.780000001</v>
      </c>
      <c r="F1802" s="502" t="s">
        <v>878</v>
      </c>
      <c r="G1802" s="100" t="s">
        <v>909</v>
      </c>
      <c r="H1802" s="530"/>
      <c r="I1802" s="525"/>
      <c r="K1802" s="548"/>
      <c r="L1802" s="548"/>
      <c r="M1802" s="548"/>
      <c r="N1802" s="552"/>
      <c r="Y1802" s="551"/>
    </row>
    <row r="1803" spans="1:25">
      <c r="A1803" s="499">
        <v>45527</v>
      </c>
      <c r="B1803" s="499">
        <v>45530</v>
      </c>
      <c r="C1803" s="500" t="s">
        <v>173</v>
      </c>
      <c r="D1803" s="500" t="s">
        <v>762</v>
      </c>
      <c r="E1803" s="501">
        <v>6362498602.9700003</v>
      </c>
      <c r="F1803" s="502" t="s">
        <v>878</v>
      </c>
      <c r="G1803" s="100" t="s">
        <v>630</v>
      </c>
      <c r="H1803" s="530"/>
      <c r="I1803" s="525"/>
      <c r="K1803" s="548"/>
      <c r="L1803" s="548"/>
      <c r="M1803" s="548"/>
      <c r="N1803" s="552"/>
      <c r="Y1803" s="551"/>
    </row>
    <row r="1804" spans="1:25">
      <c r="A1804" s="499">
        <v>45527</v>
      </c>
      <c r="B1804" s="499">
        <v>45530</v>
      </c>
      <c r="C1804" s="500" t="s">
        <v>173</v>
      </c>
      <c r="D1804" s="500" t="s">
        <v>762</v>
      </c>
      <c r="E1804" s="501">
        <v>5088533181.0799999</v>
      </c>
      <c r="F1804" s="502" t="s">
        <v>878</v>
      </c>
      <c r="G1804" s="100" t="s">
        <v>550</v>
      </c>
      <c r="H1804" s="530"/>
      <c r="I1804" s="525"/>
      <c r="K1804" s="548"/>
      <c r="L1804" s="548"/>
      <c r="M1804" s="548"/>
      <c r="N1804" s="552"/>
      <c r="Y1804" s="551"/>
    </row>
    <row r="1805" spans="1:25">
      <c r="A1805" s="499">
        <v>45527</v>
      </c>
      <c r="B1805" s="499">
        <v>45530</v>
      </c>
      <c r="C1805" s="500" t="s">
        <v>173</v>
      </c>
      <c r="D1805" s="500" t="s">
        <v>762</v>
      </c>
      <c r="E1805" s="501">
        <v>48056080.079999998</v>
      </c>
      <c r="F1805" s="502" t="s">
        <v>878</v>
      </c>
      <c r="G1805" s="100" t="s">
        <v>909</v>
      </c>
      <c r="H1805" s="530"/>
      <c r="I1805" s="525"/>
      <c r="K1805" s="548"/>
      <c r="L1805" s="548"/>
      <c r="M1805" s="548"/>
      <c r="N1805" s="552"/>
      <c r="Y1805" s="551"/>
    </row>
    <row r="1806" spans="1:25">
      <c r="A1806" s="499">
        <v>45527</v>
      </c>
      <c r="B1806" s="499">
        <v>45527</v>
      </c>
      <c r="C1806" s="500" t="s">
        <v>173</v>
      </c>
      <c r="D1806" s="500" t="s">
        <v>761</v>
      </c>
      <c r="E1806" s="501">
        <v>-446043636.27999997</v>
      </c>
      <c r="F1806" s="502" t="s">
        <v>878</v>
      </c>
      <c r="G1806" s="100" t="s">
        <v>139</v>
      </c>
      <c r="H1806" s="530"/>
      <c r="I1806" s="525"/>
      <c r="K1806" s="548"/>
      <c r="L1806" s="548"/>
      <c r="M1806" s="548"/>
      <c r="N1806" s="552"/>
      <c r="Y1806" s="551"/>
    </row>
    <row r="1807" spans="1:25">
      <c r="A1807" s="499">
        <v>45527</v>
      </c>
      <c r="B1807" s="499">
        <v>45527</v>
      </c>
      <c r="C1807" s="500" t="s">
        <v>173</v>
      </c>
      <c r="D1807" s="500" t="s">
        <v>761</v>
      </c>
      <c r="E1807" s="501">
        <v>-2000335.18</v>
      </c>
      <c r="F1807" s="502" t="s">
        <v>878</v>
      </c>
      <c r="G1807" s="100" t="s">
        <v>834</v>
      </c>
      <c r="H1807" s="530"/>
      <c r="I1807" s="525"/>
      <c r="K1807" s="548"/>
      <c r="L1807" s="548"/>
      <c r="M1807" s="548"/>
      <c r="N1807" s="552"/>
      <c r="Y1807" s="551"/>
    </row>
    <row r="1808" spans="1:25">
      <c r="A1808" s="499">
        <v>45527</v>
      </c>
      <c r="B1808" s="499">
        <v>45530</v>
      </c>
      <c r="C1808" s="500" t="s">
        <v>173</v>
      </c>
      <c r="D1808" s="500" t="s">
        <v>761</v>
      </c>
      <c r="E1808" s="501">
        <v>446533553.06</v>
      </c>
      <c r="F1808" s="502" t="s">
        <v>878</v>
      </c>
      <c r="G1808" s="100" t="s">
        <v>139</v>
      </c>
      <c r="H1808" s="530"/>
      <c r="I1808" s="525"/>
      <c r="K1808" s="548"/>
      <c r="L1808" s="548"/>
      <c r="M1808" s="548"/>
      <c r="N1808" s="552"/>
      <c r="Y1808" s="551"/>
    </row>
    <row r="1809" spans="1:25">
      <c r="A1809" s="499">
        <v>45527</v>
      </c>
      <c r="B1809" s="499">
        <v>45530</v>
      </c>
      <c r="C1809" s="500" t="s">
        <v>173</v>
      </c>
      <c r="D1809" s="500" t="s">
        <v>761</v>
      </c>
      <c r="E1809" s="501">
        <v>2002532.27</v>
      </c>
      <c r="F1809" s="502" t="s">
        <v>878</v>
      </c>
      <c r="G1809" s="100" t="s">
        <v>834</v>
      </c>
      <c r="H1809" s="530"/>
      <c r="I1809" s="525"/>
      <c r="K1809" s="548"/>
      <c r="L1809" s="548"/>
      <c r="M1809" s="548"/>
      <c r="N1809" s="552"/>
      <c r="Y1809" s="551"/>
    </row>
    <row r="1810" spans="1:25">
      <c r="A1810" s="499">
        <v>45527</v>
      </c>
      <c r="B1810" s="499">
        <v>45527</v>
      </c>
      <c r="C1810" s="500" t="s">
        <v>173</v>
      </c>
      <c r="D1810" s="500" t="s">
        <v>759</v>
      </c>
      <c r="E1810" s="501">
        <v>-6000372.5800000001</v>
      </c>
      <c r="F1810" s="502" t="s">
        <v>878</v>
      </c>
      <c r="G1810" s="100" t="s">
        <v>645</v>
      </c>
      <c r="H1810" s="484"/>
      <c r="I1810" s="525"/>
      <c r="K1810" s="548"/>
      <c r="L1810" s="548"/>
      <c r="M1810" s="548"/>
      <c r="N1810" s="552"/>
      <c r="Y1810" s="551"/>
    </row>
    <row r="1811" spans="1:25">
      <c r="A1811" s="499">
        <v>45527</v>
      </c>
      <c r="B1811" s="499">
        <v>45527</v>
      </c>
      <c r="C1811" s="500" t="s">
        <v>173</v>
      </c>
      <c r="D1811" s="500" t="s">
        <v>759</v>
      </c>
      <c r="E1811" s="501">
        <v>-1525094696.4000001</v>
      </c>
      <c r="F1811" s="502" t="s">
        <v>878</v>
      </c>
      <c r="G1811" s="100" t="s">
        <v>645</v>
      </c>
      <c r="H1811" s="484"/>
      <c r="I1811" s="525"/>
      <c r="K1811" s="548"/>
      <c r="L1811" s="548"/>
      <c r="M1811" s="548"/>
      <c r="N1811" s="552"/>
      <c r="Y1811" s="551"/>
    </row>
    <row r="1812" spans="1:25">
      <c r="A1812" s="499">
        <v>45527</v>
      </c>
      <c r="B1812" s="499">
        <v>45530</v>
      </c>
      <c r="C1812" s="500" t="s">
        <v>173</v>
      </c>
      <c r="D1812" s="500" t="s">
        <v>759</v>
      </c>
      <c r="E1812" s="501">
        <v>6006889.4800000004</v>
      </c>
      <c r="F1812" s="502" t="s">
        <v>878</v>
      </c>
      <c r="G1812" s="100" t="s">
        <v>645</v>
      </c>
      <c r="H1812" s="530"/>
      <c r="I1812" s="525"/>
      <c r="K1812" s="548"/>
      <c r="L1812" s="548"/>
      <c r="M1812" s="548"/>
      <c r="N1812" s="552"/>
      <c r="Y1812" s="551"/>
    </row>
    <row r="1813" spans="1:25">
      <c r="A1813" s="499">
        <v>45527</v>
      </c>
      <c r="B1813" s="499">
        <v>45530</v>
      </c>
      <c r="C1813" s="500" t="s">
        <v>173</v>
      </c>
      <c r="D1813" s="500" t="s">
        <v>759</v>
      </c>
      <c r="E1813" s="501">
        <v>1526751074.25</v>
      </c>
      <c r="F1813" s="502" t="s">
        <v>878</v>
      </c>
      <c r="G1813" s="100" t="s">
        <v>645</v>
      </c>
      <c r="H1813" s="530"/>
      <c r="I1813" s="525"/>
      <c r="K1813" s="548"/>
      <c r="L1813" s="548"/>
      <c r="M1813" s="548"/>
      <c r="N1813" s="552"/>
      <c r="Y1813" s="551"/>
    </row>
    <row r="1814" spans="1:25">
      <c r="A1814" s="499">
        <v>45527</v>
      </c>
      <c r="B1814" s="499">
        <v>45527</v>
      </c>
      <c r="C1814" s="500" t="s">
        <v>173</v>
      </c>
      <c r="D1814" s="500" t="s">
        <v>764</v>
      </c>
      <c r="E1814" s="501">
        <v>-517086644.75</v>
      </c>
      <c r="F1814" s="502" t="s">
        <v>878</v>
      </c>
      <c r="G1814" s="100" t="s">
        <v>834</v>
      </c>
      <c r="H1814" s="530"/>
      <c r="I1814" s="525"/>
      <c r="K1814" s="548"/>
      <c r="L1814" s="548"/>
      <c r="M1814" s="548"/>
      <c r="N1814" s="552"/>
      <c r="Y1814" s="551"/>
    </row>
    <row r="1815" spans="1:25">
      <c r="A1815" s="499">
        <v>45527</v>
      </c>
      <c r="B1815" s="499">
        <v>45527</v>
      </c>
      <c r="C1815" s="500" t="s">
        <v>173</v>
      </c>
      <c r="D1815" s="500" t="s">
        <v>764</v>
      </c>
      <c r="E1815" s="501">
        <v>-3348288819.2399998</v>
      </c>
      <c r="F1815" s="502" t="s">
        <v>878</v>
      </c>
      <c r="G1815" s="100" t="s">
        <v>910</v>
      </c>
      <c r="H1815" s="530"/>
      <c r="I1815" s="525"/>
      <c r="K1815" s="548"/>
      <c r="L1815" s="548"/>
      <c r="M1815" s="548"/>
      <c r="N1815" s="552"/>
      <c r="Y1815" s="551"/>
    </row>
    <row r="1816" spans="1:25">
      <c r="A1816" s="499">
        <v>45527</v>
      </c>
      <c r="B1816" s="499">
        <v>45527</v>
      </c>
      <c r="C1816" s="500" t="s">
        <v>173</v>
      </c>
      <c r="D1816" s="500" t="s">
        <v>764</v>
      </c>
      <c r="E1816" s="501">
        <v>-15000931.439999999</v>
      </c>
      <c r="F1816" s="502" t="s">
        <v>878</v>
      </c>
      <c r="G1816" s="100" t="s">
        <v>645</v>
      </c>
      <c r="H1816" s="530"/>
      <c r="I1816" s="525"/>
      <c r="K1816" s="548"/>
      <c r="L1816" s="548"/>
      <c r="M1816" s="548"/>
      <c r="N1816" s="552"/>
      <c r="Y1816" s="551"/>
    </row>
    <row r="1817" spans="1:25">
      <c r="A1817" s="499">
        <v>45527</v>
      </c>
      <c r="B1817" s="499">
        <v>45530</v>
      </c>
      <c r="C1817" s="500" t="s">
        <v>173</v>
      </c>
      <c r="D1817" s="500" t="s">
        <v>764</v>
      </c>
      <c r="E1817" s="501">
        <v>517656711.57999998</v>
      </c>
      <c r="F1817" s="502" t="s">
        <v>878</v>
      </c>
      <c r="G1817" s="100" t="s">
        <v>834</v>
      </c>
      <c r="H1817" s="530"/>
      <c r="I1817" s="525"/>
      <c r="K1817" s="548"/>
      <c r="L1817" s="548"/>
      <c r="M1817" s="548"/>
      <c r="N1817" s="552"/>
      <c r="Y1817" s="551"/>
    </row>
    <row r="1818" spans="1:25">
      <c r="A1818" s="499">
        <v>45527</v>
      </c>
      <c r="B1818" s="499">
        <v>45530</v>
      </c>
      <c r="C1818" s="500" t="s">
        <v>173</v>
      </c>
      <c r="D1818" s="500" t="s">
        <v>764</v>
      </c>
      <c r="E1818" s="501">
        <v>3351884112.9699998</v>
      </c>
      <c r="F1818" s="502" t="s">
        <v>878</v>
      </c>
      <c r="G1818" s="100" t="s">
        <v>910</v>
      </c>
      <c r="H1818" s="530"/>
      <c r="I1818" s="525"/>
      <c r="K1818" s="548"/>
      <c r="L1818" s="548"/>
      <c r="M1818" s="548"/>
      <c r="N1818" s="552"/>
      <c r="Y1818" s="551"/>
    </row>
    <row r="1819" spans="1:25">
      <c r="A1819" s="499">
        <v>45527</v>
      </c>
      <c r="B1819" s="499">
        <v>45530</v>
      </c>
      <c r="C1819" s="500" t="s">
        <v>173</v>
      </c>
      <c r="D1819" s="500" t="s">
        <v>764</v>
      </c>
      <c r="E1819" s="501">
        <v>15016928.460000001</v>
      </c>
      <c r="F1819" s="502" t="s">
        <v>878</v>
      </c>
      <c r="G1819" s="100" t="s">
        <v>645</v>
      </c>
      <c r="H1819" s="530"/>
      <c r="I1819" s="525"/>
      <c r="K1819" s="548"/>
      <c r="L1819" s="548"/>
      <c r="M1819" s="548"/>
      <c r="N1819" s="552"/>
      <c r="Y1819" s="551"/>
    </row>
    <row r="1820" spans="1:25">
      <c r="A1820" s="499">
        <v>45527</v>
      </c>
      <c r="B1820" s="499">
        <v>45527</v>
      </c>
      <c r="C1820" s="500" t="s">
        <v>173</v>
      </c>
      <c r="D1820" s="500" t="s">
        <v>763</v>
      </c>
      <c r="E1820" s="501">
        <v>-1263942867.3900001</v>
      </c>
      <c r="F1820" s="502" t="s">
        <v>878</v>
      </c>
      <c r="G1820" s="100" t="s">
        <v>476</v>
      </c>
      <c r="H1820" s="530"/>
      <c r="I1820" s="525"/>
      <c r="K1820" s="548"/>
      <c r="L1820" s="548"/>
      <c r="M1820" s="548"/>
      <c r="N1820" s="552"/>
      <c r="Y1820" s="551"/>
    </row>
    <row r="1821" spans="1:25">
      <c r="A1821" s="499">
        <v>45527</v>
      </c>
      <c r="B1821" s="499">
        <v>45527</v>
      </c>
      <c r="C1821" s="500" t="s">
        <v>173</v>
      </c>
      <c r="D1821" s="500" t="s">
        <v>763</v>
      </c>
      <c r="E1821" s="501">
        <v>-5000310480</v>
      </c>
      <c r="F1821" s="502" t="s">
        <v>878</v>
      </c>
      <c r="G1821" s="100" t="s">
        <v>645</v>
      </c>
      <c r="H1821" s="530"/>
      <c r="I1821" s="525"/>
      <c r="K1821" s="548"/>
      <c r="L1821" s="548"/>
      <c r="M1821" s="548"/>
      <c r="N1821" s="552"/>
      <c r="Y1821" s="551"/>
    </row>
    <row r="1822" spans="1:25">
      <c r="A1822" s="499">
        <v>45527</v>
      </c>
      <c r="B1822" s="499">
        <v>45527</v>
      </c>
      <c r="C1822" s="500" t="s">
        <v>173</v>
      </c>
      <c r="D1822" s="500" t="s">
        <v>763</v>
      </c>
      <c r="E1822" s="501">
        <v>-26019409.780000001</v>
      </c>
      <c r="F1822" s="502" t="s">
        <v>878</v>
      </c>
      <c r="G1822" s="100" t="s">
        <v>476</v>
      </c>
      <c r="H1822" s="530"/>
      <c r="I1822" s="525"/>
      <c r="K1822" s="548"/>
      <c r="L1822" s="548"/>
      <c r="M1822" s="548"/>
      <c r="N1822" s="552"/>
      <c r="Y1822" s="551"/>
    </row>
    <row r="1823" spans="1:25">
      <c r="A1823" s="499">
        <v>45527</v>
      </c>
      <c r="B1823" s="499">
        <v>45530</v>
      </c>
      <c r="C1823" s="500" t="s">
        <v>173</v>
      </c>
      <c r="D1823" s="500" t="s">
        <v>763</v>
      </c>
      <c r="E1823" s="501">
        <v>1265310432.8499999</v>
      </c>
      <c r="F1823" s="502" t="s">
        <v>878</v>
      </c>
      <c r="G1823" s="100" t="s">
        <v>476</v>
      </c>
      <c r="H1823" s="530"/>
      <c r="I1823" s="525"/>
      <c r="K1823" s="548"/>
      <c r="L1823" s="548"/>
      <c r="M1823" s="548"/>
      <c r="N1823" s="552"/>
      <c r="Y1823" s="551"/>
    </row>
    <row r="1824" spans="1:25">
      <c r="A1824" s="499">
        <v>45527</v>
      </c>
      <c r="B1824" s="499">
        <v>45530</v>
      </c>
      <c r="C1824" s="500" t="s">
        <v>173</v>
      </c>
      <c r="D1824" s="500" t="s">
        <v>763</v>
      </c>
      <c r="E1824" s="501">
        <v>5005720774.9499998</v>
      </c>
      <c r="F1824" s="502" t="s">
        <v>878</v>
      </c>
      <c r="G1824" s="100" t="s">
        <v>645</v>
      </c>
      <c r="H1824" s="530"/>
      <c r="I1824" s="525"/>
      <c r="K1824" s="548"/>
      <c r="L1824" s="548"/>
      <c r="M1824" s="548"/>
      <c r="N1824" s="552"/>
      <c r="Y1824" s="551"/>
    </row>
    <row r="1825" spans="1:25">
      <c r="A1825" s="499">
        <v>45527</v>
      </c>
      <c r="B1825" s="499">
        <v>45530</v>
      </c>
      <c r="C1825" s="500" t="s">
        <v>173</v>
      </c>
      <c r="D1825" s="500" t="s">
        <v>763</v>
      </c>
      <c r="E1825" s="501">
        <v>26047562.350000001</v>
      </c>
      <c r="F1825" s="502" t="s">
        <v>878</v>
      </c>
      <c r="G1825" s="100" t="s">
        <v>476</v>
      </c>
      <c r="H1825" s="530"/>
      <c r="I1825" s="525"/>
      <c r="K1825" s="548"/>
      <c r="L1825" s="548"/>
      <c r="M1825" s="548"/>
      <c r="N1825" s="552"/>
      <c r="Y1825" s="551"/>
    </row>
    <row r="1826" spans="1:25">
      <c r="A1826" s="499">
        <v>45527</v>
      </c>
      <c r="B1826" s="499">
        <v>45527</v>
      </c>
      <c r="C1826" s="500" t="s">
        <v>173</v>
      </c>
      <c r="D1826" s="500" t="s">
        <v>760</v>
      </c>
      <c r="E1826" s="501">
        <v>-1748171022.9200001</v>
      </c>
      <c r="F1826" s="502" t="s">
        <v>878</v>
      </c>
      <c r="G1826" s="100" t="s">
        <v>139</v>
      </c>
      <c r="H1826" s="530"/>
      <c r="I1826" s="525"/>
      <c r="K1826" s="548"/>
      <c r="L1826" s="548"/>
      <c r="M1826" s="548"/>
      <c r="N1826" s="552"/>
      <c r="Y1826" s="551"/>
    </row>
    <row r="1827" spans="1:25">
      <c r="A1827" s="499">
        <v>45527</v>
      </c>
      <c r="B1827" s="499">
        <v>45527</v>
      </c>
      <c r="C1827" s="500" t="s">
        <v>173</v>
      </c>
      <c r="D1827" s="500" t="s">
        <v>760</v>
      </c>
      <c r="E1827" s="501">
        <v>-2642227915.3000002</v>
      </c>
      <c r="F1827" s="502" t="s">
        <v>878</v>
      </c>
      <c r="G1827" s="100" t="s">
        <v>910</v>
      </c>
      <c r="H1827" s="530"/>
      <c r="I1827" s="525"/>
      <c r="K1827" s="548"/>
      <c r="L1827" s="548"/>
      <c r="M1827" s="548"/>
      <c r="N1827" s="552"/>
      <c r="Y1827" s="551"/>
    </row>
    <row r="1828" spans="1:25">
      <c r="A1828" s="499">
        <v>45527</v>
      </c>
      <c r="B1828" s="499">
        <v>45527</v>
      </c>
      <c r="C1828" s="500" t="s">
        <v>173</v>
      </c>
      <c r="D1828" s="500" t="s">
        <v>760</v>
      </c>
      <c r="E1828" s="501">
        <v>-46018408.880000003</v>
      </c>
      <c r="F1828" s="502" t="s">
        <v>878</v>
      </c>
      <c r="G1828" s="100" t="s">
        <v>551</v>
      </c>
      <c r="H1828" s="530"/>
      <c r="I1828" s="525"/>
      <c r="K1828" s="548"/>
      <c r="L1828" s="548"/>
      <c r="M1828" s="548"/>
      <c r="N1828" s="552"/>
      <c r="Y1828" s="551"/>
    </row>
    <row r="1829" spans="1:25">
      <c r="A1829" s="499">
        <v>45527</v>
      </c>
      <c r="B1829" s="499">
        <v>45530</v>
      </c>
      <c r="C1829" s="500" t="s">
        <v>173</v>
      </c>
      <c r="D1829" s="500" t="s">
        <v>760</v>
      </c>
      <c r="E1829" s="501">
        <v>1750062558.3</v>
      </c>
      <c r="F1829" s="502" t="s">
        <v>878</v>
      </c>
      <c r="G1829" s="100" t="s">
        <v>139</v>
      </c>
      <c r="H1829" s="530"/>
      <c r="I1829" s="525"/>
      <c r="K1829" s="548"/>
      <c r="L1829" s="548"/>
      <c r="M1829" s="548"/>
      <c r="N1829" s="552"/>
      <c r="Y1829" s="551"/>
    </row>
    <row r="1830" spans="1:25">
      <c r="A1830" s="499">
        <v>45527</v>
      </c>
      <c r="B1830" s="499">
        <v>45530</v>
      </c>
      <c r="C1830" s="500" t="s">
        <v>173</v>
      </c>
      <c r="D1830" s="500" t="s">
        <v>760</v>
      </c>
      <c r="E1830" s="501">
        <v>2645086849.2199998</v>
      </c>
      <c r="F1830" s="502" t="s">
        <v>878</v>
      </c>
      <c r="G1830" s="100" t="s">
        <v>910</v>
      </c>
      <c r="H1830" s="530"/>
      <c r="I1830" s="525"/>
      <c r="K1830" s="548"/>
      <c r="L1830" s="548"/>
      <c r="M1830" s="548"/>
      <c r="N1830" s="552"/>
      <c r="Y1830" s="551"/>
    </row>
    <row r="1831" spans="1:25">
      <c r="A1831" s="499">
        <v>45527</v>
      </c>
      <c r="B1831" s="499">
        <v>45530</v>
      </c>
      <c r="C1831" s="500" t="s">
        <v>173</v>
      </c>
      <c r="D1831" s="500" t="s">
        <v>760</v>
      </c>
      <c r="E1831" s="501">
        <v>46068200.420000002</v>
      </c>
      <c r="F1831" s="502" t="s">
        <v>878</v>
      </c>
      <c r="G1831" s="100" t="s">
        <v>551</v>
      </c>
      <c r="H1831" s="530"/>
      <c r="I1831" s="525"/>
      <c r="K1831" s="548"/>
      <c r="L1831" s="548">
        <v>-1</v>
      </c>
      <c r="M1831" s="548"/>
      <c r="N1831" s="552"/>
      <c r="Y1831" s="551"/>
    </row>
    <row r="1832" spans="1:25">
      <c r="A1832" s="499">
        <v>45530</v>
      </c>
      <c r="B1832" s="499">
        <v>45530</v>
      </c>
      <c r="C1832" s="500" t="s">
        <v>173</v>
      </c>
      <c r="D1832" s="500" t="s">
        <v>762</v>
      </c>
      <c r="E1832" s="501">
        <v>-4000163244</v>
      </c>
      <c r="F1832" s="502" t="s">
        <v>878</v>
      </c>
      <c r="G1832" s="100" t="s">
        <v>644</v>
      </c>
      <c r="H1832" s="530"/>
      <c r="I1832" s="525"/>
      <c r="K1832" s="548"/>
      <c r="L1832" s="548"/>
      <c r="M1832" s="548"/>
      <c r="N1832" s="552"/>
      <c r="Y1832" s="551"/>
    </row>
    <row r="1833" spans="1:25">
      <c r="A1833" s="499">
        <v>45530</v>
      </c>
      <c r="B1833" s="499">
        <v>45530</v>
      </c>
      <c r="C1833" s="500" t="s">
        <v>173</v>
      </c>
      <c r="D1833" s="500" t="s">
        <v>762</v>
      </c>
      <c r="E1833" s="501">
        <v>-3515143450.6700001</v>
      </c>
      <c r="F1833" s="502" t="s">
        <v>878</v>
      </c>
      <c r="G1833" s="100" t="s">
        <v>644</v>
      </c>
      <c r="H1833" s="530"/>
      <c r="I1833" s="525"/>
      <c r="K1833" s="548"/>
      <c r="L1833" s="548"/>
      <c r="M1833" s="548"/>
      <c r="N1833" s="552"/>
      <c r="Y1833" s="551"/>
    </row>
    <row r="1834" spans="1:25">
      <c r="A1834" s="499">
        <v>45530</v>
      </c>
      <c r="B1834" s="499">
        <v>45530</v>
      </c>
      <c r="C1834" s="500" t="s">
        <v>173</v>
      </c>
      <c r="D1834" s="500" t="s">
        <v>762</v>
      </c>
      <c r="E1834" s="501">
        <v>-3934090581.5700002</v>
      </c>
      <c r="F1834" s="502" t="s">
        <v>878</v>
      </c>
      <c r="G1834" s="100" t="s">
        <v>633</v>
      </c>
      <c r="H1834" s="530"/>
      <c r="I1834" s="525"/>
      <c r="K1834" s="548"/>
      <c r="L1834" s="548"/>
      <c r="M1834" s="548"/>
      <c r="N1834" s="552"/>
      <c r="Y1834" s="551"/>
    </row>
    <row r="1835" spans="1:25">
      <c r="A1835" s="499">
        <v>45530</v>
      </c>
      <c r="B1835" s="499">
        <v>45530</v>
      </c>
      <c r="C1835" s="500" t="s">
        <v>173</v>
      </c>
      <c r="D1835" s="500" t="s">
        <v>762</v>
      </c>
      <c r="E1835" s="501">
        <v>-49013587.210000001</v>
      </c>
      <c r="F1835" s="502" t="s">
        <v>878</v>
      </c>
      <c r="G1835" s="100" t="s">
        <v>633</v>
      </c>
      <c r="H1835" s="530"/>
      <c r="I1835" s="525"/>
      <c r="K1835" s="548"/>
      <c r="L1835" s="548"/>
      <c r="M1835" s="548"/>
      <c r="N1835" s="552"/>
      <c r="Y1835" s="551"/>
    </row>
    <row r="1836" spans="1:25">
      <c r="A1836" s="499">
        <v>45530</v>
      </c>
      <c r="B1836" s="499">
        <v>45531</v>
      </c>
      <c r="C1836" s="500" t="s">
        <v>173</v>
      </c>
      <c r="D1836" s="500" t="s">
        <v>762</v>
      </c>
      <c r="E1836" s="501">
        <v>4001601575.9200001</v>
      </c>
      <c r="F1836" s="502" t="s">
        <v>878</v>
      </c>
      <c r="G1836" s="100" t="s">
        <v>644</v>
      </c>
      <c r="H1836" s="530"/>
      <c r="I1836" s="525"/>
      <c r="K1836" s="548"/>
      <c r="L1836" s="548"/>
      <c r="M1836" s="548"/>
      <c r="N1836" s="552"/>
      <c r="Y1836" s="551"/>
    </row>
    <row r="1837" spans="1:25">
      <c r="A1837" s="499">
        <v>45530</v>
      </c>
      <c r="B1837" s="499">
        <v>45531</v>
      </c>
      <c r="C1837" s="500" t="s">
        <v>173</v>
      </c>
      <c r="D1837" s="500" t="s">
        <v>762</v>
      </c>
      <c r="E1837" s="501">
        <v>3516407375.2399998</v>
      </c>
      <c r="F1837" s="502" t="s">
        <v>878</v>
      </c>
      <c r="G1837" s="100" t="s">
        <v>644</v>
      </c>
      <c r="H1837" s="530"/>
      <c r="I1837" s="525"/>
      <c r="K1837" s="548"/>
      <c r="L1837" s="548"/>
      <c r="M1837" s="548"/>
      <c r="N1837" s="552"/>
      <c r="Y1837" s="551"/>
    </row>
    <row r="1838" spans="1:25">
      <c r="A1838" s="499">
        <v>45530</v>
      </c>
      <c r="B1838" s="499">
        <v>45531</v>
      </c>
      <c r="C1838" s="500" t="s">
        <v>173</v>
      </c>
      <c r="D1838" s="500" t="s">
        <v>762</v>
      </c>
      <c r="E1838" s="501">
        <v>3935505145.1100001</v>
      </c>
      <c r="F1838" s="502" t="s">
        <v>878</v>
      </c>
      <c r="G1838" s="100" t="s">
        <v>633</v>
      </c>
      <c r="H1838" s="530"/>
      <c r="I1838" s="525"/>
      <c r="K1838" s="548"/>
      <c r="L1838" s="548"/>
      <c r="M1838" s="548"/>
      <c r="N1838" s="552"/>
      <c r="Y1838" s="551"/>
    </row>
    <row r="1839" spans="1:25">
      <c r="A1839" s="499">
        <v>45530</v>
      </c>
      <c r="B1839" s="499">
        <v>45531</v>
      </c>
      <c r="C1839" s="500" t="s">
        <v>173</v>
      </c>
      <c r="D1839" s="500" t="s">
        <v>762</v>
      </c>
      <c r="E1839" s="501">
        <v>49031210.810000002</v>
      </c>
      <c r="F1839" s="502" t="s">
        <v>878</v>
      </c>
      <c r="G1839" s="100" t="s">
        <v>633</v>
      </c>
      <c r="H1839" s="530"/>
      <c r="I1839" s="525"/>
      <c r="K1839" s="548"/>
      <c r="L1839" s="548"/>
      <c r="M1839" s="548"/>
      <c r="N1839" s="552"/>
      <c r="Y1839" s="551"/>
    </row>
    <row r="1840" spans="1:25">
      <c r="A1840" s="499">
        <v>45530</v>
      </c>
      <c r="B1840" s="499">
        <v>45530</v>
      </c>
      <c r="C1840" s="500" t="s">
        <v>173</v>
      </c>
      <c r="D1840" s="500" t="s">
        <v>759</v>
      </c>
      <c r="E1840" s="501">
        <v>-1525062236.78</v>
      </c>
      <c r="F1840" s="502" t="s">
        <v>878</v>
      </c>
      <c r="G1840" s="100" t="s">
        <v>645</v>
      </c>
      <c r="H1840" s="484"/>
      <c r="I1840" s="525"/>
      <c r="K1840" s="548"/>
      <c r="L1840" s="548"/>
      <c r="M1840" s="548"/>
      <c r="N1840" s="552"/>
      <c r="Y1840" s="551"/>
    </row>
    <row r="1841" spans="1:25">
      <c r="A1841" s="499">
        <v>45530</v>
      </c>
      <c r="B1841" s="499">
        <v>45530</v>
      </c>
      <c r="C1841" s="500" t="s">
        <v>173</v>
      </c>
      <c r="D1841" s="500" t="s">
        <v>759</v>
      </c>
      <c r="E1841" s="501">
        <v>-8002589.4900000002</v>
      </c>
      <c r="F1841" s="502" t="s">
        <v>878</v>
      </c>
      <c r="G1841" s="100" t="s">
        <v>139</v>
      </c>
      <c r="H1841" s="484"/>
      <c r="I1841" s="525"/>
      <c r="K1841" s="548"/>
      <c r="L1841" s="548"/>
      <c r="M1841" s="548"/>
      <c r="N1841" s="552"/>
      <c r="Y1841" s="551"/>
    </row>
    <row r="1842" spans="1:25">
      <c r="A1842" s="499">
        <v>45530</v>
      </c>
      <c r="B1842" s="499">
        <v>45531</v>
      </c>
      <c r="C1842" s="500" t="s">
        <v>173</v>
      </c>
      <c r="D1842" s="500" t="s">
        <v>759</v>
      </c>
      <c r="E1842" s="501">
        <v>1525610384.1500001</v>
      </c>
      <c r="F1842" s="502" t="s">
        <v>878</v>
      </c>
      <c r="G1842" s="100" t="s">
        <v>645</v>
      </c>
      <c r="H1842" s="530"/>
      <c r="I1842" s="525"/>
      <c r="K1842" s="548"/>
      <c r="L1842" s="548"/>
      <c r="M1842" s="548"/>
      <c r="N1842" s="552"/>
      <c r="Y1842" s="551"/>
    </row>
    <row r="1843" spans="1:25">
      <c r="A1843" s="499">
        <v>45530</v>
      </c>
      <c r="B1843" s="499">
        <v>45531</v>
      </c>
      <c r="C1843" s="500" t="s">
        <v>173</v>
      </c>
      <c r="D1843" s="500" t="s">
        <v>759</v>
      </c>
      <c r="E1843" s="501">
        <v>8005453.7999999998</v>
      </c>
      <c r="F1843" s="502" t="s">
        <v>878</v>
      </c>
      <c r="G1843" s="100" t="s">
        <v>139</v>
      </c>
      <c r="H1843" s="530"/>
      <c r="I1843" s="525"/>
      <c r="K1843" s="548"/>
      <c r="L1843" s="548"/>
      <c r="M1843" s="548"/>
      <c r="N1843" s="552"/>
      <c r="Y1843" s="551"/>
    </row>
    <row r="1844" spans="1:25">
      <c r="A1844" s="499">
        <v>45530</v>
      </c>
      <c r="B1844" s="499">
        <v>45530</v>
      </c>
      <c r="C1844" s="500" t="s">
        <v>173</v>
      </c>
      <c r="D1844" s="500" t="s">
        <v>761</v>
      </c>
      <c r="E1844" s="501">
        <v>-1988351160</v>
      </c>
      <c r="F1844" s="502" t="s">
        <v>878</v>
      </c>
      <c r="G1844" s="100" t="s">
        <v>494</v>
      </c>
      <c r="H1844" s="530"/>
      <c r="I1844" s="525"/>
      <c r="K1844" s="548"/>
      <c r="L1844" s="548"/>
      <c r="M1844" s="548"/>
      <c r="N1844" s="552"/>
      <c r="Y1844" s="551"/>
    </row>
    <row r="1845" spans="1:25">
      <c r="A1845" s="499">
        <v>45530</v>
      </c>
      <c r="B1845" s="499">
        <v>45530</v>
      </c>
      <c r="C1845" s="500" t="s">
        <v>173</v>
      </c>
      <c r="D1845" s="500" t="s">
        <v>761</v>
      </c>
      <c r="E1845" s="501">
        <v>-265204698.72</v>
      </c>
      <c r="F1845" s="502" t="s">
        <v>878</v>
      </c>
      <c r="G1845" s="100" t="s">
        <v>724</v>
      </c>
      <c r="H1845" s="530"/>
      <c r="I1845" s="525"/>
      <c r="K1845" s="548"/>
      <c r="L1845" s="548"/>
      <c r="M1845" s="548"/>
      <c r="N1845" s="552"/>
      <c r="Y1845" s="551"/>
    </row>
    <row r="1846" spans="1:25">
      <c r="A1846" s="499">
        <v>45530</v>
      </c>
      <c r="B1846" s="499">
        <v>45530</v>
      </c>
      <c r="C1846" s="500" t="s">
        <v>173</v>
      </c>
      <c r="D1846" s="500" t="s">
        <v>761</v>
      </c>
      <c r="E1846" s="501">
        <v>-9000549.7699999996</v>
      </c>
      <c r="F1846" s="502" t="s">
        <v>878</v>
      </c>
      <c r="G1846" s="100" t="s">
        <v>679</v>
      </c>
      <c r="H1846" s="530"/>
      <c r="I1846" s="525"/>
      <c r="K1846" s="548"/>
      <c r="L1846" s="548"/>
      <c r="M1846" s="548"/>
      <c r="N1846" s="552"/>
      <c r="Y1846" s="551"/>
    </row>
    <row r="1847" spans="1:25">
      <c r="A1847" s="499">
        <v>45530</v>
      </c>
      <c r="B1847" s="499">
        <v>45537</v>
      </c>
      <c r="C1847" s="500" t="s">
        <v>173</v>
      </c>
      <c r="D1847" s="500" t="s">
        <v>761</v>
      </c>
      <c r="E1847" s="501">
        <v>1993484941.45</v>
      </c>
      <c r="F1847" s="502" t="s">
        <v>878</v>
      </c>
      <c r="G1847" s="100" t="s">
        <v>494</v>
      </c>
      <c r="H1847" s="530"/>
      <c r="I1847" s="525"/>
      <c r="K1847" s="548"/>
      <c r="L1847" s="548"/>
      <c r="M1847" s="548"/>
      <c r="N1847" s="552"/>
      <c r="Y1847" s="551"/>
    </row>
    <row r="1848" spans="1:25">
      <c r="A1848" s="499">
        <v>45530</v>
      </c>
      <c r="B1848" s="499">
        <v>45537</v>
      </c>
      <c r="C1848" s="500" t="s">
        <v>173</v>
      </c>
      <c r="D1848" s="500" t="s">
        <v>761</v>
      </c>
      <c r="E1848" s="501">
        <v>265889438.41</v>
      </c>
      <c r="F1848" s="502" t="s">
        <v>878</v>
      </c>
      <c r="G1848" s="100" t="s">
        <v>724</v>
      </c>
      <c r="H1848" s="530"/>
      <c r="I1848" s="525"/>
      <c r="K1848" s="548"/>
      <c r="L1848" s="548"/>
      <c r="M1848" s="548"/>
      <c r="N1848" s="552"/>
      <c r="Y1848" s="551"/>
    </row>
    <row r="1849" spans="1:25">
      <c r="A1849" s="499">
        <v>45530</v>
      </c>
      <c r="B1849" s="499">
        <v>45537</v>
      </c>
      <c r="C1849" s="500" t="s">
        <v>173</v>
      </c>
      <c r="D1849" s="500" t="s">
        <v>761</v>
      </c>
      <c r="E1849" s="501">
        <v>9023703</v>
      </c>
      <c r="F1849" s="502" t="s">
        <v>878</v>
      </c>
      <c r="G1849" s="100" t="s">
        <v>679</v>
      </c>
      <c r="H1849" s="530"/>
      <c r="I1849" s="525"/>
      <c r="K1849" s="548"/>
      <c r="L1849" s="548"/>
      <c r="M1849" s="548"/>
      <c r="N1849" s="552"/>
      <c r="Y1849" s="551"/>
    </row>
    <row r="1850" spans="1:25">
      <c r="A1850" s="499">
        <v>45530</v>
      </c>
      <c r="B1850" s="499">
        <v>45532</v>
      </c>
      <c r="C1850" s="500" t="s">
        <v>173</v>
      </c>
      <c r="D1850" s="500" t="s">
        <v>761</v>
      </c>
      <c r="E1850" s="501">
        <v>-326530722.22000003</v>
      </c>
      <c r="F1850" s="502" t="s">
        <v>906</v>
      </c>
      <c r="G1850" s="100" t="s">
        <v>61</v>
      </c>
      <c r="H1850" s="530"/>
      <c r="I1850" s="525" t="s">
        <v>717</v>
      </c>
      <c r="K1850" s="548">
        <v>113850153</v>
      </c>
      <c r="L1850" s="549">
        <v>63.411700000000003</v>
      </c>
      <c r="M1850" s="549">
        <f>E1850*(-1)/(N1850*O1850)*100</f>
        <v>65.306144443999997</v>
      </c>
      <c r="N1850" s="549">
        <v>500000</v>
      </c>
      <c r="O1850" s="539">
        <v>1000</v>
      </c>
      <c r="T1850" s="553">
        <v>13.42</v>
      </c>
      <c r="U1850" s="538">
        <v>16326.54</v>
      </c>
      <c r="V1850" s="538">
        <v>32653.07</v>
      </c>
      <c r="W1850" s="550">
        <f>VLOOKUP(G1850,Справочник!A:C,3,0)</f>
        <v>5.5E-2</v>
      </c>
      <c r="X1850" s="539" t="str">
        <f>VLOOKUP(G1850,Справочник!A:G,7,0)</f>
        <v>Министерство финансов Республики Казахстан</v>
      </c>
      <c r="Y1850" s="551">
        <f>VLOOKUP(G1850,Справочник!A:B,2,0)</f>
        <v>48328</v>
      </c>
    </row>
    <row r="1851" spans="1:25">
      <c r="A1851" s="499">
        <v>45530</v>
      </c>
      <c r="B1851" s="499">
        <v>45532</v>
      </c>
      <c r="C1851" s="500" t="s">
        <v>173</v>
      </c>
      <c r="D1851" s="500" t="s">
        <v>761</v>
      </c>
      <c r="E1851" s="501">
        <v>1467191083.3299999</v>
      </c>
      <c r="F1851" s="502" t="s">
        <v>912</v>
      </c>
      <c r="G1851" s="100" t="s">
        <v>473</v>
      </c>
      <c r="H1851" s="530"/>
      <c r="I1851" s="525"/>
      <c r="K1851" s="548"/>
      <c r="L1851" s="548"/>
      <c r="M1851" s="548"/>
      <c r="N1851" s="552">
        <v>1500000</v>
      </c>
      <c r="O1851" s="539">
        <v>1000</v>
      </c>
      <c r="W1851" s="550">
        <f>VLOOKUP(G1851,Справочник!A:C,3,0)</f>
        <v>0.1067</v>
      </c>
      <c r="X1851" s="539" t="str">
        <f>VLOOKUP(G1851,Справочник!A:G,7,0)</f>
        <v>Министерство финансов Республики Казахстан</v>
      </c>
      <c r="Y1851" s="551">
        <f>VLOOKUP(G1851,Справочник!A:B,2,0)</f>
        <v>46043</v>
      </c>
    </row>
    <row r="1852" spans="1:25">
      <c r="A1852" s="499">
        <v>45530</v>
      </c>
      <c r="B1852" s="499">
        <v>45530</v>
      </c>
      <c r="C1852" s="500" t="s">
        <v>173</v>
      </c>
      <c r="D1852" s="500" t="s">
        <v>760</v>
      </c>
      <c r="E1852" s="501">
        <v>-611378279.26999998</v>
      </c>
      <c r="F1852" s="502" t="s">
        <v>878</v>
      </c>
      <c r="G1852" s="100" t="s">
        <v>745</v>
      </c>
      <c r="H1852" s="530"/>
      <c r="I1852" s="525"/>
      <c r="K1852" s="548"/>
      <c r="L1852" s="548"/>
      <c r="M1852" s="548"/>
      <c r="N1852" s="552"/>
      <c r="Y1852" s="551"/>
    </row>
    <row r="1853" spans="1:25">
      <c r="A1853" s="499">
        <v>45530</v>
      </c>
      <c r="B1853" s="499">
        <v>45530</v>
      </c>
      <c r="C1853" s="500" t="s">
        <v>173</v>
      </c>
      <c r="D1853" s="500" t="s">
        <v>760</v>
      </c>
      <c r="E1853" s="501">
        <v>-1690045685.24</v>
      </c>
      <c r="F1853" s="502" t="s">
        <v>878</v>
      </c>
      <c r="G1853" s="100" t="s">
        <v>745</v>
      </c>
      <c r="H1853" s="530"/>
      <c r="I1853" s="525"/>
      <c r="K1853" s="548"/>
      <c r="L1853" s="548"/>
      <c r="M1853" s="548"/>
      <c r="N1853" s="552"/>
      <c r="Y1853" s="551"/>
    </row>
    <row r="1854" spans="1:25">
      <c r="A1854" s="499">
        <v>45530</v>
      </c>
      <c r="B1854" s="499">
        <v>45530</v>
      </c>
      <c r="C1854" s="500" t="s">
        <v>173</v>
      </c>
      <c r="D1854" s="500" t="s">
        <v>760</v>
      </c>
      <c r="E1854" s="501">
        <v>-40026454.520000003</v>
      </c>
      <c r="F1854" s="502" t="s">
        <v>878</v>
      </c>
      <c r="G1854" s="100" t="s">
        <v>453</v>
      </c>
      <c r="H1854" s="530"/>
      <c r="I1854" s="525"/>
      <c r="K1854" s="548"/>
      <c r="L1854" s="548"/>
      <c r="M1854" s="548"/>
      <c r="N1854" s="552"/>
      <c r="Y1854" s="551"/>
    </row>
    <row r="1855" spans="1:25">
      <c r="A1855" s="499">
        <v>45530</v>
      </c>
      <c r="B1855" s="499">
        <v>45530</v>
      </c>
      <c r="C1855" s="500" t="s">
        <v>173</v>
      </c>
      <c r="D1855" s="500" t="s">
        <v>760</v>
      </c>
      <c r="E1855" s="501">
        <v>-2090127667.6500001</v>
      </c>
      <c r="F1855" s="502" t="s">
        <v>878</v>
      </c>
      <c r="G1855" s="100" t="s">
        <v>679</v>
      </c>
      <c r="H1855" s="530"/>
      <c r="I1855" s="525"/>
      <c r="K1855" s="548"/>
      <c r="L1855" s="548"/>
      <c r="M1855" s="548"/>
      <c r="N1855" s="552"/>
      <c r="Y1855" s="551"/>
    </row>
    <row r="1856" spans="1:25">
      <c r="A1856" s="499">
        <v>45530</v>
      </c>
      <c r="B1856" s="499">
        <v>45530</v>
      </c>
      <c r="C1856" s="500" t="s">
        <v>173</v>
      </c>
      <c r="D1856" s="500" t="s">
        <v>760</v>
      </c>
      <c r="E1856" s="501">
        <v>-9000381.6999999993</v>
      </c>
      <c r="F1856" s="502" t="s">
        <v>878</v>
      </c>
      <c r="G1856" s="100" t="s">
        <v>910</v>
      </c>
      <c r="H1856" s="530"/>
      <c r="I1856" s="525"/>
      <c r="K1856" s="548"/>
      <c r="L1856" s="548"/>
      <c r="M1856" s="548"/>
      <c r="N1856" s="552"/>
      <c r="Y1856" s="551"/>
    </row>
    <row r="1857" spans="1:25">
      <c r="A1857" s="499">
        <v>45530</v>
      </c>
      <c r="B1857" s="499">
        <v>45531</v>
      </c>
      <c r="C1857" s="500" t="s">
        <v>173</v>
      </c>
      <c r="D1857" s="500" t="s">
        <v>760</v>
      </c>
      <c r="E1857" s="501">
        <v>611597772.41999996</v>
      </c>
      <c r="F1857" s="502" t="s">
        <v>878</v>
      </c>
      <c r="G1857" s="100" t="s">
        <v>745</v>
      </c>
      <c r="H1857" s="530"/>
      <c r="I1857" s="525"/>
      <c r="K1857" s="548"/>
      <c r="L1857" s="548"/>
      <c r="M1857" s="548"/>
      <c r="N1857" s="552"/>
      <c r="Y1857" s="551"/>
    </row>
    <row r="1858" spans="1:25">
      <c r="A1858" s="499">
        <v>45530</v>
      </c>
      <c r="B1858" s="499">
        <v>45531</v>
      </c>
      <c r="C1858" s="500" t="s">
        <v>173</v>
      </c>
      <c r="D1858" s="500" t="s">
        <v>760</v>
      </c>
      <c r="E1858" s="501">
        <v>1690652434.73</v>
      </c>
      <c r="F1858" s="502" t="s">
        <v>878</v>
      </c>
      <c r="G1858" s="100" t="s">
        <v>745</v>
      </c>
      <c r="H1858" s="530"/>
      <c r="I1858" s="525"/>
      <c r="K1858" s="548"/>
      <c r="L1858" s="548"/>
      <c r="M1858" s="548"/>
      <c r="N1858" s="552"/>
      <c r="Y1858" s="551"/>
    </row>
    <row r="1859" spans="1:25">
      <c r="A1859" s="499">
        <v>45530</v>
      </c>
      <c r="B1859" s="499">
        <v>45531</v>
      </c>
      <c r="C1859" s="500" t="s">
        <v>173</v>
      </c>
      <c r="D1859" s="500" t="s">
        <v>760</v>
      </c>
      <c r="E1859" s="501">
        <v>40040835.609999999</v>
      </c>
      <c r="F1859" s="502" t="s">
        <v>878</v>
      </c>
      <c r="G1859" s="100" t="s">
        <v>453</v>
      </c>
      <c r="H1859" s="530"/>
      <c r="I1859" s="525"/>
      <c r="K1859" s="548"/>
      <c r="L1859" s="548"/>
      <c r="M1859" s="548"/>
      <c r="N1859" s="552"/>
      <c r="Y1859" s="551"/>
    </row>
    <row r="1860" spans="1:25">
      <c r="A1860" s="499">
        <v>45530</v>
      </c>
      <c r="B1860" s="499">
        <v>45537</v>
      </c>
      <c r="C1860" s="500" t="s">
        <v>173</v>
      </c>
      <c r="D1860" s="500" t="s">
        <v>760</v>
      </c>
      <c r="E1860" s="501">
        <v>2095504321.2</v>
      </c>
      <c r="F1860" s="502" t="s">
        <v>878</v>
      </c>
      <c r="G1860" s="100" t="s">
        <v>679</v>
      </c>
      <c r="H1860" s="530"/>
      <c r="I1860" s="525"/>
      <c r="K1860" s="548"/>
      <c r="L1860" s="548"/>
      <c r="M1860" s="548"/>
      <c r="N1860" s="552"/>
      <c r="Y1860" s="551"/>
    </row>
    <row r="1861" spans="1:25">
      <c r="A1861" s="499">
        <v>45530</v>
      </c>
      <c r="B1861" s="499">
        <v>45537</v>
      </c>
      <c r="C1861" s="500" t="s">
        <v>173</v>
      </c>
      <c r="D1861" s="500" t="s">
        <v>760</v>
      </c>
      <c r="E1861" s="501">
        <v>9023534.3200000003</v>
      </c>
      <c r="F1861" s="502" t="s">
        <v>878</v>
      </c>
      <c r="G1861" s="100" t="s">
        <v>910</v>
      </c>
      <c r="H1861" s="530"/>
      <c r="I1861" s="525"/>
      <c r="K1861" s="548"/>
      <c r="L1861" s="548"/>
      <c r="M1861" s="548"/>
      <c r="N1861" s="552"/>
      <c r="Y1861" s="551"/>
    </row>
    <row r="1862" spans="1:25">
      <c r="A1862" s="499">
        <v>45530</v>
      </c>
      <c r="B1862" s="499">
        <v>45530</v>
      </c>
      <c r="C1862" s="500" t="s">
        <v>173</v>
      </c>
      <c r="D1862" s="500" t="s">
        <v>764</v>
      </c>
      <c r="E1862" s="501">
        <v>-3867164005.6599998</v>
      </c>
      <c r="F1862" s="502" t="s">
        <v>878</v>
      </c>
      <c r="G1862" s="100" t="s">
        <v>909</v>
      </c>
      <c r="H1862" s="530"/>
      <c r="I1862" s="525"/>
      <c r="K1862" s="548"/>
      <c r="L1862" s="548"/>
      <c r="M1862" s="548"/>
      <c r="N1862" s="552"/>
      <c r="Y1862" s="551"/>
    </row>
    <row r="1863" spans="1:25">
      <c r="A1863" s="499">
        <v>45530</v>
      </c>
      <c r="B1863" s="499">
        <v>45530</v>
      </c>
      <c r="C1863" s="500" t="s">
        <v>173</v>
      </c>
      <c r="D1863" s="500" t="s">
        <v>764</v>
      </c>
      <c r="E1863" s="501">
        <v>-17001849.870000001</v>
      </c>
      <c r="F1863" s="502" t="s">
        <v>878</v>
      </c>
      <c r="G1863" s="100" t="s">
        <v>670</v>
      </c>
      <c r="H1863" s="530"/>
      <c r="I1863" s="525"/>
      <c r="K1863" s="548"/>
      <c r="L1863" s="548"/>
      <c r="M1863" s="548"/>
      <c r="N1863" s="552"/>
      <c r="Y1863" s="551"/>
    </row>
    <row r="1864" spans="1:25">
      <c r="A1864" s="499">
        <v>45530</v>
      </c>
      <c r="B1864" s="499">
        <v>45537</v>
      </c>
      <c r="C1864" s="500" t="s">
        <v>173</v>
      </c>
      <c r="D1864" s="500" t="s">
        <v>764</v>
      </c>
      <c r="E1864" s="501">
        <v>3877111915.25</v>
      </c>
      <c r="F1864" s="502" t="s">
        <v>878</v>
      </c>
      <c r="G1864" s="100" t="s">
        <v>909</v>
      </c>
      <c r="H1864" s="530"/>
      <c r="I1864" s="525"/>
      <c r="K1864" s="548"/>
      <c r="L1864" s="548"/>
      <c r="M1864" s="548"/>
      <c r="N1864" s="552"/>
      <c r="Y1864" s="551"/>
    </row>
    <row r="1865" spans="1:25">
      <c r="A1865" s="499">
        <v>45530</v>
      </c>
      <c r="B1865" s="499">
        <v>45537</v>
      </c>
      <c r="C1865" s="500" t="s">
        <v>173</v>
      </c>
      <c r="D1865" s="500" t="s">
        <v>764</v>
      </c>
      <c r="E1865" s="501">
        <v>17045585.5</v>
      </c>
      <c r="F1865" s="502" t="s">
        <v>878</v>
      </c>
      <c r="G1865" s="100" t="s">
        <v>670</v>
      </c>
      <c r="H1865" s="530"/>
      <c r="I1865" s="525"/>
      <c r="K1865" s="548"/>
      <c r="L1865" s="548"/>
      <c r="M1865" s="548"/>
      <c r="N1865" s="552"/>
      <c r="Y1865" s="551"/>
    </row>
    <row r="1866" spans="1:25">
      <c r="A1866" s="499">
        <v>45530</v>
      </c>
      <c r="B1866" s="499">
        <v>45530</v>
      </c>
      <c r="C1866" s="500" t="s">
        <v>173</v>
      </c>
      <c r="D1866" s="500" t="s">
        <v>763</v>
      </c>
      <c r="E1866" s="501">
        <v>-115000105.66</v>
      </c>
      <c r="F1866" s="502" t="s">
        <v>878</v>
      </c>
      <c r="G1866" s="100" t="s">
        <v>812</v>
      </c>
      <c r="H1866" s="530"/>
      <c r="I1866" s="525"/>
      <c r="K1866" s="548"/>
      <c r="L1866" s="548"/>
      <c r="M1866" s="548"/>
      <c r="N1866" s="552"/>
      <c r="Y1866" s="551"/>
    </row>
    <row r="1867" spans="1:25">
      <c r="A1867" s="499">
        <v>45530</v>
      </c>
      <c r="B1867" s="499">
        <v>45530</v>
      </c>
      <c r="C1867" s="500" t="s">
        <v>173</v>
      </c>
      <c r="D1867" s="500" t="s">
        <v>763</v>
      </c>
      <c r="E1867" s="501">
        <v>-3775221592.4699988</v>
      </c>
      <c r="F1867" s="502" t="s">
        <v>878</v>
      </c>
      <c r="G1867" s="100" t="s">
        <v>139</v>
      </c>
      <c r="H1867" s="530"/>
      <c r="I1867" s="525"/>
      <c r="K1867" s="548"/>
      <c r="L1867" s="548"/>
      <c r="M1867" s="548"/>
      <c r="N1867" s="552"/>
      <c r="Y1867" s="551"/>
    </row>
    <row r="1868" spans="1:25">
      <c r="A1868" s="499">
        <v>45530</v>
      </c>
      <c r="B1868" s="499">
        <v>45530</v>
      </c>
      <c r="C1868" s="500" t="s">
        <v>173</v>
      </c>
      <c r="D1868" s="500" t="s">
        <v>763</v>
      </c>
      <c r="E1868" s="501">
        <v>-2381097170.9899998</v>
      </c>
      <c r="F1868" s="502" t="s">
        <v>878</v>
      </c>
      <c r="G1868" s="100" t="s">
        <v>645</v>
      </c>
      <c r="H1868" s="530"/>
      <c r="I1868" s="525"/>
      <c r="K1868" s="548"/>
      <c r="L1868" s="548"/>
      <c r="M1868" s="548"/>
      <c r="N1868" s="552"/>
      <c r="Y1868" s="551"/>
    </row>
    <row r="1869" spans="1:25">
      <c r="A1869" s="499">
        <v>45530</v>
      </c>
      <c r="B1869" s="499">
        <v>45530</v>
      </c>
      <c r="C1869" s="500" t="s">
        <v>173</v>
      </c>
      <c r="D1869" s="500" t="s">
        <v>763</v>
      </c>
      <c r="E1869" s="501">
        <v>-26009331.170000002</v>
      </c>
      <c r="F1869" s="502" t="s">
        <v>878</v>
      </c>
      <c r="G1869" s="100" t="s">
        <v>92</v>
      </c>
      <c r="H1869" s="530"/>
      <c r="I1869" s="525"/>
      <c r="K1869" s="548"/>
      <c r="L1869" s="548"/>
      <c r="M1869" s="548"/>
      <c r="N1869" s="552"/>
      <c r="Y1869" s="551"/>
    </row>
    <row r="1870" spans="1:25">
      <c r="A1870" s="499">
        <v>45530</v>
      </c>
      <c r="B1870" s="499">
        <v>45531</v>
      </c>
      <c r="C1870" s="500" t="s">
        <v>173</v>
      </c>
      <c r="D1870" s="500" t="s">
        <v>763</v>
      </c>
      <c r="E1870" s="501">
        <v>115041442.86</v>
      </c>
      <c r="F1870" s="502" t="s">
        <v>878</v>
      </c>
      <c r="G1870" s="100" t="s">
        <v>812</v>
      </c>
      <c r="H1870" s="530"/>
      <c r="I1870" s="525"/>
      <c r="K1870" s="548"/>
      <c r="L1870" s="548">
        <v>-1</v>
      </c>
      <c r="M1870" s="548"/>
      <c r="N1870" s="552"/>
      <c r="Y1870" s="551"/>
    </row>
    <row r="1871" spans="1:25">
      <c r="A1871" s="499">
        <v>45530</v>
      </c>
      <c r="B1871" s="499">
        <v>45531</v>
      </c>
      <c r="C1871" s="500" t="s">
        <v>173</v>
      </c>
      <c r="D1871" s="500" t="s">
        <v>763</v>
      </c>
      <c r="E1871" s="501">
        <v>3776577990.3899999</v>
      </c>
      <c r="F1871" s="502" t="s">
        <v>878</v>
      </c>
      <c r="G1871" s="100" t="s">
        <v>139</v>
      </c>
      <c r="H1871" s="530"/>
      <c r="I1871" s="525"/>
      <c r="K1871" s="548"/>
      <c r="L1871" s="548"/>
      <c r="M1871" s="548"/>
      <c r="N1871" s="552"/>
      <c r="Y1871" s="551"/>
    </row>
    <row r="1872" spans="1:25">
      <c r="A1872" s="499">
        <v>45530</v>
      </c>
      <c r="B1872" s="499">
        <v>45531</v>
      </c>
      <c r="C1872" s="500" t="s">
        <v>173</v>
      </c>
      <c r="D1872" s="500" t="s">
        <v>763</v>
      </c>
      <c r="E1872" s="501">
        <v>2381952999.77</v>
      </c>
      <c r="F1872" s="502" t="s">
        <v>878</v>
      </c>
      <c r="G1872" s="100" t="s">
        <v>645</v>
      </c>
      <c r="H1872" s="530"/>
      <c r="I1872" s="525"/>
      <c r="K1872" s="548"/>
      <c r="L1872" s="548"/>
      <c r="M1872" s="548"/>
      <c r="N1872" s="552"/>
      <c r="Y1872" s="551"/>
    </row>
    <row r="1873" spans="1:25">
      <c r="A1873" s="499">
        <v>45530</v>
      </c>
      <c r="B1873" s="499">
        <v>45531</v>
      </c>
      <c r="C1873" s="500" t="s">
        <v>173</v>
      </c>
      <c r="D1873" s="500" t="s">
        <v>763</v>
      </c>
      <c r="E1873" s="501">
        <v>26018647.629999999</v>
      </c>
      <c r="F1873" s="502" t="s">
        <v>878</v>
      </c>
      <c r="G1873" s="100" t="s">
        <v>92</v>
      </c>
      <c r="H1873" s="530"/>
      <c r="I1873" s="525"/>
      <c r="K1873" s="548"/>
      <c r="L1873" s="548"/>
      <c r="M1873" s="548"/>
      <c r="N1873" s="552"/>
      <c r="Y1873" s="551"/>
    </row>
    <row r="1874" spans="1:25">
      <c r="A1874" s="499">
        <v>45531</v>
      </c>
      <c r="B1874" s="499">
        <v>45531</v>
      </c>
      <c r="C1874" s="500" t="s">
        <v>173</v>
      </c>
      <c r="D1874" s="500" t="s">
        <v>762</v>
      </c>
      <c r="E1874" s="501">
        <v>-4200341412.96</v>
      </c>
      <c r="F1874" s="502" t="s">
        <v>878</v>
      </c>
      <c r="G1874" s="100" t="s">
        <v>909</v>
      </c>
      <c r="H1874" s="530"/>
      <c r="I1874" s="525"/>
      <c r="K1874" s="548"/>
      <c r="L1874" s="548"/>
      <c r="M1874" s="548"/>
      <c r="N1874" s="552"/>
      <c r="Y1874" s="551"/>
    </row>
    <row r="1875" spans="1:25">
      <c r="A1875" s="499">
        <v>45531</v>
      </c>
      <c r="B1875" s="499">
        <v>45531</v>
      </c>
      <c r="C1875" s="500" t="s">
        <v>173</v>
      </c>
      <c r="D1875" s="500" t="s">
        <v>762</v>
      </c>
      <c r="E1875" s="501">
        <v>-5000530794</v>
      </c>
      <c r="F1875" s="502" t="s">
        <v>878</v>
      </c>
      <c r="G1875" s="100" t="s">
        <v>630</v>
      </c>
      <c r="H1875" s="530"/>
      <c r="I1875" s="525"/>
      <c r="K1875" s="548"/>
      <c r="L1875" s="548"/>
      <c r="M1875" s="548"/>
      <c r="N1875" s="552"/>
      <c r="Y1875" s="551"/>
    </row>
    <row r="1876" spans="1:25">
      <c r="A1876" s="499">
        <v>45531</v>
      </c>
      <c r="B1876" s="499">
        <v>45531</v>
      </c>
      <c r="C1876" s="500" t="s">
        <v>173</v>
      </c>
      <c r="D1876" s="500" t="s">
        <v>762</v>
      </c>
      <c r="E1876" s="501">
        <v>-2253328788.0999999</v>
      </c>
      <c r="F1876" s="502" t="s">
        <v>878</v>
      </c>
      <c r="G1876" s="100" t="s">
        <v>673</v>
      </c>
      <c r="H1876" s="530"/>
      <c r="I1876" s="525"/>
      <c r="K1876" s="548"/>
      <c r="L1876" s="548"/>
      <c r="M1876" s="548"/>
      <c r="N1876" s="552"/>
      <c r="Y1876" s="551"/>
    </row>
    <row r="1877" spans="1:25">
      <c r="A1877" s="499">
        <v>45531</v>
      </c>
      <c r="B1877" s="499">
        <v>45531</v>
      </c>
      <c r="C1877" s="500" t="s">
        <v>173</v>
      </c>
      <c r="D1877" s="500" t="s">
        <v>762</v>
      </c>
      <c r="E1877" s="501">
        <v>-49003983.149999999</v>
      </c>
      <c r="F1877" s="502" t="s">
        <v>878</v>
      </c>
      <c r="G1877" s="100" t="s">
        <v>909</v>
      </c>
      <c r="H1877" s="530"/>
      <c r="I1877" s="525"/>
      <c r="K1877" s="548"/>
      <c r="L1877" s="548"/>
      <c r="M1877" s="548"/>
      <c r="N1877" s="552"/>
      <c r="Y1877" s="551"/>
    </row>
    <row r="1878" spans="1:25">
      <c r="A1878" s="499">
        <v>45531</v>
      </c>
      <c r="B1878" s="499">
        <v>45532</v>
      </c>
      <c r="C1878" s="500" t="s">
        <v>173</v>
      </c>
      <c r="D1878" s="500" t="s">
        <v>762</v>
      </c>
      <c r="E1878" s="501">
        <v>4201851688.1799998</v>
      </c>
      <c r="F1878" s="502" t="s">
        <v>878</v>
      </c>
      <c r="G1878" s="100" t="s">
        <v>909</v>
      </c>
      <c r="H1878" s="530"/>
      <c r="I1878" s="525"/>
      <c r="K1878" s="548"/>
      <c r="L1878" s="548"/>
      <c r="M1878" s="548"/>
      <c r="N1878" s="552"/>
      <c r="Y1878" s="551"/>
    </row>
    <row r="1879" spans="1:25">
      <c r="A1879" s="499">
        <v>45531</v>
      </c>
      <c r="B1879" s="499">
        <v>45532</v>
      </c>
      <c r="C1879" s="500" t="s">
        <v>173</v>
      </c>
      <c r="D1879" s="500" t="s">
        <v>762</v>
      </c>
      <c r="E1879" s="501">
        <v>5002327501.1099997</v>
      </c>
      <c r="F1879" s="502" t="s">
        <v>878</v>
      </c>
      <c r="G1879" s="100" t="s">
        <v>630</v>
      </c>
      <c r="H1879" s="530"/>
      <c r="I1879" s="525"/>
      <c r="K1879" s="548"/>
      <c r="L1879" s="548"/>
      <c r="M1879" s="548"/>
      <c r="N1879" s="552"/>
      <c r="Y1879" s="551"/>
    </row>
    <row r="1880" spans="1:25">
      <c r="A1880" s="499">
        <v>45531</v>
      </c>
      <c r="B1880" s="499">
        <v>45532</v>
      </c>
      <c r="C1880" s="500" t="s">
        <v>173</v>
      </c>
      <c r="D1880" s="500" t="s">
        <v>762</v>
      </c>
      <c r="E1880" s="501">
        <v>2254138410.3600001</v>
      </c>
      <c r="F1880" s="502" t="s">
        <v>878</v>
      </c>
      <c r="G1880" s="100" t="s">
        <v>673</v>
      </c>
      <c r="H1880" s="530"/>
      <c r="I1880" s="525"/>
      <c r="K1880" s="548"/>
      <c r="L1880" s="548"/>
      <c r="M1880" s="548"/>
      <c r="N1880" s="552"/>
      <c r="Y1880" s="551"/>
    </row>
    <row r="1881" spans="1:25">
      <c r="A1881" s="499">
        <v>45531</v>
      </c>
      <c r="B1881" s="499">
        <v>45532</v>
      </c>
      <c r="C1881" s="500" t="s">
        <v>173</v>
      </c>
      <c r="D1881" s="500" t="s">
        <v>762</v>
      </c>
      <c r="E1881" s="501">
        <v>49021603.030000001</v>
      </c>
      <c r="F1881" s="502" t="s">
        <v>878</v>
      </c>
      <c r="G1881" s="100" t="s">
        <v>909</v>
      </c>
      <c r="H1881" s="530"/>
      <c r="I1881" s="525"/>
      <c r="K1881" s="548"/>
      <c r="L1881" s="548"/>
      <c r="M1881" s="548"/>
      <c r="N1881" s="552"/>
      <c r="Y1881" s="551"/>
    </row>
    <row r="1882" spans="1:25">
      <c r="A1882" s="499">
        <v>45531</v>
      </c>
      <c r="B1882" s="499">
        <v>45531</v>
      </c>
      <c r="C1882" s="500" t="s">
        <v>173</v>
      </c>
      <c r="D1882" s="500" t="s">
        <v>761</v>
      </c>
      <c r="E1882" s="501">
        <v>-1000814.92</v>
      </c>
      <c r="F1882" s="502" t="s">
        <v>878</v>
      </c>
      <c r="G1882" s="100" t="s">
        <v>78</v>
      </c>
      <c r="H1882" s="530"/>
      <c r="I1882" s="525"/>
      <c r="K1882" s="548"/>
      <c r="L1882" s="548"/>
      <c r="M1882" s="548"/>
      <c r="N1882" s="552"/>
      <c r="Y1882" s="551"/>
    </row>
    <row r="1883" spans="1:25">
      <c r="A1883" s="499">
        <v>45531</v>
      </c>
      <c r="B1883" s="499">
        <v>45531</v>
      </c>
      <c r="C1883" s="500" t="s">
        <v>173</v>
      </c>
      <c r="D1883" s="500" t="s">
        <v>761</v>
      </c>
      <c r="E1883" s="501">
        <v>-1991000561.46</v>
      </c>
      <c r="F1883" s="502" t="s">
        <v>878</v>
      </c>
      <c r="G1883" s="100" t="s">
        <v>647</v>
      </c>
      <c r="H1883" s="530"/>
      <c r="I1883" s="525"/>
      <c r="K1883" s="548"/>
      <c r="L1883" s="548"/>
      <c r="M1883" s="548"/>
      <c r="N1883" s="552"/>
      <c r="Y1883" s="551"/>
    </row>
    <row r="1884" spans="1:25">
      <c r="A1884" s="499">
        <v>45531</v>
      </c>
      <c r="B1884" s="499">
        <v>45531</v>
      </c>
      <c r="C1884" s="500" t="s">
        <v>173</v>
      </c>
      <c r="D1884" s="500" t="s">
        <v>761</v>
      </c>
      <c r="E1884" s="501">
        <v>-8004277.6600000001</v>
      </c>
      <c r="F1884" s="502" t="s">
        <v>878</v>
      </c>
      <c r="G1884" s="100" t="s">
        <v>59</v>
      </c>
      <c r="H1884" s="530"/>
      <c r="I1884" s="525"/>
      <c r="K1884" s="548"/>
      <c r="L1884" s="548"/>
      <c r="M1884" s="548"/>
      <c r="N1884" s="552"/>
      <c r="Y1884" s="551"/>
    </row>
    <row r="1885" spans="1:25">
      <c r="A1885" s="499">
        <v>45531</v>
      </c>
      <c r="B1885" s="499">
        <v>45531</v>
      </c>
      <c r="C1885" s="500" t="s">
        <v>173</v>
      </c>
      <c r="D1885" s="500" t="s">
        <v>761</v>
      </c>
      <c r="E1885" s="501">
        <v>-332196267.77999997</v>
      </c>
      <c r="F1885" s="502" t="s">
        <v>878</v>
      </c>
      <c r="G1885" s="100" t="s">
        <v>87</v>
      </c>
      <c r="H1885" s="530"/>
      <c r="I1885" s="525"/>
      <c r="K1885" s="548"/>
      <c r="L1885" s="548"/>
      <c r="M1885" s="548"/>
      <c r="N1885" s="552"/>
      <c r="Y1885" s="551"/>
    </row>
    <row r="1886" spans="1:25">
      <c r="A1886" s="499">
        <v>45531</v>
      </c>
      <c r="B1886" s="499">
        <v>45531</v>
      </c>
      <c r="C1886" s="500" t="s">
        <v>173</v>
      </c>
      <c r="D1886" s="500" t="s">
        <v>761</v>
      </c>
      <c r="E1886" s="501">
        <v>-2001182.34</v>
      </c>
      <c r="F1886" s="502" t="s">
        <v>878</v>
      </c>
      <c r="G1886" s="100" t="s">
        <v>87</v>
      </c>
      <c r="H1886" s="530"/>
      <c r="I1886" s="525"/>
      <c r="K1886" s="548"/>
      <c r="L1886" s="548"/>
      <c r="M1886" s="548"/>
      <c r="N1886" s="552"/>
      <c r="Y1886" s="551"/>
    </row>
    <row r="1887" spans="1:25">
      <c r="A1887" s="499">
        <v>45531</v>
      </c>
      <c r="B1887" s="499">
        <v>45538</v>
      </c>
      <c r="C1887" s="500" t="s">
        <v>173</v>
      </c>
      <c r="D1887" s="500" t="s">
        <v>761</v>
      </c>
      <c r="E1887" s="501">
        <v>1003377.94</v>
      </c>
      <c r="F1887" s="502" t="s">
        <v>878</v>
      </c>
      <c r="G1887" s="100" t="s">
        <v>78</v>
      </c>
      <c r="H1887" s="530"/>
      <c r="I1887" s="525"/>
      <c r="K1887" s="548"/>
      <c r="L1887" s="548"/>
      <c r="M1887" s="548"/>
      <c r="N1887" s="552"/>
      <c r="Y1887" s="551"/>
    </row>
    <row r="1888" spans="1:25">
      <c r="A1888" s="499">
        <v>45531</v>
      </c>
      <c r="B1888" s="499">
        <v>45538</v>
      </c>
      <c r="C1888" s="500" t="s">
        <v>173</v>
      </c>
      <c r="D1888" s="500" t="s">
        <v>761</v>
      </c>
      <c r="E1888" s="501">
        <v>1996099372.46</v>
      </c>
      <c r="F1888" s="502" t="s">
        <v>878</v>
      </c>
      <c r="G1888" s="100" t="s">
        <v>647</v>
      </c>
      <c r="H1888" s="530"/>
      <c r="I1888" s="525"/>
      <c r="K1888" s="548"/>
      <c r="L1888" s="548"/>
      <c r="M1888" s="548"/>
      <c r="N1888" s="552"/>
      <c r="Y1888" s="551"/>
    </row>
    <row r="1889" spans="1:25">
      <c r="A1889" s="499">
        <v>45531</v>
      </c>
      <c r="B1889" s="499">
        <v>45538</v>
      </c>
      <c r="C1889" s="500" t="s">
        <v>173</v>
      </c>
      <c r="D1889" s="500" t="s">
        <v>761</v>
      </c>
      <c r="E1889" s="501">
        <v>8024944.29</v>
      </c>
      <c r="F1889" s="502" t="s">
        <v>878</v>
      </c>
      <c r="G1889" s="100" t="s">
        <v>59</v>
      </c>
      <c r="H1889" s="530"/>
      <c r="I1889" s="525"/>
      <c r="K1889" s="548"/>
      <c r="L1889" s="548"/>
      <c r="M1889" s="548"/>
      <c r="N1889" s="552"/>
      <c r="Y1889" s="551"/>
    </row>
    <row r="1890" spans="1:25">
      <c r="A1890" s="499">
        <v>45531</v>
      </c>
      <c r="B1890" s="499">
        <v>45532</v>
      </c>
      <c r="C1890" s="500" t="s">
        <v>173</v>
      </c>
      <c r="D1890" s="500" t="s">
        <v>761</v>
      </c>
      <c r="E1890" s="501">
        <v>332316439.32999998</v>
      </c>
      <c r="F1890" s="502" t="s">
        <v>878</v>
      </c>
      <c r="G1890" s="100" t="s">
        <v>87</v>
      </c>
      <c r="H1890" s="530"/>
      <c r="I1890" s="525"/>
      <c r="K1890" s="548"/>
      <c r="L1890" s="548"/>
      <c r="M1890" s="548"/>
      <c r="N1890" s="552"/>
      <c r="Y1890" s="551"/>
    </row>
    <row r="1891" spans="1:25">
      <c r="A1891" s="499">
        <v>45531</v>
      </c>
      <c r="B1891" s="499">
        <v>45532</v>
      </c>
      <c r="C1891" s="500" t="s">
        <v>173</v>
      </c>
      <c r="D1891" s="500" t="s">
        <v>761</v>
      </c>
      <c r="E1891" s="501">
        <v>2001904.08</v>
      </c>
      <c r="F1891" s="502" t="s">
        <v>878</v>
      </c>
      <c r="G1891" s="100" t="s">
        <v>87</v>
      </c>
      <c r="H1891" s="530"/>
      <c r="I1891" s="525"/>
      <c r="K1891" s="548"/>
      <c r="L1891" s="548"/>
      <c r="M1891" s="548"/>
      <c r="N1891" s="552"/>
      <c r="Y1891" s="551"/>
    </row>
    <row r="1892" spans="1:25">
      <c r="A1892" s="499">
        <v>45531</v>
      </c>
      <c r="B1892" s="499">
        <v>45531</v>
      </c>
      <c r="C1892" s="500" t="s">
        <v>173</v>
      </c>
      <c r="D1892" s="500" t="s">
        <v>759</v>
      </c>
      <c r="E1892" s="501">
        <v>-1526161998.3299999</v>
      </c>
      <c r="F1892" s="502" t="s">
        <v>878</v>
      </c>
      <c r="G1892" s="100" t="s">
        <v>139</v>
      </c>
      <c r="H1892" s="484"/>
      <c r="I1892" s="525"/>
      <c r="K1892" s="548"/>
      <c r="L1892" s="548"/>
      <c r="M1892" s="548"/>
      <c r="N1892" s="552"/>
      <c r="Y1892" s="551"/>
    </row>
    <row r="1893" spans="1:25">
      <c r="A1893" s="499">
        <v>45531</v>
      </c>
      <c r="B1893" s="499">
        <v>45531</v>
      </c>
      <c r="C1893" s="500" t="s">
        <v>173</v>
      </c>
      <c r="D1893" s="500" t="s">
        <v>759</v>
      </c>
      <c r="E1893" s="501">
        <v>-7001282.6399999997</v>
      </c>
      <c r="F1893" s="502" t="s">
        <v>878</v>
      </c>
      <c r="G1893" s="100" t="s">
        <v>634</v>
      </c>
      <c r="H1893" s="484"/>
      <c r="I1893" s="525"/>
      <c r="K1893" s="548"/>
      <c r="L1893" s="548"/>
      <c r="M1893" s="548"/>
      <c r="N1893" s="552"/>
      <c r="Y1893" s="551"/>
    </row>
    <row r="1894" spans="1:25">
      <c r="A1894" s="499">
        <v>45531</v>
      </c>
      <c r="B1894" s="499">
        <v>45532</v>
      </c>
      <c r="C1894" s="500" t="s">
        <v>173</v>
      </c>
      <c r="D1894" s="500" t="s">
        <v>759</v>
      </c>
      <c r="E1894" s="501">
        <v>1526712417.4100001</v>
      </c>
      <c r="F1894" s="502" t="s">
        <v>878</v>
      </c>
      <c r="G1894" s="100" t="s">
        <v>139</v>
      </c>
      <c r="H1894" s="530"/>
      <c r="I1894" s="525"/>
      <c r="K1894" s="548"/>
      <c r="L1894" s="548"/>
      <c r="M1894" s="548"/>
      <c r="N1894" s="552"/>
      <c r="Y1894" s="551"/>
    </row>
    <row r="1895" spans="1:25">
      <c r="A1895" s="499">
        <v>45531</v>
      </c>
      <c r="B1895" s="499">
        <v>45532</v>
      </c>
      <c r="C1895" s="500" t="s">
        <v>173</v>
      </c>
      <c r="D1895" s="500" t="s">
        <v>759</v>
      </c>
      <c r="E1895" s="501">
        <v>7003817.2800000003</v>
      </c>
      <c r="F1895" s="502" t="s">
        <v>878</v>
      </c>
      <c r="G1895" s="100" t="s">
        <v>634</v>
      </c>
      <c r="H1895" s="530"/>
      <c r="I1895" s="525"/>
      <c r="K1895" s="548"/>
      <c r="L1895" s="548"/>
      <c r="M1895" s="548"/>
      <c r="N1895" s="552"/>
      <c r="Y1895" s="551"/>
    </row>
    <row r="1896" spans="1:25">
      <c r="A1896" s="499">
        <v>45531</v>
      </c>
      <c r="B1896" s="499">
        <v>45531</v>
      </c>
      <c r="C1896" s="500" t="s">
        <v>173</v>
      </c>
      <c r="D1896" s="500" t="s">
        <v>760</v>
      </c>
      <c r="E1896" s="501">
        <v>-2301359686.4000001</v>
      </c>
      <c r="F1896" s="502" t="s">
        <v>878</v>
      </c>
      <c r="G1896" s="100" t="s">
        <v>87</v>
      </c>
      <c r="H1896" s="530"/>
      <c r="I1896" s="525"/>
      <c r="K1896" s="548"/>
      <c r="L1896" s="548"/>
      <c r="M1896" s="548"/>
      <c r="N1896" s="552"/>
      <c r="Y1896" s="551"/>
    </row>
    <row r="1897" spans="1:25">
      <c r="A1897" s="499">
        <v>45531</v>
      </c>
      <c r="B1897" s="499">
        <v>45531</v>
      </c>
      <c r="C1897" s="500" t="s">
        <v>173</v>
      </c>
      <c r="D1897" s="500" t="s">
        <v>760</v>
      </c>
      <c r="E1897" s="501">
        <v>-42003414.130000003</v>
      </c>
      <c r="F1897" s="502" t="s">
        <v>878</v>
      </c>
      <c r="G1897" s="100" t="s">
        <v>910</v>
      </c>
      <c r="H1897" s="530"/>
      <c r="I1897" s="525"/>
      <c r="K1897" s="548"/>
      <c r="L1897" s="548"/>
      <c r="M1897" s="548"/>
      <c r="N1897" s="552"/>
      <c r="Y1897" s="551"/>
    </row>
    <row r="1898" spans="1:25">
      <c r="A1898" s="499">
        <v>45531</v>
      </c>
      <c r="B1898" s="499">
        <v>45532</v>
      </c>
      <c r="C1898" s="500" t="s">
        <v>173</v>
      </c>
      <c r="D1898" s="500" t="s">
        <v>760</v>
      </c>
      <c r="E1898" s="501">
        <v>2302192822.6199999</v>
      </c>
      <c r="F1898" s="502" t="s">
        <v>878</v>
      </c>
      <c r="G1898" s="100" t="s">
        <v>87</v>
      </c>
      <c r="H1898" s="530"/>
      <c r="I1898" s="525"/>
      <c r="K1898" s="548"/>
      <c r="L1898" s="548"/>
      <c r="M1898" s="548"/>
      <c r="N1898" s="552"/>
      <c r="Y1898" s="551"/>
    </row>
    <row r="1899" spans="1:25">
      <c r="A1899" s="499">
        <v>45531</v>
      </c>
      <c r="B1899" s="499">
        <v>45532</v>
      </c>
      <c r="C1899" s="500" t="s">
        <v>173</v>
      </c>
      <c r="D1899" s="500" t="s">
        <v>760</v>
      </c>
      <c r="E1899" s="501">
        <v>42018516.880000003</v>
      </c>
      <c r="F1899" s="502" t="s">
        <v>878</v>
      </c>
      <c r="G1899" s="100" t="s">
        <v>910</v>
      </c>
      <c r="H1899" s="530"/>
      <c r="I1899" s="525"/>
      <c r="K1899" s="548"/>
      <c r="L1899" s="548"/>
      <c r="M1899" s="548"/>
      <c r="N1899" s="552"/>
      <c r="Y1899" s="551"/>
    </row>
    <row r="1900" spans="1:25">
      <c r="A1900" s="499">
        <v>45531</v>
      </c>
      <c r="B1900" s="499">
        <v>45531</v>
      </c>
      <c r="C1900" s="500" t="s">
        <v>173</v>
      </c>
      <c r="D1900" s="500" t="s">
        <v>763</v>
      </c>
      <c r="E1900" s="501">
        <v>-23016897.82</v>
      </c>
      <c r="F1900" s="502" t="s">
        <v>878</v>
      </c>
      <c r="G1900" s="100" t="s">
        <v>683</v>
      </c>
      <c r="H1900" s="530"/>
      <c r="I1900" s="525"/>
      <c r="K1900" s="548"/>
      <c r="L1900" s="548"/>
      <c r="M1900" s="548"/>
      <c r="N1900" s="552"/>
      <c r="Y1900" s="551"/>
    </row>
    <row r="1901" spans="1:25">
      <c r="A1901" s="499">
        <v>45531</v>
      </c>
      <c r="B1901" s="499">
        <v>45531</v>
      </c>
      <c r="C1901" s="500" t="s">
        <v>173</v>
      </c>
      <c r="D1901" s="500" t="s">
        <v>763</v>
      </c>
      <c r="E1901" s="501">
        <v>-5003673440</v>
      </c>
      <c r="F1901" s="502" t="s">
        <v>878</v>
      </c>
      <c r="G1901" s="100" t="s">
        <v>683</v>
      </c>
      <c r="H1901" s="530"/>
      <c r="I1901" s="525"/>
      <c r="K1901" s="548"/>
      <c r="L1901" s="548"/>
      <c r="M1901" s="548"/>
      <c r="N1901" s="552"/>
      <c r="Y1901" s="551"/>
    </row>
    <row r="1902" spans="1:25">
      <c r="A1902" s="499">
        <v>45531</v>
      </c>
      <c r="B1902" s="499">
        <v>45531</v>
      </c>
      <c r="C1902" s="500" t="s">
        <v>173</v>
      </c>
      <c r="D1902" s="500" t="s">
        <v>763</v>
      </c>
      <c r="E1902" s="501">
        <v>-1273187778.3399999</v>
      </c>
      <c r="F1902" s="502" t="s">
        <v>878</v>
      </c>
      <c r="G1902" s="100" t="s">
        <v>83</v>
      </c>
      <c r="H1902" s="530"/>
      <c r="I1902" s="525"/>
      <c r="K1902" s="548"/>
      <c r="L1902" s="548"/>
      <c r="M1902" s="548"/>
      <c r="N1902" s="552"/>
      <c r="Y1902" s="551"/>
    </row>
    <row r="1903" spans="1:25">
      <c r="A1903" s="499">
        <v>45531</v>
      </c>
      <c r="B1903" s="499">
        <v>45532</v>
      </c>
      <c r="C1903" s="500" t="s">
        <v>173</v>
      </c>
      <c r="D1903" s="500" t="s">
        <v>763</v>
      </c>
      <c r="E1903" s="501">
        <v>23025148.809999999</v>
      </c>
      <c r="F1903" s="502" t="s">
        <v>878</v>
      </c>
      <c r="G1903" s="100" t="s">
        <v>683</v>
      </c>
      <c r="H1903" s="530"/>
      <c r="I1903" s="525"/>
      <c r="K1903" s="548"/>
      <c r="L1903" s="548"/>
      <c r="M1903" s="548"/>
      <c r="N1903" s="552"/>
      <c r="Y1903" s="551"/>
    </row>
    <row r="1904" spans="1:25">
      <c r="A1904" s="499">
        <v>45531</v>
      </c>
      <c r="B1904" s="499">
        <v>45532</v>
      </c>
      <c r="C1904" s="500" t="s">
        <v>173</v>
      </c>
      <c r="D1904" s="500" t="s">
        <v>763</v>
      </c>
      <c r="E1904" s="501">
        <v>5005467133.8900003</v>
      </c>
      <c r="F1904" s="502" t="s">
        <v>878</v>
      </c>
      <c r="G1904" s="100" t="s">
        <v>683</v>
      </c>
      <c r="H1904" s="530"/>
      <c r="I1904" s="525"/>
      <c r="K1904" s="548"/>
      <c r="L1904" s="548"/>
      <c r="M1904" s="548"/>
      <c r="N1904" s="552"/>
      <c r="Y1904" s="551"/>
    </row>
    <row r="1905" spans="1:25">
      <c r="A1905" s="499">
        <v>45531</v>
      </c>
      <c r="B1905" s="499">
        <v>45532</v>
      </c>
      <c r="C1905" s="500" t="s">
        <v>173</v>
      </c>
      <c r="D1905" s="500" t="s">
        <v>763</v>
      </c>
      <c r="E1905" s="501">
        <v>1273644181.3699999</v>
      </c>
      <c r="F1905" s="502" t="s">
        <v>878</v>
      </c>
      <c r="G1905" s="100" t="s">
        <v>83</v>
      </c>
      <c r="H1905" s="530"/>
      <c r="I1905" s="525"/>
      <c r="K1905" s="548"/>
      <c r="L1905" s="548"/>
      <c r="M1905" s="548"/>
      <c r="N1905" s="552"/>
      <c r="Y1905" s="551"/>
    </row>
    <row r="1906" spans="1:25">
      <c r="A1906" s="499">
        <v>45532</v>
      </c>
      <c r="B1906" s="499">
        <v>45532</v>
      </c>
      <c r="C1906" s="500" t="s">
        <v>173</v>
      </c>
      <c r="D1906" s="500" t="s">
        <v>762</v>
      </c>
      <c r="E1906" s="501">
        <v>-4002482880</v>
      </c>
      <c r="F1906" s="502" t="s">
        <v>878</v>
      </c>
      <c r="G1906" s="100" t="s">
        <v>675</v>
      </c>
      <c r="H1906" s="530"/>
      <c r="I1906" s="525"/>
      <c r="K1906" s="548"/>
      <c r="L1906" s="548"/>
      <c r="M1906" s="548"/>
      <c r="N1906" s="552"/>
      <c r="Y1906" s="551"/>
    </row>
    <row r="1907" spans="1:25">
      <c r="A1907" s="499">
        <v>45532</v>
      </c>
      <c r="B1907" s="499">
        <v>45532</v>
      </c>
      <c r="C1907" s="500" t="s">
        <v>173</v>
      </c>
      <c r="D1907" s="500" t="s">
        <v>762</v>
      </c>
      <c r="E1907" s="501">
        <v>-4002482880</v>
      </c>
      <c r="F1907" s="502" t="s">
        <v>878</v>
      </c>
      <c r="G1907" s="100" t="s">
        <v>675</v>
      </c>
      <c r="H1907" s="530"/>
      <c r="I1907" s="525"/>
      <c r="K1907" s="548"/>
      <c r="L1907" s="548"/>
      <c r="M1907" s="548"/>
      <c r="N1907" s="552"/>
      <c r="Y1907" s="551"/>
    </row>
    <row r="1908" spans="1:25">
      <c r="A1908" s="499">
        <v>45532</v>
      </c>
      <c r="B1908" s="499">
        <v>45532</v>
      </c>
      <c r="C1908" s="500" t="s">
        <v>173</v>
      </c>
      <c r="D1908" s="500" t="s">
        <v>762</v>
      </c>
      <c r="E1908" s="501">
        <v>-44027311.68</v>
      </c>
      <c r="F1908" s="502" t="s">
        <v>878</v>
      </c>
      <c r="G1908" s="100" t="s">
        <v>675</v>
      </c>
      <c r="H1908" s="530"/>
      <c r="I1908" s="525"/>
      <c r="K1908" s="548"/>
      <c r="L1908" s="548"/>
      <c r="M1908" s="548"/>
      <c r="N1908" s="552"/>
      <c r="Y1908" s="551"/>
    </row>
    <row r="1909" spans="1:25">
      <c r="A1909" s="499">
        <v>45532</v>
      </c>
      <c r="B1909" s="499">
        <v>45532</v>
      </c>
      <c r="C1909" s="500" t="s">
        <v>173</v>
      </c>
      <c r="D1909" s="500" t="s">
        <v>762</v>
      </c>
      <c r="E1909" s="501">
        <v>-720274550.39999998</v>
      </c>
      <c r="F1909" s="502" t="s">
        <v>878</v>
      </c>
      <c r="G1909" s="100" t="s">
        <v>670</v>
      </c>
      <c r="H1909" s="530"/>
      <c r="I1909" s="525"/>
      <c r="K1909" s="548"/>
      <c r="L1909" s="548"/>
      <c r="M1909" s="548"/>
      <c r="N1909" s="552"/>
      <c r="Y1909" s="551"/>
    </row>
    <row r="1910" spans="1:25">
      <c r="A1910" s="499">
        <v>45532</v>
      </c>
      <c r="B1910" s="499">
        <v>45532</v>
      </c>
      <c r="C1910" s="500" t="s">
        <v>173</v>
      </c>
      <c r="D1910" s="500" t="s">
        <v>762</v>
      </c>
      <c r="E1910" s="501">
        <v>-2343917817.0599999</v>
      </c>
      <c r="F1910" s="502" t="s">
        <v>878</v>
      </c>
      <c r="G1910" s="100" t="s">
        <v>805</v>
      </c>
      <c r="H1910" s="530"/>
      <c r="I1910" s="525"/>
      <c r="K1910" s="548"/>
      <c r="L1910" s="548"/>
      <c r="M1910" s="548"/>
      <c r="N1910" s="552"/>
      <c r="Y1910" s="551"/>
    </row>
    <row r="1911" spans="1:25">
      <c r="A1911" s="499">
        <v>45532</v>
      </c>
      <c r="B1911" s="499">
        <v>45532</v>
      </c>
      <c r="C1911" s="500" t="s">
        <v>173</v>
      </c>
      <c r="D1911" s="500" t="s">
        <v>762</v>
      </c>
      <c r="E1911" s="501">
        <v>-393007730.77999997</v>
      </c>
      <c r="F1911" s="502" t="s">
        <v>878</v>
      </c>
      <c r="G1911" s="100" t="s">
        <v>909</v>
      </c>
      <c r="H1911" s="530"/>
      <c r="I1911" s="525"/>
      <c r="K1911" s="548"/>
      <c r="L1911" s="548"/>
      <c r="M1911" s="548"/>
      <c r="N1911" s="552"/>
      <c r="Y1911" s="551"/>
    </row>
    <row r="1912" spans="1:25">
      <c r="A1912" s="499">
        <v>45532</v>
      </c>
      <c r="B1912" s="499">
        <v>45533</v>
      </c>
      <c r="C1912" s="500" t="s">
        <v>173</v>
      </c>
      <c r="D1912" s="500" t="s">
        <v>762</v>
      </c>
      <c r="E1912" s="501">
        <v>4003942802.0300002</v>
      </c>
      <c r="F1912" s="502" t="s">
        <v>878</v>
      </c>
      <c r="G1912" s="100" t="s">
        <v>675</v>
      </c>
      <c r="H1912" s="530"/>
      <c r="I1912" s="525"/>
      <c r="K1912" s="548"/>
      <c r="L1912" s="548"/>
      <c r="M1912" s="548"/>
      <c r="N1912" s="552"/>
      <c r="Y1912" s="551"/>
    </row>
    <row r="1913" spans="1:25">
      <c r="A1913" s="499">
        <v>45532</v>
      </c>
      <c r="B1913" s="499">
        <v>45533</v>
      </c>
      <c r="C1913" s="500" t="s">
        <v>173</v>
      </c>
      <c r="D1913" s="500" t="s">
        <v>762</v>
      </c>
      <c r="E1913" s="501">
        <v>4003942802.0300002</v>
      </c>
      <c r="F1913" s="502" t="s">
        <v>878</v>
      </c>
      <c r="G1913" s="100" t="s">
        <v>675</v>
      </c>
      <c r="H1913" s="530"/>
      <c r="I1913" s="525"/>
      <c r="K1913" s="548"/>
      <c r="L1913" s="548"/>
      <c r="M1913" s="548"/>
      <c r="N1913" s="552"/>
      <c r="Y1913" s="551"/>
    </row>
    <row r="1914" spans="1:25">
      <c r="A1914" s="499">
        <v>45532</v>
      </c>
      <c r="B1914" s="499">
        <v>45533</v>
      </c>
      <c r="C1914" s="500" t="s">
        <v>173</v>
      </c>
      <c r="D1914" s="500" t="s">
        <v>762</v>
      </c>
      <c r="E1914" s="501">
        <v>44044092.579999998</v>
      </c>
      <c r="F1914" s="502" t="s">
        <v>878</v>
      </c>
      <c r="G1914" s="100" t="s">
        <v>675</v>
      </c>
      <c r="H1914" s="530"/>
      <c r="I1914" s="525"/>
      <c r="K1914" s="548"/>
      <c r="L1914" s="548"/>
      <c r="M1914" s="548"/>
      <c r="N1914" s="552"/>
      <c r="Y1914" s="551"/>
    </row>
    <row r="1915" spans="1:25">
      <c r="A1915" s="499">
        <v>45532</v>
      </c>
      <c r="B1915" s="499">
        <v>45533</v>
      </c>
      <c r="C1915" s="500" t="s">
        <v>173</v>
      </c>
      <c r="D1915" s="500" t="s">
        <v>762</v>
      </c>
      <c r="E1915" s="501">
        <v>720537273.49000001</v>
      </c>
      <c r="F1915" s="502" t="s">
        <v>878</v>
      </c>
      <c r="G1915" s="100" t="s">
        <v>670</v>
      </c>
      <c r="H1915" s="530"/>
      <c r="I1915" s="525"/>
      <c r="K1915" s="548"/>
      <c r="L1915" s="548"/>
      <c r="M1915" s="548"/>
      <c r="N1915" s="552"/>
      <c r="Y1915" s="551"/>
    </row>
    <row r="1916" spans="1:25">
      <c r="A1916" s="499">
        <v>45532</v>
      </c>
      <c r="B1916" s="499">
        <v>45533</v>
      </c>
      <c r="C1916" s="500" t="s">
        <v>173</v>
      </c>
      <c r="D1916" s="500" t="s">
        <v>762</v>
      </c>
      <c r="E1916" s="501">
        <v>2344772770.6900001</v>
      </c>
      <c r="F1916" s="502" t="s">
        <v>878</v>
      </c>
      <c r="G1916" s="100" t="s">
        <v>805</v>
      </c>
      <c r="H1916" s="530"/>
      <c r="I1916" s="525"/>
      <c r="K1916" s="548"/>
      <c r="L1916" s="548"/>
      <c r="M1916" s="548"/>
      <c r="N1916" s="552">
        <v>-1</v>
      </c>
      <c r="Y1916" s="551"/>
    </row>
    <row r="1917" spans="1:25">
      <c r="A1917" s="499">
        <v>45532</v>
      </c>
      <c r="B1917" s="499">
        <v>45533</v>
      </c>
      <c r="C1917" s="500" t="s">
        <v>173</v>
      </c>
      <c r="D1917" s="500" t="s">
        <v>762</v>
      </c>
      <c r="E1917" s="501">
        <v>393151081.95999998</v>
      </c>
      <c r="F1917" s="502" t="s">
        <v>878</v>
      </c>
      <c r="G1917" s="100" t="s">
        <v>909</v>
      </c>
      <c r="H1917" s="530"/>
      <c r="I1917" s="525"/>
      <c r="K1917" s="548"/>
      <c r="L1917" s="548"/>
      <c r="M1917" s="548"/>
      <c r="N1917" s="552"/>
      <c r="Y1917" s="551"/>
    </row>
    <row r="1918" spans="1:25">
      <c r="A1918" s="499">
        <v>45532</v>
      </c>
      <c r="B1918" s="499">
        <v>45532</v>
      </c>
      <c r="C1918" s="500" t="s">
        <v>173</v>
      </c>
      <c r="D1918" s="500" t="s">
        <v>761</v>
      </c>
      <c r="E1918" s="501">
        <v>-403141231.35000002</v>
      </c>
      <c r="F1918" s="502" t="s">
        <v>878</v>
      </c>
      <c r="G1918" s="100" t="s">
        <v>75</v>
      </c>
      <c r="H1918" s="530"/>
      <c r="I1918" s="525"/>
      <c r="K1918" s="548"/>
      <c r="L1918" s="548"/>
      <c r="M1918" s="548"/>
      <c r="N1918" s="552"/>
      <c r="Y1918" s="551"/>
    </row>
    <row r="1919" spans="1:25">
      <c r="A1919" s="499">
        <v>45532</v>
      </c>
      <c r="B1919" s="499">
        <v>45532</v>
      </c>
      <c r="C1919" s="500" t="s">
        <v>173</v>
      </c>
      <c r="D1919" s="500" t="s">
        <v>761</v>
      </c>
      <c r="E1919" s="501">
        <v>-971408625.92999995</v>
      </c>
      <c r="F1919" s="502" t="s">
        <v>878</v>
      </c>
      <c r="G1919" s="100" t="s">
        <v>93</v>
      </c>
      <c r="H1919" s="530"/>
      <c r="I1919" s="525"/>
      <c r="K1919" s="548"/>
      <c r="L1919" s="548"/>
      <c r="M1919" s="548"/>
      <c r="N1919" s="552"/>
      <c r="Y1919" s="551"/>
    </row>
    <row r="1920" spans="1:25">
      <c r="A1920" s="499">
        <v>45532</v>
      </c>
      <c r="B1920" s="499">
        <v>45532</v>
      </c>
      <c r="C1920" s="500" t="s">
        <v>173</v>
      </c>
      <c r="D1920" s="500" t="s">
        <v>761</v>
      </c>
      <c r="E1920" s="501">
        <v>-94019129.379999995</v>
      </c>
      <c r="F1920" s="502" t="s">
        <v>878</v>
      </c>
      <c r="G1920" s="100" t="s">
        <v>593</v>
      </c>
      <c r="H1920" s="530"/>
      <c r="I1920" s="525"/>
      <c r="K1920" s="548"/>
      <c r="L1920" s="548"/>
      <c r="M1920" s="548"/>
      <c r="N1920" s="552"/>
      <c r="Y1920" s="551"/>
    </row>
    <row r="1921" spans="1:25">
      <c r="A1921" s="499">
        <v>45532</v>
      </c>
      <c r="B1921" s="499">
        <v>45532</v>
      </c>
      <c r="C1921" s="500" t="s">
        <v>173</v>
      </c>
      <c r="D1921" s="500" t="s">
        <v>761</v>
      </c>
      <c r="E1921" s="501">
        <v>-6000060.1699999999</v>
      </c>
      <c r="F1921" s="502" t="s">
        <v>878</v>
      </c>
      <c r="G1921" s="100" t="s">
        <v>647</v>
      </c>
      <c r="H1921" s="530"/>
      <c r="I1921" s="525"/>
      <c r="K1921" s="548"/>
      <c r="L1921" s="548"/>
      <c r="M1921" s="548"/>
      <c r="N1921" s="552"/>
      <c r="Y1921" s="551"/>
    </row>
    <row r="1922" spans="1:25">
      <c r="A1922" s="499">
        <v>45532</v>
      </c>
      <c r="B1922" s="499">
        <v>45539</v>
      </c>
      <c r="C1922" s="500" t="s">
        <v>173</v>
      </c>
      <c r="D1922" s="500" t="s">
        <v>761</v>
      </c>
      <c r="E1922" s="501">
        <v>404173639.69</v>
      </c>
      <c r="F1922" s="502" t="s">
        <v>878</v>
      </c>
      <c r="G1922" s="100" t="s">
        <v>75</v>
      </c>
      <c r="H1922" s="530"/>
      <c r="I1922" s="525"/>
      <c r="K1922" s="548"/>
      <c r="L1922" s="548"/>
      <c r="M1922" s="548"/>
      <c r="N1922" s="552"/>
      <c r="Y1922" s="551"/>
    </row>
    <row r="1923" spans="1:25">
      <c r="A1923" s="499">
        <v>45532</v>
      </c>
      <c r="B1923" s="499">
        <v>45539</v>
      </c>
      <c r="C1923" s="500" t="s">
        <v>173</v>
      </c>
      <c r="D1923" s="500" t="s">
        <v>761</v>
      </c>
      <c r="E1923" s="501">
        <v>973896315.83000004</v>
      </c>
      <c r="F1923" s="502" t="s">
        <v>878</v>
      </c>
      <c r="G1923" s="100" t="s">
        <v>93</v>
      </c>
      <c r="H1923" s="530"/>
      <c r="I1923" s="525"/>
      <c r="K1923" s="548"/>
      <c r="L1923" s="548"/>
      <c r="M1923" s="548"/>
      <c r="N1923" s="552"/>
      <c r="Y1923" s="551"/>
    </row>
    <row r="1924" spans="1:25">
      <c r="A1924" s="499">
        <v>45532</v>
      </c>
      <c r="B1924" s="499">
        <v>45539</v>
      </c>
      <c r="C1924" s="500" t="s">
        <v>173</v>
      </c>
      <c r="D1924" s="500" t="s">
        <v>761</v>
      </c>
      <c r="E1924" s="501">
        <v>94259903.890000001</v>
      </c>
      <c r="F1924" s="502" t="s">
        <v>878</v>
      </c>
      <c r="G1924" s="100" t="s">
        <v>593</v>
      </c>
      <c r="H1924" s="530"/>
      <c r="I1924" s="525"/>
      <c r="K1924" s="548"/>
      <c r="L1924" s="548"/>
      <c r="M1924" s="548"/>
      <c r="N1924" s="552"/>
      <c r="Y1924" s="551"/>
    </row>
    <row r="1925" spans="1:25">
      <c r="A1925" s="499">
        <v>45532</v>
      </c>
      <c r="B1925" s="499">
        <v>45539</v>
      </c>
      <c r="C1925" s="500" t="s">
        <v>173</v>
      </c>
      <c r="D1925" s="500" t="s">
        <v>761</v>
      </c>
      <c r="E1925" s="501">
        <v>6015425.7800000003</v>
      </c>
      <c r="F1925" s="502" t="s">
        <v>878</v>
      </c>
      <c r="G1925" s="100" t="s">
        <v>647</v>
      </c>
      <c r="H1925" s="530"/>
      <c r="I1925" s="525"/>
      <c r="K1925" s="548"/>
      <c r="L1925" s="548"/>
      <c r="M1925" s="548"/>
      <c r="N1925" s="552"/>
      <c r="Y1925" s="551"/>
    </row>
    <row r="1926" spans="1:25">
      <c r="A1926" s="499">
        <v>45532</v>
      </c>
      <c r="B1926" s="499">
        <v>45532</v>
      </c>
      <c r="C1926" s="500" t="s">
        <v>173</v>
      </c>
      <c r="D1926" s="500" t="s">
        <v>759</v>
      </c>
      <c r="E1926" s="501">
        <v>-6005918.7800000003</v>
      </c>
      <c r="F1926" s="502" t="s">
        <v>878</v>
      </c>
      <c r="G1926" s="100" t="s">
        <v>683</v>
      </c>
      <c r="H1926" s="484"/>
      <c r="I1926" s="525"/>
      <c r="K1926" s="548"/>
      <c r="L1926" s="548"/>
      <c r="M1926" s="548"/>
      <c r="N1926" s="552"/>
      <c r="Y1926" s="551"/>
    </row>
    <row r="1927" spans="1:25">
      <c r="A1927" s="499">
        <v>45532</v>
      </c>
      <c r="B1927" s="499">
        <v>45532</v>
      </c>
      <c r="C1927" s="500" t="s">
        <v>173</v>
      </c>
      <c r="D1927" s="500" t="s">
        <v>759</v>
      </c>
      <c r="E1927" s="501">
        <v>-1222214770.46</v>
      </c>
      <c r="F1927" s="502" t="s">
        <v>878</v>
      </c>
      <c r="G1927" s="100" t="s">
        <v>820</v>
      </c>
      <c r="H1927" s="484"/>
      <c r="I1927" s="525"/>
      <c r="K1927" s="548"/>
      <c r="L1927" s="548"/>
      <c r="M1927" s="548"/>
      <c r="N1927" s="552"/>
      <c r="Y1927" s="551"/>
    </row>
    <row r="1928" spans="1:25">
      <c r="A1928" s="499">
        <v>45532</v>
      </c>
      <c r="B1928" s="499">
        <v>45532</v>
      </c>
      <c r="C1928" s="500" t="s">
        <v>173</v>
      </c>
      <c r="D1928" s="500" t="s">
        <v>759</v>
      </c>
      <c r="E1928" s="501">
        <v>-306153581.82999998</v>
      </c>
      <c r="F1928" s="502" t="s">
        <v>878</v>
      </c>
      <c r="G1928" s="100" t="s">
        <v>834</v>
      </c>
      <c r="H1928" s="484"/>
      <c r="I1928" s="525"/>
      <c r="K1928" s="548"/>
      <c r="L1928" s="548"/>
      <c r="M1928" s="548"/>
      <c r="N1928" s="552"/>
      <c r="Y1928" s="551"/>
    </row>
    <row r="1929" spans="1:25">
      <c r="A1929" s="499">
        <v>45532</v>
      </c>
      <c r="B1929" s="499">
        <v>45533</v>
      </c>
      <c r="C1929" s="500" t="s">
        <v>173</v>
      </c>
      <c r="D1929" s="500" t="s">
        <v>759</v>
      </c>
      <c r="E1929" s="501">
        <v>6008101.2800000003</v>
      </c>
      <c r="F1929" s="502" t="s">
        <v>878</v>
      </c>
      <c r="G1929" s="100" t="s">
        <v>683</v>
      </c>
      <c r="H1929" s="530"/>
      <c r="I1929" s="525"/>
      <c r="K1929" s="548"/>
      <c r="L1929" s="548"/>
      <c r="M1929" s="548"/>
      <c r="N1929" s="552"/>
      <c r="Y1929" s="551"/>
    </row>
    <row r="1930" spans="1:25">
      <c r="A1930" s="499">
        <v>45532</v>
      </c>
      <c r="B1930" s="499">
        <v>45533</v>
      </c>
      <c r="C1930" s="500" t="s">
        <v>173</v>
      </c>
      <c r="D1930" s="500" t="s">
        <v>759</v>
      </c>
      <c r="E1930" s="501">
        <v>1222673935.8499999</v>
      </c>
      <c r="F1930" s="502" t="s">
        <v>878</v>
      </c>
      <c r="G1930" s="100" t="s">
        <v>820</v>
      </c>
      <c r="H1930" s="530"/>
      <c r="I1930" s="525"/>
      <c r="K1930" s="548"/>
      <c r="L1930" s="548"/>
      <c r="M1930" s="548"/>
      <c r="N1930" s="552"/>
      <c r="Y1930" s="551"/>
    </row>
    <row r="1931" spans="1:25">
      <c r="A1931" s="499">
        <v>45532</v>
      </c>
      <c r="B1931" s="499">
        <v>45533</v>
      </c>
      <c r="C1931" s="500" t="s">
        <v>173</v>
      </c>
      <c r="D1931" s="500" t="s">
        <v>759</v>
      </c>
      <c r="E1931" s="501">
        <v>306268598.54000002</v>
      </c>
      <c r="F1931" s="502" t="s">
        <v>878</v>
      </c>
      <c r="G1931" s="100" t="s">
        <v>834</v>
      </c>
      <c r="H1931" s="530"/>
      <c r="I1931" s="525"/>
      <c r="K1931" s="548"/>
      <c r="L1931" s="548"/>
      <c r="M1931" s="548"/>
      <c r="N1931" s="552"/>
      <c r="Y1931" s="551"/>
    </row>
    <row r="1932" spans="1:25">
      <c r="A1932" s="499">
        <v>45532</v>
      </c>
      <c r="B1932" s="499">
        <v>45532</v>
      </c>
      <c r="C1932" s="500" t="s">
        <v>173</v>
      </c>
      <c r="D1932" s="500" t="s">
        <v>760</v>
      </c>
      <c r="E1932" s="501">
        <v>-400140180</v>
      </c>
      <c r="F1932" s="502" t="s">
        <v>878</v>
      </c>
      <c r="G1932" s="100" t="s">
        <v>75</v>
      </c>
      <c r="H1932" s="530"/>
      <c r="I1932" s="525"/>
      <c r="K1932" s="548"/>
      <c r="L1932" s="548"/>
      <c r="M1932" s="548"/>
      <c r="N1932" s="552"/>
      <c r="Y1932" s="551"/>
    </row>
    <row r="1933" spans="1:25">
      <c r="A1933" s="499">
        <v>45532</v>
      </c>
      <c r="B1933" s="499">
        <v>45532</v>
      </c>
      <c r="C1933" s="500" t="s">
        <v>173</v>
      </c>
      <c r="D1933" s="500" t="s">
        <v>760</v>
      </c>
      <c r="E1933" s="501">
        <v>-477254429.88999999</v>
      </c>
      <c r="F1933" s="502" t="s">
        <v>878</v>
      </c>
      <c r="G1933" s="100" t="s">
        <v>478</v>
      </c>
      <c r="H1933" s="530"/>
      <c r="I1933" s="525"/>
      <c r="K1933" s="548"/>
      <c r="L1933" s="548"/>
      <c r="M1933" s="548"/>
      <c r="N1933" s="552"/>
      <c r="Y1933" s="551"/>
    </row>
    <row r="1934" spans="1:25">
      <c r="A1934" s="499">
        <v>45532</v>
      </c>
      <c r="B1934" s="499">
        <v>45532</v>
      </c>
      <c r="C1934" s="500" t="s">
        <v>173</v>
      </c>
      <c r="D1934" s="500" t="s">
        <v>760</v>
      </c>
      <c r="E1934" s="501">
        <v>-486187892.45999998</v>
      </c>
      <c r="F1934" s="502" t="s">
        <v>878</v>
      </c>
      <c r="G1934" s="100" t="s">
        <v>601</v>
      </c>
      <c r="H1934" s="530"/>
      <c r="I1934" s="525"/>
      <c r="K1934" s="548"/>
      <c r="L1934" s="548"/>
      <c r="M1934" s="548"/>
      <c r="N1934" s="552"/>
      <c r="Y1934" s="551"/>
    </row>
    <row r="1935" spans="1:25">
      <c r="A1935" s="499">
        <v>45532</v>
      </c>
      <c r="B1935" s="499">
        <v>45532</v>
      </c>
      <c r="C1935" s="500" t="s">
        <v>173</v>
      </c>
      <c r="D1935" s="500" t="s">
        <v>760</v>
      </c>
      <c r="E1935" s="501">
        <v>-481048894.61000001</v>
      </c>
      <c r="F1935" s="502" t="s">
        <v>878</v>
      </c>
      <c r="G1935" s="100" t="s">
        <v>414</v>
      </c>
      <c r="H1935" s="530"/>
      <c r="I1935" s="525"/>
      <c r="K1935" s="548"/>
      <c r="L1935" s="548"/>
      <c r="M1935" s="548"/>
      <c r="N1935" s="552"/>
      <c r="Y1935" s="551"/>
    </row>
    <row r="1936" spans="1:25">
      <c r="A1936" s="499">
        <v>45532</v>
      </c>
      <c r="B1936" s="499">
        <v>45532</v>
      </c>
      <c r="C1936" s="500" t="s">
        <v>173</v>
      </c>
      <c r="D1936" s="500" t="s">
        <v>760</v>
      </c>
      <c r="E1936" s="501">
        <v>-456423651.36000001</v>
      </c>
      <c r="F1936" s="502" t="s">
        <v>878</v>
      </c>
      <c r="G1936" s="100" t="s">
        <v>95</v>
      </c>
      <c r="H1936" s="530"/>
      <c r="I1936" s="525"/>
      <c r="K1936" s="548"/>
      <c r="L1936" s="548"/>
      <c r="M1936" s="548"/>
      <c r="N1936" s="552"/>
      <c r="Y1936" s="551"/>
    </row>
    <row r="1937" spans="1:25">
      <c r="A1937" s="499">
        <v>45532</v>
      </c>
      <c r="B1937" s="499">
        <v>45532</v>
      </c>
      <c r="C1937" s="500" t="s">
        <v>173</v>
      </c>
      <c r="D1937" s="500" t="s">
        <v>760</v>
      </c>
      <c r="E1937" s="501">
        <v>-42006429.07</v>
      </c>
      <c r="F1937" s="502" t="s">
        <v>878</v>
      </c>
      <c r="G1937" s="100" t="s">
        <v>139</v>
      </c>
      <c r="H1937" s="530"/>
      <c r="I1937" s="525"/>
      <c r="K1937" s="548"/>
      <c r="L1937" s="548"/>
      <c r="M1937" s="548"/>
      <c r="N1937" s="552"/>
      <c r="Y1937" s="551"/>
    </row>
    <row r="1938" spans="1:25">
      <c r="A1938" s="499">
        <v>45532</v>
      </c>
      <c r="B1938" s="499">
        <v>45533</v>
      </c>
      <c r="C1938" s="500" t="s">
        <v>173</v>
      </c>
      <c r="D1938" s="500" t="s">
        <v>760</v>
      </c>
      <c r="E1938" s="501">
        <v>400285038.39999998</v>
      </c>
      <c r="F1938" s="502" t="s">
        <v>878</v>
      </c>
      <c r="G1938" s="100" t="s">
        <v>75</v>
      </c>
      <c r="H1938" s="530"/>
      <c r="I1938" s="525"/>
      <c r="K1938" s="548"/>
      <c r="L1938" s="548"/>
      <c r="M1938" s="548"/>
      <c r="N1938" s="552"/>
      <c r="Y1938" s="551"/>
    </row>
    <row r="1939" spans="1:25">
      <c r="A1939" s="499">
        <v>45532</v>
      </c>
      <c r="B1939" s="499">
        <v>45533</v>
      </c>
      <c r="C1939" s="500" t="s">
        <v>173</v>
      </c>
      <c r="D1939" s="500" t="s">
        <v>760</v>
      </c>
      <c r="E1939" s="501">
        <v>477427205.12</v>
      </c>
      <c r="F1939" s="502" t="s">
        <v>878</v>
      </c>
      <c r="G1939" s="100" t="s">
        <v>478</v>
      </c>
      <c r="H1939" s="530"/>
      <c r="I1939" s="525"/>
      <c r="K1939" s="548"/>
      <c r="L1939" s="548"/>
      <c r="M1939" s="548"/>
      <c r="N1939" s="552"/>
      <c r="Y1939" s="551"/>
    </row>
    <row r="1940" spans="1:25">
      <c r="A1940" s="499">
        <v>45532</v>
      </c>
      <c r="B1940" s="499">
        <v>45533</v>
      </c>
      <c r="C1940" s="500" t="s">
        <v>173</v>
      </c>
      <c r="D1940" s="500" t="s">
        <v>760</v>
      </c>
      <c r="E1940" s="501">
        <v>486363901.77999997</v>
      </c>
      <c r="F1940" s="502" t="s">
        <v>878</v>
      </c>
      <c r="G1940" s="100" t="s">
        <v>601</v>
      </c>
      <c r="H1940" s="530"/>
      <c r="I1940" s="525"/>
      <c r="K1940" s="548"/>
      <c r="L1940" s="548"/>
      <c r="M1940" s="548"/>
      <c r="N1940" s="552"/>
      <c r="Y1940" s="551"/>
    </row>
    <row r="1941" spans="1:25">
      <c r="A1941" s="499">
        <v>45532</v>
      </c>
      <c r="B1941" s="499">
        <v>45533</v>
      </c>
      <c r="C1941" s="500" t="s">
        <v>173</v>
      </c>
      <c r="D1941" s="500" t="s">
        <v>760</v>
      </c>
      <c r="E1941" s="501">
        <v>481223043.50999999</v>
      </c>
      <c r="F1941" s="502" t="s">
        <v>878</v>
      </c>
      <c r="G1941" s="100" t="s">
        <v>414</v>
      </c>
      <c r="H1941" s="530"/>
      <c r="I1941" s="525"/>
      <c r="K1941" s="548"/>
      <c r="L1941" s="548"/>
      <c r="M1941" s="548"/>
      <c r="N1941" s="552"/>
      <c r="Y1941" s="551"/>
    </row>
    <row r="1942" spans="1:25">
      <c r="A1942" s="499">
        <v>45532</v>
      </c>
      <c r="B1942" s="499">
        <v>45533</v>
      </c>
      <c r="C1942" s="500" t="s">
        <v>173</v>
      </c>
      <c r="D1942" s="500" t="s">
        <v>760</v>
      </c>
      <c r="E1942" s="501">
        <v>456588885.44999999</v>
      </c>
      <c r="F1942" s="502" t="s">
        <v>878</v>
      </c>
      <c r="G1942" s="100" t="s">
        <v>95</v>
      </c>
      <c r="H1942" s="530"/>
      <c r="I1942" s="525"/>
      <c r="K1942" s="548"/>
      <c r="L1942" s="548"/>
      <c r="M1942" s="548"/>
      <c r="N1942" s="552"/>
      <c r="Y1942" s="551"/>
    </row>
    <row r="1943" spans="1:25">
      <c r="A1943" s="499">
        <v>45532</v>
      </c>
      <c r="B1943" s="499">
        <v>45533</v>
      </c>
      <c r="C1943" s="500" t="s">
        <v>173</v>
      </c>
      <c r="D1943" s="500" t="s">
        <v>760</v>
      </c>
      <c r="E1943" s="501">
        <v>42021636.200000003</v>
      </c>
      <c r="F1943" s="502" t="s">
        <v>878</v>
      </c>
      <c r="G1943" s="100" t="s">
        <v>139</v>
      </c>
      <c r="H1943" s="530"/>
      <c r="I1943" s="525"/>
      <c r="K1943" s="548"/>
      <c r="L1943" s="548"/>
      <c r="M1943" s="548"/>
      <c r="N1943" s="552"/>
      <c r="Y1943" s="551"/>
    </row>
    <row r="1944" spans="1:25">
      <c r="A1944" s="499">
        <v>45532</v>
      </c>
      <c r="B1944" s="499">
        <v>45532</v>
      </c>
      <c r="C1944" s="500" t="s">
        <v>173</v>
      </c>
      <c r="D1944" s="500" t="s">
        <v>763</v>
      </c>
      <c r="E1944" s="501">
        <v>-3598621881.1999989</v>
      </c>
      <c r="F1944" s="502" t="s">
        <v>878</v>
      </c>
      <c r="G1944" s="100" t="s">
        <v>634</v>
      </c>
      <c r="H1944" s="530"/>
      <c r="I1944" s="525"/>
      <c r="K1944" s="548"/>
      <c r="L1944" s="548"/>
      <c r="M1944" s="548"/>
      <c r="N1944" s="552"/>
      <c r="Y1944" s="551"/>
    </row>
    <row r="1945" spans="1:25">
      <c r="A1945" s="499">
        <v>45532</v>
      </c>
      <c r="B1945" s="499">
        <v>45532</v>
      </c>
      <c r="C1945" s="500" t="s">
        <v>173</v>
      </c>
      <c r="D1945" s="500" t="s">
        <v>763</v>
      </c>
      <c r="E1945" s="501">
        <v>-731491671.33000004</v>
      </c>
      <c r="F1945" s="502" t="s">
        <v>878</v>
      </c>
      <c r="G1945" s="100" t="s">
        <v>417</v>
      </c>
      <c r="H1945" s="530"/>
      <c r="I1945" s="525"/>
      <c r="K1945" s="548"/>
      <c r="L1945" s="548"/>
      <c r="M1945" s="548"/>
      <c r="N1945" s="552"/>
      <c r="Y1945" s="551"/>
    </row>
    <row r="1946" spans="1:25">
      <c r="A1946" s="499">
        <v>45532</v>
      </c>
      <c r="B1946" s="499">
        <v>45532</v>
      </c>
      <c r="C1946" s="500" t="s">
        <v>173</v>
      </c>
      <c r="D1946" s="500" t="s">
        <v>763</v>
      </c>
      <c r="E1946" s="501">
        <v>-430019810.69999999</v>
      </c>
      <c r="F1946" s="502" t="s">
        <v>878</v>
      </c>
      <c r="G1946" s="100" t="s">
        <v>636</v>
      </c>
      <c r="H1946" s="530"/>
      <c r="I1946" s="525"/>
      <c r="K1946" s="548"/>
      <c r="L1946" s="548"/>
      <c r="M1946" s="548"/>
      <c r="N1946" s="552"/>
      <c r="Y1946" s="551"/>
    </row>
    <row r="1947" spans="1:25">
      <c r="A1947" s="499">
        <v>45532</v>
      </c>
      <c r="B1947" s="499">
        <v>45532</v>
      </c>
      <c r="C1947" s="500" t="s">
        <v>173</v>
      </c>
      <c r="D1947" s="500" t="s">
        <v>763</v>
      </c>
      <c r="E1947" s="501">
        <v>-27008022.699999992</v>
      </c>
      <c r="F1947" s="502" t="s">
        <v>878</v>
      </c>
      <c r="G1947" s="100" t="s">
        <v>448</v>
      </c>
      <c r="H1947" s="530"/>
      <c r="I1947" s="525"/>
      <c r="K1947" s="548"/>
      <c r="L1947" s="548"/>
      <c r="M1947" s="548"/>
      <c r="N1947" s="552"/>
      <c r="Y1947" s="551"/>
    </row>
    <row r="1948" spans="1:25">
      <c r="A1948" s="499">
        <v>45532</v>
      </c>
      <c r="B1948" s="499">
        <v>45532</v>
      </c>
      <c r="C1948" s="500" t="s">
        <v>173</v>
      </c>
      <c r="D1948" s="500" t="s">
        <v>763</v>
      </c>
      <c r="E1948" s="501">
        <v>-1515261853.8099999</v>
      </c>
      <c r="F1948" s="502" t="s">
        <v>878</v>
      </c>
      <c r="G1948" s="100" t="s">
        <v>634</v>
      </c>
      <c r="H1948" s="530"/>
      <c r="I1948" s="525"/>
      <c r="K1948" s="548"/>
      <c r="L1948" s="548"/>
      <c r="M1948" s="548"/>
      <c r="N1948" s="552"/>
      <c r="Y1948" s="551"/>
    </row>
    <row r="1949" spans="1:25">
      <c r="A1949" s="499">
        <v>45532</v>
      </c>
      <c r="B1949" s="499">
        <v>45533</v>
      </c>
      <c r="C1949" s="500" t="s">
        <v>173</v>
      </c>
      <c r="D1949" s="500" t="s">
        <v>763</v>
      </c>
      <c r="E1949" s="501">
        <v>3599919744.8299999</v>
      </c>
      <c r="F1949" s="502" t="s">
        <v>878</v>
      </c>
      <c r="G1949" s="100" t="s">
        <v>634</v>
      </c>
      <c r="H1949" s="530"/>
      <c r="I1949" s="525"/>
      <c r="K1949" s="548"/>
      <c r="L1949" s="548"/>
      <c r="M1949" s="548"/>
      <c r="N1949" s="552"/>
      <c r="Y1949" s="551"/>
    </row>
    <row r="1950" spans="1:25">
      <c r="A1950" s="499">
        <v>45532</v>
      </c>
      <c r="B1950" s="499">
        <v>45533</v>
      </c>
      <c r="C1950" s="500" t="s">
        <v>173</v>
      </c>
      <c r="D1950" s="500" t="s">
        <v>763</v>
      </c>
      <c r="E1950" s="501">
        <v>731755488</v>
      </c>
      <c r="F1950" s="502" t="s">
        <v>878</v>
      </c>
      <c r="G1950" s="100" t="s">
        <v>417</v>
      </c>
      <c r="H1950" s="530"/>
      <c r="I1950" s="525"/>
      <c r="K1950" s="548"/>
      <c r="L1950" s="548"/>
      <c r="M1950" s="548"/>
      <c r="N1950" s="552">
        <v>-1</v>
      </c>
      <c r="Y1950" s="551"/>
    </row>
    <row r="1951" spans="1:25">
      <c r="A1951" s="499">
        <v>45532</v>
      </c>
      <c r="B1951" s="499">
        <v>45533</v>
      </c>
      <c r="C1951" s="500" t="s">
        <v>173</v>
      </c>
      <c r="D1951" s="500" t="s">
        <v>763</v>
      </c>
      <c r="E1951" s="501">
        <v>430174899.81</v>
      </c>
      <c r="F1951" s="502" t="s">
        <v>878</v>
      </c>
      <c r="G1951" s="100" t="s">
        <v>636</v>
      </c>
      <c r="H1951" s="530"/>
      <c r="I1951" s="525"/>
      <c r="K1951" s="548"/>
      <c r="L1951" s="548"/>
      <c r="M1951" s="548"/>
      <c r="N1951" s="552"/>
      <c r="Y1951" s="551"/>
    </row>
    <row r="1952" spans="1:25">
      <c r="A1952" s="499">
        <v>45532</v>
      </c>
      <c r="B1952" s="499">
        <v>45533</v>
      </c>
      <c r="C1952" s="500" t="s">
        <v>173</v>
      </c>
      <c r="D1952" s="500" t="s">
        <v>763</v>
      </c>
      <c r="E1952" s="501">
        <v>27017734</v>
      </c>
      <c r="F1952" s="502" t="s">
        <v>878</v>
      </c>
      <c r="G1952" s="100" t="s">
        <v>448</v>
      </c>
      <c r="H1952" s="530"/>
      <c r="I1952" s="525"/>
      <c r="K1952" s="548"/>
      <c r="L1952" s="548"/>
      <c r="M1952" s="548"/>
      <c r="N1952" s="552"/>
      <c r="Y1952" s="551"/>
    </row>
    <row r="1953" spans="1:25">
      <c r="A1953" s="499">
        <v>45532</v>
      </c>
      <c r="B1953" s="499">
        <v>45533</v>
      </c>
      <c r="C1953" s="500" t="s">
        <v>173</v>
      </c>
      <c r="D1953" s="500" t="s">
        <v>763</v>
      </c>
      <c r="E1953" s="501">
        <v>1515808341.6900001</v>
      </c>
      <c r="F1953" s="502" t="s">
        <v>878</v>
      </c>
      <c r="G1953" s="100" t="s">
        <v>634</v>
      </c>
      <c r="H1953" s="530"/>
      <c r="I1953" s="525"/>
      <c r="K1953" s="548"/>
      <c r="L1953" s="548"/>
      <c r="M1953" s="548"/>
      <c r="N1953" s="552"/>
      <c r="Y1953" s="551"/>
    </row>
    <row r="1954" spans="1:25">
      <c r="A1954" s="499">
        <v>45533</v>
      </c>
      <c r="B1954" s="499">
        <v>45533</v>
      </c>
      <c r="C1954" s="500" t="s">
        <v>173</v>
      </c>
      <c r="D1954" s="500" t="s">
        <v>762</v>
      </c>
      <c r="E1954" s="501">
        <v>-4384453751.6899996</v>
      </c>
      <c r="F1954" s="502" t="s">
        <v>878</v>
      </c>
      <c r="G1954" s="100" t="s">
        <v>550</v>
      </c>
      <c r="H1954" s="530"/>
      <c r="I1954" s="525"/>
      <c r="K1954" s="548"/>
      <c r="L1954" s="548"/>
      <c r="M1954" s="548"/>
      <c r="N1954" s="552"/>
      <c r="Y1954" s="551"/>
    </row>
    <row r="1955" spans="1:25">
      <c r="A1955" s="499">
        <v>45533</v>
      </c>
      <c r="B1955" s="499">
        <v>45533</v>
      </c>
      <c r="C1955" s="500" t="s">
        <v>173</v>
      </c>
      <c r="D1955" s="500" t="s">
        <v>762</v>
      </c>
      <c r="E1955" s="501">
        <v>-6197054755.1199999</v>
      </c>
      <c r="F1955" s="502" t="s">
        <v>878</v>
      </c>
      <c r="G1955" s="100" t="s">
        <v>550</v>
      </c>
      <c r="H1955" s="530"/>
      <c r="I1955" s="525"/>
      <c r="K1955" s="548"/>
      <c r="L1955" s="548"/>
      <c r="M1955" s="548"/>
      <c r="N1955" s="552"/>
      <c r="Y1955" s="551"/>
    </row>
    <row r="1956" spans="1:25">
      <c r="A1956" s="499">
        <v>45533</v>
      </c>
      <c r="B1956" s="499">
        <v>45533</v>
      </c>
      <c r="C1956" s="500" t="s">
        <v>173</v>
      </c>
      <c r="D1956" s="500" t="s">
        <v>762</v>
      </c>
      <c r="E1956" s="501">
        <v>-45014925.579999998</v>
      </c>
      <c r="F1956" s="502" t="s">
        <v>878</v>
      </c>
      <c r="G1956" s="100" t="s">
        <v>550</v>
      </c>
      <c r="H1956" s="530"/>
      <c r="I1956" s="525"/>
      <c r="K1956" s="548"/>
      <c r="L1956" s="548"/>
      <c r="M1956" s="548"/>
      <c r="N1956" s="552"/>
      <c r="Y1956" s="551"/>
    </row>
    <row r="1957" spans="1:25">
      <c r="A1957" s="499">
        <v>45533</v>
      </c>
      <c r="B1957" s="499">
        <v>45537</v>
      </c>
      <c r="C1957" s="500" t="s">
        <v>173</v>
      </c>
      <c r="D1957" s="500" t="s">
        <v>762</v>
      </c>
      <c r="E1957" s="501">
        <v>4390855677.1000004</v>
      </c>
      <c r="F1957" s="502" t="s">
        <v>878</v>
      </c>
      <c r="G1957" s="100" t="s">
        <v>550</v>
      </c>
      <c r="H1957" s="530"/>
      <c r="I1957" s="525"/>
      <c r="K1957" s="548"/>
      <c r="L1957" s="548"/>
      <c r="M1957" s="548"/>
      <c r="N1957" s="552"/>
      <c r="Y1957" s="551"/>
    </row>
    <row r="1958" spans="1:25">
      <c r="A1958" s="499">
        <v>45533</v>
      </c>
      <c r="B1958" s="499">
        <v>45537</v>
      </c>
      <c r="C1958" s="500" t="s">
        <v>173</v>
      </c>
      <c r="D1958" s="500" t="s">
        <v>762</v>
      </c>
      <c r="E1958" s="501">
        <v>6206103335.5200005</v>
      </c>
      <c r="F1958" s="502" t="s">
        <v>878</v>
      </c>
      <c r="G1958" s="100" t="s">
        <v>550</v>
      </c>
      <c r="H1958" s="530"/>
      <c r="I1958" s="525"/>
      <c r="K1958" s="548"/>
      <c r="L1958" s="548"/>
      <c r="M1958" s="548"/>
      <c r="N1958" s="552"/>
      <c r="Y1958" s="551"/>
    </row>
    <row r="1959" spans="1:25">
      <c r="A1959" s="499">
        <v>45533</v>
      </c>
      <c r="B1959" s="499">
        <v>45537</v>
      </c>
      <c r="C1959" s="500" t="s">
        <v>173</v>
      </c>
      <c r="D1959" s="500" t="s">
        <v>762</v>
      </c>
      <c r="E1959" s="501">
        <v>45080653.770000003</v>
      </c>
      <c r="F1959" s="502" t="s">
        <v>878</v>
      </c>
      <c r="G1959" s="100" t="s">
        <v>550</v>
      </c>
      <c r="H1959" s="530"/>
      <c r="I1959" s="525"/>
      <c r="K1959" s="548"/>
      <c r="L1959" s="548"/>
      <c r="M1959" s="548"/>
      <c r="N1959" s="552"/>
      <c r="Y1959" s="551"/>
    </row>
    <row r="1960" spans="1:25">
      <c r="A1960" s="499">
        <v>45533</v>
      </c>
      <c r="B1960" s="499">
        <v>45533</v>
      </c>
      <c r="C1960" s="500" t="s">
        <v>173</v>
      </c>
      <c r="D1960" s="500" t="s">
        <v>759</v>
      </c>
      <c r="E1960" s="501">
        <v>-3477041354.9899998</v>
      </c>
      <c r="F1960" s="502" t="s">
        <v>878</v>
      </c>
      <c r="G1960" s="100" t="s">
        <v>86</v>
      </c>
      <c r="H1960" s="484"/>
      <c r="I1960" s="525"/>
      <c r="K1960" s="548"/>
      <c r="L1960" s="548"/>
      <c r="M1960" s="548"/>
      <c r="N1960" s="552"/>
      <c r="Y1960" s="551"/>
    </row>
    <row r="1961" spans="1:25">
      <c r="A1961" s="499">
        <v>45533</v>
      </c>
      <c r="B1961" s="499">
        <v>45533</v>
      </c>
      <c r="C1961" s="500" t="s">
        <v>173</v>
      </c>
      <c r="D1961" s="500" t="s">
        <v>759</v>
      </c>
      <c r="E1961" s="501">
        <v>-302100638.18000001</v>
      </c>
      <c r="F1961" s="502" t="s">
        <v>878</v>
      </c>
      <c r="G1961" s="100" t="s">
        <v>746</v>
      </c>
      <c r="H1961" s="484"/>
      <c r="I1961" s="525"/>
      <c r="K1961" s="548"/>
      <c r="L1961" s="548"/>
      <c r="M1961" s="548"/>
      <c r="N1961" s="552"/>
      <c r="Y1961" s="551"/>
    </row>
    <row r="1962" spans="1:25">
      <c r="A1962" s="499">
        <v>45533</v>
      </c>
      <c r="B1962" s="499">
        <v>45533</v>
      </c>
      <c r="C1962" s="500" t="s">
        <v>173</v>
      </c>
      <c r="D1962" s="500" t="s">
        <v>759</v>
      </c>
      <c r="E1962" s="501">
        <v>-13005804.83</v>
      </c>
      <c r="F1962" s="502" t="s">
        <v>878</v>
      </c>
      <c r="G1962" s="100" t="s">
        <v>422</v>
      </c>
      <c r="H1962" s="484"/>
      <c r="I1962" s="525"/>
      <c r="K1962" s="548"/>
      <c r="L1962" s="548"/>
      <c r="M1962" s="548"/>
      <c r="N1962" s="552"/>
      <c r="Y1962" s="551"/>
    </row>
    <row r="1963" spans="1:25">
      <c r="A1963" s="499">
        <v>45533</v>
      </c>
      <c r="B1963" s="499">
        <v>45533</v>
      </c>
      <c r="C1963" s="500" t="s">
        <v>173</v>
      </c>
      <c r="D1963" s="500" t="s">
        <v>759</v>
      </c>
      <c r="E1963" s="501">
        <v>-2144200485.4400001</v>
      </c>
      <c r="F1963" s="502" t="s">
        <v>878</v>
      </c>
      <c r="G1963" s="100" t="s">
        <v>710</v>
      </c>
      <c r="H1963" s="484"/>
      <c r="I1963" s="525"/>
      <c r="K1963" s="548"/>
      <c r="L1963" s="548"/>
      <c r="M1963" s="548"/>
      <c r="N1963" s="552"/>
      <c r="Y1963" s="551"/>
    </row>
    <row r="1964" spans="1:25">
      <c r="A1964" s="499">
        <v>45533</v>
      </c>
      <c r="B1964" s="499">
        <v>45533</v>
      </c>
      <c r="C1964" s="500" t="s">
        <v>173</v>
      </c>
      <c r="D1964" s="500" t="s">
        <v>759</v>
      </c>
      <c r="E1964" s="501">
        <v>-1738373336.1300001</v>
      </c>
      <c r="F1964" s="502" t="s">
        <v>878</v>
      </c>
      <c r="G1964" s="100" t="s">
        <v>634</v>
      </c>
      <c r="H1964" s="484"/>
      <c r="I1964" s="525"/>
      <c r="K1964" s="548"/>
      <c r="L1964" s="548"/>
      <c r="M1964" s="548"/>
      <c r="N1964" s="552"/>
      <c r="Y1964" s="551"/>
    </row>
    <row r="1965" spans="1:25">
      <c r="A1965" s="499">
        <v>45533</v>
      </c>
      <c r="B1965" s="499">
        <v>45533</v>
      </c>
      <c r="C1965" s="500" t="s">
        <v>173</v>
      </c>
      <c r="D1965" s="500" t="s">
        <v>759</v>
      </c>
      <c r="E1965" s="501">
        <v>-17006996.59</v>
      </c>
      <c r="F1965" s="502" t="s">
        <v>878</v>
      </c>
      <c r="G1965" s="100" t="s">
        <v>139</v>
      </c>
      <c r="H1965" s="484"/>
      <c r="I1965" s="525"/>
      <c r="K1965" s="548"/>
      <c r="L1965" s="548"/>
      <c r="M1965" s="548"/>
      <c r="N1965" s="552"/>
      <c r="Y1965" s="551"/>
    </row>
    <row r="1966" spans="1:25">
      <c r="A1966" s="499">
        <v>45533</v>
      </c>
      <c r="B1966" s="499">
        <v>45540</v>
      </c>
      <c r="C1966" s="500" t="s">
        <v>173</v>
      </c>
      <c r="D1966" s="500" t="s">
        <v>759</v>
      </c>
      <c r="E1966" s="501">
        <v>3485952460.98</v>
      </c>
      <c r="F1966" s="502" t="s">
        <v>878</v>
      </c>
      <c r="G1966" s="100" t="s">
        <v>86</v>
      </c>
      <c r="H1966" s="484"/>
      <c r="I1966" s="525"/>
      <c r="K1966" s="548"/>
      <c r="L1966" s="548"/>
      <c r="M1966" s="548"/>
      <c r="N1966" s="552"/>
      <c r="Y1966" s="551"/>
    </row>
    <row r="1967" spans="1:25">
      <c r="A1967" s="499">
        <v>45533</v>
      </c>
      <c r="B1967" s="499">
        <v>45540</v>
      </c>
      <c r="C1967" s="500" t="s">
        <v>173</v>
      </c>
      <c r="D1967" s="500" t="s">
        <v>759</v>
      </c>
      <c r="E1967" s="501">
        <v>302874874.24000001</v>
      </c>
      <c r="F1967" s="502" t="s">
        <v>878</v>
      </c>
      <c r="G1967" s="100" t="s">
        <v>746</v>
      </c>
      <c r="H1967" s="484"/>
      <c r="I1967" s="525"/>
      <c r="K1967" s="548"/>
      <c r="L1967" s="548"/>
      <c r="M1967" s="548"/>
      <c r="N1967" s="552"/>
      <c r="Y1967" s="551"/>
    </row>
    <row r="1968" spans="1:25">
      <c r="A1968" s="499">
        <v>45533</v>
      </c>
      <c r="B1968" s="499">
        <v>45540</v>
      </c>
      <c r="C1968" s="500" t="s">
        <v>173</v>
      </c>
      <c r="D1968" s="500" t="s">
        <v>759</v>
      </c>
      <c r="E1968" s="501">
        <v>13038888.9</v>
      </c>
      <c r="F1968" s="502" t="s">
        <v>878</v>
      </c>
      <c r="G1968" s="100" t="s">
        <v>422</v>
      </c>
      <c r="H1968" s="484"/>
      <c r="I1968" s="525"/>
      <c r="K1968" s="548"/>
      <c r="L1968" s="548"/>
      <c r="M1968" s="548"/>
      <c r="N1968" s="552"/>
      <c r="Y1968" s="551"/>
    </row>
    <row r="1969" spans="1:25">
      <c r="A1969" s="499">
        <v>45533</v>
      </c>
      <c r="B1969" s="499">
        <v>45537</v>
      </c>
      <c r="C1969" s="500" t="s">
        <v>173</v>
      </c>
      <c r="D1969" s="500" t="s">
        <v>759</v>
      </c>
      <c r="E1969" s="501">
        <v>2147317192.1600001</v>
      </c>
      <c r="F1969" s="502" t="s">
        <v>878</v>
      </c>
      <c r="G1969" s="100" t="s">
        <v>710</v>
      </c>
      <c r="H1969" s="484"/>
      <c r="I1969" s="525"/>
      <c r="K1969" s="548"/>
      <c r="L1969" s="548"/>
      <c r="M1969" s="548"/>
      <c r="N1969" s="552"/>
      <c r="Y1969" s="551"/>
    </row>
    <row r="1970" spans="1:25">
      <c r="A1970" s="499">
        <v>45533</v>
      </c>
      <c r="B1970" s="499">
        <v>45537</v>
      </c>
      <c r="C1970" s="500" t="s">
        <v>173</v>
      </c>
      <c r="D1970" s="500" t="s">
        <v>759</v>
      </c>
      <c r="E1970" s="501">
        <v>1740900342</v>
      </c>
      <c r="F1970" s="502" t="s">
        <v>878</v>
      </c>
      <c r="G1970" s="100" t="s">
        <v>634</v>
      </c>
      <c r="H1970" s="484"/>
      <c r="I1970" s="525"/>
      <c r="K1970" s="548"/>
      <c r="L1970" s="548"/>
      <c r="M1970" s="548"/>
      <c r="N1970" s="552"/>
      <c r="Y1970" s="551"/>
    </row>
    <row r="1971" spans="1:25">
      <c r="A1971" s="499">
        <v>45533</v>
      </c>
      <c r="B1971" s="499">
        <v>45537</v>
      </c>
      <c r="C1971" s="500" t="s">
        <v>173</v>
      </c>
      <c r="D1971" s="500" t="s">
        <v>759</v>
      </c>
      <c r="E1971" s="501">
        <v>17031605.620000001</v>
      </c>
      <c r="F1971" s="502" t="s">
        <v>878</v>
      </c>
      <c r="G1971" s="100" t="s">
        <v>139</v>
      </c>
      <c r="H1971" s="484"/>
      <c r="I1971" s="525"/>
      <c r="K1971" s="548"/>
      <c r="L1971" s="548"/>
      <c r="M1971" s="548"/>
      <c r="N1971" s="552"/>
      <c r="Y1971" s="551"/>
    </row>
    <row r="1972" spans="1:25">
      <c r="A1972" s="499">
        <v>45531</v>
      </c>
      <c r="B1972" s="499">
        <v>45533</v>
      </c>
      <c r="C1972" s="500" t="s">
        <v>173</v>
      </c>
      <c r="D1972" s="500" t="s">
        <v>759</v>
      </c>
      <c r="E1972" s="501">
        <v>-859257777.77999997</v>
      </c>
      <c r="F1972" s="502" t="s">
        <v>878</v>
      </c>
      <c r="G1972" s="100" t="s">
        <v>710</v>
      </c>
      <c r="H1972" s="530"/>
      <c r="I1972" s="525"/>
      <c r="K1972" s="548"/>
      <c r="L1972" s="548"/>
      <c r="M1972" s="548"/>
      <c r="N1972" s="552"/>
      <c r="Y1972" s="551"/>
    </row>
    <row r="1973" spans="1:25">
      <c r="A1973" s="499">
        <v>45533</v>
      </c>
      <c r="B1973" s="499">
        <v>45533</v>
      </c>
      <c r="C1973" s="500" t="s">
        <v>173</v>
      </c>
      <c r="D1973" s="500" t="s">
        <v>760</v>
      </c>
      <c r="E1973" s="501">
        <v>-2300494058.1700001</v>
      </c>
      <c r="F1973" s="502" t="s">
        <v>878</v>
      </c>
      <c r="G1973" s="100" t="s">
        <v>634</v>
      </c>
      <c r="H1973" s="530"/>
      <c r="I1973" s="525"/>
      <c r="K1973" s="548"/>
      <c r="L1973" s="548"/>
      <c r="M1973" s="548"/>
      <c r="N1973" s="552"/>
      <c r="Y1973" s="551"/>
    </row>
    <row r="1974" spans="1:25">
      <c r="A1974" s="499">
        <v>45533</v>
      </c>
      <c r="B1974" s="499">
        <v>45533</v>
      </c>
      <c r="C1974" s="500" t="s">
        <v>173</v>
      </c>
      <c r="D1974" s="500" t="s">
        <v>760</v>
      </c>
      <c r="E1974" s="501">
        <v>-45009666.359999999</v>
      </c>
      <c r="F1974" s="502" t="s">
        <v>878</v>
      </c>
      <c r="G1974" s="100" t="s">
        <v>634</v>
      </c>
      <c r="H1974" s="530"/>
      <c r="I1974" s="525"/>
      <c r="K1974" s="548"/>
      <c r="L1974" s="548"/>
      <c r="M1974" s="548"/>
      <c r="N1974" s="552"/>
      <c r="Y1974" s="551"/>
    </row>
    <row r="1975" spans="1:25">
      <c r="A1975" s="499">
        <v>45533</v>
      </c>
      <c r="B1975" s="499">
        <v>45537</v>
      </c>
      <c r="C1975" s="500" t="s">
        <v>173</v>
      </c>
      <c r="D1975" s="500" t="s">
        <v>760</v>
      </c>
      <c r="E1975" s="501">
        <v>2303850516.71</v>
      </c>
      <c r="F1975" s="502" t="s">
        <v>878</v>
      </c>
      <c r="G1975" s="100" t="s">
        <v>634</v>
      </c>
      <c r="H1975" s="530"/>
      <c r="I1975" s="525"/>
      <c r="K1975" s="548"/>
      <c r="L1975" s="548"/>
      <c r="M1975" s="548"/>
      <c r="N1975" s="552"/>
      <c r="Y1975" s="551"/>
    </row>
    <row r="1976" spans="1:25">
      <c r="A1976" s="499">
        <v>45533</v>
      </c>
      <c r="B1976" s="499">
        <v>45537</v>
      </c>
      <c r="C1976" s="500" t="s">
        <v>173</v>
      </c>
      <c r="D1976" s="500" t="s">
        <v>760</v>
      </c>
      <c r="E1976" s="501">
        <v>45075581.659999996</v>
      </c>
      <c r="F1976" s="502" t="s">
        <v>878</v>
      </c>
      <c r="G1976" s="100" t="s">
        <v>634</v>
      </c>
      <c r="H1976" s="530"/>
      <c r="I1976" s="525"/>
      <c r="K1976" s="548"/>
      <c r="L1976" s="548"/>
      <c r="M1976" s="548"/>
      <c r="N1976" s="552"/>
      <c r="Y1976" s="551"/>
    </row>
    <row r="1977" spans="1:25">
      <c r="A1977" s="499">
        <v>45533</v>
      </c>
      <c r="B1977" s="499">
        <v>45533</v>
      </c>
      <c r="C1977" s="500" t="s">
        <v>173</v>
      </c>
      <c r="D1977" s="500" t="s">
        <v>763</v>
      </c>
      <c r="E1977" s="501">
        <v>-243207368.91</v>
      </c>
      <c r="F1977" s="502" t="s">
        <v>878</v>
      </c>
      <c r="G1977" s="100" t="s">
        <v>476</v>
      </c>
      <c r="H1977" s="530"/>
      <c r="I1977" s="525"/>
      <c r="K1977" s="548"/>
      <c r="L1977" s="548"/>
      <c r="M1977" s="548"/>
      <c r="N1977" s="552"/>
      <c r="Y1977" s="551"/>
    </row>
    <row r="1978" spans="1:25">
      <c r="A1978" s="499">
        <v>45533</v>
      </c>
      <c r="B1978" s="499">
        <v>45533</v>
      </c>
      <c r="C1978" s="500" t="s">
        <v>173</v>
      </c>
      <c r="D1978" s="500" t="s">
        <v>763</v>
      </c>
      <c r="E1978" s="501">
        <v>-27005799.809999999</v>
      </c>
      <c r="F1978" s="502" t="s">
        <v>878</v>
      </c>
      <c r="G1978" s="100" t="s">
        <v>634</v>
      </c>
      <c r="H1978" s="530"/>
      <c r="I1978" s="525"/>
      <c r="K1978" s="548"/>
      <c r="L1978" s="548"/>
      <c r="M1978" s="548"/>
      <c r="N1978" s="552"/>
      <c r="Y1978" s="551"/>
    </row>
    <row r="1979" spans="1:25">
      <c r="A1979" s="499">
        <v>45533</v>
      </c>
      <c r="B1979" s="499">
        <v>45533</v>
      </c>
      <c r="C1979" s="500" t="s">
        <v>173</v>
      </c>
      <c r="D1979" s="500" t="s">
        <v>763</v>
      </c>
      <c r="E1979" s="501">
        <v>-9001340.3499999996</v>
      </c>
      <c r="F1979" s="502" t="s">
        <v>878</v>
      </c>
      <c r="G1979" s="100" t="s">
        <v>603</v>
      </c>
      <c r="H1979" s="530"/>
      <c r="I1979" s="525"/>
      <c r="K1979" s="548"/>
      <c r="L1979" s="548"/>
      <c r="M1979" s="548"/>
      <c r="N1979" s="552"/>
      <c r="Y1979" s="551"/>
    </row>
    <row r="1980" spans="1:25">
      <c r="A1980" s="499">
        <v>45533</v>
      </c>
      <c r="B1980" s="499">
        <v>45533</v>
      </c>
      <c r="C1980" s="500" t="s">
        <v>173</v>
      </c>
      <c r="D1980" s="500" t="s">
        <v>763</v>
      </c>
      <c r="E1980" s="501">
        <v>-16013235.140000001</v>
      </c>
      <c r="F1980" s="502" t="s">
        <v>878</v>
      </c>
      <c r="G1980" s="100" t="s">
        <v>498</v>
      </c>
      <c r="H1980" s="530"/>
      <c r="I1980" s="525"/>
      <c r="K1980" s="548"/>
      <c r="L1980" s="548"/>
      <c r="M1980" s="548"/>
      <c r="N1980" s="552"/>
      <c r="Y1980" s="551"/>
    </row>
    <row r="1981" spans="1:25">
      <c r="A1981" s="499">
        <v>45533</v>
      </c>
      <c r="B1981" s="499">
        <v>45533</v>
      </c>
      <c r="C1981" s="500" t="s">
        <v>173</v>
      </c>
      <c r="D1981" s="500" t="s">
        <v>763</v>
      </c>
      <c r="E1981" s="501">
        <v>-32013170.04999999</v>
      </c>
      <c r="F1981" s="502" t="s">
        <v>878</v>
      </c>
      <c r="G1981" s="100" t="s">
        <v>139</v>
      </c>
      <c r="H1981" s="530"/>
      <c r="I1981" s="525"/>
      <c r="K1981" s="548"/>
      <c r="L1981" s="548"/>
      <c r="M1981" s="548"/>
      <c r="N1981" s="552"/>
      <c r="Y1981" s="551"/>
    </row>
    <row r="1982" spans="1:25">
      <c r="A1982" s="499">
        <v>45533</v>
      </c>
      <c r="B1982" s="499">
        <v>45533</v>
      </c>
      <c r="C1982" s="500" t="s">
        <v>173</v>
      </c>
      <c r="D1982" s="500" t="s">
        <v>763</v>
      </c>
      <c r="E1982" s="501">
        <v>-32029543.29999999</v>
      </c>
      <c r="F1982" s="502" t="s">
        <v>878</v>
      </c>
      <c r="G1982" s="100" t="s">
        <v>548</v>
      </c>
      <c r="H1982" s="530"/>
      <c r="I1982" s="525"/>
      <c r="K1982" s="548"/>
      <c r="L1982" s="548"/>
      <c r="M1982" s="548"/>
      <c r="N1982" s="552"/>
      <c r="Y1982" s="551"/>
    </row>
    <row r="1983" spans="1:25">
      <c r="A1983" s="499">
        <v>45533</v>
      </c>
      <c r="B1983" s="499">
        <v>45533</v>
      </c>
      <c r="C1983" s="500" t="s">
        <v>173</v>
      </c>
      <c r="D1983" s="500" t="s">
        <v>763</v>
      </c>
      <c r="E1983" s="501">
        <v>-5935274670.0799999</v>
      </c>
      <c r="F1983" s="502" t="s">
        <v>878</v>
      </c>
      <c r="G1983" s="100" t="s">
        <v>634</v>
      </c>
      <c r="H1983" s="530"/>
      <c r="I1983" s="525"/>
      <c r="K1983" s="548"/>
      <c r="L1983" s="548"/>
      <c r="M1983" s="548"/>
      <c r="N1983" s="552"/>
      <c r="Y1983" s="551"/>
    </row>
    <row r="1984" spans="1:25">
      <c r="A1984" s="499">
        <v>45533</v>
      </c>
      <c r="B1984" s="499">
        <v>45533</v>
      </c>
      <c r="C1984" s="500" t="s">
        <v>173</v>
      </c>
      <c r="D1984" s="500" t="s">
        <v>763</v>
      </c>
      <c r="E1984" s="501">
        <v>-10009232.279999999</v>
      </c>
      <c r="F1984" s="502" t="s">
        <v>878</v>
      </c>
      <c r="G1984" s="100" t="s">
        <v>548</v>
      </c>
      <c r="H1984" s="530"/>
      <c r="I1984" s="525"/>
      <c r="K1984" s="548"/>
      <c r="L1984" s="548"/>
      <c r="M1984" s="548"/>
      <c r="N1984" s="552"/>
      <c r="Y1984" s="551"/>
    </row>
    <row r="1985" spans="1:25">
      <c r="A1985" s="499">
        <v>45533</v>
      </c>
      <c r="B1985" s="499">
        <v>45537</v>
      </c>
      <c r="C1985" s="500" t="s">
        <v>173</v>
      </c>
      <c r="D1985" s="500" t="s">
        <v>763</v>
      </c>
      <c r="E1985" s="501">
        <v>243562212.44999999</v>
      </c>
      <c r="F1985" s="502" t="s">
        <v>878</v>
      </c>
      <c r="G1985" s="100" t="s">
        <v>476</v>
      </c>
      <c r="H1985" s="530"/>
      <c r="I1985" s="525"/>
      <c r="K1985" s="548"/>
      <c r="L1985" s="548"/>
      <c r="M1985" s="548"/>
      <c r="N1985" s="552"/>
      <c r="Y1985" s="551"/>
    </row>
    <row r="1986" spans="1:25">
      <c r="A1986" s="499">
        <v>45533</v>
      </c>
      <c r="B1986" s="499">
        <v>45537</v>
      </c>
      <c r="C1986" s="500" t="s">
        <v>173</v>
      </c>
      <c r="D1986" s="500" t="s">
        <v>763</v>
      </c>
      <c r="E1986" s="501">
        <v>27045054.140000001</v>
      </c>
      <c r="F1986" s="502" t="s">
        <v>878</v>
      </c>
      <c r="G1986" s="100" t="s">
        <v>634</v>
      </c>
      <c r="H1986" s="530"/>
      <c r="I1986" s="525"/>
      <c r="K1986" s="548"/>
      <c r="L1986" s="548"/>
      <c r="M1986" s="548"/>
      <c r="N1986" s="552"/>
      <c r="Y1986" s="551"/>
    </row>
    <row r="1987" spans="1:25">
      <c r="A1987" s="499">
        <v>45533</v>
      </c>
      <c r="B1987" s="499">
        <v>45537</v>
      </c>
      <c r="C1987" s="500" t="s">
        <v>173</v>
      </c>
      <c r="D1987" s="500" t="s">
        <v>763</v>
      </c>
      <c r="E1987" s="501">
        <v>9014424.2699999996</v>
      </c>
      <c r="F1987" s="502" t="s">
        <v>878</v>
      </c>
      <c r="G1987" s="100" t="s">
        <v>603</v>
      </c>
      <c r="H1987" s="530"/>
      <c r="I1987" s="525"/>
      <c r="K1987" s="548"/>
      <c r="L1987" s="548"/>
      <c r="M1987" s="548"/>
      <c r="N1987" s="552"/>
      <c r="Y1987" s="551"/>
    </row>
    <row r="1988" spans="1:25">
      <c r="A1988" s="499">
        <v>45533</v>
      </c>
      <c r="B1988" s="499">
        <v>45537</v>
      </c>
      <c r="C1988" s="500" t="s">
        <v>173</v>
      </c>
      <c r="D1988" s="500" t="s">
        <v>763</v>
      </c>
      <c r="E1988" s="501">
        <v>16036511.210000001</v>
      </c>
      <c r="F1988" s="502" t="s">
        <v>878</v>
      </c>
      <c r="G1988" s="100" t="s">
        <v>498</v>
      </c>
      <c r="H1988" s="530"/>
      <c r="I1988" s="525">
        <v>-1</v>
      </c>
      <c r="K1988" s="548"/>
      <c r="L1988" s="548"/>
      <c r="M1988" s="548"/>
      <c r="N1988" s="552"/>
      <c r="Y1988" s="551"/>
    </row>
    <row r="1989" spans="1:25">
      <c r="A1989" s="499">
        <v>45533</v>
      </c>
      <c r="B1989" s="499">
        <v>45537</v>
      </c>
      <c r="C1989" s="500" t="s">
        <v>173</v>
      </c>
      <c r="D1989" s="500" t="s">
        <v>763</v>
      </c>
      <c r="E1989" s="501">
        <v>32059702.850000001</v>
      </c>
      <c r="F1989" s="502" t="s">
        <v>878</v>
      </c>
      <c r="G1989" s="100" t="s">
        <v>139</v>
      </c>
      <c r="H1989" s="530"/>
      <c r="I1989" s="525"/>
      <c r="K1989" s="548"/>
      <c r="L1989" s="548"/>
      <c r="M1989" s="548"/>
      <c r="N1989" s="552"/>
      <c r="Y1989" s="551"/>
    </row>
    <row r="1990" spans="1:25">
      <c r="A1990" s="499">
        <v>45533</v>
      </c>
      <c r="B1990" s="499">
        <v>45537</v>
      </c>
      <c r="C1990" s="500" t="s">
        <v>173</v>
      </c>
      <c r="D1990" s="500" t="s">
        <v>763</v>
      </c>
      <c r="E1990" s="501">
        <v>32076099.899999999</v>
      </c>
      <c r="F1990" s="502" t="s">
        <v>878</v>
      </c>
      <c r="G1990" s="100" t="s">
        <v>548</v>
      </c>
      <c r="H1990" s="530"/>
      <c r="I1990" s="525"/>
      <c r="K1990" s="548"/>
      <c r="L1990" s="548"/>
      <c r="M1990" s="548"/>
      <c r="N1990" s="552"/>
      <c r="Y1990" s="551"/>
    </row>
    <row r="1991" spans="1:25">
      <c r="A1991" s="499">
        <v>45533</v>
      </c>
      <c r="B1991" s="499">
        <v>45537</v>
      </c>
      <c r="C1991" s="500" t="s">
        <v>173</v>
      </c>
      <c r="D1991" s="500" t="s">
        <v>763</v>
      </c>
      <c r="E1991" s="501">
        <v>5943901899.9300003</v>
      </c>
      <c r="F1991" s="502" t="s">
        <v>878</v>
      </c>
      <c r="G1991" s="100" t="s">
        <v>634</v>
      </c>
      <c r="H1991" s="530"/>
      <c r="I1991" s="525"/>
      <c r="K1991" s="548"/>
      <c r="L1991" s="548"/>
      <c r="M1991" s="548"/>
      <c r="N1991" s="552"/>
      <c r="Y1991" s="551"/>
    </row>
    <row r="1992" spans="1:25">
      <c r="A1992" s="499">
        <v>45533</v>
      </c>
      <c r="B1992" s="499">
        <v>45537</v>
      </c>
      <c r="C1992" s="500" t="s">
        <v>173</v>
      </c>
      <c r="D1992" s="500" t="s">
        <v>763</v>
      </c>
      <c r="E1992" s="501">
        <v>10023781.220000001</v>
      </c>
      <c r="F1992" s="502" t="s">
        <v>878</v>
      </c>
      <c r="G1992" s="100" t="s">
        <v>548</v>
      </c>
      <c r="H1992" s="530"/>
      <c r="I1992" s="525"/>
      <c r="K1992" s="548"/>
      <c r="L1992" s="548"/>
      <c r="M1992" s="548"/>
      <c r="N1992" s="552"/>
      <c r="Y1992" s="551"/>
    </row>
    <row r="1993" spans="1:25">
      <c r="A1993" s="499">
        <v>45531</v>
      </c>
      <c r="B1993" s="499">
        <v>45533</v>
      </c>
      <c r="C1993" s="500" t="s">
        <v>173</v>
      </c>
      <c r="D1993" s="500" t="s">
        <v>762</v>
      </c>
      <c r="E1993" s="501">
        <v>-884755500</v>
      </c>
      <c r="F1993" s="502" t="s">
        <v>906</v>
      </c>
      <c r="G1993" s="100" t="s">
        <v>75</v>
      </c>
      <c r="H1993" s="530"/>
      <c r="I1993" s="525" t="s">
        <v>691</v>
      </c>
      <c r="K1993" s="548">
        <v>113871020</v>
      </c>
      <c r="L1993" s="549">
        <v>87.043800000000005</v>
      </c>
      <c r="M1993" s="549">
        <f>E1993*(-1)/(N1993*O1993)*100</f>
        <v>88.475549999999998</v>
      </c>
      <c r="N1993" s="549">
        <v>1000000</v>
      </c>
      <c r="O1993" s="539">
        <v>1000</v>
      </c>
      <c r="T1993" s="549">
        <v>13.26</v>
      </c>
      <c r="U1993" s="538">
        <v>0</v>
      </c>
      <c r="V1993" s="549">
        <v>88475.55</v>
      </c>
      <c r="W1993" s="550">
        <f>VLOOKUP(G1993,Справочник!A:C,3,0)</f>
        <v>7.4700000000000003E-2</v>
      </c>
      <c r="X1993" s="539" t="str">
        <f>VLOOKUP(G1993,Справочник!A:G,7,0)</f>
        <v>Министерство финансов Республики Казахстан</v>
      </c>
      <c r="Y1993" s="551" t="str">
        <f>VLOOKUP(G1993,Справочник!A:B,2,0)</f>
        <v>20.06.2027</v>
      </c>
    </row>
    <row r="1994" spans="1:25">
      <c r="A1994" s="499">
        <v>45537</v>
      </c>
      <c r="B1994" s="499">
        <v>45537</v>
      </c>
      <c r="C1994" s="500" t="s">
        <v>173</v>
      </c>
      <c r="D1994" s="500" t="s">
        <v>762</v>
      </c>
      <c r="E1994" s="501">
        <v>-1104034946.6800001</v>
      </c>
      <c r="F1994" s="502" t="s">
        <v>878</v>
      </c>
      <c r="G1994" s="100" t="s">
        <v>747</v>
      </c>
      <c r="H1994" s="530"/>
      <c r="I1994" s="525"/>
      <c r="K1994" s="548"/>
      <c r="L1994" s="548"/>
      <c r="M1994" s="548"/>
      <c r="N1994" s="552"/>
      <c r="Y1994" s="551"/>
    </row>
    <row r="1995" spans="1:25">
      <c r="A1995" s="499">
        <v>45537</v>
      </c>
      <c r="B1995" s="499">
        <v>45537</v>
      </c>
      <c r="C1995" s="500" t="s">
        <v>173</v>
      </c>
      <c r="D1995" s="500" t="s">
        <v>762</v>
      </c>
      <c r="E1995" s="501">
        <v>-1377548546.26</v>
      </c>
      <c r="F1995" s="502" t="s">
        <v>878</v>
      </c>
      <c r="G1995" s="100" t="s">
        <v>630</v>
      </c>
      <c r="H1995" s="530"/>
      <c r="I1995" s="525"/>
      <c r="K1995" s="548"/>
      <c r="L1995" s="548"/>
      <c r="M1995" s="548"/>
      <c r="N1995" s="552"/>
      <c r="Y1995" s="551"/>
    </row>
    <row r="1996" spans="1:25">
      <c r="A1996" s="499">
        <v>45537</v>
      </c>
      <c r="B1996" s="499">
        <v>45537</v>
      </c>
      <c r="C1996" s="500" t="s">
        <v>173</v>
      </c>
      <c r="D1996" s="500" t="s">
        <v>762</v>
      </c>
      <c r="E1996" s="501">
        <v>-42016731.259999998</v>
      </c>
      <c r="F1996" s="502" t="s">
        <v>878</v>
      </c>
      <c r="G1996" s="100" t="s">
        <v>630</v>
      </c>
      <c r="H1996" s="530"/>
      <c r="I1996" s="525"/>
      <c r="K1996" s="548"/>
      <c r="L1996" s="548"/>
      <c r="M1996" s="548"/>
      <c r="N1996" s="552"/>
      <c r="Y1996" s="551"/>
    </row>
    <row r="1997" spans="1:25">
      <c r="A1997" s="499">
        <v>45537</v>
      </c>
      <c r="B1997" s="499">
        <v>45537</v>
      </c>
      <c r="C1997" s="500" t="s">
        <v>173</v>
      </c>
      <c r="D1997" s="500" t="s">
        <v>762</v>
      </c>
      <c r="E1997" s="501">
        <v>-8116982553.8599997</v>
      </c>
      <c r="F1997" s="502" t="s">
        <v>878</v>
      </c>
      <c r="G1997" s="100" t="s">
        <v>550</v>
      </c>
      <c r="H1997" s="530"/>
      <c r="I1997" s="525"/>
      <c r="K1997" s="548"/>
      <c r="L1997" s="548"/>
      <c r="M1997" s="548"/>
      <c r="N1997" s="552"/>
      <c r="Y1997" s="551"/>
    </row>
    <row r="1998" spans="1:25">
      <c r="A1998" s="499">
        <v>45537</v>
      </c>
      <c r="B1998" s="499">
        <v>45538</v>
      </c>
      <c r="C1998" s="500" t="s">
        <v>173</v>
      </c>
      <c r="D1998" s="500" t="s">
        <v>762</v>
      </c>
      <c r="E1998" s="501">
        <v>1104431922.6600001</v>
      </c>
      <c r="F1998" s="502" t="s">
        <v>878</v>
      </c>
      <c r="G1998" s="100" t="s">
        <v>747</v>
      </c>
      <c r="H1998" s="530"/>
      <c r="I1998" s="525"/>
      <c r="K1998" s="548"/>
      <c r="L1998" s="548"/>
      <c r="M1998" s="548"/>
      <c r="N1998" s="552"/>
      <c r="Y1998" s="551"/>
    </row>
    <row r="1999" spans="1:25">
      <c r="A1999" s="499">
        <v>45537</v>
      </c>
      <c r="B1999" s="499">
        <v>45538</v>
      </c>
      <c r="C1999" s="500" t="s">
        <v>173</v>
      </c>
      <c r="D1999" s="500" t="s">
        <v>762</v>
      </c>
      <c r="E1999" s="501">
        <v>1378041640.8900001</v>
      </c>
      <c r="F1999" s="502" t="s">
        <v>878</v>
      </c>
      <c r="G1999" s="100" t="s">
        <v>630</v>
      </c>
      <c r="H1999" s="530"/>
      <c r="I1999" s="525"/>
      <c r="K1999" s="548"/>
      <c r="L1999" s="548"/>
      <c r="M1999" s="548"/>
      <c r="N1999" s="552"/>
      <c r="Y1999" s="551"/>
    </row>
    <row r="2000" spans="1:25">
      <c r="A2000" s="499">
        <v>45537</v>
      </c>
      <c r="B2000" s="499">
        <v>45538</v>
      </c>
      <c r="C2000" s="500" t="s">
        <v>173</v>
      </c>
      <c r="D2000" s="500" t="s">
        <v>762</v>
      </c>
      <c r="E2000" s="501">
        <v>42031771.18</v>
      </c>
      <c r="F2000" s="502" t="s">
        <v>878</v>
      </c>
      <c r="G2000" s="100" t="s">
        <v>630</v>
      </c>
      <c r="H2000" s="530"/>
      <c r="I2000" s="525"/>
      <c r="K2000" s="548"/>
      <c r="L2000" s="548"/>
      <c r="M2000" s="548"/>
      <c r="N2000" s="552"/>
      <c r="Y2000" s="551"/>
    </row>
    <row r="2001" spans="1:25">
      <c r="A2001" s="499">
        <v>45537</v>
      </c>
      <c r="B2001" s="499">
        <v>45538</v>
      </c>
      <c r="C2001" s="500" t="s">
        <v>173</v>
      </c>
      <c r="D2001" s="500" t="s">
        <v>762</v>
      </c>
      <c r="E2001" s="501">
        <v>8119888034.4200001</v>
      </c>
      <c r="F2001" s="502" t="s">
        <v>878</v>
      </c>
      <c r="G2001" s="100" t="s">
        <v>550</v>
      </c>
      <c r="H2001" s="530"/>
      <c r="I2001" s="525"/>
      <c r="K2001" s="548"/>
      <c r="L2001" s="548"/>
      <c r="M2001" s="548"/>
      <c r="N2001" s="552"/>
      <c r="Y2001" s="551"/>
    </row>
    <row r="2002" spans="1:25">
      <c r="A2002" s="499">
        <v>45537</v>
      </c>
      <c r="B2002" s="499">
        <v>45537</v>
      </c>
      <c r="C2002" s="500" t="s">
        <v>173</v>
      </c>
      <c r="D2002" s="500" t="s">
        <v>761</v>
      </c>
      <c r="E2002" s="501">
        <v>-9008250.3000000007</v>
      </c>
      <c r="F2002" s="502" t="s">
        <v>878</v>
      </c>
      <c r="G2002" s="100" t="s">
        <v>414</v>
      </c>
      <c r="H2002" s="530"/>
      <c r="I2002" s="525"/>
      <c r="K2002" s="548"/>
      <c r="L2002" s="548"/>
      <c r="M2002" s="548"/>
      <c r="N2002" s="552"/>
      <c r="Y2002" s="551"/>
    </row>
    <row r="2003" spans="1:25">
      <c r="A2003" s="499">
        <v>45537</v>
      </c>
      <c r="B2003" s="499">
        <v>45537</v>
      </c>
      <c r="C2003" s="500" t="s">
        <v>173</v>
      </c>
      <c r="D2003" s="500" t="s">
        <v>761</v>
      </c>
      <c r="E2003" s="501">
        <v>-5002726.3499999996</v>
      </c>
      <c r="F2003" s="502" t="s">
        <v>878</v>
      </c>
      <c r="G2003" s="100" t="s">
        <v>91</v>
      </c>
      <c r="H2003" s="530"/>
      <c r="I2003" s="525"/>
      <c r="K2003" s="548"/>
      <c r="L2003" s="548"/>
      <c r="M2003" s="548"/>
      <c r="N2003" s="552"/>
      <c r="Y2003" s="551"/>
    </row>
    <row r="2004" spans="1:25">
      <c r="A2004" s="499">
        <v>45537</v>
      </c>
      <c r="B2004" s="499">
        <v>45537</v>
      </c>
      <c r="C2004" s="500" t="s">
        <v>173</v>
      </c>
      <c r="D2004" s="500" t="s">
        <v>761</v>
      </c>
      <c r="E2004" s="501">
        <v>-7000669.6200000001</v>
      </c>
      <c r="F2004" s="502" t="s">
        <v>878</v>
      </c>
      <c r="G2004" s="100" t="s">
        <v>90</v>
      </c>
      <c r="H2004" s="530"/>
      <c r="I2004" s="525"/>
      <c r="K2004" s="548"/>
      <c r="L2004" s="548"/>
      <c r="M2004" s="548"/>
      <c r="N2004" s="552"/>
      <c r="Y2004" s="551"/>
    </row>
    <row r="2005" spans="1:25">
      <c r="A2005" s="499">
        <v>45537</v>
      </c>
      <c r="B2005" s="499">
        <v>45537</v>
      </c>
      <c r="C2005" s="500" t="s">
        <v>173</v>
      </c>
      <c r="D2005" s="500" t="s">
        <v>761</v>
      </c>
      <c r="E2005" s="501">
        <v>-329318077.86000001</v>
      </c>
      <c r="F2005" s="502" t="s">
        <v>878</v>
      </c>
      <c r="G2005" s="100" t="s">
        <v>427</v>
      </c>
      <c r="H2005" s="530"/>
      <c r="I2005" s="525"/>
      <c r="K2005" s="548"/>
      <c r="L2005" s="548"/>
      <c r="M2005" s="548"/>
      <c r="N2005" s="552"/>
      <c r="Y2005" s="551"/>
    </row>
    <row r="2006" spans="1:25">
      <c r="A2006" s="499">
        <v>45537</v>
      </c>
      <c r="B2006" s="499">
        <v>45537</v>
      </c>
      <c r="C2006" s="500" t="s">
        <v>173</v>
      </c>
      <c r="D2006" s="500" t="s">
        <v>761</v>
      </c>
      <c r="E2006" s="501">
        <v>-1028318577.2</v>
      </c>
      <c r="F2006" s="502" t="s">
        <v>878</v>
      </c>
      <c r="G2006" s="100" t="s">
        <v>55</v>
      </c>
      <c r="H2006" s="530"/>
      <c r="I2006" s="525"/>
      <c r="K2006" s="548"/>
      <c r="L2006" s="548"/>
      <c r="M2006" s="548"/>
      <c r="N2006" s="552"/>
      <c r="Y2006" s="551"/>
    </row>
    <row r="2007" spans="1:25">
      <c r="A2007" s="499">
        <v>45537</v>
      </c>
      <c r="B2007" s="499">
        <v>45537</v>
      </c>
      <c r="C2007" s="500" t="s">
        <v>173</v>
      </c>
      <c r="D2007" s="500" t="s">
        <v>761</v>
      </c>
      <c r="E2007" s="501">
        <v>-889530868.13</v>
      </c>
      <c r="F2007" s="502" t="s">
        <v>878</v>
      </c>
      <c r="G2007" s="100" t="s">
        <v>52</v>
      </c>
      <c r="H2007" s="530"/>
      <c r="I2007" s="525"/>
      <c r="K2007" s="548"/>
      <c r="L2007" s="548"/>
      <c r="M2007" s="548"/>
      <c r="N2007" s="552"/>
      <c r="Y2007" s="551"/>
    </row>
    <row r="2008" spans="1:25">
      <c r="A2008" s="499">
        <v>45537</v>
      </c>
      <c r="B2008" s="499">
        <v>45544</v>
      </c>
      <c r="C2008" s="500" t="s">
        <v>173</v>
      </c>
      <c r="D2008" s="500" t="s">
        <v>761</v>
      </c>
      <c r="E2008" s="501">
        <v>9031319.7899999991</v>
      </c>
      <c r="F2008" s="502" t="s">
        <v>878</v>
      </c>
      <c r="G2008" s="100" t="s">
        <v>414</v>
      </c>
      <c r="H2008" s="530"/>
      <c r="I2008" s="525"/>
      <c r="K2008" s="548"/>
      <c r="L2008" s="548"/>
      <c r="M2008" s="548"/>
      <c r="N2008" s="552"/>
      <c r="Y2008" s="551"/>
    </row>
    <row r="2009" spans="1:25">
      <c r="A2009" s="499">
        <v>45537</v>
      </c>
      <c r="B2009" s="499">
        <v>45544</v>
      </c>
      <c r="C2009" s="500" t="s">
        <v>173</v>
      </c>
      <c r="D2009" s="500" t="s">
        <v>761</v>
      </c>
      <c r="E2009" s="501">
        <v>5015537.9800000004</v>
      </c>
      <c r="F2009" s="502" t="s">
        <v>878</v>
      </c>
      <c r="G2009" s="100" t="s">
        <v>91</v>
      </c>
      <c r="H2009" s="530"/>
      <c r="I2009" s="525"/>
      <c r="K2009" s="548"/>
      <c r="L2009" s="548"/>
      <c r="M2009" s="548"/>
      <c r="N2009" s="552"/>
      <c r="Y2009" s="551"/>
    </row>
    <row r="2010" spans="1:25">
      <c r="A2010" s="499">
        <v>45537</v>
      </c>
      <c r="B2010" s="499">
        <v>45544</v>
      </c>
      <c r="C2010" s="500" t="s">
        <v>173</v>
      </c>
      <c r="D2010" s="500" t="s">
        <v>761</v>
      </c>
      <c r="E2010" s="501">
        <v>7018597.8399999999</v>
      </c>
      <c r="F2010" s="502" t="s">
        <v>878</v>
      </c>
      <c r="G2010" s="100" t="s">
        <v>90</v>
      </c>
      <c r="H2010" s="530"/>
      <c r="I2010" s="525"/>
      <c r="K2010" s="548"/>
      <c r="L2010" s="548"/>
      <c r="M2010" s="548"/>
      <c r="N2010" s="552"/>
      <c r="Y2010" s="551"/>
    </row>
    <row r="2011" spans="1:25">
      <c r="A2011" s="499">
        <v>45537</v>
      </c>
      <c r="B2011" s="499">
        <v>45544</v>
      </c>
      <c r="C2011" s="500" t="s">
        <v>173</v>
      </c>
      <c r="D2011" s="500" t="s">
        <v>761</v>
      </c>
      <c r="E2011" s="501">
        <v>330161438.06</v>
      </c>
      <c r="F2011" s="502" t="s">
        <v>878</v>
      </c>
      <c r="G2011" s="100" t="s">
        <v>427</v>
      </c>
      <c r="H2011" s="530"/>
      <c r="I2011" s="525"/>
      <c r="K2011" s="548"/>
      <c r="L2011" s="548"/>
      <c r="M2011" s="548"/>
      <c r="N2011" s="552"/>
      <c r="Y2011" s="551"/>
    </row>
    <row r="2012" spans="1:25">
      <c r="A2012" s="499">
        <v>45537</v>
      </c>
      <c r="B2012" s="499">
        <v>45544</v>
      </c>
      <c r="C2012" s="500" t="s">
        <v>173</v>
      </c>
      <c r="D2012" s="500" t="s">
        <v>761</v>
      </c>
      <c r="E2012" s="501">
        <v>1030952028.03</v>
      </c>
      <c r="F2012" s="502" t="s">
        <v>878</v>
      </c>
      <c r="G2012" s="100" t="s">
        <v>55</v>
      </c>
      <c r="H2012" s="530"/>
      <c r="I2012" s="525"/>
      <c r="K2012" s="548"/>
      <c r="L2012" s="548"/>
      <c r="M2012" s="548"/>
      <c r="N2012" s="552"/>
      <c r="Y2012" s="551"/>
    </row>
    <row r="2013" spans="1:25">
      <c r="A2013" s="499">
        <v>45537</v>
      </c>
      <c r="B2013" s="499">
        <v>45544</v>
      </c>
      <c r="C2013" s="500" t="s">
        <v>173</v>
      </c>
      <c r="D2013" s="500" t="s">
        <v>761</v>
      </c>
      <c r="E2013" s="501">
        <v>891808893.49000001</v>
      </c>
      <c r="F2013" s="502" t="s">
        <v>878</v>
      </c>
      <c r="G2013" s="100" t="s">
        <v>52</v>
      </c>
      <c r="H2013" s="530"/>
      <c r="I2013" s="525"/>
      <c r="K2013" s="548"/>
      <c r="L2013" s="548">
        <v>-1</v>
      </c>
      <c r="M2013" s="548"/>
      <c r="N2013" s="552"/>
      <c r="Y2013" s="551"/>
    </row>
    <row r="2014" spans="1:25">
      <c r="A2014" s="499">
        <v>45537</v>
      </c>
      <c r="B2014" s="499">
        <v>45537</v>
      </c>
      <c r="C2014" s="500" t="s">
        <v>173</v>
      </c>
      <c r="D2014" s="500" t="s">
        <v>759</v>
      </c>
      <c r="E2014" s="501">
        <v>-2500995908.25</v>
      </c>
      <c r="F2014" s="502" t="s">
        <v>878</v>
      </c>
      <c r="G2014" s="100" t="s">
        <v>139</v>
      </c>
      <c r="H2014" s="484"/>
      <c r="I2014" s="525"/>
      <c r="K2014" s="548"/>
      <c r="L2014" s="548"/>
      <c r="M2014" s="548"/>
      <c r="N2014" s="552"/>
      <c r="Y2014" s="551"/>
    </row>
    <row r="2015" spans="1:25">
      <c r="A2015" s="499">
        <v>45537</v>
      </c>
      <c r="B2015" s="499">
        <v>45537</v>
      </c>
      <c r="C2015" s="500" t="s">
        <v>173</v>
      </c>
      <c r="D2015" s="500" t="s">
        <v>759</v>
      </c>
      <c r="E2015" s="501">
        <v>-1400626192</v>
      </c>
      <c r="F2015" s="502" t="s">
        <v>878</v>
      </c>
      <c r="G2015" s="100" t="s">
        <v>87</v>
      </c>
      <c r="H2015" s="484"/>
      <c r="I2015" s="525"/>
      <c r="K2015" s="548"/>
      <c r="L2015" s="548"/>
      <c r="M2015" s="548"/>
      <c r="N2015" s="552"/>
      <c r="Y2015" s="551"/>
    </row>
    <row r="2016" spans="1:25">
      <c r="A2016" s="499">
        <v>45537</v>
      </c>
      <c r="B2016" s="499">
        <v>45537</v>
      </c>
      <c r="C2016" s="500" t="s">
        <v>173</v>
      </c>
      <c r="D2016" s="500" t="s">
        <v>759</v>
      </c>
      <c r="E2016" s="501">
        <v>-4001789.12</v>
      </c>
      <c r="F2016" s="502" t="s">
        <v>878</v>
      </c>
      <c r="G2016" s="100" t="s">
        <v>87</v>
      </c>
      <c r="H2016" s="484"/>
      <c r="I2016" s="525"/>
      <c r="K2016" s="548"/>
      <c r="L2016" s="548"/>
      <c r="M2016" s="548"/>
      <c r="N2016" s="552"/>
      <c r="Y2016" s="551"/>
    </row>
    <row r="2017" spans="1:25">
      <c r="A2017" s="499">
        <v>45537</v>
      </c>
      <c r="B2017" s="499">
        <v>45538</v>
      </c>
      <c r="C2017" s="500" t="s">
        <v>173</v>
      </c>
      <c r="D2017" s="500" t="s">
        <v>759</v>
      </c>
      <c r="E2017" s="501">
        <v>2501897906.77</v>
      </c>
      <c r="F2017" s="502" t="s">
        <v>878</v>
      </c>
      <c r="G2017" s="100" t="s">
        <v>139</v>
      </c>
      <c r="H2017" s="530"/>
      <c r="I2017" s="525"/>
      <c r="K2017" s="548"/>
      <c r="L2017" s="548"/>
      <c r="M2017" s="548"/>
      <c r="N2017" s="552"/>
      <c r="Y2017" s="551"/>
    </row>
    <row r="2018" spans="1:25">
      <c r="A2018" s="499">
        <v>45537</v>
      </c>
      <c r="B2018" s="499">
        <v>45538</v>
      </c>
      <c r="C2018" s="500" t="s">
        <v>173</v>
      </c>
      <c r="D2018" s="500" t="s">
        <v>759</v>
      </c>
      <c r="E2018" s="501">
        <v>1401008876.75</v>
      </c>
      <c r="F2018" s="502" t="s">
        <v>878</v>
      </c>
      <c r="G2018" s="100" t="s">
        <v>87</v>
      </c>
      <c r="H2018" s="530"/>
      <c r="I2018" s="525"/>
      <c r="K2018" s="548"/>
      <c r="L2018" s="548"/>
      <c r="M2018" s="548"/>
      <c r="N2018" s="552"/>
      <c r="Y2018" s="551"/>
    </row>
    <row r="2019" spans="1:25">
      <c r="A2019" s="499">
        <v>45537</v>
      </c>
      <c r="B2019" s="499">
        <v>45538</v>
      </c>
      <c r="C2019" s="500" t="s">
        <v>173</v>
      </c>
      <c r="D2019" s="500" t="s">
        <v>759</v>
      </c>
      <c r="E2019" s="501">
        <v>4002882.51</v>
      </c>
      <c r="F2019" s="502" t="s">
        <v>878</v>
      </c>
      <c r="G2019" s="100" t="s">
        <v>87</v>
      </c>
      <c r="H2019" s="530"/>
      <c r="I2019" s="525"/>
      <c r="K2019" s="548"/>
      <c r="L2019" s="548"/>
      <c r="M2019" s="548"/>
      <c r="N2019" s="552"/>
      <c r="Y2019" s="551"/>
    </row>
    <row r="2020" spans="1:25">
      <c r="A2020" s="499">
        <v>45537</v>
      </c>
      <c r="B2020" s="499">
        <v>45537</v>
      </c>
      <c r="C2020" s="500" t="s">
        <v>173</v>
      </c>
      <c r="D2020" s="500" t="s">
        <v>764</v>
      </c>
      <c r="E2020" s="501">
        <v>-2908258329.8299999</v>
      </c>
      <c r="F2020" s="502" t="s">
        <v>878</v>
      </c>
      <c r="G2020" s="100" t="s">
        <v>816</v>
      </c>
      <c r="H2020" s="530"/>
      <c r="I2020" s="525"/>
      <c r="K2020" s="548"/>
      <c r="L2020" s="548"/>
      <c r="M2020" s="548"/>
      <c r="N2020" s="552"/>
      <c r="Y2020" s="551"/>
    </row>
    <row r="2021" spans="1:25">
      <c r="A2021" s="499">
        <v>45537</v>
      </c>
      <c r="B2021" s="499">
        <v>45537</v>
      </c>
      <c r="C2021" s="500" t="s">
        <v>173</v>
      </c>
      <c r="D2021" s="500" t="s">
        <v>764</v>
      </c>
      <c r="E2021" s="501">
        <v>-983304753.59000003</v>
      </c>
      <c r="F2021" s="502" t="s">
        <v>878</v>
      </c>
      <c r="G2021" s="100" t="s">
        <v>692</v>
      </c>
      <c r="H2021" s="530"/>
      <c r="I2021" s="525"/>
      <c r="K2021" s="548"/>
      <c r="L2021" s="548"/>
      <c r="M2021" s="548"/>
      <c r="N2021" s="552"/>
      <c r="Y2021" s="551"/>
    </row>
    <row r="2022" spans="1:25">
      <c r="A2022" s="499">
        <v>45537</v>
      </c>
      <c r="B2022" s="499">
        <v>45537</v>
      </c>
      <c r="C2022" s="500" t="s">
        <v>173</v>
      </c>
      <c r="D2022" s="500" t="s">
        <v>764</v>
      </c>
      <c r="E2022" s="501">
        <v>-15002360.1</v>
      </c>
      <c r="F2022" s="502" t="s">
        <v>878</v>
      </c>
      <c r="G2022" s="100" t="s">
        <v>723</v>
      </c>
      <c r="H2022" s="530"/>
      <c r="I2022" s="525"/>
      <c r="K2022" s="548"/>
      <c r="L2022" s="548"/>
      <c r="M2022" s="548"/>
      <c r="N2022" s="552"/>
      <c r="Y2022" s="551"/>
    </row>
    <row r="2023" spans="1:25">
      <c r="A2023" s="499">
        <v>45537</v>
      </c>
      <c r="B2023" s="499">
        <v>45544</v>
      </c>
      <c r="C2023" s="500" t="s">
        <v>173</v>
      </c>
      <c r="D2023" s="500" t="s">
        <v>764</v>
      </c>
      <c r="E2023" s="501">
        <v>2915711735.0599999</v>
      </c>
      <c r="F2023" s="502" t="s">
        <v>878</v>
      </c>
      <c r="G2023" s="100" t="s">
        <v>816</v>
      </c>
      <c r="H2023" s="530"/>
      <c r="I2023" s="525"/>
      <c r="K2023" s="548"/>
      <c r="L2023" s="548"/>
      <c r="M2023" s="548"/>
      <c r="N2023" s="552"/>
      <c r="Y2023" s="551"/>
    </row>
    <row r="2024" spans="1:25">
      <c r="A2024" s="499">
        <v>45537</v>
      </c>
      <c r="B2024" s="499">
        <v>45544</v>
      </c>
      <c r="C2024" s="500" t="s">
        <v>173</v>
      </c>
      <c r="D2024" s="500" t="s">
        <v>764</v>
      </c>
      <c r="E2024" s="501">
        <v>985824807.85000002</v>
      </c>
      <c r="F2024" s="502" t="s">
        <v>878</v>
      </c>
      <c r="G2024" s="100" t="s">
        <v>692</v>
      </c>
      <c r="H2024" s="530"/>
      <c r="I2024" s="525"/>
      <c r="K2024" s="548"/>
      <c r="L2024" s="548"/>
      <c r="M2024" s="548"/>
      <c r="N2024" s="552"/>
      <c r="Y2024" s="551"/>
    </row>
    <row r="2025" spans="1:25">
      <c r="A2025" s="499">
        <v>45537</v>
      </c>
      <c r="B2025" s="499">
        <v>45544</v>
      </c>
      <c r="C2025" s="500" t="s">
        <v>173</v>
      </c>
      <c r="D2025" s="500" t="s">
        <v>764</v>
      </c>
      <c r="E2025" s="501">
        <v>15040521.84</v>
      </c>
      <c r="F2025" s="502" t="s">
        <v>878</v>
      </c>
      <c r="G2025" s="100" t="s">
        <v>723</v>
      </c>
      <c r="H2025" s="530"/>
      <c r="I2025" s="525"/>
      <c r="K2025" s="548"/>
      <c r="L2025" s="548"/>
      <c r="M2025" s="548"/>
      <c r="N2025" s="552"/>
      <c r="Y2025" s="551"/>
    </row>
    <row r="2026" spans="1:25">
      <c r="A2026" s="499">
        <v>45537</v>
      </c>
      <c r="B2026" s="499">
        <v>45537</v>
      </c>
      <c r="C2026" s="500" t="s">
        <v>173</v>
      </c>
      <c r="D2026" s="500" t="s">
        <v>763</v>
      </c>
      <c r="E2026" s="501">
        <v>-25009959.079999998</v>
      </c>
      <c r="F2026" s="502" t="s">
        <v>878</v>
      </c>
      <c r="G2026" s="100" t="s">
        <v>139</v>
      </c>
      <c r="H2026" s="530"/>
      <c r="I2026" s="525"/>
      <c r="K2026" s="548"/>
      <c r="L2026" s="548"/>
      <c r="M2026" s="548"/>
      <c r="N2026" s="552"/>
      <c r="Y2026" s="551"/>
    </row>
    <row r="2027" spans="1:25">
      <c r="A2027" s="499">
        <v>45537</v>
      </c>
      <c r="B2027" s="499">
        <v>45537</v>
      </c>
      <c r="C2027" s="500" t="s">
        <v>173</v>
      </c>
      <c r="D2027" s="500" t="s">
        <v>763</v>
      </c>
      <c r="E2027" s="501">
        <v>-6288504111.6999998</v>
      </c>
      <c r="F2027" s="502" t="s">
        <v>878</v>
      </c>
      <c r="G2027" s="100" t="s">
        <v>139</v>
      </c>
      <c r="H2027" s="530"/>
      <c r="I2027" s="525"/>
      <c r="K2027" s="548"/>
      <c r="L2027" s="548"/>
      <c r="M2027" s="548"/>
      <c r="N2027" s="552"/>
      <c r="Y2027" s="551"/>
    </row>
    <row r="2028" spans="1:25">
      <c r="A2028" s="499">
        <v>45537</v>
      </c>
      <c r="B2028" s="499">
        <v>45538</v>
      </c>
      <c r="C2028" s="500" t="s">
        <v>173</v>
      </c>
      <c r="D2028" s="500" t="s">
        <v>763</v>
      </c>
      <c r="E2028" s="501">
        <v>25018979.07</v>
      </c>
      <c r="F2028" s="502" t="s">
        <v>878</v>
      </c>
      <c r="G2028" s="100" t="s">
        <v>139</v>
      </c>
      <c r="H2028" s="530"/>
      <c r="I2028" s="525"/>
      <c r="K2028" s="548"/>
      <c r="L2028" s="548"/>
      <c r="M2028" s="548"/>
      <c r="N2028" s="552"/>
      <c r="Y2028" s="551"/>
    </row>
    <row r="2029" spans="1:25">
      <c r="A2029" s="499">
        <v>45537</v>
      </c>
      <c r="B2029" s="499">
        <v>45538</v>
      </c>
      <c r="C2029" s="500" t="s">
        <v>173</v>
      </c>
      <c r="D2029" s="500" t="s">
        <v>763</v>
      </c>
      <c r="E2029" s="501">
        <v>6290772096.79</v>
      </c>
      <c r="F2029" s="502" t="s">
        <v>878</v>
      </c>
      <c r="G2029" s="100" t="s">
        <v>139</v>
      </c>
      <c r="H2029" s="530"/>
      <c r="I2029" s="525"/>
      <c r="K2029" s="548"/>
      <c r="L2029" s="548"/>
      <c r="M2029" s="548"/>
      <c r="N2029" s="552"/>
      <c r="Y2029" s="551"/>
    </row>
    <row r="2030" spans="1:25">
      <c r="A2030" s="499">
        <v>45537</v>
      </c>
      <c r="B2030" s="499">
        <v>45537</v>
      </c>
      <c r="C2030" s="500" t="s">
        <v>173</v>
      </c>
      <c r="D2030" s="500" t="s">
        <v>760</v>
      </c>
      <c r="E2030" s="501">
        <v>-4000126618.4000001</v>
      </c>
      <c r="F2030" s="502" t="s">
        <v>878</v>
      </c>
      <c r="G2030" s="100" t="s">
        <v>748</v>
      </c>
      <c r="H2030" s="530"/>
      <c r="I2030" s="525"/>
      <c r="K2030" s="548"/>
      <c r="L2030" s="548"/>
      <c r="M2030" s="548"/>
      <c r="N2030" s="552"/>
      <c r="Y2030" s="551"/>
    </row>
    <row r="2031" spans="1:25">
      <c r="A2031" s="499">
        <v>45537</v>
      </c>
      <c r="B2031" s="499">
        <v>45537</v>
      </c>
      <c r="C2031" s="500" t="s">
        <v>173</v>
      </c>
      <c r="D2031" s="500" t="s">
        <v>760</v>
      </c>
      <c r="E2031" s="501">
        <v>-400120401.92000002</v>
      </c>
      <c r="F2031" s="502" t="s">
        <v>878</v>
      </c>
      <c r="G2031" s="100" t="s">
        <v>634</v>
      </c>
      <c r="H2031" s="530"/>
      <c r="I2031" s="525"/>
      <c r="K2031" s="548"/>
      <c r="L2031" s="548"/>
      <c r="M2031" s="548"/>
      <c r="N2031" s="552"/>
      <c r="Y2031" s="551"/>
    </row>
    <row r="2032" spans="1:25">
      <c r="A2032" s="499">
        <v>45537</v>
      </c>
      <c r="B2032" s="499">
        <v>45537</v>
      </c>
      <c r="C2032" s="500" t="s">
        <v>173</v>
      </c>
      <c r="D2032" s="500" t="s">
        <v>760</v>
      </c>
      <c r="E2032" s="501">
        <v>-52015652.25</v>
      </c>
      <c r="F2032" s="502" t="s">
        <v>878</v>
      </c>
      <c r="G2032" s="100" t="s">
        <v>634</v>
      </c>
      <c r="H2032" s="530"/>
      <c r="I2032" s="525"/>
      <c r="K2032" s="548"/>
      <c r="L2032" s="548"/>
      <c r="M2032" s="548"/>
      <c r="N2032" s="552"/>
      <c r="Y2032" s="551"/>
    </row>
    <row r="2033" spans="1:25">
      <c r="A2033" s="499">
        <v>45537</v>
      </c>
      <c r="B2033" s="499">
        <v>45538</v>
      </c>
      <c r="C2033" s="500" t="s">
        <v>173</v>
      </c>
      <c r="D2033" s="500" t="s">
        <v>760</v>
      </c>
      <c r="E2033" s="501">
        <v>4001569287.02</v>
      </c>
      <c r="F2033" s="502" t="s">
        <v>878</v>
      </c>
      <c r="G2033" s="100" t="s">
        <v>748</v>
      </c>
      <c r="H2033" s="530"/>
      <c r="I2033" s="525"/>
      <c r="K2033" s="548"/>
      <c r="L2033" s="548"/>
      <c r="M2033" s="548"/>
      <c r="N2033" s="552"/>
      <c r="Y2033" s="551"/>
    </row>
    <row r="2034" spans="1:25">
      <c r="A2034" s="499">
        <v>45537</v>
      </c>
      <c r="B2034" s="499">
        <v>45538</v>
      </c>
      <c r="C2034" s="500" t="s">
        <v>173</v>
      </c>
      <c r="D2034" s="500" t="s">
        <v>760</v>
      </c>
      <c r="E2034" s="501">
        <v>400264707.63999999</v>
      </c>
      <c r="F2034" s="502" t="s">
        <v>878</v>
      </c>
      <c r="G2034" s="100" t="s">
        <v>634</v>
      </c>
      <c r="H2034" s="530"/>
      <c r="I2034" s="525"/>
      <c r="K2034" s="548"/>
      <c r="L2034" s="548"/>
      <c r="M2034" s="548"/>
      <c r="N2034" s="552"/>
      <c r="Y2034" s="551"/>
    </row>
    <row r="2035" spans="1:25">
      <c r="A2035" s="499">
        <v>45537</v>
      </c>
      <c r="B2035" s="499">
        <v>45538</v>
      </c>
      <c r="C2035" s="500" t="s">
        <v>173</v>
      </c>
      <c r="D2035" s="500" t="s">
        <v>760</v>
      </c>
      <c r="E2035" s="501">
        <v>52034411.990000002</v>
      </c>
      <c r="F2035" s="502" t="s">
        <v>878</v>
      </c>
      <c r="G2035" s="100" t="s">
        <v>634</v>
      </c>
      <c r="H2035" s="530"/>
      <c r="I2035" s="525"/>
      <c r="K2035" s="548"/>
      <c r="L2035" s="548"/>
      <c r="M2035" s="548"/>
      <c r="N2035" s="552"/>
      <c r="Y2035" s="551"/>
    </row>
    <row r="2036" spans="1:25">
      <c r="A2036" s="499">
        <v>45538</v>
      </c>
      <c r="B2036" s="499">
        <v>45538</v>
      </c>
      <c r="C2036" s="500" t="s">
        <v>173</v>
      </c>
      <c r="D2036" s="500" t="s">
        <v>762</v>
      </c>
      <c r="E2036" s="501">
        <v>-4320565272</v>
      </c>
      <c r="F2036" s="502" t="s">
        <v>878</v>
      </c>
      <c r="G2036" s="100" t="s">
        <v>709</v>
      </c>
      <c r="H2036" s="530"/>
      <c r="I2036" s="525"/>
      <c r="K2036" s="548"/>
      <c r="L2036" s="548"/>
      <c r="M2036" s="548"/>
      <c r="N2036" s="552"/>
      <c r="Y2036" s="551"/>
    </row>
    <row r="2037" spans="1:25">
      <c r="A2037" s="499">
        <v>45538</v>
      </c>
      <c r="B2037" s="499">
        <v>45538</v>
      </c>
      <c r="C2037" s="500" t="s">
        <v>173</v>
      </c>
      <c r="D2037" s="500" t="s">
        <v>762</v>
      </c>
      <c r="E2037" s="501">
        <v>-35004579.75</v>
      </c>
      <c r="F2037" s="502" t="s">
        <v>878</v>
      </c>
      <c r="G2037" s="100" t="s">
        <v>709</v>
      </c>
      <c r="H2037" s="530"/>
      <c r="I2037" s="525"/>
      <c r="K2037" s="548"/>
      <c r="L2037" s="548"/>
      <c r="M2037" s="548"/>
      <c r="N2037" s="552"/>
      <c r="Y2037" s="551"/>
    </row>
    <row r="2038" spans="1:25">
      <c r="A2038" s="499">
        <v>45538</v>
      </c>
      <c r="B2038" s="499">
        <v>45538</v>
      </c>
      <c r="C2038" s="500" t="s">
        <v>173</v>
      </c>
      <c r="D2038" s="500" t="s">
        <v>762</v>
      </c>
      <c r="E2038" s="501">
        <v>-1093453039.76</v>
      </c>
      <c r="F2038" s="502" t="s">
        <v>878</v>
      </c>
      <c r="G2038" s="100" t="s">
        <v>819</v>
      </c>
      <c r="H2038" s="530"/>
      <c r="I2038" s="525"/>
      <c r="K2038" s="548"/>
      <c r="L2038" s="548"/>
      <c r="M2038" s="548"/>
      <c r="N2038" s="552"/>
      <c r="Y2038" s="551"/>
    </row>
    <row r="2039" spans="1:25">
      <c r="A2039" s="499">
        <v>45538</v>
      </c>
      <c r="B2039" s="499">
        <v>45538</v>
      </c>
      <c r="C2039" s="500" t="s">
        <v>173</v>
      </c>
      <c r="D2039" s="500" t="s">
        <v>762</v>
      </c>
      <c r="E2039" s="501">
        <v>-2196001328.5799999</v>
      </c>
      <c r="F2039" s="502" t="s">
        <v>878</v>
      </c>
      <c r="G2039" s="100" t="s">
        <v>809</v>
      </c>
      <c r="H2039" s="530"/>
      <c r="I2039" s="525"/>
      <c r="K2039" s="548"/>
      <c r="L2039" s="548"/>
      <c r="M2039" s="548"/>
      <c r="N2039" s="552">
        <v>-1</v>
      </c>
      <c r="Y2039" s="551"/>
    </row>
    <row r="2040" spans="1:25">
      <c r="A2040" s="499">
        <v>45538</v>
      </c>
      <c r="B2040" s="499">
        <v>45539</v>
      </c>
      <c r="C2040" s="500" t="s">
        <v>173</v>
      </c>
      <c r="D2040" s="500" t="s">
        <v>762</v>
      </c>
      <c r="E2040" s="501">
        <v>4322093996.6000004</v>
      </c>
      <c r="F2040" s="502" t="s">
        <v>878</v>
      </c>
      <c r="G2040" s="100" t="s">
        <v>709</v>
      </c>
      <c r="H2040" s="530"/>
      <c r="I2040" s="525"/>
      <c r="K2040" s="548"/>
      <c r="L2040" s="548"/>
      <c r="M2040" s="548"/>
      <c r="N2040" s="552"/>
      <c r="Y2040" s="551"/>
    </row>
    <row r="2041" spans="1:25">
      <c r="A2041" s="499">
        <v>45538</v>
      </c>
      <c r="B2041" s="499">
        <v>45539</v>
      </c>
      <c r="C2041" s="500" t="s">
        <v>173</v>
      </c>
      <c r="D2041" s="500" t="s">
        <v>762</v>
      </c>
      <c r="E2041" s="501">
        <v>35016965.25</v>
      </c>
      <c r="F2041" s="502" t="s">
        <v>878</v>
      </c>
      <c r="G2041" s="100" t="s">
        <v>709</v>
      </c>
      <c r="H2041" s="530"/>
      <c r="I2041" s="525"/>
      <c r="K2041" s="548"/>
      <c r="L2041" s="548"/>
      <c r="M2041" s="548"/>
      <c r="N2041" s="552"/>
      <c r="Y2041" s="551"/>
    </row>
    <row r="2042" spans="1:25">
      <c r="A2042" s="499">
        <v>45538</v>
      </c>
      <c r="B2042" s="499">
        <v>45539</v>
      </c>
      <c r="C2042" s="500" t="s">
        <v>173</v>
      </c>
      <c r="D2042" s="500" t="s">
        <v>762</v>
      </c>
      <c r="E2042" s="501">
        <v>1093839933.9200001</v>
      </c>
      <c r="F2042" s="502" t="s">
        <v>878</v>
      </c>
      <c r="G2042" s="100" t="s">
        <v>819</v>
      </c>
      <c r="H2042" s="530"/>
      <c r="I2042" s="525"/>
      <c r="K2042" s="548"/>
      <c r="L2042" s="548"/>
      <c r="M2042" s="548"/>
      <c r="N2042" s="552"/>
      <c r="Y2042" s="551"/>
    </row>
    <row r="2043" spans="1:25">
      <c r="A2043" s="499">
        <v>45538</v>
      </c>
      <c r="B2043" s="499">
        <v>45539</v>
      </c>
      <c r="C2043" s="500" t="s">
        <v>173</v>
      </c>
      <c r="D2043" s="500" t="s">
        <v>762</v>
      </c>
      <c r="E2043" s="501">
        <v>2196778329.0500002</v>
      </c>
      <c r="F2043" s="502" t="s">
        <v>878</v>
      </c>
      <c r="G2043" s="100" t="s">
        <v>809</v>
      </c>
      <c r="H2043" s="530"/>
      <c r="I2043" s="525"/>
      <c r="K2043" s="548"/>
      <c r="L2043" s="548"/>
      <c r="M2043" s="548"/>
      <c r="N2043" s="552"/>
      <c r="Y2043" s="551"/>
    </row>
    <row r="2044" spans="1:25">
      <c r="A2044" s="499">
        <v>45538</v>
      </c>
      <c r="B2044" s="499">
        <v>45538</v>
      </c>
      <c r="C2044" s="500" t="s">
        <v>173</v>
      </c>
      <c r="D2044" s="500" t="s">
        <v>762</v>
      </c>
      <c r="E2044" s="501">
        <v>-3000000000</v>
      </c>
      <c r="F2044" s="502" t="s">
        <v>906</v>
      </c>
      <c r="G2044" s="100" t="s">
        <v>914</v>
      </c>
      <c r="H2044" s="530"/>
      <c r="I2044" s="525" t="s">
        <v>916</v>
      </c>
      <c r="K2044" s="548">
        <v>113931200</v>
      </c>
      <c r="L2044" s="549">
        <v>100</v>
      </c>
      <c r="M2044" s="549">
        <f>E2044*(-1)/(N2044*O2044)*100</f>
        <v>100</v>
      </c>
      <c r="N2044" s="549">
        <v>3000000</v>
      </c>
      <c r="O2044" s="539">
        <v>1000</v>
      </c>
      <c r="T2044" s="538">
        <v>14.3</v>
      </c>
      <c r="U2044" s="538">
        <v>0</v>
      </c>
      <c r="V2044" s="538">
        <v>0</v>
      </c>
      <c r="W2044" s="550">
        <f>VLOOKUP(G2044,Справочник!A:C,3,0)</f>
        <v>0.14299999999999999</v>
      </c>
      <c r="X2044" s="539" t="str">
        <f>VLOOKUP(G2044,Справочник!A:G,7,0)</f>
        <v>Евразийский Банк Развития</v>
      </c>
      <c r="Y2044" s="551">
        <f>VLOOKUP(G2044,Справочник!A:B,2,0)</f>
        <v>46633</v>
      </c>
    </row>
    <row r="2045" spans="1:25">
      <c r="A2045" s="499">
        <v>45538</v>
      </c>
      <c r="B2045" s="499">
        <v>45538</v>
      </c>
      <c r="C2045" s="500" t="s">
        <v>173</v>
      </c>
      <c r="D2045" s="500" t="s">
        <v>761</v>
      </c>
      <c r="E2045" s="501">
        <v>-304000183.92000002</v>
      </c>
      <c r="F2045" s="502" t="s">
        <v>878</v>
      </c>
      <c r="G2045" s="100" t="s">
        <v>810</v>
      </c>
      <c r="H2045" s="530"/>
      <c r="I2045" s="525"/>
      <c r="K2045" s="548"/>
      <c r="L2045" s="548"/>
      <c r="M2045" s="548"/>
      <c r="N2045" s="552"/>
      <c r="Y2045" s="551"/>
    </row>
    <row r="2046" spans="1:25">
      <c r="A2046" s="499">
        <v>45538</v>
      </c>
      <c r="B2046" s="499">
        <v>45539</v>
      </c>
      <c r="C2046" s="500" t="s">
        <v>173</v>
      </c>
      <c r="D2046" s="500" t="s">
        <v>761</v>
      </c>
      <c r="E2046" s="501">
        <v>304107746.82999998</v>
      </c>
      <c r="F2046" s="502" t="s">
        <v>878</v>
      </c>
      <c r="G2046" s="100" t="s">
        <v>810</v>
      </c>
      <c r="H2046" s="530"/>
      <c r="I2046" s="525"/>
      <c r="K2046" s="548"/>
      <c r="L2046" s="548"/>
      <c r="M2046" s="548"/>
      <c r="N2046" s="552"/>
      <c r="Y2046" s="551"/>
    </row>
    <row r="2047" spans="1:25">
      <c r="A2047" s="499">
        <v>45538</v>
      </c>
      <c r="B2047" s="499">
        <v>45538</v>
      </c>
      <c r="C2047" s="500" t="s">
        <v>173</v>
      </c>
      <c r="D2047" s="500" t="s">
        <v>761</v>
      </c>
      <c r="E2047" s="501">
        <v>-1700000000</v>
      </c>
      <c r="F2047" s="502" t="s">
        <v>906</v>
      </c>
      <c r="G2047" s="100" t="s">
        <v>914</v>
      </c>
      <c r="H2047" s="530"/>
      <c r="I2047" s="525" t="s">
        <v>916</v>
      </c>
      <c r="K2047" s="548">
        <v>113931193</v>
      </c>
      <c r="L2047" s="549">
        <v>100</v>
      </c>
      <c r="M2047" s="549">
        <f>E2047*(-1)/(N2047*O2047)*100</f>
        <v>100</v>
      </c>
      <c r="N2047" s="549">
        <v>1700000</v>
      </c>
      <c r="O2047" s="539">
        <f>VLOOKUP(G2047,Справочник!A:J,10,0)</f>
        <v>1000</v>
      </c>
      <c r="T2047" s="553">
        <v>14.3</v>
      </c>
      <c r="U2047" s="538">
        <v>0</v>
      </c>
      <c r="V2047" s="538">
        <v>0</v>
      </c>
      <c r="W2047" s="550">
        <f>VLOOKUP(G2047,Справочник!A:C,3,0)</f>
        <v>0.14299999999999999</v>
      </c>
      <c r="X2047" s="539" t="str">
        <f>VLOOKUP(G2047,Справочник!A:G,7,0)</f>
        <v>Евразийский Банк Развития</v>
      </c>
      <c r="Y2047" s="551">
        <f>VLOOKUP(G2047,Справочник!A:B,2,0)</f>
        <v>46633</v>
      </c>
    </row>
    <row r="2048" spans="1:25">
      <c r="A2048" s="499">
        <v>45538</v>
      </c>
      <c r="B2048" s="499">
        <v>45538</v>
      </c>
      <c r="C2048" s="500" t="s">
        <v>173</v>
      </c>
      <c r="D2048" s="500" t="s">
        <v>759</v>
      </c>
      <c r="E2048" s="501">
        <v>-1899787120.3099999</v>
      </c>
      <c r="F2048" s="502" t="s">
        <v>878</v>
      </c>
      <c r="G2048" s="100" t="s">
        <v>820</v>
      </c>
      <c r="H2048" s="484"/>
      <c r="I2048" s="525"/>
      <c r="K2048" s="548"/>
      <c r="L2048" s="548"/>
      <c r="M2048" s="548"/>
      <c r="N2048" s="552"/>
      <c r="Y2048" s="551"/>
    </row>
    <row r="2049" spans="1:25">
      <c r="A2049" s="499">
        <v>45538</v>
      </c>
      <c r="B2049" s="499">
        <v>45538</v>
      </c>
      <c r="C2049" s="500" t="s">
        <v>173</v>
      </c>
      <c r="D2049" s="500" t="s">
        <v>759</v>
      </c>
      <c r="E2049" s="501">
        <v>-8003315.9400000004</v>
      </c>
      <c r="F2049" s="502" t="s">
        <v>878</v>
      </c>
      <c r="G2049" s="100" t="s">
        <v>820</v>
      </c>
      <c r="H2049" s="484"/>
      <c r="I2049" s="525"/>
      <c r="K2049" s="548"/>
      <c r="L2049" s="548"/>
      <c r="M2049" s="548"/>
      <c r="N2049" s="552"/>
      <c r="Y2049" s="551"/>
    </row>
    <row r="2050" spans="1:25">
      <c r="A2050" s="499">
        <v>45538</v>
      </c>
      <c r="B2050" s="499">
        <v>45539</v>
      </c>
      <c r="C2050" s="500" t="s">
        <v>173</v>
      </c>
      <c r="D2050" s="500" t="s">
        <v>759</v>
      </c>
      <c r="E2050" s="501">
        <v>1900459317.9400001</v>
      </c>
      <c r="F2050" s="502" t="s">
        <v>878</v>
      </c>
      <c r="G2050" s="100" t="s">
        <v>820</v>
      </c>
      <c r="H2050" s="530"/>
      <c r="I2050" s="525"/>
      <c r="K2050" s="548"/>
      <c r="L2050" s="548"/>
      <c r="M2050" s="548"/>
      <c r="N2050" s="552"/>
      <c r="Y2050" s="551"/>
    </row>
    <row r="2051" spans="1:25">
      <c r="A2051" s="499">
        <v>45538</v>
      </c>
      <c r="B2051" s="499">
        <v>45539</v>
      </c>
      <c r="C2051" s="500" t="s">
        <v>173</v>
      </c>
      <c r="D2051" s="500" t="s">
        <v>759</v>
      </c>
      <c r="E2051" s="501">
        <v>8006147.7400000002</v>
      </c>
      <c r="F2051" s="502" t="s">
        <v>878</v>
      </c>
      <c r="G2051" s="100" t="s">
        <v>820</v>
      </c>
      <c r="H2051" s="530"/>
      <c r="I2051" s="525"/>
      <c r="K2051" s="548"/>
      <c r="L2051" s="548"/>
      <c r="M2051" s="548"/>
      <c r="N2051" s="552"/>
      <c r="Y2051" s="551"/>
    </row>
    <row r="2052" spans="1:25">
      <c r="A2052" s="499">
        <v>45538</v>
      </c>
      <c r="B2052" s="499">
        <v>45538</v>
      </c>
      <c r="C2052" s="500" t="s">
        <v>173</v>
      </c>
      <c r="D2052" s="500" t="s">
        <v>759</v>
      </c>
      <c r="E2052" s="501">
        <v>-2000000000</v>
      </c>
      <c r="F2052" s="502" t="s">
        <v>906</v>
      </c>
      <c r="G2052" s="100" t="s">
        <v>914</v>
      </c>
      <c r="H2052" s="530"/>
      <c r="I2052" s="525" t="s">
        <v>916</v>
      </c>
      <c r="K2052" s="548"/>
      <c r="L2052" s="549">
        <v>100</v>
      </c>
      <c r="M2052" s="549">
        <f>-E2052/(N2052*O2052)*100</f>
        <v>100</v>
      </c>
      <c r="N2052" s="549">
        <v>2000000</v>
      </c>
      <c r="O2052" s="539">
        <v>1000</v>
      </c>
      <c r="P2052" s="539">
        <v>100</v>
      </c>
      <c r="T2052" s="553">
        <v>14.3</v>
      </c>
      <c r="W2052" s="550">
        <f>VLOOKUP(G2052,Справочник!A:C,3,0)</f>
        <v>0.14299999999999999</v>
      </c>
      <c r="X2052" s="539" t="str">
        <f>VLOOKUP(G2052,Справочник!A:G,7,0)</f>
        <v>Евразийский Банк Развития</v>
      </c>
      <c r="Y2052" s="551">
        <f>VLOOKUP(G2052,Справочник!A:B,2,0)</f>
        <v>46633</v>
      </c>
    </row>
    <row r="2053" spans="1:25">
      <c r="A2053" s="499">
        <v>45538</v>
      </c>
      <c r="B2053" s="499">
        <v>45538</v>
      </c>
      <c r="C2053" s="500" t="s">
        <v>173</v>
      </c>
      <c r="D2053" s="500" t="s">
        <v>760</v>
      </c>
      <c r="E2053" s="501">
        <v>-2301077481</v>
      </c>
      <c r="F2053" s="502" t="s">
        <v>878</v>
      </c>
      <c r="G2053" s="100" t="s">
        <v>139</v>
      </c>
      <c r="H2053" s="530"/>
      <c r="I2053" s="525"/>
      <c r="K2053" s="548"/>
      <c r="L2053" s="548"/>
      <c r="M2053" s="548"/>
      <c r="N2053" s="552"/>
      <c r="Y2053" s="551"/>
    </row>
    <row r="2054" spans="1:25">
      <c r="A2054" s="499">
        <v>45538</v>
      </c>
      <c r="B2054" s="499">
        <v>45538</v>
      </c>
      <c r="C2054" s="500" t="s">
        <v>173</v>
      </c>
      <c r="D2054" s="500" t="s">
        <v>760</v>
      </c>
      <c r="E2054" s="501">
        <v>-52013019.380000003</v>
      </c>
      <c r="F2054" s="502" t="s">
        <v>878</v>
      </c>
      <c r="G2054" s="100" t="s">
        <v>636</v>
      </c>
      <c r="H2054" s="530"/>
      <c r="I2054" s="525"/>
      <c r="K2054" s="548"/>
      <c r="L2054" s="548"/>
      <c r="M2054" s="548"/>
      <c r="N2054" s="552"/>
      <c r="Y2054" s="551"/>
    </row>
    <row r="2055" spans="1:25">
      <c r="A2055" s="499">
        <v>45538</v>
      </c>
      <c r="B2055" s="499">
        <v>45539</v>
      </c>
      <c r="C2055" s="500" t="s">
        <v>173</v>
      </c>
      <c r="D2055" s="500" t="s">
        <v>760</v>
      </c>
      <c r="E2055" s="501">
        <v>2301901090.6999998</v>
      </c>
      <c r="F2055" s="502" t="s">
        <v>878</v>
      </c>
      <c r="G2055" s="100" t="s">
        <v>139</v>
      </c>
      <c r="H2055" s="530"/>
      <c r="I2055" s="525"/>
      <c r="K2055" s="548"/>
      <c r="L2055" s="548"/>
      <c r="M2055" s="548"/>
      <c r="N2055" s="552"/>
      <c r="Y2055" s="551"/>
    </row>
    <row r="2056" spans="1:25">
      <c r="A2056" s="499">
        <v>45538</v>
      </c>
      <c r="B2056" s="499">
        <v>45539</v>
      </c>
      <c r="C2056" s="500" t="s">
        <v>173</v>
      </c>
      <c r="D2056" s="500" t="s">
        <v>760</v>
      </c>
      <c r="E2056" s="501">
        <v>52031636.060000002</v>
      </c>
      <c r="F2056" s="502" t="s">
        <v>878</v>
      </c>
      <c r="G2056" s="100" t="s">
        <v>636</v>
      </c>
      <c r="H2056" s="530"/>
      <c r="I2056" s="525"/>
      <c r="K2056" s="548"/>
      <c r="L2056" s="548"/>
      <c r="M2056" s="548"/>
      <c r="N2056" s="552"/>
      <c r="Y2056" s="551"/>
    </row>
    <row r="2057" spans="1:25">
      <c r="A2057" s="499">
        <v>45538</v>
      </c>
      <c r="B2057" s="499">
        <v>45538</v>
      </c>
      <c r="C2057" s="500" t="s">
        <v>173</v>
      </c>
      <c r="D2057" s="500" t="s">
        <v>760</v>
      </c>
      <c r="E2057" s="501">
        <v>-2100000000</v>
      </c>
      <c r="F2057" s="502" t="s">
        <v>906</v>
      </c>
      <c r="G2057" s="100" t="s">
        <v>914</v>
      </c>
      <c r="H2057" s="530"/>
      <c r="I2057" s="525" t="s">
        <v>916</v>
      </c>
      <c r="K2057" s="548">
        <v>113931195</v>
      </c>
      <c r="L2057" s="549">
        <v>100</v>
      </c>
      <c r="M2057" s="549">
        <f>-E2057/(N2057*O2057)*100</f>
        <v>100</v>
      </c>
      <c r="N2057" s="549">
        <v>2100000</v>
      </c>
      <c r="O2057" s="539">
        <v>1000</v>
      </c>
      <c r="P2057" s="539">
        <v>100</v>
      </c>
      <c r="T2057" s="553">
        <v>14.3</v>
      </c>
      <c r="U2057" s="538">
        <v>0</v>
      </c>
      <c r="V2057" s="538">
        <v>0</v>
      </c>
      <c r="W2057" s="550">
        <f>VLOOKUP(G2057,Справочник!A:C,3,0)</f>
        <v>0.14299999999999999</v>
      </c>
      <c r="X2057" s="539" t="str">
        <f>VLOOKUP(G2057,Справочник!A:G,7,0)</f>
        <v>Евразийский Банк Развития</v>
      </c>
      <c r="Y2057" s="551">
        <f>VLOOKUP(G2057,Справочник!A:B,2,0)</f>
        <v>46633</v>
      </c>
    </row>
    <row r="2058" spans="1:25">
      <c r="A2058" s="499">
        <v>45538</v>
      </c>
      <c r="B2058" s="499">
        <v>45538</v>
      </c>
      <c r="C2058" s="500" t="s">
        <v>173</v>
      </c>
      <c r="D2058" s="500" t="s">
        <v>763</v>
      </c>
      <c r="E2058" s="501">
        <v>-4000130456</v>
      </c>
      <c r="F2058" s="502" t="s">
        <v>878</v>
      </c>
      <c r="G2058" s="100" t="s">
        <v>647</v>
      </c>
      <c r="H2058" s="530"/>
      <c r="I2058" s="525"/>
      <c r="K2058" s="548"/>
      <c r="L2058" s="548"/>
      <c r="M2058" s="548"/>
      <c r="N2058" s="552"/>
      <c r="Y2058" s="551"/>
    </row>
    <row r="2059" spans="1:25">
      <c r="A2059" s="499">
        <v>45538</v>
      </c>
      <c r="B2059" s="499">
        <v>45538</v>
      </c>
      <c r="C2059" s="500" t="s">
        <v>173</v>
      </c>
      <c r="D2059" s="500" t="s">
        <v>763</v>
      </c>
      <c r="E2059" s="501">
        <v>-1815905496.24</v>
      </c>
      <c r="F2059" s="502" t="s">
        <v>878</v>
      </c>
      <c r="G2059" s="100" t="s">
        <v>422</v>
      </c>
      <c r="H2059" s="530"/>
      <c r="I2059" s="525"/>
      <c r="K2059" s="548"/>
      <c r="L2059" s="548"/>
      <c r="M2059" s="548"/>
      <c r="N2059" s="552"/>
      <c r="Y2059" s="551"/>
    </row>
    <row r="2060" spans="1:25">
      <c r="A2060" s="499">
        <v>45538</v>
      </c>
      <c r="B2060" s="499">
        <v>45538</v>
      </c>
      <c r="C2060" s="500" t="s">
        <v>173</v>
      </c>
      <c r="D2060" s="500" t="s">
        <v>763</v>
      </c>
      <c r="E2060" s="501">
        <v>-473085043.60000002</v>
      </c>
      <c r="F2060" s="502" t="s">
        <v>878</v>
      </c>
      <c r="G2060" s="100" t="s">
        <v>634</v>
      </c>
      <c r="H2060" s="530"/>
      <c r="I2060" s="525"/>
      <c r="K2060" s="548"/>
      <c r="L2060" s="548"/>
      <c r="M2060" s="548"/>
      <c r="N2060" s="552"/>
      <c r="Y2060" s="551"/>
    </row>
    <row r="2061" spans="1:25">
      <c r="A2061" s="499">
        <v>45538</v>
      </c>
      <c r="B2061" s="499">
        <v>45538</v>
      </c>
      <c r="C2061" s="500" t="s">
        <v>173</v>
      </c>
      <c r="D2061" s="500" t="s">
        <v>763</v>
      </c>
      <c r="E2061" s="501">
        <v>-1000498.9</v>
      </c>
      <c r="F2061" s="502" t="s">
        <v>878</v>
      </c>
      <c r="G2061" s="100" t="s">
        <v>422</v>
      </c>
      <c r="H2061" s="530"/>
      <c r="I2061" s="525"/>
      <c r="K2061" s="548"/>
      <c r="L2061" s="548"/>
      <c r="M2061" s="548"/>
      <c r="N2061" s="552"/>
      <c r="Y2061" s="551"/>
    </row>
    <row r="2062" spans="1:25">
      <c r="A2062" s="499">
        <v>45538</v>
      </c>
      <c r="B2062" s="499">
        <v>45538</v>
      </c>
      <c r="C2062" s="500" t="s">
        <v>173</v>
      </c>
      <c r="D2062" s="500" t="s">
        <v>763</v>
      </c>
      <c r="E2062" s="501">
        <v>-26004674.699999999</v>
      </c>
      <c r="F2062" s="502" t="s">
        <v>878</v>
      </c>
      <c r="G2062" s="100" t="s">
        <v>634</v>
      </c>
      <c r="H2062" s="530"/>
      <c r="I2062" s="525"/>
      <c r="K2062" s="548"/>
      <c r="L2062" s="548"/>
      <c r="M2062" s="548"/>
      <c r="N2062" s="552"/>
      <c r="Y2062" s="551"/>
    </row>
    <row r="2063" spans="1:25">
      <c r="A2063" s="499">
        <v>45538</v>
      </c>
      <c r="B2063" s="499">
        <v>45539</v>
      </c>
      <c r="C2063" s="500" t="s">
        <v>173</v>
      </c>
      <c r="D2063" s="500" t="s">
        <v>763</v>
      </c>
      <c r="E2063" s="501">
        <v>4001565639.4200001</v>
      </c>
      <c r="F2063" s="502" t="s">
        <v>878</v>
      </c>
      <c r="G2063" s="100" t="s">
        <v>647</v>
      </c>
      <c r="H2063" s="530"/>
      <c r="I2063" s="525"/>
      <c r="K2063" s="548"/>
      <c r="L2063" s="548"/>
      <c r="M2063" s="548"/>
      <c r="N2063" s="552"/>
      <c r="Y2063" s="551"/>
    </row>
    <row r="2064" spans="1:25">
      <c r="A2064" s="499">
        <v>45538</v>
      </c>
      <c r="B2064" s="499">
        <v>45539</v>
      </c>
      <c r="C2064" s="500" t="s">
        <v>173</v>
      </c>
      <c r="D2064" s="500" t="s">
        <v>763</v>
      </c>
      <c r="E2064" s="501">
        <v>1816557009.3900001</v>
      </c>
      <c r="F2064" s="502" t="s">
        <v>878</v>
      </c>
      <c r="G2064" s="100" t="s">
        <v>422</v>
      </c>
      <c r="H2064" s="530"/>
      <c r="I2064" s="525"/>
      <c r="K2064" s="548"/>
      <c r="L2064" s="548"/>
      <c r="M2064" s="548"/>
      <c r="N2064" s="552"/>
      <c r="Y2064" s="551"/>
    </row>
    <row r="2065" spans="1:25">
      <c r="A2065" s="499">
        <v>45538</v>
      </c>
      <c r="B2065" s="499">
        <v>45539</v>
      </c>
      <c r="C2065" s="500" t="s">
        <v>173</v>
      </c>
      <c r="D2065" s="500" t="s">
        <v>763</v>
      </c>
      <c r="E2065" s="501">
        <v>473254776.43000001</v>
      </c>
      <c r="F2065" s="502" t="s">
        <v>878</v>
      </c>
      <c r="G2065" s="100" t="s">
        <v>634</v>
      </c>
      <c r="H2065" s="530"/>
      <c r="I2065" s="525"/>
      <c r="K2065" s="548"/>
      <c r="L2065" s="548"/>
      <c r="M2065" s="548"/>
      <c r="N2065" s="552"/>
      <c r="Y2065" s="551"/>
    </row>
    <row r="2066" spans="1:25">
      <c r="A2066" s="499">
        <v>45538</v>
      </c>
      <c r="B2066" s="499">
        <v>45539</v>
      </c>
      <c r="C2066" s="500" t="s">
        <v>173</v>
      </c>
      <c r="D2066" s="500" t="s">
        <v>763</v>
      </c>
      <c r="E2066" s="501">
        <v>1000849.08</v>
      </c>
      <c r="F2066" s="502" t="s">
        <v>878</v>
      </c>
      <c r="G2066" s="100" t="s">
        <v>422</v>
      </c>
      <c r="H2066" s="530"/>
      <c r="I2066" s="525"/>
      <c r="K2066" s="548"/>
      <c r="L2066" s="548"/>
      <c r="M2066" s="548"/>
      <c r="N2066" s="552"/>
      <c r="Y2066" s="551"/>
    </row>
    <row r="2067" spans="1:25">
      <c r="A2067" s="499">
        <v>45538</v>
      </c>
      <c r="B2067" s="499">
        <v>45539</v>
      </c>
      <c r="C2067" s="500" t="s">
        <v>173</v>
      </c>
      <c r="D2067" s="500" t="s">
        <v>763</v>
      </c>
      <c r="E2067" s="501">
        <v>26014003.699999999</v>
      </c>
      <c r="F2067" s="502" t="s">
        <v>878</v>
      </c>
      <c r="G2067" s="100" t="s">
        <v>634</v>
      </c>
      <c r="H2067" s="530"/>
      <c r="I2067" s="525"/>
      <c r="K2067" s="548"/>
      <c r="L2067" s="548"/>
      <c r="M2067" s="548"/>
      <c r="N2067" s="552"/>
      <c r="Y2067" s="551"/>
    </row>
    <row r="2068" spans="1:25">
      <c r="A2068" s="499">
        <v>45539</v>
      </c>
      <c r="B2068" s="499">
        <v>45539</v>
      </c>
      <c r="C2068" s="500" t="s">
        <v>173</v>
      </c>
      <c r="D2068" s="500" t="s">
        <v>762</v>
      </c>
      <c r="E2068" s="501">
        <v>-33021025.489999998</v>
      </c>
      <c r="F2068" s="502" t="s">
        <v>878</v>
      </c>
      <c r="G2068" s="100" t="s">
        <v>716</v>
      </c>
      <c r="H2068" s="530"/>
      <c r="I2068" s="525"/>
      <c r="K2068" s="548"/>
      <c r="L2068" s="548"/>
      <c r="M2068" s="548"/>
      <c r="N2068" s="552"/>
      <c r="Y2068" s="551"/>
    </row>
    <row r="2069" spans="1:25">
      <c r="A2069" s="499">
        <v>45539</v>
      </c>
      <c r="B2069" s="499">
        <v>45539</v>
      </c>
      <c r="C2069" s="500" t="s">
        <v>173</v>
      </c>
      <c r="D2069" s="500" t="s">
        <v>762</v>
      </c>
      <c r="E2069" s="501">
        <v>-7615201122.9700003</v>
      </c>
      <c r="F2069" s="502" t="s">
        <v>878</v>
      </c>
      <c r="G2069" s="100" t="s">
        <v>633</v>
      </c>
      <c r="H2069" s="530"/>
      <c r="I2069" s="525"/>
      <c r="K2069" s="548"/>
      <c r="L2069" s="548"/>
      <c r="M2069" s="548"/>
      <c r="N2069" s="552"/>
      <c r="Y2069" s="551"/>
    </row>
    <row r="2070" spans="1:25">
      <c r="A2070" s="499">
        <v>45539</v>
      </c>
      <c r="B2070" s="499">
        <v>45540</v>
      </c>
      <c r="C2070" s="500" t="s">
        <v>173</v>
      </c>
      <c r="D2070" s="500" t="s">
        <v>762</v>
      </c>
      <c r="E2070" s="501">
        <v>33032758.780000001</v>
      </c>
      <c r="F2070" s="502" t="s">
        <v>878</v>
      </c>
      <c r="G2070" s="100" t="s">
        <v>716</v>
      </c>
      <c r="H2070" s="530"/>
      <c r="I2070" s="525"/>
      <c r="K2070" s="548"/>
      <c r="L2070" s="548"/>
      <c r="M2070" s="548"/>
      <c r="N2070" s="552"/>
      <c r="Y2070" s="551"/>
    </row>
    <row r="2071" spans="1:25">
      <c r="A2071" s="499">
        <v>45539</v>
      </c>
      <c r="B2071" s="499">
        <v>45540</v>
      </c>
      <c r="C2071" s="500" t="s">
        <v>173</v>
      </c>
      <c r="D2071" s="500" t="s">
        <v>762</v>
      </c>
      <c r="E2071" s="501">
        <v>7617906808.0900002</v>
      </c>
      <c r="F2071" s="502" t="s">
        <v>878</v>
      </c>
      <c r="G2071" s="100" t="s">
        <v>633</v>
      </c>
      <c r="H2071" s="530"/>
      <c r="I2071" s="525"/>
      <c r="K2071" s="548"/>
      <c r="L2071" s="548"/>
      <c r="M2071" s="548"/>
      <c r="N2071" s="552"/>
      <c r="Y2071" s="551"/>
    </row>
    <row r="2072" spans="1:25">
      <c r="A2072" s="499">
        <v>45539</v>
      </c>
      <c r="B2072" s="499">
        <v>45539</v>
      </c>
      <c r="C2072" s="500" t="s">
        <v>173</v>
      </c>
      <c r="D2072" s="500" t="s">
        <v>761</v>
      </c>
      <c r="E2072" s="501">
        <v>-969302120.63</v>
      </c>
      <c r="F2072" s="502" t="s">
        <v>878</v>
      </c>
      <c r="G2072" s="100" t="s">
        <v>448</v>
      </c>
      <c r="H2072" s="530"/>
      <c r="I2072" s="525"/>
      <c r="K2072" s="548"/>
      <c r="L2072" s="548"/>
      <c r="M2072" s="548"/>
      <c r="N2072" s="552"/>
      <c r="Y2072" s="551"/>
    </row>
    <row r="2073" spans="1:25">
      <c r="A2073" s="499">
        <v>45539</v>
      </c>
      <c r="B2073" s="499">
        <v>45539</v>
      </c>
      <c r="C2073" s="500" t="s">
        <v>173</v>
      </c>
      <c r="D2073" s="500" t="s">
        <v>761</v>
      </c>
      <c r="E2073" s="501">
        <v>-443008199.75</v>
      </c>
      <c r="F2073" s="502" t="s">
        <v>878</v>
      </c>
      <c r="G2073" s="100" t="s">
        <v>139</v>
      </c>
      <c r="H2073" s="530"/>
      <c r="I2073" s="525"/>
      <c r="K2073" s="548"/>
      <c r="L2073" s="548"/>
      <c r="M2073" s="548"/>
      <c r="N2073" s="552"/>
      <c r="Y2073" s="551"/>
    </row>
    <row r="2074" spans="1:25">
      <c r="A2074" s="499">
        <v>45539</v>
      </c>
      <c r="B2074" s="499">
        <v>45539</v>
      </c>
      <c r="C2074" s="500" t="s">
        <v>173</v>
      </c>
      <c r="D2074" s="500" t="s">
        <v>761</v>
      </c>
      <c r="E2074" s="501">
        <v>-181005278.75999999</v>
      </c>
      <c r="F2074" s="502" t="s">
        <v>878</v>
      </c>
      <c r="G2074" s="100" t="s">
        <v>834</v>
      </c>
      <c r="H2074" s="530"/>
      <c r="I2074" s="525"/>
      <c r="K2074" s="548"/>
      <c r="L2074" s="548"/>
      <c r="M2074" s="548"/>
      <c r="N2074" s="552"/>
      <c r="Y2074" s="551"/>
    </row>
    <row r="2075" spans="1:25">
      <c r="A2075" s="499">
        <v>45539</v>
      </c>
      <c r="B2075" s="499">
        <v>45539</v>
      </c>
      <c r="C2075" s="500" t="s">
        <v>173</v>
      </c>
      <c r="D2075" s="500" t="s">
        <v>761</v>
      </c>
      <c r="E2075" s="501">
        <v>-58001073.560000002</v>
      </c>
      <c r="F2075" s="502" t="s">
        <v>878</v>
      </c>
      <c r="G2075" s="100" t="s">
        <v>139</v>
      </c>
      <c r="H2075" s="530"/>
      <c r="I2075" s="525"/>
      <c r="K2075" s="548"/>
      <c r="L2075" s="548"/>
      <c r="M2075" s="548"/>
      <c r="N2075" s="552"/>
      <c r="Y2075" s="551"/>
    </row>
    <row r="2076" spans="1:25">
      <c r="A2076" s="499">
        <v>45539</v>
      </c>
      <c r="B2076" s="499">
        <v>45539</v>
      </c>
      <c r="C2076" s="500" t="s">
        <v>173</v>
      </c>
      <c r="D2076" s="500" t="s">
        <v>761</v>
      </c>
      <c r="E2076" s="501">
        <v>-52022255.579999998</v>
      </c>
      <c r="F2076" s="502" t="s">
        <v>878</v>
      </c>
      <c r="G2076" s="100" t="s">
        <v>453</v>
      </c>
      <c r="H2076" s="530"/>
      <c r="I2076" s="525"/>
      <c r="K2076" s="548"/>
      <c r="L2076" s="548"/>
      <c r="M2076" s="548"/>
      <c r="N2076" s="552"/>
      <c r="Y2076" s="551"/>
    </row>
    <row r="2077" spans="1:25">
      <c r="A2077" s="499">
        <v>45539</v>
      </c>
      <c r="B2077" s="499">
        <v>45539</v>
      </c>
      <c r="C2077" s="500" t="s">
        <v>173</v>
      </c>
      <c r="D2077" s="500" t="s">
        <v>761</v>
      </c>
      <c r="E2077" s="501">
        <v>-32034868.219999999</v>
      </c>
      <c r="F2077" s="502" t="s">
        <v>878</v>
      </c>
      <c r="G2077" s="100" t="s">
        <v>548</v>
      </c>
      <c r="H2077" s="530"/>
      <c r="I2077" s="525"/>
      <c r="K2077" s="548"/>
      <c r="L2077" s="548"/>
      <c r="M2077" s="548"/>
      <c r="N2077" s="552"/>
      <c r="Y2077" s="551"/>
    </row>
    <row r="2078" spans="1:25">
      <c r="A2078" s="499">
        <v>45539</v>
      </c>
      <c r="B2078" s="499">
        <v>45539</v>
      </c>
      <c r="C2078" s="500" t="s">
        <v>173</v>
      </c>
      <c r="D2078" s="500" t="s">
        <v>761</v>
      </c>
      <c r="E2078" s="501">
        <v>-41029670.880000003</v>
      </c>
      <c r="F2078" s="502" t="s">
        <v>878</v>
      </c>
      <c r="G2078" s="100" t="s">
        <v>601</v>
      </c>
      <c r="H2078" s="530"/>
      <c r="I2078" s="525"/>
      <c r="K2078" s="548"/>
      <c r="L2078" s="548"/>
      <c r="M2078" s="548"/>
      <c r="N2078" s="552"/>
      <c r="Y2078" s="551"/>
    </row>
    <row r="2079" spans="1:25">
      <c r="A2079" s="499">
        <v>45539</v>
      </c>
      <c r="B2079" s="499">
        <v>45539</v>
      </c>
      <c r="C2079" s="500" t="s">
        <v>173</v>
      </c>
      <c r="D2079" s="500" t="s">
        <v>761</v>
      </c>
      <c r="E2079" s="501">
        <v>-7001104.2599999998</v>
      </c>
      <c r="F2079" s="502" t="s">
        <v>878</v>
      </c>
      <c r="G2079" s="100" t="s">
        <v>634</v>
      </c>
      <c r="H2079" s="530"/>
      <c r="I2079" s="525"/>
      <c r="K2079" s="548"/>
      <c r="L2079" s="548"/>
      <c r="M2079" s="548"/>
      <c r="N2079" s="552"/>
      <c r="Y2079" s="551"/>
    </row>
    <row r="2080" spans="1:25">
      <c r="A2080" s="499">
        <v>45539</v>
      </c>
      <c r="B2080" s="499">
        <v>45546</v>
      </c>
      <c r="C2080" s="500" t="s">
        <v>173</v>
      </c>
      <c r="D2080" s="500" t="s">
        <v>761</v>
      </c>
      <c r="E2080" s="501">
        <v>971775165.22000003</v>
      </c>
      <c r="F2080" s="502" t="s">
        <v>878</v>
      </c>
      <c r="G2080" s="100" t="s">
        <v>448</v>
      </c>
      <c r="H2080" s="530"/>
      <c r="I2080" s="525"/>
      <c r="K2080" s="548"/>
      <c r="L2080" s="548">
        <v>-1</v>
      </c>
      <c r="M2080" s="548"/>
      <c r="N2080" s="552"/>
      <c r="Y2080" s="551"/>
    </row>
    <row r="2081" spans="1:25">
      <c r="A2081" s="499">
        <v>45539</v>
      </c>
      <c r="B2081" s="499">
        <v>45540</v>
      </c>
      <c r="C2081" s="500" t="s">
        <v>173</v>
      </c>
      <c r="D2081" s="500" t="s">
        <v>761</v>
      </c>
      <c r="E2081" s="501">
        <v>443166036.55000001</v>
      </c>
      <c r="F2081" s="502" t="s">
        <v>878</v>
      </c>
      <c r="G2081" s="100" t="s">
        <v>139</v>
      </c>
      <c r="H2081" s="530"/>
      <c r="I2081" s="525"/>
      <c r="K2081" s="548"/>
      <c r="L2081" s="548"/>
      <c r="M2081" s="548"/>
      <c r="N2081" s="552"/>
      <c r="Y2081" s="551"/>
    </row>
    <row r="2082" spans="1:25">
      <c r="A2082" s="499">
        <v>45539</v>
      </c>
      <c r="B2082" s="499">
        <v>45546</v>
      </c>
      <c r="C2082" s="500" t="s">
        <v>173</v>
      </c>
      <c r="D2082" s="500" t="s">
        <v>761</v>
      </c>
      <c r="E2082" s="501">
        <v>181468820.41999999</v>
      </c>
      <c r="F2082" s="502" t="s">
        <v>878</v>
      </c>
      <c r="G2082" s="100" t="s">
        <v>834</v>
      </c>
      <c r="H2082" s="530"/>
      <c r="I2082" s="525"/>
      <c r="K2082" s="548"/>
      <c r="L2082" s="548"/>
      <c r="M2082" s="548"/>
      <c r="N2082" s="552"/>
      <c r="Y2082" s="551"/>
    </row>
    <row r="2083" spans="1:25">
      <c r="A2083" s="499">
        <v>45539</v>
      </c>
      <c r="B2083" s="499">
        <v>45540</v>
      </c>
      <c r="C2083" s="500" t="s">
        <v>173</v>
      </c>
      <c r="D2083" s="500" t="s">
        <v>761</v>
      </c>
      <c r="E2083" s="501">
        <v>58022055.369999997</v>
      </c>
      <c r="F2083" s="502" t="s">
        <v>878</v>
      </c>
      <c r="G2083" s="100" t="s">
        <v>139</v>
      </c>
      <c r="H2083" s="530"/>
      <c r="I2083" s="525"/>
      <c r="K2083" s="548"/>
      <c r="L2083" s="548"/>
      <c r="M2083" s="548"/>
      <c r="N2083" s="552"/>
      <c r="Y2083" s="551"/>
    </row>
    <row r="2084" spans="1:25">
      <c r="A2084" s="499">
        <v>45539</v>
      </c>
      <c r="B2084" s="499">
        <v>45546</v>
      </c>
      <c r="C2084" s="500" t="s">
        <v>173</v>
      </c>
      <c r="D2084" s="500" t="s">
        <v>761</v>
      </c>
      <c r="E2084" s="501">
        <v>52155480.880000003</v>
      </c>
      <c r="F2084" s="502" t="s">
        <v>878</v>
      </c>
      <c r="G2084" s="100" t="s">
        <v>453</v>
      </c>
      <c r="H2084" s="530"/>
      <c r="I2084" s="525"/>
      <c r="K2084" s="548"/>
      <c r="L2084" s="548"/>
      <c r="M2084" s="548"/>
      <c r="N2084" s="552"/>
      <c r="Y2084" s="551"/>
    </row>
    <row r="2085" spans="1:25">
      <c r="A2085" s="499">
        <v>45539</v>
      </c>
      <c r="B2085" s="499">
        <v>45546</v>
      </c>
      <c r="C2085" s="500" t="s">
        <v>173</v>
      </c>
      <c r="D2085" s="500" t="s">
        <v>761</v>
      </c>
      <c r="E2085" s="501">
        <v>32116907.239999998</v>
      </c>
      <c r="F2085" s="502" t="s">
        <v>878</v>
      </c>
      <c r="G2085" s="100" t="s">
        <v>548</v>
      </c>
      <c r="H2085" s="530"/>
      <c r="I2085" s="525"/>
      <c r="K2085" s="548"/>
      <c r="L2085" s="548"/>
      <c r="M2085" s="548"/>
      <c r="N2085" s="552"/>
      <c r="Y2085" s="551"/>
    </row>
    <row r="2086" spans="1:25">
      <c r="A2086" s="499">
        <v>45539</v>
      </c>
      <c r="B2086" s="499">
        <v>45546</v>
      </c>
      <c r="C2086" s="500" t="s">
        <v>173</v>
      </c>
      <c r="D2086" s="500" t="s">
        <v>761</v>
      </c>
      <c r="E2086" s="501">
        <v>41134744.950000003</v>
      </c>
      <c r="F2086" s="502" t="s">
        <v>878</v>
      </c>
      <c r="G2086" s="100" t="s">
        <v>601</v>
      </c>
      <c r="H2086" s="530"/>
      <c r="I2086" s="525"/>
      <c r="K2086" s="548"/>
      <c r="L2086" s="548"/>
      <c r="M2086" s="548"/>
      <c r="N2086" s="552"/>
      <c r="Y2086" s="551"/>
    </row>
    <row r="2087" spans="1:25">
      <c r="A2087" s="499">
        <v>45539</v>
      </c>
      <c r="B2087" s="499">
        <v>45540</v>
      </c>
      <c r="C2087" s="500" t="s">
        <v>173</v>
      </c>
      <c r="D2087" s="500" t="s">
        <v>761</v>
      </c>
      <c r="E2087" s="501">
        <v>7003610.1200000001</v>
      </c>
      <c r="F2087" s="502" t="s">
        <v>878</v>
      </c>
      <c r="G2087" s="100" t="s">
        <v>634</v>
      </c>
      <c r="H2087" s="530"/>
      <c r="I2087" s="525"/>
      <c r="K2087" s="548"/>
      <c r="L2087" s="548"/>
      <c r="M2087" s="548"/>
      <c r="N2087" s="552"/>
      <c r="Y2087" s="551"/>
    </row>
    <row r="2088" spans="1:25">
      <c r="A2088" s="499">
        <v>45539</v>
      </c>
      <c r="B2088" s="499">
        <v>45539</v>
      </c>
      <c r="C2088" s="500" t="s">
        <v>173</v>
      </c>
      <c r="D2088" s="500" t="s">
        <v>759</v>
      </c>
      <c r="E2088" s="501">
        <v>-9000166.5899999999</v>
      </c>
      <c r="F2088" s="502" t="s">
        <v>878</v>
      </c>
      <c r="G2088" s="100" t="s">
        <v>139</v>
      </c>
      <c r="H2088" s="484"/>
      <c r="I2088" s="525"/>
      <c r="K2088" s="548"/>
      <c r="L2088" s="548"/>
      <c r="M2088" s="548"/>
      <c r="N2088" s="552"/>
      <c r="Y2088" s="551"/>
    </row>
    <row r="2089" spans="1:25">
      <c r="A2089" s="499">
        <v>45539</v>
      </c>
      <c r="B2089" s="499">
        <v>45539</v>
      </c>
      <c r="C2089" s="500" t="s">
        <v>173</v>
      </c>
      <c r="D2089" s="500" t="s">
        <v>759</v>
      </c>
      <c r="E2089" s="501">
        <v>-1899299570.8599999</v>
      </c>
      <c r="F2089" s="502" t="s">
        <v>878</v>
      </c>
      <c r="G2089" s="100" t="s">
        <v>634</v>
      </c>
      <c r="H2089" s="484"/>
      <c r="I2089" s="525"/>
      <c r="K2089" s="548"/>
      <c r="L2089" s="548"/>
      <c r="M2089" s="548"/>
      <c r="N2089" s="552"/>
      <c r="Y2089" s="551"/>
    </row>
    <row r="2090" spans="1:25">
      <c r="A2090" s="499">
        <v>45539</v>
      </c>
      <c r="B2090" s="499">
        <v>45540</v>
      </c>
      <c r="C2090" s="500" t="s">
        <v>173</v>
      </c>
      <c r="D2090" s="500" t="s">
        <v>759</v>
      </c>
      <c r="E2090" s="501">
        <v>9003387.9600000009</v>
      </c>
      <c r="F2090" s="502" t="s">
        <v>878</v>
      </c>
      <c r="G2090" s="100" t="s">
        <v>139</v>
      </c>
      <c r="H2090" s="530"/>
      <c r="I2090" s="525"/>
      <c r="K2090" s="548"/>
      <c r="L2090" s="548"/>
      <c r="M2090" s="548"/>
      <c r="N2090" s="552"/>
      <c r="Y2090" s="551"/>
    </row>
    <row r="2091" spans="1:25">
      <c r="A2091" s="499">
        <v>45539</v>
      </c>
      <c r="B2091" s="499">
        <v>45540</v>
      </c>
      <c r="C2091" s="500" t="s">
        <v>173</v>
      </c>
      <c r="D2091" s="500" t="s">
        <v>759</v>
      </c>
      <c r="E2091" s="501">
        <v>1899976256.01</v>
      </c>
      <c r="F2091" s="502" t="s">
        <v>878</v>
      </c>
      <c r="G2091" s="100" t="s">
        <v>634</v>
      </c>
      <c r="H2091" s="530"/>
      <c r="I2091" s="525"/>
      <c r="K2091" s="548"/>
      <c r="L2091" s="548"/>
      <c r="M2091" s="548"/>
      <c r="N2091" s="552"/>
      <c r="Y2091" s="551"/>
    </row>
    <row r="2092" spans="1:25">
      <c r="A2092" s="499">
        <v>45539</v>
      </c>
      <c r="B2092" s="499">
        <v>45539</v>
      </c>
      <c r="C2092" s="500" t="s">
        <v>173</v>
      </c>
      <c r="D2092" s="500" t="s">
        <v>760</v>
      </c>
      <c r="E2092" s="501">
        <v>-2320365984.4099998</v>
      </c>
      <c r="F2092" s="502" t="s">
        <v>878</v>
      </c>
      <c r="G2092" s="100" t="s">
        <v>634</v>
      </c>
      <c r="H2092" s="530"/>
      <c r="I2092" s="525"/>
      <c r="K2092" s="548"/>
      <c r="L2092" s="548"/>
      <c r="M2092" s="548"/>
      <c r="N2092" s="552"/>
      <c r="Y2092" s="551"/>
    </row>
    <row r="2093" spans="1:25">
      <c r="A2093" s="499">
        <v>45539</v>
      </c>
      <c r="B2093" s="499">
        <v>45539</v>
      </c>
      <c r="C2093" s="500" t="s">
        <v>173</v>
      </c>
      <c r="D2093" s="500" t="s">
        <v>760</v>
      </c>
      <c r="E2093" s="501">
        <v>-35005521.32</v>
      </c>
      <c r="F2093" s="502" t="s">
        <v>878</v>
      </c>
      <c r="G2093" s="100" t="s">
        <v>634</v>
      </c>
      <c r="H2093" s="530"/>
      <c r="I2093" s="525"/>
      <c r="K2093" s="548"/>
      <c r="L2093" s="548"/>
      <c r="M2093" s="548"/>
      <c r="N2093" s="552"/>
      <c r="Y2093" s="551"/>
    </row>
    <row r="2094" spans="1:25">
      <c r="A2094" s="499">
        <v>45539</v>
      </c>
      <c r="B2094" s="499">
        <v>45540</v>
      </c>
      <c r="C2094" s="500" t="s">
        <v>173</v>
      </c>
      <c r="D2094" s="500" t="s">
        <v>760</v>
      </c>
      <c r="E2094" s="501">
        <v>2321196497.9200001</v>
      </c>
      <c r="F2094" s="502" t="s">
        <v>878</v>
      </c>
      <c r="G2094" s="100" t="s">
        <v>634</v>
      </c>
      <c r="H2094" s="530"/>
      <c r="I2094" s="525"/>
      <c r="K2094" s="548"/>
      <c r="L2094" s="548"/>
      <c r="M2094" s="548"/>
      <c r="N2094" s="552"/>
      <c r="Y2094" s="551"/>
    </row>
    <row r="2095" spans="1:25">
      <c r="A2095" s="499">
        <v>45539</v>
      </c>
      <c r="B2095" s="499">
        <v>45540</v>
      </c>
      <c r="C2095" s="500" t="s">
        <v>173</v>
      </c>
      <c r="D2095" s="500" t="s">
        <v>760</v>
      </c>
      <c r="E2095" s="501">
        <v>35018050.619999997</v>
      </c>
      <c r="F2095" s="502" t="s">
        <v>878</v>
      </c>
      <c r="G2095" s="100" t="s">
        <v>634</v>
      </c>
      <c r="H2095" s="530"/>
      <c r="I2095" s="525"/>
      <c r="K2095" s="548"/>
      <c r="L2095" s="548"/>
      <c r="M2095" s="548"/>
      <c r="N2095" s="552"/>
      <c r="Y2095" s="551"/>
    </row>
    <row r="2096" spans="1:25">
      <c r="A2096" s="499">
        <v>45539</v>
      </c>
      <c r="B2096" s="499">
        <v>45539</v>
      </c>
      <c r="C2096" s="500" t="s">
        <v>173</v>
      </c>
      <c r="D2096" s="500" t="s">
        <v>763</v>
      </c>
      <c r="E2096" s="501">
        <v>-5018237212.5900002</v>
      </c>
      <c r="F2096" s="502" t="s">
        <v>878</v>
      </c>
      <c r="G2096" s="100" t="s">
        <v>822</v>
      </c>
      <c r="H2096" s="530"/>
      <c r="I2096" s="525"/>
      <c r="K2096" s="548"/>
      <c r="L2096" s="548"/>
      <c r="M2096" s="548"/>
      <c r="N2096" s="552"/>
      <c r="Y2096" s="551"/>
    </row>
    <row r="2097" spans="1:25">
      <c r="A2097" s="499">
        <v>45539</v>
      </c>
      <c r="B2097" s="499">
        <v>45539</v>
      </c>
      <c r="C2097" s="500" t="s">
        <v>173</v>
      </c>
      <c r="D2097" s="500" t="s">
        <v>763</v>
      </c>
      <c r="E2097" s="501">
        <v>-1098907668.29</v>
      </c>
      <c r="F2097" s="502" t="s">
        <v>878</v>
      </c>
      <c r="G2097" s="100" t="s">
        <v>494</v>
      </c>
      <c r="H2097" s="530"/>
      <c r="I2097" s="525"/>
      <c r="K2097" s="548"/>
      <c r="L2097" s="548"/>
      <c r="M2097" s="548"/>
      <c r="N2097" s="552"/>
      <c r="Y2097" s="551"/>
    </row>
    <row r="2098" spans="1:25">
      <c r="A2098" s="499">
        <v>45539</v>
      </c>
      <c r="B2098" s="499">
        <v>45539</v>
      </c>
      <c r="C2098" s="500" t="s">
        <v>173</v>
      </c>
      <c r="D2098" s="500" t="s">
        <v>763</v>
      </c>
      <c r="E2098" s="501">
        <v>-176024189.09</v>
      </c>
      <c r="F2098" s="502" t="s">
        <v>878</v>
      </c>
      <c r="G2098" s="100" t="s">
        <v>476</v>
      </c>
      <c r="H2098" s="530"/>
      <c r="I2098" s="525"/>
      <c r="K2098" s="548"/>
      <c r="L2098" s="548"/>
      <c r="M2098" s="548"/>
      <c r="N2098" s="552"/>
      <c r="Y2098" s="551"/>
    </row>
    <row r="2099" spans="1:25">
      <c r="A2099" s="499">
        <v>45539</v>
      </c>
      <c r="B2099" s="499">
        <v>45539</v>
      </c>
      <c r="C2099" s="500" t="s">
        <v>173</v>
      </c>
      <c r="D2099" s="500" t="s">
        <v>763</v>
      </c>
      <c r="E2099" s="501">
        <v>-25020666.399999999</v>
      </c>
      <c r="F2099" s="502" t="s">
        <v>878</v>
      </c>
      <c r="G2099" s="100" t="s">
        <v>494</v>
      </c>
      <c r="H2099" s="530"/>
      <c r="I2099" s="525"/>
      <c r="K2099" s="548"/>
      <c r="L2099" s="548"/>
      <c r="M2099" s="548"/>
      <c r="N2099" s="552"/>
      <c r="Y2099" s="551"/>
    </row>
    <row r="2100" spans="1:25">
      <c r="A2100" s="499">
        <v>45539</v>
      </c>
      <c r="B2100" s="499">
        <v>45540</v>
      </c>
      <c r="C2100" s="500" t="s">
        <v>173</v>
      </c>
      <c r="D2100" s="500" t="s">
        <v>763</v>
      </c>
      <c r="E2100" s="501">
        <v>5020019728.8400002</v>
      </c>
      <c r="F2100" s="502" t="s">
        <v>878</v>
      </c>
      <c r="G2100" s="100" t="s">
        <v>822</v>
      </c>
      <c r="H2100" s="530"/>
      <c r="I2100" s="525"/>
      <c r="K2100" s="548"/>
      <c r="L2100" s="548"/>
      <c r="M2100" s="548"/>
      <c r="N2100" s="552"/>
      <c r="Y2100" s="551"/>
    </row>
    <row r="2101" spans="1:25">
      <c r="A2101" s="499">
        <v>45539</v>
      </c>
      <c r="B2101" s="499">
        <v>45540</v>
      </c>
      <c r="C2101" s="500" t="s">
        <v>173</v>
      </c>
      <c r="D2101" s="500" t="s">
        <v>763</v>
      </c>
      <c r="E2101" s="501">
        <v>1099298005.7</v>
      </c>
      <c r="F2101" s="502" t="s">
        <v>878</v>
      </c>
      <c r="G2101" s="100" t="s">
        <v>494</v>
      </c>
      <c r="H2101" s="530"/>
      <c r="I2101" s="525"/>
      <c r="K2101" s="548"/>
      <c r="L2101" s="548"/>
      <c r="M2101" s="548"/>
      <c r="N2101" s="552"/>
      <c r="Y2101" s="551"/>
    </row>
    <row r="2102" spans="1:25">
      <c r="A2102" s="499">
        <v>45539</v>
      </c>
      <c r="B2102" s="499">
        <v>45540</v>
      </c>
      <c r="C2102" s="500" t="s">
        <v>173</v>
      </c>
      <c r="D2102" s="500" t="s">
        <v>763</v>
      </c>
      <c r="E2102" s="501">
        <v>176086713.75</v>
      </c>
      <c r="F2102" s="502" t="s">
        <v>878</v>
      </c>
      <c r="G2102" s="100" t="s">
        <v>476</v>
      </c>
      <c r="H2102" s="530"/>
      <c r="I2102" s="525"/>
      <c r="K2102" s="548"/>
      <c r="L2102" s="548"/>
      <c r="M2102" s="548"/>
      <c r="N2102" s="552"/>
      <c r="Y2102" s="551"/>
    </row>
    <row r="2103" spans="1:25">
      <c r="A2103" s="499">
        <v>45539</v>
      </c>
      <c r="B2103" s="499">
        <v>45540</v>
      </c>
      <c r="C2103" s="500" t="s">
        <v>173</v>
      </c>
      <c r="D2103" s="500" t="s">
        <v>763</v>
      </c>
      <c r="E2103" s="501">
        <v>25029553.859999999</v>
      </c>
      <c r="F2103" s="502" t="s">
        <v>878</v>
      </c>
      <c r="G2103" s="100" t="s">
        <v>494</v>
      </c>
      <c r="H2103" s="530"/>
      <c r="I2103" s="525"/>
      <c r="K2103" s="548"/>
      <c r="L2103" s="548"/>
      <c r="M2103" s="548"/>
      <c r="N2103" s="552"/>
      <c r="Y2103" s="551"/>
    </row>
    <row r="2104" spans="1:25">
      <c r="A2104" s="499">
        <v>45540</v>
      </c>
      <c r="B2104" s="499">
        <v>45540</v>
      </c>
      <c r="C2104" s="500" t="s">
        <v>173</v>
      </c>
      <c r="D2104" s="500" t="s">
        <v>762</v>
      </c>
      <c r="E2104" s="501">
        <v>-7619177205.1999998</v>
      </c>
      <c r="F2104" s="502" t="s">
        <v>878</v>
      </c>
      <c r="G2104" s="100" t="s">
        <v>682</v>
      </c>
      <c r="H2104" s="530"/>
      <c r="I2104" s="525"/>
      <c r="K2104" s="548"/>
      <c r="L2104" s="548"/>
      <c r="M2104" s="548"/>
      <c r="N2104" s="552"/>
      <c r="Y2104" s="551"/>
    </row>
    <row r="2105" spans="1:25">
      <c r="A2105" s="499">
        <v>45540</v>
      </c>
      <c r="B2105" s="499">
        <v>45540</v>
      </c>
      <c r="C2105" s="500" t="s">
        <v>173</v>
      </c>
      <c r="D2105" s="500" t="s">
        <v>762</v>
      </c>
      <c r="E2105" s="501">
        <v>-33009432.559999999</v>
      </c>
      <c r="F2105" s="502" t="s">
        <v>878</v>
      </c>
      <c r="G2105" s="100" t="s">
        <v>682</v>
      </c>
      <c r="H2105" s="530"/>
      <c r="I2105" s="525"/>
      <c r="K2105" s="548"/>
      <c r="L2105" s="548"/>
      <c r="M2105" s="548"/>
      <c r="N2105" s="552"/>
      <c r="Y2105" s="551"/>
    </row>
    <row r="2106" spans="1:25">
      <c r="A2106" s="499">
        <v>45540</v>
      </c>
      <c r="B2106" s="499">
        <v>45541</v>
      </c>
      <c r="C2106" s="500" t="s">
        <v>173</v>
      </c>
      <c r="D2106" s="500" t="s">
        <v>762</v>
      </c>
      <c r="E2106" s="501">
        <v>7621927186.9200001</v>
      </c>
      <c r="F2106" s="502" t="s">
        <v>878</v>
      </c>
      <c r="G2106" s="100" t="s">
        <v>682</v>
      </c>
      <c r="H2106" s="530"/>
      <c r="I2106" s="525"/>
      <c r="K2106" s="548"/>
      <c r="L2106" s="548"/>
      <c r="M2106" s="548"/>
      <c r="N2106" s="552"/>
      <c r="Y2106" s="551"/>
    </row>
    <row r="2107" spans="1:25">
      <c r="A2107" s="499">
        <v>45540</v>
      </c>
      <c r="B2107" s="499">
        <v>45541</v>
      </c>
      <c r="C2107" s="500" t="s">
        <v>173</v>
      </c>
      <c r="D2107" s="500" t="s">
        <v>762</v>
      </c>
      <c r="E2107" s="501">
        <v>33021346.620000001</v>
      </c>
      <c r="F2107" s="502" t="s">
        <v>878</v>
      </c>
      <c r="G2107" s="100" t="s">
        <v>682</v>
      </c>
      <c r="H2107" s="530"/>
      <c r="I2107" s="525"/>
      <c r="K2107" s="548"/>
      <c r="L2107" s="548"/>
      <c r="M2107" s="548"/>
      <c r="N2107" s="552"/>
      <c r="Y2107" s="551"/>
    </row>
    <row r="2108" spans="1:25">
      <c r="A2108" s="499">
        <v>45540</v>
      </c>
      <c r="B2108" s="499">
        <v>45540</v>
      </c>
      <c r="C2108" s="500" t="s">
        <v>173</v>
      </c>
      <c r="D2108" s="500" t="s">
        <v>759</v>
      </c>
      <c r="E2108" s="501">
        <v>-52034673.600000001</v>
      </c>
      <c r="F2108" s="502" t="s">
        <v>878</v>
      </c>
      <c r="G2108" s="100" t="s">
        <v>591</v>
      </c>
      <c r="H2108" s="484"/>
      <c r="I2108" s="525"/>
      <c r="K2108" s="548"/>
      <c r="L2108" s="548"/>
      <c r="M2108" s="548"/>
      <c r="N2108" s="552"/>
      <c r="Y2108" s="551"/>
    </row>
    <row r="2109" spans="1:25">
      <c r="A2109" s="499">
        <v>45540</v>
      </c>
      <c r="B2109" s="499">
        <v>45540</v>
      </c>
      <c r="C2109" s="500" t="s">
        <v>173</v>
      </c>
      <c r="D2109" s="500" t="s">
        <v>759</v>
      </c>
      <c r="E2109" s="501">
        <v>-1075578729.48</v>
      </c>
      <c r="F2109" s="502" t="s">
        <v>878</v>
      </c>
      <c r="G2109" s="100" t="s">
        <v>605</v>
      </c>
      <c r="H2109" s="484"/>
      <c r="I2109" s="525"/>
      <c r="K2109" s="548"/>
      <c r="L2109" s="548"/>
      <c r="M2109" s="548"/>
      <c r="N2109" s="552"/>
      <c r="Y2109" s="551"/>
    </row>
    <row r="2110" spans="1:25">
      <c r="A2110" s="499">
        <v>45540</v>
      </c>
      <c r="B2110" s="499">
        <v>45540</v>
      </c>
      <c r="C2110" s="500" t="s">
        <v>173</v>
      </c>
      <c r="D2110" s="500" t="s">
        <v>759</v>
      </c>
      <c r="E2110" s="501">
        <v>-2558137599.0700002</v>
      </c>
      <c r="F2110" s="502" t="s">
        <v>878</v>
      </c>
      <c r="G2110" s="100" t="s">
        <v>476</v>
      </c>
      <c r="H2110" s="484"/>
      <c r="I2110" s="525"/>
      <c r="K2110" s="548"/>
      <c r="L2110" s="548"/>
      <c r="M2110" s="548"/>
      <c r="N2110" s="552"/>
      <c r="Y2110" s="551"/>
    </row>
    <row r="2111" spans="1:25">
      <c r="A2111" s="499">
        <v>45540</v>
      </c>
      <c r="B2111" s="499">
        <v>45540</v>
      </c>
      <c r="C2111" s="500" t="s">
        <v>173</v>
      </c>
      <c r="D2111" s="500" t="s">
        <v>759</v>
      </c>
      <c r="E2111" s="501">
        <v>-2000089951</v>
      </c>
      <c r="F2111" s="502" t="s">
        <v>878</v>
      </c>
      <c r="G2111" s="100" t="s">
        <v>634</v>
      </c>
      <c r="H2111" s="484"/>
      <c r="I2111" s="525"/>
      <c r="K2111" s="548"/>
      <c r="L2111" s="548"/>
      <c r="M2111" s="548"/>
      <c r="N2111" s="552"/>
      <c r="Y2111" s="551"/>
    </row>
    <row r="2112" spans="1:25">
      <c r="A2112" s="499">
        <v>45540</v>
      </c>
      <c r="B2112" s="499">
        <v>45540</v>
      </c>
      <c r="C2112" s="500" t="s">
        <v>173</v>
      </c>
      <c r="D2112" s="500" t="s">
        <v>759</v>
      </c>
      <c r="E2112" s="501">
        <v>-24012475.199999999</v>
      </c>
      <c r="F2112" s="502" t="s">
        <v>878</v>
      </c>
      <c r="G2112" s="100" t="s">
        <v>75</v>
      </c>
      <c r="H2112" s="484"/>
      <c r="I2112" s="525"/>
      <c r="K2112" s="548"/>
      <c r="L2112" s="548"/>
      <c r="M2112" s="548"/>
      <c r="N2112" s="552"/>
      <c r="Y2112" s="551"/>
    </row>
    <row r="2113" spans="1:25">
      <c r="A2113" s="499">
        <v>45540</v>
      </c>
      <c r="B2113" s="499">
        <v>45547</v>
      </c>
      <c r="C2113" s="500" t="s">
        <v>173</v>
      </c>
      <c r="D2113" s="500" t="s">
        <v>759</v>
      </c>
      <c r="E2113" s="501">
        <v>52167531.630000003</v>
      </c>
      <c r="F2113" s="502" t="s">
        <v>878</v>
      </c>
      <c r="G2113" s="100" t="s">
        <v>591</v>
      </c>
      <c r="H2113" s="530"/>
      <c r="I2113" s="525">
        <v>-1</v>
      </c>
      <c r="K2113" s="548"/>
      <c r="L2113" s="548"/>
      <c r="M2113" s="548"/>
      <c r="N2113" s="552"/>
      <c r="Y2113" s="551"/>
    </row>
    <row r="2114" spans="1:25">
      <c r="A2114" s="499">
        <v>45540</v>
      </c>
      <c r="B2114" s="499">
        <v>45547</v>
      </c>
      <c r="C2114" s="500" t="s">
        <v>173</v>
      </c>
      <c r="D2114" s="500" t="s">
        <v>759</v>
      </c>
      <c r="E2114" s="501">
        <v>1078324961.1600001</v>
      </c>
      <c r="F2114" s="502" t="s">
        <v>878</v>
      </c>
      <c r="G2114" s="100" t="s">
        <v>605</v>
      </c>
      <c r="H2114" s="530"/>
      <c r="I2114" s="525"/>
      <c r="K2114" s="548"/>
      <c r="L2114" s="548"/>
      <c r="M2114" s="548"/>
      <c r="N2114" s="552"/>
      <c r="Y2114" s="551"/>
    </row>
    <row r="2115" spans="1:25">
      <c r="A2115" s="499">
        <v>45540</v>
      </c>
      <c r="B2115" s="499">
        <v>45547</v>
      </c>
      <c r="C2115" s="500" t="s">
        <v>173</v>
      </c>
      <c r="D2115" s="500" t="s">
        <v>759</v>
      </c>
      <c r="E2115" s="501">
        <v>2564669188.3600001</v>
      </c>
      <c r="F2115" s="502" t="s">
        <v>878</v>
      </c>
      <c r="G2115" s="100" t="s">
        <v>476</v>
      </c>
      <c r="H2115" s="530"/>
      <c r="I2115" s="525"/>
      <c r="K2115" s="548"/>
      <c r="L2115" s="548"/>
      <c r="M2115" s="548"/>
      <c r="N2115" s="552"/>
      <c r="Y2115" s="551"/>
    </row>
    <row r="2116" spans="1:25">
      <c r="A2116" s="499">
        <v>45540</v>
      </c>
      <c r="B2116" s="499">
        <v>45541</v>
      </c>
      <c r="C2116" s="500" t="s">
        <v>173</v>
      </c>
      <c r="D2116" s="500" t="s">
        <v>759</v>
      </c>
      <c r="E2116" s="501">
        <v>2000814021.8199999</v>
      </c>
      <c r="F2116" s="502" t="s">
        <v>878</v>
      </c>
      <c r="G2116" s="100" t="s">
        <v>634</v>
      </c>
      <c r="H2116" s="530"/>
      <c r="I2116" s="525"/>
      <c r="K2116" s="548"/>
      <c r="L2116" s="548"/>
      <c r="M2116" s="548"/>
      <c r="N2116" s="552"/>
      <c r="Y2116" s="551"/>
    </row>
    <row r="2117" spans="1:25">
      <c r="A2117" s="499">
        <v>45540</v>
      </c>
      <c r="B2117" s="499">
        <v>45547</v>
      </c>
      <c r="C2117" s="500" t="s">
        <v>173</v>
      </c>
      <c r="D2117" s="500" t="s">
        <v>759</v>
      </c>
      <c r="E2117" s="501">
        <v>24073556.109999999</v>
      </c>
      <c r="F2117" s="502" t="s">
        <v>878</v>
      </c>
      <c r="G2117" s="100" t="s">
        <v>75</v>
      </c>
      <c r="H2117" s="530"/>
      <c r="I2117" s="525"/>
      <c r="K2117" s="548"/>
      <c r="L2117" s="548"/>
      <c r="M2117" s="548"/>
      <c r="N2117" s="552"/>
      <c r="Y2117" s="551"/>
    </row>
    <row r="2118" spans="1:25">
      <c r="A2118" s="499">
        <v>45540</v>
      </c>
      <c r="B2118" s="499">
        <v>45540</v>
      </c>
      <c r="C2118" s="500" t="s">
        <v>173</v>
      </c>
      <c r="D2118" s="500" t="s">
        <v>760</v>
      </c>
      <c r="E2118" s="501">
        <v>-2320987865.2800002</v>
      </c>
      <c r="F2118" s="502" t="s">
        <v>878</v>
      </c>
      <c r="G2118" s="100" t="s">
        <v>710</v>
      </c>
      <c r="H2118" s="530"/>
      <c r="I2118" s="525"/>
      <c r="K2118" s="548"/>
      <c r="L2118" s="548"/>
      <c r="M2118" s="548"/>
      <c r="N2118" s="552"/>
      <c r="Y2118" s="551"/>
    </row>
    <row r="2119" spans="1:25">
      <c r="A2119" s="499">
        <v>45540</v>
      </c>
      <c r="B2119" s="499">
        <v>45540</v>
      </c>
      <c r="C2119" s="500" t="s">
        <v>173</v>
      </c>
      <c r="D2119" s="500" t="s">
        <v>760</v>
      </c>
      <c r="E2119" s="501">
        <v>-35014903.140000001</v>
      </c>
      <c r="F2119" s="502" t="s">
        <v>878</v>
      </c>
      <c r="G2119" s="100" t="s">
        <v>710</v>
      </c>
      <c r="H2119" s="530"/>
      <c r="I2119" s="525"/>
      <c r="K2119" s="548"/>
      <c r="L2119" s="548"/>
      <c r="M2119" s="548"/>
      <c r="N2119" s="552"/>
      <c r="Y2119" s="551"/>
    </row>
    <row r="2120" spans="1:25">
      <c r="A2120" s="499">
        <v>45540</v>
      </c>
      <c r="B2120" s="499">
        <v>45541</v>
      </c>
      <c r="C2120" s="500" t="s">
        <v>173</v>
      </c>
      <c r="D2120" s="500" t="s">
        <v>760</v>
      </c>
      <c r="E2120" s="501">
        <v>2321818601.3699999</v>
      </c>
      <c r="F2120" s="502" t="s">
        <v>878</v>
      </c>
      <c r="G2120" s="100" t="s">
        <v>710</v>
      </c>
      <c r="H2120" s="530"/>
      <c r="I2120" s="525"/>
      <c r="K2120" s="548"/>
      <c r="L2120" s="548"/>
      <c r="M2120" s="548"/>
      <c r="N2120" s="552"/>
      <c r="Y2120" s="551"/>
    </row>
    <row r="2121" spans="1:25">
      <c r="A2121" s="499">
        <v>45540</v>
      </c>
      <c r="B2121" s="499">
        <v>45541</v>
      </c>
      <c r="C2121" s="500" t="s">
        <v>173</v>
      </c>
      <c r="D2121" s="500" t="s">
        <v>760</v>
      </c>
      <c r="E2121" s="501">
        <v>35027435.799999997</v>
      </c>
      <c r="F2121" s="502" t="s">
        <v>878</v>
      </c>
      <c r="G2121" s="100" t="s">
        <v>710</v>
      </c>
      <c r="H2121" s="530"/>
      <c r="I2121" s="525"/>
      <c r="K2121" s="548"/>
      <c r="L2121" s="548"/>
      <c r="M2121" s="548"/>
      <c r="N2121" s="552"/>
      <c r="Y2121" s="551"/>
    </row>
    <row r="2122" spans="1:25">
      <c r="A2122" s="499">
        <v>45540</v>
      </c>
      <c r="B2122" s="499">
        <v>45540</v>
      </c>
      <c r="C2122" s="500" t="s">
        <v>173</v>
      </c>
      <c r="D2122" s="500" t="s">
        <v>763</v>
      </c>
      <c r="E2122" s="501">
        <v>-27012012.190000001</v>
      </c>
      <c r="F2122" s="502" t="s">
        <v>878</v>
      </c>
      <c r="G2122" s="100" t="s">
        <v>476</v>
      </c>
      <c r="H2122" s="530"/>
      <c r="I2122" s="525"/>
      <c r="K2122" s="548"/>
      <c r="L2122" s="548"/>
      <c r="M2122" s="548"/>
      <c r="N2122" s="552"/>
      <c r="Y2122" s="551"/>
    </row>
    <row r="2123" spans="1:25">
      <c r="A2123" s="499">
        <v>45540</v>
      </c>
      <c r="B2123" s="499">
        <v>45540</v>
      </c>
      <c r="C2123" s="500" t="s">
        <v>173</v>
      </c>
      <c r="D2123" s="500" t="s">
        <v>763</v>
      </c>
      <c r="E2123" s="501">
        <v>-6293039696.329999</v>
      </c>
      <c r="F2123" s="502" t="s">
        <v>878</v>
      </c>
      <c r="G2123" s="100" t="s">
        <v>139</v>
      </c>
      <c r="H2123" s="530"/>
      <c r="I2123" s="525"/>
      <c r="K2123" s="548"/>
      <c r="L2123" s="548"/>
      <c r="M2123" s="548"/>
      <c r="N2123" s="552"/>
      <c r="Y2123" s="551"/>
    </row>
    <row r="2124" spans="1:25">
      <c r="A2124" s="499">
        <v>45540</v>
      </c>
      <c r="B2124" s="499">
        <v>45541</v>
      </c>
      <c r="C2124" s="500" t="s">
        <v>173</v>
      </c>
      <c r="D2124" s="500" t="s">
        <v>763</v>
      </c>
      <c r="E2124" s="501">
        <v>27021621.460000001</v>
      </c>
      <c r="F2124" s="502" t="s">
        <v>878</v>
      </c>
      <c r="G2124" s="100" t="s">
        <v>476</v>
      </c>
      <c r="H2124" s="530"/>
      <c r="I2124" s="525"/>
      <c r="K2124" s="548"/>
      <c r="L2124" s="548"/>
      <c r="M2124" s="548"/>
      <c r="N2124" s="552"/>
      <c r="Y2124" s="551"/>
    </row>
    <row r="2125" spans="1:25">
      <c r="A2125" s="499">
        <v>45540</v>
      </c>
      <c r="B2125" s="499">
        <v>45541</v>
      </c>
      <c r="C2125" s="500" t="s">
        <v>173</v>
      </c>
      <c r="D2125" s="500" t="s">
        <v>763</v>
      </c>
      <c r="E2125" s="501">
        <v>6295292123.1099997</v>
      </c>
      <c r="F2125" s="502" t="s">
        <v>878</v>
      </c>
      <c r="G2125" s="100" t="s">
        <v>139</v>
      </c>
      <c r="H2125" s="530"/>
      <c r="I2125" s="525"/>
      <c r="K2125" s="548"/>
      <c r="L2125" s="548"/>
      <c r="M2125" s="548"/>
      <c r="N2125" s="552"/>
      <c r="Y2125" s="551"/>
    </row>
    <row r="2126" spans="1:25">
      <c r="A2126" s="499">
        <v>45540</v>
      </c>
      <c r="B2126" s="499">
        <v>45540</v>
      </c>
      <c r="C2126" s="500" t="s">
        <v>173</v>
      </c>
      <c r="D2126" s="500" t="s">
        <v>761</v>
      </c>
      <c r="E2126" s="501">
        <v>-6001760.4400000004</v>
      </c>
      <c r="F2126" s="502" t="s">
        <v>878</v>
      </c>
      <c r="G2126" s="100" t="s">
        <v>834</v>
      </c>
      <c r="H2126" s="530"/>
      <c r="I2126" s="525"/>
      <c r="K2126" s="548"/>
      <c r="L2126" s="548"/>
      <c r="M2126" s="548"/>
      <c r="N2126" s="552"/>
      <c r="Y2126" s="551"/>
    </row>
    <row r="2127" spans="1:25">
      <c r="A2127" s="499">
        <v>45540</v>
      </c>
      <c r="B2127" s="499">
        <v>45541</v>
      </c>
      <c r="C2127" s="500" t="s">
        <v>173</v>
      </c>
      <c r="D2127" s="500" t="s">
        <v>761</v>
      </c>
      <c r="E2127" s="501">
        <v>6003933.21</v>
      </c>
      <c r="F2127" s="502" t="s">
        <v>878</v>
      </c>
      <c r="G2127" s="100" t="s">
        <v>834</v>
      </c>
      <c r="H2127" s="530"/>
      <c r="I2127" s="525"/>
      <c r="K2127" s="548"/>
      <c r="L2127" s="548"/>
      <c r="M2127" s="548"/>
      <c r="N2127" s="552"/>
      <c r="Y2127" s="551"/>
    </row>
    <row r="2128" spans="1:25">
      <c r="A2128" s="499">
        <v>45538</v>
      </c>
      <c r="B2128" s="499">
        <v>45540</v>
      </c>
      <c r="C2128" s="500" t="s">
        <v>173</v>
      </c>
      <c r="D2128" s="500" t="s">
        <v>761</v>
      </c>
      <c r="E2128" s="501">
        <v>-502161666.67000002</v>
      </c>
      <c r="F2128" s="502" t="s">
        <v>906</v>
      </c>
      <c r="G2128" s="100" t="s">
        <v>513</v>
      </c>
      <c r="H2128" s="530"/>
      <c r="I2128" s="525" t="s">
        <v>674</v>
      </c>
      <c r="K2128" s="548">
        <v>113932485</v>
      </c>
      <c r="L2128" s="549">
        <v>93.998999999999995</v>
      </c>
      <c r="M2128" s="549">
        <f>E2128*(-1)/(N2128*O2128)*100</f>
        <v>100.43233333400001</v>
      </c>
      <c r="N2128" s="549">
        <v>500000</v>
      </c>
      <c r="O2128" s="539">
        <v>1000</v>
      </c>
      <c r="T2128" s="553">
        <v>13.4</v>
      </c>
      <c r="U2128" s="538">
        <v>0</v>
      </c>
      <c r="V2128" s="538">
        <v>50216.17</v>
      </c>
      <c r="W2128" s="550">
        <f>VLOOKUP(G2128,Справочник!A:C,3,0)</f>
        <v>0.12</v>
      </c>
      <c r="X2128" s="539" t="str">
        <f>VLOOKUP(G2128,Справочник!A:G,7,0)</f>
        <v>Министерство финансов Республики Казахстан</v>
      </c>
      <c r="Y2128" s="551">
        <f>VLOOKUP(G2128,Справочник!A:B,2,0)</f>
        <v>47901</v>
      </c>
    </row>
    <row r="2129" spans="1:25">
      <c r="A2129" s="499">
        <v>45541</v>
      </c>
      <c r="B2129" s="499">
        <v>45541</v>
      </c>
      <c r="C2129" s="500" t="s">
        <v>173</v>
      </c>
      <c r="D2129" s="500" t="s">
        <v>762</v>
      </c>
      <c r="E2129" s="501">
        <v>-7622787803.6700001</v>
      </c>
      <c r="F2129" s="502" t="s">
        <v>878</v>
      </c>
      <c r="G2129" s="100" t="s">
        <v>630</v>
      </c>
      <c r="H2129" s="530"/>
      <c r="I2129" s="525"/>
      <c r="K2129" s="548"/>
      <c r="L2129" s="548"/>
      <c r="M2129" s="548"/>
      <c r="N2129" s="552"/>
      <c r="Y2129" s="551"/>
    </row>
    <row r="2130" spans="1:25">
      <c r="A2130" s="499">
        <v>45541</v>
      </c>
      <c r="B2130" s="499">
        <v>45541</v>
      </c>
      <c r="C2130" s="500" t="s">
        <v>173</v>
      </c>
      <c r="D2130" s="500" t="s">
        <v>762</v>
      </c>
      <c r="E2130" s="501">
        <v>-31011341.460000001</v>
      </c>
      <c r="F2130" s="502" t="s">
        <v>878</v>
      </c>
      <c r="G2130" s="100" t="s">
        <v>630</v>
      </c>
      <c r="H2130" s="530"/>
      <c r="I2130" s="525"/>
      <c r="K2130" s="548"/>
      <c r="L2130" s="548"/>
      <c r="M2130" s="548"/>
      <c r="N2130" s="552"/>
      <c r="Y2130" s="551"/>
    </row>
    <row r="2131" spans="1:25">
      <c r="A2131" s="499">
        <v>45541</v>
      </c>
      <c r="B2131" s="499">
        <v>45544</v>
      </c>
      <c r="C2131" s="500" t="s">
        <v>173</v>
      </c>
      <c r="D2131" s="500" t="s">
        <v>762</v>
      </c>
      <c r="E2131" s="501">
        <v>7631035535.1099997</v>
      </c>
      <c r="F2131" s="502" t="s">
        <v>878</v>
      </c>
      <c r="G2131" s="100" t="s">
        <v>630</v>
      </c>
      <c r="H2131" s="530"/>
      <c r="I2131" s="525"/>
      <c r="K2131" s="548"/>
      <c r="L2131" s="548"/>
      <c r="M2131" s="548"/>
      <c r="N2131" s="552"/>
      <c r="Y2131" s="551"/>
    </row>
    <row r="2132" spans="1:25">
      <c r="A2132" s="499">
        <v>45541</v>
      </c>
      <c r="B2132" s="499">
        <v>45544</v>
      </c>
      <c r="C2132" s="500" t="s">
        <v>173</v>
      </c>
      <c r="D2132" s="500" t="s">
        <v>762</v>
      </c>
      <c r="E2132" s="501">
        <v>31044895.219999999</v>
      </c>
      <c r="F2132" s="502" t="s">
        <v>878</v>
      </c>
      <c r="G2132" s="100" t="s">
        <v>630</v>
      </c>
      <c r="H2132" s="530"/>
      <c r="I2132" s="525"/>
      <c r="K2132" s="548"/>
      <c r="L2132" s="548"/>
      <c r="M2132" s="548"/>
      <c r="N2132" s="552"/>
      <c r="Y2132" s="551"/>
    </row>
    <row r="2133" spans="1:25">
      <c r="A2133" s="499">
        <v>45541</v>
      </c>
      <c r="B2133" s="499">
        <v>45541</v>
      </c>
      <c r="C2133" s="500" t="s">
        <v>173</v>
      </c>
      <c r="D2133" s="500" t="s">
        <v>761</v>
      </c>
      <c r="E2133" s="501">
        <v>-6002247.8899999997</v>
      </c>
      <c r="F2133" s="502" t="s">
        <v>878</v>
      </c>
      <c r="G2133" s="100" t="s">
        <v>834</v>
      </c>
      <c r="H2133" s="530"/>
      <c r="I2133" s="525"/>
      <c r="K2133" s="548"/>
      <c r="L2133" s="548"/>
      <c r="M2133" s="548"/>
      <c r="N2133" s="552"/>
      <c r="Y2133" s="551"/>
    </row>
    <row r="2134" spans="1:25">
      <c r="A2134" s="499">
        <v>45541</v>
      </c>
      <c r="B2134" s="499">
        <v>45544</v>
      </c>
      <c r="C2134" s="500" t="s">
        <v>173</v>
      </c>
      <c r="D2134" s="500" t="s">
        <v>761</v>
      </c>
      <c r="E2134" s="501">
        <v>6008761.7999999998</v>
      </c>
      <c r="F2134" s="502" t="s">
        <v>878</v>
      </c>
      <c r="G2134" s="100" t="s">
        <v>834</v>
      </c>
      <c r="H2134" s="530"/>
      <c r="I2134" s="525"/>
      <c r="K2134" s="548"/>
      <c r="L2134" s="548"/>
      <c r="M2134" s="548"/>
      <c r="N2134" s="552"/>
      <c r="Y2134" s="551"/>
    </row>
    <row r="2135" spans="1:25">
      <c r="A2135" s="499">
        <v>45541</v>
      </c>
      <c r="B2135" s="499">
        <v>45541</v>
      </c>
      <c r="C2135" s="500" t="s">
        <v>173</v>
      </c>
      <c r="D2135" s="500" t="s">
        <v>759</v>
      </c>
      <c r="E2135" s="501">
        <v>-1993729146.03</v>
      </c>
      <c r="F2135" s="502" t="s">
        <v>878</v>
      </c>
      <c r="G2135" s="100" t="s">
        <v>139</v>
      </c>
      <c r="H2135" s="484"/>
      <c r="I2135" s="525"/>
      <c r="K2135" s="548"/>
      <c r="L2135" s="548"/>
      <c r="M2135" s="548"/>
      <c r="N2135" s="552"/>
      <c r="Y2135" s="551"/>
    </row>
    <row r="2136" spans="1:25">
      <c r="A2136" s="499">
        <v>45541</v>
      </c>
      <c r="B2136" s="499">
        <v>45541</v>
      </c>
      <c r="C2136" s="500" t="s">
        <v>173</v>
      </c>
      <c r="D2136" s="500" t="s">
        <v>759</v>
      </c>
      <c r="E2136" s="501">
        <v>-8002626.21</v>
      </c>
      <c r="F2136" s="502" t="s">
        <v>878</v>
      </c>
      <c r="G2136" s="100" t="s">
        <v>422</v>
      </c>
      <c r="H2136" s="484"/>
      <c r="I2136" s="525"/>
      <c r="K2136" s="548"/>
      <c r="L2136" s="548"/>
      <c r="M2136" s="548"/>
      <c r="N2136" s="552"/>
      <c r="Y2136" s="551"/>
    </row>
    <row r="2137" spans="1:25">
      <c r="A2137" s="499">
        <v>45541</v>
      </c>
      <c r="B2137" s="499">
        <v>45544</v>
      </c>
      <c r="C2137" s="500" t="s">
        <v>173</v>
      </c>
      <c r="D2137" s="500" t="s">
        <v>759</v>
      </c>
      <c r="E2137" s="501">
        <v>1995894466.6199999</v>
      </c>
      <c r="F2137" s="502" t="s">
        <v>878</v>
      </c>
      <c r="G2137" s="100" t="s">
        <v>139</v>
      </c>
      <c r="H2137" s="530"/>
      <c r="I2137" s="525"/>
      <c r="K2137" s="548"/>
      <c r="L2137" s="548"/>
      <c r="M2137" s="548"/>
      <c r="N2137" s="552"/>
      <c r="Y2137" s="551"/>
    </row>
    <row r="2138" spans="1:25">
      <c r="A2138" s="499">
        <v>45541</v>
      </c>
      <c r="B2138" s="499">
        <v>45544</v>
      </c>
      <c r="C2138" s="500" t="s">
        <v>173</v>
      </c>
      <c r="D2138" s="500" t="s">
        <v>759</v>
      </c>
      <c r="E2138" s="501">
        <v>8011357.0099999998</v>
      </c>
      <c r="F2138" s="502" t="s">
        <v>878</v>
      </c>
      <c r="G2138" s="100" t="s">
        <v>422</v>
      </c>
      <c r="H2138" s="530"/>
      <c r="I2138" s="525"/>
      <c r="K2138" s="548"/>
      <c r="L2138" s="548"/>
      <c r="M2138" s="548"/>
      <c r="N2138" s="552"/>
      <c r="Y2138" s="551"/>
    </row>
    <row r="2139" spans="1:25">
      <c r="A2139" s="499">
        <v>45541</v>
      </c>
      <c r="B2139" s="499">
        <v>45541</v>
      </c>
      <c r="C2139" s="500" t="s">
        <v>173</v>
      </c>
      <c r="D2139" s="500" t="s">
        <v>760</v>
      </c>
      <c r="E2139" s="501">
        <v>-2320761600.3200002</v>
      </c>
      <c r="F2139" s="502" t="s">
        <v>878</v>
      </c>
      <c r="G2139" s="100" t="s">
        <v>422</v>
      </c>
      <c r="H2139" s="530"/>
      <c r="I2139" s="525"/>
      <c r="K2139" s="548"/>
      <c r="L2139" s="548"/>
      <c r="M2139" s="548"/>
      <c r="N2139" s="552"/>
      <c r="Y2139" s="551"/>
    </row>
    <row r="2140" spans="1:25">
      <c r="A2140" s="499">
        <v>45541</v>
      </c>
      <c r="B2140" s="499">
        <v>45541</v>
      </c>
      <c r="C2140" s="500" t="s">
        <v>173</v>
      </c>
      <c r="D2140" s="500" t="s">
        <v>760</v>
      </c>
      <c r="E2140" s="501">
        <v>-35011489.659999996</v>
      </c>
      <c r="F2140" s="502" t="s">
        <v>878</v>
      </c>
      <c r="G2140" s="100" t="s">
        <v>422</v>
      </c>
      <c r="H2140" s="530"/>
      <c r="I2140" s="525"/>
      <c r="K2140" s="548"/>
      <c r="L2140" s="548"/>
      <c r="M2140" s="548"/>
      <c r="N2140" s="552"/>
      <c r="Y2140" s="551"/>
    </row>
    <row r="2141" spans="1:25">
      <c r="A2141" s="499">
        <v>45541</v>
      </c>
      <c r="B2141" s="499">
        <v>45544</v>
      </c>
      <c r="C2141" s="500" t="s">
        <v>173</v>
      </c>
      <c r="D2141" s="500" t="s">
        <v>760</v>
      </c>
      <c r="E2141" s="501">
        <v>2323272626.3299999</v>
      </c>
      <c r="F2141" s="502" t="s">
        <v>878</v>
      </c>
      <c r="G2141" s="100" t="s">
        <v>422</v>
      </c>
      <c r="H2141" s="530"/>
      <c r="I2141" s="525"/>
      <c r="K2141" s="548"/>
      <c r="L2141" s="548"/>
      <c r="M2141" s="548"/>
      <c r="N2141" s="552"/>
      <c r="Y2141" s="551"/>
    </row>
    <row r="2142" spans="1:25">
      <c r="A2142" s="499">
        <v>45541</v>
      </c>
      <c r="B2142" s="499">
        <v>45544</v>
      </c>
      <c r="C2142" s="500" t="s">
        <v>173</v>
      </c>
      <c r="D2142" s="500" t="s">
        <v>760</v>
      </c>
      <c r="E2142" s="501">
        <v>35049371.520000003</v>
      </c>
      <c r="F2142" s="502" t="s">
        <v>878</v>
      </c>
      <c r="G2142" s="100" t="s">
        <v>422</v>
      </c>
      <c r="H2142" s="530"/>
      <c r="I2142" s="525"/>
      <c r="K2142" s="548"/>
      <c r="L2142" s="548"/>
      <c r="M2142" s="548"/>
      <c r="N2142" s="552"/>
      <c r="Y2142" s="551"/>
    </row>
    <row r="2143" spans="1:25">
      <c r="A2143" s="499">
        <v>45541</v>
      </c>
      <c r="B2143" s="499">
        <v>45541</v>
      </c>
      <c r="C2143" s="500" t="s">
        <v>173</v>
      </c>
      <c r="D2143" s="500" t="s">
        <v>763</v>
      </c>
      <c r="E2143" s="501">
        <v>-28000399.199999999</v>
      </c>
      <c r="F2143" s="502" t="s">
        <v>878</v>
      </c>
      <c r="G2143" s="100" t="s">
        <v>769</v>
      </c>
      <c r="H2143" s="530"/>
      <c r="I2143" s="525"/>
      <c r="K2143" s="548"/>
      <c r="L2143" s="548"/>
      <c r="M2143" s="548"/>
      <c r="N2143" s="552"/>
      <c r="Y2143" s="551"/>
    </row>
    <row r="2144" spans="1:25">
      <c r="A2144" s="499">
        <v>45541</v>
      </c>
      <c r="B2144" s="499">
        <v>45541</v>
      </c>
      <c r="C2144" s="500" t="s">
        <v>173</v>
      </c>
      <c r="D2144" s="500" t="s">
        <v>763</v>
      </c>
      <c r="E2144" s="501">
        <v>-6294321180.3000002</v>
      </c>
      <c r="F2144" s="502" t="s">
        <v>878</v>
      </c>
      <c r="G2144" s="100" t="s">
        <v>634</v>
      </c>
      <c r="H2144" s="530"/>
      <c r="I2144" s="525"/>
      <c r="K2144" s="548"/>
      <c r="L2144" s="548"/>
      <c r="M2144" s="548"/>
      <c r="N2144" s="552"/>
      <c r="Y2144" s="551"/>
    </row>
    <row r="2145" spans="1:25">
      <c r="A2145" s="499">
        <v>45541</v>
      </c>
      <c r="B2145" s="499">
        <v>45544</v>
      </c>
      <c r="C2145" s="500" t="s">
        <v>173</v>
      </c>
      <c r="D2145" s="500" t="s">
        <v>763</v>
      </c>
      <c r="E2145" s="501">
        <v>28030488.379999999</v>
      </c>
      <c r="F2145" s="502" t="s">
        <v>878</v>
      </c>
      <c r="G2145" s="100" t="s">
        <v>769</v>
      </c>
      <c r="H2145" s="530"/>
      <c r="I2145" s="525"/>
      <c r="K2145" s="548"/>
      <c r="L2145" s="548"/>
      <c r="M2145" s="548"/>
      <c r="N2145" s="552"/>
      <c r="Y2145" s="551"/>
    </row>
    <row r="2146" spans="1:25">
      <c r="A2146" s="499">
        <v>45541</v>
      </c>
      <c r="B2146" s="499">
        <v>45544</v>
      </c>
      <c r="C2146" s="500" t="s">
        <v>173</v>
      </c>
      <c r="D2146" s="500" t="s">
        <v>763</v>
      </c>
      <c r="E2146" s="501">
        <v>6301079836.6499996</v>
      </c>
      <c r="F2146" s="502" t="s">
        <v>878</v>
      </c>
      <c r="G2146" s="100" t="s">
        <v>634</v>
      </c>
      <c r="H2146" s="530"/>
      <c r="I2146" s="525"/>
      <c r="K2146" s="548"/>
      <c r="L2146" s="548"/>
      <c r="M2146" s="548"/>
      <c r="N2146" s="552"/>
      <c r="Y2146" s="551"/>
    </row>
    <row r="2147" spans="1:25">
      <c r="A2147" s="499">
        <v>45544</v>
      </c>
      <c r="B2147" s="499">
        <v>45544</v>
      </c>
      <c r="C2147" s="500" t="s">
        <v>173</v>
      </c>
      <c r="D2147" s="500" t="s">
        <v>762</v>
      </c>
      <c r="E2147" s="501">
        <v>-7629593478.2200003</v>
      </c>
      <c r="F2147" s="502" t="s">
        <v>878</v>
      </c>
      <c r="G2147" s="100" t="s">
        <v>633</v>
      </c>
      <c r="H2147" s="530"/>
      <c r="I2147" s="525"/>
      <c r="K2147" s="548"/>
      <c r="L2147" s="548"/>
      <c r="M2147" s="548"/>
      <c r="N2147" s="552"/>
      <c r="Y2147" s="551"/>
    </row>
    <row r="2148" spans="1:25">
      <c r="A2148" s="499">
        <v>45544</v>
      </c>
      <c r="B2148" s="499">
        <v>45544</v>
      </c>
      <c r="C2148" s="500" t="s">
        <v>173</v>
      </c>
      <c r="D2148" s="500" t="s">
        <v>762</v>
      </c>
      <c r="E2148" s="501">
        <v>-32013114.57</v>
      </c>
      <c r="F2148" s="502" t="s">
        <v>878</v>
      </c>
      <c r="G2148" s="100" t="s">
        <v>630</v>
      </c>
      <c r="H2148" s="530"/>
      <c r="I2148" s="525"/>
      <c r="K2148" s="548"/>
      <c r="L2148" s="548"/>
      <c r="M2148" s="548"/>
      <c r="N2148" s="552"/>
      <c r="Y2148" s="551"/>
    </row>
    <row r="2149" spans="1:25">
      <c r="A2149" s="499">
        <v>45544</v>
      </c>
      <c r="B2149" s="499">
        <v>45545</v>
      </c>
      <c r="C2149" s="500" t="s">
        <v>173</v>
      </c>
      <c r="D2149" s="500" t="s">
        <v>762</v>
      </c>
      <c r="E2149" s="501">
        <v>7632408193.6800003</v>
      </c>
      <c r="F2149" s="502" t="s">
        <v>878</v>
      </c>
      <c r="G2149" s="100" t="s">
        <v>633</v>
      </c>
      <c r="H2149" s="530"/>
      <c r="I2149" s="525"/>
      <c r="K2149" s="548"/>
      <c r="L2149" s="548"/>
      <c r="M2149" s="548"/>
      <c r="N2149" s="552"/>
      <c r="Y2149" s="551"/>
    </row>
    <row r="2150" spans="1:25">
      <c r="A2150" s="499">
        <v>45544</v>
      </c>
      <c r="B2150" s="499">
        <v>45545</v>
      </c>
      <c r="C2150" s="500" t="s">
        <v>173</v>
      </c>
      <c r="D2150" s="500" t="s">
        <v>762</v>
      </c>
      <c r="E2150" s="501">
        <v>32024924.960000001</v>
      </c>
      <c r="F2150" s="502" t="s">
        <v>878</v>
      </c>
      <c r="G2150" s="100" t="s">
        <v>630</v>
      </c>
      <c r="H2150" s="530"/>
      <c r="I2150" s="525"/>
      <c r="K2150" s="548"/>
      <c r="L2150" s="548"/>
      <c r="M2150" s="548"/>
      <c r="N2150" s="552"/>
      <c r="Y2150" s="551"/>
    </row>
    <row r="2151" spans="1:25">
      <c r="A2151" s="499">
        <v>45544</v>
      </c>
      <c r="B2151" s="499">
        <v>45544</v>
      </c>
      <c r="C2151" s="500" t="s">
        <v>173</v>
      </c>
      <c r="D2151" s="500" t="s">
        <v>761</v>
      </c>
      <c r="E2151" s="501">
        <v>-2270136849.4499998</v>
      </c>
      <c r="F2151" s="502" t="s">
        <v>878</v>
      </c>
      <c r="G2151" s="100" t="s">
        <v>645</v>
      </c>
      <c r="H2151" s="530"/>
      <c r="I2151" s="525"/>
      <c r="K2151" s="548"/>
      <c r="L2151" s="548"/>
      <c r="M2151" s="548"/>
      <c r="N2151" s="552"/>
      <c r="Y2151" s="551"/>
    </row>
    <row r="2152" spans="1:25">
      <c r="A2152" s="499">
        <v>45544</v>
      </c>
      <c r="B2152" s="499">
        <v>45544</v>
      </c>
      <c r="C2152" s="500" t="s">
        <v>173</v>
      </c>
      <c r="D2152" s="500" t="s">
        <v>761</v>
      </c>
      <c r="E2152" s="501">
        <v>-10004393.42</v>
      </c>
      <c r="F2152" s="502" t="s">
        <v>878</v>
      </c>
      <c r="G2152" s="100" t="s">
        <v>86</v>
      </c>
      <c r="H2152" s="530"/>
      <c r="I2152" s="525"/>
      <c r="K2152" s="548"/>
      <c r="L2152" s="548"/>
      <c r="M2152" s="548"/>
      <c r="N2152" s="552"/>
      <c r="Y2152" s="551"/>
    </row>
    <row r="2153" spans="1:25">
      <c r="A2153" s="499">
        <v>45544</v>
      </c>
      <c r="B2153" s="499">
        <v>45551</v>
      </c>
      <c r="C2153" s="500" t="s">
        <v>173</v>
      </c>
      <c r="D2153" s="500" t="s">
        <v>761</v>
      </c>
      <c r="E2153" s="501">
        <v>2275954850.4499998</v>
      </c>
      <c r="F2153" s="502" t="s">
        <v>878</v>
      </c>
      <c r="G2153" s="100" t="s">
        <v>645</v>
      </c>
      <c r="H2153" s="530"/>
      <c r="I2153" s="525"/>
      <c r="K2153" s="548"/>
      <c r="L2153" s="548"/>
      <c r="M2153" s="548"/>
      <c r="N2153" s="552"/>
      <c r="Y2153" s="551"/>
    </row>
    <row r="2154" spans="1:25">
      <c r="A2154" s="499">
        <v>45544</v>
      </c>
      <c r="B2154" s="499">
        <v>45551</v>
      </c>
      <c r="C2154" s="500" t="s">
        <v>173</v>
      </c>
      <c r="D2154" s="500" t="s">
        <v>761</v>
      </c>
      <c r="E2154" s="501">
        <v>10029937.42</v>
      </c>
      <c r="F2154" s="502" t="s">
        <v>878</v>
      </c>
      <c r="G2154" s="100" t="s">
        <v>86</v>
      </c>
      <c r="H2154" s="530"/>
      <c r="I2154" s="525"/>
      <c r="K2154" s="548"/>
      <c r="L2154" s="548"/>
      <c r="M2154" s="548"/>
      <c r="N2154" s="552"/>
      <c r="Y2154" s="551"/>
    </row>
    <row r="2155" spans="1:25">
      <c r="A2155" s="499">
        <v>45544</v>
      </c>
      <c r="B2155" s="499">
        <v>45544</v>
      </c>
      <c r="C2155" s="500" t="s">
        <v>173</v>
      </c>
      <c r="D2155" s="500" t="s">
        <v>759</v>
      </c>
      <c r="E2155" s="501">
        <v>-172070490.81</v>
      </c>
      <c r="F2155" s="502" t="s">
        <v>878</v>
      </c>
      <c r="G2155" s="100" t="s">
        <v>139</v>
      </c>
      <c r="H2155" s="484"/>
      <c r="I2155" s="525"/>
      <c r="K2155" s="548"/>
      <c r="L2155" s="548"/>
      <c r="M2155" s="548"/>
      <c r="N2155" s="552"/>
      <c r="Y2155" s="551"/>
    </row>
    <row r="2156" spans="1:25">
      <c r="A2156" s="499">
        <v>45544</v>
      </c>
      <c r="B2156" s="499">
        <v>45544</v>
      </c>
      <c r="C2156" s="500" t="s">
        <v>173</v>
      </c>
      <c r="D2156" s="500" t="s">
        <v>759</v>
      </c>
      <c r="E2156" s="501">
        <v>-1823166720.0999999</v>
      </c>
      <c r="F2156" s="502" t="s">
        <v>878</v>
      </c>
      <c r="G2156" s="100" t="s">
        <v>551</v>
      </c>
      <c r="H2156" s="484"/>
      <c r="I2156" s="525"/>
      <c r="K2156" s="548"/>
      <c r="L2156" s="548"/>
      <c r="M2156" s="548"/>
      <c r="N2156" s="552"/>
      <c r="Y2156" s="551"/>
    </row>
    <row r="2157" spans="1:25">
      <c r="A2157" s="499">
        <v>45544</v>
      </c>
      <c r="B2157" s="499">
        <v>45544</v>
      </c>
      <c r="C2157" s="500" t="s">
        <v>173</v>
      </c>
      <c r="D2157" s="500" t="s">
        <v>759</v>
      </c>
      <c r="E2157" s="501">
        <v>-8000731.6299999999</v>
      </c>
      <c r="F2157" s="502" t="s">
        <v>878</v>
      </c>
      <c r="G2157" s="100" t="s">
        <v>551</v>
      </c>
      <c r="H2157" s="484"/>
      <c r="I2157" s="525"/>
      <c r="K2157" s="548"/>
      <c r="L2157" s="548"/>
      <c r="M2157" s="548"/>
      <c r="N2157" s="552"/>
      <c r="Y2157" s="551"/>
    </row>
    <row r="2158" spans="1:25">
      <c r="A2158" s="499">
        <v>45544</v>
      </c>
      <c r="B2158" s="499">
        <v>45545</v>
      </c>
      <c r="C2158" s="500" t="s">
        <v>173</v>
      </c>
      <c r="D2158" s="500" t="s">
        <v>759</v>
      </c>
      <c r="E2158" s="501">
        <v>172134429.56999999</v>
      </c>
      <c r="F2158" s="502" t="s">
        <v>878</v>
      </c>
      <c r="G2158" s="100" t="s">
        <v>139</v>
      </c>
      <c r="H2158" s="530"/>
      <c r="I2158" s="525"/>
      <c r="K2158" s="548"/>
      <c r="L2158" s="548"/>
      <c r="M2158" s="548"/>
      <c r="N2158" s="552"/>
      <c r="Y2158" s="551"/>
    </row>
    <row r="2159" spans="1:25">
      <c r="A2159" s="499">
        <v>45544</v>
      </c>
      <c r="B2159" s="499">
        <v>45545</v>
      </c>
      <c r="C2159" s="500" t="s">
        <v>173</v>
      </c>
      <c r="D2159" s="500" t="s">
        <v>759</v>
      </c>
      <c r="E2159" s="501">
        <v>1823844180.96</v>
      </c>
      <c r="F2159" s="502" t="s">
        <v>878</v>
      </c>
      <c r="G2159" s="100" t="s">
        <v>551</v>
      </c>
      <c r="H2159" s="530"/>
      <c r="I2159" s="525"/>
      <c r="K2159" s="548"/>
      <c r="L2159" s="548"/>
      <c r="M2159" s="548"/>
      <c r="N2159" s="552"/>
      <c r="Y2159" s="551"/>
    </row>
    <row r="2160" spans="1:25">
      <c r="A2160" s="499">
        <v>45544</v>
      </c>
      <c r="B2160" s="499">
        <v>45545</v>
      </c>
      <c r="C2160" s="500" t="s">
        <v>173</v>
      </c>
      <c r="D2160" s="500" t="s">
        <v>759</v>
      </c>
      <c r="E2160" s="501">
        <v>8003715.5700000003</v>
      </c>
      <c r="F2160" s="502" t="s">
        <v>878</v>
      </c>
      <c r="G2160" s="100" t="s">
        <v>551</v>
      </c>
      <c r="H2160" s="530"/>
      <c r="I2160" s="525"/>
      <c r="K2160" s="548"/>
      <c r="L2160" s="548"/>
      <c r="M2160" s="548"/>
      <c r="N2160" s="552"/>
      <c r="Y2160" s="551"/>
    </row>
    <row r="2161" spans="1:25">
      <c r="A2161" s="499">
        <v>45544</v>
      </c>
      <c r="B2161" s="499">
        <v>45544</v>
      </c>
      <c r="C2161" s="500" t="s">
        <v>173</v>
      </c>
      <c r="D2161" s="500" t="s">
        <v>760</v>
      </c>
      <c r="E2161" s="501">
        <v>-455222120.75999999</v>
      </c>
      <c r="F2161" s="502" t="s">
        <v>878</v>
      </c>
      <c r="G2161" s="100" t="s">
        <v>834</v>
      </c>
      <c r="H2161" s="530"/>
      <c r="I2161" s="525"/>
      <c r="K2161" s="548"/>
      <c r="L2161" s="548"/>
      <c r="M2161" s="548"/>
      <c r="N2161" s="552"/>
      <c r="Y2161" s="551"/>
    </row>
    <row r="2162" spans="1:25">
      <c r="A2162" s="499">
        <v>45544</v>
      </c>
      <c r="B2162" s="499">
        <v>45544</v>
      </c>
      <c r="C2162" s="500" t="s">
        <v>173</v>
      </c>
      <c r="D2162" s="500" t="s">
        <v>760</v>
      </c>
      <c r="E2162" s="501">
        <v>-426127641.82999998</v>
      </c>
      <c r="F2162" s="502" t="s">
        <v>878</v>
      </c>
      <c r="G2162" s="100" t="s">
        <v>636</v>
      </c>
      <c r="H2162" s="530"/>
      <c r="I2162" s="525"/>
      <c r="K2162" s="548"/>
      <c r="L2162" s="548"/>
      <c r="M2162" s="548"/>
      <c r="N2162" s="552"/>
      <c r="Y2162" s="551"/>
    </row>
    <row r="2163" spans="1:25">
      <c r="A2163" s="499">
        <v>45544</v>
      </c>
      <c r="B2163" s="499">
        <v>45544</v>
      </c>
      <c r="C2163" s="500" t="s">
        <v>173</v>
      </c>
      <c r="D2163" s="500" t="s">
        <v>760</v>
      </c>
      <c r="E2163" s="501">
        <v>-917311815.85000002</v>
      </c>
      <c r="F2163" s="502" t="s">
        <v>878</v>
      </c>
      <c r="G2163" s="100" t="s">
        <v>634</v>
      </c>
      <c r="H2163" s="530"/>
      <c r="I2163" s="525"/>
      <c r="K2163" s="548"/>
      <c r="L2163" s="548"/>
      <c r="M2163" s="548"/>
      <c r="N2163" s="552"/>
      <c r="Y2163" s="551"/>
    </row>
    <row r="2164" spans="1:25">
      <c r="A2164" s="499">
        <v>45544</v>
      </c>
      <c r="B2164" s="499">
        <v>45544</v>
      </c>
      <c r="C2164" s="500" t="s">
        <v>173</v>
      </c>
      <c r="D2164" s="500" t="s">
        <v>760</v>
      </c>
      <c r="E2164" s="501">
        <v>-25008180.75</v>
      </c>
      <c r="F2164" s="502" t="s">
        <v>878</v>
      </c>
      <c r="G2164" s="100" t="s">
        <v>802</v>
      </c>
      <c r="H2164" s="530"/>
      <c r="I2164" s="525"/>
      <c r="K2164" s="548"/>
      <c r="L2164" s="548"/>
      <c r="M2164" s="548"/>
      <c r="N2164" s="552"/>
      <c r="Y2164" s="551"/>
    </row>
    <row r="2165" spans="1:25">
      <c r="A2165" s="499">
        <v>45544</v>
      </c>
      <c r="B2165" s="499">
        <v>45544</v>
      </c>
      <c r="C2165" s="500" t="s">
        <v>173</v>
      </c>
      <c r="D2165" s="500" t="s">
        <v>760</v>
      </c>
      <c r="E2165" s="501">
        <v>-486176966.20999998</v>
      </c>
      <c r="F2165" s="502" t="s">
        <v>878</v>
      </c>
      <c r="G2165" s="100" t="s">
        <v>94</v>
      </c>
      <c r="H2165" s="530"/>
      <c r="I2165" s="525"/>
      <c r="K2165" s="548"/>
      <c r="L2165" s="548"/>
      <c r="M2165" s="548"/>
      <c r="N2165" s="552"/>
      <c r="Y2165" s="551"/>
    </row>
    <row r="2166" spans="1:25">
      <c r="A2166" s="499">
        <v>45544</v>
      </c>
      <c r="B2166" s="499">
        <v>45544</v>
      </c>
      <c r="C2166" s="500" t="s">
        <v>173</v>
      </c>
      <c r="D2166" s="500" t="s">
        <v>760</v>
      </c>
      <c r="E2166" s="501">
        <v>-48017478.140000001</v>
      </c>
      <c r="F2166" s="502" t="s">
        <v>878</v>
      </c>
      <c r="G2166" s="100" t="s">
        <v>94</v>
      </c>
      <c r="H2166" s="530"/>
      <c r="I2166" s="525"/>
      <c r="K2166" s="548"/>
      <c r="L2166" s="548"/>
      <c r="M2166" s="548"/>
      <c r="N2166" s="552"/>
      <c r="Y2166" s="551"/>
    </row>
    <row r="2167" spans="1:25">
      <c r="A2167" s="499">
        <v>45544</v>
      </c>
      <c r="B2167" s="499">
        <v>45545</v>
      </c>
      <c r="C2167" s="500" t="s">
        <v>173</v>
      </c>
      <c r="D2167" s="500" t="s">
        <v>760</v>
      </c>
      <c r="E2167" s="501">
        <v>455392516.87</v>
      </c>
      <c r="F2167" s="502" t="s">
        <v>878</v>
      </c>
      <c r="G2167" s="100" t="s">
        <v>834</v>
      </c>
      <c r="H2167" s="530"/>
      <c r="I2167" s="525"/>
      <c r="K2167" s="548"/>
      <c r="L2167" s="548"/>
      <c r="M2167" s="548"/>
      <c r="N2167" s="552"/>
      <c r="Y2167" s="551"/>
    </row>
    <row r="2168" spans="1:25">
      <c r="A2168" s="499">
        <v>45544</v>
      </c>
      <c r="B2168" s="499">
        <v>45545</v>
      </c>
      <c r="C2168" s="500" t="s">
        <v>173</v>
      </c>
      <c r="D2168" s="500" t="s">
        <v>760</v>
      </c>
      <c r="E2168" s="501">
        <v>426286565.31999999</v>
      </c>
      <c r="F2168" s="502" t="s">
        <v>878</v>
      </c>
      <c r="G2168" s="100" t="s">
        <v>636</v>
      </c>
      <c r="H2168" s="530"/>
      <c r="I2168" s="525"/>
      <c r="K2168" s="548"/>
      <c r="L2168" s="548"/>
      <c r="M2168" s="548"/>
      <c r="N2168" s="552"/>
      <c r="Y2168" s="551"/>
    </row>
    <row r="2169" spans="1:25">
      <c r="A2169" s="499">
        <v>45544</v>
      </c>
      <c r="B2169" s="499">
        <v>45545</v>
      </c>
      <c r="C2169" s="500" t="s">
        <v>173</v>
      </c>
      <c r="D2169" s="500" t="s">
        <v>760</v>
      </c>
      <c r="E2169" s="501">
        <v>917653925.53999996</v>
      </c>
      <c r="F2169" s="502" t="s">
        <v>878</v>
      </c>
      <c r="G2169" s="100" t="s">
        <v>634</v>
      </c>
      <c r="H2169" s="530"/>
      <c r="I2169" s="525"/>
      <c r="K2169" s="548"/>
      <c r="L2169" s="548"/>
      <c r="M2169" s="548"/>
      <c r="N2169" s="552"/>
      <c r="Y2169" s="551"/>
    </row>
    <row r="2170" spans="1:25">
      <c r="A2170" s="499">
        <v>45544</v>
      </c>
      <c r="B2170" s="499">
        <v>45545</v>
      </c>
      <c r="C2170" s="500" t="s">
        <v>173</v>
      </c>
      <c r="D2170" s="500" t="s">
        <v>760</v>
      </c>
      <c r="E2170" s="501">
        <v>25017439.239999998</v>
      </c>
      <c r="F2170" s="502" t="s">
        <v>878</v>
      </c>
      <c r="G2170" s="100" t="s">
        <v>802</v>
      </c>
      <c r="H2170" s="530"/>
      <c r="I2170" s="525"/>
      <c r="K2170" s="548"/>
      <c r="L2170" s="548"/>
      <c r="M2170" s="548"/>
      <c r="N2170" s="552"/>
      <c r="Y2170" s="551"/>
    </row>
    <row r="2171" spans="1:25">
      <c r="A2171" s="499">
        <v>45544</v>
      </c>
      <c r="B2171" s="499">
        <v>45545</v>
      </c>
      <c r="C2171" s="500" t="s">
        <v>173</v>
      </c>
      <c r="D2171" s="500" t="s">
        <v>760</v>
      </c>
      <c r="E2171" s="501">
        <v>486356957.95999998</v>
      </c>
      <c r="F2171" s="502" t="s">
        <v>878</v>
      </c>
      <c r="G2171" s="100" t="s">
        <v>94</v>
      </c>
      <c r="H2171" s="530"/>
      <c r="I2171" s="525"/>
      <c r="K2171" s="548"/>
      <c r="L2171" s="548"/>
      <c r="M2171" s="548"/>
      <c r="N2171" s="552"/>
      <c r="Y2171" s="551"/>
    </row>
    <row r="2172" spans="1:25">
      <c r="A2172" s="499">
        <v>45544</v>
      </c>
      <c r="B2172" s="499">
        <v>45545</v>
      </c>
      <c r="C2172" s="500" t="s">
        <v>173</v>
      </c>
      <c r="D2172" s="500" t="s">
        <v>760</v>
      </c>
      <c r="E2172" s="501">
        <v>48035255.100000001</v>
      </c>
      <c r="F2172" s="502" t="s">
        <v>878</v>
      </c>
      <c r="G2172" s="100" t="s">
        <v>94</v>
      </c>
      <c r="H2172" s="530"/>
      <c r="I2172" s="525">
        <v>-1</v>
      </c>
      <c r="K2172" s="548"/>
      <c r="L2172" s="548"/>
      <c r="M2172" s="548"/>
      <c r="N2172" s="552"/>
      <c r="Y2172" s="551"/>
    </row>
    <row r="2173" spans="1:25">
      <c r="A2173" s="499">
        <v>45544</v>
      </c>
      <c r="B2173" s="499">
        <v>45544</v>
      </c>
      <c r="C2173" s="500" t="s">
        <v>173</v>
      </c>
      <c r="D2173" s="500" t="s">
        <v>764</v>
      </c>
      <c r="E2173" s="501">
        <v>-498169339.47000003</v>
      </c>
      <c r="F2173" s="502" t="s">
        <v>878</v>
      </c>
      <c r="G2173" s="100" t="s">
        <v>633</v>
      </c>
      <c r="H2173" s="530"/>
      <c r="I2173" s="525"/>
      <c r="K2173" s="548"/>
      <c r="L2173" s="548"/>
      <c r="M2173" s="548"/>
      <c r="N2173" s="552"/>
      <c r="Y2173" s="551"/>
    </row>
    <row r="2174" spans="1:25">
      <c r="A2174" s="499">
        <v>45544</v>
      </c>
      <c r="B2174" s="499">
        <v>45544</v>
      </c>
      <c r="C2174" s="500" t="s">
        <v>173</v>
      </c>
      <c r="D2174" s="500" t="s">
        <v>764</v>
      </c>
      <c r="E2174" s="501">
        <v>-3402836689.6399999</v>
      </c>
      <c r="F2174" s="502" t="s">
        <v>878</v>
      </c>
      <c r="G2174" s="100" t="s">
        <v>684</v>
      </c>
      <c r="H2174" s="530"/>
      <c r="I2174" s="525"/>
      <c r="K2174" s="548"/>
      <c r="L2174" s="548"/>
      <c r="M2174" s="548"/>
      <c r="N2174" s="552"/>
      <c r="Y2174" s="551"/>
    </row>
    <row r="2175" spans="1:25">
      <c r="A2175" s="499">
        <v>45544</v>
      </c>
      <c r="B2175" s="499">
        <v>45544</v>
      </c>
      <c r="C2175" s="500" t="s">
        <v>173</v>
      </c>
      <c r="D2175" s="500" t="s">
        <v>764</v>
      </c>
      <c r="E2175" s="501">
        <v>-13000773.449999999</v>
      </c>
      <c r="F2175" s="502" t="s">
        <v>878</v>
      </c>
      <c r="G2175" s="100" t="s">
        <v>682</v>
      </c>
      <c r="H2175" s="530"/>
      <c r="I2175" s="525"/>
      <c r="K2175" s="548"/>
      <c r="L2175" s="548"/>
      <c r="M2175" s="548"/>
      <c r="N2175" s="552"/>
      <c r="Y2175" s="551"/>
    </row>
    <row r="2176" spans="1:25">
      <c r="A2176" s="499">
        <v>45544</v>
      </c>
      <c r="B2176" s="499">
        <v>45545</v>
      </c>
      <c r="C2176" s="500" t="s">
        <v>173</v>
      </c>
      <c r="D2176" s="500" t="s">
        <v>764</v>
      </c>
      <c r="E2176" s="501">
        <v>498350368.22000003</v>
      </c>
      <c r="F2176" s="502" t="s">
        <v>878</v>
      </c>
      <c r="G2176" s="100" t="s">
        <v>633</v>
      </c>
      <c r="H2176" s="530"/>
      <c r="I2176" s="525"/>
      <c r="K2176" s="548"/>
      <c r="L2176" s="548"/>
      <c r="M2176" s="548"/>
      <c r="N2176" s="552"/>
      <c r="Y2176" s="551"/>
    </row>
    <row r="2177" spans="1:25">
      <c r="A2177" s="499">
        <v>45544</v>
      </c>
      <c r="B2177" s="499">
        <v>45551</v>
      </c>
      <c r="C2177" s="500" t="s">
        <v>173</v>
      </c>
      <c r="D2177" s="500" t="s">
        <v>764</v>
      </c>
      <c r="E2177" s="501">
        <v>3411557620.8299999</v>
      </c>
      <c r="F2177" s="502" t="s">
        <v>878</v>
      </c>
      <c r="G2177" s="100" t="s">
        <v>684</v>
      </c>
      <c r="H2177" s="530"/>
      <c r="I2177" s="525"/>
      <c r="K2177" s="548"/>
      <c r="L2177" s="548"/>
      <c r="M2177" s="548"/>
      <c r="N2177" s="552"/>
      <c r="Y2177" s="551"/>
    </row>
    <row r="2178" spans="1:25">
      <c r="A2178" s="499">
        <v>45544</v>
      </c>
      <c r="B2178" s="499">
        <v>45551</v>
      </c>
      <c r="C2178" s="500" t="s">
        <v>173</v>
      </c>
      <c r="D2178" s="500" t="s">
        <v>764</v>
      </c>
      <c r="E2178" s="501">
        <v>13034092.369999999</v>
      </c>
      <c r="F2178" s="502" t="s">
        <v>878</v>
      </c>
      <c r="G2178" s="100" t="s">
        <v>682</v>
      </c>
      <c r="H2178" s="530"/>
      <c r="I2178" s="525"/>
      <c r="K2178" s="548"/>
      <c r="L2178" s="548"/>
      <c r="M2178" s="548"/>
      <c r="N2178" s="552"/>
      <c r="Y2178" s="551"/>
    </row>
    <row r="2179" spans="1:25">
      <c r="A2179" s="499">
        <v>45544</v>
      </c>
      <c r="B2179" s="499">
        <v>45544</v>
      </c>
      <c r="C2179" s="500" t="s">
        <v>173</v>
      </c>
      <c r="D2179" s="500" t="s">
        <v>763</v>
      </c>
      <c r="E2179" s="501">
        <v>-1455494756.8899989</v>
      </c>
      <c r="F2179" s="502" t="s">
        <v>878</v>
      </c>
      <c r="G2179" s="100" t="s">
        <v>634</v>
      </c>
      <c r="H2179" s="530"/>
      <c r="I2179" s="525"/>
      <c r="K2179" s="548"/>
      <c r="L2179" s="548"/>
      <c r="M2179" s="548"/>
      <c r="N2179" s="552"/>
      <c r="Y2179" s="551"/>
    </row>
    <row r="2180" spans="1:25">
      <c r="A2180" s="499">
        <v>45544</v>
      </c>
      <c r="B2180" s="499">
        <v>45544</v>
      </c>
      <c r="C2180" s="500" t="s">
        <v>173</v>
      </c>
      <c r="D2180" s="500" t="s">
        <v>763</v>
      </c>
      <c r="E2180" s="501">
        <v>-4847647829.4799995</v>
      </c>
      <c r="F2180" s="502" t="s">
        <v>878</v>
      </c>
      <c r="G2180" s="100" t="s">
        <v>634</v>
      </c>
      <c r="H2180" s="530"/>
      <c r="I2180" s="525"/>
      <c r="K2180" s="548"/>
      <c r="L2180" s="548"/>
      <c r="M2180" s="548"/>
      <c r="N2180" s="552"/>
      <c r="Y2180" s="551"/>
    </row>
    <row r="2181" spans="1:25">
      <c r="A2181" s="499">
        <v>45544</v>
      </c>
      <c r="B2181" s="499">
        <v>45544</v>
      </c>
      <c r="C2181" s="500" t="s">
        <v>173</v>
      </c>
      <c r="D2181" s="500" t="s">
        <v>763</v>
      </c>
      <c r="E2181" s="501">
        <v>-26008841.019999988</v>
      </c>
      <c r="F2181" s="502" t="s">
        <v>878</v>
      </c>
      <c r="G2181" s="100" t="s">
        <v>634</v>
      </c>
      <c r="H2181" s="530"/>
      <c r="I2181" s="525"/>
      <c r="K2181" s="548"/>
      <c r="L2181" s="548"/>
      <c r="M2181" s="548"/>
      <c r="N2181" s="552"/>
      <c r="Y2181" s="551"/>
    </row>
    <row r="2182" spans="1:25">
      <c r="A2182" s="499">
        <v>45544</v>
      </c>
      <c r="B2182" s="499">
        <v>45545</v>
      </c>
      <c r="C2182" s="500" t="s">
        <v>173</v>
      </c>
      <c r="D2182" s="500" t="s">
        <v>763</v>
      </c>
      <c r="E2182" s="501">
        <v>1456016110.3399999</v>
      </c>
      <c r="F2182" s="502" t="s">
        <v>878</v>
      </c>
      <c r="G2182" s="100" t="s">
        <v>634</v>
      </c>
      <c r="H2182" s="530"/>
      <c r="I2182" s="525"/>
      <c r="K2182" s="548"/>
      <c r="L2182" s="548"/>
      <c r="M2182" s="548"/>
      <c r="N2182" s="552"/>
      <c r="Y2182" s="551"/>
    </row>
    <row r="2183" spans="1:25">
      <c r="A2183" s="499">
        <v>45544</v>
      </c>
      <c r="B2183" s="499">
        <v>45545</v>
      </c>
      <c r="C2183" s="500" t="s">
        <v>173</v>
      </c>
      <c r="D2183" s="500" t="s">
        <v>763</v>
      </c>
      <c r="E2183" s="501">
        <v>4849384241.04</v>
      </c>
      <c r="F2183" s="502" t="s">
        <v>878</v>
      </c>
      <c r="G2183" s="100" t="s">
        <v>634</v>
      </c>
      <c r="H2183" s="530"/>
      <c r="I2183" s="525"/>
      <c r="K2183" s="548"/>
      <c r="L2183" s="548"/>
      <c r="M2183" s="548"/>
      <c r="N2183" s="552"/>
      <c r="Y2183" s="551"/>
    </row>
    <row r="2184" spans="1:25">
      <c r="A2184" s="499">
        <v>45544</v>
      </c>
      <c r="B2184" s="499">
        <v>45545</v>
      </c>
      <c r="C2184" s="500" t="s">
        <v>173</v>
      </c>
      <c r="D2184" s="500" t="s">
        <v>763</v>
      </c>
      <c r="E2184" s="501">
        <v>26018157.300000001</v>
      </c>
      <c r="F2184" s="502" t="s">
        <v>878</v>
      </c>
      <c r="G2184" s="100" t="s">
        <v>634</v>
      </c>
      <c r="H2184" s="530"/>
      <c r="I2184" s="525"/>
      <c r="K2184" s="548"/>
      <c r="L2184" s="548"/>
      <c r="M2184" s="548"/>
      <c r="N2184" s="552"/>
      <c r="Y2184" s="551"/>
    </row>
    <row r="2185" spans="1:25">
      <c r="A2185" s="499">
        <v>45545</v>
      </c>
      <c r="B2185" s="499">
        <v>45545</v>
      </c>
      <c r="C2185" s="500" t="s">
        <v>173</v>
      </c>
      <c r="D2185" s="500" t="s">
        <v>762</v>
      </c>
      <c r="E2185" s="501">
        <v>-1905231929.9400001</v>
      </c>
      <c r="F2185" s="502" t="s">
        <v>878</v>
      </c>
      <c r="G2185" s="100" t="s">
        <v>677</v>
      </c>
      <c r="H2185" s="530"/>
      <c r="I2185" s="525"/>
      <c r="K2185" s="548"/>
      <c r="L2185" s="548"/>
      <c r="M2185" s="548"/>
      <c r="N2185" s="552"/>
      <c r="Y2185" s="551"/>
    </row>
    <row r="2186" spans="1:25">
      <c r="A2186" s="499">
        <v>45545</v>
      </c>
      <c r="B2186" s="499">
        <v>45545</v>
      </c>
      <c r="C2186" s="500" t="s">
        <v>173</v>
      </c>
      <c r="D2186" s="500" t="s">
        <v>762</v>
      </c>
      <c r="E2186" s="501">
        <v>-366218359.25999999</v>
      </c>
      <c r="F2186" s="502" t="s">
        <v>878</v>
      </c>
      <c r="G2186" s="100" t="s">
        <v>656</v>
      </c>
      <c r="H2186" s="530"/>
      <c r="I2186" s="525"/>
      <c r="K2186" s="548"/>
      <c r="L2186" s="548"/>
      <c r="M2186" s="548"/>
      <c r="N2186" s="552"/>
      <c r="Y2186" s="551"/>
    </row>
    <row r="2187" spans="1:25">
      <c r="A2187" s="499">
        <v>45545</v>
      </c>
      <c r="B2187" s="499">
        <v>45545</v>
      </c>
      <c r="C2187" s="500" t="s">
        <v>173</v>
      </c>
      <c r="D2187" s="500" t="s">
        <v>762</v>
      </c>
      <c r="E2187" s="501">
        <v>-3702449234</v>
      </c>
      <c r="F2187" s="502" t="s">
        <v>878</v>
      </c>
      <c r="G2187" s="100" t="s">
        <v>654</v>
      </c>
      <c r="H2187" s="530"/>
      <c r="I2187" s="525"/>
      <c r="K2187" s="548"/>
      <c r="L2187" s="548"/>
      <c r="M2187" s="548"/>
      <c r="N2187" s="552"/>
      <c r="Y2187" s="551"/>
    </row>
    <row r="2188" spans="1:25">
      <c r="A2188" s="499">
        <v>45545</v>
      </c>
      <c r="B2188" s="499">
        <v>45545</v>
      </c>
      <c r="C2188" s="500" t="s">
        <v>173</v>
      </c>
      <c r="D2188" s="500" t="s">
        <v>762</v>
      </c>
      <c r="E2188" s="501">
        <v>-191013169.06999999</v>
      </c>
      <c r="F2188" s="502" t="s">
        <v>878</v>
      </c>
      <c r="G2188" s="100" t="s">
        <v>644</v>
      </c>
      <c r="H2188" s="530"/>
      <c r="I2188" s="525"/>
      <c r="K2188" s="548"/>
      <c r="L2188" s="548"/>
      <c r="M2188" s="548"/>
      <c r="N2188" s="552"/>
      <c r="Y2188" s="551"/>
    </row>
    <row r="2189" spans="1:25">
      <c r="A2189" s="499">
        <v>45545</v>
      </c>
      <c r="B2189" s="499">
        <v>45546</v>
      </c>
      <c r="C2189" s="500" t="s">
        <v>173</v>
      </c>
      <c r="D2189" s="500" t="s">
        <v>762</v>
      </c>
      <c r="E2189" s="501">
        <v>1905945095.73</v>
      </c>
      <c r="F2189" s="502" t="s">
        <v>878</v>
      </c>
      <c r="G2189" s="100" t="s">
        <v>677</v>
      </c>
      <c r="H2189" s="530"/>
      <c r="I2189" s="525"/>
      <c r="K2189" s="548"/>
      <c r="L2189" s="548"/>
      <c r="M2189" s="548"/>
      <c r="N2189" s="552"/>
      <c r="Y2189" s="551"/>
    </row>
    <row r="2190" spans="1:25">
      <c r="A2190" s="499">
        <v>45545</v>
      </c>
      <c r="B2190" s="499">
        <v>45546</v>
      </c>
      <c r="C2190" s="500" t="s">
        <v>173</v>
      </c>
      <c r="D2190" s="500" t="s">
        <v>762</v>
      </c>
      <c r="E2190" s="501">
        <v>366355442</v>
      </c>
      <c r="F2190" s="502" t="s">
        <v>878</v>
      </c>
      <c r="G2190" s="100" t="s">
        <v>656</v>
      </c>
      <c r="H2190" s="530"/>
      <c r="I2190" s="525"/>
      <c r="K2190" s="548"/>
      <c r="L2190" s="548"/>
      <c r="M2190" s="548"/>
      <c r="N2190" s="552"/>
      <c r="Y2190" s="551"/>
    </row>
    <row r="2191" spans="1:25">
      <c r="A2191" s="499">
        <v>45545</v>
      </c>
      <c r="B2191" s="499">
        <v>45546</v>
      </c>
      <c r="C2191" s="500" t="s">
        <v>173</v>
      </c>
      <c r="D2191" s="500" t="s">
        <v>762</v>
      </c>
      <c r="E2191" s="501">
        <v>3703835133.5799999</v>
      </c>
      <c r="F2191" s="502" t="s">
        <v>878</v>
      </c>
      <c r="G2191" s="100" t="s">
        <v>654</v>
      </c>
      <c r="H2191" s="530"/>
      <c r="I2191" s="525"/>
      <c r="K2191" s="548"/>
      <c r="L2191" s="548"/>
      <c r="M2191" s="548"/>
      <c r="N2191" s="552"/>
      <c r="Y2191" s="551"/>
    </row>
    <row r="2192" spans="1:25">
      <c r="A2192" s="499">
        <v>45545</v>
      </c>
      <c r="B2192" s="499">
        <v>45546</v>
      </c>
      <c r="C2192" s="500" t="s">
        <v>173</v>
      </c>
      <c r="D2192" s="500" t="s">
        <v>762</v>
      </c>
      <c r="E2192" s="501">
        <v>191081067.99000001</v>
      </c>
      <c r="F2192" s="502" t="s">
        <v>878</v>
      </c>
      <c r="G2192" s="100" t="s">
        <v>644</v>
      </c>
      <c r="H2192" s="530"/>
      <c r="I2192" s="525"/>
      <c r="K2192" s="548"/>
      <c r="L2192" s="548"/>
      <c r="M2192" s="548"/>
      <c r="N2192" s="552"/>
      <c r="Y2192" s="551"/>
    </row>
    <row r="2193" spans="1:25">
      <c r="A2193" s="499">
        <v>45545</v>
      </c>
      <c r="B2193" s="499">
        <v>45545</v>
      </c>
      <c r="C2193" s="500" t="s">
        <v>173</v>
      </c>
      <c r="D2193" s="500" t="s">
        <v>762</v>
      </c>
      <c r="E2193" s="501">
        <v>-1500000000</v>
      </c>
      <c r="F2193" s="502" t="s">
        <v>906</v>
      </c>
      <c r="G2193" s="100" t="s">
        <v>925</v>
      </c>
      <c r="H2193" s="530"/>
      <c r="I2193" s="525" t="s">
        <v>926</v>
      </c>
      <c r="K2193" s="548">
        <v>114008491</v>
      </c>
      <c r="L2193" s="549">
        <v>100</v>
      </c>
      <c r="M2193" s="549">
        <f>E2193*(-1)/(N2193*O2193)*100</f>
        <v>100</v>
      </c>
      <c r="N2193" s="549">
        <v>1500000</v>
      </c>
      <c r="O2193" s="539">
        <v>1000</v>
      </c>
      <c r="T2193" s="553">
        <v>13.87</v>
      </c>
      <c r="U2193" s="538">
        <v>0</v>
      </c>
      <c r="V2193" s="538">
        <v>0</v>
      </c>
      <c r="W2193" s="550">
        <f>VLOOKUP(G2193,Справочник!A:C,3,0)</f>
        <v>0.13869999999999999</v>
      </c>
      <c r="X2193" s="539" t="str">
        <f>VLOOKUP(G2193,Справочник!A:G,7,0)</f>
        <v>АО "Национальный управляющий холдинг "Байтерек"</v>
      </c>
      <c r="Y2193" s="551">
        <f>VLOOKUP(G2193,Справочник!A:B,2,0)</f>
        <v>45910</v>
      </c>
    </row>
    <row r="2194" spans="1:25">
      <c r="A2194" s="499">
        <v>45545</v>
      </c>
      <c r="B2194" s="499">
        <v>45545</v>
      </c>
      <c r="C2194" s="500" t="s">
        <v>173</v>
      </c>
      <c r="D2194" s="500" t="s">
        <v>759</v>
      </c>
      <c r="E2194" s="501">
        <v>-1995160043.6900001</v>
      </c>
      <c r="F2194" s="502" t="s">
        <v>878</v>
      </c>
      <c r="G2194" s="100" t="s">
        <v>634</v>
      </c>
      <c r="H2194" s="484"/>
      <c r="I2194" s="525"/>
      <c r="K2194" s="548"/>
      <c r="L2194" s="548"/>
      <c r="M2194" s="548"/>
      <c r="N2194" s="552"/>
      <c r="Y2194" s="551"/>
    </row>
    <row r="2195" spans="1:25">
      <c r="A2195" s="499">
        <v>45545</v>
      </c>
      <c r="B2195" s="499">
        <v>45545</v>
      </c>
      <c r="C2195" s="500" t="s">
        <v>173</v>
      </c>
      <c r="D2195" s="500" t="s">
        <v>759</v>
      </c>
      <c r="E2195" s="501">
        <v>-8018258</v>
      </c>
      <c r="F2195" s="502" t="s">
        <v>878</v>
      </c>
      <c r="G2195" s="100" t="s">
        <v>836</v>
      </c>
      <c r="H2195" s="484"/>
      <c r="I2195" s="525"/>
      <c r="K2195" s="548"/>
      <c r="L2195" s="548"/>
      <c r="M2195" s="548"/>
      <c r="N2195" s="552"/>
      <c r="Y2195" s="551"/>
    </row>
    <row r="2196" spans="1:25">
      <c r="A2196" s="499">
        <v>45545</v>
      </c>
      <c r="B2196" s="499">
        <v>45546</v>
      </c>
      <c r="C2196" s="500" t="s">
        <v>173</v>
      </c>
      <c r="D2196" s="500" t="s">
        <v>759</v>
      </c>
      <c r="E2196" s="501">
        <v>1995923230.5699999</v>
      </c>
      <c r="F2196" s="502" t="s">
        <v>878</v>
      </c>
      <c r="G2196" s="100" t="s">
        <v>634</v>
      </c>
      <c r="H2196" s="530"/>
      <c r="I2196" s="525"/>
      <c r="K2196" s="548"/>
      <c r="L2196" s="548"/>
      <c r="M2196" s="548"/>
      <c r="N2196" s="552"/>
      <c r="Y2196" s="551"/>
    </row>
    <row r="2197" spans="1:25">
      <c r="A2197" s="499">
        <v>45545</v>
      </c>
      <c r="B2197" s="499">
        <v>45546</v>
      </c>
      <c r="C2197" s="500" t="s">
        <v>173</v>
      </c>
      <c r="D2197" s="500" t="s">
        <v>759</v>
      </c>
      <c r="E2197" s="501">
        <v>8021215.5999999996</v>
      </c>
      <c r="F2197" s="502" t="s">
        <v>878</v>
      </c>
      <c r="G2197" s="100" t="s">
        <v>836</v>
      </c>
      <c r="H2197" s="530"/>
      <c r="I2197" s="525"/>
      <c r="K2197" s="548"/>
      <c r="L2197" s="548"/>
      <c r="M2197" s="548"/>
      <c r="N2197" s="552"/>
      <c r="Y2197" s="551"/>
    </row>
    <row r="2198" spans="1:25">
      <c r="A2198" s="499">
        <v>45545</v>
      </c>
      <c r="B2198" s="499">
        <v>45545</v>
      </c>
      <c r="C2198" s="500" t="s">
        <v>173</v>
      </c>
      <c r="D2198" s="500" t="s">
        <v>760</v>
      </c>
      <c r="E2198" s="501">
        <v>-1222459548.6199999</v>
      </c>
      <c r="F2198" s="502" t="s">
        <v>878</v>
      </c>
      <c r="G2198" s="100" t="s">
        <v>139</v>
      </c>
      <c r="H2198" s="530"/>
      <c r="I2198" s="525"/>
      <c r="K2198" s="548"/>
      <c r="L2198" s="548"/>
      <c r="M2198" s="548"/>
      <c r="N2198" s="552"/>
      <c r="Y2198" s="551"/>
    </row>
    <row r="2199" spans="1:25">
      <c r="A2199" s="499">
        <v>45545</v>
      </c>
      <c r="B2199" s="499">
        <v>45545</v>
      </c>
      <c r="C2199" s="500" t="s">
        <v>173</v>
      </c>
      <c r="D2199" s="500" t="s">
        <v>760</v>
      </c>
      <c r="E2199" s="501">
        <v>-36005286.240000002</v>
      </c>
      <c r="F2199" s="502" t="s">
        <v>878</v>
      </c>
      <c r="G2199" s="100" t="s">
        <v>422</v>
      </c>
      <c r="H2199" s="530"/>
      <c r="I2199" s="525"/>
      <c r="K2199" s="548"/>
      <c r="L2199" s="548"/>
      <c r="M2199" s="548"/>
      <c r="N2199" s="552"/>
      <c r="Y2199" s="551"/>
    </row>
    <row r="2200" spans="1:25">
      <c r="A2200" s="499">
        <v>45545</v>
      </c>
      <c r="B2200" s="499">
        <v>45546</v>
      </c>
      <c r="C2200" s="500" t="s">
        <v>173</v>
      </c>
      <c r="D2200" s="500" t="s">
        <v>760</v>
      </c>
      <c r="E2200" s="501">
        <v>1222917129.26</v>
      </c>
      <c r="F2200" s="502" t="s">
        <v>878</v>
      </c>
      <c r="G2200" s="100" t="s">
        <v>139</v>
      </c>
      <c r="H2200" s="530"/>
      <c r="I2200" s="525"/>
      <c r="K2200" s="548"/>
      <c r="L2200" s="548"/>
      <c r="M2200" s="548"/>
      <c r="N2200" s="552"/>
      <c r="Y2200" s="551"/>
    </row>
    <row r="2201" spans="1:25">
      <c r="A2201" s="499">
        <v>45545</v>
      </c>
      <c r="B2201" s="499">
        <v>45546</v>
      </c>
      <c r="C2201" s="500" t="s">
        <v>173</v>
      </c>
      <c r="D2201" s="500" t="s">
        <v>760</v>
      </c>
      <c r="E2201" s="501">
        <v>36018960.380000003</v>
      </c>
      <c r="F2201" s="502" t="s">
        <v>878</v>
      </c>
      <c r="G2201" s="100" t="s">
        <v>422</v>
      </c>
      <c r="H2201" s="530"/>
      <c r="I2201" s="525"/>
      <c r="K2201" s="548"/>
      <c r="L2201" s="548"/>
      <c r="M2201" s="548"/>
      <c r="N2201" s="552"/>
      <c r="Y2201" s="551"/>
    </row>
    <row r="2202" spans="1:25">
      <c r="A2202" s="499">
        <v>45545</v>
      </c>
      <c r="B2202" s="499">
        <v>45545</v>
      </c>
      <c r="C2202" s="500" t="s">
        <v>173</v>
      </c>
      <c r="D2202" s="500" t="s">
        <v>760</v>
      </c>
      <c r="E2202" s="501">
        <v>-1100000000</v>
      </c>
      <c r="F2202" s="502" t="s">
        <v>906</v>
      </c>
      <c r="G2202" s="100" t="s">
        <v>925</v>
      </c>
      <c r="H2202" s="530"/>
      <c r="I2202" s="525" t="s">
        <v>926</v>
      </c>
      <c r="K2202" s="548">
        <v>114008486</v>
      </c>
      <c r="L2202" s="549">
        <v>100</v>
      </c>
      <c r="M2202" s="549">
        <f>-E2202/(N2202*O2202)*100</f>
        <v>100</v>
      </c>
      <c r="N2202" s="549">
        <v>1100000</v>
      </c>
      <c r="O2202" s="539">
        <v>1000</v>
      </c>
      <c r="P2202" s="539">
        <v>100</v>
      </c>
      <c r="T2202" s="538">
        <v>13.87</v>
      </c>
      <c r="U2202" s="538">
        <v>0</v>
      </c>
      <c r="V2202" s="538">
        <v>0</v>
      </c>
      <c r="W2202" s="550">
        <f>VLOOKUP(G2202,Справочник!A:C,3,0)</f>
        <v>0.13869999999999999</v>
      </c>
      <c r="X2202" s="539" t="str">
        <f>VLOOKUP(G2202,Справочник!A:G,7,0)</f>
        <v>АО "Национальный управляющий холдинг "Байтерек"</v>
      </c>
      <c r="Y2202" s="551">
        <f>VLOOKUP(G2202,Справочник!A:B,2,0)</f>
        <v>45910</v>
      </c>
    </row>
    <row r="2203" spans="1:25">
      <c r="A2203" s="499">
        <v>45545</v>
      </c>
      <c r="B2203" s="499">
        <v>45545</v>
      </c>
      <c r="C2203" s="500" t="s">
        <v>173</v>
      </c>
      <c r="D2203" s="500" t="s">
        <v>764</v>
      </c>
      <c r="E2203" s="501">
        <v>-154131307.33000001</v>
      </c>
      <c r="F2203" s="502" t="s">
        <v>878</v>
      </c>
      <c r="G2203" s="100" t="s">
        <v>648</v>
      </c>
      <c r="H2203" s="530"/>
      <c r="I2203" s="525"/>
      <c r="K2203" s="548"/>
      <c r="L2203" s="548"/>
      <c r="M2203" s="548"/>
      <c r="N2203" s="552"/>
      <c r="Y2203" s="551"/>
    </row>
    <row r="2204" spans="1:25">
      <c r="A2204" s="499">
        <v>45545</v>
      </c>
      <c r="B2204" s="499">
        <v>45545</v>
      </c>
      <c r="C2204" s="500" t="s">
        <v>173</v>
      </c>
      <c r="D2204" s="500" t="s">
        <v>764</v>
      </c>
      <c r="E2204" s="501">
        <v>-345054660.07999998</v>
      </c>
      <c r="F2204" s="502" t="s">
        <v>878</v>
      </c>
      <c r="G2204" s="100" t="s">
        <v>705</v>
      </c>
      <c r="H2204" s="530"/>
      <c r="I2204" s="525"/>
      <c r="K2204" s="548"/>
      <c r="L2204" s="548"/>
      <c r="M2204" s="548"/>
      <c r="N2204" s="552"/>
      <c r="Y2204" s="551"/>
    </row>
    <row r="2205" spans="1:25">
      <c r="A2205" s="499">
        <v>45545</v>
      </c>
      <c r="B2205" s="499">
        <v>45546</v>
      </c>
      <c r="C2205" s="500" t="s">
        <v>173</v>
      </c>
      <c r="D2205" s="500" t="s">
        <v>764</v>
      </c>
      <c r="E2205" s="501">
        <v>154189843.53999999</v>
      </c>
      <c r="F2205" s="502" t="s">
        <v>878</v>
      </c>
      <c r="G2205" s="100" t="s">
        <v>648</v>
      </c>
      <c r="H2205" s="530"/>
      <c r="I2205" s="525"/>
      <c r="K2205" s="548"/>
      <c r="L2205" s="548"/>
      <c r="M2205" s="548"/>
      <c r="N2205" s="552"/>
      <c r="Y2205" s="551"/>
    </row>
    <row r="2206" spans="1:25">
      <c r="A2206" s="499">
        <v>45545</v>
      </c>
      <c r="B2206" s="499">
        <v>45546</v>
      </c>
      <c r="C2206" s="500" t="s">
        <v>173</v>
      </c>
      <c r="D2206" s="500" t="s">
        <v>764</v>
      </c>
      <c r="E2206" s="501">
        <v>345177974.69999999</v>
      </c>
      <c r="F2206" s="502" t="s">
        <v>878</v>
      </c>
      <c r="G2206" s="100" t="s">
        <v>705</v>
      </c>
      <c r="H2206" s="530"/>
      <c r="I2206" s="525"/>
      <c r="K2206" s="548"/>
      <c r="L2206" s="548"/>
      <c r="M2206" s="548"/>
      <c r="N2206" s="552"/>
      <c r="Y2206" s="551"/>
    </row>
    <row r="2207" spans="1:25">
      <c r="A2207" s="499">
        <v>45545</v>
      </c>
      <c r="B2207" s="499">
        <v>45545</v>
      </c>
      <c r="C2207" s="500" t="s">
        <v>173</v>
      </c>
      <c r="D2207" s="500" t="s">
        <v>763</v>
      </c>
      <c r="E2207" s="501">
        <v>-6305010109.8999987</v>
      </c>
      <c r="F2207" s="502" t="s">
        <v>878</v>
      </c>
      <c r="G2207" s="100" t="s">
        <v>551</v>
      </c>
      <c r="H2207" s="530">
        <v>-1</v>
      </c>
      <c r="I2207" s="525"/>
      <c r="K2207" s="548"/>
      <c r="L2207" s="548"/>
      <c r="M2207" s="548"/>
      <c r="N2207" s="552"/>
      <c r="Y2207" s="551"/>
    </row>
    <row r="2208" spans="1:25">
      <c r="A2208" s="499">
        <v>45545</v>
      </c>
      <c r="B2208" s="499">
        <v>45545</v>
      </c>
      <c r="C2208" s="500" t="s">
        <v>173</v>
      </c>
      <c r="D2208" s="500" t="s">
        <v>763</v>
      </c>
      <c r="E2208" s="501">
        <v>-26008291.739999991</v>
      </c>
      <c r="F2208" s="502" t="s">
        <v>878</v>
      </c>
      <c r="G2208" s="100" t="s">
        <v>551</v>
      </c>
      <c r="H2208" s="530"/>
      <c r="I2208" s="525"/>
      <c r="K2208" s="548"/>
      <c r="L2208" s="548"/>
      <c r="M2208" s="548"/>
      <c r="N2208" s="552"/>
      <c r="Y2208" s="551"/>
    </row>
    <row r="2209" spans="1:25">
      <c r="A2209" s="499">
        <v>45545</v>
      </c>
      <c r="B2209" s="499">
        <v>45545</v>
      </c>
      <c r="C2209" s="500" t="s">
        <v>173</v>
      </c>
      <c r="D2209" s="500" t="s">
        <v>763</v>
      </c>
      <c r="E2209" s="501">
        <v>-1000376.06</v>
      </c>
      <c r="F2209" s="502" t="s">
        <v>878</v>
      </c>
      <c r="G2209" s="100" t="s">
        <v>139</v>
      </c>
      <c r="H2209" s="530"/>
      <c r="I2209" s="525"/>
      <c r="K2209" s="548"/>
      <c r="L2209" s="548"/>
      <c r="M2209" s="548"/>
      <c r="N2209" s="552"/>
      <c r="Y2209" s="551"/>
    </row>
    <row r="2210" spans="1:25">
      <c r="A2210" s="499">
        <v>45545</v>
      </c>
      <c r="B2210" s="499">
        <v>45546</v>
      </c>
      <c r="C2210" s="500" t="s">
        <v>173</v>
      </c>
      <c r="D2210" s="500" t="s">
        <v>763</v>
      </c>
      <c r="E2210" s="501">
        <v>6307294470.1899996</v>
      </c>
      <c r="F2210" s="502" t="s">
        <v>878</v>
      </c>
      <c r="G2210" s="100" t="s">
        <v>551</v>
      </c>
      <c r="H2210" s="530"/>
      <c r="I2210" s="525"/>
      <c r="K2210" s="548"/>
      <c r="L2210" s="548"/>
      <c r="M2210" s="548"/>
      <c r="N2210" s="552"/>
      <c r="Y2210" s="551"/>
    </row>
    <row r="2211" spans="1:25">
      <c r="A2211" s="499">
        <v>45545</v>
      </c>
      <c r="B2211" s="499">
        <v>45546</v>
      </c>
      <c r="C2211" s="500" t="s">
        <v>173</v>
      </c>
      <c r="D2211" s="500" t="s">
        <v>763</v>
      </c>
      <c r="E2211" s="501">
        <v>26017714.77</v>
      </c>
      <c r="F2211" s="502" t="s">
        <v>878</v>
      </c>
      <c r="G2211" s="100" t="s">
        <v>551</v>
      </c>
      <c r="H2211" s="530"/>
      <c r="I2211" s="525"/>
      <c r="K2211" s="548"/>
      <c r="L2211" s="548"/>
      <c r="M2211" s="548"/>
      <c r="N2211" s="552"/>
      <c r="Y2211" s="551"/>
    </row>
    <row r="2212" spans="1:25">
      <c r="A2212" s="499">
        <v>45545</v>
      </c>
      <c r="B2212" s="499">
        <v>45546</v>
      </c>
      <c r="C2212" s="500" t="s">
        <v>173</v>
      </c>
      <c r="D2212" s="500" t="s">
        <v>763</v>
      </c>
      <c r="E2212" s="501">
        <v>1000742.32</v>
      </c>
      <c r="F2212" s="502" t="s">
        <v>878</v>
      </c>
      <c r="G2212" s="100" t="s">
        <v>139</v>
      </c>
      <c r="H2212" s="530"/>
      <c r="I2212" s="525"/>
      <c r="K2212" s="548"/>
      <c r="L2212" s="548"/>
      <c r="M2212" s="548"/>
      <c r="N2212" s="552"/>
      <c r="Y2212" s="551"/>
    </row>
    <row r="2213" spans="1:25">
      <c r="A2213" s="499">
        <v>45546</v>
      </c>
      <c r="B2213" s="499">
        <v>45546</v>
      </c>
      <c r="C2213" s="500" t="s">
        <v>173</v>
      </c>
      <c r="D2213" s="500" t="s">
        <v>762</v>
      </c>
      <c r="E2213" s="501">
        <v>-4484270331.3900003</v>
      </c>
      <c r="F2213" s="502" t="s">
        <v>878</v>
      </c>
      <c r="G2213" s="100" t="s">
        <v>687</v>
      </c>
      <c r="H2213" s="530"/>
      <c r="I2213" s="525"/>
      <c r="K2213" s="548"/>
      <c r="L2213" s="548"/>
      <c r="M2213" s="548"/>
      <c r="N2213" s="552"/>
      <c r="Y2213" s="551"/>
    </row>
    <row r="2214" spans="1:25">
      <c r="A2214" s="499">
        <v>45546</v>
      </c>
      <c r="B2214" s="499">
        <v>45546</v>
      </c>
      <c r="C2214" s="500" t="s">
        <v>173</v>
      </c>
      <c r="D2214" s="500" t="s">
        <v>762</v>
      </c>
      <c r="E2214" s="501">
        <v>-1656072443.3800001</v>
      </c>
      <c r="F2214" s="502" t="s">
        <v>878</v>
      </c>
      <c r="G2214" s="100" t="s">
        <v>816</v>
      </c>
      <c r="H2214" s="530"/>
      <c r="I2214" s="525"/>
      <c r="K2214" s="548"/>
      <c r="L2214" s="548"/>
      <c r="M2214" s="548"/>
      <c r="N2214" s="552"/>
      <c r="Y2214" s="551"/>
    </row>
    <row r="2215" spans="1:25">
      <c r="A2215" s="499">
        <v>45546</v>
      </c>
      <c r="B2215" s="499">
        <v>45546</v>
      </c>
      <c r="C2215" s="500" t="s">
        <v>173</v>
      </c>
      <c r="D2215" s="500" t="s">
        <v>762</v>
      </c>
      <c r="E2215" s="501">
        <v>-26001137.399999999</v>
      </c>
      <c r="F2215" s="502" t="s">
        <v>878</v>
      </c>
      <c r="G2215" s="100" t="s">
        <v>816</v>
      </c>
      <c r="H2215" s="530"/>
      <c r="I2215" s="525"/>
      <c r="K2215" s="548"/>
      <c r="L2215" s="548"/>
      <c r="M2215" s="548"/>
      <c r="N2215" s="552"/>
      <c r="Y2215" s="551"/>
    </row>
    <row r="2216" spans="1:25">
      <c r="A2216" s="499">
        <v>45546</v>
      </c>
      <c r="B2216" s="499">
        <v>45547</v>
      </c>
      <c r="C2216" s="500" t="s">
        <v>173</v>
      </c>
      <c r="D2216" s="500" t="s">
        <v>762</v>
      </c>
      <c r="E2216" s="501">
        <v>4485926815.9499998</v>
      </c>
      <c r="F2216" s="502" t="s">
        <v>878</v>
      </c>
      <c r="G2216" s="100" t="s">
        <v>687</v>
      </c>
      <c r="H2216" s="530"/>
      <c r="I2216" s="525"/>
      <c r="K2216" s="548"/>
      <c r="L2216" s="548"/>
      <c r="M2216" s="548"/>
      <c r="N2216" s="552"/>
      <c r="Y2216" s="551"/>
    </row>
    <row r="2217" spans="1:25">
      <c r="A2217" s="499">
        <v>45546</v>
      </c>
      <c r="B2217" s="499">
        <v>45547</v>
      </c>
      <c r="C2217" s="500" t="s">
        <v>173</v>
      </c>
      <c r="D2217" s="500" t="s">
        <v>762</v>
      </c>
      <c r="E2217" s="501">
        <v>1656684194.73</v>
      </c>
      <c r="F2217" s="502" t="s">
        <v>878</v>
      </c>
      <c r="G2217" s="100" t="s">
        <v>816</v>
      </c>
      <c r="H2217" s="530"/>
      <c r="I2217" s="525"/>
      <c r="K2217" s="548"/>
      <c r="L2217" s="548"/>
      <c r="M2217" s="548"/>
      <c r="N2217" s="552"/>
      <c r="Y2217" s="551"/>
    </row>
    <row r="2218" spans="1:25">
      <c r="A2218" s="499">
        <v>45546</v>
      </c>
      <c r="B2218" s="499">
        <v>45547</v>
      </c>
      <c r="C2218" s="500" t="s">
        <v>173</v>
      </c>
      <c r="D2218" s="500" t="s">
        <v>762</v>
      </c>
      <c r="E2218" s="501">
        <v>26010742.190000001</v>
      </c>
      <c r="F2218" s="502" t="s">
        <v>878</v>
      </c>
      <c r="G2218" s="100" t="s">
        <v>816</v>
      </c>
      <c r="H2218" s="530"/>
      <c r="I2218" s="525"/>
      <c r="K2218" s="548"/>
      <c r="L2218" s="548"/>
      <c r="M2218" s="548"/>
      <c r="N2218" s="552"/>
      <c r="Y2218" s="551"/>
    </row>
    <row r="2219" spans="1:25">
      <c r="A2219" s="499">
        <v>45546</v>
      </c>
      <c r="B2219" s="499">
        <v>45546</v>
      </c>
      <c r="C2219" s="500" t="s">
        <v>173</v>
      </c>
      <c r="D2219" s="500" t="s">
        <v>761</v>
      </c>
      <c r="E2219" s="501">
        <v>-302087714.63</v>
      </c>
      <c r="F2219" s="502" t="s">
        <v>878</v>
      </c>
      <c r="G2219" s="100" t="s">
        <v>634</v>
      </c>
      <c r="H2219" s="530"/>
      <c r="I2219" s="525"/>
      <c r="K2219" s="548"/>
      <c r="L2219" s="548"/>
      <c r="M2219" s="548"/>
      <c r="N2219" s="552"/>
      <c r="Y2219" s="551"/>
    </row>
    <row r="2220" spans="1:25">
      <c r="A2220" s="499">
        <v>45546</v>
      </c>
      <c r="B2220" s="499">
        <v>45546</v>
      </c>
      <c r="C2220" s="500" t="s">
        <v>173</v>
      </c>
      <c r="D2220" s="500" t="s">
        <v>761</v>
      </c>
      <c r="E2220" s="501">
        <v>-2000580.89</v>
      </c>
      <c r="F2220" s="502" t="s">
        <v>878</v>
      </c>
      <c r="G2220" s="100" t="s">
        <v>634</v>
      </c>
      <c r="H2220" s="530"/>
      <c r="I2220" s="525"/>
      <c r="K2220" s="548"/>
      <c r="L2220" s="548"/>
      <c r="M2220" s="548"/>
      <c r="N2220" s="552"/>
      <c r="Y2220" s="551"/>
    </row>
    <row r="2221" spans="1:25">
      <c r="A2221" s="499">
        <v>45546</v>
      </c>
      <c r="B2221" s="499">
        <v>45546</v>
      </c>
      <c r="C2221" s="500" t="s">
        <v>173</v>
      </c>
      <c r="D2221" s="500" t="s">
        <v>761</v>
      </c>
      <c r="E2221" s="501">
        <v>-971690285.84000003</v>
      </c>
      <c r="F2221" s="502" t="s">
        <v>878</v>
      </c>
      <c r="G2221" s="100" t="s">
        <v>89</v>
      </c>
      <c r="H2221" s="530"/>
      <c r="I2221" s="525"/>
      <c r="K2221" s="548"/>
      <c r="L2221" s="548"/>
      <c r="M2221" s="548"/>
      <c r="N2221" s="552"/>
      <c r="Y2221" s="551"/>
    </row>
    <row r="2222" spans="1:25">
      <c r="A2222" s="499">
        <v>45546</v>
      </c>
      <c r="B2222" s="499">
        <v>45546</v>
      </c>
      <c r="C2222" s="500" t="s">
        <v>173</v>
      </c>
      <c r="D2222" s="500" t="s">
        <v>761</v>
      </c>
      <c r="E2222" s="501">
        <v>-3001524.44</v>
      </c>
      <c r="F2222" s="502" t="s">
        <v>878</v>
      </c>
      <c r="G2222" s="100" t="s">
        <v>446</v>
      </c>
      <c r="H2222" s="530"/>
      <c r="I2222" s="525"/>
      <c r="K2222" s="548"/>
      <c r="L2222" s="548"/>
      <c r="M2222" s="548"/>
      <c r="N2222" s="552"/>
      <c r="Y2222" s="551"/>
    </row>
    <row r="2223" spans="1:25">
      <c r="A2223" s="499">
        <v>45546</v>
      </c>
      <c r="B2223" s="499">
        <v>45547</v>
      </c>
      <c r="C2223" s="500" t="s">
        <v>173</v>
      </c>
      <c r="D2223" s="500" t="s">
        <v>761</v>
      </c>
      <c r="E2223" s="501">
        <v>302202194.31999999</v>
      </c>
      <c r="F2223" s="502" t="s">
        <v>878</v>
      </c>
      <c r="G2223" s="100" t="s">
        <v>634</v>
      </c>
      <c r="H2223" s="530"/>
      <c r="I2223" s="525"/>
      <c r="K2223" s="548"/>
      <c r="L2223" s="548"/>
      <c r="M2223" s="548"/>
      <c r="N2223" s="552"/>
      <c r="Y2223" s="551"/>
    </row>
    <row r="2224" spans="1:25">
      <c r="A2224" s="499">
        <v>45546</v>
      </c>
      <c r="B2224" s="499">
        <v>45547</v>
      </c>
      <c r="C2224" s="500" t="s">
        <v>173</v>
      </c>
      <c r="D2224" s="500" t="s">
        <v>761</v>
      </c>
      <c r="E2224" s="501">
        <v>2001340.67</v>
      </c>
      <c r="F2224" s="502" t="s">
        <v>878</v>
      </c>
      <c r="G2224" s="100" t="s">
        <v>634</v>
      </c>
      <c r="H2224" s="530"/>
      <c r="I2224" s="525"/>
      <c r="K2224" s="548"/>
      <c r="L2224" s="548"/>
      <c r="M2224" s="548"/>
      <c r="N2224" s="552"/>
      <c r="Y2224" s="551"/>
    </row>
    <row r="2225" spans="1:25">
      <c r="A2225" s="499">
        <v>45546</v>
      </c>
      <c r="B2225" s="499">
        <v>45553</v>
      </c>
      <c r="C2225" s="500" t="s">
        <v>173</v>
      </c>
      <c r="D2225" s="500" t="s">
        <v>761</v>
      </c>
      <c r="E2225" s="501">
        <v>974243760.48000002</v>
      </c>
      <c r="F2225" s="502" t="s">
        <v>878</v>
      </c>
      <c r="G2225" s="100" t="s">
        <v>89</v>
      </c>
      <c r="H2225" s="530"/>
      <c r="I2225" s="525"/>
      <c r="K2225" s="548"/>
      <c r="L2225" s="548"/>
      <c r="M2225" s="548"/>
      <c r="N2225" s="552"/>
      <c r="Y2225" s="551"/>
    </row>
    <row r="2226" spans="1:25">
      <c r="A2226" s="499">
        <v>45546</v>
      </c>
      <c r="B2226" s="499">
        <v>45553</v>
      </c>
      <c r="C2226" s="500" t="s">
        <v>173</v>
      </c>
      <c r="D2226" s="500" t="s">
        <v>761</v>
      </c>
      <c r="E2226" s="501">
        <v>3009417.79</v>
      </c>
      <c r="F2226" s="502" t="s">
        <v>878</v>
      </c>
      <c r="G2226" s="100" t="s">
        <v>446</v>
      </c>
      <c r="H2226" s="530"/>
      <c r="I2226" s="525"/>
      <c r="K2226" s="548"/>
      <c r="L2226" s="548"/>
      <c r="M2226" s="548"/>
      <c r="N2226" s="552"/>
      <c r="Y2226" s="551"/>
    </row>
    <row r="2227" spans="1:25">
      <c r="A2227" s="499">
        <v>45546</v>
      </c>
      <c r="B2227" s="499">
        <v>45546</v>
      </c>
      <c r="C2227" s="500" t="s">
        <v>173</v>
      </c>
      <c r="D2227" s="500" t="s">
        <v>759</v>
      </c>
      <c r="E2227" s="501">
        <v>-1995579439.3699999</v>
      </c>
      <c r="F2227" s="502" t="s">
        <v>878</v>
      </c>
      <c r="G2227" s="100" t="s">
        <v>634</v>
      </c>
      <c r="H2227" s="484"/>
      <c r="I2227" s="525"/>
      <c r="K2227" s="548"/>
      <c r="L2227" s="548"/>
      <c r="M2227" s="548"/>
      <c r="N2227" s="552"/>
      <c r="Y2227" s="551"/>
    </row>
    <row r="2228" spans="1:25">
      <c r="A2228" s="499">
        <v>45546</v>
      </c>
      <c r="B2228" s="499">
        <v>45546</v>
      </c>
      <c r="C2228" s="500" t="s">
        <v>173</v>
      </c>
      <c r="D2228" s="500" t="s">
        <v>759</v>
      </c>
      <c r="E2228" s="501">
        <v>-10004484.84</v>
      </c>
      <c r="F2228" s="502" t="s">
        <v>878</v>
      </c>
      <c r="G2228" s="100" t="s">
        <v>78</v>
      </c>
      <c r="H2228" s="484"/>
      <c r="I2228" s="525"/>
      <c r="K2228" s="548"/>
      <c r="L2228" s="548"/>
      <c r="M2228" s="548"/>
      <c r="N2228" s="552"/>
      <c r="Y2228" s="551"/>
    </row>
    <row r="2229" spans="1:25">
      <c r="A2229" s="499">
        <v>45546</v>
      </c>
      <c r="B2229" s="499">
        <v>45547</v>
      </c>
      <c r="C2229" s="500" t="s">
        <v>173</v>
      </c>
      <c r="D2229" s="500" t="s">
        <v>759</v>
      </c>
      <c r="E2229" s="501">
        <v>1996317154.9300001</v>
      </c>
      <c r="F2229" s="502" t="s">
        <v>878</v>
      </c>
      <c r="G2229" s="100" t="s">
        <v>634</v>
      </c>
      <c r="H2229" s="530"/>
      <c r="I2229" s="525"/>
      <c r="K2229" s="548"/>
      <c r="L2229" s="548"/>
      <c r="M2229" s="548"/>
      <c r="N2229" s="552"/>
      <c r="Y2229" s="551"/>
    </row>
    <row r="2230" spans="1:25">
      <c r="A2230" s="499">
        <v>45546</v>
      </c>
      <c r="B2230" s="499">
        <v>45547</v>
      </c>
      <c r="C2230" s="500" t="s">
        <v>173</v>
      </c>
      <c r="D2230" s="500" t="s">
        <v>759</v>
      </c>
      <c r="E2230" s="501">
        <v>10008065.68</v>
      </c>
      <c r="F2230" s="502" t="s">
        <v>878</v>
      </c>
      <c r="G2230" s="100" t="s">
        <v>78</v>
      </c>
      <c r="H2230" s="530"/>
      <c r="I2230" s="525"/>
      <c r="K2230" s="548"/>
      <c r="L2230" s="548"/>
      <c r="M2230" s="548"/>
      <c r="N2230" s="552"/>
      <c r="Y2230" s="551"/>
    </row>
    <row r="2231" spans="1:25">
      <c r="A2231" s="499">
        <v>45546</v>
      </c>
      <c r="B2231" s="499">
        <v>45546</v>
      </c>
      <c r="C2231" s="500" t="s">
        <v>173</v>
      </c>
      <c r="D2231" s="500" t="s">
        <v>760</v>
      </c>
      <c r="E2231" s="501">
        <v>-1220354343.8800001</v>
      </c>
      <c r="F2231" s="502" t="s">
        <v>878</v>
      </c>
      <c r="G2231" s="100" t="s">
        <v>634</v>
      </c>
      <c r="H2231" s="530"/>
      <c r="I2231" s="525"/>
      <c r="K2231" s="548"/>
      <c r="L2231" s="548"/>
      <c r="M2231" s="548"/>
      <c r="N2231" s="552"/>
      <c r="Y2231" s="551"/>
    </row>
    <row r="2232" spans="1:25">
      <c r="A2232" s="499">
        <v>45546</v>
      </c>
      <c r="B2232" s="499">
        <v>45546</v>
      </c>
      <c r="C2232" s="500" t="s">
        <v>173</v>
      </c>
      <c r="D2232" s="500" t="s">
        <v>760</v>
      </c>
      <c r="E2232" s="501">
        <v>-38031861.100000001</v>
      </c>
      <c r="F2232" s="502" t="s">
        <v>878</v>
      </c>
      <c r="G2232" s="100" t="s">
        <v>476</v>
      </c>
      <c r="H2232" s="530"/>
      <c r="I2232" s="525"/>
      <c r="K2232" s="548"/>
      <c r="L2232" s="548"/>
      <c r="M2232" s="548"/>
      <c r="N2232" s="552"/>
      <c r="Y2232" s="551"/>
    </row>
    <row r="2233" spans="1:25">
      <c r="A2233" s="499">
        <v>45546</v>
      </c>
      <c r="B2233" s="499">
        <v>45547</v>
      </c>
      <c r="C2233" s="500" t="s">
        <v>173</v>
      </c>
      <c r="D2233" s="500" t="s">
        <v>760</v>
      </c>
      <c r="E2233" s="501">
        <v>1220821142.75</v>
      </c>
      <c r="F2233" s="502" t="s">
        <v>878</v>
      </c>
      <c r="G2233" s="100" t="s">
        <v>634</v>
      </c>
      <c r="H2233" s="530"/>
      <c r="I2233" s="525"/>
      <c r="K2233" s="548"/>
      <c r="L2233" s="548"/>
      <c r="M2233" s="548"/>
      <c r="N2233" s="552"/>
      <c r="Y2233" s="551"/>
    </row>
    <row r="2234" spans="1:25">
      <c r="A2234" s="499">
        <v>45546</v>
      </c>
      <c r="B2234" s="499">
        <v>45547</v>
      </c>
      <c r="C2234" s="500" t="s">
        <v>173</v>
      </c>
      <c r="D2234" s="500" t="s">
        <v>760</v>
      </c>
      <c r="E2234" s="501">
        <v>38045639.859999999</v>
      </c>
      <c r="F2234" s="502" t="s">
        <v>878</v>
      </c>
      <c r="G2234" s="100" t="s">
        <v>476</v>
      </c>
      <c r="H2234" s="530"/>
      <c r="I2234" s="525"/>
      <c r="K2234" s="548"/>
      <c r="L2234" s="548"/>
      <c r="M2234" s="548"/>
      <c r="N2234" s="552"/>
      <c r="Y2234" s="551"/>
    </row>
    <row r="2235" spans="1:25">
      <c r="A2235" s="499">
        <v>45546</v>
      </c>
      <c r="B2235" s="499">
        <v>45546</v>
      </c>
      <c r="C2235" s="500" t="s">
        <v>173</v>
      </c>
      <c r="D2235" s="500" t="s">
        <v>764</v>
      </c>
      <c r="E2235" s="501">
        <v>-499144932.44999999</v>
      </c>
      <c r="F2235" s="502" t="s">
        <v>878</v>
      </c>
      <c r="G2235" s="100" t="s">
        <v>633</v>
      </c>
      <c r="H2235" s="530"/>
      <c r="I2235" s="525"/>
      <c r="K2235" s="548"/>
      <c r="L2235" s="548"/>
      <c r="M2235" s="548"/>
      <c r="N2235" s="552"/>
      <c r="Y2235" s="551"/>
    </row>
    <row r="2236" spans="1:25">
      <c r="A2236" s="499">
        <v>45546</v>
      </c>
      <c r="B2236" s="499">
        <v>45547</v>
      </c>
      <c r="C2236" s="500" t="s">
        <v>173</v>
      </c>
      <c r="D2236" s="500" t="s">
        <v>764</v>
      </c>
      <c r="E2236" s="501">
        <v>499335862.20999998</v>
      </c>
      <c r="F2236" s="502" t="s">
        <v>878</v>
      </c>
      <c r="G2236" s="100" t="s">
        <v>633</v>
      </c>
      <c r="H2236" s="530"/>
      <c r="I2236" s="525"/>
      <c r="K2236" s="548"/>
      <c r="L2236" s="548"/>
      <c r="M2236" s="548"/>
      <c r="N2236" s="552"/>
      <c r="Y2236" s="551"/>
    </row>
    <row r="2237" spans="1:25">
      <c r="A2237" s="499">
        <v>45546</v>
      </c>
      <c r="B2237" s="499">
        <v>45546</v>
      </c>
      <c r="C2237" s="500" t="s">
        <v>173</v>
      </c>
      <c r="D2237" s="500" t="s">
        <v>763</v>
      </c>
      <c r="E2237" s="501">
        <v>-27002444.739999998</v>
      </c>
      <c r="F2237" s="502" t="s">
        <v>878</v>
      </c>
      <c r="G2237" s="100" t="s">
        <v>422</v>
      </c>
      <c r="H2237" s="530"/>
      <c r="I2237" s="525"/>
      <c r="K2237" s="548"/>
      <c r="L2237" s="548"/>
      <c r="M2237" s="548"/>
      <c r="N2237" s="552"/>
      <c r="Y2237" s="551"/>
    </row>
    <row r="2238" spans="1:25">
      <c r="A2238" s="499">
        <v>45546</v>
      </c>
      <c r="B2238" s="499">
        <v>45546</v>
      </c>
      <c r="C2238" s="500" t="s">
        <v>173</v>
      </c>
      <c r="D2238" s="500" t="s">
        <v>763</v>
      </c>
      <c r="E2238" s="501">
        <v>-6306570983.0799999</v>
      </c>
      <c r="F2238" s="502" t="s">
        <v>878</v>
      </c>
      <c r="G2238" s="100" t="s">
        <v>422</v>
      </c>
      <c r="H2238" s="530"/>
      <c r="I2238" s="525"/>
      <c r="K2238" s="548"/>
      <c r="L2238" s="548"/>
      <c r="M2238" s="548"/>
      <c r="N2238" s="552"/>
      <c r="Y2238" s="551"/>
    </row>
    <row r="2239" spans="1:25">
      <c r="A2239" s="499">
        <v>45546</v>
      </c>
      <c r="B2239" s="499">
        <v>45547</v>
      </c>
      <c r="C2239" s="500" t="s">
        <v>173</v>
      </c>
      <c r="D2239" s="500" t="s">
        <v>763</v>
      </c>
      <c r="E2239" s="501">
        <v>27012625.989999998</v>
      </c>
      <c r="F2239" s="502" t="s">
        <v>878</v>
      </c>
      <c r="G2239" s="100" t="s">
        <v>422</v>
      </c>
      <c r="H2239" s="530"/>
      <c r="I2239" s="525"/>
      <c r="K2239" s="548"/>
      <c r="L2239" s="548"/>
      <c r="M2239" s="548"/>
      <c r="N2239" s="552"/>
      <c r="Y2239" s="551"/>
    </row>
    <row r="2240" spans="1:25">
      <c r="A2240" s="499">
        <v>45546</v>
      </c>
      <c r="B2240" s="499">
        <v>45547</v>
      </c>
      <c r="C2240" s="500" t="s">
        <v>173</v>
      </c>
      <c r="D2240" s="500" t="s">
        <v>763</v>
      </c>
      <c r="E2240" s="501">
        <v>6308948870.5</v>
      </c>
      <c r="F2240" s="502" t="s">
        <v>878</v>
      </c>
      <c r="G2240" s="100" t="s">
        <v>422</v>
      </c>
      <c r="H2240" s="530"/>
      <c r="I2240" s="525"/>
      <c r="K2240" s="548"/>
      <c r="L2240" s="548"/>
      <c r="M2240" s="548"/>
      <c r="N2240" s="552"/>
      <c r="Y2240" s="551"/>
    </row>
    <row r="2241" spans="1:25">
      <c r="A2241" s="499">
        <v>45547</v>
      </c>
      <c r="B2241" s="499">
        <v>45547</v>
      </c>
      <c r="C2241" s="500" t="s">
        <v>173</v>
      </c>
      <c r="D2241" s="500" t="s">
        <v>762</v>
      </c>
      <c r="E2241" s="501">
        <v>-25022671.050000001</v>
      </c>
      <c r="F2241" s="502" t="s">
        <v>878</v>
      </c>
      <c r="G2241" s="100" t="s">
        <v>676</v>
      </c>
      <c r="H2241" s="530"/>
      <c r="I2241" s="525"/>
      <c r="K2241" s="548"/>
      <c r="L2241" s="548"/>
      <c r="M2241" s="548"/>
      <c r="N2241" s="552"/>
      <c r="Y2241" s="551"/>
    </row>
    <row r="2242" spans="1:25">
      <c r="A2242" s="499">
        <v>45547</v>
      </c>
      <c r="B2242" s="499">
        <v>45547</v>
      </c>
      <c r="C2242" s="500" t="s">
        <v>173</v>
      </c>
      <c r="D2242" s="500" t="s">
        <v>762</v>
      </c>
      <c r="E2242" s="501">
        <v>-6144603890</v>
      </c>
      <c r="F2242" s="502" t="s">
        <v>878</v>
      </c>
      <c r="G2242" s="100" t="s">
        <v>805</v>
      </c>
      <c r="H2242" s="530"/>
      <c r="I2242" s="525"/>
      <c r="K2242" s="548"/>
      <c r="L2242" s="548"/>
      <c r="M2242" s="548"/>
      <c r="N2242" s="552"/>
      <c r="Y2242" s="551"/>
    </row>
    <row r="2243" spans="1:25">
      <c r="A2243" s="499">
        <v>45547</v>
      </c>
      <c r="B2243" s="499">
        <v>45548</v>
      </c>
      <c r="C2243" s="500" t="s">
        <v>173</v>
      </c>
      <c r="D2243" s="500" t="s">
        <v>762</v>
      </c>
      <c r="E2243" s="501">
        <v>25031736.710000001</v>
      </c>
      <c r="F2243" s="502" t="s">
        <v>878</v>
      </c>
      <c r="G2243" s="100" t="s">
        <v>676</v>
      </c>
      <c r="H2243" s="530"/>
      <c r="I2243" s="525"/>
      <c r="K2243" s="548"/>
      <c r="L2243" s="548"/>
      <c r="M2243" s="548"/>
      <c r="N2243" s="552"/>
      <c r="Y2243" s="551"/>
    </row>
    <row r="2244" spans="1:25">
      <c r="A2244" s="499">
        <v>45547</v>
      </c>
      <c r="B2244" s="499">
        <v>45548</v>
      </c>
      <c r="C2244" s="500" t="s">
        <v>173</v>
      </c>
      <c r="D2244" s="500" t="s">
        <v>762</v>
      </c>
      <c r="E2244" s="501">
        <v>6146836765.1800003</v>
      </c>
      <c r="F2244" s="502" t="s">
        <v>878</v>
      </c>
      <c r="G2244" s="100" t="s">
        <v>805</v>
      </c>
      <c r="H2244" s="530"/>
      <c r="I2244" s="525"/>
      <c r="K2244" s="548"/>
      <c r="L2244" s="548"/>
      <c r="M2244" s="548"/>
      <c r="N2244" s="552"/>
      <c r="Y2244" s="551"/>
    </row>
    <row r="2245" spans="1:25">
      <c r="A2245" s="499">
        <v>45545</v>
      </c>
      <c r="B2245" s="499">
        <v>45547</v>
      </c>
      <c r="C2245" s="500" t="s">
        <v>173</v>
      </c>
      <c r="D2245" s="500" t="s">
        <v>761</v>
      </c>
      <c r="E2245" s="501">
        <v>-302854400</v>
      </c>
      <c r="F2245" s="502" t="s">
        <v>906</v>
      </c>
      <c r="G2245" s="100" t="s">
        <v>516</v>
      </c>
      <c r="H2245" s="530"/>
      <c r="I2245" s="525" t="s">
        <v>672</v>
      </c>
      <c r="K2245" s="548">
        <v>114009797</v>
      </c>
      <c r="L2245" s="549">
        <v>94.784800000000004</v>
      </c>
      <c r="M2245" s="549">
        <f>E2245*(-1)/(N2245*O2245)*100</f>
        <v>100.95146666666666</v>
      </c>
      <c r="N2245" s="549">
        <v>300000</v>
      </c>
      <c r="O2245" s="539">
        <v>1000</v>
      </c>
      <c r="T2245" s="553">
        <v>13.35</v>
      </c>
      <c r="U2245" s="538">
        <v>0</v>
      </c>
      <c r="V2245" s="538">
        <v>30285.439999999999</v>
      </c>
      <c r="W2245" s="550">
        <f>VLOOKUP(G2245,Справочник!A:C,3,0)</f>
        <v>0.12</v>
      </c>
      <c r="X2245" s="539" t="str">
        <f>VLOOKUP(G2245,Справочник!A:G,7,0)</f>
        <v>Министерство финансов Республики Казахстан</v>
      </c>
      <c r="Y2245" s="551">
        <f>VLOOKUP(G2245,Справочник!A:B,2,0)</f>
        <v>47549</v>
      </c>
    </row>
    <row r="2246" spans="1:25">
      <c r="A2246" s="499">
        <v>45547</v>
      </c>
      <c r="B2246" s="499">
        <v>45547</v>
      </c>
      <c r="C2246" s="500" t="s">
        <v>173</v>
      </c>
      <c r="D2246" s="500" t="s">
        <v>759</v>
      </c>
      <c r="E2246" s="501">
        <v>-2000933525</v>
      </c>
      <c r="F2246" s="502" t="s">
        <v>878</v>
      </c>
      <c r="G2246" s="100" t="s">
        <v>634</v>
      </c>
      <c r="H2246" s="484"/>
      <c r="I2246" s="525"/>
      <c r="K2246" s="548"/>
      <c r="L2246" s="548"/>
      <c r="M2246" s="548"/>
      <c r="N2246" s="552"/>
      <c r="Y2246" s="551"/>
    </row>
    <row r="2247" spans="1:25">
      <c r="A2247" s="499">
        <v>45547</v>
      </c>
      <c r="B2247" s="499">
        <v>45547</v>
      </c>
      <c r="C2247" s="500" t="s">
        <v>173</v>
      </c>
      <c r="D2247" s="500" t="s">
        <v>759</v>
      </c>
      <c r="E2247" s="501">
        <v>-3701231944.5999999</v>
      </c>
      <c r="F2247" s="502" t="s">
        <v>878</v>
      </c>
      <c r="G2247" s="100" t="s">
        <v>599</v>
      </c>
      <c r="H2247" s="484"/>
      <c r="I2247" s="525"/>
      <c r="K2247" s="548"/>
      <c r="L2247" s="548"/>
      <c r="M2247" s="548"/>
      <c r="N2247" s="552"/>
      <c r="Y2247" s="551"/>
    </row>
    <row r="2248" spans="1:25">
      <c r="A2248" s="499">
        <v>45547</v>
      </c>
      <c r="B2248" s="499">
        <v>45547</v>
      </c>
      <c r="C2248" s="500" t="s">
        <v>173</v>
      </c>
      <c r="D2248" s="500" t="s">
        <v>759</v>
      </c>
      <c r="E2248" s="501">
        <v>-23005135.07</v>
      </c>
      <c r="F2248" s="502" t="s">
        <v>878</v>
      </c>
      <c r="G2248" s="100" t="s">
        <v>516</v>
      </c>
      <c r="H2248" s="484"/>
      <c r="I2248" s="525"/>
      <c r="K2248" s="548"/>
      <c r="L2248" s="548"/>
      <c r="M2248" s="548"/>
      <c r="N2248" s="552"/>
      <c r="Y2248" s="551"/>
    </row>
    <row r="2249" spans="1:25">
      <c r="A2249" s="499">
        <v>45547</v>
      </c>
      <c r="B2249" s="499">
        <v>45548</v>
      </c>
      <c r="C2249" s="500" t="s">
        <v>173</v>
      </c>
      <c r="D2249" s="500" t="s">
        <v>759</v>
      </c>
      <c r="E2249" s="501">
        <v>2001658464.3099999</v>
      </c>
      <c r="F2249" s="502" t="s">
        <v>878</v>
      </c>
      <c r="G2249" s="100" t="s">
        <v>634</v>
      </c>
      <c r="H2249" s="530"/>
      <c r="I2249" s="525"/>
      <c r="K2249" s="548"/>
      <c r="L2249" s="548"/>
      <c r="M2249" s="548"/>
      <c r="N2249" s="552"/>
      <c r="Y2249" s="551"/>
    </row>
    <row r="2250" spans="1:25">
      <c r="A2250" s="499">
        <v>45547</v>
      </c>
      <c r="B2250" s="499">
        <v>45554</v>
      </c>
      <c r="C2250" s="500" t="s">
        <v>173</v>
      </c>
      <c r="D2250" s="500" t="s">
        <v>759</v>
      </c>
      <c r="E2250" s="501">
        <v>3710682221.25</v>
      </c>
      <c r="F2250" s="502" t="s">
        <v>878</v>
      </c>
      <c r="G2250" s="100" t="s">
        <v>599</v>
      </c>
      <c r="H2250" s="530"/>
      <c r="I2250" s="525"/>
      <c r="K2250" s="548"/>
      <c r="L2250" s="548"/>
      <c r="M2250" s="548"/>
      <c r="N2250" s="552"/>
      <c r="Y2250" s="551"/>
    </row>
    <row r="2251" spans="1:25">
      <c r="A2251" s="499">
        <v>45547</v>
      </c>
      <c r="B2251" s="499">
        <v>45554</v>
      </c>
      <c r="C2251" s="500" t="s">
        <v>173</v>
      </c>
      <c r="D2251" s="500" t="s">
        <v>759</v>
      </c>
      <c r="E2251" s="501">
        <v>23063873.59</v>
      </c>
      <c r="F2251" s="502" t="s">
        <v>878</v>
      </c>
      <c r="G2251" s="100" t="s">
        <v>516</v>
      </c>
      <c r="H2251" s="530"/>
      <c r="I2251" s="525"/>
      <c r="K2251" s="548"/>
      <c r="L2251" s="548"/>
      <c r="M2251" s="548"/>
      <c r="N2251" s="552"/>
      <c r="Q2251" s="539">
        <v>-1</v>
      </c>
      <c r="Y2251" s="551"/>
    </row>
    <row r="2252" spans="1:25">
      <c r="A2252" s="499">
        <v>45547</v>
      </c>
      <c r="B2252" s="499">
        <v>45547</v>
      </c>
      <c r="C2252" s="500" t="s">
        <v>173</v>
      </c>
      <c r="D2252" s="500" t="s">
        <v>760</v>
      </c>
      <c r="E2252" s="501">
        <v>-1220538575.0999999</v>
      </c>
      <c r="F2252" s="502" t="s">
        <v>878</v>
      </c>
      <c r="G2252" s="100" t="s">
        <v>446</v>
      </c>
      <c r="H2252" s="530"/>
      <c r="I2252" s="525"/>
      <c r="K2252" s="548"/>
      <c r="L2252" s="548"/>
      <c r="M2252" s="548"/>
      <c r="N2252" s="552"/>
      <c r="Y2252" s="551"/>
    </row>
    <row r="2253" spans="1:25">
      <c r="A2253" s="499">
        <v>45547</v>
      </c>
      <c r="B2253" s="499">
        <v>45547</v>
      </c>
      <c r="C2253" s="500" t="s">
        <v>173</v>
      </c>
      <c r="D2253" s="500" t="s">
        <v>760</v>
      </c>
      <c r="E2253" s="501">
        <v>-38017736.979999997</v>
      </c>
      <c r="F2253" s="502" t="s">
        <v>878</v>
      </c>
      <c r="G2253" s="100" t="s">
        <v>634</v>
      </c>
      <c r="H2253" s="530"/>
      <c r="I2253" s="525"/>
      <c r="K2253" s="548"/>
      <c r="L2253" s="548"/>
      <c r="M2253" s="548"/>
      <c r="N2253" s="552"/>
      <c r="Y2253" s="551"/>
    </row>
    <row r="2254" spans="1:25">
      <c r="A2254" s="499">
        <v>45547</v>
      </c>
      <c r="B2254" s="499">
        <v>45548</v>
      </c>
      <c r="C2254" s="500" t="s">
        <v>173</v>
      </c>
      <c r="D2254" s="500" t="s">
        <v>760</v>
      </c>
      <c r="E2254" s="501">
        <v>1220980783.5599999</v>
      </c>
      <c r="F2254" s="502" t="s">
        <v>878</v>
      </c>
      <c r="G2254" s="100" t="s">
        <v>446</v>
      </c>
      <c r="H2254" s="530"/>
      <c r="I2254" s="525"/>
      <c r="K2254" s="548"/>
      <c r="L2254" s="548"/>
      <c r="M2254" s="548"/>
      <c r="N2254" s="552"/>
      <c r="Y2254" s="551"/>
    </row>
    <row r="2255" spans="1:25">
      <c r="A2255" s="499">
        <v>45547</v>
      </c>
      <c r="B2255" s="499">
        <v>45548</v>
      </c>
      <c r="C2255" s="500" t="s">
        <v>173</v>
      </c>
      <c r="D2255" s="500" t="s">
        <v>760</v>
      </c>
      <c r="E2255" s="501">
        <v>38031511.240000002</v>
      </c>
      <c r="F2255" s="502" t="s">
        <v>878</v>
      </c>
      <c r="G2255" s="100" t="s">
        <v>634</v>
      </c>
      <c r="H2255" s="530"/>
      <c r="I2255" s="525"/>
      <c r="K2255" s="548"/>
      <c r="L2255" s="548"/>
      <c r="M2255" s="548"/>
      <c r="N2255" s="552"/>
      <c r="Y2255" s="551"/>
    </row>
    <row r="2256" spans="1:25">
      <c r="A2256" s="499">
        <v>45547</v>
      </c>
      <c r="B2256" s="499">
        <v>45547</v>
      </c>
      <c r="C2256" s="500" t="s">
        <v>173</v>
      </c>
      <c r="D2256" s="500" t="s">
        <v>764</v>
      </c>
      <c r="E2256" s="501">
        <v>-499130285.06</v>
      </c>
      <c r="F2256" s="502" t="s">
        <v>878</v>
      </c>
      <c r="G2256" s="100" t="s">
        <v>805</v>
      </c>
      <c r="H2256" s="530"/>
      <c r="I2256" s="525"/>
      <c r="K2256" s="548"/>
      <c r="L2256" s="548"/>
      <c r="M2256" s="548"/>
      <c r="N2256" s="552"/>
      <c r="Y2256" s="551"/>
    </row>
    <row r="2257" spans="1:25">
      <c r="A2257" s="499">
        <v>45547</v>
      </c>
      <c r="B2257" s="499">
        <v>45548</v>
      </c>
      <c r="C2257" s="500" t="s">
        <v>173</v>
      </c>
      <c r="D2257" s="500" t="s">
        <v>764</v>
      </c>
      <c r="E2257" s="501">
        <v>499311663.00999999</v>
      </c>
      <c r="F2257" s="502" t="s">
        <v>878</v>
      </c>
      <c r="G2257" s="100" t="s">
        <v>805</v>
      </c>
      <c r="H2257" s="530"/>
      <c r="I2257" s="525"/>
      <c r="K2257" s="548"/>
      <c r="L2257" s="548"/>
      <c r="M2257" s="548"/>
      <c r="N2257" s="552"/>
      <c r="Y2257" s="551"/>
    </row>
    <row r="2258" spans="1:25">
      <c r="A2258" s="499">
        <v>45547</v>
      </c>
      <c r="C2258" s="500" t="s">
        <v>173</v>
      </c>
      <c r="D2258" s="500" t="s">
        <v>764</v>
      </c>
      <c r="E2258" s="501">
        <v>-3358876747.9400001</v>
      </c>
      <c r="F2258" s="502" t="s">
        <v>878</v>
      </c>
      <c r="G2258" s="100" t="s">
        <v>805</v>
      </c>
      <c r="H2258" s="530"/>
      <c r="I2258" s="525"/>
      <c r="K2258" s="548"/>
      <c r="L2258" s="548"/>
      <c r="M2258" s="548"/>
      <c r="N2258" s="552"/>
      <c r="Y2258" s="551"/>
    </row>
    <row r="2259" spans="1:25">
      <c r="A2259" s="499">
        <v>45547</v>
      </c>
      <c r="C2259" s="500" t="s">
        <v>173</v>
      </c>
      <c r="D2259" s="500" t="s">
        <v>764</v>
      </c>
      <c r="E2259" s="501">
        <v>3360097323.3699999</v>
      </c>
      <c r="F2259" s="502" t="s">
        <v>878</v>
      </c>
      <c r="G2259" s="100" t="s">
        <v>805</v>
      </c>
      <c r="H2259" s="530"/>
      <c r="I2259" s="525"/>
      <c r="K2259" s="548"/>
      <c r="L2259" s="548"/>
      <c r="M2259" s="548"/>
      <c r="N2259" s="552"/>
      <c r="Y2259" s="551"/>
    </row>
    <row r="2260" spans="1:25">
      <c r="A2260" s="499">
        <v>45547</v>
      </c>
      <c r="B2260" s="499">
        <v>45547</v>
      </c>
      <c r="C2260" s="500" t="s">
        <v>173</v>
      </c>
      <c r="D2260" s="500" t="s">
        <v>763</v>
      </c>
      <c r="E2260" s="501">
        <v>-4856721560.1399994</v>
      </c>
      <c r="F2260" s="502" t="s">
        <v>878</v>
      </c>
      <c r="G2260" s="100" t="s">
        <v>476</v>
      </c>
      <c r="H2260" s="530"/>
      <c r="I2260" s="525"/>
      <c r="K2260" s="548"/>
      <c r="L2260" s="548"/>
      <c r="M2260" s="548"/>
      <c r="N2260" s="552"/>
      <c r="Y2260" s="551"/>
    </row>
    <row r="2261" spans="1:25">
      <c r="A2261" s="499">
        <v>45547</v>
      </c>
      <c r="B2261" s="499">
        <v>45547</v>
      </c>
      <c r="C2261" s="500" t="s">
        <v>173</v>
      </c>
      <c r="D2261" s="500" t="s">
        <v>763</v>
      </c>
      <c r="E2261" s="501">
        <v>-1454072667.4300001</v>
      </c>
      <c r="F2261" s="502" t="s">
        <v>878</v>
      </c>
      <c r="G2261" s="100" t="s">
        <v>632</v>
      </c>
      <c r="H2261" s="530"/>
      <c r="I2261" s="525"/>
      <c r="K2261" s="548"/>
      <c r="L2261" s="548"/>
      <c r="M2261" s="548"/>
      <c r="N2261" s="552"/>
      <c r="Y2261" s="551"/>
    </row>
    <row r="2262" spans="1:25">
      <c r="A2262" s="499">
        <v>45547</v>
      </c>
      <c r="B2262" s="499">
        <v>45547</v>
      </c>
      <c r="C2262" s="500" t="s">
        <v>173</v>
      </c>
      <c r="D2262" s="500" t="s">
        <v>763</v>
      </c>
      <c r="E2262" s="501">
        <v>-25000626.199999999</v>
      </c>
      <c r="F2262" s="502" t="s">
        <v>878</v>
      </c>
      <c r="G2262" s="100" t="s">
        <v>551</v>
      </c>
      <c r="H2262" s="530"/>
      <c r="I2262" s="525"/>
      <c r="K2262" s="548"/>
      <c r="L2262" s="548"/>
      <c r="M2262" s="548"/>
      <c r="N2262" s="552"/>
      <c r="Y2262" s="551"/>
    </row>
    <row r="2263" spans="1:25">
      <c r="A2263" s="499">
        <v>45547</v>
      </c>
      <c r="B2263" s="499">
        <v>45548</v>
      </c>
      <c r="C2263" s="500" t="s">
        <v>173</v>
      </c>
      <c r="D2263" s="500" t="s">
        <v>763</v>
      </c>
      <c r="E2263" s="501">
        <v>4858481139.75</v>
      </c>
      <c r="F2263" s="502" t="s">
        <v>878</v>
      </c>
      <c r="G2263" s="100" t="s">
        <v>476</v>
      </c>
      <c r="H2263" s="530"/>
      <c r="I2263" s="525"/>
      <c r="K2263" s="548"/>
      <c r="L2263" s="548"/>
      <c r="M2263" s="548"/>
      <c r="N2263" s="552"/>
      <c r="Y2263" s="551"/>
    </row>
    <row r="2264" spans="1:25">
      <c r="A2264" s="499">
        <v>45547</v>
      </c>
      <c r="B2264" s="499">
        <v>45548</v>
      </c>
      <c r="C2264" s="500" t="s">
        <v>173</v>
      </c>
      <c r="D2264" s="500" t="s">
        <v>763</v>
      </c>
      <c r="E2264" s="501">
        <v>1454599478.75</v>
      </c>
      <c r="F2264" s="502" t="s">
        <v>878</v>
      </c>
      <c r="G2264" s="100" t="s">
        <v>632</v>
      </c>
      <c r="H2264" s="530"/>
      <c r="I2264" s="525"/>
      <c r="K2264" s="548"/>
      <c r="L2264" s="548"/>
      <c r="M2264" s="548"/>
      <c r="N2264" s="552"/>
      <c r="Y2264" s="551"/>
    </row>
    <row r="2265" spans="1:25">
      <c r="A2265" s="499">
        <v>45547</v>
      </c>
      <c r="B2265" s="499">
        <v>45548</v>
      </c>
      <c r="C2265" s="500" t="s">
        <v>173</v>
      </c>
      <c r="D2265" s="500" t="s">
        <v>763</v>
      </c>
      <c r="E2265" s="501">
        <v>25009683.940000001</v>
      </c>
      <c r="F2265" s="502" t="s">
        <v>878</v>
      </c>
      <c r="G2265" s="100" t="s">
        <v>551</v>
      </c>
      <c r="H2265" s="530"/>
      <c r="I2265" s="525"/>
      <c r="K2265" s="548"/>
      <c r="L2265" s="548"/>
      <c r="M2265" s="548"/>
      <c r="N2265" s="552"/>
      <c r="Y2265" s="551"/>
    </row>
    <row r="2266" spans="1:25">
      <c r="A2266" s="499">
        <v>45548</v>
      </c>
      <c r="B2266" s="499">
        <v>45548</v>
      </c>
      <c r="C2266" s="500" t="s">
        <v>173</v>
      </c>
      <c r="D2266" s="500" t="s">
        <v>762</v>
      </c>
      <c r="E2266" s="501">
        <v>-5004787515</v>
      </c>
      <c r="F2266" s="502" t="s">
        <v>878</v>
      </c>
      <c r="G2266" s="100" t="s">
        <v>656</v>
      </c>
      <c r="H2266" s="530"/>
      <c r="I2266" s="525"/>
      <c r="K2266" s="548"/>
      <c r="L2266" s="548"/>
      <c r="M2266" s="548"/>
      <c r="N2266" s="552"/>
      <c r="Y2266" s="551"/>
    </row>
    <row r="2267" spans="1:25">
      <c r="A2267" s="499">
        <v>45548</v>
      </c>
      <c r="B2267" s="499">
        <v>45548</v>
      </c>
      <c r="C2267" s="500" t="s">
        <v>173</v>
      </c>
      <c r="D2267" s="500" t="s">
        <v>762</v>
      </c>
      <c r="E2267" s="501">
        <v>-311060242.44</v>
      </c>
      <c r="F2267" s="502" t="s">
        <v>878</v>
      </c>
      <c r="G2267" s="100" t="s">
        <v>833</v>
      </c>
      <c r="H2267" s="530"/>
      <c r="I2267" s="525"/>
      <c r="K2267" s="548"/>
      <c r="L2267" s="548"/>
      <c r="M2267" s="548"/>
      <c r="N2267" s="552"/>
      <c r="Y2267" s="551"/>
    </row>
    <row r="2268" spans="1:25">
      <c r="A2268" s="499">
        <v>45548</v>
      </c>
      <c r="B2268" s="499">
        <v>45548</v>
      </c>
      <c r="C2268" s="500" t="s">
        <v>173</v>
      </c>
      <c r="D2268" s="500" t="s">
        <v>762</v>
      </c>
      <c r="E2268" s="501">
        <v>-835213179.67999995</v>
      </c>
      <c r="F2268" s="502" t="s">
        <v>878</v>
      </c>
      <c r="G2268" s="100" t="s">
        <v>829</v>
      </c>
      <c r="H2268" s="530"/>
      <c r="I2268" s="525"/>
      <c r="K2268" s="548"/>
      <c r="L2268" s="548"/>
      <c r="M2268" s="548"/>
      <c r="N2268" s="552"/>
      <c r="Y2268" s="551"/>
    </row>
    <row r="2269" spans="1:25">
      <c r="A2269" s="499">
        <v>45548</v>
      </c>
      <c r="B2269" s="499">
        <v>45548</v>
      </c>
      <c r="C2269" s="500" t="s">
        <v>173</v>
      </c>
      <c r="D2269" s="500" t="s">
        <v>762</v>
      </c>
      <c r="E2269" s="501">
        <v>-21005361.41</v>
      </c>
      <c r="F2269" s="502" t="s">
        <v>878</v>
      </c>
      <c r="G2269" s="100" t="s">
        <v>829</v>
      </c>
      <c r="H2269" s="530"/>
      <c r="I2269" s="525"/>
      <c r="K2269" s="548"/>
      <c r="L2269" s="548"/>
      <c r="M2269" s="548"/>
      <c r="N2269" s="552"/>
      <c r="Y2269" s="551"/>
    </row>
    <row r="2270" spans="1:25">
      <c r="A2270" s="499">
        <v>45548</v>
      </c>
      <c r="B2270" s="499">
        <v>45551</v>
      </c>
      <c r="C2270" s="500" t="s">
        <v>173</v>
      </c>
      <c r="D2270" s="500" t="s">
        <v>762</v>
      </c>
      <c r="E2270" s="501">
        <v>5010202572.0200005</v>
      </c>
      <c r="F2270" s="502" t="s">
        <v>878</v>
      </c>
      <c r="G2270" s="100" t="s">
        <v>656</v>
      </c>
      <c r="H2270" s="530"/>
      <c r="I2270" s="525"/>
      <c r="K2270" s="548"/>
      <c r="L2270" s="548"/>
      <c r="M2270" s="548"/>
      <c r="N2270" s="552"/>
      <c r="Y2270" s="551"/>
    </row>
    <row r="2271" spans="1:25">
      <c r="A2271" s="499">
        <v>45548</v>
      </c>
      <c r="B2271" s="499">
        <v>45551</v>
      </c>
      <c r="C2271" s="500" t="s">
        <v>173</v>
      </c>
      <c r="D2271" s="500" t="s">
        <v>762</v>
      </c>
      <c r="E2271" s="501">
        <v>311396804.51999998</v>
      </c>
      <c r="F2271" s="502" t="s">
        <v>878</v>
      </c>
      <c r="G2271" s="100" t="s">
        <v>833</v>
      </c>
      <c r="H2271" s="530"/>
      <c r="I2271" s="525"/>
      <c r="K2271" s="548"/>
      <c r="L2271" s="548"/>
      <c r="M2271" s="548"/>
      <c r="N2271" s="552"/>
      <c r="Y2271" s="551"/>
    </row>
    <row r="2272" spans="1:25">
      <c r="A2272" s="499">
        <v>45548</v>
      </c>
      <c r="B2272" s="499">
        <v>45551</v>
      </c>
      <c r="C2272" s="500" t="s">
        <v>173</v>
      </c>
      <c r="D2272" s="500" t="s">
        <v>762</v>
      </c>
      <c r="E2272" s="501">
        <v>836116852.96000004</v>
      </c>
      <c r="F2272" s="502" t="s">
        <v>878</v>
      </c>
      <c r="G2272" s="100" t="s">
        <v>829</v>
      </c>
      <c r="H2272" s="530"/>
      <c r="I2272" s="525"/>
      <c r="K2272" s="548"/>
      <c r="L2272" s="548"/>
      <c r="M2272" s="548"/>
      <c r="N2272" s="552"/>
      <c r="Y2272" s="551"/>
    </row>
    <row r="2273" spans="1:25">
      <c r="A2273" s="499">
        <v>45548</v>
      </c>
      <c r="B2273" s="499">
        <v>45551</v>
      </c>
      <c r="C2273" s="500" t="s">
        <v>173</v>
      </c>
      <c r="D2273" s="500" t="s">
        <v>762</v>
      </c>
      <c r="E2273" s="501">
        <v>21028088.52</v>
      </c>
      <c r="F2273" s="502" t="s">
        <v>878</v>
      </c>
      <c r="G2273" s="100" t="s">
        <v>829</v>
      </c>
      <c r="H2273" s="530"/>
      <c r="I2273" s="525"/>
      <c r="K2273" s="548"/>
      <c r="L2273" s="548"/>
      <c r="M2273" s="548"/>
      <c r="N2273" s="552"/>
      <c r="Y2273" s="551"/>
    </row>
    <row r="2274" spans="1:25">
      <c r="A2274" s="499">
        <v>45548</v>
      </c>
      <c r="B2274" s="499">
        <v>45548</v>
      </c>
      <c r="C2274" s="500" t="s">
        <v>173</v>
      </c>
      <c r="D2274" s="500" t="s">
        <v>761</v>
      </c>
      <c r="E2274" s="501">
        <v>-2000682.37</v>
      </c>
      <c r="F2274" s="502" t="s">
        <v>878</v>
      </c>
      <c r="G2274" s="100" t="s">
        <v>87</v>
      </c>
      <c r="H2274" s="530"/>
      <c r="I2274" s="525"/>
      <c r="K2274" s="548"/>
      <c r="L2274" s="548"/>
      <c r="M2274" s="548"/>
      <c r="N2274" s="552"/>
      <c r="Y2274" s="551"/>
    </row>
    <row r="2275" spans="1:25">
      <c r="A2275" s="499">
        <v>45548</v>
      </c>
      <c r="B2275" s="499">
        <v>45551</v>
      </c>
      <c r="C2275" s="500" t="s">
        <v>173</v>
      </c>
      <c r="D2275" s="500" t="s">
        <v>761</v>
      </c>
      <c r="E2275" s="501">
        <v>2002847.09</v>
      </c>
      <c r="F2275" s="502" t="s">
        <v>878</v>
      </c>
      <c r="G2275" s="100" t="s">
        <v>87</v>
      </c>
      <c r="H2275" s="530"/>
      <c r="I2275" s="525"/>
      <c r="K2275" s="548"/>
      <c r="L2275" s="548"/>
      <c r="M2275" s="548"/>
      <c r="N2275" s="552"/>
      <c r="Y2275" s="551"/>
    </row>
    <row r="2276" spans="1:25">
      <c r="A2276" s="499">
        <v>45548</v>
      </c>
      <c r="B2276" s="499">
        <v>45548</v>
      </c>
      <c r="C2276" s="500" t="s">
        <v>173</v>
      </c>
      <c r="D2276" s="500" t="s">
        <v>759</v>
      </c>
      <c r="E2276" s="501">
        <v>-1993431806.1700001</v>
      </c>
      <c r="F2276" s="502" t="s">
        <v>878</v>
      </c>
      <c r="G2276" s="100" t="s">
        <v>139</v>
      </c>
      <c r="H2276" s="484"/>
      <c r="I2276" s="525"/>
      <c r="K2276" s="548"/>
      <c r="L2276" s="548"/>
      <c r="M2276" s="548"/>
      <c r="N2276" s="552"/>
      <c r="Y2276" s="551"/>
    </row>
    <row r="2277" spans="1:25">
      <c r="A2277" s="499">
        <v>45548</v>
      </c>
      <c r="B2277" s="499">
        <v>45548</v>
      </c>
      <c r="C2277" s="500" t="s">
        <v>173</v>
      </c>
      <c r="D2277" s="500" t="s">
        <v>759</v>
      </c>
      <c r="E2277" s="501">
        <v>-8000005.3099999996</v>
      </c>
      <c r="F2277" s="502" t="s">
        <v>878</v>
      </c>
      <c r="G2277" s="100" t="s">
        <v>739</v>
      </c>
      <c r="H2277" s="484"/>
      <c r="I2277" s="525"/>
      <c r="K2277" s="548"/>
      <c r="L2277" s="548"/>
      <c r="M2277" s="548"/>
      <c r="N2277" s="552"/>
      <c r="Y2277" s="551"/>
    </row>
    <row r="2278" spans="1:25">
      <c r="A2278" s="499">
        <v>45548</v>
      </c>
      <c r="B2278" s="499">
        <v>45551</v>
      </c>
      <c r="C2278" s="500" t="s">
        <v>173</v>
      </c>
      <c r="D2278" s="500" t="s">
        <v>759</v>
      </c>
      <c r="E2278" s="501">
        <v>1995598437.79</v>
      </c>
      <c r="F2278" s="502" t="s">
        <v>878</v>
      </c>
      <c r="G2278" s="100" t="s">
        <v>139</v>
      </c>
      <c r="H2278" s="530"/>
      <c r="I2278" s="525"/>
      <c r="K2278" s="548"/>
      <c r="L2278" s="548"/>
      <c r="M2278" s="548"/>
      <c r="N2278" s="552"/>
      <c r="Y2278" s="551"/>
    </row>
    <row r="2279" spans="1:25">
      <c r="A2279" s="499">
        <v>45548</v>
      </c>
      <c r="B2279" s="499">
        <v>45551</v>
      </c>
      <c r="C2279" s="500" t="s">
        <v>173</v>
      </c>
      <c r="D2279" s="500" t="s">
        <v>759</v>
      </c>
      <c r="E2279" s="501">
        <v>8008667.6100000003</v>
      </c>
      <c r="F2279" s="502" t="s">
        <v>878</v>
      </c>
      <c r="G2279" s="100" t="s">
        <v>739</v>
      </c>
      <c r="H2279" s="530"/>
      <c r="I2279" s="525"/>
      <c r="K2279" s="548"/>
      <c r="L2279" s="548"/>
      <c r="M2279" s="548"/>
      <c r="N2279" s="552"/>
      <c r="Y2279" s="551"/>
    </row>
    <row r="2280" spans="1:25">
      <c r="A2280" s="499">
        <v>45548</v>
      </c>
      <c r="B2280" s="499">
        <v>45548</v>
      </c>
      <c r="C2280" s="500" t="s">
        <v>173</v>
      </c>
      <c r="D2280" s="500" t="s">
        <v>760</v>
      </c>
      <c r="E2280" s="501">
        <v>-979237338.97000003</v>
      </c>
      <c r="F2280" s="502" t="s">
        <v>878</v>
      </c>
      <c r="G2280" s="100" t="s">
        <v>818</v>
      </c>
      <c r="H2280" s="530"/>
      <c r="I2280" s="525"/>
      <c r="K2280" s="548"/>
      <c r="L2280" s="548"/>
      <c r="M2280" s="548"/>
      <c r="N2280" s="552"/>
      <c r="Y2280" s="551"/>
    </row>
    <row r="2281" spans="1:25">
      <c r="A2281" s="499">
        <v>45548</v>
      </c>
      <c r="B2281" s="499">
        <v>45548</v>
      </c>
      <c r="C2281" s="500" t="s">
        <v>173</v>
      </c>
      <c r="D2281" s="500" t="s">
        <v>760</v>
      </c>
      <c r="E2281" s="501">
        <v>-246083931.50999999</v>
      </c>
      <c r="F2281" s="502" t="s">
        <v>878</v>
      </c>
      <c r="G2281" s="100" t="s">
        <v>87</v>
      </c>
      <c r="H2281" s="530"/>
      <c r="I2281" s="525"/>
      <c r="K2281" s="548"/>
      <c r="L2281" s="548"/>
      <c r="M2281" s="548"/>
      <c r="N2281" s="552"/>
      <c r="Y2281" s="551"/>
    </row>
    <row r="2282" spans="1:25">
      <c r="A2282" s="499">
        <v>45548</v>
      </c>
      <c r="B2282" s="499">
        <v>45548</v>
      </c>
      <c r="C2282" s="500" t="s">
        <v>173</v>
      </c>
      <c r="D2282" s="500" t="s">
        <v>760</v>
      </c>
      <c r="E2282" s="501">
        <v>-33011259.109999999</v>
      </c>
      <c r="F2282" s="502" t="s">
        <v>878</v>
      </c>
      <c r="G2282" s="100" t="s">
        <v>87</v>
      </c>
      <c r="H2282" s="530"/>
      <c r="I2282" s="525"/>
      <c r="K2282" s="548"/>
      <c r="L2282" s="548"/>
      <c r="M2282" s="548"/>
      <c r="N2282" s="552"/>
      <c r="Y2282" s="551"/>
    </row>
    <row r="2283" spans="1:25">
      <c r="A2283" s="499">
        <v>45548</v>
      </c>
      <c r="B2283" s="499">
        <v>45551</v>
      </c>
      <c r="C2283" s="500" t="s">
        <v>173</v>
      </c>
      <c r="D2283" s="500" t="s">
        <v>760</v>
      </c>
      <c r="E2283" s="501">
        <v>980300052.27999997</v>
      </c>
      <c r="F2283" s="502" t="s">
        <v>878</v>
      </c>
      <c r="G2283" s="100" t="s">
        <v>818</v>
      </c>
      <c r="H2283" s="530"/>
      <c r="I2283" s="525"/>
      <c r="K2283" s="548"/>
      <c r="L2283" s="548"/>
      <c r="M2283" s="548"/>
      <c r="N2283" s="552"/>
      <c r="Y2283" s="551"/>
    </row>
    <row r="2284" spans="1:25">
      <c r="A2284" s="499">
        <v>45548</v>
      </c>
      <c r="B2284" s="499">
        <v>45551</v>
      </c>
      <c r="C2284" s="500" t="s">
        <v>173</v>
      </c>
      <c r="D2284" s="500" t="s">
        <v>760</v>
      </c>
      <c r="E2284" s="501">
        <v>246350192.31</v>
      </c>
      <c r="F2284" s="502" t="s">
        <v>878</v>
      </c>
      <c r="G2284" s="100" t="s">
        <v>87</v>
      </c>
      <c r="H2284" s="530"/>
      <c r="I2284" s="525"/>
      <c r="K2284" s="548"/>
      <c r="L2284" s="548"/>
      <c r="M2284" s="548"/>
      <c r="N2284" s="552"/>
      <c r="Y2284" s="551"/>
    </row>
    <row r="2285" spans="1:25">
      <c r="A2285" s="499">
        <v>45548</v>
      </c>
      <c r="B2285" s="499">
        <v>45551</v>
      </c>
      <c r="C2285" s="500" t="s">
        <v>173</v>
      </c>
      <c r="D2285" s="500" t="s">
        <v>760</v>
      </c>
      <c r="E2285" s="501">
        <v>33046977.02</v>
      </c>
      <c r="F2285" s="502" t="s">
        <v>878</v>
      </c>
      <c r="G2285" s="100" t="s">
        <v>87</v>
      </c>
      <c r="H2285" s="530"/>
      <c r="I2285" s="525"/>
      <c r="K2285" s="548"/>
      <c r="L2285" s="548"/>
      <c r="M2285" s="548"/>
      <c r="N2285" s="552"/>
      <c r="Y2285" s="551"/>
    </row>
    <row r="2286" spans="1:25">
      <c r="A2286" s="499">
        <v>45548</v>
      </c>
      <c r="B2286" s="499">
        <v>45548</v>
      </c>
      <c r="C2286" s="500" t="s">
        <v>173</v>
      </c>
      <c r="D2286" s="500" t="s">
        <v>764</v>
      </c>
      <c r="E2286" s="501">
        <v>-498317741.93000001</v>
      </c>
      <c r="F2286" s="502" t="s">
        <v>878</v>
      </c>
      <c r="G2286" s="100" t="s">
        <v>689</v>
      </c>
      <c r="H2286" s="530"/>
      <c r="I2286" s="525"/>
      <c r="K2286" s="548"/>
      <c r="L2286" s="548"/>
      <c r="M2286" s="548"/>
      <c r="N2286" s="552"/>
      <c r="Y2286" s="551"/>
    </row>
    <row r="2287" spans="1:25">
      <c r="A2287" s="499">
        <v>45548</v>
      </c>
      <c r="B2287" s="499">
        <v>45551</v>
      </c>
      <c r="C2287" s="500" t="s">
        <v>173</v>
      </c>
      <c r="D2287" s="500" t="s">
        <v>764</v>
      </c>
      <c r="E2287" s="501">
        <v>498856909.47000003</v>
      </c>
      <c r="F2287" s="502" t="s">
        <v>878</v>
      </c>
      <c r="G2287" s="100" t="s">
        <v>689</v>
      </c>
      <c r="H2287" s="530"/>
      <c r="I2287" s="525"/>
      <c r="K2287" s="548"/>
      <c r="L2287" s="548"/>
      <c r="M2287" s="548"/>
      <c r="N2287" s="552"/>
      <c r="Y2287" s="551"/>
    </row>
    <row r="2288" spans="1:25">
      <c r="A2288" s="499">
        <v>45548</v>
      </c>
      <c r="B2288" s="499">
        <v>45548</v>
      </c>
      <c r="C2288" s="500" t="s">
        <v>173</v>
      </c>
      <c r="D2288" s="500" t="s">
        <v>763</v>
      </c>
      <c r="E2288" s="501">
        <v>-6311688121.8699989</v>
      </c>
      <c r="F2288" s="502" t="s">
        <v>878</v>
      </c>
      <c r="G2288" s="100" t="s">
        <v>634</v>
      </c>
      <c r="H2288" s="530"/>
      <c r="I2288" s="525"/>
      <c r="K2288" s="548"/>
      <c r="L2288" s="548"/>
      <c r="M2288" s="548"/>
      <c r="N2288" s="552"/>
      <c r="Y2288" s="551"/>
    </row>
    <row r="2289" spans="1:25">
      <c r="A2289" s="499">
        <v>45548</v>
      </c>
      <c r="B2289" s="499">
        <v>45548</v>
      </c>
      <c r="C2289" s="500" t="s">
        <v>173</v>
      </c>
      <c r="D2289" s="500" t="s">
        <v>763</v>
      </c>
      <c r="E2289" s="501">
        <v>-27002896.530000001</v>
      </c>
      <c r="F2289" s="502" t="s">
        <v>878</v>
      </c>
      <c r="G2289" s="100" t="s">
        <v>649</v>
      </c>
      <c r="H2289" s="530"/>
      <c r="I2289" s="525"/>
      <c r="K2289" s="548"/>
      <c r="L2289" s="548"/>
      <c r="M2289" s="548"/>
      <c r="N2289" s="552"/>
      <c r="Y2289" s="551"/>
    </row>
    <row r="2290" spans="1:25">
      <c r="A2290" s="499">
        <v>45548</v>
      </c>
      <c r="B2290" s="499">
        <v>45551</v>
      </c>
      <c r="C2290" s="500" t="s">
        <v>173</v>
      </c>
      <c r="D2290" s="500" t="s">
        <v>763</v>
      </c>
      <c r="E2290" s="501">
        <v>6318496467.4200001</v>
      </c>
      <c r="F2290" s="502" t="s">
        <v>878</v>
      </c>
      <c r="G2290" s="100" t="s">
        <v>634</v>
      </c>
      <c r="H2290" s="530"/>
      <c r="I2290" s="525"/>
      <c r="K2290" s="548"/>
      <c r="L2290" s="548"/>
      <c r="M2290" s="548"/>
      <c r="N2290" s="552"/>
      <c r="Y2290" s="551"/>
    </row>
    <row r="2291" spans="1:25">
      <c r="A2291" s="499">
        <v>45548</v>
      </c>
      <c r="B2291" s="499">
        <v>45551</v>
      </c>
      <c r="C2291" s="500" t="s">
        <v>173</v>
      </c>
      <c r="D2291" s="500" t="s">
        <v>763</v>
      </c>
      <c r="E2291" s="501">
        <v>27032223.449999999</v>
      </c>
      <c r="F2291" s="502" t="s">
        <v>878</v>
      </c>
      <c r="G2291" s="100" t="s">
        <v>649</v>
      </c>
      <c r="H2291" s="530"/>
      <c r="I2291" s="525"/>
      <c r="K2291" s="548"/>
      <c r="L2291" s="548"/>
      <c r="M2291" s="548"/>
      <c r="N2291" s="552"/>
      <c r="Y2291" s="551"/>
    </row>
    <row r="2292" spans="1:25">
      <c r="A2292" s="499">
        <v>45551</v>
      </c>
      <c r="B2292" s="499">
        <v>45551</v>
      </c>
      <c r="C2292" s="500" t="s">
        <v>173</v>
      </c>
      <c r="D2292" s="500" t="s">
        <v>762</v>
      </c>
      <c r="E2292" s="501">
        <v>-26012354.469999999</v>
      </c>
      <c r="F2292" s="502" t="s">
        <v>878</v>
      </c>
      <c r="G2292" s="100" t="s">
        <v>673</v>
      </c>
      <c r="H2292" s="530"/>
      <c r="I2292" s="525"/>
      <c r="K2292" s="548"/>
      <c r="L2292" s="548"/>
      <c r="M2292" s="548"/>
      <c r="N2292" s="552"/>
      <c r="Y2292" s="551"/>
    </row>
    <row r="2293" spans="1:25">
      <c r="A2293" s="499">
        <v>45551</v>
      </c>
      <c r="B2293" s="499">
        <v>45551</v>
      </c>
      <c r="C2293" s="500" t="s">
        <v>173</v>
      </c>
      <c r="D2293" s="500" t="s">
        <v>762</v>
      </c>
      <c r="E2293" s="501">
        <v>-523092217.70999998</v>
      </c>
      <c r="F2293" s="502" t="s">
        <v>878</v>
      </c>
      <c r="G2293" s="100" t="s">
        <v>633</v>
      </c>
      <c r="H2293" s="530"/>
      <c r="I2293" s="525"/>
      <c r="K2293" s="548"/>
      <c r="L2293" s="548"/>
      <c r="M2293" s="548"/>
      <c r="N2293" s="552"/>
      <c r="Y2293" s="551"/>
    </row>
    <row r="2294" spans="1:25">
      <c r="A2294" s="499">
        <v>45551</v>
      </c>
      <c r="B2294" s="499">
        <v>45551</v>
      </c>
      <c r="C2294" s="500" t="s">
        <v>173</v>
      </c>
      <c r="D2294" s="500" t="s">
        <v>762</v>
      </c>
      <c r="E2294" s="501">
        <v>-5628992354.29</v>
      </c>
      <c r="F2294" s="502" t="s">
        <v>878</v>
      </c>
      <c r="G2294" s="100" t="s">
        <v>633</v>
      </c>
      <c r="H2294" s="530"/>
      <c r="I2294" s="525"/>
      <c r="K2294" s="548"/>
      <c r="L2294" s="548"/>
      <c r="M2294" s="548"/>
      <c r="N2294" s="552"/>
      <c r="Y2294" s="551"/>
    </row>
    <row r="2295" spans="1:25">
      <c r="A2295" s="499">
        <v>45551</v>
      </c>
      <c r="B2295" s="499">
        <v>45552</v>
      </c>
      <c r="C2295" s="500" t="s">
        <v>173</v>
      </c>
      <c r="D2295" s="500" t="s">
        <v>762</v>
      </c>
      <c r="E2295" s="501">
        <v>26021814.23</v>
      </c>
      <c r="F2295" s="502" t="s">
        <v>878</v>
      </c>
      <c r="G2295" s="100" t="s">
        <v>673</v>
      </c>
      <c r="H2295" s="530"/>
      <c r="I2295" s="525"/>
      <c r="K2295" s="548"/>
      <c r="L2295" s="548"/>
      <c r="M2295" s="548"/>
      <c r="N2295" s="552"/>
      <c r="Y2295" s="551"/>
    </row>
    <row r="2296" spans="1:25">
      <c r="A2296" s="499">
        <v>45551</v>
      </c>
      <c r="B2296" s="499">
        <v>45552</v>
      </c>
      <c r="C2296" s="500" t="s">
        <v>173</v>
      </c>
      <c r="D2296" s="500" t="s">
        <v>762</v>
      </c>
      <c r="E2296" s="501">
        <v>523282446.05000001</v>
      </c>
      <c r="F2296" s="502" t="s">
        <v>878</v>
      </c>
      <c r="G2296" s="100" t="s">
        <v>633</v>
      </c>
      <c r="H2296" s="530"/>
      <c r="I2296" s="525"/>
      <c r="K2296" s="548"/>
      <c r="L2296" s="548"/>
      <c r="M2296" s="548"/>
      <c r="N2296" s="552"/>
      <c r="R2296" s="539">
        <v>-1</v>
      </c>
      <c r="Y2296" s="551"/>
    </row>
    <row r="2297" spans="1:25">
      <c r="A2297" s="499">
        <v>45551</v>
      </c>
      <c r="B2297" s="499">
        <v>45552</v>
      </c>
      <c r="C2297" s="500" t="s">
        <v>173</v>
      </c>
      <c r="D2297" s="500" t="s">
        <v>762</v>
      </c>
      <c r="E2297" s="501">
        <v>5631039400.4200001</v>
      </c>
      <c r="F2297" s="502" t="s">
        <v>878</v>
      </c>
      <c r="G2297" s="100" t="s">
        <v>633</v>
      </c>
      <c r="H2297" s="530"/>
      <c r="I2297" s="525"/>
      <c r="K2297" s="548"/>
      <c r="L2297" s="548"/>
      <c r="M2297" s="548"/>
      <c r="N2297" s="552"/>
      <c r="Y2297" s="551"/>
    </row>
    <row r="2298" spans="1:25">
      <c r="A2298" s="499">
        <v>45551</v>
      </c>
      <c r="B2298" s="499">
        <v>45551</v>
      </c>
      <c r="C2298" s="500" t="s">
        <v>173</v>
      </c>
      <c r="D2298" s="500" t="s">
        <v>761</v>
      </c>
      <c r="E2298" s="501">
        <v>-55037475.409999996</v>
      </c>
      <c r="F2298" s="502" t="s">
        <v>878</v>
      </c>
      <c r="G2298" s="100" t="s">
        <v>72</v>
      </c>
      <c r="H2298" s="530"/>
      <c r="I2298" s="525"/>
      <c r="K2298" s="548"/>
      <c r="L2298" s="548"/>
      <c r="M2298" s="548"/>
      <c r="N2298" s="552"/>
      <c r="Y2298" s="551"/>
    </row>
    <row r="2299" spans="1:25">
      <c r="A2299" s="499">
        <v>45551</v>
      </c>
      <c r="B2299" s="499">
        <v>45551</v>
      </c>
      <c r="C2299" s="500" t="s">
        <v>173</v>
      </c>
      <c r="D2299" s="500" t="s">
        <v>761</v>
      </c>
      <c r="E2299" s="501">
        <v>-2219712863.8099999</v>
      </c>
      <c r="F2299" s="502" t="s">
        <v>878</v>
      </c>
      <c r="G2299" s="100" t="s">
        <v>475</v>
      </c>
      <c r="H2299" s="530"/>
      <c r="I2299" s="525"/>
      <c r="K2299" s="548"/>
      <c r="L2299" s="548"/>
      <c r="M2299" s="548"/>
      <c r="N2299" s="552"/>
      <c r="Y2299" s="551"/>
    </row>
    <row r="2300" spans="1:25">
      <c r="A2300" s="499">
        <v>45551</v>
      </c>
      <c r="B2300" s="499">
        <v>45551</v>
      </c>
      <c r="C2300" s="500" t="s">
        <v>173</v>
      </c>
      <c r="D2300" s="500" t="s">
        <v>761</v>
      </c>
      <c r="E2300" s="501">
        <v>-6002556.9199999999</v>
      </c>
      <c r="F2300" s="502" t="s">
        <v>878</v>
      </c>
      <c r="G2300" s="100" t="s">
        <v>91</v>
      </c>
      <c r="H2300" s="530"/>
      <c r="I2300" s="525"/>
      <c r="K2300" s="548"/>
      <c r="L2300" s="548"/>
      <c r="M2300" s="548"/>
      <c r="N2300" s="552"/>
      <c r="Y2300" s="551"/>
    </row>
    <row r="2301" spans="1:25">
      <c r="A2301" s="499">
        <v>45551</v>
      </c>
      <c r="B2301" s="499">
        <v>45551</v>
      </c>
      <c r="C2301" s="500" t="s">
        <v>173</v>
      </c>
      <c r="D2301" s="500" t="s">
        <v>761</v>
      </c>
      <c r="E2301" s="501">
        <v>-7004984.0599999996</v>
      </c>
      <c r="F2301" s="502" t="s">
        <v>878</v>
      </c>
      <c r="G2301" s="100" t="s">
        <v>90</v>
      </c>
      <c r="H2301" s="530"/>
      <c r="I2301" s="525"/>
      <c r="K2301" s="548"/>
      <c r="L2301" s="548"/>
      <c r="M2301" s="548"/>
      <c r="N2301" s="552"/>
      <c r="Y2301" s="551"/>
    </row>
    <row r="2302" spans="1:25">
      <c r="A2302" s="499">
        <v>45551</v>
      </c>
      <c r="B2302" s="499">
        <v>45558</v>
      </c>
      <c r="C2302" s="500" t="s">
        <v>173</v>
      </c>
      <c r="D2302" s="500" t="s">
        <v>761</v>
      </c>
      <c r="E2302" s="501">
        <v>55178527.740000002</v>
      </c>
      <c r="F2302" s="502" t="s">
        <v>878</v>
      </c>
      <c r="G2302" s="100" t="s">
        <v>72</v>
      </c>
      <c r="H2302" s="530"/>
      <c r="I2302" s="525"/>
      <c r="K2302" s="548"/>
      <c r="L2302" s="548"/>
      <c r="M2302" s="548"/>
      <c r="N2302" s="552"/>
      <c r="Y2302" s="551"/>
    </row>
    <row r="2303" spans="1:25">
      <c r="A2303" s="499">
        <v>45551</v>
      </c>
      <c r="B2303" s="499">
        <v>45558</v>
      </c>
      <c r="C2303" s="500" t="s">
        <v>173</v>
      </c>
      <c r="D2303" s="500" t="s">
        <v>761</v>
      </c>
      <c r="E2303" s="501">
        <v>2225401636.1199999</v>
      </c>
      <c r="F2303" s="502" t="s">
        <v>878</v>
      </c>
      <c r="G2303" s="100" t="s">
        <v>475</v>
      </c>
      <c r="H2303" s="530"/>
      <c r="I2303" s="525"/>
      <c r="K2303" s="548"/>
      <c r="L2303" s="548"/>
      <c r="M2303" s="548"/>
      <c r="N2303" s="552"/>
      <c r="Y2303" s="551"/>
    </row>
    <row r="2304" spans="1:25">
      <c r="A2304" s="499">
        <v>45551</v>
      </c>
      <c r="B2304" s="499">
        <v>45558</v>
      </c>
      <c r="C2304" s="500" t="s">
        <v>173</v>
      </c>
      <c r="D2304" s="500" t="s">
        <v>761</v>
      </c>
      <c r="E2304" s="501">
        <v>6017940.5199999996</v>
      </c>
      <c r="F2304" s="502" t="s">
        <v>878</v>
      </c>
      <c r="G2304" s="100" t="s">
        <v>91</v>
      </c>
      <c r="H2304" s="530"/>
      <c r="I2304" s="525"/>
      <c r="K2304" s="548"/>
      <c r="L2304" s="548"/>
      <c r="M2304" s="548"/>
      <c r="N2304" s="552"/>
      <c r="Y2304" s="551"/>
    </row>
    <row r="2305" spans="1:25">
      <c r="A2305" s="499">
        <v>45551</v>
      </c>
      <c r="B2305" s="499">
        <v>45558</v>
      </c>
      <c r="C2305" s="500" t="s">
        <v>173</v>
      </c>
      <c r="D2305" s="500" t="s">
        <v>761</v>
      </c>
      <c r="E2305" s="501">
        <v>7022936.7199999997</v>
      </c>
      <c r="F2305" s="502" t="s">
        <v>878</v>
      </c>
      <c r="G2305" s="100" t="s">
        <v>90</v>
      </c>
      <c r="H2305" s="530"/>
      <c r="I2305" s="525"/>
      <c r="K2305" s="548"/>
      <c r="L2305" s="548"/>
      <c r="M2305" s="548"/>
      <c r="N2305" s="552"/>
      <c r="Y2305" s="551"/>
    </row>
    <row r="2306" spans="1:25">
      <c r="A2306" s="499">
        <v>45551</v>
      </c>
      <c r="B2306" s="499">
        <v>45551</v>
      </c>
      <c r="C2306" s="500" t="s">
        <v>173</v>
      </c>
      <c r="D2306" s="500" t="s">
        <v>759</v>
      </c>
      <c r="E2306" s="501">
        <v>-1995351767.3800001</v>
      </c>
      <c r="F2306" s="502" t="s">
        <v>878</v>
      </c>
      <c r="G2306" s="100" t="s">
        <v>634</v>
      </c>
      <c r="H2306" s="484"/>
      <c r="I2306" s="525"/>
      <c r="K2306" s="548"/>
      <c r="L2306" s="548"/>
      <c r="M2306" s="548"/>
      <c r="N2306" s="552"/>
      <c r="Y2306" s="551"/>
    </row>
    <row r="2307" spans="1:25">
      <c r="A2307" s="499">
        <v>45551</v>
      </c>
      <c r="B2307" s="499">
        <v>45551</v>
      </c>
      <c r="C2307" s="500" t="s">
        <v>173</v>
      </c>
      <c r="D2307" s="500" t="s">
        <v>759</v>
      </c>
      <c r="E2307" s="501">
        <v>-8001410.5999999996</v>
      </c>
      <c r="F2307" s="502" t="s">
        <v>878</v>
      </c>
      <c r="G2307" s="100" t="s">
        <v>634</v>
      </c>
      <c r="H2307" s="484"/>
      <c r="I2307" s="525"/>
      <c r="K2307" s="548"/>
      <c r="L2307" s="548"/>
      <c r="M2307" s="548"/>
      <c r="N2307" s="552"/>
      <c r="Y2307" s="551"/>
    </row>
    <row r="2308" spans="1:25">
      <c r="A2308" s="499">
        <v>45551</v>
      </c>
      <c r="B2308" s="499">
        <v>45552</v>
      </c>
      <c r="C2308" s="500" t="s">
        <v>173</v>
      </c>
      <c r="D2308" s="500" t="s">
        <v>759</v>
      </c>
      <c r="E2308" s="501">
        <v>1996077410.3099999</v>
      </c>
      <c r="F2308" s="502" t="s">
        <v>878</v>
      </c>
      <c r="G2308" s="100" t="s">
        <v>634</v>
      </c>
      <c r="H2308" s="484"/>
      <c r="I2308" s="525"/>
      <c r="K2308" s="548"/>
      <c r="L2308" s="548"/>
      <c r="M2308" s="548"/>
      <c r="N2308" s="552"/>
      <c r="Y2308" s="551"/>
    </row>
    <row r="2309" spans="1:25">
      <c r="A2309" s="499">
        <v>45551</v>
      </c>
      <c r="B2309" s="499">
        <v>45552</v>
      </c>
      <c r="C2309" s="500" t="s">
        <v>173</v>
      </c>
      <c r="D2309" s="500" t="s">
        <v>759</v>
      </c>
      <c r="E2309" s="501">
        <v>8004331.3300000001</v>
      </c>
      <c r="F2309" s="502" t="s">
        <v>878</v>
      </c>
      <c r="G2309" s="100" t="s">
        <v>634</v>
      </c>
      <c r="H2309" s="484"/>
      <c r="I2309" s="525"/>
      <c r="K2309" s="548"/>
      <c r="L2309" s="548"/>
      <c r="M2309" s="548"/>
      <c r="N2309" s="552"/>
      <c r="Y2309" s="551"/>
    </row>
    <row r="2310" spans="1:25">
      <c r="A2310" s="499">
        <v>45551</v>
      </c>
      <c r="B2310" s="499">
        <v>45551</v>
      </c>
      <c r="C2310" s="500" t="s">
        <v>173</v>
      </c>
      <c r="D2310" s="500" t="s">
        <v>760</v>
      </c>
      <c r="E2310" s="501">
        <v>-1228216526.49</v>
      </c>
      <c r="F2310" s="502" t="s">
        <v>878</v>
      </c>
      <c r="G2310" s="100" t="s">
        <v>634</v>
      </c>
      <c r="H2310" s="530"/>
      <c r="I2310" s="525"/>
      <c r="K2310" s="548"/>
      <c r="L2310" s="548"/>
      <c r="M2310" s="548"/>
      <c r="N2310" s="552"/>
      <c r="Y2310" s="551"/>
    </row>
    <row r="2311" spans="1:25">
      <c r="A2311" s="499">
        <v>45551</v>
      </c>
      <c r="B2311" s="499">
        <v>45551</v>
      </c>
      <c r="C2311" s="500" t="s">
        <v>173</v>
      </c>
      <c r="D2311" s="500" t="s">
        <v>760</v>
      </c>
      <c r="E2311" s="501">
        <v>-35006171.359999999</v>
      </c>
      <c r="F2311" s="502" t="s">
        <v>878</v>
      </c>
      <c r="G2311" s="100" t="s">
        <v>634</v>
      </c>
      <c r="H2311" s="530"/>
      <c r="I2311" s="525"/>
      <c r="K2311" s="548"/>
      <c r="L2311" s="548"/>
      <c r="M2311" s="548"/>
      <c r="N2311" s="552"/>
      <c r="Y2311" s="551"/>
    </row>
    <row r="2312" spans="1:25">
      <c r="A2312" s="499">
        <v>45551</v>
      </c>
      <c r="B2312" s="499">
        <v>45552</v>
      </c>
      <c r="C2312" s="500" t="s">
        <v>173</v>
      </c>
      <c r="D2312" s="500" t="s">
        <v>760</v>
      </c>
      <c r="E2312" s="501">
        <v>1228664187.9200001</v>
      </c>
      <c r="F2312" s="502" t="s">
        <v>878</v>
      </c>
      <c r="G2312" s="100" t="s">
        <v>634</v>
      </c>
      <c r="H2312" s="530"/>
      <c r="I2312" s="525"/>
      <c r="K2312" s="548"/>
      <c r="L2312" s="548"/>
      <c r="M2312" s="548"/>
      <c r="N2312" s="552"/>
      <c r="Y2312" s="551"/>
    </row>
    <row r="2313" spans="1:25">
      <c r="A2313" s="499">
        <v>45551</v>
      </c>
      <c r="B2313" s="499">
        <v>45552</v>
      </c>
      <c r="C2313" s="500" t="s">
        <v>173</v>
      </c>
      <c r="D2313" s="500" t="s">
        <v>760</v>
      </c>
      <c r="E2313" s="501">
        <v>35018949.57</v>
      </c>
      <c r="F2313" s="502" t="s">
        <v>878</v>
      </c>
      <c r="G2313" s="100" t="s">
        <v>634</v>
      </c>
      <c r="H2313" s="530"/>
      <c r="I2313" s="525"/>
      <c r="K2313" s="548"/>
      <c r="L2313" s="548"/>
      <c r="M2313" s="548"/>
      <c r="N2313" s="552"/>
      <c r="Y2313" s="551"/>
    </row>
    <row r="2314" spans="1:25">
      <c r="A2314" s="499">
        <v>45551</v>
      </c>
      <c r="B2314" s="499">
        <v>45551</v>
      </c>
      <c r="C2314" s="500" t="s">
        <v>173</v>
      </c>
      <c r="D2314" s="500" t="s">
        <v>764</v>
      </c>
      <c r="E2314" s="501">
        <v>-260072644.94</v>
      </c>
      <c r="F2314" s="502" t="s">
        <v>878</v>
      </c>
      <c r="G2314" s="100" t="s">
        <v>833</v>
      </c>
      <c r="H2314" s="530"/>
      <c r="I2314" s="525"/>
      <c r="K2314" s="548"/>
      <c r="L2314" s="548"/>
      <c r="M2314" s="548"/>
      <c r="N2314" s="552"/>
      <c r="Y2314" s="551"/>
    </row>
    <row r="2315" spans="1:25">
      <c r="A2315" s="499">
        <v>45551</v>
      </c>
      <c r="B2315" s="499">
        <v>45551</v>
      </c>
      <c r="C2315" s="500" t="s">
        <v>173</v>
      </c>
      <c r="D2315" s="500" t="s">
        <v>764</v>
      </c>
      <c r="E2315" s="501">
        <v>-2000149.38</v>
      </c>
      <c r="F2315" s="502" t="s">
        <v>878</v>
      </c>
      <c r="G2315" s="100" t="s">
        <v>631</v>
      </c>
      <c r="H2315" s="530"/>
      <c r="I2315" s="525"/>
      <c r="K2315" s="548"/>
      <c r="L2315" s="548"/>
      <c r="M2315" s="548"/>
      <c r="N2315" s="552"/>
      <c r="Y2315" s="551"/>
    </row>
    <row r="2316" spans="1:25">
      <c r="A2316" s="499">
        <v>45551</v>
      </c>
      <c r="B2316" s="499">
        <v>45551</v>
      </c>
      <c r="C2316" s="500" t="s">
        <v>173</v>
      </c>
      <c r="D2316" s="500" t="s">
        <v>764</v>
      </c>
      <c r="E2316" s="501">
        <v>-119012139.56</v>
      </c>
      <c r="F2316" s="502" t="s">
        <v>878</v>
      </c>
      <c r="G2316" s="100" t="s">
        <v>550</v>
      </c>
      <c r="H2316" s="530"/>
      <c r="I2316" s="525"/>
      <c r="K2316" s="548"/>
      <c r="L2316" s="548"/>
      <c r="M2316" s="548"/>
      <c r="N2316" s="552"/>
      <c r="Y2316" s="551"/>
    </row>
    <row r="2317" spans="1:25">
      <c r="A2317" s="499">
        <v>45551</v>
      </c>
      <c r="B2317" s="499">
        <v>45551</v>
      </c>
      <c r="C2317" s="500" t="s">
        <v>173</v>
      </c>
      <c r="D2317" s="500" t="s">
        <v>764</v>
      </c>
      <c r="E2317" s="501">
        <v>-1000102.01</v>
      </c>
      <c r="F2317" s="502" t="s">
        <v>878</v>
      </c>
      <c r="G2317" s="100" t="s">
        <v>550</v>
      </c>
      <c r="H2317" s="530"/>
      <c r="I2317" s="525"/>
      <c r="K2317" s="548"/>
      <c r="L2317" s="548"/>
      <c r="M2317" s="548"/>
      <c r="N2317" s="552"/>
      <c r="Y2317" s="551"/>
    </row>
    <row r="2318" spans="1:25">
      <c r="A2318" s="499">
        <v>45551</v>
      </c>
      <c r="B2318" s="499">
        <v>45551</v>
      </c>
      <c r="C2318" s="500" t="s">
        <v>173</v>
      </c>
      <c r="D2318" s="500" t="s">
        <v>764</v>
      </c>
      <c r="E2318" s="501">
        <v>-2008153203.77</v>
      </c>
      <c r="F2318" s="502" t="s">
        <v>878</v>
      </c>
      <c r="G2318" s="100" t="s">
        <v>747</v>
      </c>
      <c r="H2318" s="530"/>
      <c r="I2318" s="525"/>
      <c r="K2318" s="548"/>
      <c r="L2318" s="548"/>
      <c r="M2318" s="548"/>
      <c r="N2318" s="552"/>
      <c r="Y2318" s="551"/>
    </row>
    <row r="2319" spans="1:25">
      <c r="A2319" s="499">
        <v>45551</v>
      </c>
      <c r="B2319" s="499">
        <v>45551</v>
      </c>
      <c r="C2319" s="500" t="s">
        <v>173</v>
      </c>
      <c r="D2319" s="500" t="s">
        <v>764</v>
      </c>
      <c r="E2319" s="501">
        <v>-1500264486.75</v>
      </c>
      <c r="F2319" s="502" t="s">
        <v>878</v>
      </c>
      <c r="G2319" s="100" t="s">
        <v>633</v>
      </c>
      <c r="H2319" s="530"/>
      <c r="I2319" s="525"/>
      <c r="K2319" s="548"/>
      <c r="L2319" s="548"/>
      <c r="M2319" s="548"/>
      <c r="N2319" s="552"/>
      <c r="Y2319" s="551"/>
    </row>
    <row r="2320" spans="1:25">
      <c r="A2320" s="499">
        <v>45551</v>
      </c>
      <c r="B2320" s="499">
        <v>45551</v>
      </c>
      <c r="C2320" s="500" t="s">
        <v>173</v>
      </c>
      <c r="D2320" s="500" t="s">
        <v>764</v>
      </c>
      <c r="E2320" s="501">
        <v>-35034184.079999998</v>
      </c>
      <c r="F2320" s="502" t="s">
        <v>878</v>
      </c>
      <c r="G2320" s="100" t="s">
        <v>682</v>
      </c>
      <c r="H2320" s="530"/>
      <c r="I2320" s="525"/>
      <c r="K2320" s="548"/>
      <c r="L2320" s="548"/>
      <c r="M2320" s="548"/>
      <c r="N2320" s="552"/>
      <c r="Y2320" s="551"/>
    </row>
    <row r="2321" spans="1:25">
      <c r="A2321" s="499">
        <v>45551</v>
      </c>
      <c r="B2321" s="499">
        <v>45558</v>
      </c>
      <c r="C2321" s="500" t="s">
        <v>173</v>
      </c>
      <c r="D2321" s="500" t="s">
        <v>764</v>
      </c>
      <c r="E2321" s="501">
        <v>260744143.97999999</v>
      </c>
      <c r="F2321" s="502" t="s">
        <v>878</v>
      </c>
      <c r="G2321" s="100" t="s">
        <v>833</v>
      </c>
      <c r="H2321" s="530"/>
      <c r="I2321" s="525"/>
      <c r="K2321" s="548"/>
      <c r="L2321" s="548"/>
      <c r="M2321" s="548"/>
      <c r="N2321" s="552"/>
      <c r="Y2321" s="551"/>
    </row>
    <row r="2322" spans="1:25">
      <c r="A2322" s="499">
        <v>45551</v>
      </c>
      <c r="B2322" s="499">
        <v>45558</v>
      </c>
      <c r="C2322" s="500" t="s">
        <v>173</v>
      </c>
      <c r="D2322" s="500" t="s">
        <v>764</v>
      </c>
      <c r="E2322" s="501">
        <v>2005313.7</v>
      </c>
      <c r="F2322" s="502" t="s">
        <v>878</v>
      </c>
      <c r="G2322" s="100" t="s">
        <v>631</v>
      </c>
      <c r="H2322" s="530"/>
      <c r="I2322" s="525"/>
      <c r="K2322" s="548"/>
      <c r="L2322" s="548"/>
      <c r="M2322" s="548"/>
      <c r="N2322" s="552"/>
      <c r="Y2322" s="551"/>
    </row>
    <row r="2323" spans="1:25">
      <c r="A2323" s="499">
        <v>45551</v>
      </c>
      <c r="B2323" s="499">
        <v>45558</v>
      </c>
      <c r="C2323" s="500" t="s">
        <v>173</v>
      </c>
      <c r="D2323" s="500" t="s">
        <v>764</v>
      </c>
      <c r="E2323" s="501">
        <v>119319425</v>
      </c>
      <c r="F2323" s="502" t="s">
        <v>878</v>
      </c>
      <c r="G2323" s="100" t="s">
        <v>550</v>
      </c>
      <c r="H2323" s="530"/>
      <c r="I2323" s="525"/>
      <c r="K2323" s="548"/>
      <c r="L2323" s="548"/>
      <c r="M2323" s="548"/>
      <c r="N2323" s="552"/>
      <c r="Y2323" s="551"/>
    </row>
    <row r="2324" spans="1:25">
      <c r="A2324" s="499">
        <v>45551</v>
      </c>
      <c r="B2324" s="499">
        <v>45558</v>
      </c>
      <c r="C2324" s="500" t="s">
        <v>173</v>
      </c>
      <c r="D2324" s="500" t="s">
        <v>764</v>
      </c>
      <c r="E2324" s="501">
        <v>1002684.24</v>
      </c>
      <c r="F2324" s="502" t="s">
        <v>878</v>
      </c>
      <c r="G2324" s="100" t="s">
        <v>550</v>
      </c>
      <c r="H2324" s="530"/>
      <c r="I2324" s="525"/>
      <c r="K2324" s="548"/>
      <c r="L2324" s="548"/>
      <c r="M2324" s="548"/>
      <c r="N2324" s="552"/>
      <c r="Y2324" s="551"/>
    </row>
    <row r="2325" spans="1:25">
      <c r="A2325" s="499">
        <v>45551</v>
      </c>
      <c r="B2325" s="499">
        <v>45558</v>
      </c>
      <c r="C2325" s="500" t="s">
        <v>173</v>
      </c>
      <c r="D2325" s="500" t="s">
        <v>764</v>
      </c>
      <c r="E2325" s="501">
        <v>2013338189.5</v>
      </c>
      <c r="F2325" s="502" t="s">
        <v>878</v>
      </c>
      <c r="G2325" s="100" t="s">
        <v>747</v>
      </c>
      <c r="H2325" s="530"/>
      <c r="I2325" s="525"/>
      <c r="K2325" s="548"/>
      <c r="L2325" s="548"/>
      <c r="M2325" s="548"/>
      <c r="N2325" s="552"/>
      <c r="Y2325" s="551"/>
    </row>
    <row r="2326" spans="1:25">
      <c r="A2326" s="499">
        <v>45551</v>
      </c>
      <c r="B2326" s="499">
        <v>45552</v>
      </c>
      <c r="C2326" s="500" t="s">
        <v>173</v>
      </c>
      <c r="D2326" s="500" t="s">
        <v>764</v>
      </c>
      <c r="E2326" s="501">
        <v>1500813763.9100001</v>
      </c>
      <c r="F2326" s="502" t="s">
        <v>878</v>
      </c>
      <c r="G2326" s="100" t="s">
        <v>633</v>
      </c>
      <c r="H2326" s="530"/>
      <c r="I2326" s="525"/>
      <c r="K2326" s="548"/>
      <c r="L2326" s="548"/>
      <c r="M2326" s="548"/>
      <c r="N2326" s="552"/>
      <c r="Y2326" s="551"/>
    </row>
    <row r="2327" spans="1:25">
      <c r="A2327" s="499">
        <v>45551</v>
      </c>
      <c r="B2327" s="499">
        <v>45552</v>
      </c>
      <c r="C2327" s="500" t="s">
        <v>173</v>
      </c>
      <c r="D2327" s="500" t="s">
        <v>764</v>
      </c>
      <c r="E2327" s="501">
        <v>35047010.899999999</v>
      </c>
      <c r="F2327" s="502" t="s">
        <v>878</v>
      </c>
      <c r="G2327" s="100" t="s">
        <v>682</v>
      </c>
      <c r="H2327" s="530"/>
      <c r="I2327" s="525"/>
      <c r="K2327" s="548"/>
      <c r="L2327" s="548"/>
      <c r="M2327" s="548"/>
      <c r="N2327" s="552"/>
      <c r="Y2327" s="551"/>
    </row>
    <row r="2328" spans="1:25">
      <c r="A2328" s="499">
        <v>45551</v>
      </c>
      <c r="B2328" s="499">
        <v>45551</v>
      </c>
      <c r="C2328" s="500" t="s">
        <v>173</v>
      </c>
      <c r="D2328" s="500" t="s">
        <v>763</v>
      </c>
      <c r="E2328" s="501">
        <v>-1317232219.3699989</v>
      </c>
      <c r="F2328" s="502" t="s">
        <v>878</v>
      </c>
      <c r="G2328" s="100" t="s">
        <v>634</v>
      </c>
      <c r="H2328" s="530"/>
      <c r="I2328" s="525"/>
      <c r="K2328" s="548"/>
      <c r="L2328" s="548"/>
      <c r="M2328" s="548"/>
      <c r="N2328" s="552"/>
      <c r="Y2328" s="551"/>
    </row>
    <row r="2329" spans="1:25">
      <c r="A2329" s="499">
        <v>45551</v>
      </c>
      <c r="B2329" s="499">
        <v>45551</v>
      </c>
      <c r="C2329" s="500" t="s">
        <v>173</v>
      </c>
      <c r="D2329" s="500" t="s">
        <v>763</v>
      </c>
      <c r="E2329" s="501">
        <v>-27004760.75999999</v>
      </c>
      <c r="F2329" s="502" t="s">
        <v>878</v>
      </c>
      <c r="G2329" s="100" t="s">
        <v>634</v>
      </c>
      <c r="H2329" s="530"/>
      <c r="I2329" s="525"/>
      <c r="K2329" s="548"/>
      <c r="L2329" s="548"/>
      <c r="M2329" s="548"/>
      <c r="N2329" s="552"/>
      <c r="Y2329" s="551"/>
    </row>
    <row r="2330" spans="1:25">
      <c r="A2330" s="499">
        <v>45551</v>
      </c>
      <c r="B2330" s="499">
        <v>45551</v>
      </c>
      <c r="C2330" s="500" t="s">
        <v>173</v>
      </c>
      <c r="D2330" s="500" t="s">
        <v>763</v>
      </c>
      <c r="E2330" s="501">
        <v>-5000881622.5</v>
      </c>
      <c r="F2330" s="502" t="s">
        <v>878</v>
      </c>
      <c r="G2330" s="100" t="s">
        <v>634</v>
      </c>
      <c r="H2330" s="530"/>
      <c r="I2330" s="525"/>
      <c r="K2330" s="548"/>
      <c r="L2330" s="548"/>
      <c r="M2330" s="548"/>
      <c r="N2330" s="552"/>
      <c r="Y2330" s="551"/>
    </row>
    <row r="2331" spans="1:25">
      <c r="A2331" s="499">
        <v>45551</v>
      </c>
      <c r="B2331" s="499">
        <v>45552</v>
      </c>
      <c r="C2331" s="500" t="s">
        <v>173</v>
      </c>
      <c r="D2331" s="500" t="s">
        <v>763</v>
      </c>
      <c r="E2331" s="501">
        <v>1317713045.1199999</v>
      </c>
      <c r="F2331" s="502" t="s">
        <v>878</v>
      </c>
      <c r="G2331" s="100" t="s">
        <v>634</v>
      </c>
      <c r="H2331" s="530"/>
      <c r="I2331" s="525"/>
      <c r="K2331" s="548"/>
      <c r="L2331" s="548"/>
      <c r="M2331" s="548"/>
      <c r="N2331" s="552"/>
      <c r="Y2331" s="551"/>
    </row>
    <row r="2332" spans="1:25">
      <c r="A2332" s="499">
        <v>45551</v>
      </c>
      <c r="B2332" s="499">
        <v>45552</v>
      </c>
      <c r="C2332" s="500" t="s">
        <v>173</v>
      </c>
      <c r="D2332" s="500" t="s">
        <v>763</v>
      </c>
      <c r="E2332" s="501">
        <v>27014618.239999998</v>
      </c>
      <c r="F2332" s="502" t="s">
        <v>878</v>
      </c>
      <c r="G2332" s="100" t="s">
        <v>634</v>
      </c>
      <c r="H2332" s="530"/>
      <c r="I2332" s="525"/>
      <c r="K2332" s="548"/>
      <c r="L2332" s="548"/>
      <c r="M2332" s="548"/>
      <c r="N2332" s="552"/>
      <c r="Y2332" s="551"/>
    </row>
    <row r="2333" spans="1:25">
      <c r="A2333" s="499">
        <v>45551</v>
      </c>
      <c r="B2333" s="499">
        <v>45552</v>
      </c>
      <c r="C2333" s="500" t="s">
        <v>173</v>
      </c>
      <c r="D2333" s="500" t="s">
        <v>763</v>
      </c>
      <c r="E2333" s="501">
        <v>5002707080.9300003</v>
      </c>
      <c r="F2333" s="502" t="s">
        <v>878</v>
      </c>
      <c r="G2333" s="100" t="s">
        <v>634</v>
      </c>
      <c r="H2333" s="530"/>
      <c r="I2333" s="525"/>
      <c r="K2333" s="548"/>
      <c r="L2333" s="548"/>
      <c r="M2333" s="548"/>
      <c r="N2333" s="552"/>
      <c r="Y2333" s="551"/>
    </row>
    <row r="2334" spans="1:25">
      <c r="A2334" s="499">
        <v>45552</v>
      </c>
      <c r="B2334" s="499">
        <v>45552</v>
      </c>
      <c r="C2334" s="500" t="s">
        <v>173</v>
      </c>
      <c r="D2334" s="500" t="s">
        <v>762</v>
      </c>
      <c r="E2334" s="501">
        <v>-3727322913.73</v>
      </c>
      <c r="F2334" s="502" t="s">
        <v>878</v>
      </c>
      <c r="G2334" s="100" t="s">
        <v>677</v>
      </c>
      <c r="H2334" s="530"/>
      <c r="I2334" s="525"/>
      <c r="K2334" s="548"/>
      <c r="L2334" s="548"/>
      <c r="M2334" s="548"/>
      <c r="N2334" s="552"/>
      <c r="Y2334" s="551"/>
    </row>
    <row r="2335" spans="1:25">
      <c r="A2335" s="499">
        <v>45552</v>
      </c>
      <c r="B2335" s="499">
        <v>45552</v>
      </c>
      <c r="C2335" s="500" t="s">
        <v>173</v>
      </c>
      <c r="D2335" s="500" t="s">
        <v>762</v>
      </c>
      <c r="E2335" s="501">
        <v>-430228821.06</v>
      </c>
      <c r="F2335" s="502" t="s">
        <v>878</v>
      </c>
      <c r="G2335" s="100" t="s">
        <v>675</v>
      </c>
      <c r="H2335" s="530"/>
      <c r="I2335" s="525"/>
      <c r="K2335" s="548"/>
      <c r="L2335" s="548"/>
      <c r="M2335" s="548"/>
      <c r="N2335" s="552"/>
      <c r="Y2335" s="551"/>
    </row>
    <row r="2336" spans="1:25">
      <c r="A2336" s="499">
        <v>45552</v>
      </c>
      <c r="B2336" s="499">
        <v>45552</v>
      </c>
      <c r="C2336" s="500" t="s">
        <v>173</v>
      </c>
      <c r="D2336" s="500" t="s">
        <v>762</v>
      </c>
      <c r="E2336" s="501">
        <v>-2001346560</v>
      </c>
      <c r="F2336" s="502" t="s">
        <v>878</v>
      </c>
      <c r="G2336" s="100" t="s">
        <v>654</v>
      </c>
      <c r="H2336" s="530"/>
      <c r="I2336" s="525"/>
      <c r="K2336" s="548"/>
      <c r="L2336" s="548"/>
      <c r="M2336" s="548"/>
      <c r="N2336" s="552"/>
      <c r="Y2336" s="551"/>
    </row>
    <row r="2337" spans="1:25">
      <c r="A2337" s="499">
        <v>45552</v>
      </c>
      <c r="B2337" s="499">
        <v>45552</v>
      </c>
      <c r="C2337" s="500" t="s">
        <v>173</v>
      </c>
      <c r="D2337" s="500" t="s">
        <v>762</v>
      </c>
      <c r="E2337" s="501">
        <v>-22014812.16</v>
      </c>
      <c r="F2337" s="502" t="s">
        <v>878</v>
      </c>
      <c r="G2337" s="100" t="s">
        <v>654</v>
      </c>
      <c r="H2337" s="530"/>
      <c r="I2337" s="525"/>
      <c r="K2337" s="548"/>
      <c r="L2337" s="548"/>
      <c r="M2337" s="548"/>
      <c r="N2337" s="552"/>
      <c r="Y2337" s="551"/>
    </row>
    <row r="2338" spans="1:25">
      <c r="A2338" s="499">
        <v>45552</v>
      </c>
      <c r="B2338" s="499">
        <v>45553</v>
      </c>
      <c r="C2338" s="500" t="s">
        <v>173</v>
      </c>
      <c r="D2338" s="500" t="s">
        <v>762</v>
      </c>
      <c r="E2338" s="501">
        <v>3728687592.5599999</v>
      </c>
      <c r="F2338" s="502" t="s">
        <v>878</v>
      </c>
      <c r="G2338" s="100" t="s">
        <v>677</v>
      </c>
      <c r="H2338" s="530"/>
      <c r="I2338" s="525"/>
      <c r="K2338" s="548"/>
      <c r="L2338" s="548"/>
      <c r="M2338" s="548"/>
      <c r="N2338" s="552"/>
      <c r="Y2338" s="551"/>
    </row>
    <row r="2339" spans="1:25">
      <c r="A2339" s="499">
        <v>45552</v>
      </c>
      <c r="B2339" s="499">
        <v>45553</v>
      </c>
      <c r="C2339" s="500" t="s">
        <v>173</v>
      </c>
      <c r="D2339" s="500" t="s">
        <v>762</v>
      </c>
      <c r="E2339" s="501">
        <v>430386340.06</v>
      </c>
      <c r="F2339" s="502" t="s">
        <v>878</v>
      </c>
      <c r="G2339" s="100" t="s">
        <v>675</v>
      </c>
      <c r="H2339" s="530"/>
      <c r="I2339" s="525"/>
      <c r="K2339" s="548"/>
      <c r="L2339" s="548"/>
      <c r="M2339" s="548"/>
      <c r="N2339" s="552"/>
      <c r="Y2339" s="551"/>
    </row>
    <row r="2340" spans="1:25">
      <c r="A2340" s="499">
        <v>45552</v>
      </c>
      <c r="B2340" s="499">
        <v>45553</v>
      </c>
      <c r="C2340" s="500" t="s">
        <v>173</v>
      </c>
      <c r="D2340" s="500" t="s">
        <v>762</v>
      </c>
      <c r="E2340" s="501">
        <v>2002079309.8399999</v>
      </c>
      <c r="F2340" s="502" t="s">
        <v>878</v>
      </c>
      <c r="G2340" s="100" t="s">
        <v>654</v>
      </c>
      <c r="H2340" s="530"/>
      <c r="I2340" s="525"/>
      <c r="K2340" s="548"/>
      <c r="L2340" s="548"/>
      <c r="M2340" s="548"/>
      <c r="N2340" s="552"/>
      <c r="Y2340" s="551"/>
    </row>
    <row r="2341" spans="1:25">
      <c r="A2341" s="499">
        <v>45552</v>
      </c>
      <c r="B2341" s="499">
        <v>45553</v>
      </c>
      <c r="C2341" s="500" t="s">
        <v>173</v>
      </c>
      <c r="D2341" s="500" t="s">
        <v>762</v>
      </c>
      <c r="E2341" s="501">
        <v>22022872.41</v>
      </c>
      <c r="F2341" s="502" t="s">
        <v>878</v>
      </c>
      <c r="G2341" s="100" t="s">
        <v>654</v>
      </c>
      <c r="H2341" s="530"/>
      <c r="I2341" s="525"/>
      <c r="K2341" s="548"/>
      <c r="L2341" s="548"/>
      <c r="M2341" s="548"/>
      <c r="N2341" s="552"/>
      <c r="Y2341" s="551"/>
    </row>
    <row r="2342" spans="1:25">
      <c r="A2342" s="499">
        <v>45552</v>
      </c>
      <c r="B2342" s="499">
        <v>45552</v>
      </c>
      <c r="C2342" s="500" t="s">
        <v>173</v>
      </c>
      <c r="D2342" s="500" t="s">
        <v>759</v>
      </c>
      <c r="E2342" s="501">
        <v>-4000163.02</v>
      </c>
      <c r="F2342" s="502" t="s">
        <v>878</v>
      </c>
      <c r="G2342" s="100" t="s">
        <v>769</v>
      </c>
      <c r="H2342" s="484"/>
      <c r="I2342" s="525"/>
      <c r="K2342" s="548"/>
      <c r="L2342" s="548"/>
      <c r="M2342" s="548"/>
      <c r="N2342" s="552"/>
      <c r="Y2342" s="551"/>
    </row>
    <row r="2343" spans="1:25">
      <c r="A2343" s="499">
        <v>45552</v>
      </c>
      <c r="B2343" s="499">
        <v>45552</v>
      </c>
      <c r="C2343" s="500" t="s">
        <v>173</v>
      </c>
      <c r="D2343" s="500" t="s">
        <v>759</v>
      </c>
      <c r="E2343" s="501">
        <v>-996084952.82000005</v>
      </c>
      <c r="F2343" s="502" t="s">
        <v>878</v>
      </c>
      <c r="G2343" s="100" t="s">
        <v>86</v>
      </c>
      <c r="H2343" s="484"/>
      <c r="I2343" s="525"/>
      <c r="K2343" s="548"/>
      <c r="L2343" s="548"/>
      <c r="M2343" s="548"/>
      <c r="N2343" s="552"/>
      <c r="Y2343" s="551"/>
    </row>
    <row r="2344" spans="1:25">
      <c r="A2344" s="499">
        <v>45552</v>
      </c>
      <c r="B2344" s="499">
        <v>45552</v>
      </c>
      <c r="C2344" s="500" t="s">
        <v>173</v>
      </c>
      <c r="D2344" s="500" t="s">
        <v>759</v>
      </c>
      <c r="E2344" s="501">
        <v>-4000341.18</v>
      </c>
      <c r="F2344" s="502" t="s">
        <v>878</v>
      </c>
      <c r="G2344" s="100" t="s">
        <v>86</v>
      </c>
      <c r="H2344" s="484"/>
      <c r="I2344" s="525"/>
      <c r="K2344" s="548"/>
      <c r="L2344" s="548"/>
      <c r="M2344" s="548"/>
      <c r="N2344" s="552"/>
      <c r="Y2344" s="551"/>
    </row>
    <row r="2345" spans="1:25">
      <c r="A2345" s="499">
        <v>45552</v>
      </c>
      <c r="B2345" s="499">
        <v>45552</v>
      </c>
      <c r="C2345" s="500" t="s">
        <v>173</v>
      </c>
      <c r="D2345" s="500" t="s">
        <v>759</v>
      </c>
      <c r="E2345" s="501">
        <v>-36001467.189999998</v>
      </c>
      <c r="F2345" s="502" t="s">
        <v>878</v>
      </c>
      <c r="G2345" s="100" t="s">
        <v>769</v>
      </c>
      <c r="H2345" s="484"/>
      <c r="I2345" s="525"/>
      <c r="K2345" s="548"/>
      <c r="L2345" s="548"/>
      <c r="M2345" s="548"/>
      <c r="N2345" s="552"/>
      <c r="Y2345" s="551"/>
    </row>
    <row r="2346" spans="1:25">
      <c r="A2346" s="499">
        <v>45552</v>
      </c>
      <c r="B2346" s="499">
        <v>45552</v>
      </c>
      <c r="C2346" s="500" t="s">
        <v>173</v>
      </c>
      <c r="D2346" s="500" t="s">
        <v>759</v>
      </c>
      <c r="E2346" s="501">
        <v>-964766337.58000004</v>
      </c>
      <c r="F2346" s="502" t="s">
        <v>878</v>
      </c>
      <c r="G2346" s="100" t="s">
        <v>95</v>
      </c>
      <c r="H2346" s="484"/>
      <c r="I2346" s="525"/>
      <c r="K2346" s="548"/>
      <c r="L2346" s="548">
        <v>-1</v>
      </c>
      <c r="M2346" s="548"/>
      <c r="N2346" s="552"/>
      <c r="Y2346" s="551"/>
    </row>
    <row r="2347" spans="1:25">
      <c r="A2347" s="499">
        <v>45552</v>
      </c>
      <c r="B2347" s="499">
        <v>45553</v>
      </c>
      <c r="C2347" s="500" t="s">
        <v>173</v>
      </c>
      <c r="D2347" s="500" t="s">
        <v>759</v>
      </c>
      <c r="E2347" s="501">
        <v>4001611.16</v>
      </c>
      <c r="F2347" s="502" t="s">
        <v>878</v>
      </c>
      <c r="G2347" s="100" t="s">
        <v>769</v>
      </c>
      <c r="H2347" s="530"/>
      <c r="I2347" s="525"/>
      <c r="K2347" s="548"/>
      <c r="L2347" s="548"/>
      <c r="M2347" s="548"/>
      <c r="N2347" s="552"/>
      <c r="Y2347" s="551"/>
    </row>
    <row r="2348" spans="1:25">
      <c r="A2348" s="499">
        <v>45552</v>
      </c>
      <c r="B2348" s="499">
        <v>45553</v>
      </c>
      <c r="C2348" s="500" t="s">
        <v>173</v>
      </c>
      <c r="D2348" s="500" t="s">
        <v>759</v>
      </c>
      <c r="E2348" s="501">
        <v>996447222.92999995</v>
      </c>
      <c r="F2348" s="502" t="s">
        <v>878</v>
      </c>
      <c r="G2348" s="100" t="s">
        <v>86</v>
      </c>
      <c r="H2348" s="530"/>
      <c r="I2348" s="525"/>
      <c r="K2348" s="548"/>
      <c r="L2348" s="548"/>
      <c r="M2348" s="548"/>
      <c r="N2348" s="552"/>
      <c r="Y2348" s="551"/>
    </row>
    <row r="2349" spans="1:25">
      <c r="A2349" s="499">
        <v>45552</v>
      </c>
      <c r="B2349" s="499">
        <v>45553</v>
      </c>
      <c r="C2349" s="500" t="s">
        <v>173</v>
      </c>
      <c r="D2349" s="500" t="s">
        <v>759</v>
      </c>
      <c r="E2349" s="501">
        <v>4001796.08</v>
      </c>
      <c r="F2349" s="502" t="s">
        <v>878</v>
      </c>
      <c r="G2349" s="100" t="s">
        <v>86</v>
      </c>
      <c r="H2349" s="530"/>
      <c r="I2349" s="525"/>
      <c r="K2349" s="548"/>
      <c r="L2349" s="548"/>
      <c r="M2349" s="548"/>
      <c r="N2349" s="552"/>
      <c r="Y2349" s="551"/>
    </row>
    <row r="2350" spans="1:25">
      <c r="A2350" s="499">
        <v>45552</v>
      </c>
      <c r="B2350" s="499">
        <v>45553</v>
      </c>
      <c r="C2350" s="500" t="s">
        <v>173</v>
      </c>
      <c r="D2350" s="500" t="s">
        <v>759</v>
      </c>
      <c r="E2350" s="501">
        <v>36014500.409999996</v>
      </c>
      <c r="F2350" s="502" t="s">
        <v>878</v>
      </c>
      <c r="G2350" s="100" t="s">
        <v>769</v>
      </c>
      <c r="H2350" s="530"/>
      <c r="I2350" s="525"/>
      <c r="K2350" s="548"/>
      <c r="L2350" s="548"/>
      <c r="M2350" s="548"/>
      <c r="N2350" s="552"/>
      <c r="Y2350" s="551"/>
    </row>
    <row r="2351" spans="1:25">
      <c r="A2351" s="499">
        <v>45552</v>
      </c>
      <c r="B2351" s="499">
        <v>45553</v>
      </c>
      <c r="C2351" s="500" t="s">
        <v>173</v>
      </c>
      <c r="D2351" s="500" t="s">
        <v>759</v>
      </c>
      <c r="E2351" s="501">
        <v>965115604.08000004</v>
      </c>
      <c r="F2351" s="502" t="s">
        <v>878</v>
      </c>
      <c r="G2351" s="100" t="s">
        <v>95</v>
      </c>
      <c r="H2351" s="530"/>
      <c r="I2351" s="525"/>
      <c r="K2351" s="548"/>
      <c r="L2351" s="548"/>
      <c r="M2351" s="548"/>
      <c r="N2351" s="552"/>
      <c r="Y2351" s="551"/>
    </row>
    <row r="2352" spans="1:25">
      <c r="A2352" s="499">
        <v>45552</v>
      </c>
      <c r="B2352" s="499">
        <v>45552</v>
      </c>
      <c r="C2352" s="500" t="s">
        <v>173</v>
      </c>
      <c r="D2352" s="500" t="s">
        <v>760</v>
      </c>
      <c r="E2352" s="501">
        <v>-732066546.12</v>
      </c>
      <c r="F2352" s="502" t="s">
        <v>878</v>
      </c>
      <c r="G2352" s="100" t="s">
        <v>831</v>
      </c>
      <c r="H2352" s="530"/>
      <c r="I2352" s="525"/>
      <c r="K2352" s="548"/>
      <c r="L2352" s="548"/>
      <c r="M2352" s="548"/>
      <c r="N2352" s="552"/>
      <c r="Y2352" s="551"/>
    </row>
    <row r="2353" spans="1:25">
      <c r="A2353" s="499">
        <v>45552</v>
      </c>
      <c r="B2353" s="499">
        <v>45552</v>
      </c>
      <c r="C2353" s="500" t="s">
        <v>173</v>
      </c>
      <c r="D2353" s="500" t="s">
        <v>760</v>
      </c>
      <c r="E2353" s="501">
        <v>-348095554.88</v>
      </c>
      <c r="F2353" s="502" t="s">
        <v>878</v>
      </c>
      <c r="G2353" s="100" t="s">
        <v>828</v>
      </c>
      <c r="H2353" s="530"/>
      <c r="I2353" s="525"/>
      <c r="K2353" s="548"/>
      <c r="L2353" s="548"/>
      <c r="M2353" s="548"/>
      <c r="N2353" s="552"/>
      <c r="Y2353" s="551"/>
    </row>
    <row r="2354" spans="1:25">
      <c r="A2354" s="499">
        <v>45552</v>
      </c>
      <c r="B2354" s="499">
        <v>45552</v>
      </c>
      <c r="C2354" s="500" t="s">
        <v>173</v>
      </c>
      <c r="D2354" s="500" t="s">
        <v>760</v>
      </c>
      <c r="E2354" s="501">
        <v>-150064045.94999999</v>
      </c>
      <c r="F2354" s="502" t="s">
        <v>878</v>
      </c>
      <c r="G2354" s="100" t="s">
        <v>814</v>
      </c>
      <c r="H2354" s="530"/>
      <c r="I2354" s="525"/>
      <c r="K2354" s="548"/>
      <c r="L2354" s="548"/>
      <c r="M2354" s="548"/>
      <c r="N2354" s="552"/>
      <c r="Y2354" s="551"/>
    </row>
    <row r="2355" spans="1:25">
      <c r="A2355" s="499">
        <v>45552</v>
      </c>
      <c r="B2355" s="499">
        <v>45552</v>
      </c>
      <c r="C2355" s="500" t="s">
        <v>173</v>
      </c>
      <c r="D2355" s="500" t="s">
        <v>760</v>
      </c>
      <c r="E2355" s="501">
        <v>-33028812.960000001</v>
      </c>
      <c r="F2355" s="502" t="s">
        <v>878</v>
      </c>
      <c r="G2355" s="100" t="s">
        <v>417</v>
      </c>
      <c r="H2355" s="530"/>
      <c r="I2355" s="525"/>
      <c r="K2355" s="548"/>
      <c r="L2355" s="548"/>
      <c r="M2355" s="548"/>
      <c r="N2355" s="552"/>
      <c r="Y2355" s="551"/>
    </row>
    <row r="2356" spans="1:25">
      <c r="A2356" s="499">
        <v>45552</v>
      </c>
      <c r="B2356" s="499">
        <v>45553</v>
      </c>
      <c r="C2356" s="500" t="s">
        <v>173</v>
      </c>
      <c r="D2356" s="500" t="s">
        <v>760</v>
      </c>
      <c r="E2356" s="501">
        <v>732333572.38999999</v>
      </c>
      <c r="F2356" s="502" t="s">
        <v>878</v>
      </c>
      <c r="G2356" s="100" t="s">
        <v>831</v>
      </c>
      <c r="H2356" s="530"/>
      <c r="I2356" s="525"/>
      <c r="K2356" s="548"/>
      <c r="L2356" s="548"/>
      <c r="M2356" s="548"/>
      <c r="N2356" s="552"/>
      <c r="Y2356" s="551"/>
    </row>
    <row r="2357" spans="1:25">
      <c r="A2357" s="499">
        <v>45552</v>
      </c>
      <c r="B2357" s="499">
        <v>45553</v>
      </c>
      <c r="C2357" s="500" t="s">
        <v>173</v>
      </c>
      <c r="D2357" s="500" t="s">
        <v>760</v>
      </c>
      <c r="E2357" s="501">
        <v>348222525.11000001</v>
      </c>
      <c r="F2357" s="502" t="s">
        <v>878</v>
      </c>
      <c r="G2357" s="100" t="s">
        <v>828</v>
      </c>
      <c r="H2357" s="530"/>
      <c r="I2357" s="525"/>
      <c r="K2357" s="548"/>
      <c r="L2357" s="548"/>
      <c r="M2357" s="548"/>
      <c r="N2357" s="552"/>
      <c r="Y2357" s="551"/>
    </row>
    <row r="2358" spans="1:25">
      <c r="A2358" s="499">
        <v>45552</v>
      </c>
      <c r="B2358" s="499">
        <v>45553</v>
      </c>
      <c r="C2358" s="500" t="s">
        <v>173</v>
      </c>
      <c r="D2358" s="500" t="s">
        <v>760</v>
      </c>
      <c r="E2358" s="501">
        <v>150118783.25</v>
      </c>
      <c r="F2358" s="502" t="s">
        <v>878</v>
      </c>
      <c r="G2358" s="100" t="s">
        <v>814</v>
      </c>
      <c r="H2358" s="530"/>
      <c r="I2358" s="525"/>
      <c r="K2358" s="548"/>
      <c r="L2358" s="548"/>
      <c r="M2358" s="548"/>
      <c r="N2358" s="552"/>
      <c r="Y2358" s="551"/>
    </row>
    <row r="2359" spans="1:25">
      <c r="A2359" s="499">
        <v>45552</v>
      </c>
      <c r="B2359" s="499">
        <v>45553</v>
      </c>
      <c r="C2359" s="500" t="s">
        <v>173</v>
      </c>
      <c r="D2359" s="500" t="s">
        <v>760</v>
      </c>
      <c r="E2359" s="501">
        <v>33040816.23</v>
      </c>
      <c r="F2359" s="502" t="s">
        <v>878</v>
      </c>
      <c r="G2359" s="100" t="s">
        <v>417</v>
      </c>
      <c r="H2359" s="530"/>
      <c r="I2359" s="525"/>
      <c r="K2359" s="548"/>
      <c r="L2359" s="548"/>
      <c r="M2359" s="548"/>
      <c r="N2359" s="552"/>
      <c r="Y2359" s="551"/>
    </row>
    <row r="2360" spans="1:25">
      <c r="A2360" s="499">
        <v>45552</v>
      </c>
      <c r="B2360" s="499">
        <v>45552</v>
      </c>
      <c r="C2360" s="500" t="s">
        <v>173</v>
      </c>
      <c r="D2360" s="500" t="s">
        <v>764</v>
      </c>
      <c r="E2360" s="501">
        <v>-1530062355.46</v>
      </c>
      <c r="F2360" s="502" t="s">
        <v>878</v>
      </c>
      <c r="G2360" s="100" t="s">
        <v>768</v>
      </c>
      <c r="H2360" s="530"/>
      <c r="I2360" s="525"/>
      <c r="K2360" s="548"/>
      <c r="L2360" s="548"/>
      <c r="M2360" s="548"/>
      <c r="N2360" s="552"/>
      <c r="Y2360" s="551"/>
    </row>
    <row r="2361" spans="1:25">
      <c r="A2361" s="499">
        <v>45552</v>
      </c>
      <c r="B2361" s="499">
        <v>45552</v>
      </c>
      <c r="C2361" s="500" t="s">
        <v>173</v>
      </c>
      <c r="D2361" s="500" t="s">
        <v>764</v>
      </c>
      <c r="E2361" s="501">
        <v>-7000300.8899999997</v>
      </c>
      <c r="F2361" s="502" t="s">
        <v>878</v>
      </c>
      <c r="G2361" s="100" t="s">
        <v>631</v>
      </c>
      <c r="H2361" s="530"/>
      <c r="I2361" s="525"/>
      <c r="K2361" s="548"/>
      <c r="L2361" s="548"/>
      <c r="M2361" s="548"/>
      <c r="N2361" s="552"/>
      <c r="Y2361" s="551"/>
    </row>
    <row r="2362" spans="1:25">
      <c r="A2362" s="499">
        <v>45552</v>
      </c>
      <c r="B2362" s="499">
        <v>45559</v>
      </c>
      <c r="C2362" s="500" t="s">
        <v>173</v>
      </c>
      <c r="D2362" s="500" t="s">
        <v>764</v>
      </c>
      <c r="E2362" s="501">
        <v>1534012926.3</v>
      </c>
      <c r="F2362" s="502" t="s">
        <v>878</v>
      </c>
      <c r="G2362" s="100" t="s">
        <v>768</v>
      </c>
      <c r="H2362" s="530"/>
      <c r="I2362" s="525"/>
      <c r="K2362" s="548"/>
      <c r="L2362" s="548"/>
      <c r="M2362" s="548"/>
      <c r="N2362" s="552"/>
      <c r="Y2362" s="551"/>
    </row>
    <row r="2363" spans="1:25">
      <c r="A2363" s="499">
        <v>45552</v>
      </c>
      <c r="B2363" s="499">
        <v>45559</v>
      </c>
      <c r="C2363" s="500" t="s">
        <v>173</v>
      </c>
      <c r="D2363" s="500" t="s">
        <v>764</v>
      </c>
      <c r="E2363" s="501">
        <v>7018375.4400000004</v>
      </c>
      <c r="F2363" s="502" t="s">
        <v>878</v>
      </c>
      <c r="G2363" s="100" t="s">
        <v>631</v>
      </c>
      <c r="H2363" s="530"/>
      <c r="I2363" s="525"/>
      <c r="K2363" s="548"/>
      <c r="L2363" s="548"/>
      <c r="M2363" s="548"/>
      <c r="N2363" s="552"/>
      <c r="Y2363" s="551"/>
    </row>
    <row r="2364" spans="1:25">
      <c r="A2364" s="499">
        <v>45552</v>
      </c>
      <c r="B2364" s="499">
        <v>45552</v>
      </c>
      <c r="C2364" s="500" t="s">
        <v>173</v>
      </c>
      <c r="D2364" s="500" t="s">
        <v>763</v>
      </c>
      <c r="E2364" s="501">
        <v>-27039164.09</v>
      </c>
      <c r="F2364" s="502" t="s">
        <v>878</v>
      </c>
      <c r="G2364" s="100" t="s">
        <v>837</v>
      </c>
      <c r="H2364" s="530"/>
      <c r="I2364" s="525"/>
      <c r="K2364" s="548"/>
      <c r="L2364" s="548"/>
      <c r="M2364" s="548"/>
      <c r="N2364" s="552"/>
      <c r="Y2364" s="551"/>
    </row>
    <row r="2365" spans="1:25">
      <c r="A2365" s="499">
        <v>45552</v>
      </c>
      <c r="B2365" s="499">
        <v>45552</v>
      </c>
      <c r="C2365" s="500" t="s">
        <v>173</v>
      </c>
      <c r="D2365" s="500" t="s">
        <v>763</v>
      </c>
      <c r="E2365" s="501">
        <v>-6320464851.1700001</v>
      </c>
      <c r="F2365" s="502" t="s">
        <v>878</v>
      </c>
      <c r="G2365" s="100" t="s">
        <v>645</v>
      </c>
      <c r="H2365" s="530"/>
      <c r="I2365" s="525"/>
      <c r="K2365" s="548"/>
      <c r="L2365" s="548"/>
      <c r="M2365" s="548"/>
      <c r="N2365" s="552"/>
      <c r="Y2365" s="551"/>
    </row>
    <row r="2366" spans="1:25">
      <c r="A2366" s="499">
        <v>45552</v>
      </c>
      <c r="B2366" s="499">
        <v>45553</v>
      </c>
      <c r="C2366" s="500" t="s">
        <v>173</v>
      </c>
      <c r="D2366" s="500" t="s">
        <v>763</v>
      </c>
      <c r="E2366" s="501">
        <v>27048952.93</v>
      </c>
      <c r="F2366" s="502" t="s">
        <v>878</v>
      </c>
      <c r="G2366" s="100" t="s">
        <v>837</v>
      </c>
      <c r="H2366" s="530"/>
      <c r="I2366" s="525"/>
      <c r="K2366" s="548"/>
      <c r="L2366" s="548"/>
      <c r="M2366" s="548"/>
      <c r="N2366" s="552"/>
      <c r="Y2366" s="551"/>
    </row>
    <row r="2367" spans="1:25">
      <c r="A2367" s="499">
        <v>45552</v>
      </c>
      <c r="B2367" s="499">
        <v>45553</v>
      </c>
      <c r="C2367" s="500" t="s">
        <v>173</v>
      </c>
      <c r="D2367" s="500" t="s">
        <v>763</v>
      </c>
      <c r="E2367" s="501">
        <v>6322727180.3999996</v>
      </c>
      <c r="F2367" s="502" t="s">
        <v>878</v>
      </c>
      <c r="G2367" s="100" t="s">
        <v>645</v>
      </c>
      <c r="H2367" s="530"/>
      <c r="I2367" s="525"/>
      <c r="K2367" s="548"/>
      <c r="L2367" s="548"/>
      <c r="M2367" s="548"/>
      <c r="N2367" s="552"/>
      <c r="Y2367" s="551"/>
    </row>
    <row r="2368" spans="1:25">
      <c r="A2368" s="499">
        <v>45553</v>
      </c>
      <c r="B2368" s="499">
        <v>45553</v>
      </c>
      <c r="C2368" s="500" t="s">
        <v>173</v>
      </c>
      <c r="D2368" s="500" t="s">
        <v>762</v>
      </c>
      <c r="E2368" s="501">
        <v>-5979889653.1999998</v>
      </c>
      <c r="F2368" s="502" t="s">
        <v>878</v>
      </c>
      <c r="G2368" s="100" t="s">
        <v>677</v>
      </c>
      <c r="H2368" s="530"/>
      <c r="I2368" s="525"/>
      <c r="K2368" s="548"/>
      <c r="L2368" s="548"/>
      <c r="M2368" s="548"/>
      <c r="N2368" s="552"/>
      <c r="Y2368" s="551"/>
    </row>
    <row r="2369" spans="1:25">
      <c r="A2369" s="499">
        <v>45553</v>
      </c>
      <c r="B2369" s="499">
        <v>45553</v>
      </c>
      <c r="C2369" s="500" t="s">
        <v>173</v>
      </c>
      <c r="D2369" s="500" t="s">
        <v>762</v>
      </c>
      <c r="E2369" s="501">
        <v>-180011085.22999999</v>
      </c>
      <c r="F2369" s="502" t="s">
        <v>878</v>
      </c>
      <c r="G2369" s="100" t="s">
        <v>630</v>
      </c>
      <c r="H2369" s="530"/>
      <c r="I2369" s="525"/>
      <c r="K2369" s="548"/>
      <c r="L2369" s="548"/>
      <c r="M2369" s="548"/>
      <c r="N2369" s="552"/>
      <c r="Y2369" s="551"/>
    </row>
    <row r="2370" spans="1:25">
      <c r="A2370" s="499">
        <v>45553</v>
      </c>
      <c r="B2370" s="499">
        <v>45553</v>
      </c>
      <c r="C2370" s="500" t="s">
        <v>173</v>
      </c>
      <c r="D2370" s="500" t="s">
        <v>762</v>
      </c>
      <c r="E2370" s="501">
        <v>-23001416.449999999</v>
      </c>
      <c r="F2370" s="502" t="s">
        <v>878</v>
      </c>
      <c r="G2370" s="100" t="s">
        <v>630</v>
      </c>
      <c r="H2370" s="530"/>
      <c r="I2370" s="525"/>
      <c r="K2370" s="548"/>
      <c r="L2370" s="548"/>
      <c r="M2370" s="548"/>
      <c r="N2370" s="552"/>
      <c r="Y2370" s="551"/>
    </row>
    <row r="2371" spans="1:25">
      <c r="A2371" s="499">
        <v>45553</v>
      </c>
      <c r="B2371" s="499">
        <v>45554</v>
      </c>
      <c r="C2371" s="500" t="s">
        <v>173</v>
      </c>
      <c r="D2371" s="500" t="s">
        <v>762</v>
      </c>
      <c r="E2371" s="501">
        <v>5982064356.0799999</v>
      </c>
      <c r="F2371" s="502" t="s">
        <v>878</v>
      </c>
      <c r="G2371" s="100" t="s">
        <v>677</v>
      </c>
      <c r="H2371" s="530"/>
      <c r="I2371" s="525"/>
      <c r="K2371" s="548"/>
      <c r="L2371" s="548"/>
      <c r="M2371" s="548"/>
      <c r="N2371" s="552"/>
      <c r="Y2371" s="551"/>
    </row>
    <row r="2372" spans="1:25">
      <c r="A2372" s="499">
        <v>45553</v>
      </c>
      <c r="B2372" s="499">
        <v>45554</v>
      </c>
      <c r="C2372" s="500" t="s">
        <v>173</v>
      </c>
      <c r="D2372" s="500" t="s">
        <v>762</v>
      </c>
      <c r="E2372" s="501">
        <v>180076549.25999999</v>
      </c>
      <c r="F2372" s="502" t="s">
        <v>878</v>
      </c>
      <c r="G2372" s="100" t="s">
        <v>630</v>
      </c>
      <c r="H2372" s="530"/>
      <c r="I2372" s="525"/>
      <c r="K2372" s="548"/>
      <c r="L2372" s="548"/>
      <c r="M2372" s="548"/>
      <c r="N2372" s="552"/>
      <c r="Y2372" s="551"/>
    </row>
    <row r="2373" spans="1:25">
      <c r="A2373" s="499">
        <v>45553</v>
      </c>
      <c r="B2373" s="499">
        <v>45554</v>
      </c>
      <c r="C2373" s="500" t="s">
        <v>173</v>
      </c>
      <c r="D2373" s="500" t="s">
        <v>762</v>
      </c>
      <c r="E2373" s="501">
        <v>23009781.300000001</v>
      </c>
      <c r="F2373" s="502" t="s">
        <v>878</v>
      </c>
      <c r="G2373" s="100" t="s">
        <v>630</v>
      </c>
      <c r="H2373" s="530"/>
      <c r="I2373" s="525"/>
      <c r="K2373" s="548"/>
      <c r="L2373" s="548"/>
      <c r="M2373" s="548"/>
      <c r="N2373" s="552"/>
      <c r="Y2373" s="551"/>
    </row>
    <row r="2374" spans="1:25">
      <c r="A2374" s="499">
        <v>45553</v>
      </c>
      <c r="B2374" s="499">
        <v>45553</v>
      </c>
      <c r="C2374" s="500" t="s">
        <v>173</v>
      </c>
      <c r="D2374" s="500" t="s">
        <v>761</v>
      </c>
      <c r="E2374" s="501">
        <v>-4001723.63</v>
      </c>
      <c r="F2374" s="502" t="s">
        <v>878</v>
      </c>
      <c r="G2374" s="100" t="s">
        <v>697</v>
      </c>
      <c r="H2374" s="530"/>
      <c r="I2374" s="525"/>
      <c r="K2374" s="548"/>
      <c r="L2374" s="548"/>
      <c r="M2374" s="548"/>
      <c r="N2374" s="552"/>
      <c r="Y2374" s="551"/>
    </row>
    <row r="2375" spans="1:25">
      <c r="A2375" s="499">
        <v>45553</v>
      </c>
      <c r="B2375" s="499">
        <v>45553</v>
      </c>
      <c r="C2375" s="500" t="s">
        <v>173</v>
      </c>
      <c r="D2375" s="500" t="s">
        <v>761</v>
      </c>
      <c r="E2375" s="501">
        <v>-20007799.899999999</v>
      </c>
      <c r="F2375" s="502" t="s">
        <v>878</v>
      </c>
      <c r="G2375" s="100" t="s">
        <v>591</v>
      </c>
      <c r="H2375" s="530"/>
      <c r="I2375" s="525"/>
      <c r="K2375" s="548"/>
      <c r="L2375" s="548"/>
      <c r="M2375" s="548"/>
      <c r="N2375" s="552"/>
      <c r="Y2375" s="551"/>
    </row>
    <row r="2376" spans="1:25">
      <c r="A2376" s="499">
        <v>45553</v>
      </c>
      <c r="B2376" s="499">
        <v>45553</v>
      </c>
      <c r="C2376" s="500" t="s">
        <v>173</v>
      </c>
      <c r="D2376" s="500" t="s">
        <v>761</v>
      </c>
      <c r="E2376" s="501">
        <v>-52017897.979999997</v>
      </c>
      <c r="F2376" s="502" t="s">
        <v>878</v>
      </c>
      <c r="G2376" s="100" t="s">
        <v>88</v>
      </c>
      <c r="H2376" s="530"/>
      <c r="I2376" s="525"/>
      <c r="K2376" s="548"/>
      <c r="L2376" s="548"/>
      <c r="M2376" s="548"/>
      <c r="N2376" s="552"/>
      <c r="Y2376" s="551"/>
    </row>
    <row r="2377" spans="1:25">
      <c r="A2377" s="499">
        <v>45553</v>
      </c>
      <c r="B2377" s="499">
        <v>45553</v>
      </c>
      <c r="C2377" s="500" t="s">
        <v>173</v>
      </c>
      <c r="D2377" s="500" t="s">
        <v>761</v>
      </c>
      <c r="E2377" s="501">
        <v>-341199524.89999998</v>
      </c>
      <c r="F2377" s="502" t="s">
        <v>878</v>
      </c>
      <c r="G2377" s="100" t="s">
        <v>91</v>
      </c>
      <c r="H2377" s="530"/>
      <c r="I2377" s="525"/>
      <c r="K2377" s="548"/>
      <c r="L2377" s="548"/>
      <c r="M2377" s="548"/>
      <c r="N2377" s="552"/>
      <c r="Y2377" s="551"/>
    </row>
    <row r="2378" spans="1:25">
      <c r="A2378" s="499">
        <v>45553</v>
      </c>
      <c r="B2378" s="499">
        <v>45553</v>
      </c>
      <c r="C2378" s="500" t="s">
        <v>173</v>
      </c>
      <c r="D2378" s="500" t="s">
        <v>761</v>
      </c>
      <c r="E2378" s="501">
        <v>-313035599.68000001</v>
      </c>
      <c r="F2378" s="502" t="s">
        <v>878</v>
      </c>
      <c r="G2378" s="100" t="s">
        <v>95</v>
      </c>
      <c r="H2378" s="530"/>
      <c r="I2378" s="525"/>
      <c r="K2378" s="548"/>
      <c r="L2378" s="548"/>
      <c r="M2378" s="548"/>
      <c r="N2378" s="552"/>
      <c r="Y2378" s="551"/>
    </row>
    <row r="2379" spans="1:25">
      <c r="A2379" s="499">
        <v>45553</v>
      </c>
      <c r="B2379" s="499">
        <v>45553</v>
      </c>
      <c r="C2379" s="500" t="s">
        <v>173</v>
      </c>
      <c r="D2379" s="500" t="s">
        <v>761</v>
      </c>
      <c r="E2379" s="501">
        <v>-155062582.03</v>
      </c>
      <c r="F2379" s="502" t="s">
        <v>878</v>
      </c>
      <c r="G2379" s="100" t="s">
        <v>50</v>
      </c>
      <c r="H2379" s="530"/>
      <c r="I2379" s="525"/>
      <c r="K2379" s="548"/>
      <c r="L2379" s="548"/>
      <c r="M2379" s="548"/>
      <c r="N2379" s="552"/>
      <c r="Y2379" s="551"/>
    </row>
    <row r="2380" spans="1:25">
      <c r="A2380" s="499">
        <v>45553</v>
      </c>
      <c r="B2380" s="499">
        <v>45553</v>
      </c>
      <c r="C2380" s="500" t="s">
        <v>173</v>
      </c>
      <c r="D2380" s="500" t="s">
        <v>761</v>
      </c>
      <c r="E2380" s="501">
        <v>-51026331.299999997</v>
      </c>
      <c r="F2380" s="502" t="s">
        <v>878</v>
      </c>
      <c r="G2380" s="100" t="s">
        <v>599</v>
      </c>
      <c r="H2380" s="530"/>
      <c r="I2380" s="525"/>
      <c r="K2380" s="548"/>
      <c r="L2380" s="548"/>
      <c r="M2380" s="548"/>
      <c r="N2380" s="552"/>
      <c r="Y2380" s="551"/>
    </row>
    <row r="2381" spans="1:25">
      <c r="A2381" s="499">
        <v>45553</v>
      </c>
      <c r="B2381" s="499">
        <v>45553</v>
      </c>
      <c r="C2381" s="500" t="s">
        <v>173</v>
      </c>
      <c r="D2381" s="500" t="s">
        <v>761</v>
      </c>
      <c r="E2381" s="501">
        <v>-30026197.800000001</v>
      </c>
      <c r="F2381" s="502" t="s">
        <v>878</v>
      </c>
      <c r="G2381" s="100" t="s">
        <v>449</v>
      </c>
      <c r="H2381" s="530"/>
      <c r="I2381" s="525"/>
      <c r="K2381" s="548"/>
      <c r="L2381" s="548"/>
      <c r="M2381" s="548"/>
      <c r="N2381" s="552"/>
      <c r="Y2381" s="551"/>
    </row>
    <row r="2382" spans="1:25">
      <c r="A2382" s="499">
        <v>45553</v>
      </c>
      <c r="B2382" s="499">
        <v>45553</v>
      </c>
      <c r="C2382" s="500" t="s">
        <v>173</v>
      </c>
      <c r="D2382" s="500" t="s">
        <v>761</v>
      </c>
      <c r="E2382" s="501">
        <v>-11002435.439999999</v>
      </c>
      <c r="F2382" s="502" t="s">
        <v>878</v>
      </c>
      <c r="G2382" s="100" t="s">
        <v>59</v>
      </c>
      <c r="H2382" s="530"/>
      <c r="I2382" s="525"/>
      <c r="K2382" s="548"/>
      <c r="L2382" s="548"/>
      <c r="M2382" s="548"/>
      <c r="N2382" s="552"/>
      <c r="Y2382" s="551"/>
    </row>
    <row r="2383" spans="1:25">
      <c r="A2383" s="499">
        <v>45553</v>
      </c>
      <c r="B2383" s="499">
        <v>45560</v>
      </c>
      <c r="C2383" s="500" t="s">
        <v>173</v>
      </c>
      <c r="D2383" s="500" t="s">
        <v>761</v>
      </c>
      <c r="E2383" s="501">
        <v>4011972.53</v>
      </c>
      <c r="F2383" s="502" t="s">
        <v>878</v>
      </c>
      <c r="G2383" s="100" t="s">
        <v>697</v>
      </c>
      <c r="H2383" s="530"/>
      <c r="I2383" s="525"/>
      <c r="K2383" s="548"/>
      <c r="L2383" s="548"/>
      <c r="M2383" s="548"/>
      <c r="N2383" s="552"/>
      <c r="Y2383" s="551"/>
    </row>
    <row r="2384" spans="1:25">
      <c r="A2384" s="499">
        <v>45553</v>
      </c>
      <c r="B2384" s="499">
        <v>45560</v>
      </c>
      <c r="C2384" s="500" t="s">
        <v>173</v>
      </c>
      <c r="D2384" s="500" t="s">
        <v>761</v>
      </c>
      <c r="E2384" s="501">
        <v>20059650.710000001</v>
      </c>
      <c r="F2384" s="502" t="s">
        <v>878</v>
      </c>
      <c r="G2384" s="100" t="s">
        <v>591</v>
      </c>
      <c r="H2384" s="530"/>
      <c r="I2384" s="525"/>
      <c r="K2384" s="548"/>
      <c r="L2384" s="548"/>
      <c r="M2384" s="548"/>
      <c r="N2384" s="552"/>
      <c r="Y2384" s="551"/>
    </row>
    <row r="2385" spans="1:25">
      <c r="A2385" s="499">
        <v>45553</v>
      </c>
      <c r="B2385" s="499">
        <v>45560</v>
      </c>
      <c r="C2385" s="500" t="s">
        <v>173</v>
      </c>
      <c r="D2385" s="500" t="s">
        <v>761</v>
      </c>
      <c r="E2385" s="501">
        <v>52152703.93</v>
      </c>
      <c r="F2385" s="502" t="s">
        <v>878</v>
      </c>
      <c r="G2385" s="100" t="s">
        <v>88</v>
      </c>
      <c r="H2385" s="530"/>
      <c r="I2385" s="525"/>
      <c r="K2385" s="548"/>
      <c r="L2385" s="548"/>
      <c r="M2385" s="548"/>
      <c r="N2385" s="552"/>
      <c r="Y2385" s="551"/>
    </row>
    <row r="2386" spans="1:25">
      <c r="A2386" s="499">
        <v>45553</v>
      </c>
      <c r="B2386" s="499">
        <v>45560</v>
      </c>
      <c r="C2386" s="500" t="s">
        <v>173</v>
      </c>
      <c r="D2386" s="500" t="s">
        <v>761</v>
      </c>
      <c r="E2386" s="501">
        <v>342083753.72000003</v>
      </c>
      <c r="F2386" s="502" t="s">
        <v>878</v>
      </c>
      <c r="G2386" s="100" t="s">
        <v>91</v>
      </c>
      <c r="H2386" s="530"/>
      <c r="I2386" s="525"/>
      <c r="K2386" s="548"/>
      <c r="L2386" s="548"/>
      <c r="M2386" s="548"/>
      <c r="N2386" s="552"/>
      <c r="Y2386" s="551"/>
    </row>
    <row r="2387" spans="1:25">
      <c r="A2387" s="499">
        <v>45553</v>
      </c>
      <c r="B2387" s="499">
        <v>45560</v>
      </c>
      <c r="C2387" s="500" t="s">
        <v>173</v>
      </c>
      <c r="D2387" s="500" t="s">
        <v>761</v>
      </c>
      <c r="E2387" s="501">
        <v>313846840.83999997</v>
      </c>
      <c r="F2387" s="502" t="s">
        <v>878</v>
      </c>
      <c r="G2387" s="100" t="s">
        <v>95</v>
      </c>
      <c r="H2387" s="530"/>
      <c r="I2387" s="525"/>
      <c r="K2387" s="548"/>
      <c r="L2387" s="548"/>
      <c r="M2387" s="548"/>
      <c r="N2387" s="552"/>
      <c r="Y2387" s="551"/>
    </row>
    <row r="2388" spans="1:25">
      <c r="A2388" s="499">
        <v>45553</v>
      </c>
      <c r="B2388" s="499">
        <v>45560</v>
      </c>
      <c r="C2388" s="500" t="s">
        <v>173</v>
      </c>
      <c r="D2388" s="500" t="s">
        <v>761</v>
      </c>
      <c r="E2388" s="501">
        <v>155464431.37</v>
      </c>
      <c r="F2388" s="502" t="s">
        <v>878</v>
      </c>
      <c r="G2388" s="100" t="s">
        <v>50</v>
      </c>
      <c r="H2388" s="530"/>
      <c r="I2388" s="525"/>
      <c r="K2388" s="548"/>
      <c r="L2388" s="548"/>
      <c r="M2388" s="548"/>
      <c r="N2388" s="552"/>
      <c r="Y2388" s="551"/>
    </row>
    <row r="2389" spans="1:25">
      <c r="A2389" s="499">
        <v>45553</v>
      </c>
      <c r="B2389" s="499">
        <v>45560</v>
      </c>
      <c r="C2389" s="500" t="s">
        <v>173</v>
      </c>
      <c r="D2389" s="500" t="s">
        <v>761</v>
      </c>
      <c r="E2389" s="501">
        <v>51158567.57</v>
      </c>
      <c r="F2389" s="502" t="s">
        <v>878</v>
      </c>
      <c r="G2389" s="100" t="s">
        <v>599</v>
      </c>
      <c r="H2389" s="530"/>
      <c r="I2389" s="525"/>
      <c r="K2389" s="548"/>
      <c r="L2389" s="548"/>
      <c r="M2389" s="548"/>
      <c r="N2389" s="552"/>
      <c r="Y2389" s="551"/>
    </row>
    <row r="2390" spans="1:25">
      <c r="A2390" s="499">
        <v>45553</v>
      </c>
      <c r="B2390" s="499">
        <v>45560</v>
      </c>
      <c r="C2390" s="500" t="s">
        <v>173</v>
      </c>
      <c r="D2390" s="500" t="s">
        <v>761</v>
      </c>
      <c r="E2390" s="501">
        <v>30104011.59</v>
      </c>
      <c r="F2390" s="502" t="s">
        <v>878</v>
      </c>
      <c r="G2390" s="100" t="s">
        <v>449</v>
      </c>
      <c r="H2390" s="530"/>
      <c r="I2390" s="525"/>
      <c r="K2390" s="548"/>
      <c r="L2390" s="548"/>
      <c r="M2390" s="548"/>
      <c r="N2390" s="552"/>
      <c r="Y2390" s="551"/>
    </row>
    <row r="2391" spans="1:25">
      <c r="A2391" s="499">
        <v>45553</v>
      </c>
      <c r="B2391" s="499">
        <v>45560</v>
      </c>
      <c r="C2391" s="500" t="s">
        <v>173</v>
      </c>
      <c r="D2391" s="500" t="s">
        <v>761</v>
      </c>
      <c r="E2391" s="501">
        <v>11030948.58</v>
      </c>
      <c r="F2391" s="502" t="s">
        <v>878</v>
      </c>
      <c r="G2391" s="100" t="s">
        <v>59</v>
      </c>
      <c r="H2391" s="530"/>
      <c r="I2391" s="525"/>
      <c r="K2391" s="548"/>
      <c r="L2391" s="548"/>
      <c r="M2391" s="548"/>
      <c r="N2391" s="552"/>
      <c r="Y2391" s="551"/>
    </row>
    <row r="2392" spans="1:25">
      <c r="A2392" s="499">
        <v>45553</v>
      </c>
      <c r="B2392" s="499">
        <v>45553</v>
      </c>
      <c r="C2392" s="500" t="s">
        <v>173</v>
      </c>
      <c r="D2392" s="500" t="s">
        <v>759</v>
      </c>
      <c r="E2392" s="501">
        <v>-1269078150.8599999</v>
      </c>
      <c r="F2392" s="502" t="s">
        <v>878</v>
      </c>
      <c r="G2392" s="100" t="s">
        <v>139</v>
      </c>
      <c r="H2392" s="484"/>
      <c r="I2392" s="525"/>
      <c r="K2392" s="548"/>
      <c r="L2392" s="548"/>
      <c r="M2392" s="548"/>
      <c r="N2392" s="552"/>
      <c r="Y2392" s="551"/>
    </row>
    <row r="2393" spans="1:25">
      <c r="A2393" s="499">
        <v>45553</v>
      </c>
      <c r="B2393" s="499">
        <v>45553</v>
      </c>
      <c r="C2393" s="500" t="s">
        <v>173</v>
      </c>
      <c r="D2393" s="500" t="s">
        <v>759</v>
      </c>
      <c r="E2393" s="501">
        <v>-727178481.40999997</v>
      </c>
      <c r="F2393" s="502" t="s">
        <v>878</v>
      </c>
      <c r="G2393" s="100" t="s">
        <v>605</v>
      </c>
      <c r="H2393" s="484"/>
      <c r="I2393" s="525"/>
      <c r="K2393" s="548"/>
      <c r="L2393" s="548"/>
      <c r="M2393" s="548"/>
      <c r="N2393" s="552"/>
      <c r="Y2393" s="551"/>
    </row>
    <row r="2394" spans="1:25">
      <c r="A2394" s="499">
        <v>45553</v>
      </c>
      <c r="B2394" s="499">
        <v>45553</v>
      </c>
      <c r="C2394" s="500" t="s">
        <v>173</v>
      </c>
      <c r="D2394" s="500" t="s">
        <v>759</v>
      </c>
      <c r="E2394" s="501">
        <v>-9002209.5399999991</v>
      </c>
      <c r="F2394" s="502" t="s">
        <v>878</v>
      </c>
      <c r="G2394" s="100" t="s">
        <v>605</v>
      </c>
      <c r="H2394" s="484"/>
      <c r="I2394" s="525"/>
      <c r="K2394" s="548"/>
      <c r="L2394" s="548"/>
      <c r="M2394" s="548"/>
      <c r="N2394" s="552">
        <v>-1</v>
      </c>
      <c r="Y2394" s="551"/>
    </row>
    <row r="2395" spans="1:25">
      <c r="A2395" s="499">
        <v>45553</v>
      </c>
      <c r="B2395" s="499">
        <v>45554</v>
      </c>
      <c r="C2395" s="500" t="s">
        <v>173</v>
      </c>
      <c r="D2395" s="500" t="s">
        <v>759</v>
      </c>
      <c r="E2395" s="501">
        <v>1269540185.46</v>
      </c>
      <c r="F2395" s="502" t="s">
        <v>878</v>
      </c>
      <c r="G2395" s="100" t="s">
        <v>139</v>
      </c>
      <c r="H2395" s="530"/>
      <c r="I2395" s="525"/>
      <c r="K2395" s="548"/>
      <c r="L2395" s="548"/>
      <c r="M2395" s="548"/>
      <c r="N2395" s="552"/>
      <c r="Y2395" s="551"/>
    </row>
    <row r="2396" spans="1:25">
      <c r="A2396" s="499">
        <v>45553</v>
      </c>
      <c r="B2396" s="499">
        <v>45554</v>
      </c>
      <c r="C2396" s="500" t="s">
        <v>173</v>
      </c>
      <c r="D2396" s="500" t="s">
        <v>759</v>
      </c>
      <c r="E2396" s="501">
        <v>727442935.96000004</v>
      </c>
      <c r="F2396" s="502" t="s">
        <v>878</v>
      </c>
      <c r="G2396" s="100" t="s">
        <v>605</v>
      </c>
      <c r="H2396" s="530"/>
      <c r="I2396" s="525"/>
      <c r="K2396" s="548"/>
      <c r="L2396" s="548"/>
      <c r="M2396" s="548"/>
      <c r="N2396" s="552"/>
      <c r="Y2396" s="551"/>
    </row>
    <row r="2397" spans="1:25">
      <c r="A2397" s="499">
        <v>45553</v>
      </c>
      <c r="B2397" s="499">
        <v>45554</v>
      </c>
      <c r="C2397" s="500" t="s">
        <v>173</v>
      </c>
      <c r="D2397" s="500" t="s">
        <v>759</v>
      </c>
      <c r="E2397" s="501">
        <v>9005483.3900000006</v>
      </c>
      <c r="F2397" s="502" t="s">
        <v>878</v>
      </c>
      <c r="G2397" s="100" t="s">
        <v>605</v>
      </c>
      <c r="H2397" s="530"/>
      <c r="I2397" s="525"/>
      <c r="K2397" s="548"/>
      <c r="L2397" s="548"/>
      <c r="M2397" s="548"/>
      <c r="N2397" s="552"/>
      <c r="Y2397" s="551"/>
    </row>
    <row r="2398" spans="1:25">
      <c r="A2398" s="499">
        <v>45553</v>
      </c>
      <c r="B2398" s="499">
        <v>45553</v>
      </c>
      <c r="C2398" s="500" t="s">
        <v>173</v>
      </c>
      <c r="D2398" s="500" t="s">
        <v>760</v>
      </c>
      <c r="E2398" s="501">
        <v>-678062088.52999997</v>
      </c>
      <c r="F2398" s="502" t="s">
        <v>878</v>
      </c>
      <c r="G2398" s="100" t="s">
        <v>799</v>
      </c>
      <c r="H2398" s="530"/>
      <c r="I2398" s="525"/>
      <c r="K2398" s="548"/>
      <c r="L2398" s="548"/>
      <c r="M2398" s="548"/>
      <c r="N2398" s="552"/>
      <c r="Y2398" s="551"/>
    </row>
    <row r="2399" spans="1:25">
      <c r="A2399" s="499">
        <v>45553</v>
      </c>
      <c r="B2399" s="499">
        <v>45553</v>
      </c>
      <c r="C2399" s="500" t="s">
        <v>173</v>
      </c>
      <c r="D2399" s="500" t="s">
        <v>760</v>
      </c>
      <c r="E2399" s="501">
        <v>-547254719.29999995</v>
      </c>
      <c r="F2399" s="502" t="s">
        <v>878</v>
      </c>
      <c r="G2399" s="100" t="s">
        <v>828</v>
      </c>
      <c r="H2399" s="530"/>
      <c r="I2399" s="525"/>
      <c r="K2399" s="548"/>
      <c r="L2399" s="548"/>
      <c r="M2399" s="548"/>
      <c r="N2399" s="552"/>
      <c r="Y2399" s="551"/>
    </row>
    <row r="2400" spans="1:25">
      <c r="A2400" s="499">
        <v>45553</v>
      </c>
      <c r="B2400" s="499">
        <v>45553</v>
      </c>
      <c r="C2400" s="500" t="s">
        <v>173</v>
      </c>
      <c r="D2400" s="500" t="s">
        <v>760</v>
      </c>
      <c r="E2400" s="501">
        <v>-38003479.890000001</v>
      </c>
      <c r="F2400" s="502" t="s">
        <v>878</v>
      </c>
      <c r="G2400" s="100" t="s">
        <v>799</v>
      </c>
      <c r="H2400" s="530"/>
      <c r="I2400" s="525"/>
      <c r="K2400" s="548"/>
      <c r="L2400" s="548"/>
      <c r="M2400" s="548"/>
      <c r="N2400" s="552"/>
      <c r="Y2400" s="551"/>
    </row>
    <row r="2401" spans="1:25">
      <c r="A2401" s="499">
        <v>45553</v>
      </c>
      <c r="B2401" s="499">
        <v>45554</v>
      </c>
      <c r="C2401" s="500" t="s">
        <v>173</v>
      </c>
      <c r="D2401" s="500" t="s">
        <v>760</v>
      </c>
      <c r="E2401" s="501">
        <v>678304782.88</v>
      </c>
      <c r="F2401" s="502" t="s">
        <v>878</v>
      </c>
      <c r="G2401" s="100" t="s">
        <v>799</v>
      </c>
      <c r="H2401" s="530"/>
      <c r="I2401" s="525"/>
      <c r="K2401" s="548"/>
      <c r="L2401" s="548"/>
      <c r="M2401" s="548"/>
      <c r="N2401" s="552"/>
      <c r="Y2401" s="551"/>
    </row>
    <row r="2402" spans="1:25">
      <c r="A2402" s="499">
        <v>45553</v>
      </c>
      <c r="B2402" s="499">
        <v>45554</v>
      </c>
      <c r="C2402" s="500" t="s">
        <v>173</v>
      </c>
      <c r="D2402" s="500" t="s">
        <v>760</v>
      </c>
      <c r="E2402" s="501">
        <v>547450744.14999998</v>
      </c>
      <c r="F2402" s="502" t="s">
        <v>878</v>
      </c>
      <c r="G2402" s="100" t="s">
        <v>828</v>
      </c>
      <c r="H2402" s="530"/>
      <c r="I2402" s="525"/>
      <c r="K2402" s="548"/>
      <c r="L2402" s="548"/>
      <c r="M2402" s="548"/>
      <c r="N2402" s="552"/>
      <c r="Y2402" s="551"/>
    </row>
    <row r="2403" spans="1:25">
      <c r="A2403" s="499">
        <v>45553</v>
      </c>
      <c r="B2403" s="499">
        <v>45554</v>
      </c>
      <c r="C2403" s="500" t="s">
        <v>173</v>
      </c>
      <c r="D2403" s="500" t="s">
        <v>760</v>
      </c>
      <c r="E2403" s="501">
        <v>38017082.229999997</v>
      </c>
      <c r="F2403" s="502" t="s">
        <v>878</v>
      </c>
      <c r="G2403" s="100" t="s">
        <v>799</v>
      </c>
      <c r="H2403" s="530"/>
      <c r="I2403" s="525"/>
      <c r="K2403" s="548"/>
      <c r="L2403" s="548"/>
      <c r="M2403" s="548"/>
      <c r="N2403" s="552"/>
      <c r="Y2403" s="551"/>
    </row>
    <row r="2404" spans="1:25">
      <c r="A2404" s="499">
        <v>45553</v>
      </c>
      <c r="B2404" s="499">
        <v>45553</v>
      </c>
      <c r="C2404" s="500" t="s">
        <v>173</v>
      </c>
      <c r="D2404" s="500" t="s">
        <v>763</v>
      </c>
      <c r="E2404" s="501">
        <v>-28011341.579999998</v>
      </c>
      <c r="F2404" s="502" t="s">
        <v>878</v>
      </c>
      <c r="G2404" s="100" t="s">
        <v>634</v>
      </c>
      <c r="H2404" s="530"/>
      <c r="I2404" s="525"/>
      <c r="K2404" s="548"/>
      <c r="L2404" s="548"/>
      <c r="M2404" s="548"/>
      <c r="N2404" s="552"/>
      <c r="Y2404" s="551"/>
    </row>
    <row r="2405" spans="1:25">
      <c r="A2405" s="499">
        <v>45553</v>
      </c>
      <c r="B2405" s="499">
        <v>45553</v>
      </c>
      <c r="C2405" s="500" t="s">
        <v>173</v>
      </c>
      <c r="D2405" s="500" t="s">
        <v>763</v>
      </c>
      <c r="E2405" s="501">
        <v>-6322001600.1000004</v>
      </c>
      <c r="F2405" s="502" t="s">
        <v>878</v>
      </c>
      <c r="G2405" s="100" t="s">
        <v>645</v>
      </c>
      <c r="H2405" s="530"/>
      <c r="I2405" s="525"/>
      <c r="K2405" s="548"/>
      <c r="L2405" s="548"/>
      <c r="M2405" s="548"/>
      <c r="N2405" s="552"/>
      <c r="Y2405" s="551"/>
    </row>
    <row r="2406" spans="1:25">
      <c r="A2406" s="499">
        <v>45553</v>
      </c>
      <c r="B2406" s="499">
        <v>45554</v>
      </c>
      <c r="C2406" s="500" t="s">
        <v>173</v>
      </c>
      <c r="D2406" s="500" t="s">
        <v>763</v>
      </c>
      <c r="E2406" s="501">
        <v>28021520.640000001</v>
      </c>
      <c r="F2406" s="502" t="s">
        <v>878</v>
      </c>
      <c r="G2406" s="100" t="s">
        <v>634</v>
      </c>
      <c r="H2406" s="530"/>
      <c r="I2406" s="525"/>
      <c r="K2406" s="548"/>
      <c r="L2406" s="548"/>
      <c r="M2406" s="548"/>
      <c r="N2406" s="552"/>
      <c r="Y2406" s="551"/>
    </row>
    <row r="2407" spans="1:25">
      <c r="A2407" s="499">
        <v>45553</v>
      </c>
      <c r="B2407" s="499">
        <v>45554</v>
      </c>
      <c r="C2407" s="500" t="s">
        <v>173</v>
      </c>
      <c r="D2407" s="500" t="s">
        <v>763</v>
      </c>
      <c r="E2407" s="501">
        <v>6324264479.3900003</v>
      </c>
      <c r="F2407" s="502" t="s">
        <v>878</v>
      </c>
      <c r="G2407" s="100" t="s">
        <v>645</v>
      </c>
      <c r="H2407" s="530"/>
      <c r="I2407" s="525"/>
      <c r="K2407" s="548"/>
      <c r="L2407" s="548"/>
      <c r="M2407" s="548"/>
      <c r="N2407" s="552"/>
      <c r="Y2407" s="551"/>
    </row>
    <row r="2408" spans="1:25">
      <c r="A2408" s="499">
        <v>45554</v>
      </c>
      <c r="B2408" s="499">
        <v>45554</v>
      </c>
      <c r="C2408" s="500" t="s">
        <v>173</v>
      </c>
      <c r="D2408" s="500" t="s">
        <v>763</v>
      </c>
      <c r="E2408" s="501">
        <v>-27000906.210000001</v>
      </c>
      <c r="F2408" s="502" t="s">
        <v>878</v>
      </c>
      <c r="G2408" s="100" t="s">
        <v>634</v>
      </c>
      <c r="H2408" s="530"/>
      <c r="I2408" s="525"/>
      <c r="K2408" s="548"/>
      <c r="L2408" s="548"/>
      <c r="M2408" s="548"/>
      <c r="N2408" s="552"/>
      <c r="Y2408" s="551"/>
    </row>
    <row r="2409" spans="1:25">
      <c r="A2409" s="499">
        <v>45554</v>
      </c>
      <c r="B2409" s="499">
        <v>45554</v>
      </c>
      <c r="C2409" s="500" t="s">
        <v>173</v>
      </c>
      <c r="D2409" s="500" t="s">
        <v>763</v>
      </c>
      <c r="E2409" s="501">
        <v>-6325458796.5299997</v>
      </c>
      <c r="F2409" s="502" t="s">
        <v>878</v>
      </c>
      <c r="G2409" s="100" t="s">
        <v>645</v>
      </c>
      <c r="H2409" s="530"/>
      <c r="I2409" s="525"/>
      <c r="K2409" s="548"/>
      <c r="L2409" s="548"/>
      <c r="M2409" s="548"/>
      <c r="N2409" s="552"/>
      <c r="Y2409" s="551"/>
    </row>
    <row r="2410" spans="1:25">
      <c r="A2410" s="499">
        <v>45554</v>
      </c>
      <c r="B2410" s="499">
        <v>45555</v>
      </c>
      <c r="C2410" s="500" t="s">
        <v>173</v>
      </c>
      <c r="D2410" s="500" t="s">
        <v>763</v>
      </c>
      <c r="E2410" s="501">
        <v>27010681.350000001</v>
      </c>
      <c r="F2410" s="502" t="s">
        <v>878</v>
      </c>
      <c r="G2410" s="100" t="s">
        <v>634</v>
      </c>
      <c r="H2410" s="530"/>
      <c r="I2410" s="525"/>
      <c r="K2410" s="548"/>
      <c r="L2410" s="548"/>
      <c r="M2410" s="548"/>
      <c r="N2410" s="552"/>
      <c r="Y2410" s="551"/>
    </row>
    <row r="2411" spans="1:25">
      <c r="A2411" s="499">
        <v>45554</v>
      </c>
      <c r="B2411" s="499">
        <v>45555</v>
      </c>
      <c r="C2411" s="500" t="s">
        <v>173</v>
      </c>
      <c r="D2411" s="500" t="s">
        <v>763</v>
      </c>
      <c r="E2411" s="501">
        <v>6327748768.1599998</v>
      </c>
      <c r="F2411" s="502" t="s">
        <v>878</v>
      </c>
      <c r="G2411" s="100" t="s">
        <v>645</v>
      </c>
      <c r="H2411" s="530"/>
      <c r="I2411" s="525"/>
      <c r="K2411" s="548"/>
      <c r="L2411" s="548"/>
      <c r="M2411" s="548"/>
      <c r="N2411" s="552"/>
      <c r="Y2411" s="551"/>
    </row>
    <row r="2412" spans="1:25">
      <c r="A2412" s="499">
        <v>45554</v>
      </c>
      <c r="B2412" s="499">
        <v>45554</v>
      </c>
      <c r="C2412" s="500" t="s">
        <v>173</v>
      </c>
      <c r="D2412" s="500" t="s">
        <v>762</v>
      </c>
      <c r="E2412" s="501">
        <v>-815309308.79999995</v>
      </c>
      <c r="F2412" s="502" t="s">
        <v>878</v>
      </c>
      <c r="G2412" s="100" t="s">
        <v>711</v>
      </c>
      <c r="H2412" s="530"/>
      <c r="I2412" s="525"/>
      <c r="K2412" s="548"/>
      <c r="L2412" s="548"/>
      <c r="M2412" s="548"/>
      <c r="N2412" s="552"/>
      <c r="Y2412" s="551"/>
    </row>
    <row r="2413" spans="1:25">
      <c r="A2413" s="499">
        <v>45554</v>
      </c>
      <c r="B2413" s="499">
        <v>45554</v>
      </c>
      <c r="C2413" s="500" t="s">
        <v>173</v>
      </c>
      <c r="D2413" s="500" t="s">
        <v>762</v>
      </c>
      <c r="E2413" s="501">
        <v>-5004700140</v>
      </c>
      <c r="F2413" s="502" t="s">
        <v>878</v>
      </c>
      <c r="G2413" s="100" t="s">
        <v>673</v>
      </c>
      <c r="H2413" s="530"/>
      <c r="I2413" s="525"/>
      <c r="K2413" s="548"/>
      <c r="L2413" s="548"/>
      <c r="M2413" s="548"/>
      <c r="N2413" s="552"/>
      <c r="Y2413" s="551"/>
    </row>
    <row r="2414" spans="1:25">
      <c r="A2414" s="499">
        <v>45554</v>
      </c>
      <c r="B2414" s="499">
        <v>45554</v>
      </c>
      <c r="C2414" s="500" t="s">
        <v>173</v>
      </c>
      <c r="D2414" s="500" t="s">
        <v>762</v>
      </c>
      <c r="E2414" s="501">
        <v>-38035721.060000002</v>
      </c>
      <c r="F2414" s="502" t="s">
        <v>878</v>
      </c>
      <c r="G2414" s="100" t="s">
        <v>673</v>
      </c>
      <c r="H2414" s="530"/>
      <c r="I2414" s="525"/>
      <c r="K2414" s="548"/>
      <c r="L2414" s="548"/>
      <c r="M2414" s="548"/>
      <c r="N2414" s="552"/>
      <c r="Y2414" s="551"/>
    </row>
    <row r="2415" spans="1:25">
      <c r="A2415" s="499">
        <v>45554</v>
      </c>
      <c r="B2415" s="499">
        <v>45554</v>
      </c>
      <c r="C2415" s="500" t="s">
        <v>173</v>
      </c>
      <c r="D2415" s="500" t="s">
        <v>762</v>
      </c>
      <c r="E2415" s="501">
        <v>-21019740.59</v>
      </c>
      <c r="F2415" s="502" t="s">
        <v>878</v>
      </c>
      <c r="G2415" s="100" t="s">
        <v>673</v>
      </c>
      <c r="H2415" s="530"/>
      <c r="I2415" s="525"/>
      <c r="K2415" s="548"/>
      <c r="L2415" s="548"/>
      <c r="M2415" s="548"/>
      <c r="N2415" s="552"/>
      <c r="Y2415" s="551"/>
    </row>
    <row r="2416" spans="1:25">
      <c r="A2416" s="499">
        <v>45554</v>
      </c>
      <c r="B2416" s="499">
        <v>45554</v>
      </c>
      <c r="C2416" s="500" t="s">
        <v>173</v>
      </c>
      <c r="D2416" s="500" t="s">
        <v>762</v>
      </c>
      <c r="E2416" s="501">
        <v>-307003022.42000002</v>
      </c>
      <c r="F2416" s="502" t="s">
        <v>878</v>
      </c>
      <c r="G2416" s="100" t="s">
        <v>602</v>
      </c>
      <c r="H2416" s="530"/>
      <c r="I2416" s="525"/>
      <c r="K2416" s="548"/>
      <c r="L2416" s="548"/>
      <c r="M2416" s="548"/>
      <c r="N2416" s="552"/>
      <c r="Y2416" s="551"/>
    </row>
    <row r="2417" spans="1:25">
      <c r="A2417" s="499">
        <v>45554</v>
      </c>
      <c r="B2417" s="499">
        <v>45555</v>
      </c>
      <c r="C2417" s="500" t="s">
        <v>173</v>
      </c>
      <c r="D2417" s="500" t="s">
        <v>762</v>
      </c>
      <c r="E2417" s="501">
        <v>815604470.82000005</v>
      </c>
      <c r="F2417" s="502" t="s">
        <v>878</v>
      </c>
      <c r="G2417" s="100" t="s">
        <v>711</v>
      </c>
      <c r="H2417" s="530"/>
      <c r="I2417" s="525"/>
      <c r="K2417" s="548"/>
      <c r="L2417" s="548"/>
      <c r="M2417" s="548"/>
      <c r="N2417" s="552"/>
      <c r="Y2417" s="551"/>
    </row>
    <row r="2418" spans="1:25">
      <c r="A2418" s="499">
        <v>45554</v>
      </c>
      <c r="B2418" s="499">
        <v>45555</v>
      </c>
      <c r="C2418" s="500" t="s">
        <v>173</v>
      </c>
      <c r="D2418" s="500" t="s">
        <v>762</v>
      </c>
      <c r="E2418" s="501">
        <v>5006511978.1899996</v>
      </c>
      <c r="F2418" s="502" t="s">
        <v>878</v>
      </c>
      <c r="G2418" s="100" t="s">
        <v>673</v>
      </c>
      <c r="H2418" s="530"/>
      <c r="I2418" s="525"/>
      <c r="K2418" s="548"/>
      <c r="L2418" s="548"/>
      <c r="M2418" s="548"/>
      <c r="N2418" s="552"/>
      <c r="Y2418" s="551"/>
    </row>
    <row r="2419" spans="1:25">
      <c r="A2419" s="499">
        <v>45554</v>
      </c>
      <c r="B2419" s="499">
        <v>45555</v>
      </c>
      <c r="C2419" s="500" t="s">
        <v>173</v>
      </c>
      <c r="D2419" s="500" t="s">
        <v>762</v>
      </c>
      <c r="E2419" s="501">
        <v>38049490.93</v>
      </c>
      <c r="F2419" s="502" t="s">
        <v>878</v>
      </c>
      <c r="G2419" s="100" t="s">
        <v>673</v>
      </c>
      <c r="H2419" s="530"/>
      <c r="I2419" s="525"/>
      <c r="K2419" s="548"/>
      <c r="L2419" s="548"/>
      <c r="M2419" s="548"/>
      <c r="N2419" s="552"/>
      <c r="Y2419" s="551"/>
    </row>
    <row r="2420" spans="1:25">
      <c r="A2420" s="499">
        <v>45554</v>
      </c>
      <c r="B2420" s="499">
        <v>45555</v>
      </c>
      <c r="C2420" s="500" t="s">
        <v>173</v>
      </c>
      <c r="D2420" s="500" t="s">
        <v>762</v>
      </c>
      <c r="E2420" s="501">
        <v>21027350.309999999</v>
      </c>
      <c r="F2420" s="502" t="s">
        <v>878</v>
      </c>
      <c r="G2420" s="100" t="s">
        <v>673</v>
      </c>
      <c r="H2420" s="530"/>
      <c r="I2420" s="525"/>
      <c r="K2420" s="548"/>
      <c r="L2420" s="548"/>
      <c r="M2420" s="548"/>
      <c r="N2420" s="552"/>
      <c r="Y2420" s="551"/>
    </row>
    <row r="2421" spans="1:25">
      <c r="A2421" s="499">
        <v>45554</v>
      </c>
      <c r="B2421" s="499">
        <v>45555</v>
      </c>
      <c r="C2421" s="500" t="s">
        <v>173</v>
      </c>
      <c r="D2421" s="500" t="s">
        <v>762</v>
      </c>
      <c r="E2421" s="501">
        <v>307114165.06</v>
      </c>
      <c r="F2421" s="502" t="s">
        <v>878</v>
      </c>
      <c r="G2421" s="100" t="s">
        <v>602</v>
      </c>
      <c r="H2421" s="530"/>
      <c r="I2421" s="525"/>
      <c r="K2421" s="548"/>
      <c r="L2421" s="548"/>
      <c r="M2421" s="548"/>
      <c r="N2421" s="552"/>
      <c r="Y2421" s="551"/>
    </row>
    <row r="2422" spans="1:25">
      <c r="A2422" s="499">
        <v>45554</v>
      </c>
      <c r="B2422" s="499">
        <v>45554</v>
      </c>
      <c r="C2422" s="500" t="s">
        <v>173</v>
      </c>
      <c r="D2422" s="500" t="s">
        <v>760</v>
      </c>
      <c r="E2422" s="501">
        <v>-1225188555.55</v>
      </c>
      <c r="F2422" s="502" t="s">
        <v>878</v>
      </c>
      <c r="G2422" s="100" t="s">
        <v>139</v>
      </c>
      <c r="H2422" s="530"/>
      <c r="I2422" s="525"/>
      <c r="K2422" s="548"/>
      <c r="L2422" s="548"/>
      <c r="M2422" s="548"/>
      <c r="N2422" s="552"/>
      <c r="Y2422" s="551"/>
    </row>
    <row r="2423" spans="1:25">
      <c r="A2423" s="499">
        <v>45554</v>
      </c>
      <c r="B2423" s="499">
        <v>45554</v>
      </c>
      <c r="C2423" s="500" t="s">
        <v>173</v>
      </c>
      <c r="D2423" s="500" t="s">
        <v>760</v>
      </c>
      <c r="E2423" s="501">
        <v>-38005849.07</v>
      </c>
      <c r="F2423" s="502" t="s">
        <v>878</v>
      </c>
      <c r="G2423" s="100" t="s">
        <v>139</v>
      </c>
      <c r="H2423" s="530"/>
      <c r="I2423" s="525"/>
      <c r="K2423" s="548"/>
      <c r="L2423" s="548"/>
      <c r="M2423" s="548"/>
      <c r="N2423" s="552"/>
      <c r="Y2423" s="551"/>
    </row>
    <row r="2424" spans="1:25">
      <c r="A2424" s="499">
        <v>45554</v>
      </c>
      <c r="B2424" s="499">
        <v>45555</v>
      </c>
      <c r="C2424" s="500" t="s">
        <v>173</v>
      </c>
      <c r="D2424" s="500" t="s">
        <v>760</v>
      </c>
      <c r="E2424" s="501">
        <v>1225633770.99</v>
      </c>
      <c r="F2424" s="502" t="s">
        <v>878</v>
      </c>
      <c r="G2424" s="100" t="s">
        <v>139</v>
      </c>
      <c r="H2424" s="530"/>
      <c r="I2424" s="525"/>
      <c r="K2424" s="548"/>
      <c r="L2424" s="548"/>
      <c r="M2424" s="548"/>
      <c r="N2424" s="552"/>
      <c r="Y2424" s="551"/>
    </row>
    <row r="2425" spans="1:25">
      <c r="A2425" s="499">
        <v>45554</v>
      </c>
      <c r="B2425" s="499">
        <v>45555</v>
      </c>
      <c r="C2425" s="500" t="s">
        <v>173</v>
      </c>
      <c r="D2425" s="500" t="s">
        <v>760</v>
      </c>
      <c r="E2425" s="501">
        <v>38019659.829999998</v>
      </c>
      <c r="F2425" s="502" t="s">
        <v>878</v>
      </c>
      <c r="G2425" s="100" t="s">
        <v>139</v>
      </c>
      <c r="H2425" s="530"/>
      <c r="I2425" s="525"/>
      <c r="K2425" s="548"/>
      <c r="L2425" s="548"/>
      <c r="M2425" s="548"/>
      <c r="N2425" s="552"/>
      <c r="Y2425" s="551"/>
    </row>
    <row r="2426" spans="1:25">
      <c r="A2426" s="499">
        <v>45554</v>
      </c>
      <c r="B2426" s="499">
        <v>45554</v>
      </c>
      <c r="C2426" s="500" t="s">
        <v>173</v>
      </c>
      <c r="D2426" s="500" t="s">
        <v>759</v>
      </c>
      <c r="E2426" s="501">
        <v>-507004991.42000002</v>
      </c>
      <c r="F2426" s="502" t="s">
        <v>878</v>
      </c>
      <c r="G2426" s="100" t="s">
        <v>603</v>
      </c>
      <c r="H2426" s="530"/>
      <c r="I2426" s="525"/>
      <c r="K2426" s="548"/>
      <c r="L2426" s="548"/>
      <c r="M2426" s="548"/>
      <c r="N2426" s="552"/>
      <c r="Y2426" s="551"/>
    </row>
    <row r="2427" spans="1:25">
      <c r="A2427" s="499">
        <v>45554</v>
      </c>
      <c r="B2427" s="499">
        <v>45554</v>
      </c>
      <c r="C2427" s="500" t="s">
        <v>173</v>
      </c>
      <c r="D2427" s="500" t="s">
        <v>759</v>
      </c>
      <c r="E2427" s="501">
        <v>-478109065.25999999</v>
      </c>
      <c r="F2427" s="502" t="s">
        <v>878</v>
      </c>
      <c r="G2427" s="100" t="s">
        <v>90</v>
      </c>
      <c r="H2427" s="530"/>
      <c r="I2427" s="525"/>
      <c r="K2427" s="548"/>
      <c r="L2427" s="548"/>
      <c r="M2427" s="548"/>
      <c r="N2427" s="552"/>
      <c r="Y2427" s="551"/>
    </row>
    <row r="2428" spans="1:25">
      <c r="A2428" s="499">
        <v>45554</v>
      </c>
      <c r="B2428" s="499">
        <v>45554</v>
      </c>
      <c r="C2428" s="500" t="s">
        <v>173</v>
      </c>
      <c r="D2428" s="500" t="s">
        <v>759</v>
      </c>
      <c r="E2428" s="501">
        <v>-1015231592.55</v>
      </c>
      <c r="F2428" s="502" t="s">
        <v>878</v>
      </c>
      <c r="G2428" s="100" t="s">
        <v>90</v>
      </c>
      <c r="H2428" s="530"/>
      <c r="I2428" s="525"/>
      <c r="K2428" s="548"/>
      <c r="L2428" s="548"/>
      <c r="M2428" s="548"/>
      <c r="N2428" s="552"/>
      <c r="Y2428" s="551"/>
    </row>
    <row r="2429" spans="1:25">
      <c r="A2429" s="499">
        <v>45554</v>
      </c>
      <c r="B2429" s="499">
        <v>45554</v>
      </c>
      <c r="C2429" s="500" t="s">
        <v>173</v>
      </c>
      <c r="D2429" s="500" t="s">
        <v>759</v>
      </c>
      <c r="E2429" s="501">
        <v>-3724747445.9000001</v>
      </c>
      <c r="F2429" s="502" t="s">
        <v>878</v>
      </c>
      <c r="G2429" s="100" t="s">
        <v>414</v>
      </c>
      <c r="H2429" s="530"/>
      <c r="I2429" s="525"/>
      <c r="K2429" s="548"/>
      <c r="L2429" s="548"/>
      <c r="M2429" s="548"/>
      <c r="N2429" s="552"/>
      <c r="Y2429" s="551"/>
    </row>
    <row r="2430" spans="1:25">
      <c r="A2430" s="499">
        <v>45554</v>
      </c>
      <c r="B2430" s="499">
        <v>45554</v>
      </c>
      <c r="C2430" s="500" t="s">
        <v>173</v>
      </c>
      <c r="D2430" s="500" t="s">
        <v>759</v>
      </c>
      <c r="E2430" s="501">
        <v>-15007040.48</v>
      </c>
      <c r="F2430" s="502" t="s">
        <v>878</v>
      </c>
      <c r="G2430" s="100" t="s">
        <v>414</v>
      </c>
      <c r="H2430" s="530"/>
      <c r="I2430" s="525"/>
      <c r="K2430" s="548"/>
      <c r="L2430" s="548"/>
      <c r="M2430" s="548"/>
      <c r="N2430" s="552"/>
      <c r="Y2430" s="551"/>
    </row>
    <row r="2431" spans="1:25">
      <c r="A2431" s="499">
        <v>45554</v>
      </c>
      <c r="B2431" s="499">
        <v>45555</v>
      </c>
      <c r="C2431" s="500" t="s">
        <v>173</v>
      </c>
      <c r="D2431" s="500" t="s">
        <v>759</v>
      </c>
      <c r="E2431" s="501">
        <v>507188539.69</v>
      </c>
      <c r="F2431" s="502" t="s">
        <v>878</v>
      </c>
      <c r="G2431" s="100" t="s">
        <v>603</v>
      </c>
      <c r="H2431" s="530"/>
      <c r="I2431" s="525"/>
      <c r="K2431" s="548"/>
      <c r="L2431" s="548"/>
      <c r="M2431" s="548"/>
      <c r="N2431" s="552"/>
      <c r="Y2431" s="551"/>
    </row>
    <row r="2432" spans="1:25">
      <c r="A2432" s="499">
        <v>45554</v>
      </c>
      <c r="B2432" s="499">
        <v>45555</v>
      </c>
      <c r="C2432" s="500" t="s">
        <v>173</v>
      </c>
      <c r="D2432" s="500" t="s">
        <v>759</v>
      </c>
      <c r="E2432" s="501">
        <v>478282152.5</v>
      </c>
      <c r="F2432" s="502" t="s">
        <v>878</v>
      </c>
      <c r="G2432" s="100" t="s">
        <v>90</v>
      </c>
      <c r="H2432" s="530"/>
      <c r="I2432" s="525"/>
      <c r="K2432" s="548"/>
      <c r="L2432" s="548"/>
      <c r="M2432" s="548"/>
      <c r="N2432" s="552"/>
      <c r="Y2432" s="551"/>
    </row>
    <row r="2433" spans="1:25">
      <c r="A2433" s="499">
        <v>45554</v>
      </c>
      <c r="B2433" s="499">
        <v>45555</v>
      </c>
      <c r="C2433" s="500" t="s">
        <v>173</v>
      </c>
      <c r="D2433" s="500" t="s">
        <v>759</v>
      </c>
      <c r="E2433" s="501">
        <v>1015599142.45</v>
      </c>
      <c r="F2433" s="502" t="s">
        <v>878</v>
      </c>
      <c r="G2433" s="100" t="s">
        <v>90</v>
      </c>
      <c r="H2433" s="530"/>
      <c r="I2433" s="525"/>
      <c r="K2433" s="548"/>
      <c r="L2433" s="548"/>
      <c r="M2433" s="548"/>
      <c r="N2433" s="552"/>
      <c r="Y2433" s="551"/>
    </row>
    <row r="2434" spans="1:25">
      <c r="A2434" s="499">
        <v>45554</v>
      </c>
      <c r="B2434" s="499">
        <v>45561</v>
      </c>
      <c r="C2434" s="500" t="s">
        <v>173</v>
      </c>
      <c r="D2434" s="500" t="s">
        <v>759</v>
      </c>
      <c r="E2434" s="501">
        <v>3734279135.6799998</v>
      </c>
      <c r="F2434" s="502" t="s">
        <v>878</v>
      </c>
      <c r="G2434" s="100" t="s">
        <v>414</v>
      </c>
      <c r="H2434" s="530"/>
      <c r="I2434" s="525"/>
      <c r="K2434" s="548"/>
      <c r="L2434" s="548"/>
      <c r="M2434" s="548"/>
      <c r="N2434" s="552"/>
      <c r="Y2434" s="551"/>
    </row>
    <row r="2435" spans="1:25">
      <c r="A2435" s="499">
        <v>45554</v>
      </c>
      <c r="B2435" s="499">
        <v>45561</v>
      </c>
      <c r="C2435" s="500" t="s">
        <v>173</v>
      </c>
      <c r="D2435" s="500" t="s">
        <v>759</v>
      </c>
      <c r="E2435" s="501">
        <v>15045443.74</v>
      </c>
      <c r="F2435" s="502" t="s">
        <v>878</v>
      </c>
      <c r="G2435" s="100" t="s">
        <v>414</v>
      </c>
      <c r="H2435" s="530"/>
      <c r="I2435" s="525"/>
      <c r="K2435" s="548"/>
      <c r="L2435" s="548"/>
      <c r="M2435" s="548"/>
      <c r="N2435" s="552"/>
      <c r="Y2435" s="551"/>
    </row>
    <row r="2436" spans="1:25">
      <c r="A2436" s="499">
        <v>45555</v>
      </c>
      <c r="B2436" s="499">
        <v>45555</v>
      </c>
      <c r="C2436" s="500" t="s">
        <v>173</v>
      </c>
      <c r="D2436" s="500" t="s">
        <v>762</v>
      </c>
      <c r="E2436" s="501">
        <v>-24015524.23</v>
      </c>
      <c r="F2436" s="502" t="s">
        <v>878</v>
      </c>
      <c r="G2436" s="100" t="s">
        <v>678</v>
      </c>
      <c r="H2436" s="530"/>
      <c r="I2436" s="525"/>
      <c r="K2436" s="548"/>
      <c r="L2436" s="548"/>
      <c r="M2436" s="548"/>
      <c r="N2436" s="552"/>
      <c r="Y2436" s="551"/>
    </row>
    <row r="2437" spans="1:25">
      <c r="A2437" s="499">
        <v>45555</v>
      </c>
      <c r="B2437" s="499">
        <v>45555</v>
      </c>
      <c r="C2437" s="500" t="s">
        <v>173</v>
      </c>
      <c r="D2437" s="500" t="s">
        <v>762</v>
      </c>
      <c r="E2437" s="501">
        <v>-2161038129.1199999</v>
      </c>
      <c r="F2437" s="502" t="s">
        <v>878</v>
      </c>
      <c r="G2437" s="100" t="s">
        <v>644</v>
      </c>
      <c r="H2437" s="530"/>
      <c r="I2437" s="525"/>
      <c r="K2437" s="548"/>
      <c r="L2437" s="548"/>
      <c r="M2437" s="548"/>
      <c r="N2437" s="552"/>
      <c r="Y2437" s="551"/>
    </row>
    <row r="2438" spans="1:25">
      <c r="A2438" s="499">
        <v>45555</v>
      </c>
      <c r="B2438" s="499">
        <v>45555</v>
      </c>
      <c r="C2438" s="500" t="s">
        <v>173</v>
      </c>
      <c r="D2438" s="500" t="s">
        <v>762</v>
      </c>
      <c r="E2438" s="501">
        <v>-4001692288</v>
      </c>
      <c r="F2438" s="502" t="s">
        <v>878</v>
      </c>
      <c r="G2438" s="100" t="s">
        <v>604</v>
      </c>
      <c r="H2438" s="530"/>
      <c r="I2438" s="525"/>
      <c r="K2438" s="548"/>
      <c r="L2438" s="548"/>
      <c r="M2438" s="548"/>
      <c r="N2438" s="552"/>
      <c r="Y2438" s="551"/>
    </row>
    <row r="2439" spans="1:25">
      <c r="A2439" s="499">
        <v>45555</v>
      </c>
      <c r="B2439" s="499">
        <v>45558</v>
      </c>
      <c r="C2439" s="500" t="s">
        <v>173</v>
      </c>
      <c r="D2439" s="500" t="s">
        <v>762</v>
      </c>
      <c r="E2439" s="501">
        <v>24041510.210000001</v>
      </c>
      <c r="F2439" s="502" t="s">
        <v>878</v>
      </c>
      <c r="G2439" s="100" t="s">
        <v>678</v>
      </c>
      <c r="H2439" s="530"/>
      <c r="I2439" s="525"/>
      <c r="K2439" s="548"/>
      <c r="L2439" s="548"/>
      <c r="M2439" s="548"/>
      <c r="N2439" s="552"/>
      <c r="Y2439" s="551"/>
    </row>
    <row r="2440" spans="1:25">
      <c r="A2440" s="499">
        <v>45555</v>
      </c>
      <c r="B2440" s="499">
        <v>45558</v>
      </c>
      <c r="C2440" s="500" t="s">
        <v>173</v>
      </c>
      <c r="D2440" s="500" t="s">
        <v>762</v>
      </c>
      <c r="E2440" s="501">
        <v>2163376443.23</v>
      </c>
      <c r="F2440" s="502" t="s">
        <v>878</v>
      </c>
      <c r="G2440" s="100" t="s">
        <v>644</v>
      </c>
      <c r="H2440" s="530"/>
      <c r="I2440" s="525"/>
      <c r="K2440" s="548"/>
      <c r="L2440" s="548"/>
      <c r="M2440" s="548"/>
      <c r="N2440" s="552"/>
      <c r="Y2440" s="551"/>
    </row>
    <row r="2441" spans="1:25">
      <c r="A2441" s="499">
        <v>45555</v>
      </c>
      <c r="B2441" s="499">
        <v>45558</v>
      </c>
      <c r="C2441" s="500" t="s">
        <v>173</v>
      </c>
      <c r="D2441" s="500" t="s">
        <v>762</v>
      </c>
      <c r="E2441" s="501">
        <v>4006022283.0599999</v>
      </c>
      <c r="F2441" s="502" t="s">
        <v>878</v>
      </c>
      <c r="G2441" s="100" t="s">
        <v>604</v>
      </c>
      <c r="H2441" s="530"/>
      <c r="I2441" s="525"/>
      <c r="K2441" s="548"/>
      <c r="L2441" s="548"/>
      <c r="M2441" s="548"/>
      <c r="N2441" s="552"/>
      <c r="Y2441" s="551"/>
    </row>
    <row r="2442" spans="1:25">
      <c r="A2442" s="499">
        <v>45555</v>
      </c>
      <c r="B2442" s="499">
        <v>45555</v>
      </c>
      <c r="C2442" s="500" t="s">
        <v>173</v>
      </c>
      <c r="D2442" s="500" t="s">
        <v>760</v>
      </c>
      <c r="E2442" s="501">
        <v>-65034198.450000003</v>
      </c>
      <c r="F2442" s="502" t="s">
        <v>878</v>
      </c>
      <c r="G2442" s="100" t="s">
        <v>417</v>
      </c>
      <c r="H2442" s="530"/>
      <c r="I2442" s="525"/>
      <c r="K2442" s="548"/>
      <c r="L2442" s="548"/>
      <c r="M2442" s="548"/>
      <c r="N2442" s="552"/>
      <c r="Y2442" s="551"/>
    </row>
    <row r="2443" spans="1:25">
      <c r="A2443" s="499">
        <v>45555</v>
      </c>
      <c r="B2443" s="499">
        <v>45555</v>
      </c>
      <c r="C2443" s="500" t="s">
        <v>173</v>
      </c>
      <c r="D2443" s="500" t="s">
        <v>760</v>
      </c>
      <c r="E2443" s="501">
        <v>-1165151137.78</v>
      </c>
      <c r="F2443" s="502" t="s">
        <v>878</v>
      </c>
      <c r="G2443" s="100" t="s">
        <v>476</v>
      </c>
      <c r="H2443" s="530"/>
      <c r="I2443" s="525"/>
      <c r="K2443" s="548"/>
      <c r="L2443" s="548"/>
      <c r="M2443" s="548"/>
      <c r="N2443" s="552"/>
      <c r="Y2443" s="551"/>
    </row>
    <row r="2444" spans="1:25">
      <c r="A2444" s="499">
        <v>45555</v>
      </c>
      <c r="B2444" s="499">
        <v>45555</v>
      </c>
      <c r="C2444" s="500" t="s">
        <v>173</v>
      </c>
      <c r="D2444" s="500" t="s">
        <v>760</v>
      </c>
      <c r="E2444" s="501">
        <v>-35014093.560000002</v>
      </c>
      <c r="F2444" s="502" t="s">
        <v>878</v>
      </c>
      <c r="G2444" s="100" t="s">
        <v>634</v>
      </c>
      <c r="H2444" s="530"/>
      <c r="I2444" s="525"/>
      <c r="K2444" s="548"/>
      <c r="L2444" s="548"/>
      <c r="M2444" s="548"/>
      <c r="N2444" s="552"/>
      <c r="Y2444" s="551"/>
    </row>
    <row r="2445" spans="1:25">
      <c r="A2445" s="499">
        <v>45555</v>
      </c>
      <c r="B2445" s="499">
        <v>45558</v>
      </c>
      <c r="C2445" s="500" t="s">
        <v>173</v>
      </c>
      <c r="D2445" s="500" t="s">
        <v>760</v>
      </c>
      <c r="E2445" s="501">
        <v>65105095.850000001</v>
      </c>
      <c r="F2445" s="502" t="s">
        <v>878</v>
      </c>
      <c r="G2445" s="100" t="s">
        <v>417</v>
      </c>
      <c r="H2445" s="530"/>
      <c r="I2445" s="525"/>
      <c r="K2445" s="548"/>
      <c r="L2445" s="548"/>
      <c r="M2445" s="548"/>
      <c r="N2445" s="552"/>
      <c r="Y2445" s="551"/>
    </row>
    <row r="2446" spans="1:25">
      <c r="A2446" s="499">
        <v>45555</v>
      </c>
      <c r="B2446" s="499">
        <v>45558</v>
      </c>
      <c r="C2446" s="500" t="s">
        <v>173</v>
      </c>
      <c r="D2446" s="500" t="s">
        <v>760</v>
      </c>
      <c r="E2446" s="501">
        <v>1166416558.77</v>
      </c>
      <c r="F2446" s="502" t="s">
        <v>878</v>
      </c>
      <c r="G2446" s="100" t="s">
        <v>476</v>
      </c>
      <c r="H2446" s="530"/>
      <c r="I2446" s="525"/>
      <c r="K2446" s="548"/>
      <c r="L2446" s="548"/>
      <c r="M2446" s="548"/>
      <c r="N2446" s="552"/>
      <c r="Y2446" s="551"/>
    </row>
    <row r="2447" spans="1:25">
      <c r="A2447" s="499">
        <v>45555</v>
      </c>
      <c r="B2447" s="499">
        <v>45558</v>
      </c>
      <c r="C2447" s="500" t="s">
        <v>173</v>
      </c>
      <c r="D2447" s="500" t="s">
        <v>760</v>
      </c>
      <c r="E2447" s="501">
        <v>35052120.869999997</v>
      </c>
      <c r="F2447" s="502" t="s">
        <v>878</v>
      </c>
      <c r="G2447" s="100" t="s">
        <v>634</v>
      </c>
      <c r="H2447" s="530"/>
      <c r="I2447" s="525"/>
      <c r="K2447" s="548"/>
      <c r="L2447" s="548"/>
      <c r="M2447" s="548"/>
      <c r="N2447" s="552"/>
      <c r="Y2447" s="551"/>
    </row>
    <row r="2448" spans="1:25">
      <c r="A2448" s="499">
        <v>45555</v>
      </c>
      <c r="B2448" s="499">
        <v>45555</v>
      </c>
      <c r="C2448" s="500" t="s">
        <v>173</v>
      </c>
      <c r="D2448" s="500" t="s">
        <v>763</v>
      </c>
      <c r="E2448" s="501">
        <v>-6327111634.8500004</v>
      </c>
      <c r="F2448" s="502" t="s">
        <v>878</v>
      </c>
      <c r="G2448" s="100" t="s">
        <v>645</v>
      </c>
      <c r="H2448" s="530"/>
      <c r="I2448" s="525"/>
      <c r="K2448" s="548"/>
      <c r="L2448" s="548"/>
      <c r="M2448" s="548"/>
      <c r="N2448" s="552"/>
      <c r="R2448" s="539">
        <v>-1</v>
      </c>
      <c r="Y2448" s="551"/>
    </row>
    <row r="2449" spans="1:25">
      <c r="A2449" s="499">
        <v>45555</v>
      </c>
      <c r="B2449" s="499">
        <v>45555</v>
      </c>
      <c r="C2449" s="500" t="s">
        <v>173</v>
      </c>
      <c r="D2449" s="500" t="s">
        <v>763</v>
      </c>
      <c r="E2449" s="501">
        <v>-27001475.34</v>
      </c>
      <c r="F2449" s="502" t="s">
        <v>878</v>
      </c>
      <c r="G2449" s="100" t="s">
        <v>139</v>
      </c>
      <c r="H2449" s="530"/>
      <c r="I2449" s="525"/>
      <c r="K2449" s="548"/>
      <c r="L2449" s="548"/>
      <c r="M2449" s="548"/>
      <c r="N2449" s="552"/>
      <c r="Y2449" s="551"/>
    </row>
    <row r="2450" spans="1:25">
      <c r="A2450" s="499">
        <v>45555</v>
      </c>
      <c r="B2450" s="499">
        <v>45558</v>
      </c>
      <c r="C2450" s="500" t="s">
        <v>173</v>
      </c>
      <c r="D2450" s="500" t="s">
        <v>763</v>
      </c>
      <c r="E2450" s="501">
        <v>6333915872.9399996</v>
      </c>
      <c r="F2450" s="502" t="s">
        <v>878</v>
      </c>
      <c r="G2450" s="100" t="s">
        <v>645</v>
      </c>
      <c r="H2450" s="530"/>
      <c r="I2450" s="525"/>
      <c r="K2450" s="548"/>
      <c r="L2450" s="548"/>
      <c r="M2450" s="548"/>
      <c r="N2450" s="552"/>
      <c r="Y2450" s="551"/>
    </row>
    <row r="2451" spans="1:25">
      <c r="A2451" s="499">
        <v>45555</v>
      </c>
      <c r="B2451" s="499">
        <v>45558</v>
      </c>
      <c r="C2451" s="500" t="s">
        <v>173</v>
      </c>
      <c r="D2451" s="500" t="s">
        <v>763</v>
      </c>
      <c r="E2451" s="501">
        <v>27030911.370000001</v>
      </c>
      <c r="F2451" s="502" t="s">
        <v>878</v>
      </c>
      <c r="G2451" s="100" t="s">
        <v>139</v>
      </c>
      <c r="H2451" s="530"/>
      <c r="I2451" s="525"/>
      <c r="K2451" s="548"/>
      <c r="L2451" s="548"/>
      <c r="M2451" s="548"/>
      <c r="N2451" s="552"/>
      <c r="Y2451" s="551"/>
    </row>
    <row r="2452" spans="1:25">
      <c r="A2452" s="499">
        <v>45555</v>
      </c>
      <c r="B2452" s="499">
        <v>45555</v>
      </c>
      <c r="C2452" s="500" t="s">
        <v>173</v>
      </c>
      <c r="D2452" s="500" t="s">
        <v>759</v>
      </c>
      <c r="E2452" s="501">
        <v>-400086692.39999998</v>
      </c>
      <c r="F2452" s="502" t="s">
        <v>878</v>
      </c>
      <c r="G2452" s="100" t="s">
        <v>597</v>
      </c>
      <c r="H2452" s="484"/>
      <c r="I2452" s="525"/>
      <c r="K2452" s="548"/>
      <c r="L2452" s="548"/>
      <c r="M2452" s="548"/>
      <c r="N2452" s="552"/>
      <c r="Y2452" s="551"/>
    </row>
    <row r="2453" spans="1:25">
      <c r="A2453" s="499">
        <v>45555</v>
      </c>
      <c r="B2453" s="499">
        <v>45555</v>
      </c>
      <c r="C2453" s="500" t="s">
        <v>173</v>
      </c>
      <c r="D2453" s="500" t="s">
        <v>759</v>
      </c>
      <c r="E2453" s="501">
        <v>-1592409955.9200001</v>
      </c>
      <c r="F2453" s="502" t="s">
        <v>878</v>
      </c>
      <c r="G2453" s="100" t="s">
        <v>551</v>
      </c>
      <c r="H2453" s="484"/>
      <c r="I2453" s="525"/>
      <c r="K2453" s="548"/>
      <c r="L2453" s="548"/>
      <c r="M2453" s="548"/>
      <c r="N2453" s="552"/>
      <c r="Y2453" s="551"/>
    </row>
    <row r="2454" spans="1:25">
      <c r="A2454" s="499">
        <v>45555</v>
      </c>
      <c r="B2454" s="499">
        <v>45555</v>
      </c>
      <c r="C2454" s="500" t="s">
        <v>173</v>
      </c>
      <c r="D2454" s="500" t="s">
        <v>759</v>
      </c>
      <c r="E2454" s="501">
        <v>-8001733.8499999996</v>
      </c>
      <c r="F2454" s="502" t="s">
        <v>878</v>
      </c>
      <c r="G2454" s="100" t="s">
        <v>597</v>
      </c>
      <c r="H2454" s="484"/>
      <c r="I2454" s="525"/>
      <c r="K2454" s="548"/>
      <c r="L2454" s="548"/>
      <c r="M2454" s="548"/>
      <c r="N2454" s="552"/>
      <c r="Y2454" s="551"/>
    </row>
    <row r="2455" spans="1:25">
      <c r="A2455" s="499">
        <v>45555</v>
      </c>
      <c r="B2455" s="499">
        <v>45558</v>
      </c>
      <c r="C2455" s="500" t="s">
        <v>173</v>
      </c>
      <c r="D2455" s="500" t="s">
        <v>759</v>
      </c>
      <c r="E2455" s="501">
        <v>400521219.33999997</v>
      </c>
      <c r="F2455" s="502" t="s">
        <v>878</v>
      </c>
      <c r="G2455" s="100" t="s">
        <v>597</v>
      </c>
      <c r="H2455" s="530"/>
      <c r="I2455" s="525"/>
      <c r="K2455" s="548"/>
      <c r="L2455" s="548"/>
      <c r="M2455" s="548"/>
      <c r="N2455" s="552"/>
      <c r="Y2455" s="551"/>
    </row>
    <row r="2456" spans="1:25">
      <c r="A2456" s="499">
        <v>45555</v>
      </c>
      <c r="B2456" s="499">
        <v>45558</v>
      </c>
      <c r="C2456" s="500" t="s">
        <v>173</v>
      </c>
      <c r="D2456" s="500" t="s">
        <v>759</v>
      </c>
      <c r="E2456" s="501">
        <v>1594139443.6600001</v>
      </c>
      <c r="F2456" s="502" t="s">
        <v>878</v>
      </c>
      <c r="G2456" s="100" t="s">
        <v>551</v>
      </c>
      <c r="H2456" s="530"/>
      <c r="I2456" s="525"/>
      <c r="K2456" s="548"/>
      <c r="L2456" s="548"/>
      <c r="M2456" s="548"/>
      <c r="N2456" s="552"/>
      <c r="Y2456" s="551"/>
    </row>
    <row r="2457" spans="1:25">
      <c r="A2457" s="499">
        <v>45555</v>
      </c>
      <c r="B2457" s="499">
        <v>45558</v>
      </c>
      <c r="C2457" s="500" t="s">
        <v>173</v>
      </c>
      <c r="D2457" s="500" t="s">
        <v>759</v>
      </c>
      <c r="E2457" s="501">
        <v>8010424.3899999997</v>
      </c>
      <c r="F2457" s="502" t="s">
        <v>878</v>
      </c>
      <c r="G2457" s="100" t="s">
        <v>597</v>
      </c>
      <c r="H2457" s="530"/>
      <c r="I2457" s="525"/>
      <c r="K2457" s="548"/>
      <c r="L2457" s="548"/>
      <c r="M2457" s="548"/>
      <c r="N2457" s="552"/>
      <c r="Y2457" s="551"/>
    </row>
    <row r="2458" spans="1:25">
      <c r="A2458" s="505">
        <v>45558</v>
      </c>
      <c r="B2458" s="505">
        <v>45558</v>
      </c>
      <c r="C2458" s="500" t="s">
        <v>173</v>
      </c>
      <c r="D2458" s="500" t="s">
        <v>762</v>
      </c>
      <c r="E2458" s="501">
        <v>-4213171351.1399999</v>
      </c>
      <c r="F2458" s="502" t="s">
        <v>878</v>
      </c>
      <c r="G2458" s="100" t="s">
        <v>684</v>
      </c>
      <c r="H2458" s="100"/>
      <c r="I2458" s="525"/>
      <c r="K2458" s="548"/>
      <c r="L2458" s="548"/>
      <c r="M2458" s="548"/>
      <c r="N2458" s="552"/>
      <c r="Y2458" s="551"/>
    </row>
    <row r="2459" spans="1:25">
      <c r="A2459" s="505">
        <v>45558</v>
      </c>
      <c r="B2459" s="505">
        <v>45558</v>
      </c>
      <c r="C2459" s="500" t="s">
        <v>173</v>
      </c>
      <c r="D2459" s="500" t="s">
        <v>762</v>
      </c>
      <c r="E2459" s="501">
        <v>-27003474.23</v>
      </c>
      <c r="F2459" s="502" t="s">
        <v>878</v>
      </c>
      <c r="G2459" s="100" t="s">
        <v>656</v>
      </c>
      <c r="H2459" s="100"/>
      <c r="I2459" s="525"/>
      <c r="K2459" s="548"/>
      <c r="L2459" s="548"/>
      <c r="M2459" s="548"/>
      <c r="N2459" s="552"/>
      <c r="Y2459" s="551"/>
    </row>
    <row r="2460" spans="1:25">
      <c r="A2460" s="505">
        <v>45558</v>
      </c>
      <c r="B2460" s="505">
        <v>45558</v>
      </c>
      <c r="C2460" s="500" t="s">
        <v>173</v>
      </c>
      <c r="D2460" s="500" t="s">
        <v>762</v>
      </c>
      <c r="E2460" s="501">
        <v>-1954292265.0599999</v>
      </c>
      <c r="F2460" s="502" t="s">
        <v>878</v>
      </c>
      <c r="G2460" s="100" t="s">
        <v>630</v>
      </c>
      <c r="H2460" s="100"/>
      <c r="I2460" s="525"/>
      <c r="K2460" s="548"/>
      <c r="L2460" s="548"/>
      <c r="M2460" s="548"/>
      <c r="N2460" s="552"/>
      <c r="Y2460" s="551"/>
    </row>
    <row r="2461" spans="1:25">
      <c r="A2461" s="505">
        <v>45558</v>
      </c>
      <c r="B2461" s="505">
        <v>45559</v>
      </c>
      <c r="C2461" s="500" t="s">
        <v>173</v>
      </c>
      <c r="D2461" s="500" t="s">
        <v>762</v>
      </c>
      <c r="E2461" s="501">
        <v>4214715167.6300001</v>
      </c>
      <c r="F2461" s="502" t="s">
        <v>878</v>
      </c>
      <c r="G2461" s="100" t="s">
        <v>684</v>
      </c>
      <c r="H2461" s="100">
        <v>114139315</v>
      </c>
      <c r="I2461" s="525"/>
      <c r="K2461" s="548"/>
      <c r="L2461" s="548"/>
      <c r="M2461" s="548"/>
      <c r="N2461" s="552"/>
      <c r="Y2461" s="551"/>
    </row>
    <row r="2462" spans="1:25">
      <c r="A2462" s="505">
        <v>45558</v>
      </c>
      <c r="B2462" s="505">
        <v>45559</v>
      </c>
      <c r="C2462" s="500" t="s">
        <v>173</v>
      </c>
      <c r="D2462" s="500" t="s">
        <v>762</v>
      </c>
      <c r="E2462" s="501">
        <v>27013369.309999999</v>
      </c>
      <c r="F2462" s="502" t="s">
        <v>878</v>
      </c>
      <c r="G2462" s="100" t="s">
        <v>656</v>
      </c>
      <c r="H2462" s="100">
        <v>114139459</v>
      </c>
      <c r="I2462" s="525"/>
      <c r="K2462" s="548"/>
      <c r="L2462" s="548"/>
      <c r="M2462" s="548"/>
      <c r="N2462" s="552"/>
      <c r="Y2462" s="551"/>
    </row>
    <row r="2463" spans="1:25">
      <c r="A2463" s="505">
        <v>45558</v>
      </c>
      <c r="B2463" s="505">
        <v>45559</v>
      </c>
      <c r="C2463" s="500" t="s">
        <v>173</v>
      </c>
      <c r="D2463" s="500" t="s">
        <v>762</v>
      </c>
      <c r="E2463" s="501">
        <v>1955008369.01</v>
      </c>
      <c r="F2463" s="502" t="s">
        <v>878</v>
      </c>
      <c r="G2463" s="100" t="s">
        <v>630</v>
      </c>
      <c r="H2463" s="100">
        <v>114139318</v>
      </c>
      <c r="I2463" s="525"/>
      <c r="K2463" s="548"/>
      <c r="L2463" s="548"/>
      <c r="M2463" s="548"/>
      <c r="N2463" s="552"/>
      <c r="Y2463" s="551"/>
    </row>
    <row r="2464" spans="1:25">
      <c r="A2464" s="505">
        <v>45558</v>
      </c>
      <c r="B2464" s="505">
        <v>45558</v>
      </c>
      <c r="C2464" s="500" t="s">
        <v>173</v>
      </c>
      <c r="D2464" s="500" t="s">
        <v>761</v>
      </c>
      <c r="E2464" s="501">
        <v>-1692007979.3</v>
      </c>
      <c r="F2464" s="502" t="s">
        <v>878</v>
      </c>
      <c r="G2464" s="100" t="s">
        <v>928</v>
      </c>
      <c r="H2464" s="100"/>
      <c r="I2464" s="525"/>
      <c r="K2464" s="548"/>
      <c r="L2464" s="548"/>
      <c r="M2464" s="548"/>
      <c r="N2464" s="552"/>
      <c r="Y2464" s="551"/>
    </row>
    <row r="2465" spans="1:25">
      <c r="A2465" s="505">
        <v>45558</v>
      </c>
      <c r="B2465" s="505">
        <v>45558</v>
      </c>
      <c r="C2465" s="500" t="s">
        <v>173</v>
      </c>
      <c r="D2465" s="500" t="s">
        <v>761</v>
      </c>
      <c r="E2465" s="501">
        <v>-591088397.47000003</v>
      </c>
      <c r="F2465" s="502" t="s">
        <v>878</v>
      </c>
      <c r="G2465" s="100" t="s">
        <v>139</v>
      </c>
      <c r="H2465" s="100"/>
      <c r="I2465" s="525"/>
      <c r="K2465" s="548"/>
      <c r="L2465" s="548"/>
      <c r="M2465" s="548"/>
      <c r="N2465" s="552"/>
      <c r="Y2465" s="551"/>
    </row>
    <row r="2466" spans="1:25">
      <c r="A2466" s="505">
        <v>45558</v>
      </c>
      <c r="B2466" s="505">
        <v>45558</v>
      </c>
      <c r="C2466" s="500" t="s">
        <v>173</v>
      </c>
      <c r="D2466" s="500" t="s">
        <v>761</v>
      </c>
      <c r="E2466" s="501">
        <v>-8002970.9800000004</v>
      </c>
      <c r="F2466" s="502" t="s">
        <v>878</v>
      </c>
      <c r="G2466" s="100" t="s">
        <v>697</v>
      </c>
      <c r="H2466" s="100"/>
      <c r="I2466" s="525"/>
      <c r="K2466" s="548"/>
      <c r="L2466" s="548"/>
      <c r="M2466" s="548"/>
      <c r="N2466" s="552"/>
      <c r="Y2466" s="551"/>
    </row>
    <row r="2467" spans="1:25">
      <c r="A2467" s="505">
        <v>45558</v>
      </c>
      <c r="B2467" s="505">
        <v>45558</v>
      </c>
      <c r="C2467" s="500" t="s">
        <v>173</v>
      </c>
      <c r="D2467" s="500" t="s">
        <v>761</v>
      </c>
      <c r="E2467" s="501">
        <v>-2000556.98</v>
      </c>
      <c r="F2467" s="502" t="s">
        <v>878</v>
      </c>
      <c r="G2467" s="100" t="s">
        <v>834</v>
      </c>
      <c r="H2467" s="100"/>
      <c r="I2467" s="525"/>
      <c r="K2467" s="548"/>
      <c r="L2467" s="548"/>
      <c r="M2467" s="548"/>
      <c r="N2467" s="552"/>
      <c r="Y2467" s="551"/>
    </row>
    <row r="2468" spans="1:25">
      <c r="A2468" s="505">
        <v>45558</v>
      </c>
      <c r="B2468" s="505">
        <v>45565</v>
      </c>
      <c r="C2468" s="500" t="s">
        <v>173</v>
      </c>
      <c r="D2468" s="500" t="s">
        <v>761</v>
      </c>
      <c r="E2468" s="501">
        <v>1696357271.9400001</v>
      </c>
      <c r="F2468" s="502" t="s">
        <v>878</v>
      </c>
      <c r="G2468" s="100" t="s">
        <v>928</v>
      </c>
      <c r="H2468" s="100" t="s">
        <v>929</v>
      </c>
      <c r="I2468" s="525"/>
      <c r="K2468" s="548"/>
      <c r="L2468" s="548"/>
      <c r="M2468" s="548"/>
      <c r="N2468" s="552"/>
      <c r="Y2468" s="551"/>
    </row>
    <row r="2469" spans="1:25">
      <c r="A2469" s="505">
        <v>45558</v>
      </c>
      <c r="B2469" s="505">
        <v>45559</v>
      </c>
      <c r="C2469" s="500" t="s">
        <v>173</v>
      </c>
      <c r="D2469" s="500" t="s">
        <v>761</v>
      </c>
      <c r="E2469" s="501">
        <v>591303837.88999999</v>
      </c>
      <c r="F2469" s="502" t="s">
        <v>878</v>
      </c>
      <c r="G2469" s="100" t="s">
        <v>139</v>
      </c>
      <c r="H2469" s="100" t="s">
        <v>930</v>
      </c>
      <c r="I2469" s="525"/>
      <c r="K2469" s="548"/>
      <c r="L2469" s="548"/>
      <c r="M2469" s="548"/>
      <c r="N2469" s="552"/>
      <c r="Y2469" s="551"/>
    </row>
    <row r="2470" spans="1:25">
      <c r="A2470" s="505">
        <v>45558</v>
      </c>
      <c r="B2470" s="505">
        <v>45565</v>
      </c>
      <c r="C2470" s="500" t="s">
        <v>173</v>
      </c>
      <c r="D2470" s="500" t="s">
        <v>761</v>
      </c>
      <c r="E2470" s="501">
        <v>8023557.7000000002</v>
      </c>
      <c r="F2470" s="502" t="s">
        <v>878</v>
      </c>
      <c r="G2470" s="100" t="s">
        <v>697</v>
      </c>
      <c r="H2470" s="100" t="s">
        <v>931</v>
      </c>
      <c r="I2470" s="525"/>
      <c r="K2470" s="548"/>
      <c r="L2470" s="548"/>
      <c r="M2470" s="548"/>
      <c r="N2470" s="552"/>
      <c r="Y2470" s="551"/>
    </row>
    <row r="2471" spans="1:25">
      <c r="A2471" s="505">
        <v>45558</v>
      </c>
      <c r="B2471" s="505">
        <v>45559</v>
      </c>
      <c r="C2471" s="500" t="s">
        <v>173</v>
      </c>
      <c r="D2471" s="500" t="s">
        <v>761</v>
      </c>
      <c r="E2471" s="501">
        <v>2001286.69</v>
      </c>
      <c r="F2471" s="502" t="s">
        <v>878</v>
      </c>
      <c r="G2471" s="100" t="s">
        <v>834</v>
      </c>
      <c r="H2471" s="100" t="s">
        <v>932</v>
      </c>
      <c r="I2471" s="525"/>
      <c r="K2471" s="548"/>
      <c r="L2471" s="548"/>
      <c r="M2471" s="548"/>
      <c r="N2471" s="552"/>
      <c r="Y2471" s="551"/>
    </row>
    <row r="2472" spans="1:25">
      <c r="A2472" s="505">
        <v>45558</v>
      </c>
      <c r="B2472" s="505">
        <v>45558</v>
      </c>
      <c r="C2472" s="500" t="s">
        <v>173</v>
      </c>
      <c r="D2472" s="500" t="s">
        <v>760</v>
      </c>
      <c r="E2472" s="501">
        <v>-1230539736.3</v>
      </c>
      <c r="F2472" s="502" t="s">
        <v>878</v>
      </c>
      <c r="G2472" s="100" t="s">
        <v>634</v>
      </c>
      <c r="H2472" s="100"/>
      <c r="I2472" s="525"/>
      <c r="K2472" s="548"/>
      <c r="L2472" s="548"/>
      <c r="M2472" s="548"/>
      <c r="N2472" s="552"/>
      <c r="Y2472" s="551"/>
    </row>
    <row r="2473" spans="1:25">
      <c r="A2473" s="505">
        <v>45558</v>
      </c>
      <c r="B2473" s="505">
        <v>45558</v>
      </c>
      <c r="C2473" s="500" t="s">
        <v>173</v>
      </c>
      <c r="D2473" s="500" t="s">
        <v>760</v>
      </c>
      <c r="E2473" s="501">
        <v>-35006212.149999999</v>
      </c>
      <c r="F2473" s="502" t="s">
        <v>878</v>
      </c>
      <c r="G2473" s="100" t="s">
        <v>417</v>
      </c>
      <c r="H2473" s="100"/>
      <c r="I2473" s="525"/>
      <c r="K2473" s="548"/>
      <c r="L2473" s="548"/>
      <c r="M2473" s="548"/>
      <c r="N2473" s="552"/>
      <c r="Y2473" s="551"/>
    </row>
    <row r="2474" spans="1:25">
      <c r="A2474" s="505">
        <v>45558</v>
      </c>
      <c r="B2474" s="505">
        <v>45559</v>
      </c>
      <c r="C2474" s="500" t="s">
        <v>173</v>
      </c>
      <c r="D2474" s="500" t="s">
        <v>760</v>
      </c>
      <c r="E2474" s="501">
        <v>1230990258.4200001</v>
      </c>
      <c r="F2474" s="502" t="s">
        <v>878</v>
      </c>
      <c r="G2474" s="100" t="s">
        <v>634</v>
      </c>
      <c r="H2474" s="569" t="s">
        <v>933</v>
      </c>
      <c r="I2474" s="525"/>
      <c r="K2474" s="548"/>
      <c r="L2474" s="548"/>
      <c r="M2474" s="548"/>
      <c r="N2474" s="552"/>
      <c r="Y2474" s="551"/>
    </row>
    <row r="2475" spans="1:25">
      <c r="A2475" s="505">
        <v>45558</v>
      </c>
      <c r="B2475" s="505">
        <v>45559</v>
      </c>
      <c r="C2475" s="500" t="s">
        <v>173</v>
      </c>
      <c r="D2475" s="500" t="s">
        <v>760</v>
      </c>
      <c r="E2475" s="501">
        <v>35018952.210000001</v>
      </c>
      <c r="F2475" s="502" t="s">
        <v>878</v>
      </c>
      <c r="G2475" s="100" t="s">
        <v>417</v>
      </c>
      <c r="H2475" s="569" t="s">
        <v>934</v>
      </c>
      <c r="I2475" s="525"/>
      <c r="K2475" s="548"/>
      <c r="L2475" s="548"/>
      <c r="M2475" s="548"/>
      <c r="N2475" s="552"/>
      <c r="Y2475" s="551"/>
    </row>
    <row r="2476" spans="1:25">
      <c r="A2476" s="505">
        <v>45558</v>
      </c>
      <c r="B2476" s="505">
        <v>45558</v>
      </c>
      <c r="C2476" s="500" t="s">
        <v>173</v>
      </c>
      <c r="D2476" s="500" t="s">
        <v>764</v>
      </c>
      <c r="E2476" s="501">
        <v>-2372354786.4400001</v>
      </c>
      <c r="F2476" s="502" t="s">
        <v>878</v>
      </c>
      <c r="G2476" s="100" t="s">
        <v>630</v>
      </c>
      <c r="H2476" s="100"/>
      <c r="I2476" s="525"/>
      <c r="K2476" s="548"/>
      <c r="L2476" s="548"/>
      <c r="M2476" s="548"/>
      <c r="N2476" s="552"/>
      <c r="Y2476" s="551"/>
    </row>
    <row r="2477" spans="1:25">
      <c r="A2477" s="505">
        <v>45558</v>
      </c>
      <c r="B2477" s="505">
        <v>45558</v>
      </c>
      <c r="C2477" s="500" t="s">
        <v>173</v>
      </c>
      <c r="D2477" s="500" t="s">
        <v>764</v>
      </c>
      <c r="E2477" s="501">
        <v>-14003898.890000001</v>
      </c>
      <c r="F2477" s="502" t="s">
        <v>878</v>
      </c>
      <c r="G2477" s="100" t="s">
        <v>833</v>
      </c>
      <c r="H2477" s="100"/>
      <c r="I2477" s="525"/>
      <c r="K2477" s="548"/>
      <c r="L2477" s="548"/>
      <c r="M2477" s="548"/>
      <c r="N2477" s="552"/>
      <c r="Y2477" s="551"/>
    </row>
    <row r="2478" spans="1:25">
      <c r="A2478" s="505">
        <v>45558</v>
      </c>
      <c r="B2478" s="505">
        <v>45558</v>
      </c>
      <c r="C2478" s="500" t="s">
        <v>173</v>
      </c>
      <c r="D2478" s="500" t="s">
        <v>764</v>
      </c>
      <c r="E2478" s="501">
        <v>-10003427.85</v>
      </c>
      <c r="F2478" s="502" t="s">
        <v>878</v>
      </c>
      <c r="G2478" s="100" t="s">
        <v>676</v>
      </c>
      <c r="H2478" s="100"/>
      <c r="I2478" s="525"/>
      <c r="K2478" s="548"/>
      <c r="L2478" s="548"/>
      <c r="M2478" s="548"/>
      <c r="N2478" s="552"/>
      <c r="Y2478" s="551"/>
    </row>
    <row r="2479" spans="1:25">
      <c r="A2479" s="505">
        <v>45558</v>
      </c>
      <c r="B2479" s="505">
        <v>45559</v>
      </c>
      <c r="C2479" s="500" t="s">
        <v>173</v>
      </c>
      <c r="D2479" s="500" t="s">
        <v>764</v>
      </c>
      <c r="E2479" s="501">
        <v>2373220112.5700002</v>
      </c>
      <c r="F2479" s="502" t="s">
        <v>878</v>
      </c>
      <c r="G2479" s="100" t="s">
        <v>630</v>
      </c>
      <c r="H2479" s="100">
        <v>485.74529999909907</v>
      </c>
      <c r="I2479" s="525"/>
      <c r="K2479" s="548"/>
      <c r="L2479" s="548"/>
      <c r="M2479" s="548"/>
      <c r="N2479" s="552"/>
      <c r="Y2479" s="551"/>
    </row>
    <row r="2480" spans="1:25">
      <c r="A2480" s="505">
        <v>45558</v>
      </c>
      <c r="B2480" s="505">
        <v>45559</v>
      </c>
      <c r="C2480" s="500" t="s">
        <v>173</v>
      </c>
      <c r="D2480" s="500" t="s">
        <v>764</v>
      </c>
      <c r="E2480" s="501">
        <v>14009006.869999999</v>
      </c>
      <c r="F2480" s="502" t="s">
        <v>878</v>
      </c>
      <c r="G2480" s="100" t="s">
        <v>833</v>
      </c>
      <c r="H2480" s="100">
        <v>554.4780998574596</v>
      </c>
      <c r="I2480" s="525"/>
      <c r="K2480" s="548"/>
      <c r="L2480" s="548"/>
      <c r="M2480" s="548"/>
      <c r="N2480" s="552"/>
      <c r="Y2480" s="551"/>
    </row>
    <row r="2481" spans="1:25">
      <c r="A2481" s="505">
        <v>45558</v>
      </c>
      <c r="B2481" s="505">
        <v>45559</v>
      </c>
      <c r="C2481" s="500" t="s">
        <v>173</v>
      </c>
      <c r="D2481" s="500" t="s">
        <v>764</v>
      </c>
      <c r="E2481" s="501">
        <v>10007076.640000001</v>
      </c>
      <c r="F2481" s="502" t="s">
        <v>878</v>
      </c>
      <c r="G2481" s="100" t="s">
        <v>676</v>
      </c>
      <c r="H2481" s="100">
        <v>939.28899999999999</v>
      </c>
      <c r="I2481" s="525"/>
      <c r="K2481" s="548"/>
      <c r="L2481" s="548"/>
      <c r="M2481" s="548"/>
      <c r="N2481" s="552"/>
      <c r="Y2481" s="551"/>
    </row>
    <row r="2482" spans="1:25">
      <c r="A2482" s="505">
        <v>45558</v>
      </c>
      <c r="B2482" s="505">
        <v>45558</v>
      </c>
      <c r="C2482" s="500" t="s">
        <v>173</v>
      </c>
      <c r="D2482" s="500" t="s">
        <v>763</v>
      </c>
      <c r="E2482" s="501">
        <v>-24010758.179999989</v>
      </c>
      <c r="F2482" s="502" t="s">
        <v>878</v>
      </c>
      <c r="G2482" s="100" t="s">
        <v>551</v>
      </c>
      <c r="H2482" s="100"/>
      <c r="I2482" s="525"/>
      <c r="K2482" s="548"/>
      <c r="L2482" s="548"/>
      <c r="M2482" s="548"/>
      <c r="N2482" s="552"/>
      <c r="Y2482" s="551"/>
    </row>
    <row r="2483" spans="1:25">
      <c r="A2483" s="505">
        <v>45558</v>
      </c>
      <c r="B2483" s="505">
        <v>45558</v>
      </c>
      <c r="C2483" s="500" t="s">
        <v>173</v>
      </c>
      <c r="D2483" s="500" t="s">
        <v>763</v>
      </c>
      <c r="E2483" s="501">
        <v>-6337214067.9499989</v>
      </c>
      <c r="F2483" s="502" t="s">
        <v>878</v>
      </c>
      <c r="G2483" s="100" t="s">
        <v>78</v>
      </c>
      <c r="H2483" s="100"/>
      <c r="I2483" s="525"/>
      <c r="K2483" s="548"/>
      <c r="L2483" s="548"/>
      <c r="M2483" s="548"/>
      <c r="N2483" s="552"/>
      <c r="Y2483" s="551"/>
    </row>
    <row r="2484" spans="1:25">
      <c r="A2484" s="505">
        <v>45558</v>
      </c>
      <c r="B2484" s="505">
        <v>45559</v>
      </c>
      <c r="C2484" s="500" t="s">
        <v>173</v>
      </c>
      <c r="D2484" s="500" t="s">
        <v>763</v>
      </c>
      <c r="E2484" s="501">
        <v>24019418.32</v>
      </c>
      <c r="F2484" s="502" t="s">
        <v>878</v>
      </c>
      <c r="G2484" s="100" t="s">
        <v>551</v>
      </c>
      <c r="H2484" s="100">
        <v>477.31309995229003</v>
      </c>
      <c r="I2484" s="525"/>
      <c r="K2484" s="548"/>
      <c r="L2484" s="548"/>
      <c r="M2484" s="548"/>
      <c r="N2484" s="552"/>
      <c r="Y2484" s="551"/>
    </row>
    <row r="2485" spans="1:25">
      <c r="A2485" s="505">
        <v>45558</v>
      </c>
      <c r="B2485" s="505">
        <v>45559</v>
      </c>
      <c r="C2485" s="500" t="s">
        <v>173</v>
      </c>
      <c r="D2485" s="500" t="s">
        <v>763</v>
      </c>
      <c r="E2485" s="501">
        <v>6339490963.1700001</v>
      </c>
      <c r="F2485" s="502" t="s">
        <v>878</v>
      </c>
      <c r="G2485" s="100" t="s">
        <v>78</v>
      </c>
      <c r="H2485" s="100">
        <v>831.67699999947502</v>
      </c>
      <c r="I2485" s="525"/>
      <c r="K2485" s="548"/>
      <c r="L2485" s="548"/>
      <c r="M2485" s="548"/>
      <c r="N2485" s="552"/>
      <c r="Y2485" s="551"/>
    </row>
    <row r="2486" spans="1:25">
      <c r="A2486" s="505">
        <v>45558</v>
      </c>
      <c r="B2486" s="505">
        <v>45558</v>
      </c>
      <c r="C2486" s="500" t="s">
        <v>173</v>
      </c>
      <c r="D2486" s="500" t="s">
        <v>759</v>
      </c>
      <c r="E2486" s="501">
        <v>-1994108589.25</v>
      </c>
      <c r="F2486" s="502" t="s">
        <v>878</v>
      </c>
      <c r="G2486" s="100" t="s">
        <v>645</v>
      </c>
      <c r="H2486" s="100"/>
      <c r="I2486" s="525"/>
      <c r="K2486" s="548"/>
      <c r="L2486" s="548"/>
      <c r="M2486" s="548"/>
      <c r="N2486" s="552"/>
      <c r="Y2486" s="551"/>
    </row>
    <row r="2487" spans="1:25">
      <c r="A2487" s="505">
        <v>45558</v>
      </c>
      <c r="B2487" s="505">
        <v>45558</v>
      </c>
      <c r="C2487" s="500" t="s">
        <v>173</v>
      </c>
      <c r="D2487" s="500" t="s">
        <v>759</v>
      </c>
      <c r="E2487" s="501">
        <v>-9000321.8399999999</v>
      </c>
      <c r="F2487" s="502" t="s">
        <v>878</v>
      </c>
      <c r="G2487" s="100" t="s">
        <v>446</v>
      </c>
      <c r="H2487" s="100"/>
      <c r="I2487" s="525"/>
      <c r="K2487" s="548"/>
      <c r="L2487" s="548"/>
      <c r="M2487" s="548"/>
      <c r="N2487" s="552"/>
      <c r="Y2487" s="551"/>
    </row>
    <row r="2488" spans="1:25">
      <c r="A2488" s="505">
        <v>45558</v>
      </c>
      <c r="B2488" s="505">
        <v>45559</v>
      </c>
      <c r="C2488" s="500" t="s">
        <v>173</v>
      </c>
      <c r="D2488" s="500" t="s">
        <v>759</v>
      </c>
      <c r="E2488" s="501">
        <v>1994838672.72</v>
      </c>
      <c r="F2488" s="502" t="s">
        <v>878</v>
      </c>
      <c r="G2488" s="100" t="s">
        <v>645</v>
      </c>
      <c r="H2488" s="100">
        <v>98.624700000000004</v>
      </c>
      <c r="I2488" s="525"/>
      <c r="K2488" s="548"/>
      <c r="L2488" s="548"/>
      <c r="M2488" s="548"/>
      <c r="N2488" s="552"/>
      <c r="Y2488" s="551"/>
    </row>
    <row r="2489" spans="1:25">
      <c r="A2489" s="505">
        <v>45558</v>
      </c>
      <c r="B2489" s="505">
        <v>45559</v>
      </c>
      <c r="C2489" s="500" t="s">
        <v>173</v>
      </c>
      <c r="D2489" s="500" t="s">
        <v>759</v>
      </c>
      <c r="E2489" s="501">
        <v>9003653.9299999997</v>
      </c>
      <c r="F2489" s="502" t="s">
        <v>878</v>
      </c>
      <c r="G2489" s="100" t="s">
        <v>446</v>
      </c>
      <c r="H2489" s="100">
        <v>917.46400000000006</v>
      </c>
      <c r="I2489" s="525"/>
      <c r="K2489" s="548"/>
      <c r="L2489" s="548"/>
      <c r="M2489" s="548"/>
      <c r="N2489" s="552"/>
      <c r="Y2489" s="551"/>
    </row>
    <row r="2490" spans="1:25">
      <c r="A2490" s="499">
        <v>45559</v>
      </c>
      <c r="B2490" s="499">
        <v>45559</v>
      </c>
      <c r="C2490" s="500" t="s">
        <v>173</v>
      </c>
      <c r="D2490" s="500" t="s">
        <v>762</v>
      </c>
      <c r="E2490" s="501">
        <v>-3501845515</v>
      </c>
      <c r="F2490" s="502" t="s">
        <v>878</v>
      </c>
      <c r="G2490" s="100" t="s">
        <v>718</v>
      </c>
      <c r="H2490" s="530"/>
      <c r="I2490" s="525"/>
      <c r="K2490" s="548"/>
      <c r="L2490" s="548"/>
      <c r="M2490" s="548"/>
      <c r="N2490" s="552"/>
      <c r="Y2490" s="551"/>
    </row>
    <row r="2491" spans="1:25">
      <c r="A2491" s="499">
        <v>45559</v>
      </c>
      <c r="B2491" s="499">
        <v>45559</v>
      </c>
      <c r="C2491" s="500" t="s">
        <v>173</v>
      </c>
      <c r="D2491" s="500" t="s">
        <v>762</v>
      </c>
      <c r="E2491" s="501">
        <v>-2087150524.8800001</v>
      </c>
      <c r="F2491" s="502" t="s">
        <v>878</v>
      </c>
      <c r="G2491" s="100" t="s">
        <v>709</v>
      </c>
      <c r="H2491" s="530"/>
      <c r="I2491" s="525"/>
      <c r="K2491" s="548"/>
      <c r="L2491" s="548"/>
      <c r="M2491" s="548"/>
      <c r="N2491" s="552"/>
      <c r="Y2491" s="551"/>
    </row>
    <row r="2492" spans="1:25">
      <c r="A2492" s="499">
        <v>45559</v>
      </c>
      <c r="B2492" s="499">
        <v>45559</v>
      </c>
      <c r="C2492" s="500" t="s">
        <v>173</v>
      </c>
      <c r="D2492" s="500" t="s">
        <v>762</v>
      </c>
      <c r="E2492" s="501">
        <v>-251042554.53999999</v>
      </c>
      <c r="F2492" s="502" t="s">
        <v>878</v>
      </c>
      <c r="G2492" s="100" t="s">
        <v>687</v>
      </c>
      <c r="H2492" s="530"/>
      <c r="I2492" s="525"/>
      <c r="K2492" s="548"/>
      <c r="L2492" s="548"/>
      <c r="M2492" s="548"/>
      <c r="N2492" s="552"/>
      <c r="Y2492" s="551"/>
    </row>
    <row r="2493" spans="1:25">
      <c r="A2493" s="499">
        <v>45559</v>
      </c>
      <c r="B2493" s="499">
        <v>45559</v>
      </c>
      <c r="C2493" s="500" t="s">
        <v>173</v>
      </c>
      <c r="D2493" s="500" t="s">
        <v>762</v>
      </c>
      <c r="E2493" s="501">
        <v>-31005255.739999998</v>
      </c>
      <c r="F2493" s="502" t="s">
        <v>878</v>
      </c>
      <c r="G2493" s="100" t="s">
        <v>687</v>
      </c>
      <c r="H2493" s="530"/>
      <c r="I2493" s="525"/>
      <c r="K2493" s="548"/>
      <c r="L2493" s="548"/>
      <c r="M2493" s="548"/>
      <c r="N2493" s="552"/>
      <c r="Y2493" s="551"/>
    </row>
    <row r="2494" spans="1:25">
      <c r="A2494" s="499">
        <v>45559</v>
      </c>
      <c r="B2494" s="499">
        <v>45559</v>
      </c>
      <c r="C2494" s="500" t="s">
        <v>173</v>
      </c>
      <c r="D2494" s="500" t="s">
        <v>762</v>
      </c>
      <c r="E2494" s="501">
        <v>-300021853.80000001</v>
      </c>
      <c r="F2494" s="502" t="s">
        <v>878</v>
      </c>
      <c r="G2494" s="100" t="s">
        <v>677</v>
      </c>
      <c r="H2494" s="530"/>
      <c r="I2494" s="525"/>
      <c r="K2494" s="548"/>
      <c r="L2494" s="548"/>
      <c r="M2494" s="548"/>
      <c r="N2494" s="552"/>
      <c r="Y2494" s="551"/>
    </row>
    <row r="2495" spans="1:25">
      <c r="A2495" s="499">
        <v>45559</v>
      </c>
      <c r="B2495" s="499">
        <v>45559</v>
      </c>
      <c r="C2495" s="500" t="s">
        <v>173</v>
      </c>
      <c r="D2495" s="500" t="s">
        <v>762</v>
      </c>
      <c r="E2495" s="501">
        <v>-25021983.699999999</v>
      </c>
      <c r="F2495" s="502" t="s">
        <v>878</v>
      </c>
      <c r="G2495" s="100" t="s">
        <v>673</v>
      </c>
      <c r="H2495" s="530"/>
      <c r="I2495" s="525"/>
      <c r="K2495" s="548"/>
      <c r="L2495" s="548"/>
      <c r="M2495" s="548"/>
      <c r="N2495" s="552"/>
      <c r="Y2495" s="551"/>
    </row>
    <row r="2496" spans="1:25">
      <c r="A2496" s="499">
        <v>45559</v>
      </c>
      <c r="B2496" s="499">
        <v>45560</v>
      </c>
      <c r="C2496" s="500" t="s">
        <v>173</v>
      </c>
      <c r="D2496" s="500" t="s">
        <v>762</v>
      </c>
      <c r="E2496" s="501">
        <v>3503175489.1399999</v>
      </c>
      <c r="F2496" s="502" t="s">
        <v>878</v>
      </c>
      <c r="G2496" s="100" t="s">
        <v>718</v>
      </c>
      <c r="H2496" s="100">
        <v>114153946</v>
      </c>
      <c r="I2496" s="525"/>
      <c r="K2496" s="548"/>
      <c r="L2496" s="548"/>
      <c r="M2496" s="548"/>
      <c r="N2496" s="552"/>
      <c r="Y2496" s="551"/>
    </row>
    <row r="2497" spans="1:25">
      <c r="A2497" s="499">
        <v>45559</v>
      </c>
      <c r="B2497" s="499">
        <v>45560</v>
      </c>
      <c r="C2497" s="500" t="s">
        <v>173</v>
      </c>
      <c r="D2497" s="500" t="s">
        <v>762</v>
      </c>
      <c r="E2497" s="501">
        <v>2087943185.8699999</v>
      </c>
      <c r="F2497" s="502" t="s">
        <v>878</v>
      </c>
      <c r="G2497" s="100" t="s">
        <v>709</v>
      </c>
      <c r="H2497" s="100">
        <v>114153958</v>
      </c>
      <c r="I2497" s="525"/>
      <c r="K2497" s="548"/>
      <c r="L2497" s="548"/>
      <c r="M2497" s="548"/>
      <c r="N2497" s="552"/>
      <c r="Y2497" s="551"/>
    </row>
    <row r="2498" spans="1:25">
      <c r="A2498" s="499">
        <v>45559</v>
      </c>
      <c r="B2498" s="499">
        <v>45560</v>
      </c>
      <c r="C2498" s="500" t="s">
        <v>173</v>
      </c>
      <c r="D2498" s="500" t="s">
        <v>762</v>
      </c>
      <c r="E2498" s="501">
        <v>251137896.52000001</v>
      </c>
      <c r="F2498" s="502" t="s">
        <v>878</v>
      </c>
      <c r="G2498" s="100" t="s">
        <v>687</v>
      </c>
      <c r="H2498" s="100">
        <v>114153949</v>
      </c>
      <c r="I2498" s="525"/>
      <c r="K2498" s="548"/>
      <c r="L2498" s="548"/>
      <c r="M2498" s="548"/>
      <c r="N2498" s="552"/>
      <c r="Y2498" s="551"/>
    </row>
    <row r="2499" spans="1:25">
      <c r="A2499" s="499">
        <v>45559</v>
      </c>
      <c r="B2499" s="499">
        <v>45560</v>
      </c>
      <c r="C2499" s="500" t="s">
        <v>173</v>
      </c>
      <c r="D2499" s="500" t="s">
        <v>762</v>
      </c>
      <c r="E2499" s="501">
        <v>31017031.039999999</v>
      </c>
      <c r="F2499" s="502" t="s">
        <v>878</v>
      </c>
      <c r="G2499" s="100" t="s">
        <v>687</v>
      </c>
      <c r="H2499" s="100">
        <v>114153952</v>
      </c>
      <c r="I2499" s="525"/>
      <c r="K2499" s="548"/>
      <c r="L2499" s="548"/>
      <c r="M2499" s="548"/>
      <c r="N2499" s="552"/>
      <c r="Y2499" s="551"/>
    </row>
    <row r="2500" spans="1:25">
      <c r="A2500" s="499">
        <v>45559</v>
      </c>
      <c r="B2500" s="499">
        <v>45560</v>
      </c>
      <c r="C2500" s="500" t="s">
        <v>173</v>
      </c>
      <c r="D2500" s="500" t="s">
        <v>762</v>
      </c>
      <c r="E2500" s="501">
        <v>300135797.35000002</v>
      </c>
      <c r="F2500" s="502" t="s">
        <v>878</v>
      </c>
      <c r="G2500" s="100" t="s">
        <v>677</v>
      </c>
      <c r="H2500" s="100">
        <v>114153955</v>
      </c>
      <c r="I2500" s="525"/>
      <c r="K2500" s="548"/>
      <c r="L2500" s="548"/>
      <c r="M2500" s="548"/>
      <c r="N2500" s="552"/>
      <c r="Y2500" s="551"/>
    </row>
    <row r="2501" spans="1:25">
      <c r="A2501" s="499">
        <v>45559</v>
      </c>
      <c r="B2501" s="499">
        <v>45560</v>
      </c>
      <c r="C2501" s="500" t="s">
        <v>173</v>
      </c>
      <c r="D2501" s="500" t="s">
        <v>762</v>
      </c>
      <c r="E2501" s="501">
        <v>25031486.719999999</v>
      </c>
      <c r="F2501" s="502" t="s">
        <v>878</v>
      </c>
      <c r="G2501" s="100" t="s">
        <v>673</v>
      </c>
      <c r="H2501" s="100">
        <v>114153985</v>
      </c>
      <c r="I2501" s="525"/>
      <c r="K2501" s="548"/>
      <c r="L2501" s="548"/>
      <c r="M2501" s="548"/>
      <c r="N2501" s="552"/>
      <c r="Y2501" s="551"/>
    </row>
    <row r="2502" spans="1:25">
      <c r="A2502" s="499">
        <v>45559</v>
      </c>
      <c r="B2502" s="499">
        <v>45559</v>
      </c>
      <c r="C2502" s="500" t="s">
        <v>173</v>
      </c>
      <c r="D2502" s="500" t="s">
        <v>761</v>
      </c>
      <c r="E2502" s="501">
        <v>-591127341.59000003</v>
      </c>
      <c r="F2502" s="502" t="s">
        <v>878</v>
      </c>
      <c r="G2502" s="100" t="s">
        <v>87</v>
      </c>
      <c r="H2502" s="530"/>
      <c r="I2502" s="525"/>
      <c r="K2502" s="548"/>
      <c r="L2502" s="548"/>
      <c r="M2502" s="548"/>
      <c r="N2502" s="552"/>
      <c r="Y2502" s="551"/>
    </row>
    <row r="2503" spans="1:25">
      <c r="A2503" s="499">
        <v>45559</v>
      </c>
      <c r="B2503" s="499">
        <v>45559</v>
      </c>
      <c r="C2503" s="500" t="s">
        <v>173</v>
      </c>
      <c r="D2503" s="500" t="s">
        <v>761</v>
      </c>
      <c r="E2503" s="501">
        <v>-2000106.47</v>
      </c>
      <c r="F2503" s="502" t="s">
        <v>878</v>
      </c>
      <c r="G2503" s="100" t="s">
        <v>645</v>
      </c>
      <c r="H2503" s="530"/>
      <c r="I2503" s="525"/>
      <c r="K2503" s="548"/>
      <c r="L2503" s="548"/>
      <c r="M2503" s="548"/>
      <c r="N2503" s="552"/>
      <c r="Y2503" s="551"/>
    </row>
    <row r="2504" spans="1:25">
      <c r="A2504" s="499">
        <v>45559</v>
      </c>
      <c r="B2504" s="499">
        <v>45560</v>
      </c>
      <c r="C2504" s="500" t="s">
        <v>173</v>
      </c>
      <c r="D2504" s="500" t="s">
        <v>761</v>
      </c>
      <c r="E2504" s="501">
        <v>591348610.57000005</v>
      </c>
      <c r="F2504" s="502" t="s">
        <v>878</v>
      </c>
      <c r="G2504" s="100" t="s">
        <v>87</v>
      </c>
      <c r="H2504" s="100" t="s">
        <v>941</v>
      </c>
      <c r="I2504" s="525"/>
      <c r="K2504" s="548"/>
      <c r="L2504" s="548"/>
      <c r="M2504" s="548"/>
      <c r="N2504" s="552"/>
      <c r="R2504" s="539">
        <v>-1</v>
      </c>
      <c r="Y2504" s="551"/>
    </row>
    <row r="2505" spans="1:25">
      <c r="A2505" s="499">
        <v>45559</v>
      </c>
      <c r="B2505" s="499">
        <v>45560</v>
      </c>
      <c r="C2505" s="500" t="s">
        <v>173</v>
      </c>
      <c r="D2505" s="500" t="s">
        <v>761</v>
      </c>
      <c r="E2505" s="501">
        <v>2000887.93</v>
      </c>
      <c r="F2505" s="502" t="s">
        <v>878</v>
      </c>
      <c r="G2505" s="100" t="s">
        <v>645</v>
      </c>
      <c r="H2505" s="100" t="s">
        <v>942</v>
      </c>
      <c r="I2505" s="525"/>
      <c r="K2505" s="548"/>
      <c r="L2505" s="548"/>
      <c r="M2505" s="548"/>
      <c r="N2505" s="552"/>
      <c r="Y2505" s="551"/>
    </row>
    <row r="2506" spans="1:25">
      <c r="A2506" s="499">
        <v>45559</v>
      </c>
      <c r="B2506" s="499">
        <v>45559</v>
      </c>
      <c r="C2506" s="500" t="s">
        <v>173</v>
      </c>
      <c r="D2506" s="500" t="s">
        <v>759</v>
      </c>
      <c r="E2506" s="501">
        <v>-1996754299.26</v>
      </c>
      <c r="F2506" s="502" t="s">
        <v>878</v>
      </c>
      <c r="G2506" s="100" t="s">
        <v>422</v>
      </c>
      <c r="H2506" s="484"/>
      <c r="I2506" s="525"/>
      <c r="K2506" s="548"/>
      <c r="L2506" s="548"/>
      <c r="M2506" s="548"/>
      <c r="N2506" s="552"/>
      <c r="Y2506" s="551"/>
    </row>
    <row r="2507" spans="1:25">
      <c r="A2507" s="499">
        <v>45559</v>
      </c>
      <c r="B2507" s="499">
        <v>45559</v>
      </c>
      <c r="C2507" s="500" t="s">
        <v>173</v>
      </c>
      <c r="D2507" s="500" t="s">
        <v>759</v>
      </c>
      <c r="E2507" s="501">
        <v>-7000672.1100000003</v>
      </c>
      <c r="F2507" s="502" t="s">
        <v>878</v>
      </c>
      <c r="G2507" s="100" t="s">
        <v>60</v>
      </c>
      <c r="H2507" s="484"/>
      <c r="I2507" s="525"/>
      <c r="K2507" s="548"/>
      <c r="L2507" s="548"/>
      <c r="M2507" s="548"/>
      <c r="N2507" s="552"/>
      <c r="Y2507" s="551"/>
    </row>
    <row r="2508" spans="1:25">
      <c r="A2508" s="499">
        <v>45559</v>
      </c>
      <c r="B2508" s="499">
        <v>45560</v>
      </c>
      <c r="C2508" s="500" t="s">
        <v>173</v>
      </c>
      <c r="D2508" s="500" t="s">
        <v>759</v>
      </c>
      <c r="E2508" s="501">
        <v>1997531724.0899999</v>
      </c>
      <c r="F2508" s="502" t="s">
        <v>878</v>
      </c>
      <c r="G2508" s="100" t="s">
        <v>422</v>
      </c>
      <c r="H2508" s="570">
        <v>979.71529999999996</v>
      </c>
      <c r="I2508" s="525"/>
      <c r="K2508" s="548"/>
      <c r="L2508" s="548"/>
      <c r="M2508" s="548"/>
      <c r="N2508" s="552"/>
      <c r="Y2508" s="551"/>
    </row>
    <row r="2509" spans="1:25">
      <c r="A2509" s="499">
        <v>45559</v>
      </c>
      <c r="B2509" s="499">
        <v>45560</v>
      </c>
      <c r="C2509" s="500" t="s">
        <v>173</v>
      </c>
      <c r="D2509" s="500" t="s">
        <v>759</v>
      </c>
      <c r="E2509" s="501">
        <v>7003464.7300000004</v>
      </c>
      <c r="F2509" s="502" t="s">
        <v>878</v>
      </c>
      <c r="G2509" s="100" t="s">
        <v>60</v>
      </c>
      <c r="H2509" s="570">
        <v>808.15419999999995</v>
      </c>
      <c r="I2509" s="525"/>
      <c r="K2509" s="548"/>
      <c r="L2509" s="548"/>
      <c r="M2509" s="548"/>
      <c r="N2509" s="552"/>
      <c r="Y2509" s="551"/>
    </row>
    <row r="2510" spans="1:25">
      <c r="A2510" s="499">
        <v>45559</v>
      </c>
      <c r="B2510" s="499">
        <v>45559</v>
      </c>
      <c r="C2510" s="500" t="s">
        <v>173</v>
      </c>
      <c r="D2510" s="500" t="s">
        <v>760</v>
      </c>
      <c r="E2510" s="501">
        <v>-1240066012.6400001</v>
      </c>
      <c r="F2510" s="502" t="s">
        <v>878</v>
      </c>
      <c r="G2510" s="100" t="s">
        <v>645</v>
      </c>
      <c r="H2510" s="530"/>
      <c r="I2510" s="525"/>
      <c r="K2510" s="548"/>
      <c r="L2510" s="548"/>
      <c r="M2510" s="548"/>
      <c r="N2510" s="552"/>
      <c r="Y2510" s="551"/>
    </row>
    <row r="2511" spans="1:25">
      <c r="A2511" s="499">
        <v>45559</v>
      </c>
      <c r="B2511" s="499">
        <v>45559</v>
      </c>
      <c r="C2511" s="500" t="s">
        <v>173</v>
      </c>
      <c r="D2511" s="500" t="s">
        <v>760</v>
      </c>
      <c r="E2511" s="501">
        <v>-25001330.899999999</v>
      </c>
      <c r="F2511" s="502" t="s">
        <v>878</v>
      </c>
      <c r="G2511" s="100" t="s">
        <v>645</v>
      </c>
      <c r="H2511" s="530"/>
      <c r="I2511" s="525"/>
      <c r="K2511" s="548"/>
      <c r="L2511" s="548"/>
      <c r="M2511" s="548"/>
      <c r="N2511" s="552"/>
      <c r="Y2511" s="551"/>
    </row>
    <row r="2512" spans="1:25">
      <c r="A2512" s="499">
        <v>45559</v>
      </c>
      <c r="B2512" s="499">
        <v>45560</v>
      </c>
      <c r="C2512" s="500" t="s">
        <v>173</v>
      </c>
      <c r="D2512" s="500" t="s">
        <v>760</v>
      </c>
      <c r="E2512" s="501">
        <v>1240547158.25</v>
      </c>
      <c r="F2512" s="502" t="s">
        <v>878</v>
      </c>
      <c r="G2512" s="100" t="s">
        <v>645</v>
      </c>
      <c r="H2512" s="569" t="s">
        <v>936</v>
      </c>
      <c r="I2512" s="525"/>
      <c r="K2512" s="548"/>
      <c r="L2512" s="548"/>
      <c r="M2512" s="548"/>
      <c r="N2512" s="552"/>
      <c r="Y2512" s="551"/>
    </row>
    <row r="2513" spans="1:25">
      <c r="A2513" s="499">
        <v>45559</v>
      </c>
      <c r="B2513" s="499">
        <v>45560</v>
      </c>
      <c r="C2513" s="500" t="s">
        <v>173</v>
      </c>
      <c r="D2513" s="500" t="s">
        <v>760</v>
      </c>
      <c r="E2513" s="501">
        <v>25011031.420000002</v>
      </c>
      <c r="F2513" s="502" t="s">
        <v>878</v>
      </c>
      <c r="G2513" s="100" t="s">
        <v>645</v>
      </c>
      <c r="H2513" s="569" t="s">
        <v>937</v>
      </c>
      <c r="I2513" s="525"/>
      <c r="K2513" s="548"/>
      <c r="L2513" s="548"/>
      <c r="M2513" s="548"/>
      <c r="N2513" s="552"/>
      <c r="Y2513" s="551"/>
    </row>
    <row r="2514" spans="1:25">
      <c r="A2514" s="499">
        <v>45559</v>
      </c>
      <c r="B2514" s="499">
        <v>45559</v>
      </c>
      <c r="C2514" s="500" t="s">
        <v>173</v>
      </c>
      <c r="D2514" s="500" t="s">
        <v>764</v>
      </c>
      <c r="E2514" s="501">
        <v>-3923271764.6599998</v>
      </c>
      <c r="F2514" s="502" t="s">
        <v>878</v>
      </c>
      <c r="G2514" s="100" t="s">
        <v>705</v>
      </c>
      <c r="H2514" s="530"/>
      <c r="I2514" s="525"/>
      <c r="K2514" s="548"/>
      <c r="L2514" s="548"/>
      <c r="M2514" s="548"/>
      <c r="N2514" s="552"/>
      <c r="Y2514" s="551"/>
    </row>
    <row r="2515" spans="1:25">
      <c r="A2515" s="499">
        <v>45559</v>
      </c>
      <c r="B2515" s="499">
        <v>45559</v>
      </c>
      <c r="C2515" s="500" t="s">
        <v>173</v>
      </c>
      <c r="D2515" s="500" t="s">
        <v>764</v>
      </c>
      <c r="E2515" s="501">
        <v>-14008111.380000001</v>
      </c>
      <c r="F2515" s="502" t="s">
        <v>878</v>
      </c>
      <c r="G2515" s="100" t="s">
        <v>705</v>
      </c>
      <c r="H2515" s="530"/>
      <c r="I2515" s="525"/>
      <c r="K2515" s="548"/>
      <c r="L2515" s="548"/>
      <c r="M2515" s="548"/>
      <c r="N2515" s="552"/>
      <c r="Y2515" s="551"/>
    </row>
    <row r="2516" spans="1:25">
      <c r="A2516" s="499">
        <v>45559</v>
      </c>
      <c r="B2516" s="499">
        <v>45560</v>
      </c>
      <c r="C2516" s="500" t="s">
        <v>173</v>
      </c>
      <c r="D2516" s="500" t="s">
        <v>764</v>
      </c>
      <c r="E2516" s="501">
        <v>3924745671.4000001</v>
      </c>
      <c r="F2516" s="502" t="s">
        <v>878</v>
      </c>
      <c r="G2516" s="100" t="s">
        <v>705</v>
      </c>
      <c r="H2516" s="100">
        <v>831.35820990306104</v>
      </c>
      <c r="I2516" s="525"/>
      <c r="K2516" s="548"/>
      <c r="L2516" s="548"/>
      <c r="M2516" s="548"/>
      <c r="N2516" s="552"/>
      <c r="Y2516" s="551"/>
    </row>
    <row r="2517" spans="1:25">
      <c r="A2517" s="499">
        <v>45559</v>
      </c>
      <c r="B2517" s="499">
        <v>45560</v>
      </c>
      <c r="C2517" s="500" t="s">
        <v>173</v>
      </c>
      <c r="D2517" s="500" t="s">
        <v>764</v>
      </c>
      <c r="E2517" s="501">
        <v>14013373.99</v>
      </c>
      <c r="F2517" s="502" t="s">
        <v>878</v>
      </c>
      <c r="G2517" s="100" t="s">
        <v>705</v>
      </c>
      <c r="H2517" s="100">
        <v>831.35</v>
      </c>
      <c r="I2517" s="525"/>
      <c r="K2517" s="548"/>
      <c r="L2517" s="548"/>
      <c r="M2517" s="548"/>
      <c r="N2517" s="552"/>
      <c r="Y2517" s="551"/>
    </row>
    <row r="2518" spans="1:25">
      <c r="A2518" s="499">
        <v>45559</v>
      </c>
      <c r="B2518" s="499">
        <v>45559</v>
      </c>
      <c r="C2518" s="500" t="s">
        <v>173</v>
      </c>
      <c r="D2518" s="500" t="s">
        <v>763</v>
      </c>
      <c r="E2518" s="501">
        <v>-21008047.57</v>
      </c>
      <c r="F2518" s="502" t="s">
        <v>878</v>
      </c>
      <c r="G2518" s="100" t="s">
        <v>634</v>
      </c>
      <c r="H2518" s="530"/>
      <c r="I2518" s="525"/>
      <c r="K2518" s="548"/>
      <c r="L2518" s="548"/>
      <c r="M2518" s="548"/>
      <c r="N2518" s="552"/>
      <c r="Y2518" s="551"/>
    </row>
    <row r="2519" spans="1:25">
      <c r="A2519" s="499">
        <v>45559</v>
      </c>
      <c r="B2519" s="499">
        <v>45559</v>
      </c>
      <c r="C2519" s="500" t="s">
        <v>173</v>
      </c>
      <c r="D2519" s="500" t="s">
        <v>763</v>
      </c>
      <c r="E2519" s="501">
        <v>-5342729167.1999998</v>
      </c>
      <c r="F2519" s="502" t="s">
        <v>878</v>
      </c>
      <c r="G2519" s="100" t="s">
        <v>83</v>
      </c>
      <c r="H2519" s="530"/>
      <c r="I2519" s="525"/>
      <c r="K2519" s="548"/>
      <c r="L2519" s="548"/>
      <c r="M2519" s="548"/>
      <c r="N2519" s="552"/>
      <c r="Y2519" s="551"/>
    </row>
    <row r="2520" spans="1:25">
      <c r="A2520" s="499">
        <v>45559</v>
      </c>
      <c r="B2520" s="499">
        <v>45560</v>
      </c>
      <c r="C2520" s="500" t="s">
        <v>173</v>
      </c>
      <c r="D2520" s="500" t="s">
        <v>763</v>
      </c>
      <c r="E2520" s="501">
        <v>21015716.370000001</v>
      </c>
      <c r="F2520" s="502" t="s">
        <v>878</v>
      </c>
      <c r="G2520" s="100" t="s">
        <v>634</v>
      </c>
      <c r="H2520" s="571">
        <v>485.32900027712299</v>
      </c>
      <c r="I2520" s="525"/>
      <c r="K2520" s="548"/>
      <c r="L2520" s="548"/>
      <c r="M2520" s="548"/>
      <c r="N2520" s="552"/>
      <c r="Y2520" s="551"/>
    </row>
    <row r="2521" spans="1:25">
      <c r="A2521" s="499">
        <v>45559</v>
      </c>
      <c r="B2521" s="499">
        <v>45560</v>
      </c>
      <c r="C2521" s="500" t="s">
        <v>173</v>
      </c>
      <c r="D2521" s="500" t="s">
        <v>763</v>
      </c>
      <c r="E2521" s="501">
        <v>5344679409.3199997</v>
      </c>
      <c r="F2521" s="502" t="s">
        <v>878</v>
      </c>
      <c r="G2521" s="100" t="s">
        <v>83</v>
      </c>
      <c r="H2521" s="571">
        <v>985.11446248046207</v>
      </c>
      <c r="I2521" s="525"/>
      <c r="K2521" s="548"/>
      <c r="L2521" s="548"/>
      <c r="M2521" s="548"/>
      <c r="N2521" s="552"/>
      <c r="Y2521" s="551"/>
    </row>
    <row r="2522" spans="1:25">
      <c r="A2522" s="499">
        <v>45559</v>
      </c>
      <c r="B2522" s="499">
        <v>45559</v>
      </c>
      <c r="C2522" s="500" t="s">
        <v>173</v>
      </c>
      <c r="D2522" s="500" t="s">
        <v>763</v>
      </c>
      <c r="E2522" s="501">
        <v>-999999884.76999998</v>
      </c>
      <c r="F2522" s="502" t="s">
        <v>906</v>
      </c>
      <c r="G2522" s="100" t="s">
        <v>914</v>
      </c>
      <c r="H2522" s="530"/>
      <c r="I2522" s="525" t="s">
        <v>916</v>
      </c>
      <c r="K2522" s="548">
        <v>114158096</v>
      </c>
      <c r="L2522" s="549">
        <v>99.948499999999996</v>
      </c>
      <c r="M2522" s="549">
        <f>E2522*(-1)/(N2522*O2522)*100</f>
        <v>100.78266666633073</v>
      </c>
      <c r="N2522" s="549">
        <v>992234</v>
      </c>
      <c r="O2522" s="539">
        <f>VLOOKUP(G2522,Справочник!A:J,10,0)</f>
        <v>1000</v>
      </c>
      <c r="T2522" s="538">
        <v>14.3</v>
      </c>
      <c r="U2522" s="538">
        <v>0</v>
      </c>
      <c r="V2522" s="538">
        <v>0</v>
      </c>
      <c r="W2522" s="550">
        <f>VLOOKUP(G2522,Справочник!A:C,3,0)</f>
        <v>0.14299999999999999</v>
      </c>
      <c r="X2522" s="539" t="str">
        <f>VLOOKUP(G2522,Справочник!A:G,7,0)</f>
        <v>Евразийский Банк Развития</v>
      </c>
      <c r="Y2522" s="551">
        <f>VLOOKUP(G2522,Справочник!A:B,2,0)</f>
        <v>46633</v>
      </c>
    </row>
    <row r="2523" spans="1:25">
      <c r="A2523" s="499">
        <v>45559</v>
      </c>
      <c r="B2523" s="499">
        <v>45561</v>
      </c>
      <c r="C2523" s="500" t="s">
        <v>173</v>
      </c>
      <c r="D2523" s="500" t="s">
        <v>761</v>
      </c>
      <c r="E2523" s="501">
        <v>-421795166.67000002</v>
      </c>
      <c r="F2523" s="502" t="s">
        <v>906</v>
      </c>
      <c r="G2523" s="100" t="s">
        <v>82</v>
      </c>
      <c r="H2523" s="572"/>
      <c r="I2523" s="525" t="s">
        <v>706</v>
      </c>
      <c r="K2523" s="548">
        <v>114592232</v>
      </c>
      <c r="L2523" s="549">
        <v>79.409700000000001</v>
      </c>
      <c r="M2523" s="549">
        <f>E2523*(-1)/(N2523*O2523)*100</f>
        <v>84.359033334000003</v>
      </c>
      <c r="N2523" s="549">
        <v>500000</v>
      </c>
      <c r="O2523" s="539">
        <v>1000</v>
      </c>
      <c r="T2523" s="553">
        <v>13.26</v>
      </c>
      <c r="U2523" s="538">
        <v>21089.759999999998</v>
      </c>
      <c r="V2523" s="538">
        <v>42179.519999999997</v>
      </c>
      <c r="W2523" s="550">
        <f>VLOOKUP(G2523,Справочник!A:C,3,0)</f>
        <v>7.6799999999999993E-2</v>
      </c>
      <c r="X2523" s="539" t="str">
        <f>VLOOKUP(G2523,Справочник!A:G,7,0)</f>
        <v>Министерство финансов Республики Казахстан</v>
      </c>
      <c r="Y2523" s="551" t="str">
        <f>VLOOKUP(G2523,Справочник!A:B,2,0)</f>
        <v>04.02.2030</v>
      </c>
    </row>
    <row r="2524" spans="1:25">
      <c r="A2524" s="499">
        <v>45559</v>
      </c>
      <c r="B2524" s="499">
        <v>45561</v>
      </c>
      <c r="C2524" s="500" t="s">
        <v>173</v>
      </c>
      <c r="D2524" s="500" t="s">
        <v>764</v>
      </c>
      <c r="E2524" s="501">
        <v>-499999708.47000003</v>
      </c>
      <c r="F2524" s="502" t="s">
        <v>906</v>
      </c>
      <c r="G2524" s="100" t="s">
        <v>516</v>
      </c>
      <c r="H2524" s="530"/>
      <c r="I2524" s="525" t="s">
        <v>672</v>
      </c>
      <c r="K2524" s="548">
        <v>114159217</v>
      </c>
      <c r="L2524" s="549">
        <v>95.185500000000005</v>
      </c>
      <c r="M2524" s="549">
        <f>E2524*(-1)/(N2524*O2524)*100</f>
        <v>101.81883333265456</v>
      </c>
      <c r="N2524" s="549">
        <v>491068</v>
      </c>
      <c r="O2524" s="539">
        <v>1000</v>
      </c>
      <c r="T2524" s="538">
        <v>13.25</v>
      </c>
      <c r="U2524" s="538">
        <v>0</v>
      </c>
      <c r="V2524" s="538">
        <v>49999.97</v>
      </c>
      <c r="W2524" s="550">
        <f>VLOOKUP(G2524,Справочник!A:C,3,0)</f>
        <v>0.12</v>
      </c>
      <c r="X2524" s="539" t="str">
        <f>VLOOKUP(G2524,Справочник!A:G,7,0)</f>
        <v>Министерство финансов Республики Казахстан</v>
      </c>
      <c r="Y2524" s="551">
        <f>VLOOKUP(G2524,Справочник!A:B,2,0)</f>
        <v>47549</v>
      </c>
    </row>
    <row r="2525" spans="1:25">
      <c r="A2525" s="499">
        <v>45560</v>
      </c>
      <c r="B2525" s="499">
        <v>45560</v>
      </c>
      <c r="C2525" s="500" t="s">
        <v>173</v>
      </c>
      <c r="D2525" s="500" t="s">
        <v>762</v>
      </c>
      <c r="E2525" s="501">
        <v>-6174999869.4099998</v>
      </c>
      <c r="F2525" s="502" t="s">
        <v>878</v>
      </c>
      <c r="G2525" s="100" t="s">
        <v>708</v>
      </c>
      <c r="H2525" s="530"/>
      <c r="I2525" s="525"/>
      <c r="K2525" s="548"/>
      <c r="L2525" s="548"/>
      <c r="M2525" s="548"/>
      <c r="N2525" s="552"/>
      <c r="Y2525" s="551"/>
    </row>
    <row r="2526" spans="1:25">
      <c r="A2526" s="499">
        <v>45560</v>
      </c>
      <c r="B2526" s="499">
        <v>45560</v>
      </c>
      <c r="C2526" s="500" t="s">
        <v>173</v>
      </c>
      <c r="D2526" s="500" t="s">
        <v>762</v>
      </c>
      <c r="E2526" s="501">
        <v>-22001032.879999999</v>
      </c>
      <c r="F2526" s="502" t="s">
        <v>878</v>
      </c>
      <c r="G2526" s="100" t="s">
        <v>657</v>
      </c>
      <c r="H2526" s="530"/>
      <c r="I2526" s="525"/>
      <c r="K2526" s="548"/>
      <c r="L2526" s="548"/>
      <c r="M2526" s="548"/>
      <c r="N2526" s="552"/>
      <c r="Y2526" s="551"/>
    </row>
    <row r="2527" spans="1:25">
      <c r="A2527" s="499">
        <v>45560</v>
      </c>
      <c r="B2527" s="499">
        <v>45561</v>
      </c>
      <c r="C2527" s="500" t="s">
        <v>173</v>
      </c>
      <c r="D2527" s="500" t="s">
        <v>762</v>
      </c>
      <c r="E2527" s="501">
        <v>6177447970.04</v>
      </c>
      <c r="F2527" s="502" t="s">
        <v>878</v>
      </c>
      <c r="G2527" s="100" t="s">
        <v>708</v>
      </c>
      <c r="H2527" s="484">
        <v>114170119</v>
      </c>
      <c r="I2527" s="525"/>
      <c r="K2527" s="548"/>
      <c r="L2527" s="548"/>
      <c r="M2527" s="548"/>
      <c r="N2527" s="552"/>
      <c r="Y2527" s="551"/>
    </row>
    <row r="2528" spans="1:25">
      <c r="A2528" s="499">
        <v>45560</v>
      </c>
      <c r="B2528" s="499">
        <v>45561</v>
      </c>
      <c r="C2528" s="500" t="s">
        <v>173</v>
      </c>
      <c r="D2528" s="500" t="s">
        <v>762</v>
      </c>
      <c r="E2528" s="501">
        <v>22009755.27</v>
      </c>
      <c r="F2528" s="502" t="s">
        <v>878</v>
      </c>
      <c r="G2528" s="100" t="s">
        <v>657</v>
      </c>
      <c r="H2528" s="484">
        <v>114170169</v>
      </c>
      <c r="I2528" s="525"/>
      <c r="K2528" s="548"/>
      <c r="L2528" s="548"/>
      <c r="M2528" s="548"/>
      <c r="N2528" s="552"/>
      <c r="Y2528" s="551"/>
    </row>
    <row r="2529" spans="1:25">
      <c r="A2529" s="499">
        <v>45560</v>
      </c>
      <c r="B2529" s="499">
        <v>45560</v>
      </c>
      <c r="C2529" s="500" t="s">
        <v>173</v>
      </c>
      <c r="D2529" s="500" t="s">
        <v>761</v>
      </c>
      <c r="E2529" s="501">
        <v>-321015568.5</v>
      </c>
      <c r="F2529" s="502" t="s">
        <v>878</v>
      </c>
      <c r="G2529" s="100" t="s">
        <v>414</v>
      </c>
      <c r="H2529" s="530"/>
      <c r="I2529" s="525"/>
      <c r="K2529" s="548"/>
      <c r="L2529" s="548"/>
      <c r="M2529" s="548"/>
      <c r="N2529" s="552"/>
      <c r="Y2529" s="551"/>
    </row>
    <row r="2530" spans="1:25">
      <c r="A2530" s="499">
        <v>45560</v>
      </c>
      <c r="B2530" s="499">
        <v>45560</v>
      </c>
      <c r="C2530" s="500" t="s">
        <v>173</v>
      </c>
      <c r="D2530" s="500" t="s">
        <v>761</v>
      </c>
      <c r="E2530" s="501">
        <v>-1246579327.7</v>
      </c>
      <c r="F2530" s="502" t="s">
        <v>878</v>
      </c>
      <c r="G2530" s="100" t="s">
        <v>634</v>
      </c>
      <c r="H2530" s="530"/>
      <c r="I2530" s="525"/>
      <c r="K2530" s="548"/>
      <c r="L2530" s="548"/>
      <c r="M2530" s="548"/>
      <c r="N2530" s="552"/>
      <c r="Y2530" s="551"/>
    </row>
    <row r="2531" spans="1:25">
      <c r="A2531" s="499">
        <v>45560</v>
      </c>
      <c r="B2531" s="499">
        <v>45560</v>
      </c>
      <c r="C2531" s="500" t="s">
        <v>173</v>
      </c>
      <c r="D2531" s="500" t="s">
        <v>761</v>
      </c>
      <c r="E2531" s="501">
        <v>-6000152.8300000001</v>
      </c>
      <c r="F2531" s="502" t="s">
        <v>878</v>
      </c>
      <c r="G2531" s="100" t="s">
        <v>710</v>
      </c>
      <c r="H2531" s="530"/>
      <c r="I2531" s="525"/>
      <c r="K2531" s="548"/>
      <c r="L2531" s="548"/>
      <c r="M2531" s="548"/>
      <c r="N2531" s="552"/>
      <c r="Y2531" s="551"/>
    </row>
    <row r="2532" spans="1:25">
      <c r="A2532" s="499">
        <v>45560</v>
      </c>
      <c r="B2532" s="499">
        <v>45561</v>
      </c>
      <c r="C2532" s="500" t="s">
        <v>173</v>
      </c>
      <c r="D2532" s="500" t="s">
        <v>761</v>
      </c>
      <c r="E2532" s="501">
        <v>321143623.88999999</v>
      </c>
      <c r="F2532" s="502" t="s">
        <v>878</v>
      </c>
      <c r="G2532" s="100" t="s">
        <v>414</v>
      </c>
      <c r="H2532" s="484">
        <v>936.375</v>
      </c>
      <c r="I2532" s="525"/>
      <c r="K2532" s="548"/>
      <c r="L2532" s="548"/>
      <c r="M2532" s="548"/>
      <c r="N2532" s="552"/>
      <c r="Y2532" s="551"/>
    </row>
    <row r="2533" spans="1:25">
      <c r="A2533" s="499">
        <v>45560</v>
      </c>
      <c r="B2533" s="499">
        <v>45561</v>
      </c>
      <c r="C2533" s="500" t="s">
        <v>173</v>
      </c>
      <c r="D2533" s="500" t="s">
        <v>761</v>
      </c>
      <c r="E2533" s="501">
        <v>1247076597.05</v>
      </c>
      <c r="F2533" s="502" t="s">
        <v>878</v>
      </c>
      <c r="G2533" s="100" t="s">
        <v>634</v>
      </c>
      <c r="H2533" s="484">
        <v>483.55</v>
      </c>
      <c r="I2533" s="525"/>
      <c r="K2533" s="548"/>
      <c r="L2533" s="548"/>
      <c r="M2533" s="548"/>
      <c r="N2533" s="552"/>
      <c r="Y2533" s="551"/>
    </row>
    <row r="2534" spans="1:25">
      <c r="A2534" s="499">
        <v>45560</v>
      </c>
      <c r="B2534" s="499">
        <v>45561</v>
      </c>
      <c r="C2534" s="500" t="s">
        <v>173</v>
      </c>
      <c r="D2534" s="500" t="s">
        <v>761</v>
      </c>
      <c r="E2534" s="501">
        <v>6002562.7300000004</v>
      </c>
      <c r="F2534" s="502" t="s">
        <v>878</v>
      </c>
      <c r="G2534" s="100" t="s">
        <v>710</v>
      </c>
      <c r="H2534" s="484">
        <v>912.43199969586396</v>
      </c>
      <c r="I2534" s="525"/>
      <c r="K2534" s="548"/>
      <c r="L2534" s="548"/>
      <c r="M2534" s="548"/>
      <c r="N2534" s="552"/>
      <c r="Y2534" s="551"/>
    </row>
    <row r="2535" spans="1:25">
      <c r="A2535" s="499">
        <v>45560</v>
      </c>
      <c r="B2535" s="499">
        <v>45560</v>
      </c>
      <c r="C2535" s="500" t="s">
        <v>173</v>
      </c>
      <c r="D2535" s="500" t="s">
        <v>759</v>
      </c>
      <c r="E2535" s="501">
        <v>-1544010338.01</v>
      </c>
      <c r="F2535" s="502" t="s">
        <v>878</v>
      </c>
      <c r="G2535" s="100" t="s">
        <v>645</v>
      </c>
      <c r="H2535" s="484"/>
      <c r="I2535" s="525"/>
      <c r="K2535" s="548"/>
      <c r="L2535" s="548"/>
      <c r="M2535" s="548"/>
      <c r="N2535" s="552"/>
      <c r="Y2535" s="551"/>
    </row>
    <row r="2536" spans="1:25">
      <c r="A2536" s="499">
        <v>45560</v>
      </c>
      <c r="B2536" s="499">
        <v>45560</v>
      </c>
      <c r="C2536" s="500" t="s">
        <v>173</v>
      </c>
      <c r="D2536" s="500" t="s">
        <v>759</v>
      </c>
      <c r="E2536" s="501">
        <v>-452131707.82999998</v>
      </c>
      <c r="F2536" s="502" t="s">
        <v>878</v>
      </c>
      <c r="G2536" s="100" t="s">
        <v>139</v>
      </c>
      <c r="H2536" s="484"/>
      <c r="I2536" s="525"/>
      <c r="K2536" s="548"/>
      <c r="L2536" s="548"/>
      <c r="M2536" s="548"/>
      <c r="N2536" s="552"/>
      <c r="Y2536" s="551"/>
    </row>
    <row r="2537" spans="1:25">
      <c r="A2537" s="499">
        <v>45560</v>
      </c>
      <c r="B2537" s="499">
        <v>45560</v>
      </c>
      <c r="C2537" s="500" t="s">
        <v>173</v>
      </c>
      <c r="D2537" s="500" t="s">
        <v>759</v>
      </c>
      <c r="E2537" s="501">
        <v>-8004741.6299999999</v>
      </c>
      <c r="F2537" s="502" t="s">
        <v>878</v>
      </c>
      <c r="G2537" s="100" t="s">
        <v>476</v>
      </c>
      <c r="H2537" s="484"/>
      <c r="I2537" s="525"/>
      <c r="K2537" s="548"/>
      <c r="L2537" s="548"/>
      <c r="M2537" s="548"/>
      <c r="N2537" s="552"/>
      <c r="Y2537" s="551"/>
    </row>
    <row r="2538" spans="1:25">
      <c r="A2538" s="499">
        <v>45560</v>
      </c>
      <c r="B2538" s="499">
        <v>45561</v>
      </c>
      <c r="C2538" s="500" t="s">
        <v>173</v>
      </c>
      <c r="D2538" s="500" t="s">
        <v>759</v>
      </c>
      <c r="E2538" s="501">
        <v>1544622036.0899999</v>
      </c>
      <c r="F2538" s="502" t="s">
        <v>878</v>
      </c>
      <c r="G2538" s="100" t="s">
        <v>645</v>
      </c>
      <c r="H2538" s="570">
        <v>98.746700000000004</v>
      </c>
      <c r="I2538" s="525"/>
      <c r="K2538" s="548"/>
      <c r="L2538" s="548"/>
      <c r="M2538" s="548"/>
      <c r="N2538" s="552"/>
      <c r="Y2538" s="551"/>
    </row>
    <row r="2539" spans="1:25">
      <c r="A2539" s="499">
        <v>45560</v>
      </c>
      <c r="B2539" s="499">
        <v>45561</v>
      </c>
      <c r="C2539" s="500" t="s">
        <v>173</v>
      </c>
      <c r="D2539" s="500" t="s">
        <v>759</v>
      </c>
      <c r="E2539" s="501">
        <v>452310831.05000001</v>
      </c>
      <c r="F2539" s="502" t="s">
        <v>878</v>
      </c>
      <c r="G2539" s="100" t="s">
        <v>139</v>
      </c>
      <c r="H2539" s="570">
        <v>486.95260000000002</v>
      </c>
      <c r="I2539" s="525"/>
      <c r="K2539" s="548"/>
      <c r="L2539" s="548"/>
      <c r="M2539" s="548"/>
      <c r="N2539" s="552"/>
      <c r="Y2539" s="551"/>
    </row>
    <row r="2540" spans="1:25">
      <c r="A2540" s="499">
        <v>45560</v>
      </c>
      <c r="B2540" s="499">
        <v>45561</v>
      </c>
      <c r="C2540" s="500" t="s">
        <v>173</v>
      </c>
      <c r="D2540" s="500" t="s">
        <v>759</v>
      </c>
      <c r="E2540" s="501">
        <v>8007891.04</v>
      </c>
      <c r="F2540" s="502" t="s">
        <v>878</v>
      </c>
      <c r="G2540" s="100" t="s">
        <v>476</v>
      </c>
      <c r="H2540" s="570">
        <v>1009.0589</v>
      </c>
      <c r="I2540" s="525"/>
      <c r="K2540" s="548"/>
      <c r="L2540" s="548"/>
      <c r="M2540" s="548"/>
      <c r="N2540" s="552"/>
      <c r="Y2540" s="551"/>
    </row>
    <row r="2541" spans="1:25">
      <c r="A2541" s="499">
        <v>45560</v>
      </c>
      <c r="B2541" s="499">
        <v>45560</v>
      </c>
      <c r="C2541" s="500" t="s">
        <v>173</v>
      </c>
      <c r="D2541" s="500" t="s">
        <v>760</v>
      </c>
      <c r="E2541" s="501">
        <v>-1166527469.25</v>
      </c>
      <c r="F2541" s="502" t="s">
        <v>878</v>
      </c>
      <c r="G2541" s="100" t="s">
        <v>390</v>
      </c>
      <c r="H2541" s="530"/>
      <c r="I2541" s="525"/>
      <c r="K2541" s="548"/>
      <c r="L2541" s="548"/>
      <c r="M2541" s="548"/>
      <c r="N2541" s="552"/>
      <c r="Y2541" s="551"/>
    </row>
    <row r="2542" spans="1:25">
      <c r="A2542" s="499">
        <v>45560</v>
      </c>
      <c r="B2542" s="499">
        <v>45560</v>
      </c>
      <c r="C2542" s="500" t="s">
        <v>173</v>
      </c>
      <c r="D2542" s="500" t="s">
        <v>760</v>
      </c>
      <c r="E2542" s="501">
        <v>-64025952.939999998</v>
      </c>
      <c r="F2542" s="502" t="s">
        <v>878</v>
      </c>
      <c r="G2542" s="100" t="s">
        <v>551</v>
      </c>
      <c r="H2542" s="530"/>
      <c r="I2542" s="525"/>
      <c r="K2542" s="548"/>
      <c r="L2542" s="548"/>
      <c r="M2542" s="548"/>
      <c r="N2542" s="552"/>
      <c r="Y2542" s="551"/>
    </row>
    <row r="2543" spans="1:25">
      <c r="A2543" s="499">
        <v>45560</v>
      </c>
      <c r="B2543" s="499">
        <v>45560</v>
      </c>
      <c r="C2543" s="500" t="s">
        <v>173</v>
      </c>
      <c r="D2543" s="500" t="s">
        <v>760</v>
      </c>
      <c r="E2543" s="501">
        <v>-37019310.329999998</v>
      </c>
      <c r="F2543" s="502" t="s">
        <v>878</v>
      </c>
      <c r="G2543" s="100" t="s">
        <v>834</v>
      </c>
      <c r="H2543" s="530"/>
      <c r="I2543" s="525"/>
      <c r="K2543" s="548"/>
      <c r="L2543" s="548"/>
      <c r="M2543" s="548"/>
      <c r="N2543" s="552"/>
      <c r="Y2543" s="551"/>
    </row>
    <row r="2544" spans="1:25">
      <c r="A2544" s="499">
        <v>45560</v>
      </c>
      <c r="B2544" s="499">
        <v>45561</v>
      </c>
      <c r="C2544" s="500" t="s">
        <v>173</v>
      </c>
      <c r="D2544" s="500" t="s">
        <v>760</v>
      </c>
      <c r="E2544" s="501">
        <v>1166992802.1600001</v>
      </c>
      <c r="F2544" s="502" t="s">
        <v>878</v>
      </c>
      <c r="G2544" s="100" t="s">
        <v>390</v>
      </c>
      <c r="H2544" s="484" t="s">
        <v>938</v>
      </c>
      <c r="I2544" s="525"/>
      <c r="K2544" s="548"/>
      <c r="L2544" s="548"/>
      <c r="M2544" s="548"/>
      <c r="N2544" s="552"/>
      <c r="Y2544" s="551"/>
    </row>
    <row r="2545" spans="1:25">
      <c r="A2545" s="499">
        <v>45560</v>
      </c>
      <c r="B2545" s="499">
        <v>45561</v>
      </c>
      <c r="C2545" s="500" t="s">
        <v>173</v>
      </c>
      <c r="D2545" s="500" t="s">
        <v>760</v>
      </c>
      <c r="E2545" s="501">
        <v>64051493.170000002</v>
      </c>
      <c r="F2545" s="502" t="s">
        <v>878</v>
      </c>
      <c r="G2545" s="100" t="s">
        <v>551</v>
      </c>
      <c r="H2545" s="484" t="s">
        <v>939</v>
      </c>
      <c r="I2545" s="525"/>
      <c r="K2545" s="548"/>
      <c r="L2545" s="548"/>
      <c r="M2545" s="548"/>
      <c r="N2545" s="552"/>
      <c r="Y2545" s="551"/>
    </row>
    <row r="2546" spans="1:25">
      <c r="A2546" s="499">
        <v>45560</v>
      </c>
      <c r="B2546" s="499">
        <v>45561</v>
      </c>
      <c r="C2546" s="500" t="s">
        <v>173</v>
      </c>
      <c r="D2546" s="500" t="s">
        <v>760</v>
      </c>
      <c r="E2546" s="501">
        <v>37034077.600000001</v>
      </c>
      <c r="F2546" s="502" t="s">
        <v>878</v>
      </c>
      <c r="G2546" s="100" t="s">
        <v>834</v>
      </c>
      <c r="H2546" s="484" t="s">
        <v>940</v>
      </c>
      <c r="I2546" s="525"/>
      <c r="K2546" s="548"/>
      <c r="L2546" s="548"/>
      <c r="M2546" s="548"/>
      <c r="N2546" s="552"/>
      <c r="Y2546" s="551"/>
    </row>
    <row r="2547" spans="1:25">
      <c r="A2547" s="499">
        <v>45560</v>
      </c>
      <c r="B2547" s="499">
        <v>45560</v>
      </c>
      <c r="C2547" s="500" t="s">
        <v>173</v>
      </c>
      <c r="D2547" s="500" t="s">
        <v>764</v>
      </c>
      <c r="E2547" s="501">
        <v>-2289666989.4200001</v>
      </c>
      <c r="F2547" s="502" t="s">
        <v>878</v>
      </c>
      <c r="G2547" s="100" t="s">
        <v>630</v>
      </c>
      <c r="H2547" s="530"/>
      <c r="I2547" s="525"/>
      <c r="K2547" s="548"/>
      <c r="L2547" s="548"/>
      <c r="M2547" s="548"/>
      <c r="N2547" s="552"/>
      <c r="Y2547" s="551"/>
    </row>
    <row r="2548" spans="1:25">
      <c r="A2548" s="499">
        <v>45560</v>
      </c>
      <c r="B2548" s="499">
        <v>45560</v>
      </c>
      <c r="C2548" s="500" t="s">
        <v>173</v>
      </c>
      <c r="D2548" s="500" t="s">
        <v>764</v>
      </c>
      <c r="E2548" s="501">
        <v>-1633759263.3499999</v>
      </c>
      <c r="F2548" s="502" t="s">
        <v>878</v>
      </c>
      <c r="G2548" s="100" t="s">
        <v>633</v>
      </c>
      <c r="H2548" s="530"/>
      <c r="I2548" s="525"/>
      <c r="K2548" s="548"/>
      <c r="L2548" s="548"/>
      <c r="M2548" s="548"/>
      <c r="N2548" s="552"/>
      <c r="Y2548" s="551"/>
    </row>
    <row r="2549" spans="1:25">
      <c r="A2549" s="499">
        <v>45560</v>
      </c>
      <c r="B2549" s="499">
        <v>45560</v>
      </c>
      <c r="C2549" s="500" t="s">
        <v>173</v>
      </c>
      <c r="D2549" s="500" t="s">
        <v>764</v>
      </c>
      <c r="E2549" s="501">
        <v>-16000396.42</v>
      </c>
      <c r="F2549" s="502" t="s">
        <v>878</v>
      </c>
      <c r="G2549" s="100" t="s">
        <v>654</v>
      </c>
      <c r="H2549" s="530"/>
      <c r="I2549" s="525"/>
      <c r="K2549" s="548"/>
      <c r="L2549" s="548"/>
      <c r="M2549" s="548"/>
      <c r="N2549" s="552"/>
      <c r="Y2549" s="551"/>
    </row>
    <row r="2550" spans="1:25">
      <c r="A2550" s="499">
        <v>45560</v>
      </c>
      <c r="B2550" s="499">
        <v>45561</v>
      </c>
      <c r="C2550" s="500" t="s">
        <v>173</v>
      </c>
      <c r="D2550" s="500" t="s">
        <v>764</v>
      </c>
      <c r="E2550" s="501">
        <v>2290583481.8099999</v>
      </c>
      <c r="F2550" s="502" t="s">
        <v>878</v>
      </c>
      <c r="G2550" s="100" t="s">
        <v>630</v>
      </c>
      <c r="H2550" s="534">
        <v>486.95463691472702</v>
      </c>
      <c r="I2550" s="525"/>
      <c r="K2550" s="548"/>
      <c r="L2550" s="548"/>
      <c r="M2550" s="548"/>
      <c r="N2550" s="552"/>
      <c r="Y2550" s="551"/>
    </row>
    <row r="2551" spans="1:25">
      <c r="A2551" s="499">
        <v>45560</v>
      </c>
      <c r="B2551" s="499">
        <v>45561</v>
      </c>
      <c r="C2551" s="500" t="s">
        <v>173</v>
      </c>
      <c r="D2551" s="500" t="s">
        <v>764</v>
      </c>
      <c r="E2551" s="501">
        <v>1634413213.4400001</v>
      </c>
      <c r="F2551" s="502" t="s">
        <v>878</v>
      </c>
      <c r="G2551" s="100" t="s">
        <v>633</v>
      </c>
      <c r="H2551" s="534">
        <v>483.74355211818101</v>
      </c>
      <c r="I2551" s="525"/>
      <c r="K2551" s="548"/>
      <c r="L2551" s="548"/>
      <c r="M2551" s="548"/>
      <c r="N2551" s="552"/>
      <c r="Y2551" s="551"/>
    </row>
    <row r="2552" spans="1:25">
      <c r="A2552" s="499">
        <v>45560</v>
      </c>
      <c r="B2552" s="499">
        <v>45561</v>
      </c>
      <c r="C2552" s="500" t="s">
        <v>173</v>
      </c>
      <c r="D2552" s="500" t="s">
        <v>764</v>
      </c>
      <c r="E2552" s="501">
        <v>16006739.789999999</v>
      </c>
      <c r="F2552" s="502" t="s">
        <v>878</v>
      </c>
      <c r="G2552" s="100" t="s">
        <v>654</v>
      </c>
      <c r="H2552" s="534">
        <v>1048.6595774371101</v>
      </c>
      <c r="I2552" s="525"/>
      <c r="K2552" s="548"/>
      <c r="L2552" s="548"/>
      <c r="M2552" s="548"/>
      <c r="N2552" s="552"/>
      <c r="Y2552" s="551"/>
    </row>
    <row r="2553" spans="1:25">
      <c r="A2553" s="499">
        <v>45560</v>
      </c>
      <c r="B2553" s="499">
        <v>45560</v>
      </c>
      <c r="C2553" s="500" t="s">
        <v>173</v>
      </c>
      <c r="D2553" s="500" t="s">
        <v>763</v>
      </c>
      <c r="E2553" s="501">
        <v>-1000291.39</v>
      </c>
      <c r="F2553" s="502" t="s">
        <v>878</v>
      </c>
      <c r="G2553" s="100" t="s">
        <v>139</v>
      </c>
      <c r="H2553" s="530"/>
      <c r="I2553" s="525"/>
      <c r="K2553" s="548"/>
      <c r="L2553" s="548"/>
      <c r="M2553" s="548"/>
      <c r="N2553" s="552"/>
      <c r="Y2553" s="551"/>
    </row>
    <row r="2554" spans="1:25">
      <c r="A2554" s="499">
        <v>45560</v>
      </c>
      <c r="B2554" s="499">
        <v>45560</v>
      </c>
      <c r="C2554" s="500" t="s">
        <v>173</v>
      </c>
      <c r="D2554" s="500" t="s">
        <v>763</v>
      </c>
      <c r="E2554" s="501">
        <v>-23006701.949999999</v>
      </c>
      <c r="F2554" s="502" t="s">
        <v>878</v>
      </c>
      <c r="G2554" s="100" t="s">
        <v>139</v>
      </c>
      <c r="H2554" s="530"/>
      <c r="I2554" s="525"/>
      <c r="K2554" s="548"/>
      <c r="L2554" s="548"/>
      <c r="M2554" s="548"/>
      <c r="N2554" s="552"/>
      <c r="Y2554" s="551"/>
    </row>
    <row r="2555" spans="1:25">
      <c r="A2555" s="499">
        <v>45560</v>
      </c>
      <c r="B2555" s="499">
        <v>45560</v>
      </c>
      <c r="C2555" s="500" t="s">
        <v>173</v>
      </c>
      <c r="D2555" s="500" t="s">
        <v>763</v>
      </c>
      <c r="E2555" s="501">
        <v>-5342035767.8999996</v>
      </c>
      <c r="F2555" s="502" t="s">
        <v>878</v>
      </c>
      <c r="G2555" s="100" t="s">
        <v>645</v>
      </c>
      <c r="H2555" s="530"/>
      <c r="I2555" s="525"/>
      <c r="K2555" s="548"/>
      <c r="L2555" s="548"/>
      <c r="M2555" s="548"/>
      <c r="N2555" s="552"/>
      <c r="Y2555" s="551"/>
    </row>
    <row r="2556" spans="1:25">
      <c r="A2556" s="499">
        <v>45560</v>
      </c>
      <c r="B2556" s="499">
        <v>45561</v>
      </c>
      <c r="C2556" s="500" t="s">
        <v>173</v>
      </c>
      <c r="D2556" s="500" t="s">
        <v>763</v>
      </c>
      <c r="E2556" s="501">
        <v>1000684.95</v>
      </c>
      <c r="F2556" s="502" t="s">
        <v>878</v>
      </c>
      <c r="G2556" s="100" t="s">
        <v>139</v>
      </c>
      <c r="H2556" s="571">
        <v>486.75980048661802</v>
      </c>
      <c r="I2556" s="525"/>
      <c r="K2556" s="548"/>
      <c r="L2556" s="548"/>
      <c r="M2556" s="548"/>
      <c r="N2556" s="552"/>
      <c r="Y2556" s="551"/>
    </row>
    <row r="2557" spans="1:25">
      <c r="A2557" s="499">
        <v>45560</v>
      </c>
      <c r="B2557" s="499">
        <v>45561</v>
      </c>
      <c r="C2557" s="500" t="s">
        <v>173</v>
      </c>
      <c r="D2557" s="500" t="s">
        <v>763</v>
      </c>
      <c r="E2557" s="501">
        <v>23015753.77</v>
      </c>
      <c r="F2557" s="502" t="s">
        <v>878</v>
      </c>
      <c r="G2557" s="100" t="s">
        <v>139</v>
      </c>
      <c r="H2557" s="571">
        <v>486.75980006347208</v>
      </c>
      <c r="I2557" s="525"/>
      <c r="K2557" s="548"/>
      <c r="L2557" s="548"/>
      <c r="M2557" s="548"/>
      <c r="N2557" s="552"/>
      <c r="Y2557" s="551"/>
    </row>
    <row r="2558" spans="1:25">
      <c r="A2558" s="499">
        <v>45560</v>
      </c>
      <c r="B2558" s="499">
        <v>45561</v>
      </c>
      <c r="C2558" s="500" t="s">
        <v>173</v>
      </c>
      <c r="D2558" s="500" t="s">
        <v>763</v>
      </c>
      <c r="E2558" s="501">
        <v>5344013561.7700005</v>
      </c>
      <c r="F2558" s="502" t="s">
        <v>878</v>
      </c>
      <c r="G2558" s="100" t="s">
        <v>645</v>
      </c>
      <c r="H2558" s="571">
        <v>98.707600000088689</v>
      </c>
      <c r="I2558" s="525"/>
      <c r="K2558" s="548"/>
      <c r="L2558" s="548"/>
      <c r="M2558" s="548"/>
      <c r="N2558" s="552"/>
      <c r="Y2558" s="551"/>
    </row>
    <row r="2559" spans="1:25">
      <c r="A2559" s="499">
        <v>45561</v>
      </c>
      <c r="B2559" s="499">
        <v>45561</v>
      </c>
      <c r="C2559" s="500" t="s">
        <v>173</v>
      </c>
      <c r="D2559" s="500" t="s">
        <v>762</v>
      </c>
      <c r="E2559" s="501">
        <v>-6175232701.1700001</v>
      </c>
      <c r="F2559" s="502" t="s">
        <v>878</v>
      </c>
      <c r="G2559" s="100" t="s">
        <v>644</v>
      </c>
      <c r="H2559" s="571"/>
      <c r="I2559" s="525"/>
      <c r="K2559" s="548"/>
      <c r="L2559" s="548"/>
      <c r="M2559" s="548"/>
      <c r="N2559" s="552"/>
      <c r="Y2559" s="551"/>
    </row>
    <row r="2560" spans="1:25">
      <c r="A2560" s="499">
        <v>45561</v>
      </c>
      <c r="B2560" s="499">
        <v>45561</v>
      </c>
      <c r="C2560" s="500" t="s">
        <v>173</v>
      </c>
      <c r="D2560" s="500" t="s">
        <v>762</v>
      </c>
      <c r="E2560" s="501">
        <v>-26000979.789999999</v>
      </c>
      <c r="F2560" s="502" t="s">
        <v>878</v>
      </c>
      <c r="G2560" s="100" t="s">
        <v>644</v>
      </c>
      <c r="H2560" s="530"/>
      <c r="I2560" s="525"/>
      <c r="K2560" s="548"/>
      <c r="L2560" s="548"/>
      <c r="M2560" s="548"/>
      <c r="N2560" s="552"/>
      <c r="Y2560" s="551"/>
    </row>
    <row r="2561" spans="1:25">
      <c r="A2561" s="499">
        <v>45561</v>
      </c>
      <c r="B2561" s="499">
        <v>45562</v>
      </c>
      <c r="C2561" s="500" t="s">
        <v>173</v>
      </c>
      <c r="D2561" s="500" t="s">
        <v>762</v>
      </c>
      <c r="E2561" s="501">
        <v>6177595098.8699999</v>
      </c>
      <c r="F2561" s="502" t="s">
        <v>878</v>
      </c>
      <c r="G2561" s="100" t="s">
        <v>644</v>
      </c>
      <c r="H2561" s="484">
        <v>114185577</v>
      </c>
      <c r="I2561" s="525"/>
      <c r="K2561" s="548"/>
      <c r="L2561" s="548"/>
      <c r="M2561" s="548"/>
      <c r="N2561" s="552"/>
      <c r="Y2561" s="551"/>
    </row>
    <row r="2562" spans="1:25">
      <c r="A2562" s="499">
        <v>45561</v>
      </c>
      <c r="B2562" s="499">
        <v>45562</v>
      </c>
      <c r="C2562" s="500" t="s">
        <v>173</v>
      </c>
      <c r="D2562" s="500" t="s">
        <v>762</v>
      </c>
      <c r="E2562" s="501">
        <v>26010926.73</v>
      </c>
      <c r="F2562" s="502" t="s">
        <v>878</v>
      </c>
      <c r="G2562" s="100" t="s">
        <v>644</v>
      </c>
      <c r="H2562" s="484">
        <v>114185599</v>
      </c>
      <c r="I2562" s="525"/>
      <c r="K2562" s="548"/>
      <c r="L2562" s="548"/>
      <c r="M2562" s="548"/>
      <c r="N2562" s="552"/>
      <c r="Y2562" s="551"/>
    </row>
    <row r="2563" spans="1:25">
      <c r="A2563" s="499">
        <v>45561</v>
      </c>
      <c r="B2563" s="499">
        <v>45561</v>
      </c>
      <c r="C2563" s="500" t="s">
        <v>173</v>
      </c>
      <c r="D2563" s="500" t="s">
        <v>761</v>
      </c>
      <c r="E2563" s="501">
        <v>-1147321896.3699999</v>
      </c>
      <c r="F2563" s="502" t="s">
        <v>878</v>
      </c>
      <c r="G2563" s="100" t="s">
        <v>94</v>
      </c>
      <c r="H2563" s="530"/>
      <c r="I2563" s="525"/>
      <c r="K2563" s="548"/>
      <c r="L2563" s="548"/>
      <c r="M2563" s="548"/>
      <c r="N2563" s="552"/>
      <c r="Y2563" s="551"/>
    </row>
    <row r="2564" spans="1:25">
      <c r="A2564" s="499">
        <v>45561</v>
      </c>
      <c r="B2564" s="499">
        <v>45561</v>
      </c>
      <c r="C2564" s="500" t="s">
        <v>173</v>
      </c>
      <c r="D2564" s="500" t="s">
        <v>761</v>
      </c>
      <c r="E2564" s="501">
        <v>-5001403.21</v>
      </c>
      <c r="F2564" s="502" t="s">
        <v>878</v>
      </c>
      <c r="G2564" s="100" t="s">
        <v>94</v>
      </c>
      <c r="H2564" s="530"/>
      <c r="I2564" s="525"/>
      <c r="K2564" s="548"/>
      <c r="L2564" s="548"/>
      <c r="M2564" s="548"/>
      <c r="N2564" s="552"/>
      <c r="Y2564" s="551"/>
    </row>
    <row r="2565" spans="1:25">
      <c r="A2565" s="499">
        <v>45561</v>
      </c>
      <c r="B2565" s="499">
        <v>45562</v>
      </c>
      <c r="C2565" s="500" t="s">
        <v>173</v>
      </c>
      <c r="D2565" s="500" t="s">
        <v>761</v>
      </c>
      <c r="E2565" s="501">
        <v>1147757627.9100001</v>
      </c>
      <c r="F2565" s="502" t="s">
        <v>878</v>
      </c>
      <c r="G2565" s="100" t="s">
        <v>94</v>
      </c>
      <c r="H2565" s="573">
        <v>813.89799999716297</v>
      </c>
      <c r="I2565" s="525"/>
      <c r="K2565" s="548"/>
      <c r="L2565" s="548"/>
      <c r="M2565" s="548"/>
      <c r="N2565" s="552"/>
      <c r="Y2565" s="551"/>
    </row>
    <row r="2566" spans="1:25">
      <c r="A2566" s="499">
        <v>45561</v>
      </c>
      <c r="B2566" s="499">
        <v>45562</v>
      </c>
      <c r="C2566" s="500" t="s">
        <v>173</v>
      </c>
      <c r="D2566" s="500" t="s">
        <v>761</v>
      </c>
      <c r="E2566" s="501">
        <v>5003302.6500000004</v>
      </c>
      <c r="F2566" s="502" t="s">
        <v>878</v>
      </c>
      <c r="G2566" s="100" t="s">
        <v>94</v>
      </c>
      <c r="H2566" s="573">
        <v>813.89800000000002</v>
      </c>
      <c r="I2566" s="525"/>
      <c r="K2566" s="548"/>
      <c r="L2566" s="548"/>
      <c r="M2566" s="548"/>
      <c r="N2566" s="552"/>
      <c r="Y2566" s="551"/>
    </row>
    <row r="2567" spans="1:25">
      <c r="A2567" s="499">
        <v>45561</v>
      </c>
      <c r="B2567" s="499">
        <v>45561</v>
      </c>
      <c r="C2567" s="500" t="s">
        <v>173</v>
      </c>
      <c r="D2567" s="500" t="s">
        <v>759</v>
      </c>
      <c r="E2567" s="501">
        <v>-2000829024</v>
      </c>
      <c r="F2567" s="502" t="s">
        <v>878</v>
      </c>
      <c r="G2567" s="100" t="s">
        <v>697</v>
      </c>
      <c r="H2567" s="484"/>
      <c r="I2567" s="525"/>
      <c r="K2567" s="548"/>
      <c r="L2567" s="548"/>
      <c r="M2567" s="548"/>
      <c r="N2567" s="552"/>
      <c r="Y2567" s="551"/>
    </row>
    <row r="2568" spans="1:25">
      <c r="A2568" s="499">
        <v>45561</v>
      </c>
      <c r="B2568" s="499">
        <v>45561</v>
      </c>
      <c r="C2568" s="500" t="s">
        <v>173</v>
      </c>
      <c r="D2568" s="500" t="s">
        <v>759</v>
      </c>
      <c r="E2568" s="501">
        <v>-3737788406.8499999</v>
      </c>
      <c r="F2568" s="502" t="s">
        <v>878</v>
      </c>
      <c r="G2568" s="100" t="s">
        <v>634</v>
      </c>
      <c r="H2568" s="484"/>
      <c r="I2568" s="525"/>
      <c r="K2568" s="548"/>
      <c r="L2568" s="548"/>
      <c r="M2568" s="548"/>
      <c r="N2568" s="552"/>
      <c r="Y2568" s="551"/>
    </row>
    <row r="2569" spans="1:25">
      <c r="A2569" s="499">
        <v>45561</v>
      </c>
      <c r="B2569" s="499">
        <v>45561</v>
      </c>
      <c r="C2569" s="500" t="s">
        <v>173</v>
      </c>
      <c r="D2569" s="500" t="s">
        <v>759</v>
      </c>
      <c r="E2569" s="501">
        <v>-15000565.27</v>
      </c>
      <c r="F2569" s="502" t="s">
        <v>878</v>
      </c>
      <c r="G2569" s="100" t="s">
        <v>645</v>
      </c>
      <c r="H2569" s="484"/>
      <c r="I2569" s="525"/>
      <c r="K2569" s="548"/>
      <c r="L2569" s="548"/>
      <c r="M2569" s="548"/>
      <c r="N2569" s="552"/>
      <c r="Y2569" s="551"/>
    </row>
    <row r="2570" spans="1:25">
      <c r="A2570" s="499">
        <v>45561</v>
      </c>
      <c r="B2570" s="499">
        <v>45562</v>
      </c>
      <c r="C2570" s="500" t="s">
        <v>173</v>
      </c>
      <c r="D2570" s="500" t="s">
        <v>759</v>
      </c>
      <c r="E2570" s="501">
        <v>2001605296.46</v>
      </c>
      <c r="F2570" s="502" t="s">
        <v>878</v>
      </c>
      <c r="G2570" s="100" t="s">
        <v>697</v>
      </c>
      <c r="H2570" s="570">
        <v>921.54939999999999</v>
      </c>
      <c r="I2570" s="525"/>
      <c r="K2570" s="548"/>
      <c r="L2570" s="548"/>
      <c r="M2570" s="548"/>
      <c r="N2570" s="552"/>
      <c r="Y2570" s="551"/>
    </row>
    <row r="2571" spans="1:25">
      <c r="A2571" s="499">
        <v>45561</v>
      </c>
      <c r="B2571" s="499">
        <v>45562</v>
      </c>
      <c r="C2571" s="500" t="s">
        <v>173</v>
      </c>
      <c r="D2571" s="500" t="s">
        <v>759</v>
      </c>
      <c r="E2571" s="501">
        <v>3739238597.2600002</v>
      </c>
      <c r="F2571" s="502" t="s">
        <v>878</v>
      </c>
      <c r="G2571" s="100" t="s">
        <v>634</v>
      </c>
      <c r="H2571" s="570">
        <v>482.44889999999998</v>
      </c>
      <c r="I2571" s="525"/>
      <c r="K2571" s="548"/>
      <c r="L2571" s="548"/>
      <c r="M2571" s="548"/>
      <c r="N2571" s="552"/>
      <c r="Y2571" s="551"/>
    </row>
    <row r="2572" spans="1:25">
      <c r="A2572" s="499">
        <v>45561</v>
      </c>
      <c r="B2572" s="499">
        <v>45562</v>
      </c>
      <c r="C2572" s="500" t="s">
        <v>173</v>
      </c>
      <c r="D2572" s="500" t="s">
        <v>759</v>
      </c>
      <c r="E2572" s="501">
        <v>15006303.27</v>
      </c>
      <c r="F2572" s="502" t="s">
        <v>878</v>
      </c>
      <c r="G2572" s="100" t="s">
        <v>645</v>
      </c>
      <c r="H2572" s="570">
        <v>98.797200000000004</v>
      </c>
      <c r="I2572" s="525"/>
      <c r="K2572" s="548"/>
      <c r="L2572" s="548"/>
      <c r="M2572" s="548"/>
      <c r="N2572" s="552"/>
      <c r="Y2572" s="551"/>
    </row>
    <row r="2573" spans="1:25">
      <c r="A2573" s="499">
        <v>45561</v>
      </c>
      <c r="B2573" s="499">
        <v>45561</v>
      </c>
      <c r="C2573" s="500" t="s">
        <v>173</v>
      </c>
      <c r="D2573" s="500" t="s">
        <v>764</v>
      </c>
      <c r="E2573" s="501">
        <v>-3426124596.77</v>
      </c>
      <c r="F2573" s="502" t="s">
        <v>878</v>
      </c>
      <c r="G2573" s="100" t="s">
        <v>675</v>
      </c>
      <c r="H2573" s="530"/>
      <c r="I2573" s="525"/>
      <c r="K2573" s="548"/>
      <c r="L2573" s="548"/>
      <c r="M2573" s="548"/>
      <c r="N2573" s="552"/>
      <c r="Y2573" s="551"/>
    </row>
    <row r="2574" spans="1:25">
      <c r="A2574" s="499">
        <v>45561</v>
      </c>
      <c r="B2574" s="499">
        <v>45561</v>
      </c>
      <c r="C2574" s="500" t="s">
        <v>173</v>
      </c>
      <c r="D2574" s="500" t="s">
        <v>764</v>
      </c>
      <c r="E2574" s="501">
        <v>-14005397.66</v>
      </c>
      <c r="F2574" s="502" t="s">
        <v>878</v>
      </c>
      <c r="G2574" s="100" t="s">
        <v>709</v>
      </c>
      <c r="H2574" s="530"/>
      <c r="I2574" s="525"/>
      <c r="K2574" s="548"/>
      <c r="L2574" s="548"/>
      <c r="M2574" s="548"/>
      <c r="N2574" s="552"/>
      <c r="Y2574" s="551"/>
    </row>
    <row r="2575" spans="1:25">
      <c r="A2575" s="499">
        <v>45561</v>
      </c>
      <c r="B2575" s="499">
        <v>45562</v>
      </c>
      <c r="C2575" s="500" t="s">
        <v>173</v>
      </c>
      <c r="D2575" s="500" t="s">
        <v>764</v>
      </c>
      <c r="E2575" s="501">
        <v>3427453858.23</v>
      </c>
      <c r="F2575" s="502" t="s">
        <v>878</v>
      </c>
      <c r="G2575" s="100" t="s">
        <v>675</v>
      </c>
      <c r="H2575" s="534">
        <v>1029.24316898554</v>
      </c>
      <c r="I2575" s="525"/>
      <c r="K2575" s="548"/>
      <c r="L2575" s="548"/>
      <c r="M2575" s="548"/>
      <c r="N2575" s="552"/>
      <c r="Y2575" s="551"/>
    </row>
    <row r="2576" spans="1:25">
      <c r="A2576" s="499">
        <v>45561</v>
      </c>
      <c r="B2576" s="499">
        <v>45562</v>
      </c>
      <c r="C2576" s="500" t="s">
        <v>173</v>
      </c>
      <c r="D2576" s="500" t="s">
        <v>764</v>
      </c>
      <c r="E2576" s="501">
        <v>14010831.449999999</v>
      </c>
      <c r="F2576" s="502" t="s">
        <v>878</v>
      </c>
      <c r="G2576" s="100" t="s">
        <v>709</v>
      </c>
      <c r="H2576" s="534">
        <v>899.16772237196801</v>
      </c>
      <c r="I2576" s="525"/>
      <c r="K2576" s="548"/>
      <c r="L2576" s="548"/>
      <c r="M2576" s="548"/>
      <c r="N2576" s="552"/>
      <c r="Y2576" s="551"/>
    </row>
    <row r="2577" spans="1:25">
      <c r="A2577" s="499">
        <v>45561</v>
      </c>
      <c r="B2577" s="499">
        <v>45561</v>
      </c>
      <c r="C2577" s="500" t="s">
        <v>173</v>
      </c>
      <c r="D2577" s="500" t="s">
        <v>763</v>
      </c>
      <c r="E2577" s="501">
        <v>-23000866.739999998</v>
      </c>
      <c r="F2577" s="502" t="s">
        <v>878</v>
      </c>
      <c r="G2577" s="100" t="s">
        <v>645</v>
      </c>
      <c r="H2577" s="530"/>
      <c r="I2577" s="525"/>
      <c r="K2577" s="548"/>
      <c r="L2577" s="548"/>
      <c r="M2577" s="548"/>
      <c r="N2577" s="552"/>
      <c r="Y2577" s="551"/>
    </row>
    <row r="2578" spans="1:25">
      <c r="A2578" s="499">
        <v>45561</v>
      </c>
      <c r="B2578" s="499">
        <v>45561</v>
      </c>
      <c r="C2578" s="500" t="s">
        <v>173</v>
      </c>
      <c r="D2578" s="500" t="s">
        <v>763</v>
      </c>
      <c r="E2578" s="501">
        <v>-5344201385.4300003</v>
      </c>
      <c r="F2578" s="502" t="s">
        <v>878</v>
      </c>
      <c r="G2578" s="100" t="s">
        <v>645</v>
      </c>
      <c r="H2578" s="530"/>
      <c r="I2578" s="525"/>
      <c r="K2578" s="548"/>
      <c r="L2578" s="548"/>
      <c r="M2578" s="548"/>
      <c r="N2578" s="552"/>
      <c r="Y2578" s="551"/>
    </row>
    <row r="2579" spans="1:25">
      <c r="A2579" s="499">
        <v>45561</v>
      </c>
      <c r="B2579" s="499">
        <v>45562</v>
      </c>
      <c r="C2579" s="500" t="s">
        <v>173</v>
      </c>
      <c r="D2579" s="500" t="s">
        <v>763</v>
      </c>
      <c r="E2579" s="501">
        <v>23009570.620000001</v>
      </c>
      <c r="F2579" s="502" t="s">
        <v>878</v>
      </c>
      <c r="G2579" s="100" t="s">
        <v>645</v>
      </c>
      <c r="H2579" s="571">
        <v>98.796772063306676</v>
      </c>
      <c r="I2579" s="525"/>
      <c r="K2579" s="548"/>
      <c r="L2579" s="548"/>
      <c r="M2579" s="548"/>
      <c r="N2579" s="552"/>
      <c r="Y2579" s="551"/>
    </row>
    <row r="2580" spans="1:25">
      <c r="A2580" s="499">
        <v>45561</v>
      </c>
      <c r="B2580" s="499">
        <v>45562</v>
      </c>
      <c r="C2580" s="500" t="s">
        <v>173</v>
      </c>
      <c r="D2580" s="500" t="s">
        <v>763</v>
      </c>
      <c r="E2580" s="501">
        <v>5346216485.1899996</v>
      </c>
      <c r="F2580" s="502" t="s">
        <v>878</v>
      </c>
      <c r="G2580" s="100" t="s">
        <v>645</v>
      </c>
      <c r="H2580" s="571">
        <v>98.796638499923418</v>
      </c>
      <c r="I2580" s="525"/>
      <c r="K2580" s="548"/>
      <c r="L2580" s="548"/>
      <c r="M2580" s="548"/>
      <c r="N2580" s="552"/>
      <c r="Y2580" s="551"/>
    </row>
    <row r="2581" spans="1:25">
      <c r="A2581" s="499">
        <v>45561</v>
      </c>
      <c r="B2581" s="499">
        <v>45561</v>
      </c>
      <c r="C2581" s="500" t="s">
        <v>173</v>
      </c>
      <c r="D2581" s="500" t="s">
        <v>760</v>
      </c>
      <c r="E2581" s="501">
        <v>-1235342125.6300001</v>
      </c>
      <c r="F2581" s="502" t="s">
        <v>878</v>
      </c>
      <c r="G2581" s="100" t="s">
        <v>139</v>
      </c>
      <c r="H2581" s="530"/>
      <c r="I2581" s="525"/>
      <c r="K2581" s="548"/>
      <c r="L2581" s="548"/>
      <c r="M2581" s="548"/>
      <c r="N2581" s="552"/>
      <c r="Y2581" s="551"/>
    </row>
    <row r="2582" spans="1:25">
      <c r="A2582" s="499">
        <v>45561</v>
      </c>
      <c r="B2582" s="499">
        <v>45561</v>
      </c>
      <c r="C2582" s="500" t="s">
        <v>173</v>
      </c>
      <c r="D2582" s="500" t="s">
        <v>760</v>
      </c>
      <c r="E2582" s="501">
        <v>-32001163.780000001</v>
      </c>
      <c r="F2582" s="502" t="s">
        <v>878</v>
      </c>
      <c r="G2582" s="100" t="s">
        <v>390</v>
      </c>
      <c r="H2582" s="530"/>
      <c r="I2582" s="525"/>
      <c r="K2582" s="548"/>
      <c r="L2582" s="548"/>
      <c r="M2582" s="548"/>
      <c r="N2582" s="552"/>
      <c r="Y2582" s="551"/>
    </row>
    <row r="2583" spans="1:25">
      <c r="A2583" s="499">
        <v>45561</v>
      </c>
      <c r="B2583" s="499">
        <v>45562</v>
      </c>
      <c r="C2583" s="500" t="s">
        <v>173</v>
      </c>
      <c r="D2583" s="500" t="s">
        <v>760</v>
      </c>
      <c r="E2583" s="501">
        <v>1235821411.3699999</v>
      </c>
      <c r="F2583" s="502" t="s">
        <v>878</v>
      </c>
      <c r="G2583" s="100" t="s">
        <v>139</v>
      </c>
      <c r="H2583" s="484" t="s">
        <v>943</v>
      </c>
      <c r="I2583" s="525"/>
      <c r="K2583" s="548"/>
      <c r="L2583" s="548"/>
      <c r="M2583" s="548"/>
      <c r="N2583" s="552"/>
      <c r="Y2583" s="551"/>
    </row>
    <row r="2584" spans="1:25">
      <c r="A2584" s="499">
        <v>45561</v>
      </c>
      <c r="B2584" s="499">
        <v>45562</v>
      </c>
      <c r="C2584" s="500" t="s">
        <v>173</v>
      </c>
      <c r="D2584" s="500" t="s">
        <v>760</v>
      </c>
      <c r="E2584" s="501">
        <v>32013623.25</v>
      </c>
      <c r="F2584" s="502" t="s">
        <v>878</v>
      </c>
      <c r="G2584" s="100" t="s">
        <v>390</v>
      </c>
      <c r="H2584" s="484" t="s">
        <v>944</v>
      </c>
      <c r="I2584" s="525"/>
      <c r="K2584" s="548"/>
      <c r="L2584" s="548"/>
      <c r="M2584" s="548"/>
      <c r="N2584" s="552"/>
      <c r="Y2584" s="551"/>
    </row>
    <row r="2585" spans="1:25">
      <c r="A2585" s="499">
        <v>45562</v>
      </c>
      <c r="B2585" s="499">
        <v>45562</v>
      </c>
      <c r="C2585" s="500" t="s">
        <v>173</v>
      </c>
      <c r="D2585" s="500" t="s">
        <v>762</v>
      </c>
      <c r="E2585" s="501">
        <v>-27017764.16</v>
      </c>
      <c r="F2585" s="502" t="s">
        <v>878</v>
      </c>
      <c r="G2585" s="100" t="s">
        <v>696</v>
      </c>
      <c r="H2585" s="530"/>
      <c r="I2585" s="525"/>
      <c r="K2585" s="548"/>
      <c r="L2585" s="548"/>
      <c r="M2585" s="548"/>
      <c r="N2585" s="552"/>
      <c r="S2585" s="539">
        <v>-1</v>
      </c>
      <c r="Y2585" s="551"/>
    </row>
    <row r="2586" spans="1:25">
      <c r="A2586" s="499">
        <v>45562</v>
      </c>
      <c r="B2586" s="499">
        <v>45562</v>
      </c>
      <c r="C2586" s="500" t="s">
        <v>173</v>
      </c>
      <c r="D2586" s="500" t="s">
        <v>762</v>
      </c>
      <c r="E2586" s="501">
        <v>-5000877810</v>
      </c>
      <c r="F2586" s="502" t="s">
        <v>878</v>
      </c>
      <c r="G2586" s="100" t="s">
        <v>633</v>
      </c>
      <c r="H2586" s="530"/>
      <c r="I2586" s="525"/>
      <c r="K2586" s="548"/>
      <c r="L2586" s="548"/>
      <c r="M2586" s="548"/>
      <c r="N2586" s="552"/>
      <c r="Y2586" s="551"/>
    </row>
    <row r="2587" spans="1:25">
      <c r="A2587" s="499">
        <v>45562</v>
      </c>
      <c r="B2587" s="499">
        <v>45562</v>
      </c>
      <c r="C2587" s="500" t="s">
        <v>173</v>
      </c>
      <c r="D2587" s="500" t="s">
        <v>762</v>
      </c>
      <c r="E2587" s="501">
        <v>-1177206636.47</v>
      </c>
      <c r="F2587" s="502" t="s">
        <v>878</v>
      </c>
      <c r="G2587" s="100" t="s">
        <v>633</v>
      </c>
      <c r="H2587" s="530"/>
      <c r="I2587" s="525"/>
      <c r="K2587" s="548"/>
      <c r="L2587" s="548"/>
      <c r="M2587" s="548"/>
      <c r="N2587" s="552"/>
      <c r="Y2587" s="551"/>
    </row>
    <row r="2588" spans="1:25">
      <c r="A2588" s="499">
        <v>45562</v>
      </c>
      <c r="B2588" s="499">
        <v>45565</v>
      </c>
      <c r="C2588" s="500" t="s">
        <v>173</v>
      </c>
      <c r="D2588" s="500" t="s">
        <v>762</v>
      </c>
      <c r="E2588" s="501">
        <v>27047372.969999999</v>
      </c>
      <c r="F2588" s="502" t="s">
        <v>878</v>
      </c>
      <c r="G2588" s="100" t="s">
        <v>696</v>
      </c>
      <c r="H2588" s="484">
        <v>114200814</v>
      </c>
      <c r="I2588" s="525"/>
      <c r="K2588" s="548"/>
      <c r="L2588" s="548"/>
      <c r="M2588" s="548"/>
      <c r="N2588" s="552"/>
      <c r="Y2588" s="551"/>
    </row>
    <row r="2589" spans="1:25">
      <c r="A2589" s="499">
        <v>45562</v>
      </c>
      <c r="B2589" s="499">
        <v>45565</v>
      </c>
      <c r="C2589" s="500" t="s">
        <v>173</v>
      </c>
      <c r="D2589" s="500" t="s">
        <v>762</v>
      </c>
      <c r="E2589" s="501">
        <v>5006350286.9799995</v>
      </c>
      <c r="F2589" s="502" t="s">
        <v>878</v>
      </c>
      <c r="G2589" s="100" t="s">
        <v>633</v>
      </c>
      <c r="H2589" s="484">
        <v>114198300</v>
      </c>
      <c r="I2589" s="525"/>
      <c r="K2589" s="548"/>
      <c r="L2589" s="548"/>
      <c r="M2589" s="548"/>
      <c r="N2589" s="552"/>
      <c r="Y2589" s="551"/>
    </row>
    <row r="2590" spans="1:25">
      <c r="A2590" s="499">
        <v>45562</v>
      </c>
      <c r="B2590" s="499">
        <v>45565</v>
      </c>
      <c r="C2590" s="500" t="s">
        <v>173</v>
      </c>
      <c r="D2590" s="500" t="s">
        <v>762</v>
      </c>
      <c r="E2590" s="501">
        <v>1178494857.55</v>
      </c>
      <c r="F2590" s="502" t="s">
        <v>878</v>
      </c>
      <c r="G2590" s="100" t="s">
        <v>633</v>
      </c>
      <c r="H2590" s="484">
        <v>114198303</v>
      </c>
      <c r="I2590" s="525"/>
      <c r="K2590" s="548"/>
      <c r="L2590" s="548"/>
      <c r="M2590" s="548"/>
      <c r="N2590" s="552"/>
      <c r="Y2590" s="551"/>
    </row>
    <row r="2591" spans="1:25">
      <c r="A2591" s="499">
        <v>45562</v>
      </c>
      <c r="B2591" s="499">
        <v>45562</v>
      </c>
      <c r="C2591" s="500" t="s">
        <v>173</v>
      </c>
      <c r="D2591" s="500" t="s">
        <v>761</v>
      </c>
      <c r="E2591" s="501">
        <v>-4002082.34</v>
      </c>
      <c r="F2591" s="502" t="s">
        <v>878</v>
      </c>
      <c r="G2591" s="100" t="s">
        <v>745</v>
      </c>
      <c r="H2591" s="530"/>
      <c r="I2591" s="525"/>
      <c r="K2591" s="548"/>
      <c r="L2591" s="548"/>
      <c r="M2591" s="548"/>
      <c r="N2591" s="552"/>
      <c r="Y2591" s="551"/>
    </row>
    <row r="2592" spans="1:25">
      <c r="A2592" s="499">
        <v>45562</v>
      </c>
      <c r="B2592" s="499">
        <v>45562</v>
      </c>
      <c r="C2592" s="500" t="s">
        <v>173</v>
      </c>
      <c r="D2592" s="500" t="s">
        <v>761</v>
      </c>
      <c r="E2592" s="501">
        <v>-1148484294.1300001</v>
      </c>
      <c r="F2592" s="502" t="s">
        <v>878</v>
      </c>
      <c r="G2592" s="100" t="s">
        <v>551</v>
      </c>
      <c r="H2592" s="530"/>
      <c r="I2592" s="525"/>
      <c r="K2592" s="548"/>
      <c r="L2592" s="548"/>
      <c r="M2592" s="548"/>
      <c r="N2592" s="552"/>
      <c r="Y2592" s="551"/>
    </row>
    <row r="2593" spans="1:25">
      <c r="A2593" s="499">
        <v>45562</v>
      </c>
      <c r="B2593" s="499">
        <v>45565</v>
      </c>
      <c r="C2593" s="500" t="s">
        <v>173</v>
      </c>
      <c r="D2593" s="500" t="s">
        <v>761</v>
      </c>
      <c r="E2593" s="501">
        <v>4006478.07</v>
      </c>
      <c r="F2593" s="502" t="s">
        <v>878</v>
      </c>
      <c r="G2593" s="100" t="s">
        <v>745</v>
      </c>
      <c r="H2593" s="573">
        <v>1052.1213419117601</v>
      </c>
      <c r="I2593" s="525"/>
      <c r="K2593" s="548"/>
      <c r="L2593" s="548"/>
      <c r="M2593" s="548"/>
      <c r="N2593" s="552"/>
      <c r="Y2593" s="551"/>
    </row>
    <row r="2594" spans="1:25">
      <c r="A2594" s="499">
        <v>45562</v>
      </c>
      <c r="B2594" s="499">
        <v>45565</v>
      </c>
      <c r="C2594" s="500" t="s">
        <v>173</v>
      </c>
      <c r="D2594" s="500" t="s">
        <v>761</v>
      </c>
      <c r="E2594" s="501">
        <v>1149750441.5799999</v>
      </c>
      <c r="F2594" s="502" t="s">
        <v>878</v>
      </c>
      <c r="G2594" s="100" t="s">
        <v>551</v>
      </c>
      <c r="H2594" s="573">
        <v>477.37119871090101</v>
      </c>
      <c r="I2594" s="525"/>
      <c r="K2594" s="548"/>
      <c r="L2594" s="548"/>
      <c r="M2594" s="548"/>
      <c r="N2594" s="552"/>
      <c r="Y2594" s="551"/>
    </row>
    <row r="2595" spans="1:25">
      <c r="A2595" s="499">
        <v>45562</v>
      </c>
      <c r="B2595" s="499">
        <v>45566</v>
      </c>
      <c r="C2595" s="500" t="s">
        <v>173</v>
      </c>
      <c r="D2595" s="500" t="s">
        <v>761</v>
      </c>
      <c r="E2595" s="501">
        <v>437404500</v>
      </c>
      <c r="F2595" s="502" t="s">
        <v>912</v>
      </c>
      <c r="G2595" s="100" t="s">
        <v>59</v>
      </c>
      <c r="H2595" s="530"/>
      <c r="I2595" s="525"/>
      <c r="K2595" s="548"/>
      <c r="L2595" s="548"/>
      <c r="M2595" s="548"/>
      <c r="N2595" s="552">
        <v>500000</v>
      </c>
      <c r="O2595" s="539">
        <v>1000</v>
      </c>
      <c r="W2595" s="550">
        <f>VLOOKUP(G2595,Справочник!A:C,3,0)</f>
        <v>5.4900000000000004E-2</v>
      </c>
      <c r="X2595" s="539" t="str">
        <f>VLOOKUP(G2595,Справочник!A:G,7,0)</f>
        <v>Министерство финансов Республики Казахстан</v>
      </c>
      <c r="Y2595" s="551" t="str">
        <f>VLOOKUP(G2595,Справочник!A:B,2,0)</f>
        <v>27.03.2027</v>
      </c>
    </row>
    <row r="2596" spans="1:25">
      <c r="A2596" s="499">
        <v>45562</v>
      </c>
      <c r="B2596" s="499">
        <v>45566</v>
      </c>
      <c r="C2596" s="500" t="s">
        <v>173</v>
      </c>
      <c r="D2596" s="500" t="s">
        <v>761</v>
      </c>
      <c r="E2596" s="501">
        <v>-334090555.56</v>
      </c>
      <c r="F2596" s="502" t="s">
        <v>906</v>
      </c>
      <c r="G2596" s="100" t="s">
        <v>61</v>
      </c>
      <c r="H2596" s="530"/>
      <c r="I2596" s="525" t="s">
        <v>717</v>
      </c>
      <c r="K2596" s="548">
        <v>114207332</v>
      </c>
      <c r="L2596" s="549">
        <v>64.419499999999999</v>
      </c>
      <c r="M2596" s="549">
        <f>E2596*(-1)/(N2596*O2596)*100</f>
        <v>66.818111111999997</v>
      </c>
      <c r="N2596" s="549">
        <v>500000</v>
      </c>
      <c r="O2596" s="539">
        <v>1000</v>
      </c>
      <c r="T2596" s="553">
        <v>13.2</v>
      </c>
      <c r="U2596" s="538">
        <v>16704.53</v>
      </c>
      <c r="V2596" s="538">
        <v>33409.06</v>
      </c>
      <c r="W2596" s="550">
        <f>VLOOKUP(G2596,Справочник!A:C,3,0)</f>
        <v>5.5E-2</v>
      </c>
      <c r="X2596" s="539" t="str">
        <f>VLOOKUP(G2596,Справочник!A:G,7,0)</f>
        <v>Министерство финансов Республики Казахстан</v>
      </c>
      <c r="Y2596" s="551">
        <f>VLOOKUP(G2596,Справочник!A:B,2,0)</f>
        <v>48328</v>
      </c>
    </row>
    <row r="2597" spans="1:25">
      <c r="A2597" s="499">
        <v>45562</v>
      </c>
      <c r="B2597" s="499">
        <v>45562</v>
      </c>
      <c r="C2597" s="500" t="s">
        <v>173</v>
      </c>
      <c r="D2597" s="500" t="s">
        <v>759</v>
      </c>
      <c r="E2597" s="501">
        <v>-3741946984.1599998</v>
      </c>
      <c r="F2597" s="502" t="s">
        <v>878</v>
      </c>
      <c r="G2597" s="100" t="s">
        <v>745</v>
      </c>
      <c r="H2597" s="484"/>
      <c r="I2597" s="525"/>
      <c r="K2597" s="548"/>
      <c r="L2597" s="548"/>
      <c r="M2597" s="548"/>
      <c r="N2597" s="552"/>
      <c r="Y2597" s="551"/>
    </row>
    <row r="2598" spans="1:25">
      <c r="A2598" s="499">
        <v>45562</v>
      </c>
      <c r="B2598" s="499">
        <v>45562</v>
      </c>
      <c r="C2598" s="500" t="s">
        <v>173</v>
      </c>
      <c r="D2598" s="500" t="s">
        <v>759</v>
      </c>
      <c r="E2598" s="501">
        <v>-14009211.050000001</v>
      </c>
      <c r="F2598" s="502" t="s">
        <v>878</v>
      </c>
      <c r="G2598" s="100" t="s">
        <v>697</v>
      </c>
      <c r="H2598" s="484"/>
      <c r="I2598" s="525"/>
      <c r="K2598" s="548"/>
      <c r="L2598" s="548"/>
      <c r="M2598" s="548"/>
      <c r="N2598" s="552"/>
      <c r="Y2598" s="551"/>
    </row>
    <row r="2599" spans="1:25">
      <c r="A2599" s="499">
        <v>45562</v>
      </c>
      <c r="B2599" s="499">
        <v>45562</v>
      </c>
      <c r="C2599" s="500" t="s">
        <v>173</v>
      </c>
      <c r="D2599" s="500" t="s">
        <v>759</v>
      </c>
      <c r="E2599" s="501">
        <v>-2000658528</v>
      </c>
      <c r="F2599" s="502" t="s">
        <v>878</v>
      </c>
      <c r="G2599" s="100" t="s">
        <v>390</v>
      </c>
      <c r="H2599" s="484"/>
      <c r="I2599" s="525"/>
      <c r="K2599" s="548"/>
      <c r="L2599" s="548"/>
      <c r="M2599" s="548"/>
      <c r="N2599" s="552"/>
      <c r="Y2599" s="551"/>
    </row>
    <row r="2600" spans="1:25">
      <c r="A2600" s="499">
        <v>45562</v>
      </c>
      <c r="B2600" s="499">
        <v>45569</v>
      </c>
      <c r="C2600" s="500" t="s">
        <v>173</v>
      </c>
      <c r="D2600" s="500" t="s">
        <v>759</v>
      </c>
      <c r="E2600" s="501">
        <v>3751565699.7800002</v>
      </c>
      <c r="F2600" s="502" t="s">
        <v>878</v>
      </c>
      <c r="G2600" s="100" t="s">
        <v>745</v>
      </c>
      <c r="H2600" s="570">
        <v>1053.6685</v>
      </c>
      <c r="I2600" s="525"/>
      <c r="K2600" s="548"/>
      <c r="L2600" s="548"/>
      <c r="M2600" s="548"/>
      <c r="N2600" s="552"/>
      <c r="Y2600" s="551"/>
    </row>
    <row r="2601" spans="1:25">
      <c r="A2601" s="499">
        <v>45562</v>
      </c>
      <c r="B2601" s="499">
        <v>45569</v>
      </c>
      <c r="C2601" s="500" t="s">
        <v>173</v>
      </c>
      <c r="D2601" s="500" t="s">
        <v>759</v>
      </c>
      <c r="E2601" s="501">
        <v>14045222.42</v>
      </c>
      <c r="F2601" s="502" t="s">
        <v>878</v>
      </c>
      <c r="G2601" s="100" t="s">
        <v>697</v>
      </c>
      <c r="H2601" s="570">
        <v>931.50429999999994</v>
      </c>
      <c r="I2601" s="525"/>
      <c r="K2601" s="548"/>
      <c r="L2601" s="548"/>
      <c r="M2601" s="548"/>
      <c r="N2601" s="552"/>
      <c r="Y2601" s="551"/>
    </row>
    <row r="2602" spans="1:25">
      <c r="A2602" s="499">
        <v>45562</v>
      </c>
      <c r="B2602" s="499">
        <v>45565</v>
      </c>
      <c r="C2602" s="500" t="s">
        <v>173</v>
      </c>
      <c r="D2602" s="500" t="s">
        <v>759</v>
      </c>
      <c r="E2602" s="501">
        <v>2002874093.3299999</v>
      </c>
      <c r="F2602" s="502" t="s">
        <v>878</v>
      </c>
      <c r="G2602" s="100" t="s">
        <v>390</v>
      </c>
      <c r="H2602" s="570">
        <v>1034.5424</v>
      </c>
      <c r="I2602" s="525"/>
      <c r="K2602" s="548"/>
      <c r="L2602" s="548"/>
      <c r="M2602" s="548"/>
      <c r="N2602" s="552"/>
      <c r="Y2602" s="551"/>
    </row>
    <row r="2603" spans="1:25">
      <c r="A2603" s="499">
        <v>45562</v>
      </c>
      <c r="B2603" s="499">
        <v>45562</v>
      </c>
      <c r="C2603" s="500" t="s">
        <v>173</v>
      </c>
      <c r="D2603" s="500" t="s">
        <v>760</v>
      </c>
      <c r="E2603" s="501">
        <v>-556265115.25999999</v>
      </c>
      <c r="F2603" s="502" t="s">
        <v>878</v>
      </c>
      <c r="G2603" s="100" t="s">
        <v>448</v>
      </c>
      <c r="H2603" s="530"/>
      <c r="I2603" s="525"/>
      <c r="K2603" s="548"/>
      <c r="L2603" s="548"/>
      <c r="M2603" s="548"/>
      <c r="N2603" s="552"/>
      <c r="Y2603" s="551"/>
    </row>
    <row r="2604" spans="1:25">
      <c r="A2604" s="499">
        <v>45562</v>
      </c>
      <c r="B2604" s="499">
        <v>45562</v>
      </c>
      <c r="C2604" s="500" t="s">
        <v>173</v>
      </c>
      <c r="D2604" s="500" t="s">
        <v>760</v>
      </c>
      <c r="E2604" s="501">
        <v>-679223570.25999999</v>
      </c>
      <c r="F2604" s="502" t="s">
        <v>878</v>
      </c>
      <c r="G2604" s="100" t="s">
        <v>390</v>
      </c>
      <c r="H2604" s="530"/>
      <c r="I2604" s="525"/>
      <c r="K2604" s="548"/>
      <c r="L2604" s="548"/>
      <c r="M2604" s="548"/>
      <c r="N2604" s="552"/>
      <c r="Y2604" s="551"/>
    </row>
    <row r="2605" spans="1:25">
      <c r="A2605" s="499">
        <v>45562</v>
      </c>
      <c r="B2605" s="499">
        <v>45562</v>
      </c>
      <c r="C2605" s="500" t="s">
        <v>173</v>
      </c>
      <c r="D2605" s="500" t="s">
        <v>760</v>
      </c>
      <c r="E2605" s="501">
        <v>-32000902.91</v>
      </c>
      <c r="F2605" s="502" t="s">
        <v>878</v>
      </c>
      <c r="G2605" s="100" t="s">
        <v>494</v>
      </c>
      <c r="H2605" s="530"/>
      <c r="I2605" s="525"/>
      <c r="K2605" s="548"/>
      <c r="L2605" s="548"/>
      <c r="M2605" s="548"/>
      <c r="N2605" s="552"/>
      <c r="Y2605" s="551"/>
    </row>
    <row r="2606" spans="1:25">
      <c r="A2606" s="499">
        <v>45562</v>
      </c>
      <c r="B2606" s="506">
        <v>45565</v>
      </c>
      <c r="C2606" s="500" t="s">
        <v>173</v>
      </c>
      <c r="D2606" s="500" t="s">
        <v>760</v>
      </c>
      <c r="E2606" s="501">
        <v>556884758.12</v>
      </c>
      <c r="F2606" s="502" t="s">
        <v>878</v>
      </c>
      <c r="G2606" s="100" t="s">
        <v>448</v>
      </c>
      <c r="H2606" s="484" t="s">
        <v>945</v>
      </c>
      <c r="I2606" s="525"/>
      <c r="K2606" s="548"/>
      <c r="L2606" s="548"/>
      <c r="M2606" s="548"/>
      <c r="N2606" s="552"/>
      <c r="Y2606" s="551"/>
    </row>
    <row r="2607" spans="1:25">
      <c r="A2607" s="499">
        <v>45562</v>
      </c>
      <c r="B2607" s="506">
        <v>45565</v>
      </c>
      <c r="C2607" s="500" t="s">
        <v>173</v>
      </c>
      <c r="D2607" s="500" t="s">
        <v>760</v>
      </c>
      <c r="E2607" s="501">
        <v>679980180.77999997</v>
      </c>
      <c r="F2607" s="502" t="s">
        <v>878</v>
      </c>
      <c r="G2607" s="100" t="s">
        <v>390</v>
      </c>
      <c r="H2607" s="484" t="s">
        <v>946</v>
      </c>
      <c r="I2607" s="525"/>
      <c r="K2607" s="548"/>
      <c r="L2607" s="548"/>
      <c r="M2607" s="548"/>
      <c r="N2607" s="552"/>
      <c r="Y2607" s="551"/>
    </row>
    <row r="2608" spans="1:25">
      <c r="A2608" s="499">
        <v>45562</v>
      </c>
      <c r="B2608" s="506">
        <v>45565</v>
      </c>
      <c r="C2608" s="500" t="s">
        <v>173</v>
      </c>
      <c r="D2608" s="500" t="s">
        <v>760</v>
      </c>
      <c r="E2608" s="501">
        <v>32036182.59</v>
      </c>
      <c r="F2608" s="502" t="s">
        <v>878</v>
      </c>
      <c r="G2608" s="100" t="s">
        <v>494</v>
      </c>
      <c r="H2608" s="484" t="s">
        <v>947</v>
      </c>
      <c r="I2608" s="525"/>
      <c r="K2608" s="548"/>
      <c r="L2608" s="548"/>
      <c r="M2608" s="548"/>
      <c r="N2608" s="552"/>
      <c r="Y2608" s="551"/>
    </row>
    <row r="2609" spans="1:25">
      <c r="A2609" s="499">
        <v>45562</v>
      </c>
      <c r="B2609" s="499">
        <v>45562</v>
      </c>
      <c r="C2609" s="500" t="s">
        <v>173</v>
      </c>
      <c r="D2609" s="500" t="s">
        <v>764</v>
      </c>
      <c r="E2609" s="501">
        <v>-3431302055.2800002</v>
      </c>
      <c r="F2609" s="502" t="s">
        <v>878</v>
      </c>
      <c r="G2609" s="100" t="s">
        <v>604</v>
      </c>
      <c r="H2609" s="530"/>
      <c r="I2609" s="525"/>
      <c r="K2609" s="548"/>
      <c r="L2609" s="548"/>
      <c r="M2609" s="548"/>
      <c r="N2609" s="552"/>
      <c r="Y2609" s="551"/>
    </row>
    <row r="2610" spans="1:25">
      <c r="A2610" s="499">
        <v>45562</v>
      </c>
      <c r="B2610" s="499">
        <v>45562</v>
      </c>
      <c r="C2610" s="500" t="s">
        <v>173</v>
      </c>
      <c r="D2610" s="500" t="s">
        <v>764</v>
      </c>
      <c r="E2610" s="501">
        <v>-11005453.630000001</v>
      </c>
      <c r="F2610" s="502" t="s">
        <v>878</v>
      </c>
      <c r="G2610" s="100" t="s">
        <v>833</v>
      </c>
      <c r="H2610" s="530"/>
      <c r="I2610" s="525"/>
      <c r="K2610" s="548"/>
      <c r="L2610" s="548"/>
      <c r="M2610" s="548"/>
      <c r="N2610" s="552"/>
      <c r="Y2610" s="551"/>
    </row>
    <row r="2611" spans="1:25">
      <c r="A2611" s="499">
        <v>45562</v>
      </c>
      <c r="B2611" s="499">
        <v>45565</v>
      </c>
      <c r="C2611" s="500" t="s">
        <v>173</v>
      </c>
      <c r="D2611" s="500" t="s">
        <v>764</v>
      </c>
      <c r="E2611" s="501">
        <v>3435155238.7399998</v>
      </c>
      <c r="F2611" s="502" t="s">
        <v>878</v>
      </c>
      <c r="G2611" s="100" t="s">
        <v>604</v>
      </c>
      <c r="H2611" s="534">
        <v>1012.20938637837</v>
      </c>
      <c r="I2611" s="525"/>
      <c r="K2611" s="548"/>
      <c r="L2611" s="548"/>
      <c r="M2611" s="548"/>
      <c r="N2611" s="552"/>
      <c r="Y2611" s="551"/>
    </row>
    <row r="2612" spans="1:25">
      <c r="A2612" s="499">
        <v>45562</v>
      </c>
      <c r="B2612" s="499">
        <v>45565</v>
      </c>
      <c r="C2612" s="500" t="s">
        <v>173</v>
      </c>
      <c r="D2612" s="500" t="s">
        <v>764</v>
      </c>
      <c r="E2612" s="501">
        <v>11017631.800000001</v>
      </c>
      <c r="F2612" s="502" t="s">
        <v>878</v>
      </c>
      <c r="G2612" s="100" t="s">
        <v>833</v>
      </c>
      <c r="H2612" s="534">
        <v>554.29047643004503</v>
      </c>
      <c r="I2612" s="525"/>
      <c r="K2612" s="548"/>
      <c r="L2612" s="548"/>
      <c r="M2612" s="548"/>
      <c r="N2612" s="552"/>
      <c r="Y2612" s="551"/>
    </row>
    <row r="2613" spans="1:25">
      <c r="A2613" s="499">
        <v>45562</v>
      </c>
      <c r="B2613" s="499">
        <v>45562</v>
      </c>
      <c r="C2613" s="500" t="s">
        <v>173</v>
      </c>
      <c r="D2613" s="500" t="s">
        <v>763</v>
      </c>
      <c r="E2613" s="501">
        <v>-23009734.57</v>
      </c>
      <c r="F2613" s="502" t="s">
        <v>878</v>
      </c>
      <c r="G2613" s="100" t="s">
        <v>414</v>
      </c>
      <c r="H2613" s="530"/>
      <c r="I2613" s="525"/>
      <c r="K2613" s="548"/>
      <c r="L2613" s="548"/>
      <c r="M2613" s="548"/>
      <c r="N2613" s="552"/>
      <c r="Y2613" s="551"/>
    </row>
    <row r="2614" spans="1:25">
      <c r="A2614" s="499">
        <v>45562</v>
      </c>
      <c r="B2614" s="499">
        <v>45562</v>
      </c>
      <c r="C2614" s="500" t="s">
        <v>173</v>
      </c>
      <c r="D2614" s="500" t="s">
        <v>763</v>
      </c>
      <c r="E2614" s="501">
        <v>-5346156676.29</v>
      </c>
      <c r="F2614" s="502" t="s">
        <v>878</v>
      </c>
      <c r="G2614" s="100" t="s">
        <v>645</v>
      </c>
      <c r="H2614" s="530"/>
      <c r="I2614" s="525"/>
      <c r="K2614" s="548"/>
      <c r="L2614" s="548"/>
      <c r="M2614" s="548"/>
      <c r="N2614" s="552"/>
      <c r="Y2614" s="551"/>
    </row>
    <row r="2615" spans="1:25">
      <c r="A2615" s="499">
        <v>45562</v>
      </c>
      <c r="B2615" s="499">
        <v>45565</v>
      </c>
      <c r="C2615" s="500" t="s">
        <v>173</v>
      </c>
      <c r="D2615" s="500" t="s">
        <v>763</v>
      </c>
      <c r="E2615" s="501">
        <v>23034838</v>
      </c>
      <c r="F2615" s="502" t="s">
        <v>878</v>
      </c>
      <c r="G2615" s="100" t="s">
        <v>414</v>
      </c>
      <c r="H2615" s="571">
        <v>935.12109771444807</v>
      </c>
      <c r="I2615" s="525"/>
      <c r="K2615" s="548"/>
      <c r="L2615" s="548"/>
      <c r="M2615" s="548"/>
      <c r="N2615" s="552"/>
      <c r="Y2615" s="551"/>
    </row>
    <row r="2616" spans="1:25">
      <c r="A2616" s="499">
        <v>45562</v>
      </c>
      <c r="B2616" s="499">
        <v>45565</v>
      </c>
      <c r="C2616" s="500" t="s">
        <v>173</v>
      </c>
      <c r="D2616" s="500" t="s">
        <v>763</v>
      </c>
      <c r="E2616" s="501">
        <v>5351989245.5799999</v>
      </c>
      <c r="F2616" s="502" t="s">
        <v>878</v>
      </c>
      <c r="G2616" s="100" t="s">
        <v>645</v>
      </c>
      <c r="H2616" s="571">
        <v>98.905386561909523</v>
      </c>
      <c r="I2616" s="525"/>
      <c r="K2616" s="548"/>
      <c r="L2616" s="548"/>
      <c r="M2616" s="548"/>
      <c r="N2616" s="552"/>
      <c r="Y2616" s="551"/>
    </row>
    <row r="2617" spans="1:25">
      <c r="A2617" s="499">
        <v>45565</v>
      </c>
      <c r="B2617" s="499">
        <v>45565</v>
      </c>
      <c r="C2617" s="500" t="s">
        <v>173</v>
      </c>
      <c r="D2617" s="500" t="s">
        <v>762</v>
      </c>
      <c r="E2617" s="501">
        <v>-24002941.920000002</v>
      </c>
      <c r="F2617" s="502" t="s">
        <v>878</v>
      </c>
      <c r="G2617" s="100" t="s">
        <v>696</v>
      </c>
      <c r="H2617" s="530"/>
      <c r="I2617" s="525"/>
      <c r="K2617" s="548"/>
      <c r="L2617" s="548"/>
      <c r="M2617" s="548"/>
      <c r="N2617" s="552"/>
      <c r="Y2617" s="551"/>
    </row>
    <row r="2618" spans="1:25">
      <c r="A2618" s="499">
        <v>45565</v>
      </c>
      <c r="B2618" s="499">
        <v>45565</v>
      </c>
      <c r="C2618" s="500" t="s">
        <v>173</v>
      </c>
      <c r="D2618" s="500" t="s">
        <v>762</v>
      </c>
      <c r="E2618" s="501">
        <v>-3331712046.2399998</v>
      </c>
      <c r="F2618" s="502" t="s">
        <v>878</v>
      </c>
      <c r="G2618" s="100" t="s">
        <v>684</v>
      </c>
      <c r="H2618" s="530"/>
      <c r="I2618" s="525"/>
      <c r="K2618" s="548"/>
      <c r="L2618" s="548"/>
      <c r="M2618" s="548"/>
      <c r="N2618" s="552"/>
      <c r="Y2618" s="551"/>
    </row>
    <row r="2619" spans="1:25">
      <c r="A2619" s="499">
        <v>45565</v>
      </c>
      <c r="B2619" s="499">
        <v>45565</v>
      </c>
      <c r="C2619" s="500" t="s">
        <v>173</v>
      </c>
      <c r="D2619" s="500" t="s">
        <v>762</v>
      </c>
      <c r="E2619" s="501">
        <v>-15001530.48</v>
      </c>
      <c r="F2619" s="502" t="s">
        <v>878</v>
      </c>
      <c r="G2619" s="100" t="s">
        <v>674</v>
      </c>
      <c r="H2619" s="530"/>
      <c r="I2619" s="525"/>
      <c r="K2619" s="548"/>
      <c r="L2619" s="548"/>
      <c r="M2619" s="548"/>
      <c r="N2619" s="552"/>
      <c r="Y2619" s="551"/>
    </row>
    <row r="2620" spans="1:25">
      <c r="A2620" s="499">
        <v>45565</v>
      </c>
      <c r="B2620" s="499">
        <v>45565</v>
      </c>
      <c r="C2620" s="500" t="s">
        <v>173</v>
      </c>
      <c r="D2620" s="500" t="s">
        <v>762</v>
      </c>
      <c r="E2620" s="501">
        <v>-2264236000.8099999</v>
      </c>
      <c r="F2620" s="502" t="s">
        <v>878</v>
      </c>
      <c r="G2620" s="100" t="s">
        <v>673</v>
      </c>
      <c r="H2620" s="530"/>
      <c r="I2620" s="525"/>
      <c r="K2620" s="548"/>
      <c r="L2620" s="548"/>
      <c r="M2620" s="548"/>
      <c r="N2620" s="552"/>
      <c r="Y2620" s="551"/>
    </row>
    <row r="2621" spans="1:25">
      <c r="A2621" s="499">
        <v>45565</v>
      </c>
      <c r="B2621" s="499">
        <v>45565</v>
      </c>
      <c r="C2621" s="500" t="s">
        <v>173</v>
      </c>
      <c r="D2621" s="500" t="s">
        <v>762</v>
      </c>
      <c r="E2621" s="501">
        <v>-127053954.73</v>
      </c>
      <c r="F2621" s="502" t="s">
        <v>878</v>
      </c>
      <c r="G2621" s="100" t="s">
        <v>833</v>
      </c>
      <c r="H2621" s="530"/>
      <c r="I2621" s="525"/>
      <c r="K2621" s="548"/>
      <c r="L2621" s="548"/>
      <c r="M2621" s="548"/>
      <c r="N2621" s="552"/>
      <c r="Y2621" s="551"/>
    </row>
    <row r="2622" spans="1:25">
      <c r="A2622" s="499">
        <v>45565</v>
      </c>
      <c r="B2622" s="499">
        <v>45565</v>
      </c>
      <c r="C2622" s="500" t="s">
        <v>173</v>
      </c>
      <c r="D2622" s="500" t="s">
        <v>762</v>
      </c>
      <c r="E2622" s="501">
        <v>-72004509.939999998</v>
      </c>
      <c r="F2622" s="502" t="s">
        <v>878</v>
      </c>
      <c r="G2622" s="100" t="s">
        <v>633</v>
      </c>
      <c r="H2622" s="530"/>
      <c r="I2622" s="525"/>
      <c r="K2622" s="548"/>
      <c r="L2622" s="548"/>
      <c r="M2622" s="548"/>
      <c r="N2622" s="552"/>
      <c r="Y2622" s="551"/>
    </row>
    <row r="2623" spans="1:25">
      <c r="A2623" s="499">
        <v>45565</v>
      </c>
      <c r="B2623" s="499">
        <v>45565</v>
      </c>
      <c r="C2623" s="500" t="s">
        <v>173</v>
      </c>
      <c r="D2623" s="500" t="s">
        <v>762</v>
      </c>
      <c r="E2623" s="501">
        <v>-376002728.48000002</v>
      </c>
      <c r="F2623" s="502" t="s">
        <v>878</v>
      </c>
      <c r="G2623" s="100" t="s">
        <v>630</v>
      </c>
      <c r="H2623" s="530"/>
      <c r="I2623" s="525"/>
      <c r="K2623" s="548"/>
      <c r="L2623" s="548"/>
      <c r="M2623" s="548"/>
      <c r="N2623" s="552"/>
      <c r="Y2623" s="551"/>
    </row>
    <row r="2624" spans="1:25">
      <c r="A2624" s="499">
        <v>45565</v>
      </c>
      <c r="B2624" s="499">
        <v>45566</v>
      </c>
      <c r="C2624" s="500" t="s">
        <v>173</v>
      </c>
      <c r="D2624" s="500" t="s">
        <v>762</v>
      </c>
      <c r="E2624" s="501">
        <v>24011598.780000001</v>
      </c>
      <c r="F2624" s="502" t="s">
        <v>878</v>
      </c>
      <c r="G2624" s="100" t="s">
        <v>696</v>
      </c>
      <c r="H2624" s="484">
        <v>114210987</v>
      </c>
      <c r="I2624" s="525"/>
      <c r="K2624" s="548"/>
      <c r="L2624" s="548"/>
      <c r="M2624" s="548"/>
      <c r="N2624" s="552"/>
      <c r="Y2624" s="551"/>
    </row>
    <row r="2625" spans="1:25">
      <c r="A2625" s="499">
        <v>45565</v>
      </c>
      <c r="B2625" s="499">
        <v>45566</v>
      </c>
      <c r="C2625" s="500" t="s">
        <v>173</v>
      </c>
      <c r="D2625" s="500" t="s">
        <v>762</v>
      </c>
      <c r="E2625" s="501">
        <v>3332918198.8299999</v>
      </c>
      <c r="F2625" s="502" t="s">
        <v>878</v>
      </c>
      <c r="G2625" s="100" t="s">
        <v>684</v>
      </c>
      <c r="H2625" s="484">
        <v>114210462</v>
      </c>
      <c r="I2625" s="525"/>
      <c r="K2625" s="548"/>
      <c r="L2625" s="548"/>
      <c r="M2625" s="548"/>
      <c r="N2625" s="552"/>
      <c r="Y2625" s="551"/>
    </row>
    <row r="2626" spans="1:25">
      <c r="A2626" s="499">
        <v>45565</v>
      </c>
      <c r="B2626" s="499">
        <v>45566</v>
      </c>
      <c r="C2626" s="500" t="s">
        <v>173</v>
      </c>
      <c r="D2626" s="500" t="s">
        <v>762</v>
      </c>
      <c r="E2626" s="501">
        <v>15006961.439999999</v>
      </c>
      <c r="F2626" s="502" t="s">
        <v>878</v>
      </c>
      <c r="G2626" s="100" t="s">
        <v>674</v>
      </c>
      <c r="H2626" s="484">
        <v>114210459</v>
      </c>
      <c r="I2626" s="525"/>
      <c r="K2626" s="548"/>
      <c r="L2626" s="548"/>
      <c r="M2626" s="548"/>
      <c r="N2626" s="552"/>
      <c r="Y2626" s="551"/>
    </row>
    <row r="2627" spans="1:25">
      <c r="A2627" s="499">
        <v>45565</v>
      </c>
      <c r="B2627" s="499">
        <v>45566</v>
      </c>
      <c r="C2627" s="500" t="s">
        <v>173</v>
      </c>
      <c r="D2627" s="500" t="s">
        <v>762</v>
      </c>
      <c r="E2627" s="501">
        <v>2265055716.1100001</v>
      </c>
      <c r="F2627" s="502" t="s">
        <v>878</v>
      </c>
      <c r="G2627" s="100" t="s">
        <v>673</v>
      </c>
      <c r="H2627" s="484">
        <v>114210447</v>
      </c>
      <c r="I2627" s="525"/>
      <c r="K2627" s="548"/>
      <c r="L2627" s="548"/>
      <c r="M2627" s="548"/>
      <c r="N2627" s="552"/>
      <c r="Y2627" s="551"/>
    </row>
    <row r="2628" spans="1:25">
      <c r="A2628" s="499">
        <v>45565</v>
      </c>
      <c r="B2628" s="499">
        <v>45566</v>
      </c>
      <c r="C2628" s="500" t="s">
        <v>173</v>
      </c>
      <c r="D2628" s="500" t="s">
        <v>762</v>
      </c>
      <c r="E2628" s="501">
        <v>127099951.73</v>
      </c>
      <c r="F2628" s="502" t="s">
        <v>878</v>
      </c>
      <c r="G2628" s="100" t="s">
        <v>833</v>
      </c>
      <c r="H2628" s="484">
        <v>114210453</v>
      </c>
      <c r="I2628" s="525"/>
      <c r="K2628" s="548"/>
      <c r="L2628" s="548"/>
      <c r="M2628" s="548"/>
      <c r="N2628" s="552"/>
      <c r="Y2628" s="551"/>
    </row>
    <row r="2629" spans="1:25">
      <c r="A2629" s="499">
        <v>45565</v>
      </c>
      <c r="B2629" s="499">
        <v>45566</v>
      </c>
      <c r="C2629" s="500" t="s">
        <v>173</v>
      </c>
      <c r="D2629" s="500" t="s">
        <v>762</v>
      </c>
      <c r="E2629" s="501">
        <v>72030577.540000007</v>
      </c>
      <c r="F2629" s="502" t="s">
        <v>878</v>
      </c>
      <c r="G2629" s="100" t="s">
        <v>633</v>
      </c>
      <c r="H2629" s="484">
        <v>114210450</v>
      </c>
      <c r="I2629" s="525"/>
      <c r="K2629" s="548"/>
      <c r="L2629" s="548"/>
      <c r="M2629" s="548"/>
      <c r="N2629" s="552"/>
      <c r="Y2629" s="551"/>
    </row>
    <row r="2630" spans="1:25">
      <c r="A2630" s="499">
        <v>45565</v>
      </c>
      <c r="B2630" s="499">
        <v>45566</v>
      </c>
      <c r="C2630" s="500" t="s">
        <v>173</v>
      </c>
      <c r="D2630" s="500" t="s">
        <v>762</v>
      </c>
      <c r="E2630" s="501">
        <v>376138851.74000001</v>
      </c>
      <c r="F2630" s="502" t="s">
        <v>878</v>
      </c>
      <c r="G2630" s="100" t="s">
        <v>630</v>
      </c>
      <c r="H2630" s="484">
        <v>114210456</v>
      </c>
      <c r="I2630" s="525"/>
      <c r="K2630" s="548"/>
      <c r="L2630" s="548"/>
      <c r="M2630" s="548"/>
      <c r="N2630" s="552"/>
      <c r="Y2630" s="551"/>
    </row>
    <row r="2631" spans="1:25">
      <c r="A2631" s="499">
        <v>45565</v>
      </c>
      <c r="B2631" s="499">
        <v>45565</v>
      </c>
      <c r="C2631" s="500" t="s">
        <v>173</v>
      </c>
      <c r="D2631" s="500" t="s">
        <v>761</v>
      </c>
      <c r="E2631" s="501">
        <v>-854053492.85000002</v>
      </c>
      <c r="F2631" s="502" t="s">
        <v>878</v>
      </c>
      <c r="G2631" s="100" t="s">
        <v>634</v>
      </c>
      <c r="H2631" s="530"/>
      <c r="I2631" s="525"/>
      <c r="K2631" s="548"/>
      <c r="L2631" s="548"/>
      <c r="M2631" s="548"/>
      <c r="N2631" s="552"/>
      <c r="Y2631" s="551"/>
    </row>
    <row r="2632" spans="1:25">
      <c r="A2632" s="499">
        <v>45565</v>
      </c>
      <c r="B2632" s="499">
        <v>45565</v>
      </c>
      <c r="C2632" s="500" t="s">
        <v>173</v>
      </c>
      <c r="D2632" s="500" t="s">
        <v>761</v>
      </c>
      <c r="E2632" s="501">
        <v>-1993024142.98</v>
      </c>
      <c r="F2632" s="502" t="s">
        <v>878</v>
      </c>
      <c r="G2632" s="100" t="s">
        <v>83</v>
      </c>
      <c r="H2632" s="530"/>
      <c r="I2632" s="525"/>
      <c r="K2632" s="548"/>
      <c r="L2632" s="548"/>
      <c r="M2632" s="548"/>
      <c r="N2632" s="552"/>
      <c r="Y2632" s="551"/>
    </row>
    <row r="2633" spans="1:25">
      <c r="A2633" s="499">
        <v>45565</v>
      </c>
      <c r="B2633" s="499">
        <v>45565</v>
      </c>
      <c r="C2633" s="500" t="s">
        <v>173</v>
      </c>
      <c r="D2633" s="500" t="s">
        <v>761</v>
      </c>
      <c r="E2633" s="501">
        <v>-11010007.49</v>
      </c>
      <c r="F2633" s="502" t="s">
        <v>878</v>
      </c>
      <c r="G2633" s="100" t="s">
        <v>591</v>
      </c>
      <c r="H2633" s="530"/>
      <c r="I2633" s="525"/>
      <c r="K2633" s="548"/>
      <c r="L2633" s="548"/>
      <c r="M2633" s="548"/>
      <c r="N2633" s="552"/>
      <c r="Y2633" s="551"/>
    </row>
    <row r="2634" spans="1:25">
      <c r="A2634" s="499">
        <v>45565</v>
      </c>
      <c r="B2634" s="499">
        <v>45566</v>
      </c>
      <c r="C2634" s="500" t="s">
        <v>173</v>
      </c>
      <c r="D2634" s="500" t="s">
        <v>761</v>
      </c>
      <c r="E2634" s="501">
        <v>854362445.52999997</v>
      </c>
      <c r="F2634" s="502" t="s">
        <v>878</v>
      </c>
      <c r="G2634" s="100" t="s">
        <v>634</v>
      </c>
      <c r="H2634" s="573">
        <v>485.64291712898802</v>
      </c>
      <c r="I2634" s="525"/>
      <c r="K2634" s="548"/>
      <c r="L2634" s="548"/>
      <c r="M2634" s="548"/>
      <c r="N2634" s="552"/>
      <c r="Y2634" s="551"/>
    </row>
    <row r="2635" spans="1:25">
      <c r="A2635" s="499">
        <v>45565</v>
      </c>
      <c r="B2635" s="499">
        <v>45572</v>
      </c>
      <c r="C2635" s="500" t="s">
        <v>173</v>
      </c>
      <c r="D2635" s="500" t="s">
        <v>761</v>
      </c>
      <c r="E2635" s="501">
        <v>1998112889.05</v>
      </c>
      <c r="F2635" s="502" t="s">
        <v>878</v>
      </c>
      <c r="G2635" s="100" t="s">
        <v>83</v>
      </c>
      <c r="H2635" s="573">
        <v>987.27236161674296</v>
      </c>
      <c r="I2635" s="525"/>
      <c r="K2635" s="548"/>
      <c r="L2635" s="548"/>
      <c r="M2635" s="548"/>
      <c r="N2635" s="552"/>
      <c r="Y2635" s="551"/>
    </row>
    <row r="2636" spans="1:25">
      <c r="A2636" s="499">
        <v>45565</v>
      </c>
      <c r="B2636" s="499">
        <v>45572</v>
      </c>
      <c r="C2636" s="500" t="s">
        <v>173</v>
      </c>
      <c r="D2636" s="500" t="s">
        <v>761</v>
      </c>
      <c r="E2636" s="501">
        <v>11038035.09</v>
      </c>
      <c r="F2636" s="502" t="s">
        <v>878</v>
      </c>
      <c r="G2636" s="100" t="s">
        <v>591</v>
      </c>
      <c r="H2636" s="573">
        <v>963.01126243238502</v>
      </c>
      <c r="I2636" s="525"/>
      <c r="K2636" s="548"/>
      <c r="L2636" s="548"/>
      <c r="M2636" s="548"/>
      <c r="N2636" s="552"/>
      <c r="Y2636" s="551"/>
    </row>
    <row r="2637" spans="1:25">
      <c r="A2637" s="499">
        <v>45565</v>
      </c>
      <c r="B2637" s="499">
        <v>45565</v>
      </c>
      <c r="C2637" s="500" t="s">
        <v>173</v>
      </c>
      <c r="D2637" s="500" t="s">
        <v>759</v>
      </c>
      <c r="E2637" s="501">
        <v>-1994195650.8800001</v>
      </c>
      <c r="F2637" s="502" t="s">
        <v>878</v>
      </c>
      <c r="G2637" s="100" t="s">
        <v>928</v>
      </c>
      <c r="H2637" s="484"/>
      <c r="I2637" s="525"/>
      <c r="K2637" s="548"/>
      <c r="L2637" s="548"/>
      <c r="M2637" s="548"/>
      <c r="N2637" s="552"/>
      <c r="Y2637" s="551"/>
    </row>
    <row r="2638" spans="1:25">
      <c r="A2638" s="499">
        <v>45565</v>
      </c>
      <c r="B2638" s="499">
        <v>45565</v>
      </c>
      <c r="C2638" s="500" t="s">
        <v>173</v>
      </c>
      <c r="D2638" s="500" t="s">
        <v>759</v>
      </c>
      <c r="E2638" s="501">
        <v>-9008025.6300000008</v>
      </c>
      <c r="F2638" s="502" t="s">
        <v>878</v>
      </c>
      <c r="G2638" s="100" t="s">
        <v>449</v>
      </c>
      <c r="H2638" s="484"/>
      <c r="I2638" s="525"/>
      <c r="K2638" s="548"/>
      <c r="L2638" s="548"/>
      <c r="M2638" s="548"/>
      <c r="N2638" s="552"/>
      <c r="Y2638" s="551"/>
    </row>
    <row r="2639" spans="1:25">
      <c r="A2639" s="499">
        <v>45565</v>
      </c>
      <c r="B2639" s="499">
        <v>45566</v>
      </c>
      <c r="C2639" s="500" t="s">
        <v>173</v>
      </c>
      <c r="D2639" s="500" t="s">
        <v>759</v>
      </c>
      <c r="E2639" s="501">
        <v>1994914868.98</v>
      </c>
      <c r="F2639" s="502" t="s">
        <v>878</v>
      </c>
      <c r="G2639" s="100" t="s">
        <v>928</v>
      </c>
      <c r="H2639" s="570">
        <v>99.469119809999995</v>
      </c>
      <c r="I2639" s="525"/>
      <c r="K2639" s="548"/>
      <c r="L2639" s="548"/>
      <c r="M2639" s="548"/>
      <c r="N2639" s="552"/>
      <c r="Y2639" s="551"/>
    </row>
    <row r="2640" spans="1:25">
      <c r="A2640" s="499">
        <v>45565</v>
      </c>
      <c r="B2640" s="499">
        <v>45566</v>
      </c>
      <c r="C2640" s="500" t="s">
        <v>173</v>
      </c>
      <c r="D2640" s="500" t="s">
        <v>759</v>
      </c>
      <c r="E2640" s="501">
        <v>9011225.1999999993</v>
      </c>
      <c r="F2640" s="502" t="s">
        <v>878</v>
      </c>
      <c r="G2640" s="100" t="s">
        <v>449</v>
      </c>
      <c r="H2640" s="570">
        <v>984.51048594099996</v>
      </c>
      <c r="I2640" s="525"/>
      <c r="K2640" s="548"/>
      <c r="L2640" s="548"/>
      <c r="M2640" s="548"/>
      <c r="N2640" s="552"/>
      <c r="Y2640" s="551"/>
    </row>
    <row r="2641" spans="1:25">
      <c r="A2641" s="499">
        <v>45565</v>
      </c>
      <c r="B2641" s="499">
        <v>45565</v>
      </c>
      <c r="C2641" s="500" t="s">
        <v>173</v>
      </c>
      <c r="D2641" s="500" t="s">
        <v>760</v>
      </c>
      <c r="E2641" s="501">
        <v>-1235077357.9300001</v>
      </c>
      <c r="F2641" s="502" t="s">
        <v>878</v>
      </c>
      <c r="G2641" s="100" t="s">
        <v>634</v>
      </c>
      <c r="H2641" s="530"/>
      <c r="I2641" s="525"/>
      <c r="K2641" s="548"/>
      <c r="L2641" s="548"/>
      <c r="M2641" s="548"/>
      <c r="N2641" s="552"/>
      <c r="Y2641" s="551"/>
    </row>
    <row r="2642" spans="1:25">
      <c r="A2642" s="499">
        <v>45565</v>
      </c>
      <c r="B2642" s="499">
        <v>45565</v>
      </c>
      <c r="C2642" s="500" t="s">
        <v>173</v>
      </c>
      <c r="D2642" s="500" t="s">
        <v>760</v>
      </c>
      <c r="E2642" s="501">
        <v>-33016967.02</v>
      </c>
      <c r="F2642" s="502" t="s">
        <v>878</v>
      </c>
      <c r="G2642" s="100" t="s">
        <v>390</v>
      </c>
      <c r="H2642" s="530"/>
      <c r="I2642" s="525"/>
      <c r="K2642" s="548"/>
      <c r="L2642" s="548"/>
      <c r="M2642" s="548"/>
      <c r="N2642" s="552"/>
      <c r="Y2642" s="551"/>
    </row>
    <row r="2643" spans="1:25">
      <c r="A2643" s="499">
        <v>45565</v>
      </c>
      <c r="B2643" s="499">
        <v>45566</v>
      </c>
      <c r="C2643" s="500" t="s">
        <v>173</v>
      </c>
      <c r="D2643" s="500" t="s">
        <v>760</v>
      </c>
      <c r="E2643" s="501">
        <v>1235526163.4400001</v>
      </c>
      <c r="F2643" s="502" t="s">
        <v>878</v>
      </c>
      <c r="G2643" s="100" t="s">
        <v>634</v>
      </c>
      <c r="H2643" s="484" t="s">
        <v>948</v>
      </c>
      <c r="I2643" s="525"/>
      <c r="K2643" s="548"/>
      <c r="L2643" s="548"/>
      <c r="M2643" s="548"/>
      <c r="N2643" s="552"/>
      <c r="Y2643" s="551"/>
    </row>
    <row r="2644" spans="1:25">
      <c r="A2644" s="499">
        <v>45565</v>
      </c>
      <c r="B2644" s="499">
        <v>45566</v>
      </c>
      <c r="C2644" s="500" t="s">
        <v>173</v>
      </c>
      <c r="D2644" s="500" t="s">
        <v>760</v>
      </c>
      <c r="E2644" s="501">
        <v>33028874.870000001</v>
      </c>
      <c r="F2644" s="502" t="s">
        <v>878</v>
      </c>
      <c r="G2644" s="100" t="s">
        <v>390</v>
      </c>
      <c r="H2644" s="484" t="s">
        <v>949</v>
      </c>
      <c r="I2644" s="525"/>
      <c r="K2644" s="548"/>
      <c r="L2644" s="548"/>
      <c r="M2644" s="548"/>
      <c r="N2644" s="552"/>
      <c r="Y2644" s="551"/>
    </row>
    <row r="2645" spans="1:25">
      <c r="A2645" s="499">
        <v>45565</v>
      </c>
      <c r="B2645" s="499">
        <v>45565</v>
      </c>
      <c r="C2645" s="500" t="s">
        <v>173</v>
      </c>
      <c r="D2645" s="500" t="s">
        <v>764</v>
      </c>
      <c r="E2645" s="501">
        <v>-3431508803.5799999</v>
      </c>
      <c r="F2645" s="502" t="s">
        <v>878</v>
      </c>
      <c r="G2645" s="100" t="s">
        <v>686</v>
      </c>
      <c r="H2645" s="530"/>
      <c r="I2645" s="525"/>
      <c r="K2645" s="548"/>
      <c r="L2645" s="548"/>
      <c r="M2645" s="548"/>
      <c r="N2645" s="552"/>
      <c r="Y2645" s="551"/>
    </row>
    <row r="2646" spans="1:25">
      <c r="A2646" s="499">
        <v>45565</v>
      </c>
      <c r="B2646" s="499">
        <v>45565</v>
      </c>
      <c r="C2646" s="500" t="s">
        <v>173</v>
      </c>
      <c r="D2646" s="500" t="s">
        <v>764</v>
      </c>
      <c r="E2646" s="501">
        <v>-2000541.97</v>
      </c>
      <c r="F2646" s="502" t="s">
        <v>878</v>
      </c>
      <c r="G2646" s="100" t="s">
        <v>631</v>
      </c>
      <c r="H2646" s="530"/>
      <c r="I2646" s="525"/>
      <c r="K2646" s="548"/>
      <c r="L2646" s="548"/>
      <c r="M2646" s="548"/>
      <c r="N2646" s="552"/>
      <c r="Y2646" s="551"/>
    </row>
    <row r="2647" spans="1:25">
      <c r="A2647" s="499">
        <v>45565</v>
      </c>
      <c r="B2647" s="499">
        <v>45565</v>
      </c>
      <c r="C2647" s="500" t="s">
        <v>173</v>
      </c>
      <c r="D2647" s="500" t="s">
        <v>764</v>
      </c>
      <c r="E2647" s="501">
        <v>-13001275.560000001</v>
      </c>
      <c r="F2647" s="502" t="s">
        <v>878</v>
      </c>
      <c r="G2647" s="100" t="s">
        <v>927</v>
      </c>
      <c r="H2647" s="530"/>
      <c r="I2647" s="525"/>
      <c r="K2647" s="548"/>
      <c r="L2647" s="548"/>
      <c r="M2647" s="548"/>
      <c r="N2647" s="552"/>
      <c r="Y2647" s="551"/>
    </row>
    <row r="2648" spans="1:25">
      <c r="A2648" s="499">
        <v>45565</v>
      </c>
      <c r="B2648" s="499">
        <v>45572</v>
      </c>
      <c r="C2648" s="500" t="s">
        <v>173</v>
      </c>
      <c r="D2648" s="500" t="s">
        <v>764</v>
      </c>
      <c r="E2648" s="501">
        <v>3440270401.8800001</v>
      </c>
      <c r="F2648" s="502" t="s">
        <v>878</v>
      </c>
      <c r="G2648" s="100" t="s">
        <v>686</v>
      </c>
      <c r="H2648" s="534">
        <v>942.38905388288595</v>
      </c>
      <c r="I2648" s="525"/>
      <c r="K2648" s="548"/>
      <c r="L2648" s="548"/>
      <c r="M2648" s="548"/>
      <c r="N2648" s="552"/>
      <c r="Y2648" s="551"/>
    </row>
    <row r="2649" spans="1:25">
      <c r="A2649" s="499">
        <v>45565</v>
      </c>
      <c r="B2649" s="499">
        <v>45572</v>
      </c>
      <c r="C2649" s="500" t="s">
        <v>173</v>
      </c>
      <c r="D2649" s="500" t="s">
        <v>764</v>
      </c>
      <c r="E2649" s="501">
        <v>2005649.91</v>
      </c>
      <c r="F2649" s="502" t="s">
        <v>878</v>
      </c>
      <c r="G2649" s="100" t="s">
        <v>631</v>
      </c>
      <c r="H2649" s="534">
        <v>494.73357424765697</v>
      </c>
      <c r="I2649" s="525"/>
      <c r="K2649" s="548"/>
      <c r="L2649" s="548"/>
      <c r="M2649" s="548"/>
      <c r="N2649" s="552"/>
      <c r="Y2649" s="551"/>
    </row>
    <row r="2650" spans="1:25">
      <c r="A2650" s="499">
        <v>45565</v>
      </c>
      <c r="B2650" s="499">
        <v>45572</v>
      </c>
      <c r="C2650" s="500" t="s">
        <v>173</v>
      </c>
      <c r="D2650" s="500" t="s">
        <v>764</v>
      </c>
      <c r="E2650" s="501">
        <v>13034374.710000001</v>
      </c>
      <c r="F2650" s="502" t="s">
        <v>878</v>
      </c>
      <c r="G2650" s="100" t="s">
        <v>927</v>
      </c>
      <c r="H2650" s="534">
        <v>99.686240650381606</v>
      </c>
      <c r="I2650" s="525"/>
      <c r="K2650" s="548"/>
      <c r="L2650" s="548"/>
      <c r="M2650" s="548"/>
      <c r="N2650" s="552"/>
      <c r="Y2650" s="551"/>
    </row>
    <row r="2651" spans="1:25">
      <c r="A2651" s="499">
        <v>45565</v>
      </c>
      <c r="B2651" s="499">
        <v>45565</v>
      </c>
      <c r="C2651" s="500" t="s">
        <v>173</v>
      </c>
      <c r="D2651" s="500" t="s">
        <v>763</v>
      </c>
      <c r="E2651" s="501">
        <v>-23000411.20999999</v>
      </c>
      <c r="F2651" s="502" t="s">
        <v>878</v>
      </c>
      <c r="G2651" s="100" t="s">
        <v>551</v>
      </c>
      <c r="H2651" s="530"/>
      <c r="I2651" s="525"/>
      <c r="K2651" s="548"/>
      <c r="L2651" s="548"/>
      <c r="M2651" s="548"/>
      <c r="N2651" s="552"/>
      <c r="S2651" s="539">
        <v>-1</v>
      </c>
      <c r="Y2651" s="551"/>
    </row>
    <row r="2652" spans="1:25">
      <c r="A2652" s="499">
        <v>45565</v>
      </c>
      <c r="B2652" s="499">
        <v>45565</v>
      </c>
      <c r="C2652" s="500" t="s">
        <v>173</v>
      </c>
      <c r="D2652" s="500" t="s">
        <v>763</v>
      </c>
      <c r="E2652" s="501">
        <v>-5352095685.7299986</v>
      </c>
      <c r="F2652" s="502" t="s">
        <v>878</v>
      </c>
      <c r="G2652" s="100" t="s">
        <v>551</v>
      </c>
      <c r="H2652" s="530"/>
      <c r="I2652" s="525"/>
      <c r="K2652" s="548"/>
      <c r="L2652" s="548"/>
      <c r="M2652" s="548"/>
      <c r="N2652" s="552"/>
      <c r="Y2652" s="551"/>
    </row>
    <row r="2653" spans="1:25">
      <c r="A2653" s="499">
        <v>45565</v>
      </c>
      <c r="B2653" s="499">
        <v>45566</v>
      </c>
      <c r="C2653" s="500" t="s">
        <v>173</v>
      </c>
      <c r="D2653" s="500" t="s">
        <v>763</v>
      </c>
      <c r="E2653" s="501">
        <v>23008744.210000001</v>
      </c>
      <c r="F2653" s="502" t="s">
        <v>878</v>
      </c>
      <c r="G2653" s="100" t="s">
        <v>551</v>
      </c>
      <c r="H2653" s="571">
        <v>478.87993443919504</v>
      </c>
      <c r="I2653" s="525"/>
      <c r="K2653" s="548"/>
      <c r="L2653" s="548"/>
      <c r="M2653" s="548"/>
      <c r="N2653" s="552"/>
      <c r="Y2653" s="551"/>
    </row>
    <row r="2654" spans="1:25">
      <c r="A2654" s="499">
        <v>45565</v>
      </c>
      <c r="B2654" s="499">
        <v>45566</v>
      </c>
      <c r="C2654" s="500" t="s">
        <v>173</v>
      </c>
      <c r="D2654" s="500" t="s">
        <v>763</v>
      </c>
      <c r="E2654" s="501">
        <v>5354034738.3000002</v>
      </c>
      <c r="F2654" s="502" t="s">
        <v>878</v>
      </c>
      <c r="G2654" s="100" t="s">
        <v>551</v>
      </c>
      <c r="H2654" s="571">
        <v>478.87993431856404</v>
      </c>
      <c r="I2654" s="525"/>
      <c r="K2654" s="548"/>
      <c r="L2654" s="548"/>
      <c r="M2654" s="548"/>
      <c r="N2654" s="552"/>
      <c r="Y2654" s="551"/>
    </row>
    <row r="2655" spans="1:25">
      <c r="A2655" s="499">
        <v>45566</v>
      </c>
      <c r="B2655" s="499">
        <v>45566</v>
      </c>
      <c r="C2655" s="500" t="s">
        <v>173</v>
      </c>
      <c r="D2655" s="500" t="s">
        <v>762</v>
      </c>
      <c r="E2655" s="501">
        <v>-500001537.14999998</v>
      </c>
      <c r="F2655" s="502" t="s">
        <v>878</v>
      </c>
      <c r="G2655" s="100" t="s">
        <v>927</v>
      </c>
      <c r="H2655" s="530"/>
      <c r="I2655" s="525"/>
      <c r="K2655" s="548"/>
      <c r="L2655" s="548"/>
      <c r="M2655" s="548"/>
      <c r="N2655" s="552"/>
      <c r="Y2655" s="551"/>
    </row>
    <row r="2656" spans="1:25">
      <c r="A2656" s="499">
        <v>45566</v>
      </c>
      <c r="B2656" s="499">
        <v>45566</v>
      </c>
      <c r="C2656" s="500" t="s">
        <v>173</v>
      </c>
      <c r="D2656" s="500" t="s">
        <v>762</v>
      </c>
      <c r="E2656" s="501">
        <v>-4500013834.3500004</v>
      </c>
      <c r="F2656" s="502" t="s">
        <v>878</v>
      </c>
      <c r="G2656" s="100" t="s">
        <v>927</v>
      </c>
      <c r="H2656" s="530"/>
      <c r="I2656" s="525"/>
      <c r="K2656" s="548"/>
      <c r="L2656" s="548"/>
      <c r="M2656" s="548"/>
      <c r="N2656" s="552"/>
      <c r="Y2656" s="551"/>
    </row>
    <row r="2657" spans="1:25">
      <c r="A2657" s="499">
        <v>45566</v>
      </c>
      <c r="B2657" s="499">
        <v>45566</v>
      </c>
      <c r="C2657" s="500" t="s">
        <v>173</v>
      </c>
      <c r="D2657" s="500" t="s">
        <v>762</v>
      </c>
      <c r="E2657" s="501">
        <v>-1185637803.74</v>
      </c>
      <c r="F2657" s="502" t="s">
        <v>878</v>
      </c>
      <c r="G2657" s="100" t="s">
        <v>686</v>
      </c>
      <c r="H2657" s="530"/>
      <c r="I2657" s="525"/>
      <c r="K2657" s="548"/>
      <c r="L2657" s="548"/>
      <c r="M2657" s="548"/>
      <c r="N2657" s="552"/>
      <c r="Y2657" s="551"/>
    </row>
    <row r="2658" spans="1:25">
      <c r="A2658" s="499">
        <v>45566</v>
      </c>
      <c r="B2658" s="499">
        <v>45566</v>
      </c>
      <c r="C2658" s="500" t="s">
        <v>173</v>
      </c>
      <c r="D2658" s="500" t="s">
        <v>762</v>
      </c>
      <c r="E2658" s="501">
        <v>-27005474.329999998</v>
      </c>
      <c r="F2658" s="502" t="s">
        <v>878</v>
      </c>
      <c r="G2658" s="100" t="s">
        <v>630</v>
      </c>
      <c r="H2658" s="530"/>
      <c r="I2658" s="525"/>
      <c r="K2658" s="548"/>
      <c r="L2658" s="548"/>
      <c r="M2658" s="548"/>
      <c r="N2658" s="552"/>
      <c r="Y2658" s="551"/>
    </row>
    <row r="2659" spans="1:25">
      <c r="A2659" s="499">
        <v>45566</v>
      </c>
      <c r="B2659" s="499">
        <v>45567</v>
      </c>
      <c r="C2659" s="500" t="s">
        <v>173</v>
      </c>
      <c r="D2659" s="500" t="s">
        <v>762</v>
      </c>
      <c r="E2659" s="501">
        <v>500181327.31999999</v>
      </c>
      <c r="F2659" s="502" t="s">
        <v>878</v>
      </c>
      <c r="G2659" s="100" t="s">
        <v>927</v>
      </c>
      <c r="H2659" s="484">
        <v>99.508868461155899</v>
      </c>
      <c r="I2659" s="525"/>
      <c r="K2659" s="548"/>
      <c r="L2659" s="548"/>
      <c r="M2659" s="548"/>
      <c r="N2659" s="552"/>
      <c r="Y2659" s="551"/>
    </row>
    <row r="2660" spans="1:25">
      <c r="A2660" s="499">
        <v>45566</v>
      </c>
      <c r="B2660" s="499">
        <v>45567</v>
      </c>
      <c r="C2660" s="500" t="s">
        <v>173</v>
      </c>
      <c r="D2660" s="500" t="s">
        <v>762</v>
      </c>
      <c r="E2660" s="501">
        <v>4501631945.8800001</v>
      </c>
      <c r="F2660" s="502" t="s">
        <v>878</v>
      </c>
      <c r="G2660" s="100" t="s">
        <v>927</v>
      </c>
      <c r="H2660" s="484">
        <v>99.508868461155899</v>
      </c>
      <c r="I2660" s="525"/>
      <c r="K2660" s="548"/>
      <c r="L2660" s="548"/>
      <c r="M2660" s="548"/>
      <c r="N2660" s="552"/>
      <c r="Y2660" s="551"/>
    </row>
    <row r="2661" spans="1:25">
      <c r="A2661" s="499">
        <v>45566</v>
      </c>
      <c r="B2661" s="499">
        <v>45567</v>
      </c>
      <c r="C2661" s="500" t="s">
        <v>173</v>
      </c>
      <c r="D2661" s="500" t="s">
        <v>762</v>
      </c>
      <c r="E2661" s="501">
        <v>1186064115.04</v>
      </c>
      <c r="F2661" s="502" t="s">
        <v>878</v>
      </c>
      <c r="G2661" s="100" t="s">
        <v>686</v>
      </c>
      <c r="H2661" s="484">
        <v>946.92335607902305</v>
      </c>
      <c r="I2661" s="525"/>
      <c r="K2661" s="548"/>
      <c r="L2661" s="548"/>
      <c r="M2661" s="548"/>
      <c r="N2661" s="552"/>
      <c r="Y2661" s="551"/>
    </row>
    <row r="2662" spans="1:25">
      <c r="A2662" s="499">
        <v>45566</v>
      </c>
      <c r="B2662" s="499">
        <v>45567</v>
      </c>
      <c r="C2662" s="500" t="s">
        <v>173</v>
      </c>
      <c r="D2662" s="500" t="s">
        <v>762</v>
      </c>
      <c r="E2662" s="501">
        <v>27015184.5</v>
      </c>
      <c r="F2662" s="502" t="s">
        <v>878</v>
      </c>
      <c r="G2662" s="100" t="s">
        <v>630</v>
      </c>
      <c r="H2662" s="484">
        <v>488.31741771053601</v>
      </c>
      <c r="I2662" s="525"/>
      <c r="K2662" s="548"/>
      <c r="L2662" s="548"/>
      <c r="M2662" s="548"/>
      <c r="N2662" s="552"/>
      <c r="Y2662" s="551"/>
    </row>
    <row r="2663" spans="1:25">
      <c r="A2663" s="499">
        <v>45566</v>
      </c>
      <c r="B2663" s="499">
        <v>45566</v>
      </c>
      <c r="C2663" s="500" t="s">
        <v>173</v>
      </c>
      <c r="D2663" s="500" t="s">
        <v>761</v>
      </c>
      <c r="E2663" s="501">
        <v>-1000136.38</v>
      </c>
      <c r="F2663" s="502" t="s">
        <v>878</v>
      </c>
      <c r="G2663" s="100" t="s">
        <v>683</v>
      </c>
      <c r="H2663" s="530"/>
      <c r="I2663" s="525"/>
      <c r="K2663" s="548"/>
      <c r="L2663" s="548"/>
      <c r="M2663" s="548"/>
      <c r="N2663" s="552"/>
      <c r="Y2663" s="551"/>
    </row>
    <row r="2664" spans="1:25">
      <c r="A2664" s="499">
        <v>45566</v>
      </c>
      <c r="B2664" s="499">
        <v>45566</v>
      </c>
      <c r="C2664" s="500" t="s">
        <v>173</v>
      </c>
      <c r="D2664" s="500" t="s">
        <v>761</v>
      </c>
      <c r="E2664" s="501">
        <v>-294109911.89999998</v>
      </c>
      <c r="F2664" s="502" t="s">
        <v>878</v>
      </c>
      <c r="G2664" s="100" t="s">
        <v>632</v>
      </c>
      <c r="H2664" s="530"/>
      <c r="I2664" s="525"/>
      <c r="K2664" s="548"/>
      <c r="L2664" s="548"/>
      <c r="M2664" s="548"/>
      <c r="N2664" s="552"/>
      <c r="Y2664" s="551"/>
    </row>
    <row r="2665" spans="1:25">
      <c r="A2665" s="499">
        <v>45566</v>
      </c>
      <c r="B2665" s="499">
        <v>45566</v>
      </c>
      <c r="C2665" s="500" t="s">
        <v>173</v>
      </c>
      <c r="D2665" s="500" t="s">
        <v>761</v>
      </c>
      <c r="E2665" s="501">
        <v>-663297247.42999995</v>
      </c>
      <c r="F2665" s="502" t="s">
        <v>878</v>
      </c>
      <c r="G2665" s="100" t="s">
        <v>634</v>
      </c>
      <c r="H2665" s="530"/>
      <c r="I2665" s="525"/>
      <c r="K2665" s="548"/>
      <c r="L2665" s="548"/>
      <c r="M2665" s="548"/>
      <c r="N2665" s="552"/>
      <c r="Y2665" s="551"/>
    </row>
    <row r="2666" spans="1:25">
      <c r="A2666" s="499">
        <v>45566</v>
      </c>
      <c r="B2666" s="499">
        <v>45573</v>
      </c>
      <c r="C2666" s="500" t="s">
        <v>173</v>
      </c>
      <c r="D2666" s="500" t="s">
        <v>761</v>
      </c>
      <c r="E2666" s="501">
        <v>1002699.57</v>
      </c>
      <c r="F2666" s="502" t="s">
        <v>878</v>
      </c>
      <c r="G2666" s="100" t="s">
        <v>683</v>
      </c>
      <c r="H2666" s="573">
        <v>1134.27553167421</v>
      </c>
      <c r="I2666" s="525"/>
      <c r="K2666" s="548"/>
      <c r="L2666" s="548"/>
      <c r="M2666" s="548"/>
      <c r="N2666" s="552"/>
      <c r="Y2666" s="551"/>
    </row>
    <row r="2667" spans="1:25">
      <c r="A2667" s="499">
        <v>45566</v>
      </c>
      <c r="B2667" s="499">
        <v>45573</v>
      </c>
      <c r="C2667" s="500" t="s">
        <v>173</v>
      </c>
      <c r="D2667" s="500" t="s">
        <v>761</v>
      </c>
      <c r="E2667" s="501">
        <v>294866481.51999998</v>
      </c>
      <c r="F2667" s="502" t="s">
        <v>878</v>
      </c>
      <c r="G2667" s="100" t="s">
        <v>632</v>
      </c>
      <c r="H2667" s="573">
        <v>494.06266800710398</v>
      </c>
      <c r="I2667" s="525"/>
      <c r="K2667" s="548"/>
      <c r="L2667" s="548"/>
      <c r="M2667" s="548"/>
      <c r="N2667" s="552"/>
      <c r="Y2667" s="551"/>
    </row>
    <row r="2668" spans="1:25">
      <c r="A2668" s="499">
        <v>45566</v>
      </c>
      <c r="B2668" s="499">
        <v>45567</v>
      </c>
      <c r="C2668" s="500" t="s">
        <v>173</v>
      </c>
      <c r="D2668" s="500" t="s">
        <v>761</v>
      </c>
      <c r="E2668" s="501">
        <v>663541906.25</v>
      </c>
      <c r="F2668" s="502" t="s">
        <v>878</v>
      </c>
      <c r="G2668" s="100" t="s">
        <v>634</v>
      </c>
      <c r="H2668" s="573">
        <v>486.305808953618</v>
      </c>
      <c r="I2668" s="525"/>
      <c r="K2668" s="548"/>
      <c r="L2668" s="548"/>
      <c r="M2668" s="548"/>
      <c r="N2668" s="552"/>
      <c r="Y2668" s="551"/>
    </row>
    <row r="2669" spans="1:25">
      <c r="A2669" s="499">
        <v>45566</v>
      </c>
      <c r="B2669" s="499">
        <v>45566</v>
      </c>
      <c r="C2669" s="500" t="s">
        <v>173</v>
      </c>
      <c r="D2669" s="500" t="s">
        <v>759</v>
      </c>
      <c r="E2669" s="501">
        <v>-1995108099.47</v>
      </c>
      <c r="F2669" s="502" t="s">
        <v>878</v>
      </c>
      <c r="G2669" s="100" t="s">
        <v>645</v>
      </c>
      <c r="H2669" s="484"/>
      <c r="I2669" s="525"/>
      <c r="K2669" s="548"/>
      <c r="L2669" s="548"/>
      <c r="M2669" s="548"/>
      <c r="N2669" s="552"/>
      <c r="Y2669" s="551"/>
    </row>
    <row r="2670" spans="1:25">
      <c r="A2670" s="499">
        <v>45566</v>
      </c>
      <c r="B2670" s="499">
        <v>45566</v>
      </c>
      <c r="C2670" s="500" t="s">
        <v>173</v>
      </c>
      <c r="D2670" s="500" t="s">
        <v>759</v>
      </c>
      <c r="E2670" s="501">
        <v>-9004035.0299999993</v>
      </c>
      <c r="F2670" s="502" t="s">
        <v>878</v>
      </c>
      <c r="G2670" s="100" t="s">
        <v>634</v>
      </c>
      <c r="H2670" s="484"/>
      <c r="I2670" s="525"/>
      <c r="K2670" s="548"/>
      <c r="L2670" s="548"/>
      <c r="M2670" s="548"/>
      <c r="N2670" s="552"/>
      <c r="Y2670" s="551"/>
    </row>
    <row r="2671" spans="1:25">
      <c r="A2671" s="499">
        <v>45566</v>
      </c>
      <c r="B2671" s="499">
        <v>45567</v>
      </c>
      <c r="C2671" s="500" t="s">
        <v>173</v>
      </c>
      <c r="D2671" s="500" t="s">
        <v>759</v>
      </c>
      <c r="E2671" s="501">
        <v>1995827652.0999999</v>
      </c>
      <c r="F2671" s="502" t="s">
        <v>878</v>
      </c>
      <c r="G2671" s="100" t="s">
        <v>645</v>
      </c>
      <c r="H2671" s="570" t="s">
        <v>950</v>
      </c>
      <c r="I2671" s="525"/>
      <c r="K2671" s="548"/>
      <c r="L2671" s="548"/>
      <c r="M2671" s="548"/>
      <c r="N2671" s="552"/>
      <c r="Y2671" s="551"/>
    </row>
    <row r="2672" spans="1:25">
      <c r="A2672" s="499">
        <v>45566</v>
      </c>
      <c r="B2672" s="499">
        <v>45567</v>
      </c>
      <c r="C2672" s="500" t="s">
        <v>173</v>
      </c>
      <c r="D2672" s="500" t="s">
        <v>759</v>
      </c>
      <c r="E2672" s="501">
        <v>9007272.5700000003</v>
      </c>
      <c r="F2672" s="502" t="s">
        <v>878</v>
      </c>
      <c r="G2672" s="100" t="s">
        <v>634</v>
      </c>
      <c r="H2672" s="570" t="s">
        <v>951</v>
      </c>
      <c r="I2672" s="525"/>
      <c r="K2672" s="548"/>
      <c r="L2672" s="548"/>
      <c r="M2672" s="548"/>
      <c r="N2672" s="552"/>
      <c r="Y2672" s="551"/>
    </row>
    <row r="2673" spans="1:25">
      <c r="A2673" s="499">
        <v>45566</v>
      </c>
      <c r="B2673" s="499">
        <v>45566</v>
      </c>
      <c r="C2673" s="500" t="s">
        <v>173</v>
      </c>
      <c r="D2673" s="500" t="s">
        <v>760</v>
      </c>
      <c r="E2673" s="501">
        <v>-1235353862.0799999</v>
      </c>
      <c r="F2673" s="502" t="s">
        <v>878</v>
      </c>
      <c r="G2673" s="100" t="s">
        <v>710</v>
      </c>
      <c r="H2673" s="530"/>
      <c r="I2673" s="525"/>
      <c r="K2673" s="548"/>
      <c r="L2673" s="548"/>
      <c r="M2673" s="548"/>
      <c r="N2673" s="552"/>
      <c r="Y2673" s="551"/>
    </row>
    <row r="2674" spans="1:25">
      <c r="A2674" s="499">
        <v>45566</v>
      </c>
      <c r="B2674" s="499">
        <v>45566</v>
      </c>
      <c r="C2674" s="500" t="s">
        <v>173</v>
      </c>
      <c r="D2674" s="500" t="s">
        <v>760</v>
      </c>
      <c r="E2674" s="501">
        <v>-33001788.109999999</v>
      </c>
      <c r="F2674" s="502" t="s">
        <v>878</v>
      </c>
      <c r="G2674" s="100" t="s">
        <v>645</v>
      </c>
      <c r="H2674" s="530"/>
      <c r="I2674" s="525"/>
      <c r="K2674" s="548"/>
      <c r="L2674" s="548"/>
      <c r="M2674" s="548"/>
      <c r="N2674" s="552"/>
      <c r="Y2674" s="551"/>
    </row>
    <row r="2675" spans="1:25">
      <c r="A2675" s="499">
        <v>45566</v>
      </c>
      <c r="B2675" s="499">
        <v>45567</v>
      </c>
      <c r="C2675" s="500" t="s">
        <v>173</v>
      </c>
      <c r="D2675" s="500" t="s">
        <v>760</v>
      </c>
      <c r="E2675" s="501">
        <v>1235799402.9100001</v>
      </c>
      <c r="F2675" s="502" t="s">
        <v>878</v>
      </c>
      <c r="G2675" s="100" t="s">
        <v>710</v>
      </c>
      <c r="H2675" s="484" t="s">
        <v>952</v>
      </c>
      <c r="I2675" s="525"/>
      <c r="K2675" s="548"/>
      <c r="L2675" s="548"/>
      <c r="M2675" s="548"/>
      <c r="N2675" s="552"/>
      <c r="Y2675" s="551"/>
    </row>
    <row r="2676" spans="1:25">
      <c r="A2676" s="499">
        <v>45566</v>
      </c>
      <c r="B2676" s="499">
        <v>45567</v>
      </c>
      <c r="C2676" s="500" t="s">
        <v>173</v>
      </c>
      <c r="D2676" s="500" t="s">
        <v>760</v>
      </c>
      <c r="E2676" s="501">
        <v>33013645.399999999</v>
      </c>
      <c r="F2676" s="502" t="s">
        <v>878</v>
      </c>
      <c r="G2676" s="100" t="s">
        <v>645</v>
      </c>
      <c r="H2676" s="484" t="s">
        <v>953</v>
      </c>
      <c r="I2676" s="525"/>
      <c r="K2676" s="548"/>
      <c r="L2676" s="548"/>
      <c r="M2676" s="548"/>
      <c r="N2676" s="552"/>
      <c r="Y2676" s="551"/>
    </row>
    <row r="2677" spans="1:25">
      <c r="A2677" s="499">
        <v>45566</v>
      </c>
      <c r="B2677" s="499">
        <v>45566</v>
      </c>
      <c r="C2677" s="500" t="s">
        <v>173</v>
      </c>
      <c r="D2677" s="500" t="s">
        <v>763</v>
      </c>
      <c r="E2677" s="501">
        <v>-23004663.319999989</v>
      </c>
      <c r="F2677" s="502" t="s">
        <v>878</v>
      </c>
      <c r="G2677" s="100" t="s">
        <v>139</v>
      </c>
      <c r="H2677" s="530"/>
      <c r="I2677" s="525"/>
      <c r="K2677" s="548"/>
      <c r="L2677" s="548"/>
      <c r="M2677" s="548"/>
      <c r="N2677" s="552"/>
      <c r="Y2677" s="551"/>
    </row>
    <row r="2678" spans="1:25">
      <c r="A2678" s="499">
        <v>45566</v>
      </c>
      <c r="B2678" s="499">
        <v>45566</v>
      </c>
      <c r="C2678" s="500" t="s">
        <v>173</v>
      </c>
      <c r="D2678" s="500" t="s">
        <v>763</v>
      </c>
      <c r="E2678" s="501">
        <v>-5354290107.5600004</v>
      </c>
      <c r="F2678" s="502" t="s">
        <v>878</v>
      </c>
      <c r="G2678" s="100" t="s">
        <v>645</v>
      </c>
      <c r="H2678" s="530"/>
      <c r="I2678" s="525"/>
      <c r="K2678" s="548"/>
      <c r="L2678" s="548"/>
      <c r="M2678" s="548"/>
      <c r="N2678" s="552"/>
      <c r="Y2678" s="551"/>
    </row>
    <row r="2679" spans="1:25">
      <c r="A2679" s="499">
        <v>45566</v>
      </c>
      <c r="B2679" s="499">
        <v>45567</v>
      </c>
      <c r="C2679" s="500" t="s">
        <v>173</v>
      </c>
      <c r="D2679" s="500" t="s">
        <v>763</v>
      </c>
      <c r="E2679" s="501">
        <v>23012991.57</v>
      </c>
      <c r="F2679" s="502" t="s">
        <v>878</v>
      </c>
      <c r="G2679" s="100" t="s">
        <v>139</v>
      </c>
      <c r="H2679" s="571">
        <v>488.31861926284301</v>
      </c>
      <c r="I2679" s="525"/>
      <c r="K2679" s="548"/>
      <c r="L2679" s="548"/>
      <c r="M2679" s="548"/>
      <c r="N2679" s="552"/>
      <c r="Y2679" s="551"/>
    </row>
    <row r="2680" spans="1:25">
      <c r="A2680" s="499">
        <v>45566</v>
      </c>
      <c r="B2680" s="499">
        <v>45567</v>
      </c>
      <c r="C2680" s="500" t="s">
        <v>173</v>
      </c>
      <c r="D2680" s="500" t="s">
        <v>763</v>
      </c>
      <c r="E2680" s="501">
        <v>5356228550.7600002</v>
      </c>
      <c r="F2680" s="502" t="s">
        <v>878</v>
      </c>
      <c r="G2680" s="100" t="s">
        <v>645</v>
      </c>
      <c r="H2680" s="571">
        <v>98.972718671962525</v>
      </c>
      <c r="I2680" s="525"/>
      <c r="K2680" s="548"/>
      <c r="L2680" s="548"/>
      <c r="M2680" s="548"/>
      <c r="N2680" s="552"/>
      <c r="Y2680" s="551"/>
    </row>
    <row r="2681" spans="1:25">
      <c r="A2681" s="499">
        <v>45567</v>
      </c>
      <c r="B2681" s="499">
        <v>45567</v>
      </c>
      <c r="C2681" s="500" t="s">
        <v>173</v>
      </c>
      <c r="D2681" s="500" t="s">
        <v>762</v>
      </c>
      <c r="E2681" s="501">
        <v>-2410192720.4699998</v>
      </c>
      <c r="F2681" s="502" t="s">
        <v>878</v>
      </c>
      <c r="G2681" s="100" t="s">
        <v>696</v>
      </c>
      <c r="H2681" s="530"/>
      <c r="I2681" s="525"/>
      <c r="K2681" s="548"/>
      <c r="L2681" s="548"/>
      <c r="M2681" s="548"/>
      <c r="N2681" s="552"/>
      <c r="Y2681" s="551"/>
    </row>
    <row r="2682" spans="1:25">
      <c r="A2682" s="499">
        <v>45567</v>
      </c>
      <c r="B2682" s="499">
        <v>45567</v>
      </c>
      <c r="C2682" s="500" t="s">
        <v>173</v>
      </c>
      <c r="D2682" s="500" t="s">
        <v>762</v>
      </c>
      <c r="E2682" s="501">
        <v>-23001839.239999998</v>
      </c>
      <c r="F2682" s="502" t="s">
        <v>878</v>
      </c>
      <c r="G2682" s="100" t="s">
        <v>696</v>
      </c>
      <c r="H2682" s="530"/>
      <c r="I2682" s="525"/>
      <c r="K2682" s="548"/>
      <c r="L2682" s="548"/>
      <c r="M2682" s="548"/>
      <c r="N2682" s="552"/>
      <c r="Y2682" s="551"/>
    </row>
    <row r="2683" spans="1:25">
      <c r="A2683" s="499">
        <v>45567</v>
      </c>
      <c r="B2683" s="499">
        <v>45567</v>
      </c>
      <c r="C2683" s="500" t="s">
        <v>173</v>
      </c>
      <c r="D2683" s="500" t="s">
        <v>762</v>
      </c>
      <c r="E2683" s="501">
        <v>-3780472097.9000001</v>
      </c>
      <c r="F2683" s="502" t="s">
        <v>878</v>
      </c>
      <c r="G2683" s="100" t="s">
        <v>654</v>
      </c>
      <c r="H2683" s="530"/>
      <c r="I2683" s="525"/>
      <c r="K2683" s="548"/>
      <c r="L2683" s="548"/>
      <c r="M2683" s="548"/>
      <c r="N2683" s="552"/>
      <c r="Y2683" s="551"/>
    </row>
    <row r="2684" spans="1:25">
      <c r="A2684" s="499">
        <v>45567</v>
      </c>
      <c r="B2684" s="499">
        <v>45568</v>
      </c>
      <c r="C2684" s="500" t="s">
        <v>173</v>
      </c>
      <c r="D2684" s="500" t="s">
        <v>762</v>
      </c>
      <c r="E2684" s="501">
        <v>2411066599.7199998</v>
      </c>
      <c r="F2684" s="502" t="s">
        <v>878</v>
      </c>
      <c r="G2684" s="100" t="s">
        <v>696</v>
      </c>
      <c r="H2684" s="484">
        <v>941.15011523793498</v>
      </c>
      <c r="I2684" s="525"/>
      <c r="K2684" s="548"/>
      <c r="L2684" s="548"/>
      <c r="M2684" s="548"/>
      <c r="N2684" s="552"/>
      <c r="Y2684" s="551"/>
    </row>
    <row r="2685" spans="1:25">
      <c r="A2685" s="499">
        <v>45567</v>
      </c>
      <c r="B2685" s="499">
        <v>45568</v>
      </c>
      <c r="C2685" s="500" t="s">
        <v>173</v>
      </c>
      <c r="D2685" s="500" t="s">
        <v>762</v>
      </c>
      <c r="E2685" s="501">
        <v>23010179.170000002</v>
      </c>
      <c r="F2685" s="502" t="s">
        <v>878</v>
      </c>
      <c r="G2685" s="100" t="s">
        <v>696</v>
      </c>
      <c r="H2685" s="484">
        <v>941.15011534214102</v>
      </c>
      <c r="I2685" s="525"/>
      <c r="K2685" s="548"/>
      <c r="L2685" s="548"/>
      <c r="M2685" s="548"/>
      <c r="N2685" s="552"/>
      <c r="Y2685" s="551"/>
    </row>
    <row r="2686" spans="1:25">
      <c r="A2686" s="499">
        <v>45567</v>
      </c>
      <c r="B2686" s="499">
        <v>45568</v>
      </c>
      <c r="C2686" s="500" t="s">
        <v>173</v>
      </c>
      <c r="D2686" s="500" t="s">
        <v>762</v>
      </c>
      <c r="E2686" s="501">
        <v>3781842808.25</v>
      </c>
      <c r="F2686" s="502" t="s">
        <v>878</v>
      </c>
      <c r="G2686" s="100" t="s">
        <v>654</v>
      </c>
      <c r="H2686" s="484">
        <v>1062.93225457527</v>
      </c>
      <c r="I2686" s="525"/>
      <c r="K2686" s="548"/>
      <c r="L2686" s="548"/>
      <c r="M2686" s="548"/>
      <c r="N2686" s="552"/>
      <c r="Y2686" s="551"/>
    </row>
    <row r="2687" spans="1:25">
      <c r="A2687" s="499">
        <v>45567</v>
      </c>
      <c r="B2687" s="499">
        <v>45567</v>
      </c>
      <c r="C2687" s="500" t="s">
        <v>173</v>
      </c>
      <c r="D2687" s="500" t="s">
        <v>761</v>
      </c>
      <c r="E2687" s="501">
        <v>-660029686.26999998</v>
      </c>
      <c r="F2687" s="502" t="s">
        <v>878</v>
      </c>
      <c r="G2687" s="100" t="s">
        <v>634</v>
      </c>
      <c r="H2687" s="530"/>
      <c r="I2687" s="525"/>
      <c r="K2687" s="548"/>
      <c r="L2687" s="548"/>
      <c r="M2687" s="548"/>
      <c r="N2687" s="552"/>
      <c r="Y2687" s="551"/>
    </row>
    <row r="2688" spans="1:25">
      <c r="A2688" s="499">
        <v>45567</v>
      </c>
      <c r="B2688" s="499">
        <v>45567</v>
      </c>
      <c r="C2688" s="500" t="s">
        <v>173</v>
      </c>
      <c r="D2688" s="500" t="s">
        <v>761</v>
      </c>
      <c r="E2688" s="501">
        <v>-3001317.21</v>
      </c>
      <c r="F2688" s="502" t="s">
        <v>878</v>
      </c>
      <c r="G2688" s="100" t="s">
        <v>551</v>
      </c>
      <c r="H2688" s="530"/>
      <c r="I2688" s="525"/>
      <c r="K2688" s="548"/>
      <c r="L2688" s="548"/>
      <c r="M2688" s="548"/>
      <c r="N2688" s="552"/>
      <c r="Y2688" s="551"/>
    </row>
    <row r="2689" spans="1:25">
      <c r="A2689" s="499">
        <v>45567</v>
      </c>
      <c r="B2689" s="499">
        <v>45568</v>
      </c>
      <c r="C2689" s="500" t="s">
        <v>173</v>
      </c>
      <c r="D2689" s="500" t="s">
        <v>761</v>
      </c>
      <c r="E2689" s="501">
        <v>660273139.84000003</v>
      </c>
      <c r="F2689" s="502" t="s">
        <v>878</v>
      </c>
      <c r="G2689" s="100" t="s">
        <v>634</v>
      </c>
      <c r="H2689" s="573">
        <v>486.582611012852</v>
      </c>
      <c r="I2689" s="525"/>
      <c r="K2689" s="548"/>
      <c r="L2689" s="548"/>
      <c r="M2689" s="548"/>
      <c r="N2689" s="552"/>
      <c r="Y2689" s="551"/>
    </row>
    <row r="2690" spans="1:25">
      <c r="A2690" s="499">
        <v>45567</v>
      </c>
      <c r="B2690" s="499">
        <v>45568</v>
      </c>
      <c r="C2690" s="500" t="s">
        <v>173</v>
      </c>
      <c r="D2690" s="500" t="s">
        <v>761</v>
      </c>
      <c r="E2690" s="501">
        <v>3002411.13</v>
      </c>
      <c r="F2690" s="502" t="s">
        <v>878</v>
      </c>
      <c r="G2690" s="100" t="s">
        <v>551</v>
      </c>
      <c r="H2690" s="573">
        <v>480.46265482477202</v>
      </c>
      <c r="I2690" s="525"/>
      <c r="K2690" s="548"/>
      <c r="L2690" s="548"/>
      <c r="M2690" s="548"/>
      <c r="N2690" s="552"/>
      <c r="Y2690" s="551"/>
    </row>
    <row r="2691" spans="1:25">
      <c r="A2691" s="499">
        <v>45567</v>
      </c>
      <c r="B2691" s="499">
        <v>45567</v>
      </c>
      <c r="C2691" s="500" t="s">
        <v>173</v>
      </c>
      <c r="D2691" s="500" t="s">
        <v>759</v>
      </c>
      <c r="E2691" s="501">
        <v>-7001182.9100000001</v>
      </c>
      <c r="F2691" s="502" t="s">
        <v>878</v>
      </c>
      <c r="G2691" s="100" t="s">
        <v>139</v>
      </c>
      <c r="H2691" s="484"/>
      <c r="I2691" s="525"/>
      <c r="K2691" s="548"/>
      <c r="L2691" s="548"/>
      <c r="M2691" s="548"/>
      <c r="N2691" s="552"/>
      <c r="Y2691" s="551"/>
    </row>
    <row r="2692" spans="1:25">
      <c r="A2692" s="499">
        <v>45567</v>
      </c>
      <c r="B2692" s="499">
        <v>45567</v>
      </c>
      <c r="C2692" s="500" t="s">
        <v>173</v>
      </c>
      <c r="D2692" s="500" t="s">
        <v>759</v>
      </c>
      <c r="E2692" s="501">
        <v>-1997152011.3599999</v>
      </c>
      <c r="F2692" s="502" t="s">
        <v>878</v>
      </c>
      <c r="G2692" s="100" t="s">
        <v>95</v>
      </c>
      <c r="H2692" s="530"/>
      <c r="I2692" s="525"/>
      <c r="K2692" s="548"/>
      <c r="L2692" s="548"/>
      <c r="M2692" s="548"/>
      <c r="N2692" s="552"/>
      <c r="Y2692" s="551"/>
    </row>
    <row r="2693" spans="1:25">
      <c r="A2693" s="499">
        <v>45567</v>
      </c>
      <c r="B2693" s="499">
        <v>45568</v>
      </c>
      <c r="C2693" s="500" t="s">
        <v>173</v>
      </c>
      <c r="D2693" s="500" t="s">
        <v>759</v>
      </c>
      <c r="E2693" s="501">
        <v>7003719.4400000004</v>
      </c>
      <c r="F2693" s="502" t="s">
        <v>878</v>
      </c>
      <c r="G2693" s="100" t="s">
        <v>139</v>
      </c>
      <c r="H2693" s="570" t="s">
        <v>956</v>
      </c>
      <c r="I2693" s="525"/>
      <c r="K2693" s="548"/>
      <c r="L2693" s="548"/>
      <c r="M2693" s="548"/>
      <c r="N2693" s="552"/>
      <c r="Y2693" s="551"/>
    </row>
    <row r="2694" spans="1:25">
      <c r="A2694" s="499">
        <v>45567</v>
      </c>
      <c r="B2694" s="499">
        <v>45568</v>
      </c>
      <c r="C2694" s="500" t="s">
        <v>173</v>
      </c>
      <c r="D2694" s="500" t="s">
        <v>759</v>
      </c>
      <c r="E2694" s="501">
        <v>1997880480.74</v>
      </c>
      <c r="F2694" s="502" t="s">
        <v>878</v>
      </c>
      <c r="G2694" s="100" t="s">
        <v>95</v>
      </c>
      <c r="H2694" s="570" t="s">
        <v>957</v>
      </c>
      <c r="I2694" s="525"/>
      <c r="K2694" s="548"/>
      <c r="L2694" s="548"/>
      <c r="M2694" s="548"/>
      <c r="N2694" s="552"/>
      <c r="Y2694" s="551"/>
    </row>
    <row r="2695" spans="1:25">
      <c r="A2695" s="499">
        <v>45567</v>
      </c>
      <c r="B2695" s="499">
        <v>45567</v>
      </c>
      <c r="C2695" s="500" t="s">
        <v>173</v>
      </c>
      <c r="D2695" s="500" t="s">
        <v>760</v>
      </c>
      <c r="E2695" s="501">
        <v>-1235055549.3099999</v>
      </c>
      <c r="F2695" s="502" t="s">
        <v>878</v>
      </c>
      <c r="G2695" s="100" t="s">
        <v>634</v>
      </c>
      <c r="H2695" s="530"/>
      <c r="I2695" s="525"/>
      <c r="K2695" s="548"/>
      <c r="L2695" s="548"/>
      <c r="M2695" s="548"/>
      <c r="N2695" s="552"/>
      <c r="Y2695" s="551"/>
    </row>
    <row r="2696" spans="1:25">
      <c r="A2696" s="499">
        <v>45567</v>
      </c>
      <c r="B2696" s="499">
        <v>45567</v>
      </c>
      <c r="C2696" s="500" t="s">
        <v>173</v>
      </c>
      <c r="D2696" s="500" t="s">
        <v>760</v>
      </c>
      <c r="E2696" s="501">
        <v>-33001484.309999999</v>
      </c>
      <c r="F2696" s="502" t="s">
        <v>878</v>
      </c>
      <c r="G2696" s="100" t="s">
        <v>634</v>
      </c>
      <c r="H2696" s="530"/>
      <c r="I2696" s="525"/>
      <c r="K2696" s="548"/>
      <c r="L2696" s="548"/>
      <c r="M2696" s="548"/>
      <c r="N2696" s="552"/>
      <c r="Y2696" s="551"/>
    </row>
    <row r="2697" spans="1:25">
      <c r="A2697" s="499">
        <v>45567</v>
      </c>
      <c r="B2697" s="499">
        <v>45568</v>
      </c>
      <c r="C2697" s="500" t="s">
        <v>173</v>
      </c>
      <c r="D2697" s="500" t="s">
        <v>760</v>
      </c>
      <c r="E2697" s="501">
        <v>1235506037.51</v>
      </c>
      <c r="F2697" s="502" t="s">
        <v>878</v>
      </c>
      <c r="G2697" s="100" t="s">
        <v>634</v>
      </c>
      <c r="H2697" s="484" t="s">
        <v>954</v>
      </c>
      <c r="I2697" s="525"/>
      <c r="K2697" s="548"/>
      <c r="L2697" s="548"/>
      <c r="M2697" s="548"/>
      <c r="N2697" s="552"/>
      <c r="Y2697" s="551"/>
    </row>
    <row r="2698" spans="1:25">
      <c r="A2698" s="499">
        <v>45567</v>
      </c>
      <c r="B2698" s="499">
        <v>45568</v>
      </c>
      <c r="C2698" s="500" t="s">
        <v>173</v>
      </c>
      <c r="D2698" s="500" t="s">
        <v>760</v>
      </c>
      <c r="E2698" s="501">
        <v>33013476.649999999</v>
      </c>
      <c r="F2698" s="502" t="s">
        <v>878</v>
      </c>
      <c r="G2698" s="100" t="s">
        <v>634</v>
      </c>
      <c r="H2698" s="484" t="s">
        <v>955</v>
      </c>
      <c r="I2698" s="525"/>
      <c r="K2698" s="548"/>
      <c r="L2698" s="548"/>
      <c r="M2698" s="548"/>
      <c r="N2698" s="552"/>
      <c r="Y2698" s="551"/>
    </row>
    <row r="2699" spans="1:25">
      <c r="A2699" s="499">
        <v>45567</v>
      </c>
      <c r="B2699" s="499">
        <v>45567</v>
      </c>
      <c r="C2699" s="500" t="s">
        <v>173</v>
      </c>
      <c r="D2699" s="500" t="s">
        <v>763</v>
      </c>
      <c r="E2699" s="501">
        <v>-23003886.690000001</v>
      </c>
      <c r="F2699" s="502" t="s">
        <v>878</v>
      </c>
      <c r="G2699" s="100" t="s">
        <v>139</v>
      </c>
      <c r="H2699" s="530"/>
      <c r="I2699" s="525"/>
      <c r="K2699" s="548"/>
      <c r="L2699" s="548"/>
      <c r="M2699" s="548"/>
      <c r="N2699" s="552"/>
      <c r="Y2699" s="551"/>
    </row>
    <row r="2700" spans="1:25">
      <c r="A2700" s="499">
        <v>45567</v>
      </c>
      <c r="B2700" s="499">
        <v>45567</v>
      </c>
      <c r="C2700" s="500" t="s">
        <v>173</v>
      </c>
      <c r="D2700" s="500" t="s">
        <v>763</v>
      </c>
      <c r="E2700" s="501">
        <v>-5356178333.3800001</v>
      </c>
      <c r="F2700" s="502" t="s">
        <v>878</v>
      </c>
      <c r="G2700" s="100" t="s">
        <v>645</v>
      </c>
      <c r="H2700" s="530"/>
      <c r="I2700" s="525"/>
      <c r="K2700" s="548"/>
      <c r="L2700" s="548"/>
      <c r="M2700" s="548"/>
      <c r="N2700" s="552"/>
      <c r="Y2700" s="551"/>
    </row>
    <row r="2701" spans="1:25">
      <c r="A2701" s="499">
        <v>45567</v>
      </c>
      <c r="B2701" s="499">
        <v>45568</v>
      </c>
      <c r="C2701" s="500" t="s">
        <v>173</v>
      </c>
      <c r="D2701" s="500" t="s">
        <v>763</v>
      </c>
      <c r="E2701" s="501">
        <v>23012246.030000001</v>
      </c>
      <c r="F2701" s="502" t="s">
        <v>878</v>
      </c>
      <c r="G2701" s="100" t="s">
        <v>139</v>
      </c>
      <c r="H2701" s="571">
        <v>490.21677417293301</v>
      </c>
      <c r="I2701" s="525"/>
      <c r="K2701" s="548"/>
      <c r="L2701" s="548"/>
      <c r="M2701" s="548"/>
      <c r="N2701" s="552"/>
      <c r="Y2701" s="551"/>
    </row>
    <row r="2702" spans="1:25">
      <c r="A2702" s="499">
        <v>45567</v>
      </c>
      <c r="B2702" s="499">
        <v>45568</v>
      </c>
      <c r="C2702" s="500" t="s">
        <v>173</v>
      </c>
      <c r="D2702" s="500" t="s">
        <v>763</v>
      </c>
      <c r="E2702" s="501">
        <v>5358117460.1800003</v>
      </c>
      <c r="F2702" s="502" t="s">
        <v>878</v>
      </c>
      <c r="G2702" s="100" t="s">
        <v>645</v>
      </c>
      <c r="H2702" s="571">
        <v>99.009832103480022</v>
      </c>
      <c r="I2702" s="525"/>
      <c r="K2702" s="548"/>
      <c r="L2702" s="548"/>
      <c r="M2702" s="548"/>
      <c r="N2702" s="552"/>
      <c r="Y2702" s="551"/>
    </row>
    <row r="2703" spans="1:25">
      <c r="A2703" s="499">
        <v>45568</v>
      </c>
      <c r="B2703" s="499">
        <v>45568</v>
      </c>
      <c r="C2703" s="500" t="s">
        <v>173</v>
      </c>
      <c r="D2703" s="500" t="s">
        <v>762</v>
      </c>
      <c r="E2703" s="501">
        <v>-26003154.109999999</v>
      </c>
      <c r="F2703" s="502" t="s">
        <v>878</v>
      </c>
      <c r="G2703" s="100" t="s">
        <v>648</v>
      </c>
      <c r="H2703" s="530"/>
      <c r="I2703" s="525"/>
      <c r="K2703" s="548"/>
      <c r="L2703" s="548"/>
      <c r="M2703" s="548"/>
      <c r="N2703" s="552"/>
      <c r="Y2703" s="551"/>
    </row>
    <row r="2704" spans="1:25">
      <c r="A2704" s="499">
        <v>45568</v>
      </c>
      <c r="B2704" s="499">
        <v>45568</v>
      </c>
      <c r="C2704" s="500" t="s">
        <v>173</v>
      </c>
      <c r="D2704" s="500" t="s">
        <v>762</v>
      </c>
      <c r="E2704" s="501">
        <v>-2615701659.6799998</v>
      </c>
      <c r="F2704" s="502" t="s">
        <v>878</v>
      </c>
      <c r="G2704" s="100" t="s">
        <v>633</v>
      </c>
      <c r="H2704" s="530"/>
      <c r="I2704" s="525"/>
      <c r="K2704" s="548"/>
      <c r="L2704" s="548"/>
      <c r="M2704" s="548"/>
      <c r="N2704" s="552"/>
      <c r="Y2704" s="551"/>
    </row>
    <row r="2705" spans="1:25">
      <c r="A2705" s="499">
        <v>45568</v>
      </c>
      <c r="B2705" s="499">
        <v>45568</v>
      </c>
      <c r="C2705" s="500" t="s">
        <v>173</v>
      </c>
      <c r="D2705" s="500" t="s">
        <v>762</v>
      </c>
      <c r="E2705" s="501">
        <v>-3575341482.9299998</v>
      </c>
      <c r="F2705" s="502" t="s">
        <v>878</v>
      </c>
      <c r="G2705" s="100" t="s">
        <v>630</v>
      </c>
      <c r="H2705" s="530"/>
      <c r="I2705" s="525"/>
      <c r="K2705" s="548"/>
      <c r="L2705" s="548"/>
      <c r="M2705" s="548"/>
      <c r="N2705" s="552"/>
      <c r="Y2705" s="551"/>
    </row>
    <row r="2706" spans="1:25">
      <c r="A2706" s="499">
        <v>45568</v>
      </c>
      <c r="B2706" s="499">
        <v>45569</v>
      </c>
      <c r="C2706" s="500" t="s">
        <v>173</v>
      </c>
      <c r="D2706" s="500" t="s">
        <v>762</v>
      </c>
      <c r="E2706" s="501">
        <v>26012532.300000001</v>
      </c>
      <c r="F2706" s="502" t="s">
        <v>878</v>
      </c>
      <c r="G2706" s="100" t="s">
        <v>648</v>
      </c>
      <c r="H2706" s="534">
        <v>1046.5293007724499</v>
      </c>
      <c r="I2706" s="525"/>
      <c r="K2706" s="548"/>
      <c r="L2706" s="548"/>
      <c r="M2706" s="548"/>
      <c r="N2706" s="552"/>
      <c r="Y2706" s="551"/>
    </row>
    <row r="2707" spans="1:25">
      <c r="A2707" s="499">
        <v>45568</v>
      </c>
      <c r="B2707" s="499">
        <v>45569</v>
      </c>
      <c r="C2707" s="500" t="s">
        <v>173</v>
      </c>
      <c r="D2707" s="500" t="s">
        <v>762</v>
      </c>
      <c r="E2707" s="501">
        <v>2616652174.2199998</v>
      </c>
      <c r="F2707" s="502" t="s">
        <v>878</v>
      </c>
      <c r="G2707" s="100" t="s">
        <v>633</v>
      </c>
      <c r="H2707" s="534">
        <v>488.351296527616</v>
      </c>
      <c r="I2707" s="525"/>
      <c r="K2707" s="548"/>
      <c r="L2707" s="548"/>
      <c r="M2707" s="548"/>
      <c r="N2707" s="552"/>
      <c r="Y2707" s="551"/>
    </row>
    <row r="2708" spans="1:25">
      <c r="A2708" s="499">
        <v>45568</v>
      </c>
      <c r="B2708" s="499">
        <v>45569</v>
      </c>
      <c r="C2708" s="500" t="s">
        <v>173</v>
      </c>
      <c r="D2708" s="500" t="s">
        <v>762</v>
      </c>
      <c r="E2708" s="501">
        <v>3576640719.04</v>
      </c>
      <c r="F2708" s="502" t="s">
        <v>878</v>
      </c>
      <c r="G2708" s="100" t="s">
        <v>630</v>
      </c>
      <c r="H2708" s="534">
        <v>492.10966177511602</v>
      </c>
      <c r="I2708" s="525"/>
      <c r="K2708" s="548"/>
      <c r="L2708" s="548"/>
      <c r="M2708" s="548"/>
      <c r="N2708" s="552"/>
      <c r="Y2708" s="551"/>
    </row>
    <row r="2709" spans="1:25">
      <c r="A2709" s="499">
        <v>45568</v>
      </c>
      <c r="B2709" s="499">
        <v>45568</v>
      </c>
      <c r="C2709" s="500" t="s">
        <v>173</v>
      </c>
      <c r="D2709" s="500" t="s">
        <v>761</v>
      </c>
      <c r="E2709" s="501">
        <v>-661059257.33000004</v>
      </c>
      <c r="F2709" s="502" t="s">
        <v>878</v>
      </c>
      <c r="G2709" s="100" t="s">
        <v>513</v>
      </c>
      <c r="H2709" s="530"/>
      <c r="I2709" s="525"/>
      <c r="K2709" s="548"/>
      <c r="L2709" s="548"/>
      <c r="M2709" s="548"/>
      <c r="N2709" s="552"/>
      <c r="Y2709" s="551"/>
    </row>
    <row r="2710" spans="1:25">
      <c r="A2710" s="499">
        <v>45568</v>
      </c>
      <c r="B2710" s="499">
        <v>45568</v>
      </c>
      <c r="C2710" s="500" t="s">
        <v>173</v>
      </c>
      <c r="D2710" s="500" t="s">
        <v>761</v>
      </c>
      <c r="E2710" s="501">
        <v>-2000399.16</v>
      </c>
      <c r="F2710" s="502" t="s">
        <v>878</v>
      </c>
      <c r="G2710" s="100" t="s">
        <v>806</v>
      </c>
      <c r="H2710" s="530"/>
      <c r="I2710" s="525"/>
      <c r="K2710" s="548"/>
      <c r="L2710" s="548"/>
      <c r="M2710" s="548"/>
      <c r="N2710" s="552"/>
      <c r="Y2710" s="551"/>
    </row>
    <row r="2711" spans="1:25">
      <c r="A2711" s="499">
        <v>45568</v>
      </c>
      <c r="B2711" s="499">
        <v>45569</v>
      </c>
      <c r="C2711" s="500" t="s">
        <v>173</v>
      </c>
      <c r="D2711" s="500" t="s">
        <v>761</v>
      </c>
      <c r="E2711" s="501">
        <v>661301103.87</v>
      </c>
      <c r="F2711" s="502" t="s">
        <v>878</v>
      </c>
      <c r="G2711" s="100" t="s">
        <v>513</v>
      </c>
      <c r="H2711" s="573">
        <v>1059.8045845245999</v>
      </c>
      <c r="I2711" s="525"/>
      <c r="K2711" s="548"/>
      <c r="L2711" s="548"/>
      <c r="M2711" s="548"/>
      <c r="N2711" s="552"/>
      <c r="Y2711" s="551"/>
    </row>
    <row r="2712" spans="1:25">
      <c r="A2712" s="499">
        <v>45568</v>
      </c>
      <c r="B2712" s="499">
        <v>45569</v>
      </c>
      <c r="C2712" s="500" t="s">
        <v>173</v>
      </c>
      <c r="D2712" s="500" t="s">
        <v>761</v>
      </c>
      <c r="E2712" s="501">
        <v>2001131</v>
      </c>
      <c r="F2712" s="502" t="s">
        <v>878</v>
      </c>
      <c r="G2712" s="100" t="s">
        <v>806</v>
      </c>
      <c r="H2712" s="573">
        <v>488.557373046875</v>
      </c>
      <c r="I2712" s="525"/>
      <c r="K2712" s="548"/>
      <c r="L2712" s="548"/>
      <c r="M2712" s="548"/>
      <c r="N2712" s="552"/>
      <c r="Y2712" s="551"/>
    </row>
    <row r="2713" spans="1:25">
      <c r="A2713" s="499">
        <v>45568</v>
      </c>
      <c r="B2713" s="499">
        <v>45568</v>
      </c>
      <c r="C2713" s="500" t="s">
        <v>173</v>
      </c>
      <c r="D2713" s="500" t="s">
        <v>759</v>
      </c>
      <c r="E2713" s="501">
        <v>-1997092271.3900001</v>
      </c>
      <c r="F2713" s="502" t="s">
        <v>878</v>
      </c>
      <c r="G2713" s="100" t="s">
        <v>516</v>
      </c>
      <c r="H2713" s="484"/>
      <c r="I2713" s="525"/>
      <c r="K2713" s="548"/>
      <c r="L2713" s="548"/>
      <c r="M2713" s="548"/>
      <c r="N2713" s="552"/>
      <c r="Y2713" s="551"/>
    </row>
    <row r="2714" spans="1:25">
      <c r="A2714" s="499">
        <v>45568</v>
      </c>
      <c r="B2714" s="499">
        <v>45568</v>
      </c>
      <c r="C2714" s="500" t="s">
        <v>173</v>
      </c>
      <c r="D2714" s="500" t="s">
        <v>759</v>
      </c>
      <c r="E2714" s="501">
        <v>-8003557.1100000003</v>
      </c>
      <c r="F2714" s="502" t="s">
        <v>878</v>
      </c>
      <c r="G2714" s="100" t="s">
        <v>679</v>
      </c>
      <c r="H2714" s="484"/>
      <c r="I2714" s="525"/>
      <c r="K2714" s="548"/>
      <c r="L2714" s="548"/>
      <c r="M2714" s="548"/>
      <c r="N2714" s="552"/>
      <c r="Y2714" s="551"/>
    </row>
    <row r="2715" spans="1:25">
      <c r="A2715" s="499">
        <v>45568</v>
      </c>
      <c r="B2715" s="499">
        <v>45569</v>
      </c>
      <c r="C2715" s="500" t="s">
        <v>173</v>
      </c>
      <c r="D2715" s="500" t="s">
        <v>759</v>
      </c>
      <c r="E2715" s="501">
        <v>1997825624.4100001</v>
      </c>
      <c r="F2715" s="502" t="s">
        <v>878</v>
      </c>
      <c r="G2715" s="100" t="s">
        <v>516</v>
      </c>
      <c r="H2715" s="570" t="s">
        <v>958</v>
      </c>
      <c r="I2715" s="525"/>
      <c r="K2715" s="548"/>
      <c r="L2715" s="548"/>
      <c r="M2715" s="548"/>
      <c r="N2715" s="552"/>
      <c r="Y2715" s="551"/>
    </row>
    <row r="2716" spans="1:25">
      <c r="A2716" s="499">
        <v>45568</v>
      </c>
      <c r="B2716" s="499">
        <v>45569</v>
      </c>
      <c r="C2716" s="500" t="s">
        <v>173</v>
      </c>
      <c r="D2716" s="500" t="s">
        <v>759</v>
      </c>
      <c r="E2716" s="501">
        <v>8006509.2599999998</v>
      </c>
      <c r="F2716" s="502" t="s">
        <v>878</v>
      </c>
      <c r="G2716" s="100" t="s">
        <v>679</v>
      </c>
      <c r="H2716" s="570" t="s">
        <v>959</v>
      </c>
      <c r="I2716" s="525"/>
      <c r="K2716" s="548"/>
      <c r="L2716" s="548"/>
      <c r="M2716" s="548"/>
      <c r="N2716" s="552"/>
      <c r="Y2716" s="551"/>
    </row>
    <row r="2717" spans="1:25">
      <c r="A2717" s="499">
        <v>45568</v>
      </c>
      <c r="B2717" s="499">
        <v>45568</v>
      </c>
      <c r="C2717" s="500" t="s">
        <v>173</v>
      </c>
      <c r="D2717" s="500" t="s">
        <v>760</v>
      </c>
      <c r="E2717" s="501">
        <v>-1235331376.5599999</v>
      </c>
      <c r="F2717" s="502" t="s">
        <v>878</v>
      </c>
      <c r="G2717" s="100" t="s">
        <v>634</v>
      </c>
      <c r="H2717" s="530"/>
      <c r="I2717" s="525"/>
      <c r="K2717" s="548"/>
      <c r="L2717" s="548"/>
      <c r="M2717" s="548"/>
      <c r="N2717" s="552"/>
      <c r="Y2717" s="551"/>
    </row>
    <row r="2718" spans="1:25">
      <c r="A2718" s="499">
        <v>45568</v>
      </c>
      <c r="B2718" s="499">
        <v>45568</v>
      </c>
      <c r="C2718" s="500" t="s">
        <v>173</v>
      </c>
      <c r="D2718" s="500" t="s">
        <v>760</v>
      </c>
      <c r="E2718" s="501">
        <v>-36016424.350000001</v>
      </c>
      <c r="F2718" s="502" t="s">
        <v>878</v>
      </c>
      <c r="G2718" s="100" t="s">
        <v>638</v>
      </c>
      <c r="H2718" s="530"/>
      <c r="I2718" s="525"/>
      <c r="K2718" s="548"/>
      <c r="L2718" s="548"/>
      <c r="M2718" s="548"/>
      <c r="N2718" s="552"/>
      <c r="Y2718" s="551"/>
    </row>
    <row r="2719" spans="1:25">
      <c r="A2719" s="499">
        <v>45568</v>
      </c>
      <c r="B2719" s="499">
        <v>45569</v>
      </c>
      <c r="C2719" s="500" t="s">
        <v>173</v>
      </c>
      <c r="D2719" s="500" t="s">
        <v>760</v>
      </c>
      <c r="E2719" s="501">
        <v>1235783656.3499999</v>
      </c>
      <c r="F2719" s="502" t="s">
        <v>878</v>
      </c>
      <c r="G2719" s="100" t="s">
        <v>634</v>
      </c>
      <c r="H2719" s="484" t="s">
        <v>960</v>
      </c>
      <c r="I2719" s="525"/>
      <c r="K2719" s="548"/>
      <c r="L2719" s="548"/>
      <c r="M2719" s="548"/>
      <c r="N2719" s="552"/>
      <c r="Y2719" s="551"/>
    </row>
    <row r="2720" spans="1:25">
      <c r="A2720" s="499">
        <v>45568</v>
      </c>
      <c r="B2720" s="499">
        <v>45569</v>
      </c>
      <c r="C2720" s="500" t="s">
        <v>173</v>
      </c>
      <c r="D2720" s="500" t="s">
        <v>760</v>
      </c>
      <c r="E2720" s="501">
        <v>36029512.289999999</v>
      </c>
      <c r="F2720" s="502" t="s">
        <v>878</v>
      </c>
      <c r="G2720" s="100" t="s">
        <v>638</v>
      </c>
      <c r="H2720" s="484" t="s">
        <v>961</v>
      </c>
      <c r="I2720" s="525"/>
      <c r="K2720" s="548"/>
      <c r="L2720" s="548"/>
      <c r="M2720" s="548"/>
      <c r="N2720" s="552"/>
      <c r="Y2720" s="551"/>
    </row>
    <row r="2721" spans="1:25">
      <c r="A2721" s="499">
        <v>45568</v>
      </c>
      <c r="B2721" s="499">
        <v>45568</v>
      </c>
      <c r="C2721" s="500" t="s">
        <v>173</v>
      </c>
      <c r="D2721" s="500" t="s">
        <v>763</v>
      </c>
      <c r="E2721" s="501">
        <v>-23022821.890000001</v>
      </c>
      <c r="F2721" s="502" t="s">
        <v>878</v>
      </c>
      <c r="G2721" s="100" t="s">
        <v>476</v>
      </c>
      <c r="H2721" s="530"/>
      <c r="I2721" s="525"/>
      <c r="K2721" s="548"/>
      <c r="L2721" s="548"/>
      <c r="M2721" s="548"/>
      <c r="N2721" s="552"/>
      <c r="Y2721" s="551"/>
    </row>
    <row r="2722" spans="1:25">
      <c r="A2722" s="499">
        <v>45568</v>
      </c>
      <c r="B2722" s="499">
        <v>45568</v>
      </c>
      <c r="C2722" s="500" t="s">
        <v>173</v>
      </c>
      <c r="D2722" s="500" t="s">
        <v>763</v>
      </c>
      <c r="E2722" s="501">
        <v>-5358476320.3100004</v>
      </c>
      <c r="F2722" s="502" t="s">
        <v>878</v>
      </c>
      <c r="G2722" s="100" t="s">
        <v>645</v>
      </c>
      <c r="H2722" s="530"/>
      <c r="I2722" s="525"/>
      <c r="K2722" s="548"/>
      <c r="L2722" s="548"/>
      <c r="M2722" s="548"/>
      <c r="N2722" s="552"/>
      <c r="Y2722" s="551"/>
    </row>
    <row r="2723" spans="1:25">
      <c r="A2723" s="499">
        <v>45568</v>
      </c>
      <c r="B2723" s="499">
        <v>45569</v>
      </c>
      <c r="C2723" s="500" t="s">
        <v>173</v>
      </c>
      <c r="D2723" s="500" t="s">
        <v>763</v>
      </c>
      <c r="E2723" s="501">
        <v>23031163.010000002</v>
      </c>
      <c r="F2723" s="502" t="s">
        <v>878</v>
      </c>
      <c r="G2723" s="100" t="s">
        <v>476</v>
      </c>
      <c r="H2723" s="571">
        <v>1022.834436647866</v>
      </c>
      <c r="I2723" s="525"/>
      <c r="K2723" s="548"/>
      <c r="L2723" s="548"/>
      <c r="M2723" s="548"/>
      <c r="N2723" s="552"/>
      <c r="Y2723" s="551"/>
    </row>
    <row r="2724" spans="1:25">
      <c r="A2724" s="499">
        <v>45568</v>
      </c>
      <c r="B2724" s="499">
        <v>45569</v>
      </c>
      <c r="C2724" s="500" t="s">
        <v>173</v>
      </c>
      <c r="D2724" s="500" t="s">
        <v>763</v>
      </c>
      <c r="E2724" s="501">
        <v>5360416279.0699997</v>
      </c>
      <c r="F2724" s="502" t="s">
        <v>878</v>
      </c>
      <c r="G2724" s="100" t="s">
        <v>645</v>
      </c>
      <c r="H2724" s="571">
        <v>99.04474473864731</v>
      </c>
      <c r="I2724" s="525"/>
      <c r="K2724" s="548"/>
      <c r="L2724" s="548"/>
      <c r="M2724" s="548"/>
      <c r="N2724" s="552"/>
      <c r="Y2724" s="551"/>
    </row>
    <row r="2725" spans="1:25">
      <c r="A2725" s="499">
        <v>45569</v>
      </c>
      <c r="B2725" s="499">
        <v>45569</v>
      </c>
      <c r="C2725" s="500" t="s">
        <v>173</v>
      </c>
      <c r="D2725" s="500" t="s">
        <v>762</v>
      </c>
      <c r="E2725" s="501">
        <v>-432219999.45999998</v>
      </c>
      <c r="F2725" s="502" t="s">
        <v>878</v>
      </c>
      <c r="G2725" s="100" t="s">
        <v>723</v>
      </c>
      <c r="H2725" s="530"/>
      <c r="I2725" s="525"/>
      <c r="K2725" s="548"/>
      <c r="L2725" s="548"/>
      <c r="M2725" s="548"/>
      <c r="N2725" s="552"/>
      <c r="Y2725" s="551"/>
    </row>
    <row r="2726" spans="1:25">
      <c r="A2726" s="499">
        <v>45569</v>
      </c>
      <c r="B2726" s="499">
        <v>45569</v>
      </c>
      <c r="C2726" s="500" t="s">
        <v>173</v>
      </c>
      <c r="D2726" s="500" t="s">
        <v>762</v>
      </c>
      <c r="E2726" s="501">
        <v>-22011203.68</v>
      </c>
      <c r="F2726" s="502" t="s">
        <v>878</v>
      </c>
      <c r="G2726" s="100" t="s">
        <v>723</v>
      </c>
      <c r="H2726" s="530"/>
      <c r="I2726" s="525"/>
      <c r="K2726" s="548"/>
      <c r="L2726" s="548"/>
      <c r="M2726" s="548"/>
      <c r="N2726" s="552"/>
      <c r="Y2726" s="551"/>
    </row>
    <row r="2727" spans="1:25">
      <c r="A2727" s="499">
        <v>45569</v>
      </c>
      <c r="B2727" s="499">
        <v>45569</v>
      </c>
      <c r="C2727" s="500" t="s">
        <v>173</v>
      </c>
      <c r="D2727" s="500" t="s">
        <v>762</v>
      </c>
      <c r="E2727" s="501">
        <v>-436206280.75999999</v>
      </c>
      <c r="F2727" s="502" t="s">
        <v>878</v>
      </c>
      <c r="G2727" s="100" t="s">
        <v>687</v>
      </c>
      <c r="H2727" s="530"/>
      <c r="I2727" s="525"/>
      <c r="K2727" s="548"/>
      <c r="L2727" s="548"/>
      <c r="M2727" s="548"/>
      <c r="N2727" s="552"/>
      <c r="Y2727" s="551"/>
    </row>
    <row r="2728" spans="1:25">
      <c r="A2728" s="499">
        <v>45569</v>
      </c>
      <c r="B2728" s="499">
        <v>45569</v>
      </c>
      <c r="C2728" s="500" t="s">
        <v>173</v>
      </c>
      <c r="D2728" s="500" t="s">
        <v>762</v>
      </c>
      <c r="E2728" s="501">
        <v>-4989098741.7799997</v>
      </c>
      <c r="F2728" s="502" t="s">
        <v>878</v>
      </c>
      <c r="G2728" s="100" t="s">
        <v>673</v>
      </c>
      <c r="H2728" s="530"/>
      <c r="I2728" s="525"/>
      <c r="K2728" s="548"/>
      <c r="L2728" s="548"/>
      <c r="M2728" s="548"/>
      <c r="N2728" s="552"/>
      <c r="Y2728" s="551"/>
    </row>
    <row r="2729" spans="1:25">
      <c r="A2729" s="499">
        <v>45569</v>
      </c>
      <c r="B2729" s="499">
        <v>45569</v>
      </c>
      <c r="C2729" s="500" t="s">
        <v>173</v>
      </c>
      <c r="D2729" s="500" t="s">
        <v>762</v>
      </c>
      <c r="E2729" s="501">
        <v>-81140246.879999995</v>
      </c>
      <c r="F2729" s="502" t="s">
        <v>878</v>
      </c>
      <c r="G2729" s="100" t="s">
        <v>835</v>
      </c>
      <c r="H2729" s="530"/>
      <c r="I2729" s="525"/>
      <c r="K2729" s="548"/>
      <c r="L2729" s="548"/>
      <c r="M2729" s="548"/>
      <c r="N2729" s="552"/>
      <c r="Y2729" s="551"/>
    </row>
    <row r="2730" spans="1:25">
      <c r="A2730" s="499">
        <v>45569</v>
      </c>
      <c r="B2730" s="499">
        <v>45569</v>
      </c>
      <c r="C2730" s="500" t="s">
        <v>173</v>
      </c>
      <c r="D2730" s="500" t="s">
        <v>762</v>
      </c>
      <c r="E2730" s="501">
        <v>-173020946.56</v>
      </c>
      <c r="F2730" s="502" t="s">
        <v>878</v>
      </c>
      <c r="G2730" s="100" t="s">
        <v>833</v>
      </c>
      <c r="H2730" s="530"/>
      <c r="I2730" s="525"/>
      <c r="K2730" s="548"/>
      <c r="L2730" s="548"/>
      <c r="M2730" s="548"/>
      <c r="N2730" s="552"/>
      <c r="Y2730" s="551"/>
    </row>
    <row r="2731" spans="1:25">
      <c r="A2731" s="499">
        <v>45569</v>
      </c>
      <c r="B2731" s="499">
        <v>45569</v>
      </c>
      <c r="C2731" s="500" t="s">
        <v>173</v>
      </c>
      <c r="D2731" s="500" t="s">
        <v>762</v>
      </c>
      <c r="E2731" s="501">
        <v>-86021176.569999993</v>
      </c>
      <c r="F2731" s="502" t="s">
        <v>878</v>
      </c>
      <c r="G2731" s="100" t="s">
        <v>633</v>
      </c>
      <c r="H2731" s="530"/>
      <c r="I2731" s="525"/>
      <c r="K2731" s="548"/>
      <c r="L2731" s="548"/>
      <c r="M2731" s="548"/>
      <c r="N2731" s="552"/>
      <c r="Y2731" s="551"/>
    </row>
    <row r="2732" spans="1:25">
      <c r="A2732" s="499">
        <v>45569</v>
      </c>
      <c r="B2732" s="499">
        <v>45572</v>
      </c>
      <c r="C2732" s="500" t="s">
        <v>173</v>
      </c>
      <c r="D2732" s="500" t="s">
        <v>762</v>
      </c>
      <c r="E2732" s="501">
        <v>432698275.69</v>
      </c>
      <c r="F2732" s="502" t="s">
        <v>878</v>
      </c>
      <c r="G2732" s="100" t="s">
        <v>723</v>
      </c>
      <c r="H2732" s="484">
        <v>114268071</v>
      </c>
      <c r="I2732" s="525"/>
      <c r="K2732" s="548"/>
      <c r="L2732" s="548">
        <v>-1</v>
      </c>
      <c r="M2732" s="548"/>
      <c r="N2732" s="552"/>
      <c r="Y2732" s="551"/>
    </row>
    <row r="2733" spans="1:25">
      <c r="A2733" s="499">
        <v>45569</v>
      </c>
      <c r="B2733" s="499">
        <v>45572</v>
      </c>
      <c r="C2733" s="500" t="s">
        <v>173</v>
      </c>
      <c r="D2733" s="500" t="s">
        <v>762</v>
      </c>
      <c r="E2733" s="501">
        <v>22035560.34</v>
      </c>
      <c r="F2733" s="502" t="s">
        <v>878</v>
      </c>
      <c r="G2733" s="100" t="s">
        <v>723</v>
      </c>
      <c r="H2733" s="484">
        <v>114268080</v>
      </c>
      <c r="I2733" s="525"/>
      <c r="K2733" s="548"/>
      <c r="L2733" s="548"/>
      <c r="M2733" s="548"/>
      <c r="N2733" s="552"/>
      <c r="Y2733" s="551"/>
    </row>
    <row r="2734" spans="1:25">
      <c r="A2734" s="499">
        <v>45569</v>
      </c>
      <c r="B2734" s="499">
        <v>45572</v>
      </c>
      <c r="C2734" s="500" t="s">
        <v>173</v>
      </c>
      <c r="D2734" s="500" t="s">
        <v>762</v>
      </c>
      <c r="E2734" s="501">
        <v>436688975.19</v>
      </c>
      <c r="F2734" s="502" t="s">
        <v>878</v>
      </c>
      <c r="G2734" s="100" t="s">
        <v>687</v>
      </c>
      <c r="H2734" s="484">
        <v>114268062</v>
      </c>
      <c r="I2734" s="525"/>
      <c r="K2734" s="548"/>
      <c r="L2734" s="548"/>
      <c r="M2734" s="548"/>
      <c r="N2734" s="552"/>
      <c r="Y2734" s="551"/>
    </row>
    <row r="2735" spans="1:25">
      <c r="A2735" s="499">
        <v>45569</v>
      </c>
      <c r="B2735" s="499">
        <v>45572</v>
      </c>
      <c r="C2735" s="500" t="s">
        <v>173</v>
      </c>
      <c r="D2735" s="500" t="s">
        <v>762</v>
      </c>
      <c r="E2735" s="501">
        <v>4994619588.4799995</v>
      </c>
      <c r="F2735" s="502" t="s">
        <v>878</v>
      </c>
      <c r="G2735" s="100" t="s">
        <v>673</v>
      </c>
      <c r="H2735" s="484">
        <v>114268056</v>
      </c>
      <c r="I2735" s="525"/>
      <c r="K2735" s="548"/>
      <c r="L2735" s="548"/>
      <c r="M2735" s="548"/>
      <c r="N2735" s="552"/>
      <c r="Y2735" s="551"/>
    </row>
    <row r="2736" spans="1:25">
      <c r="A2736" s="499">
        <v>45569</v>
      </c>
      <c r="B2736" s="499">
        <v>45572</v>
      </c>
      <c r="C2736" s="500" t="s">
        <v>173</v>
      </c>
      <c r="D2736" s="500" t="s">
        <v>762</v>
      </c>
      <c r="E2736" s="501">
        <v>81230035.209999993</v>
      </c>
      <c r="F2736" s="502" t="s">
        <v>878</v>
      </c>
      <c r="G2736" s="100" t="s">
        <v>835</v>
      </c>
      <c r="H2736" s="484">
        <v>114268059</v>
      </c>
      <c r="I2736" s="525"/>
      <c r="K2736" s="548"/>
      <c r="L2736" s="548"/>
      <c r="M2736" s="548"/>
      <c r="N2736" s="552"/>
      <c r="Y2736" s="551"/>
    </row>
    <row r="2737" spans="1:25">
      <c r="A2737" s="499">
        <v>45569</v>
      </c>
      <c r="B2737" s="499">
        <v>45572</v>
      </c>
      <c r="C2737" s="500" t="s">
        <v>173</v>
      </c>
      <c r="D2737" s="500" t="s">
        <v>762</v>
      </c>
      <c r="E2737" s="501">
        <v>173212407</v>
      </c>
      <c r="F2737" s="502" t="s">
        <v>878</v>
      </c>
      <c r="G2737" s="100" t="s">
        <v>833</v>
      </c>
      <c r="H2737" s="484">
        <v>114268065</v>
      </c>
      <c r="I2737" s="525"/>
      <c r="K2737" s="548"/>
      <c r="L2737" s="548"/>
      <c r="M2737" s="548"/>
      <c r="N2737" s="552"/>
      <c r="Y2737" s="551"/>
    </row>
    <row r="2738" spans="1:25">
      <c r="A2738" s="499">
        <v>45569</v>
      </c>
      <c r="B2738" s="499">
        <v>45572</v>
      </c>
      <c r="C2738" s="500" t="s">
        <v>173</v>
      </c>
      <c r="D2738" s="500" t="s">
        <v>762</v>
      </c>
      <c r="E2738" s="501">
        <v>86116365.349999994</v>
      </c>
      <c r="F2738" s="502" t="s">
        <v>878</v>
      </c>
      <c r="G2738" s="100" t="s">
        <v>633</v>
      </c>
      <c r="H2738" s="484">
        <v>114268068</v>
      </c>
      <c r="I2738" s="525"/>
      <c r="K2738" s="548"/>
      <c r="L2738" s="548"/>
      <c r="M2738" s="548"/>
      <c r="N2738" s="552"/>
      <c r="Y2738" s="551"/>
    </row>
    <row r="2739" spans="1:25">
      <c r="A2739" s="499">
        <v>45569</v>
      </c>
      <c r="B2739" s="499">
        <v>45569</v>
      </c>
      <c r="C2739" s="500" t="s">
        <v>173</v>
      </c>
      <c r="D2739" s="500" t="s">
        <v>761</v>
      </c>
      <c r="E2739" s="501">
        <v>-661134892.51999998</v>
      </c>
      <c r="F2739" s="502" t="s">
        <v>878</v>
      </c>
      <c r="G2739" s="100" t="s">
        <v>139</v>
      </c>
      <c r="H2739" s="530"/>
      <c r="I2739" s="525"/>
      <c r="K2739" s="548"/>
      <c r="L2739" s="548"/>
      <c r="M2739" s="548"/>
      <c r="N2739" s="552"/>
      <c r="Y2739" s="551"/>
    </row>
    <row r="2740" spans="1:25">
      <c r="A2740" s="499">
        <v>45569</v>
      </c>
      <c r="B2740" s="499">
        <v>45569</v>
      </c>
      <c r="C2740" s="500" t="s">
        <v>173</v>
      </c>
      <c r="D2740" s="500" t="s">
        <v>761</v>
      </c>
      <c r="E2740" s="501">
        <v>-3002396.6</v>
      </c>
      <c r="F2740" s="502" t="s">
        <v>878</v>
      </c>
      <c r="G2740" s="100" t="s">
        <v>78</v>
      </c>
      <c r="H2740" s="530"/>
      <c r="I2740" s="525"/>
      <c r="K2740" s="548"/>
      <c r="L2740" s="548"/>
      <c r="M2740" s="548"/>
      <c r="N2740" s="552"/>
      <c r="Y2740" s="551"/>
    </row>
    <row r="2741" spans="1:25">
      <c r="A2741" s="499">
        <v>45569</v>
      </c>
      <c r="B2741" s="499">
        <v>45572</v>
      </c>
      <c r="C2741" s="500" t="s">
        <v>173</v>
      </c>
      <c r="D2741" s="500" t="s">
        <v>761</v>
      </c>
      <c r="E2741" s="501">
        <v>661863766.63999999</v>
      </c>
      <c r="F2741" s="502" t="s">
        <v>878</v>
      </c>
      <c r="G2741" s="100" t="s">
        <v>139</v>
      </c>
      <c r="H2741" s="573">
        <v>491.559527441277</v>
      </c>
      <c r="I2741" s="525"/>
      <c r="K2741" s="548"/>
      <c r="L2741" s="548"/>
      <c r="M2741" s="548"/>
      <c r="N2741" s="552"/>
      <c r="Y2741" s="551"/>
    </row>
    <row r="2742" spans="1:25">
      <c r="A2742" s="499">
        <v>45569</v>
      </c>
      <c r="B2742" s="499">
        <v>45572</v>
      </c>
      <c r="C2742" s="500" t="s">
        <v>173</v>
      </c>
      <c r="D2742" s="500" t="s">
        <v>761</v>
      </c>
      <c r="E2742" s="501">
        <v>3005768.14</v>
      </c>
      <c r="F2742" s="502" t="s">
        <v>878</v>
      </c>
      <c r="G2742" s="100" t="s">
        <v>78</v>
      </c>
      <c r="H2742" s="573">
        <v>849.80722080859505</v>
      </c>
      <c r="I2742" s="525"/>
      <c r="K2742" s="548"/>
      <c r="L2742" s="548"/>
      <c r="M2742" s="548"/>
      <c r="N2742" s="552"/>
      <c r="Y2742" s="551"/>
    </row>
    <row r="2743" spans="1:25">
      <c r="A2743" s="499">
        <v>45569</v>
      </c>
      <c r="B2743" s="499">
        <v>45569</v>
      </c>
      <c r="C2743" s="500" t="s">
        <v>173</v>
      </c>
      <c r="D2743" s="500" t="s">
        <v>759</v>
      </c>
      <c r="E2743" s="501">
        <v>-757310199.22000003</v>
      </c>
      <c r="F2743" s="502" t="s">
        <v>878</v>
      </c>
      <c r="G2743" s="100" t="s">
        <v>806</v>
      </c>
      <c r="H2743" s="484"/>
      <c r="I2743" s="525"/>
      <c r="K2743" s="548"/>
      <c r="L2743" s="548"/>
      <c r="M2743" s="548"/>
      <c r="N2743" s="552"/>
      <c r="Y2743" s="551"/>
    </row>
    <row r="2744" spans="1:25">
      <c r="A2744" s="499">
        <v>45569</v>
      </c>
      <c r="B2744" s="499">
        <v>45569</v>
      </c>
      <c r="C2744" s="500" t="s">
        <v>173</v>
      </c>
      <c r="D2744" s="500" t="s">
        <v>759</v>
      </c>
      <c r="E2744" s="501">
        <v>-3001110048</v>
      </c>
      <c r="F2744" s="502" t="s">
        <v>878</v>
      </c>
      <c r="G2744" s="100" t="s">
        <v>697</v>
      </c>
      <c r="H2744" s="484"/>
      <c r="I2744" s="525"/>
      <c r="K2744" s="548"/>
      <c r="L2744" s="548"/>
      <c r="M2744" s="548"/>
      <c r="N2744" s="552"/>
      <c r="Y2744" s="551"/>
    </row>
    <row r="2745" spans="1:25">
      <c r="A2745" s="499">
        <v>45569</v>
      </c>
      <c r="B2745" s="499">
        <v>45569</v>
      </c>
      <c r="C2745" s="500" t="s">
        <v>173</v>
      </c>
      <c r="D2745" s="500" t="s">
        <v>759</v>
      </c>
      <c r="E2745" s="501">
        <v>-2006648541.0799999</v>
      </c>
      <c r="F2745" s="502" t="s">
        <v>878</v>
      </c>
      <c r="G2745" s="100" t="s">
        <v>422</v>
      </c>
      <c r="H2745" s="484"/>
      <c r="I2745" s="525"/>
      <c r="K2745" s="548"/>
      <c r="L2745" s="548"/>
      <c r="M2745" s="548"/>
      <c r="N2745" s="552"/>
      <c r="Y2745" s="551"/>
    </row>
    <row r="2746" spans="1:25">
      <c r="A2746" s="499">
        <v>45569</v>
      </c>
      <c r="B2746" s="499">
        <v>45569</v>
      </c>
      <c r="C2746" s="500" t="s">
        <v>173</v>
      </c>
      <c r="D2746" s="500" t="s">
        <v>759</v>
      </c>
      <c r="E2746" s="501">
        <v>-6005307.4100000001</v>
      </c>
      <c r="F2746" s="502" t="s">
        <v>878</v>
      </c>
      <c r="G2746" s="100" t="s">
        <v>494</v>
      </c>
      <c r="H2746" s="484"/>
      <c r="I2746" s="525"/>
      <c r="K2746" s="548"/>
      <c r="L2746" s="548"/>
      <c r="M2746" s="548"/>
      <c r="N2746" s="552"/>
      <c r="Y2746" s="551"/>
    </row>
    <row r="2747" spans="1:25">
      <c r="A2747" s="499">
        <v>45569</v>
      </c>
      <c r="B2747" s="499">
        <v>45576</v>
      </c>
      <c r="C2747" s="500" t="s">
        <v>173</v>
      </c>
      <c r="D2747" s="500" t="s">
        <v>759</v>
      </c>
      <c r="E2747" s="501">
        <v>759288723.84000003</v>
      </c>
      <c r="F2747" s="502" t="s">
        <v>878</v>
      </c>
      <c r="G2747" s="100" t="s">
        <v>806</v>
      </c>
      <c r="H2747" s="570" t="s">
        <v>962</v>
      </c>
      <c r="I2747" s="525"/>
      <c r="K2747" s="548"/>
      <c r="L2747" s="548"/>
      <c r="M2747" s="548"/>
      <c r="N2747" s="552"/>
      <c r="Y2747" s="551"/>
    </row>
    <row r="2748" spans="1:25">
      <c r="A2748" s="499">
        <v>45569</v>
      </c>
      <c r="B2748" s="499">
        <v>45576</v>
      </c>
      <c r="C2748" s="500" t="s">
        <v>173</v>
      </c>
      <c r="D2748" s="500" t="s">
        <v>759</v>
      </c>
      <c r="E2748" s="501">
        <v>3008950652.9899998</v>
      </c>
      <c r="F2748" s="502" t="s">
        <v>878</v>
      </c>
      <c r="G2748" s="100" t="s">
        <v>697</v>
      </c>
      <c r="H2748" s="570" t="s">
        <v>963</v>
      </c>
      <c r="I2748" s="525"/>
      <c r="K2748" s="548"/>
      <c r="L2748" s="548"/>
      <c r="M2748" s="548"/>
      <c r="N2748" s="552"/>
      <c r="Y2748" s="551"/>
    </row>
    <row r="2749" spans="1:25">
      <c r="A2749" s="499">
        <v>45569</v>
      </c>
      <c r="B2749" s="499">
        <v>45572</v>
      </c>
      <c r="C2749" s="500" t="s">
        <v>173</v>
      </c>
      <c r="D2749" s="500" t="s">
        <v>759</v>
      </c>
      <c r="E2749" s="501">
        <v>2008877236.8</v>
      </c>
      <c r="F2749" s="502" t="s">
        <v>878</v>
      </c>
      <c r="G2749" s="100" t="s">
        <v>422</v>
      </c>
      <c r="H2749" s="570" t="s">
        <v>964</v>
      </c>
      <c r="I2749" s="525"/>
      <c r="K2749" s="548"/>
      <c r="L2749" s="548"/>
      <c r="M2749" s="548"/>
      <c r="N2749" s="552"/>
      <c r="Y2749" s="551"/>
    </row>
    <row r="2750" spans="1:25">
      <c r="A2750" s="499">
        <v>45569</v>
      </c>
      <c r="B2750" s="499">
        <v>45572</v>
      </c>
      <c r="C2750" s="500" t="s">
        <v>173</v>
      </c>
      <c r="D2750" s="500" t="s">
        <v>759</v>
      </c>
      <c r="E2750" s="501">
        <v>6011952.6799999997</v>
      </c>
      <c r="F2750" s="502" t="s">
        <v>878</v>
      </c>
      <c r="G2750" s="100" t="s">
        <v>494</v>
      </c>
      <c r="H2750" s="570" t="s">
        <v>965</v>
      </c>
      <c r="I2750" s="525"/>
      <c r="K2750" s="548"/>
      <c r="L2750" s="548"/>
      <c r="M2750" s="548"/>
      <c r="N2750" s="552"/>
      <c r="Y2750" s="551"/>
    </row>
    <row r="2751" spans="1:25">
      <c r="A2751" s="499">
        <v>45569</v>
      </c>
      <c r="B2751" s="499">
        <v>45569</v>
      </c>
      <c r="C2751" s="500" t="s">
        <v>173</v>
      </c>
      <c r="D2751" s="500" t="s">
        <v>760</v>
      </c>
      <c r="E2751" s="501">
        <v>-53026230.100000001</v>
      </c>
      <c r="F2751" s="502" t="s">
        <v>878</v>
      </c>
      <c r="G2751" s="100" t="s">
        <v>636</v>
      </c>
      <c r="H2751" s="530"/>
      <c r="I2751" s="525"/>
      <c r="K2751" s="548"/>
      <c r="L2751" s="548"/>
      <c r="M2751" s="548"/>
      <c r="N2751" s="552"/>
      <c r="Y2751" s="551"/>
    </row>
    <row r="2752" spans="1:25">
      <c r="A2752" s="499">
        <v>45569</v>
      </c>
      <c r="B2752" s="499">
        <v>45569</v>
      </c>
      <c r="C2752" s="500" t="s">
        <v>173</v>
      </c>
      <c r="D2752" s="500" t="s">
        <v>760</v>
      </c>
      <c r="E2752" s="501">
        <v>-1187292285.9300001</v>
      </c>
      <c r="F2752" s="502" t="s">
        <v>878</v>
      </c>
      <c r="G2752" s="100" t="s">
        <v>634</v>
      </c>
      <c r="H2752" s="530"/>
      <c r="I2752" s="525"/>
      <c r="K2752" s="548"/>
      <c r="L2752" s="548"/>
      <c r="M2752" s="548"/>
      <c r="N2752" s="552"/>
      <c r="Y2752" s="551"/>
    </row>
    <row r="2753" spans="1:25">
      <c r="A2753" s="499">
        <v>45569</v>
      </c>
      <c r="B2753" s="499">
        <v>45569</v>
      </c>
      <c r="C2753" s="500" t="s">
        <v>173</v>
      </c>
      <c r="D2753" s="500" t="s">
        <v>760</v>
      </c>
      <c r="E2753" s="501">
        <v>-31007633.420000002</v>
      </c>
      <c r="F2753" s="502" t="s">
        <v>878</v>
      </c>
      <c r="G2753" s="100" t="s">
        <v>634</v>
      </c>
      <c r="H2753" s="530"/>
      <c r="I2753" s="525"/>
      <c r="K2753" s="548"/>
      <c r="L2753" s="548"/>
      <c r="M2753" s="548"/>
      <c r="N2753" s="552"/>
      <c r="Y2753" s="551"/>
    </row>
    <row r="2754" spans="1:25">
      <c r="A2754" s="499">
        <v>45569</v>
      </c>
      <c r="B2754" s="499">
        <v>45572</v>
      </c>
      <c r="C2754" s="500" t="s">
        <v>173</v>
      </c>
      <c r="D2754" s="500" t="s">
        <v>760</v>
      </c>
      <c r="E2754" s="501">
        <v>53085341.310000002</v>
      </c>
      <c r="F2754" s="502" t="s">
        <v>878</v>
      </c>
      <c r="G2754" s="100" t="s">
        <v>636</v>
      </c>
      <c r="H2754" s="484" t="s">
        <v>966</v>
      </c>
      <c r="I2754" s="525"/>
      <c r="K2754" s="548"/>
      <c r="L2754" s="548"/>
      <c r="M2754" s="548"/>
      <c r="N2754" s="552"/>
      <c r="Y2754" s="551"/>
    </row>
    <row r="2755" spans="1:25">
      <c r="A2755" s="499">
        <v>45569</v>
      </c>
      <c r="B2755" s="499">
        <v>45572</v>
      </c>
      <c r="C2755" s="500" t="s">
        <v>173</v>
      </c>
      <c r="D2755" s="500" t="s">
        <v>760</v>
      </c>
      <c r="E2755" s="501">
        <v>1188615824.8699999</v>
      </c>
      <c r="F2755" s="502" t="s">
        <v>878</v>
      </c>
      <c r="G2755" s="100" t="s">
        <v>634</v>
      </c>
      <c r="H2755" s="484" t="s">
        <v>967</v>
      </c>
      <c r="I2755" s="525"/>
      <c r="K2755" s="548"/>
      <c r="L2755" s="548"/>
      <c r="M2755" s="548"/>
      <c r="N2755" s="552"/>
      <c r="Y2755" s="551"/>
    </row>
    <row r="2756" spans="1:25">
      <c r="A2756" s="499">
        <v>45569</v>
      </c>
      <c r="B2756" s="499">
        <v>45572</v>
      </c>
      <c r="C2756" s="500" t="s">
        <v>173</v>
      </c>
      <c r="D2756" s="500" t="s">
        <v>760</v>
      </c>
      <c r="E2756" s="501">
        <v>31042199.050000001</v>
      </c>
      <c r="F2756" s="502" t="s">
        <v>878</v>
      </c>
      <c r="G2756" s="100" t="s">
        <v>634</v>
      </c>
      <c r="H2756" s="484" t="s">
        <v>968</v>
      </c>
      <c r="I2756" s="525"/>
      <c r="K2756" s="548"/>
      <c r="L2756" s="548"/>
      <c r="M2756" s="548"/>
      <c r="N2756" s="552"/>
      <c r="Y2756" s="551"/>
    </row>
    <row r="2757" spans="1:25">
      <c r="A2757" s="499">
        <v>45569</v>
      </c>
      <c r="B2757" s="499">
        <v>45569</v>
      </c>
      <c r="C2757" s="500" t="s">
        <v>173</v>
      </c>
      <c r="D2757" s="500" t="s">
        <v>763</v>
      </c>
      <c r="E2757" s="501">
        <v>-360295997.39999998</v>
      </c>
      <c r="F2757" s="502" t="s">
        <v>878</v>
      </c>
      <c r="G2757" s="100" t="s">
        <v>422</v>
      </c>
      <c r="H2757" s="530"/>
      <c r="I2757" s="525"/>
      <c r="K2757" s="548"/>
      <c r="L2757" s="548"/>
      <c r="M2757" s="548"/>
      <c r="N2757" s="552"/>
      <c r="Y2757" s="551"/>
    </row>
    <row r="2758" spans="1:25">
      <c r="A2758" s="499">
        <v>45569</v>
      </c>
      <c r="B2758" s="499">
        <v>45569</v>
      </c>
      <c r="C2758" s="500" t="s">
        <v>173</v>
      </c>
      <c r="D2758" s="500" t="s">
        <v>763</v>
      </c>
      <c r="E2758" s="501">
        <v>-5001231196</v>
      </c>
      <c r="F2758" s="502" t="s">
        <v>878</v>
      </c>
      <c r="G2758" s="100" t="s">
        <v>634</v>
      </c>
      <c r="H2758" s="530"/>
      <c r="I2758" s="525"/>
      <c r="K2758" s="548"/>
      <c r="L2758" s="548"/>
      <c r="M2758" s="548"/>
      <c r="N2758" s="552"/>
      <c r="Y2758" s="551"/>
    </row>
    <row r="2759" spans="1:25">
      <c r="A2759" s="499">
        <v>45569</v>
      </c>
      <c r="B2759" s="499">
        <v>45569</v>
      </c>
      <c r="C2759" s="500" t="s">
        <v>173</v>
      </c>
      <c r="D2759" s="500" t="s">
        <v>763</v>
      </c>
      <c r="E2759" s="501">
        <v>-22005417.260000002</v>
      </c>
      <c r="F2759" s="502" t="s">
        <v>878</v>
      </c>
      <c r="G2759" s="100" t="s">
        <v>634</v>
      </c>
      <c r="H2759" s="530"/>
      <c r="I2759" s="525"/>
      <c r="K2759" s="548"/>
      <c r="L2759" s="548"/>
      <c r="M2759" s="548"/>
      <c r="N2759" s="552"/>
      <c r="Y2759" s="551"/>
    </row>
    <row r="2760" spans="1:25">
      <c r="A2760" s="499">
        <v>45569</v>
      </c>
      <c r="B2760" s="499">
        <v>45572</v>
      </c>
      <c r="C2760" s="500" t="s">
        <v>173</v>
      </c>
      <c r="D2760" s="500" t="s">
        <v>763</v>
      </c>
      <c r="E2760" s="501">
        <v>360689086.24000001</v>
      </c>
      <c r="F2760" s="502" t="s">
        <v>878</v>
      </c>
      <c r="G2760" s="100" t="s">
        <v>422</v>
      </c>
      <c r="H2760" s="571">
        <v>996.92948103924812</v>
      </c>
      <c r="I2760" s="525"/>
      <c r="K2760" s="548"/>
      <c r="L2760" s="548"/>
      <c r="M2760" s="548"/>
      <c r="N2760" s="552"/>
      <c r="Y2760" s="551"/>
    </row>
    <row r="2761" spans="1:25">
      <c r="A2761" s="499">
        <v>45569</v>
      </c>
      <c r="B2761" s="499">
        <v>45572</v>
      </c>
      <c r="C2761" s="500" t="s">
        <v>173</v>
      </c>
      <c r="D2761" s="500" t="s">
        <v>763</v>
      </c>
      <c r="E2761" s="501">
        <v>5006687662.2200003</v>
      </c>
      <c r="F2761" s="502" t="s">
        <v>878</v>
      </c>
      <c r="G2761" s="100" t="s">
        <v>634</v>
      </c>
      <c r="H2761" s="571">
        <v>487.50610148198598</v>
      </c>
      <c r="I2761" s="525"/>
      <c r="K2761" s="548"/>
      <c r="L2761" s="548"/>
      <c r="M2761" s="548"/>
      <c r="N2761" s="552"/>
      <c r="Y2761" s="551"/>
    </row>
    <row r="2762" spans="1:25">
      <c r="A2762" s="499">
        <v>45569</v>
      </c>
      <c r="B2762" s="499">
        <v>45572</v>
      </c>
      <c r="C2762" s="500" t="s">
        <v>173</v>
      </c>
      <c r="D2762" s="500" t="s">
        <v>763</v>
      </c>
      <c r="E2762" s="501">
        <v>22029426.07</v>
      </c>
      <c r="F2762" s="502" t="s">
        <v>878</v>
      </c>
      <c r="G2762" s="100" t="s">
        <v>634</v>
      </c>
      <c r="H2762" s="571">
        <v>487.50610936531803</v>
      </c>
      <c r="I2762" s="525"/>
      <c r="K2762" s="548"/>
      <c r="L2762" s="548"/>
      <c r="M2762" s="548"/>
      <c r="N2762" s="552"/>
      <c r="Y2762" s="551"/>
    </row>
    <row r="2763" spans="1:25">
      <c r="A2763" s="499">
        <v>45572</v>
      </c>
      <c r="B2763" s="499">
        <v>45572</v>
      </c>
      <c r="C2763" s="500" t="s">
        <v>173</v>
      </c>
      <c r="D2763" s="500" t="s">
        <v>762</v>
      </c>
      <c r="E2763" s="501">
        <v>-135050429.52000001</v>
      </c>
      <c r="F2763" s="502" t="s">
        <v>878</v>
      </c>
      <c r="G2763" s="100" t="s">
        <v>673</v>
      </c>
      <c r="H2763" s="530"/>
      <c r="I2763" s="525"/>
      <c r="K2763" s="548"/>
      <c r="L2763" s="548"/>
      <c r="M2763" s="548"/>
      <c r="N2763" s="552"/>
      <c r="Y2763" s="551"/>
    </row>
    <row r="2764" spans="1:25">
      <c r="A2764" s="499">
        <v>45572</v>
      </c>
      <c r="B2764" s="499">
        <v>45572</v>
      </c>
      <c r="C2764" s="500" t="s">
        <v>173</v>
      </c>
      <c r="D2764" s="500" t="s">
        <v>762</v>
      </c>
      <c r="E2764" s="501">
        <v>-3000375699.3000002</v>
      </c>
      <c r="F2764" s="502" t="s">
        <v>878</v>
      </c>
      <c r="G2764" s="100" t="s">
        <v>633</v>
      </c>
      <c r="H2764" s="530"/>
      <c r="I2764" s="525"/>
      <c r="K2764" s="548"/>
      <c r="L2764" s="548"/>
      <c r="M2764" s="548"/>
      <c r="N2764" s="552"/>
      <c r="Y2764" s="551"/>
    </row>
    <row r="2765" spans="1:25">
      <c r="A2765" s="499">
        <v>45572</v>
      </c>
      <c r="B2765" s="499">
        <v>45572</v>
      </c>
      <c r="C2765" s="500" t="s">
        <v>173</v>
      </c>
      <c r="D2765" s="500" t="s">
        <v>762</v>
      </c>
      <c r="E2765" s="501">
        <v>-3063383588.9899998</v>
      </c>
      <c r="F2765" s="502" t="s">
        <v>878</v>
      </c>
      <c r="G2765" s="100" t="s">
        <v>633</v>
      </c>
      <c r="H2765" s="530"/>
      <c r="I2765" s="525"/>
      <c r="K2765" s="548"/>
      <c r="L2765" s="548"/>
      <c r="M2765" s="548"/>
      <c r="N2765" s="552"/>
      <c r="Y2765" s="551"/>
    </row>
    <row r="2766" spans="1:25">
      <c r="A2766" s="499">
        <v>45572</v>
      </c>
      <c r="B2766" s="499">
        <v>45572</v>
      </c>
      <c r="C2766" s="500" t="s">
        <v>173</v>
      </c>
      <c r="D2766" s="500" t="s">
        <v>762</v>
      </c>
      <c r="E2766" s="501">
        <v>-27022407.84</v>
      </c>
      <c r="F2766" s="502" t="s">
        <v>878</v>
      </c>
      <c r="G2766" s="100" t="s">
        <v>800</v>
      </c>
      <c r="H2766" s="530"/>
      <c r="I2766" s="525"/>
      <c r="K2766" s="548"/>
      <c r="L2766" s="548"/>
      <c r="M2766" s="548"/>
      <c r="N2766" s="552"/>
      <c r="Y2766" s="551"/>
    </row>
    <row r="2767" spans="1:25">
      <c r="A2767" s="499">
        <v>45572</v>
      </c>
      <c r="B2767" s="499">
        <v>45573</v>
      </c>
      <c r="C2767" s="500" t="s">
        <v>173</v>
      </c>
      <c r="D2767" s="500" t="s">
        <v>762</v>
      </c>
      <c r="E2767" s="501">
        <v>135101350.53999999</v>
      </c>
      <c r="F2767" s="502" t="s">
        <v>878</v>
      </c>
      <c r="G2767" s="100" t="s">
        <v>673</v>
      </c>
      <c r="H2767" s="484">
        <v>114282142</v>
      </c>
      <c r="I2767" s="525"/>
      <c r="K2767" s="548"/>
      <c r="L2767" s="548"/>
      <c r="M2767" s="548"/>
      <c r="N2767" s="552"/>
      <c r="Y2767" s="551"/>
    </row>
    <row r="2768" spans="1:25">
      <c r="A2768" s="499">
        <v>45572</v>
      </c>
      <c r="B2768" s="499">
        <v>45573</v>
      </c>
      <c r="C2768" s="500" t="s">
        <v>173</v>
      </c>
      <c r="D2768" s="500" t="s">
        <v>762</v>
      </c>
      <c r="E2768" s="501">
        <v>3001506988.5</v>
      </c>
      <c r="F2768" s="502" t="s">
        <v>878</v>
      </c>
      <c r="G2768" s="100" t="s">
        <v>633</v>
      </c>
      <c r="H2768" s="484">
        <v>114282145</v>
      </c>
      <c r="I2768" s="525"/>
      <c r="K2768" s="548"/>
      <c r="L2768" s="548"/>
      <c r="M2768" s="548"/>
      <c r="N2768" s="552"/>
      <c r="Y2768" s="551"/>
    </row>
    <row r="2769" spans="1:25">
      <c r="A2769" s="499">
        <v>45572</v>
      </c>
      <c r="B2769" s="499">
        <v>45573</v>
      </c>
      <c r="C2769" s="500" t="s">
        <v>173</v>
      </c>
      <c r="D2769" s="500" t="s">
        <v>762</v>
      </c>
      <c r="E2769" s="501">
        <v>3064538635.2600002</v>
      </c>
      <c r="F2769" s="502" t="s">
        <v>878</v>
      </c>
      <c r="G2769" s="100" t="s">
        <v>633</v>
      </c>
      <c r="H2769" s="484">
        <v>114282148</v>
      </c>
      <c r="I2769" s="525"/>
      <c r="K2769" s="548"/>
      <c r="L2769" s="548"/>
      <c r="M2769" s="548"/>
      <c r="N2769" s="552"/>
      <c r="Y2769" s="551"/>
    </row>
    <row r="2770" spans="1:25">
      <c r="A2770" s="499">
        <v>45572</v>
      </c>
      <c r="B2770" s="499">
        <v>45573</v>
      </c>
      <c r="C2770" s="500" t="s">
        <v>173</v>
      </c>
      <c r="D2770" s="500" t="s">
        <v>762</v>
      </c>
      <c r="E2770" s="501">
        <v>27032929.010000002</v>
      </c>
      <c r="F2770" s="502" t="s">
        <v>878</v>
      </c>
      <c r="G2770" s="100" t="s">
        <v>800</v>
      </c>
      <c r="H2770" s="484">
        <v>114285765</v>
      </c>
      <c r="I2770" s="525"/>
      <c r="K2770" s="548"/>
      <c r="L2770" s="548"/>
      <c r="M2770" s="548"/>
      <c r="N2770" s="552"/>
      <c r="Y2770" s="551"/>
    </row>
    <row r="2771" spans="1:25">
      <c r="A2771" s="499">
        <v>45572</v>
      </c>
      <c r="B2771" s="499">
        <v>45572</v>
      </c>
      <c r="C2771" s="500" t="s">
        <v>173</v>
      </c>
      <c r="D2771" s="500" t="s">
        <v>761</v>
      </c>
      <c r="E2771" s="501">
        <v>-662246701.04999995</v>
      </c>
      <c r="F2771" s="502" t="s">
        <v>878</v>
      </c>
      <c r="G2771" s="100" t="s">
        <v>139</v>
      </c>
      <c r="H2771" s="530"/>
      <c r="I2771" s="525"/>
      <c r="K2771" s="548"/>
      <c r="L2771" s="548"/>
      <c r="M2771" s="548"/>
      <c r="N2771" s="552"/>
      <c r="Y2771" s="551"/>
    </row>
    <row r="2772" spans="1:25">
      <c r="A2772" s="499">
        <v>45572</v>
      </c>
      <c r="B2772" s="499">
        <v>45572</v>
      </c>
      <c r="C2772" s="500" t="s">
        <v>173</v>
      </c>
      <c r="D2772" s="500" t="s">
        <v>761</v>
      </c>
      <c r="E2772" s="501">
        <v>-2000745.32</v>
      </c>
      <c r="F2772" s="502" t="s">
        <v>878</v>
      </c>
      <c r="G2772" s="100" t="s">
        <v>139</v>
      </c>
      <c r="H2772" s="530"/>
      <c r="I2772" s="525"/>
      <c r="K2772" s="548"/>
      <c r="L2772" s="548"/>
      <c r="M2772" s="548"/>
      <c r="N2772" s="552"/>
      <c r="Y2772" s="551"/>
    </row>
    <row r="2773" spans="1:25">
      <c r="A2773" s="499">
        <v>45572</v>
      </c>
      <c r="B2773" s="499">
        <v>45572</v>
      </c>
      <c r="C2773" s="500" t="s">
        <v>173</v>
      </c>
      <c r="D2773" s="500" t="s">
        <v>761</v>
      </c>
      <c r="E2773" s="501">
        <v>-2000055763.2</v>
      </c>
      <c r="F2773" s="502" t="s">
        <v>878</v>
      </c>
      <c r="G2773" s="100" t="s">
        <v>928</v>
      </c>
      <c r="H2773" s="530"/>
      <c r="I2773" s="525"/>
      <c r="K2773" s="548"/>
      <c r="L2773" s="548"/>
      <c r="M2773" s="548"/>
      <c r="N2773" s="552"/>
      <c r="Y2773" s="551"/>
    </row>
    <row r="2774" spans="1:25">
      <c r="A2774" s="499">
        <v>45572</v>
      </c>
      <c r="B2774" s="499">
        <v>45572</v>
      </c>
      <c r="C2774" s="500" t="s">
        <v>173</v>
      </c>
      <c r="D2774" s="500" t="s">
        <v>761</v>
      </c>
      <c r="E2774" s="501">
        <v>-9006387.3000000007</v>
      </c>
      <c r="F2774" s="502" t="s">
        <v>878</v>
      </c>
      <c r="G2774" s="100" t="s">
        <v>87</v>
      </c>
      <c r="H2774" s="530"/>
      <c r="I2774" s="525"/>
      <c r="K2774" s="548"/>
      <c r="L2774" s="548"/>
      <c r="M2774" s="548"/>
      <c r="N2774" s="552"/>
      <c r="Y2774" s="551"/>
    </row>
    <row r="2775" spans="1:25">
      <c r="A2775" s="499">
        <v>45572</v>
      </c>
      <c r="B2775" s="499">
        <v>45573</v>
      </c>
      <c r="C2775" s="500" t="s">
        <v>173</v>
      </c>
      <c r="D2775" s="500" t="s">
        <v>761</v>
      </c>
      <c r="E2775" s="501">
        <v>662496400.63</v>
      </c>
      <c r="F2775" s="502" t="s">
        <v>878</v>
      </c>
      <c r="G2775" s="100" t="s">
        <v>139</v>
      </c>
      <c r="H2775" s="573">
        <v>492.01074232756099</v>
      </c>
      <c r="I2775" s="525"/>
      <c r="K2775" s="548"/>
      <c r="L2775" s="548"/>
      <c r="M2775" s="548"/>
      <c r="N2775" s="552"/>
      <c r="Y2775" s="551"/>
    </row>
    <row r="2776" spans="1:25">
      <c r="A2776" s="499">
        <v>45572</v>
      </c>
      <c r="B2776" s="499">
        <v>45573</v>
      </c>
      <c r="C2776" s="500" t="s">
        <v>173</v>
      </c>
      <c r="D2776" s="500" t="s">
        <v>761</v>
      </c>
      <c r="E2776" s="501">
        <v>2001499.7</v>
      </c>
      <c r="F2776" s="502" t="s">
        <v>878</v>
      </c>
      <c r="G2776" s="100" t="s">
        <v>139</v>
      </c>
      <c r="H2776" s="573">
        <v>492.01074237954799</v>
      </c>
      <c r="I2776" s="525"/>
      <c r="K2776" s="548"/>
      <c r="L2776" s="548"/>
      <c r="M2776" s="548"/>
      <c r="N2776" s="552"/>
      <c r="Y2776" s="551"/>
    </row>
    <row r="2777" spans="1:25">
      <c r="A2777" s="499">
        <v>45572</v>
      </c>
      <c r="B2777" s="499">
        <v>45579</v>
      </c>
      <c r="C2777" s="500" t="s">
        <v>173</v>
      </c>
      <c r="D2777" s="500" t="s">
        <v>761</v>
      </c>
      <c r="E2777" s="501">
        <v>2005258094.04</v>
      </c>
      <c r="F2777" s="502" t="s">
        <v>878</v>
      </c>
      <c r="G2777" s="100" t="s">
        <v>928</v>
      </c>
      <c r="H2777" s="573">
        <v>99.943086824162705</v>
      </c>
      <c r="I2777" s="525"/>
      <c r="K2777" s="548"/>
      <c r="L2777" s="548"/>
      <c r="M2777" s="548"/>
      <c r="N2777" s="552"/>
      <c r="Y2777" s="551"/>
    </row>
    <row r="2778" spans="1:25">
      <c r="A2778" s="499">
        <v>45572</v>
      </c>
      <c r="B2778" s="499">
        <v>45579</v>
      </c>
      <c r="C2778" s="500" t="s">
        <v>173</v>
      </c>
      <c r="D2778" s="500" t="s">
        <v>761</v>
      </c>
      <c r="E2778" s="501">
        <v>9030158.2599999998</v>
      </c>
      <c r="F2778" s="502" t="s">
        <v>878</v>
      </c>
      <c r="G2778" s="100" t="s">
        <v>87</v>
      </c>
      <c r="H2778" s="573">
        <v>951.04352395997898</v>
      </c>
      <c r="I2778" s="525"/>
      <c r="K2778" s="548"/>
      <c r="L2778" s="548"/>
      <c r="M2778" s="548"/>
      <c r="N2778" s="552"/>
      <c r="Y2778" s="551"/>
    </row>
    <row r="2779" spans="1:25">
      <c r="A2779" s="499">
        <v>45572</v>
      </c>
      <c r="B2779" s="499">
        <v>45572</v>
      </c>
      <c r="C2779" s="500" t="s">
        <v>173</v>
      </c>
      <c r="D2779" s="500" t="s">
        <v>759</v>
      </c>
      <c r="E2779" s="501">
        <v>-7000876.6299999999</v>
      </c>
      <c r="F2779" s="502" t="s">
        <v>878</v>
      </c>
      <c r="G2779" s="100" t="s">
        <v>634</v>
      </c>
      <c r="H2779" s="484"/>
      <c r="I2779" s="525"/>
      <c r="K2779" s="548"/>
      <c r="L2779" s="548"/>
      <c r="M2779" s="548"/>
      <c r="N2779" s="552"/>
      <c r="Y2779" s="551"/>
    </row>
    <row r="2780" spans="1:25">
      <c r="A2780" s="499">
        <v>45572</v>
      </c>
      <c r="B2780" s="499">
        <v>45572</v>
      </c>
      <c r="C2780" s="500" t="s">
        <v>173</v>
      </c>
      <c r="D2780" s="500" t="s">
        <v>759</v>
      </c>
      <c r="E2780" s="501">
        <v>-2007457334.9300001</v>
      </c>
      <c r="F2780" s="502" t="s">
        <v>878</v>
      </c>
      <c r="G2780" s="100" t="s">
        <v>494</v>
      </c>
      <c r="H2780" s="484"/>
      <c r="I2780" s="525"/>
      <c r="K2780" s="548"/>
      <c r="L2780" s="548"/>
      <c r="M2780" s="548"/>
      <c r="N2780" s="552"/>
      <c r="Y2780" s="551"/>
    </row>
    <row r="2781" spans="1:25">
      <c r="A2781" s="499">
        <v>45572</v>
      </c>
      <c r="B2781" s="499">
        <v>45573</v>
      </c>
      <c r="C2781" s="500" t="s">
        <v>173</v>
      </c>
      <c r="D2781" s="500" t="s">
        <v>759</v>
      </c>
      <c r="E2781" s="501">
        <v>7003625.3300000001</v>
      </c>
      <c r="F2781" s="502" t="s">
        <v>878</v>
      </c>
      <c r="G2781" s="100" t="s">
        <v>634</v>
      </c>
      <c r="H2781" s="570" t="s">
        <v>969</v>
      </c>
      <c r="I2781" s="525"/>
      <c r="K2781" s="548"/>
      <c r="L2781" s="548"/>
      <c r="M2781" s="548"/>
      <c r="N2781" s="552"/>
      <c r="Y2781" s="551"/>
    </row>
    <row r="2782" spans="1:25">
      <c r="A2782" s="499">
        <v>45572</v>
      </c>
      <c r="B2782" s="499">
        <v>45573</v>
      </c>
      <c r="C2782" s="500" t="s">
        <v>173</v>
      </c>
      <c r="D2782" s="500" t="s">
        <v>759</v>
      </c>
      <c r="E2782" s="501">
        <v>2008219724.4400001</v>
      </c>
      <c r="F2782" s="502" t="s">
        <v>878</v>
      </c>
      <c r="G2782" s="100" t="s">
        <v>494</v>
      </c>
      <c r="H2782" s="570" t="s">
        <v>970</v>
      </c>
      <c r="I2782" s="525"/>
      <c r="K2782" s="548"/>
      <c r="L2782" s="548"/>
      <c r="M2782" s="548"/>
      <c r="N2782" s="552"/>
      <c r="Y2782" s="551"/>
    </row>
    <row r="2783" spans="1:25">
      <c r="A2783" s="499">
        <v>45572</v>
      </c>
      <c r="B2783" s="499">
        <v>45572</v>
      </c>
      <c r="C2783" s="500" t="s">
        <v>173</v>
      </c>
      <c r="D2783" s="500" t="s">
        <v>760</v>
      </c>
      <c r="E2783" s="501">
        <v>-1235897212.6800001</v>
      </c>
      <c r="F2783" s="502" t="s">
        <v>878</v>
      </c>
      <c r="G2783" s="100" t="s">
        <v>494</v>
      </c>
      <c r="H2783" s="530"/>
      <c r="I2783" s="525"/>
      <c r="K2783" s="548"/>
      <c r="L2783" s="548"/>
      <c r="M2783" s="548"/>
      <c r="N2783" s="552"/>
      <c r="Y2783" s="551"/>
    </row>
    <row r="2784" spans="1:25">
      <c r="A2784" s="499">
        <v>45572</v>
      </c>
      <c r="B2784" s="499">
        <v>45572</v>
      </c>
      <c r="C2784" s="500" t="s">
        <v>173</v>
      </c>
      <c r="D2784" s="500" t="s">
        <v>760</v>
      </c>
      <c r="E2784" s="501">
        <v>-36013415.770000003</v>
      </c>
      <c r="F2784" s="502" t="s">
        <v>878</v>
      </c>
      <c r="G2784" s="100" t="s">
        <v>139</v>
      </c>
      <c r="H2784" s="530"/>
      <c r="I2784" s="525"/>
      <c r="K2784" s="548"/>
      <c r="L2784" s="548"/>
      <c r="M2784" s="548"/>
      <c r="N2784" s="552"/>
      <c r="Y2784" s="551"/>
    </row>
    <row r="2785" spans="1:25">
      <c r="A2785" s="499">
        <v>45572</v>
      </c>
      <c r="B2785" s="499">
        <v>45573</v>
      </c>
      <c r="C2785" s="500" t="s">
        <v>173</v>
      </c>
      <c r="D2785" s="500" t="s">
        <v>760</v>
      </c>
      <c r="E2785" s="501">
        <v>1236366583.48</v>
      </c>
      <c r="F2785" s="502" t="s">
        <v>878</v>
      </c>
      <c r="G2785" s="100" t="s">
        <v>494</v>
      </c>
      <c r="H2785" s="484" t="s">
        <v>971</v>
      </c>
      <c r="I2785" s="525"/>
      <c r="K2785" s="548"/>
      <c r="L2785" s="548"/>
      <c r="M2785" s="548"/>
      <c r="N2785" s="552"/>
      <c r="Y2785" s="551"/>
    </row>
    <row r="2786" spans="1:25">
      <c r="A2786" s="499">
        <v>45572</v>
      </c>
      <c r="B2786" s="499">
        <v>45573</v>
      </c>
      <c r="C2786" s="500" t="s">
        <v>173</v>
      </c>
      <c r="D2786" s="500" t="s">
        <v>760</v>
      </c>
      <c r="E2786" s="501">
        <v>36027132.359999999</v>
      </c>
      <c r="F2786" s="502" t="s">
        <v>878</v>
      </c>
      <c r="G2786" s="100" t="s">
        <v>139</v>
      </c>
      <c r="H2786" s="484" t="s">
        <v>972</v>
      </c>
      <c r="I2786" s="525"/>
      <c r="K2786" s="548"/>
      <c r="L2786" s="548"/>
      <c r="M2786" s="548"/>
      <c r="N2786" s="552"/>
      <c r="Y2786" s="551"/>
    </row>
    <row r="2787" spans="1:25">
      <c r="A2787" s="499">
        <v>45572</v>
      </c>
      <c r="B2787" s="499">
        <v>45572</v>
      </c>
      <c r="C2787" s="500" t="s">
        <v>173</v>
      </c>
      <c r="D2787" s="500" t="s">
        <v>764</v>
      </c>
      <c r="E2787" s="501">
        <v>-1240511331.3599999</v>
      </c>
      <c r="F2787" s="502" t="s">
        <v>878</v>
      </c>
      <c r="G2787" s="100" t="s">
        <v>719</v>
      </c>
      <c r="H2787" s="530"/>
      <c r="I2787" s="525"/>
      <c r="K2787" s="548"/>
      <c r="L2787" s="548"/>
      <c r="M2787" s="548"/>
      <c r="N2787" s="552"/>
      <c r="Y2787" s="551"/>
    </row>
    <row r="2788" spans="1:25">
      <c r="A2788" s="499">
        <v>45572</v>
      </c>
      <c r="B2788" s="499">
        <v>45572</v>
      </c>
      <c r="C2788" s="500" t="s">
        <v>173</v>
      </c>
      <c r="D2788" s="500" t="s">
        <v>764</v>
      </c>
      <c r="E2788" s="501">
        <v>-1861279717.6099999</v>
      </c>
      <c r="F2788" s="502" t="s">
        <v>878</v>
      </c>
      <c r="G2788" s="100" t="s">
        <v>692</v>
      </c>
      <c r="H2788" s="530"/>
      <c r="I2788" s="525"/>
      <c r="K2788" s="548"/>
      <c r="L2788" s="548"/>
      <c r="M2788" s="548"/>
      <c r="N2788" s="552"/>
      <c r="Y2788" s="551"/>
    </row>
    <row r="2789" spans="1:25">
      <c r="A2789" s="499">
        <v>45572</v>
      </c>
      <c r="B2789" s="499">
        <v>45572</v>
      </c>
      <c r="C2789" s="500" t="s">
        <v>173</v>
      </c>
      <c r="D2789" s="500" t="s">
        <v>764</v>
      </c>
      <c r="E2789" s="501">
        <v>-340174624</v>
      </c>
      <c r="F2789" s="502" t="s">
        <v>878</v>
      </c>
      <c r="G2789" s="100" t="s">
        <v>652</v>
      </c>
      <c r="H2789" s="530"/>
      <c r="I2789" s="525"/>
      <c r="K2789" s="548"/>
      <c r="L2789" s="548"/>
      <c r="M2789" s="548"/>
      <c r="N2789" s="552"/>
      <c r="Y2789" s="551"/>
    </row>
    <row r="2790" spans="1:25">
      <c r="A2790" s="499">
        <v>45572</v>
      </c>
      <c r="B2790" s="499">
        <v>45572</v>
      </c>
      <c r="C2790" s="500" t="s">
        <v>173</v>
      </c>
      <c r="D2790" s="500" t="s">
        <v>764</v>
      </c>
      <c r="E2790" s="501">
        <v>-13001628.029999999</v>
      </c>
      <c r="F2790" s="502" t="s">
        <v>878</v>
      </c>
      <c r="G2790" s="100" t="s">
        <v>633</v>
      </c>
      <c r="H2790" s="530"/>
      <c r="I2790" s="525"/>
      <c r="K2790" s="548"/>
      <c r="L2790" s="548"/>
      <c r="M2790" s="548"/>
      <c r="N2790" s="552"/>
      <c r="Y2790" s="551"/>
    </row>
    <row r="2791" spans="1:25">
      <c r="A2791" s="499">
        <v>45572</v>
      </c>
      <c r="B2791" s="499">
        <v>45579</v>
      </c>
      <c r="C2791" s="500" t="s">
        <v>173</v>
      </c>
      <c r="D2791" s="500" t="s">
        <v>764</v>
      </c>
      <c r="E2791" s="501">
        <v>1243785467.8199999</v>
      </c>
      <c r="F2791" s="502" t="s">
        <v>878</v>
      </c>
      <c r="G2791" s="100" t="s">
        <v>719</v>
      </c>
      <c r="H2791" s="484">
        <v>114281069</v>
      </c>
      <c r="I2791" s="525"/>
      <c r="K2791" s="548"/>
      <c r="L2791" s="548"/>
      <c r="M2791" s="548"/>
      <c r="N2791" s="552"/>
      <c r="Y2791" s="551"/>
    </row>
    <row r="2792" spans="1:25">
      <c r="A2792" s="499">
        <v>45572</v>
      </c>
      <c r="B2792" s="499">
        <v>45579</v>
      </c>
      <c r="C2792" s="500" t="s">
        <v>173</v>
      </c>
      <c r="D2792" s="500" t="s">
        <v>764</v>
      </c>
      <c r="E2792" s="501">
        <v>1866192275.55</v>
      </c>
      <c r="F2792" s="502" t="s">
        <v>878</v>
      </c>
      <c r="G2792" s="100" t="s">
        <v>692</v>
      </c>
      <c r="H2792" s="484">
        <v>114281072</v>
      </c>
      <c r="I2792" s="525"/>
      <c r="K2792" s="548"/>
      <c r="L2792" s="548"/>
      <c r="M2792" s="548"/>
      <c r="N2792" s="552"/>
      <c r="Y2792" s="551"/>
    </row>
    <row r="2793" spans="1:25">
      <c r="A2793" s="499">
        <v>45572</v>
      </c>
      <c r="B2793" s="499">
        <v>45579</v>
      </c>
      <c r="C2793" s="500" t="s">
        <v>173</v>
      </c>
      <c r="D2793" s="500" t="s">
        <v>764</v>
      </c>
      <c r="E2793" s="501">
        <v>341072461.94</v>
      </c>
      <c r="F2793" s="502" t="s">
        <v>878</v>
      </c>
      <c r="G2793" s="100" t="s">
        <v>652</v>
      </c>
      <c r="H2793" s="484">
        <v>114281075</v>
      </c>
      <c r="I2793" s="525"/>
      <c r="K2793" s="548"/>
      <c r="L2793" s="548"/>
      <c r="M2793" s="548"/>
      <c r="N2793" s="552"/>
      <c r="Y2793" s="551"/>
    </row>
    <row r="2794" spans="1:25">
      <c r="A2794" s="499">
        <v>45572</v>
      </c>
      <c r="B2794" s="499">
        <v>45579</v>
      </c>
      <c r="C2794" s="500" t="s">
        <v>173</v>
      </c>
      <c r="D2794" s="500" t="s">
        <v>764</v>
      </c>
      <c r="E2794" s="501">
        <v>13035943.800000001</v>
      </c>
      <c r="F2794" s="502" t="s">
        <v>878</v>
      </c>
      <c r="G2794" s="100" t="s">
        <v>633</v>
      </c>
      <c r="H2794" s="484">
        <v>114281464</v>
      </c>
      <c r="I2794" s="525"/>
      <c r="K2794" s="548"/>
      <c r="L2794" s="548"/>
      <c r="M2794" s="548"/>
      <c r="N2794" s="552"/>
      <c r="Y2794" s="551"/>
    </row>
    <row r="2795" spans="1:25">
      <c r="A2795" s="499">
        <v>45572</v>
      </c>
      <c r="B2795" s="499">
        <v>45572</v>
      </c>
      <c r="C2795" s="500" t="s">
        <v>173</v>
      </c>
      <c r="D2795" s="500" t="s">
        <v>763</v>
      </c>
      <c r="E2795" s="501">
        <v>-5366344594.8599997</v>
      </c>
      <c r="F2795" s="502" t="s">
        <v>878</v>
      </c>
      <c r="G2795" s="100" t="s">
        <v>644</v>
      </c>
      <c r="H2795" s="530"/>
      <c r="I2795" s="525"/>
      <c r="K2795" s="548"/>
      <c r="L2795" s="548"/>
      <c r="M2795" s="548"/>
      <c r="N2795" s="552"/>
      <c r="Y2795" s="551"/>
    </row>
    <row r="2796" spans="1:25">
      <c r="A2796" s="499">
        <v>45572</v>
      </c>
      <c r="B2796" s="499">
        <v>45572</v>
      </c>
      <c r="C2796" s="500" t="s">
        <v>173</v>
      </c>
      <c r="D2796" s="500" t="s">
        <v>763</v>
      </c>
      <c r="E2796" s="501">
        <v>-23015213.300000001</v>
      </c>
      <c r="F2796" s="502" t="s">
        <v>878</v>
      </c>
      <c r="G2796" s="100" t="s">
        <v>685</v>
      </c>
      <c r="H2796" s="530"/>
      <c r="I2796" s="525"/>
      <c r="K2796" s="548"/>
      <c r="L2796" s="548"/>
      <c r="M2796" s="548"/>
      <c r="N2796" s="552"/>
      <c r="Y2796" s="551"/>
    </row>
    <row r="2797" spans="1:25">
      <c r="A2797" s="499">
        <v>45572</v>
      </c>
      <c r="B2797" s="499">
        <v>45573</v>
      </c>
      <c r="C2797" s="500" t="s">
        <v>173</v>
      </c>
      <c r="D2797" s="500" t="s">
        <v>763</v>
      </c>
      <c r="E2797" s="501">
        <v>5368294733.2799997</v>
      </c>
      <c r="F2797" s="502" t="s">
        <v>878</v>
      </c>
      <c r="G2797" s="100" t="s">
        <v>644</v>
      </c>
      <c r="H2797" s="484">
        <v>114279361</v>
      </c>
      <c r="I2797" s="525"/>
      <c r="K2797" s="548"/>
      <c r="L2797" s="548"/>
      <c r="M2797" s="548"/>
      <c r="N2797" s="552"/>
      <c r="Y2797" s="551"/>
    </row>
    <row r="2798" spans="1:25">
      <c r="A2798" s="499">
        <v>45572</v>
      </c>
      <c r="B2798" s="499">
        <v>45573</v>
      </c>
      <c r="C2798" s="500" t="s">
        <v>173</v>
      </c>
      <c r="D2798" s="500" t="s">
        <v>763</v>
      </c>
      <c r="E2798" s="501">
        <v>23023577.379999999</v>
      </c>
      <c r="F2798" s="502" t="s">
        <v>878</v>
      </c>
      <c r="G2798" s="100" t="s">
        <v>685</v>
      </c>
      <c r="H2798" s="484">
        <v>114279479</v>
      </c>
      <c r="I2798" s="525"/>
      <c r="K2798" s="548"/>
      <c r="L2798" s="548"/>
      <c r="M2798" s="548"/>
      <c r="N2798" s="552">
        <v>-1</v>
      </c>
      <c r="Y2798" s="551"/>
    </row>
    <row r="2799" spans="1:25">
      <c r="A2799" s="499">
        <v>45573</v>
      </c>
      <c r="B2799" s="499">
        <v>45573</v>
      </c>
      <c r="C2799" s="500" t="s">
        <v>173</v>
      </c>
      <c r="D2799" s="500" t="s">
        <v>762</v>
      </c>
      <c r="E2799" s="501">
        <v>-2211030321.6500001</v>
      </c>
      <c r="F2799" s="502" t="s">
        <v>878</v>
      </c>
      <c r="G2799" s="100" t="s">
        <v>633</v>
      </c>
      <c r="H2799" s="530"/>
      <c r="I2799" s="525"/>
      <c r="K2799" s="548"/>
      <c r="L2799" s="548"/>
      <c r="M2799" s="548"/>
      <c r="N2799" s="552"/>
      <c r="Y2799" s="551"/>
    </row>
    <row r="2800" spans="1:25">
      <c r="A2800" s="499">
        <v>45573</v>
      </c>
      <c r="B2800" s="499">
        <v>45573</v>
      </c>
      <c r="C2800" s="500" t="s">
        <v>173</v>
      </c>
      <c r="D2800" s="500" t="s">
        <v>762</v>
      </c>
      <c r="E2800" s="501">
        <v>-24000329.140000001</v>
      </c>
      <c r="F2800" s="502" t="s">
        <v>878</v>
      </c>
      <c r="G2800" s="100" t="s">
        <v>633</v>
      </c>
      <c r="H2800" s="530"/>
      <c r="I2800" s="525"/>
      <c r="K2800" s="548"/>
      <c r="L2800" s="548"/>
      <c r="M2800" s="548"/>
      <c r="N2800" s="552"/>
      <c r="Y2800" s="551"/>
    </row>
    <row r="2801" spans="1:25">
      <c r="A2801" s="499">
        <v>45573</v>
      </c>
      <c r="B2801" s="499">
        <v>45573</v>
      </c>
      <c r="C2801" s="500" t="s">
        <v>173</v>
      </c>
      <c r="D2801" s="500" t="s">
        <v>762</v>
      </c>
      <c r="E2801" s="501">
        <v>-3994035762.1300001</v>
      </c>
      <c r="F2801" s="502" t="s">
        <v>878</v>
      </c>
      <c r="G2801" s="100" t="s">
        <v>596</v>
      </c>
      <c r="H2801" s="530"/>
      <c r="I2801" s="525"/>
      <c r="K2801" s="548"/>
      <c r="L2801" s="548"/>
      <c r="M2801" s="548"/>
      <c r="N2801" s="552"/>
      <c r="Y2801" s="551"/>
    </row>
    <row r="2802" spans="1:25">
      <c r="A2802" s="499">
        <v>45573</v>
      </c>
      <c r="B2802" s="499">
        <v>45574</v>
      </c>
      <c r="C2802" s="500" t="s">
        <v>173</v>
      </c>
      <c r="D2802" s="500" t="s">
        <v>762</v>
      </c>
      <c r="E2802" s="501">
        <v>2211891179.6599998</v>
      </c>
      <c r="F2802" s="502" t="s">
        <v>878</v>
      </c>
      <c r="G2802" s="100" t="s">
        <v>633</v>
      </c>
      <c r="H2802" s="484">
        <v>114296491</v>
      </c>
      <c r="I2802" s="525"/>
      <c r="K2802" s="548"/>
      <c r="L2802" s="548"/>
      <c r="M2802" s="548"/>
      <c r="N2802" s="552"/>
      <c r="Y2802" s="551"/>
    </row>
    <row r="2803" spans="1:25">
      <c r="A2803" s="499">
        <v>45573</v>
      </c>
      <c r="B2803" s="499">
        <v>45574</v>
      </c>
      <c r="C2803" s="500" t="s">
        <v>173</v>
      </c>
      <c r="D2803" s="500" t="s">
        <v>762</v>
      </c>
      <c r="E2803" s="501">
        <v>24009673.600000001</v>
      </c>
      <c r="F2803" s="502" t="s">
        <v>878</v>
      </c>
      <c r="G2803" s="100" t="s">
        <v>633</v>
      </c>
      <c r="H2803" s="484">
        <v>114296520</v>
      </c>
      <c r="I2803" s="525"/>
      <c r="K2803" s="548"/>
      <c r="L2803" s="548"/>
      <c r="M2803" s="548"/>
      <c r="N2803" s="552"/>
      <c r="Y2803" s="551"/>
    </row>
    <row r="2804" spans="1:25">
      <c r="A2804" s="499">
        <v>45573</v>
      </c>
      <c r="B2804" s="499">
        <v>45574</v>
      </c>
      <c r="C2804" s="500" t="s">
        <v>173</v>
      </c>
      <c r="D2804" s="500" t="s">
        <v>762</v>
      </c>
      <c r="E2804" s="501">
        <v>3995590838.8600001</v>
      </c>
      <c r="F2804" s="502" t="s">
        <v>878</v>
      </c>
      <c r="G2804" s="100" t="s">
        <v>596</v>
      </c>
      <c r="H2804" s="484">
        <v>114296488</v>
      </c>
      <c r="I2804" s="525"/>
      <c r="K2804" s="548"/>
      <c r="L2804" s="548"/>
      <c r="M2804" s="548"/>
      <c r="N2804" s="552"/>
      <c r="Y2804" s="551"/>
    </row>
    <row r="2805" spans="1:25">
      <c r="A2805" s="499">
        <v>45573</v>
      </c>
      <c r="B2805" s="499">
        <v>45573</v>
      </c>
      <c r="C2805" s="500" t="s">
        <v>173</v>
      </c>
      <c r="D2805" s="500" t="s">
        <v>761</v>
      </c>
      <c r="E2805" s="501">
        <v>-957396471.13</v>
      </c>
      <c r="F2805" s="502" t="s">
        <v>878</v>
      </c>
      <c r="G2805" s="100" t="s">
        <v>630</v>
      </c>
      <c r="H2805" s="530"/>
      <c r="I2805" s="525"/>
      <c r="K2805" s="548"/>
      <c r="L2805" s="548"/>
      <c r="M2805" s="548"/>
      <c r="N2805" s="552"/>
      <c r="Y2805" s="551"/>
    </row>
    <row r="2806" spans="1:25">
      <c r="A2806" s="499">
        <v>45573</v>
      </c>
      <c r="B2806" s="499">
        <v>45573</v>
      </c>
      <c r="C2806" s="500" t="s">
        <v>173</v>
      </c>
      <c r="D2806" s="500" t="s">
        <v>761</v>
      </c>
      <c r="E2806" s="501">
        <v>-3000041.14</v>
      </c>
      <c r="F2806" s="502" t="s">
        <v>878</v>
      </c>
      <c r="G2806" s="100" t="s">
        <v>633</v>
      </c>
      <c r="H2806" s="530"/>
      <c r="I2806" s="525"/>
      <c r="K2806" s="548"/>
      <c r="L2806" s="548"/>
      <c r="M2806" s="548"/>
      <c r="N2806" s="552"/>
      <c r="Y2806" s="551"/>
    </row>
    <row r="2807" spans="1:25">
      <c r="A2807" s="499">
        <v>45573</v>
      </c>
      <c r="B2807" s="499">
        <v>45574</v>
      </c>
      <c r="C2807" s="500" t="s">
        <v>173</v>
      </c>
      <c r="D2807" s="500" t="s">
        <v>761</v>
      </c>
      <c r="E2807" s="501">
        <v>957762688.36000001</v>
      </c>
      <c r="F2807" s="502" t="s">
        <v>878</v>
      </c>
      <c r="G2807" s="100" t="s">
        <v>630</v>
      </c>
      <c r="H2807" s="484">
        <v>114294693</v>
      </c>
      <c r="I2807" s="525"/>
      <c r="K2807" s="548"/>
      <c r="L2807" s="548"/>
      <c r="M2807" s="548"/>
      <c r="N2807" s="552"/>
      <c r="Y2807" s="551"/>
    </row>
    <row r="2808" spans="1:25">
      <c r="A2808" s="499">
        <v>45573</v>
      </c>
      <c r="B2808" s="499">
        <v>45574</v>
      </c>
      <c r="C2808" s="500" t="s">
        <v>173</v>
      </c>
      <c r="D2808" s="500" t="s">
        <v>761</v>
      </c>
      <c r="E2808" s="501">
        <v>3001200.99</v>
      </c>
      <c r="F2808" s="502" t="s">
        <v>878</v>
      </c>
      <c r="G2808" s="100" t="s">
        <v>633</v>
      </c>
      <c r="H2808" s="484">
        <v>114295250</v>
      </c>
      <c r="I2808" s="525"/>
      <c r="K2808" s="548"/>
      <c r="L2808" s="548"/>
      <c r="M2808" s="548"/>
      <c r="N2808" s="552"/>
      <c r="Y2808" s="551"/>
    </row>
    <row r="2809" spans="1:25">
      <c r="A2809" s="499">
        <v>45573</v>
      </c>
      <c r="B2809" s="499">
        <v>45573</v>
      </c>
      <c r="C2809" s="500" t="s">
        <v>173</v>
      </c>
      <c r="D2809" s="500" t="s">
        <v>759</v>
      </c>
      <c r="E2809" s="501">
        <v>-2008961334.02</v>
      </c>
      <c r="F2809" s="502" t="s">
        <v>878</v>
      </c>
      <c r="G2809" s="100" t="s">
        <v>88</v>
      </c>
      <c r="H2809" s="484"/>
      <c r="I2809" s="525"/>
      <c r="K2809" s="548"/>
      <c r="L2809" s="548"/>
      <c r="M2809" s="548"/>
      <c r="N2809" s="552"/>
      <c r="Y2809" s="551"/>
    </row>
    <row r="2810" spans="1:25">
      <c r="A2810" s="499">
        <v>45573</v>
      </c>
      <c r="B2810" s="499">
        <v>45573</v>
      </c>
      <c r="C2810" s="500" t="s">
        <v>173</v>
      </c>
      <c r="D2810" s="500" t="s">
        <v>759</v>
      </c>
      <c r="E2810" s="501">
        <v>-7003351.2599999998</v>
      </c>
      <c r="F2810" s="502" t="s">
        <v>878</v>
      </c>
      <c r="G2810" s="100" t="s">
        <v>88</v>
      </c>
      <c r="H2810" s="484"/>
      <c r="I2810" s="525"/>
      <c r="K2810" s="548"/>
      <c r="L2810" s="548"/>
      <c r="M2810" s="548"/>
      <c r="N2810" s="552"/>
      <c r="Y2810" s="551"/>
    </row>
    <row r="2811" spans="1:25">
      <c r="A2811" s="499">
        <v>45573</v>
      </c>
      <c r="B2811" s="499">
        <v>45574</v>
      </c>
      <c r="C2811" s="500" t="s">
        <v>173</v>
      </c>
      <c r="D2811" s="500" t="s">
        <v>759</v>
      </c>
      <c r="E2811" s="501">
        <v>2009716066.76</v>
      </c>
      <c r="F2811" s="502" t="s">
        <v>878</v>
      </c>
      <c r="G2811" s="100" t="s">
        <v>88</v>
      </c>
      <c r="H2811" s="570">
        <v>974.54200000000003</v>
      </c>
      <c r="I2811" s="525"/>
      <c r="K2811" s="548"/>
      <c r="L2811" s="548"/>
      <c r="M2811" s="548"/>
      <c r="N2811" s="552"/>
      <c r="Y2811" s="551"/>
    </row>
    <row r="2812" spans="1:25">
      <c r="A2812" s="499">
        <v>45573</v>
      </c>
      <c r="B2812" s="499">
        <v>45574</v>
      </c>
      <c r="C2812" s="500" t="s">
        <v>173</v>
      </c>
      <c r="D2812" s="500" t="s">
        <v>759</v>
      </c>
      <c r="E2812" s="501">
        <v>7005934.46</v>
      </c>
      <c r="F2812" s="502" t="s">
        <v>878</v>
      </c>
      <c r="G2812" s="100" t="s">
        <v>88</v>
      </c>
      <c r="H2812" s="570">
        <v>974.53530000000001</v>
      </c>
      <c r="I2812" s="525"/>
      <c r="K2812" s="548"/>
      <c r="L2812" s="548"/>
      <c r="M2812" s="548"/>
      <c r="N2812" s="552"/>
      <c r="Y2812" s="551"/>
    </row>
    <row r="2813" spans="1:25">
      <c r="A2813" s="499">
        <v>45573</v>
      </c>
      <c r="B2813" s="499">
        <v>45573</v>
      </c>
      <c r="C2813" s="500" t="s">
        <v>173</v>
      </c>
      <c r="D2813" s="500" t="s">
        <v>760</v>
      </c>
      <c r="E2813" s="501">
        <v>-1240513713.9000001</v>
      </c>
      <c r="F2813" s="502" t="s">
        <v>878</v>
      </c>
      <c r="G2813" s="100" t="s">
        <v>139</v>
      </c>
      <c r="H2813" s="530"/>
      <c r="I2813" s="525"/>
      <c r="K2813" s="548"/>
      <c r="L2813" s="548"/>
      <c r="M2813" s="548"/>
      <c r="N2813" s="552"/>
      <c r="Y2813" s="551"/>
    </row>
    <row r="2814" spans="1:25">
      <c r="A2814" s="499">
        <v>45573</v>
      </c>
      <c r="B2814" s="499">
        <v>45573</v>
      </c>
      <c r="C2814" s="500" t="s">
        <v>173</v>
      </c>
      <c r="D2814" s="500" t="s">
        <v>760</v>
      </c>
      <c r="E2814" s="501">
        <v>-31012842.850000001</v>
      </c>
      <c r="F2814" s="502" t="s">
        <v>878</v>
      </c>
      <c r="G2814" s="100" t="s">
        <v>139</v>
      </c>
      <c r="H2814" s="530"/>
      <c r="I2814" s="525"/>
      <c r="K2814" s="548"/>
      <c r="L2814" s="548"/>
      <c r="M2814" s="548"/>
      <c r="N2814" s="552"/>
      <c r="Y2814" s="551"/>
    </row>
    <row r="2815" spans="1:25">
      <c r="A2815" s="499">
        <v>45573</v>
      </c>
      <c r="B2815" s="499">
        <v>45574</v>
      </c>
      <c r="C2815" s="500" t="s">
        <v>173</v>
      </c>
      <c r="D2815" s="500" t="s">
        <v>760</v>
      </c>
      <c r="E2815" s="501">
        <v>1240991616.72</v>
      </c>
      <c r="F2815" s="502" t="s">
        <v>878</v>
      </c>
      <c r="G2815" s="100" t="s">
        <v>139</v>
      </c>
      <c r="H2815" s="484" t="s">
        <v>973</v>
      </c>
      <c r="I2815" s="525"/>
      <c r="K2815" s="548"/>
      <c r="L2815" s="548"/>
      <c r="M2815" s="548"/>
      <c r="N2815" s="552"/>
      <c r="Y2815" s="551"/>
    </row>
    <row r="2816" spans="1:25">
      <c r="A2816" s="499">
        <v>45573</v>
      </c>
      <c r="B2816" s="499">
        <v>45574</v>
      </c>
      <c r="C2816" s="500" t="s">
        <v>173</v>
      </c>
      <c r="D2816" s="500" t="s">
        <v>760</v>
      </c>
      <c r="E2816" s="501">
        <v>31024790.510000002</v>
      </c>
      <c r="F2816" s="502" t="s">
        <v>878</v>
      </c>
      <c r="G2816" s="100" t="s">
        <v>139</v>
      </c>
      <c r="H2816" s="484" t="s">
        <v>974</v>
      </c>
      <c r="I2816" s="525"/>
      <c r="K2816" s="548"/>
      <c r="L2816" s="548"/>
      <c r="M2816" s="548"/>
      <c r="N2816" s="552"/>
      <c r="Y2816" s="551"/>
    </row>
    <row r="2817" spans="1:25">
      <c r="A2817" s="499">
        <v>45573</v>
      </c>
      <c r="B2817" s="499">
        <v>45573</v>
      </c>
      <c r="C2817" s="500" t="s">
        <v>173</v>
      </c>
      <c r="D2817" s="500" t="s">
        <v>763</v>
      </c>
      <c r="E2817" s="501">
        <v>-5368866090.3000002</v>
      </c>
      <c r="F2817" s="502" t="s">
        <v>878</v>
      </c>
      <c r="G2817" s="100" t="s">
        <v>550</v>
      </c>
      <c r="H2817" s="530"/>
      <c r="I2817" s="525"/>
      <c r="K2817" s="548"/>
      <c r="L2817" s="548"/>
      <c r="M2817" s="548"/>
      <c r="N2817" s="552"/>
      <c r="Y2817" s="551"/>
    </row>
    <row r="2818" spans="1:25">
      <c r="A2818" s="499">
        <v>45573</v>
      </c>
      <c r="B2818" s="499">
        <v>45573</v>
      </c>
      <c r="C2818" s="500" t="s">
        <v>173</v>
      </c>
      <c r="D2818" s="500" t="s">
        <v>763</v>
      </c>
      <c r="E2818" s="501">
        <v>-22014805.030000001</v>
      </c>
      <c r="F2818" s="502" t="s">
        <v>878</v>
      </c>
      <c r="G2818" s="100" t="s">
        <v>676</v>
      </c>
      <c r="H2818" s="530"/>
      <c r="I2818" s="525"/>
      <c r="K2818" s="548"/>
      <c r="L2818" s="548"/>
      <c r="M2818" s="548"/>
      <c r="N2818" s="552"/>
      <c r="Y2818" s="551"/>
    </row>
    <row r="2819" spans="1:25">
      <c r="A2819" s="499">
        <v>45573</v>
      </c>
      <c r="B2819" s="499">
        <v>45574</v>
      </c>
      <c r="C2819" s="500" t="s">
        <v>173</v>
      </c>
      <c r="D2819" s="500" t="s">
        <v>763</v>
      </c>
      <c r="E2819" s="501">
        <v>5370846424.4300003</v>
      </c>
      <c r="F2819" s="502" t="s">
        <v>878</v>
      </c>
      <c r="G2819" s="100" t="s">
        <v>550</v>
      </c>
      <c r="H2819" s="484">
        <v>114294060</v>
      </c>
      <c r="I2819" s="525"/>
      <c r="K2819" s="548"/>
      <c r="L2819" s="548"/>
      <c r="M2819" s="548"/>
      <c r="N2819" s="552"/>
      <c r="Y2819" s="551"/>
    </row>
    <row r="2820" spans="1:25">
      <c r="A2820" s="499">
        <v>45573</v>
      </c>
      <c r="B2820" s="499">
        <v>45574</v>
      </c>
      <c r="C2820" s="500" t="s">
        <v>173</v>
      </c>
      <c r="D2820" s="500" t="s">
        <v>763</v>
      </c>
      <c r="E2820" s="501">
        <v>22022925.43</v>
      </c>
      <c r="F2820" s="502" t="s">
        <v>878</v>
      </c>
      <c r="G2820" s="100" t="s">
        <v>676</v>
      </c>
      <c r="H2820" s="484">
        <v>114294134</v>
      </c>
      <c r="I2820" s="525"/>
      <c r="K2820" s="548"/>
      <c r="L2820" s="548"/>
      <c r="M2820" s="548"/>
      <c r="N2820" s="552"/>
      <c r="Y2820" s="551"/>
    </row>
    <row r="2821" spans="1:25">
      <c r="A2821" s="499">
        <v>45574</v>
      </c>
      <c r="B2821" s="499">
        <v>45574</v>
      </c>
      <c r="C2821" s="500" t="s">
        <v>173</v>
      </c>
      <c r="D2821" s="500" t="s">
        <v>762</v>
      </c>
      <c r="E2821" s="501">
        <v>-1203590846.23</v>
      </c>
      <c r="F2821" s="502" t="s">
        <v>878</v>
      </c>
      <c r="G2821" s="100" t="s">
        <v>684</v>
      </c>
      <c r="H2821" s="530"/>
      <c r="I2821" s="525"/>
      <c r="K2821" s="548"/>
      <c r="L2821" s="548"/>
      <c r="M2821" s="548"/>
      <c r="N2821" s="552"/>
      <c r="Y2821" s="551"/>
    </row>
    <row r="2822" spans="1:25">
      <c r="A2822" s="499">
        <v>45574</v>
      </c>
      <c r="B2822" s="499">
        <v>45574</v>
      </c>
      <c r="C2822" s="500" t="s">
        <v>173</v>
      </c>
      <c r="D2822" s="500" t="s">
        <v>762</v>
      </c>
      <c r="E2822" s="501">
        <v>-5003580845</v>
      </c>
      <c r="F2822" s="502" t="s">
        <v>878</v>
      </c>
      <c r="G2822" s="100" t="s">
        <v>673</v>
      </c>
      <c r="H2822" s="530"/>
      <c r="I2822" s="525"/>
      <c r="K2822" s="548"/>
      <c r="L2822" s="548"/>
      <c r="M2822" s="548"/>
      <c r="N2822" s="552"/>
      <c r="Y2822" s="551"/>
    </row>
    <row r="2823" spans="1:25">
      <c r="A2823" s="499">
        <v>45574</v>
      </c>
      <c r="B2823" s="499">
        <v>45574</v>
      </c>
      <c r="C2823" s="500" t="s">
        <v>173</v>
      </c>
      <c r="D2823" s="500" t="s">
        <v>762</v>
      </c>
      <c r="E2823" s="501">
        <v>-24004161.050000001</v>
      </c>
      <c r="F2823" s="502" t="s">
        <v>878</v>
      </c>
      <c r="G2823" s="100" t="s">
        <v>596</v>
      </c>
      <c r="H2823" s="530"/>
      <c r="I2823" s="525"/>
      <c r="K2823" s="548"/>
      <c r="L2823" s="548"/>
      <c r="M2823" s="548"/>
      <c r="N2823" s="552"/>
      <c r="Y2823" s="551"/>
    </row>
    <row r="2824" spans="1:25">
      <c r="A2824" s="499">
        <v>45574</v>
      </c>
      <c r="B2824" s="499">
        <v>45575</v>
      </c>
      <c r="C2824" s="500" t="s">
        <v>173</v>
      </c>
      <c r="D2824" s="500" t="s">
        <v>762</v>
      </c>
      <c r="E2824" s="501">
        <v>1204044662.46</v>
      </c>
      <c r="F2824" s="502" t="s">
        <v>878</v>
      </c>
      <c r="G2824" s="100" t="s">
        <v>684</v>
      </c>
      <c r="H2824" s="484">
        <v>114310538</v>
      </c>
      <c r="I2824" s="525"/>
      <c r="K2824" s="548"/>
      <c r="L2824" s="548"/>
      <c r="M2824" s="548"/>
      <c r="N2824" s="552"/>
      <c r="Y2824" s="551"/>
    </row>
    <row r="2825" spans="1:25">
      <c r="A2825" s="499">
        <v>45574</v>
      </c>
      <c r="B2825" s="499">
        <v>45575</v>
      </c>
      <c r="C2825" s="500" t="s">
        <v>173</v>
      </c>
      <c r="D2825" s="500" t="s">
        <v>762</v>
      </c>
      <c r="E2825" s="501">
        <v>5005467454.7299995</v>
      </c>
      <c r="F2825" s="502" t="s">
        <v>878</v>
      </c>
      <c r="G2825" s="100" t="s">
        <v>673</v>
      </c>
      <c r="H2825" s="484">
        <v>114310535</v>
      </c>
      <c r="I2825" s="525"/>
      <c r="K2825" s="548"/>
      <c r="L2825" s="548"/>
      <c r="M2825" s="548"/>
      <c r="N2825" s="552"/>
      <c r="Y2825" s="551"/>
    </row>
    <row r="2826" spans="1:25">
      <c r="A2826" s="499">
        <v>45574</v>
      </c>
      <c r="B2826" s="499">
        <v>45575</v>
      </c>
      <c r="C2826" s="500" t="s">
        <v>173</v>
      </c>
      <c r="D2826" s="500" t="s">
        <v>762</v>
      </c>
      <c r="E2826" s="501">
        <v>24013022</v>
      </c>
      <c r="F2826" s="502" t="s">
        <v>878</v>
      </c>
      <c r="G2826" s="100" t="s">
        <v>596</v>
      </c>
      <c r="H2826" s="484">
        <v>114310683</v>
      </c>
      <c r="I2826" s="525"/>
      <c r="K2826" s="548"/>
      <c r="L2826" s="548"/>
      <c r="M2826" s="548"/>
      <c r="N2826" s="552"/>
      <c r="Y2826" s="551"/>
    </row>
    <row r="2827" spans="1:25">
      <c r="A2827" s="499">
        <v>45574</v>
      </c>
      <c r="B2827" s="499">
        <v>45574</v>
      </c>
      <c r="C2827" s="500" t="s">
        <v>173</v>
      </c>
      <c r="D2827" s="500" t="s">
        <v>761</v>
      </c>
      <c r="E2827" s="501">
        <v>-502359516.83999997</v>
      </c>
      <c r="F2827" s="502" t="s">
        <v>878</v>
      </c>
      <c r="G2827" s="100" t="s">
        <v>975</v>
      </c>
      <c r="H2827" s="530"/>
      <c r="I2827" s="525"/>
      <c r="K2827" s="548"/>
      <c r="L2827" s="548"/>
      <c r="M2827" s="548"/>
      <c r="N2827" s="552"/>
      <c r="Y2827" s="551"/>
    </row>
    <row r="2828" spans="1:25">
      <c r="A2828" s="499">
        <v>45574</v>
      </c>
      <c r="B2828" s="499">
        <v>45574</v>
      </c>
      <c r="C2828" s="500" t="s">
        <v>173</v>
      </c>
      <c r="D2828" s="500" t="s">
        <v>761</v>
      </c>
      <c r="E2828" s="501">
        <v>-648174941.86000001</v>
      </c>
      <c r="F2828" s="502" t="s">
        <v>878</v>
      </c>
      <c r="G2828" s="100" t="s">
        <v>976</v>
      </c>
      <c r="H2828" s="530"/>
      <c r="I2828" s="525"/>
      <c r="K2828" s="548"/>
      <c r="L2828" s="548"/>
      <c r="M2828" s="548"/>
      <c r="N2828" s="552"/>
      <c r="Y2828" s="551"/>
    </row>
    <row r="2829" spans="1:25">
      <c r="A2829" s="499">
        <v>45574</v>
      </c>
      <c r="B2829" s="499">
        <v>45574</v>
      </c>
      <c r="C2829" s="500" t="s">
        <v>173</v>
      </c>
      <c r="D2829" s="500" t="s">
        <v>761</v>
      </c>
      <c r="E2829" s="501">
        <v>-5001349.8600000003</v>
      </c>
      <c r="F2829" s="502" t="s">
        <v>878</v>
      </c>
      <c r="G2829" s="100" t="s">
        <v>976</v>
      </c>
      <c r="H2829" s="530"/>
      <c r="I2829" s="525"/>
      <c r="K2829" s="548"/>
      <c r="L2829" s="548"/>
      <c r="M2829" s="548"/>
      <c r="N2829" s="552"/>
      <c r="Y2829" s="551"/>
    </row>
    <row r="2830" spans="1:25">
      <c r="A2830" s="499">
        <v>45574</v>
      </c>
      <c r="B2830" s="499">
        <v>45575</v>
      </c>
      <c r="C2830" s="500" t="s">
        <v>173</v>
      </c>
      <c r="D2830" s="500" t="s">
        <v>761</v>
      </c>
      <c r="E2830" s="501">
        <v>502546872.23000002</v>
      </c>
      <c r="F2830" s="502" t="s">
        <v>878</v>
      </c>
      <c r="G2830" s="100" t="s">
        <v>975</v>
      </c>
      <c r="H2830" s="484">
        <v>998.09510160752802</v>
      </c>
      <c r="I2830" s="525"/>
      <c r="K2830" s="548"/>
      <c r="L2830" s="548"/>
      <c r="M2830" s="548"/>
      <c r="N2830" s="552"/>
      <c r="Y2830" s="551"/>
    </row>
    <row r="2831" spans="1:25">
      <c r="A2831" s="499">
        <v>45574</v>
      </c>
      <c r="B2831" s="499">
        <v>45581</v>
      </c>
      <c r="C2831" s="500" t="s">
        <v>173</v>
      </c>
      <c r="D2831" s="500" t="s">
        <v>761</v>
      </c>
      <c r="E2831" s="501">
        <v>649880739.96000004</v>
      </c>
      <c r="F2831" s="502" t="s">
        <v>878</v>
      </c>
      <c r="G2831" s="100" t="s">
        <v>976</v>
      </c>
      <c r="H2831" s="484">
        <v>977.48769637571297</v>
      </c>
      <c r="I2831" s="525"/>
      <c r="K2831" s="548"/>
      <c r="L2831" s="548"/>
      <c r="M2831" s="548"/>
      <c r="N2831" s="552"/>
      <c r="Y2831" s="551"/>
    </row>
    <row r="2832" spans="1:25">
      <c r="A2832" s="499">
        <v>45574</v>
      </c>
      <c r="B2832" s="499">
        <v>45581</v>
      </c>
      <c r="C2832" s="500" t="s">
        <v>173</v>
      </c>
      <c r="D2832" s="500" t="s">
        <v>761</v>
      </c>
      <c r="E2832" s="501">
        <v>5014511.88</v>
      </c>
      <c r="F2832" s="502" t="s">
        <v>878</v>
      </c>
      <c r="G2832" s="100" t="s">
        <v>976</v>
      </c>
      <c r="H2832" s="484">
        <v>977.48769590643303</v>
      </c>
      <c r="I2832" s="525"/>
      <c r="K2832" s="548"/>
      <c r="L2832" s="548"/>
      <c r="M2832" s="548"/>
      <c r="N2832" s="552"/>
      <c r="Y2832" s="551"/>
    </row>
    <row r="2833" spans="1:25">
      <c r="A2833" s="499">
        <v>45572</v>
      </c>
      <c r="B2833" s="499">
        <v>45574</v>
      </c>
      <c r="C2833" s="500" t="s">
        <v>173</v>
      </c>
      <c r="D2833" s="500" t="s">
        <v>761</v>
      </c>
      <c r="E2833" s="501">
        <v>194206260.44</v>
      </c>
      <c r="F2833" s="502" t="s">
        <v>912</v>
      </c>
      <c r="G2833" s="100" t="s">
        <v>448</v>
      </c>
      <c r="H2833" s="530"/>
      <c r="I2833" s="525"/>
      <c r="K2833" s="548"/>
      <c r="L2833" s="548"/>
      <c r="M2833" s="548"/>
      <c r="N2833" s="552">
        <v>208000</v>
      </c>
      <c r="O2833" s="539">
        <f>VLOOKUP(G2833,[5]Лист1!$B:$K,10,0)</f>
        <v>1000</v>
      </c>
      <c r="W2833" s="550">
        <f>VLOOKUP(G2833,Справочник!A:C,3,0)</f>
        <v>0.1055</v>
      </c>
      <c r="X2833" s="539" t="str">
        <f>VLOOKUP(G2833,Справочник!A:G,7,0)</f>
        <v>Министерство финансов Республики Казахстан</v>
      </c>
      <c r="Y2833" s="551">
        <f>VLOOKUP(G2833,Справочник!A:B,2,0)</f>
        <v>47327</v>
      </c>
    </row>
    <row r="2834" spans="1:25">
      <c r="A2834" s="499">
        <v>45574</v>
      </c>
      <c r="B2834" s="499">
        <v>45574</v>
      </c>
      <c r="C2834" s="500" t="s">
        <v>173</v>
      </c>
      <c r="D2834" s="500" t="s">
        <v>759</v>
      </c>
      <c r="E2834" s="501">
        <v>-7003308.6100000003</v>
      </c>
      <c r="F2834" s="502" t="s">
        <v>878</v>
      </c>
      <c r="G2834" s="100" t="s">
        <v>139</v>
      </c>
      <c r="H2834" s="484"/>
      <c r="I2834" s="525"/>
      <c r="K2834" s="548"/>
      <c r="L2834" s="548"/>
      <c r="M2834" s="548"/>
      <c r="N2834" s="552"/>
      <c r="Y2834" s="551"/>
    </row>
    <row r="2835" spans="1:25">
      <c r="A2835" s="499">
        <v>45574</v>
      </c>
      <c r="B2835" s="499">
        <v>45574</v>
      </c>
      <c r="C2835" s="500" t="s">
        <v>173</v>
      </c>
      <c r="D2835" s="500" t="s">
        <v>759</v>
      </c>
      <c r="E2835" s="501">
        <v>-2009438067.3499999</v>
      </c>
      <c r="F2835" s="502" t="s">
        <v>878</v>
      </c>
      <c r="G2835" s="100" t="s">
        <v>422</v>
      </c>
      <c r="H2835" s="484"/>
      <c r="I2835" s="525"/>
      <c r="K2835" s="548"/>
      <c r="L2835" s="548"/>
      <c r="M2835" s="548"/>
      <c r="N2835" s="552"/>
      <c r="Y2835" s="551"/>
    </row>
    <row r="2836" spans="1:25">
      <c r="A2836" s="499">
        <v>45574</v>
      </c>
      <c r="B2836" s="499">
        <v>45575</v>
      </c>
      <c r="C2836" s="500" t="s">
        <v>173</v>
      </c>
      <c r="D2836" s="500" t="s">
        <v>759</v>
      </c>
      <c r="E2836" s="501">
        <v>7005949.2400000002</v>
      </c>
      <c r="F2836" s="502" t="s">
        <v>878</v>
      </c>
      <c r="G2836" s="100" t="s">
        <v>139</v>
      </c>
      <c r="H2836" s="570" t="s">
        <v>977</v>
      </c>
      <c r="I2836" s="525"/>
      <c r="K2836" s="548"/>
      <c r="L2836" s="548"/>
      <c r="M2836" s="548"/>
      <c r="N2836" s="552"/>
      <c r="Y2836" s="551"/>
    </row>
    <row r="2837" spans="1:25">
      <c r="A2837" s="499">
        <v>45574</v>
      </c>
      <c r="B2837" s="499">
        <v>45575</v>
      </c>
      <c r="C2837" s="500" t="s">
        <v>173</v>
      </c>
      <c r="D2837" s="500" t="s">
        <v>759</v>
      </c>
      <c r="E2837" s="501">
        <v>2010196833.3599999</v>
      </c>
      <c r="F2837" s="502" t="s">
        <v>878</v>
      </c>
      <c r="G2837" s="100" t="s">
        <v>422</v>
      </c>
      <c r="H2837" s="570" t="s">
        <v>978</v>
      </c>
      <c r="I2837" s="525"/>
      <c r="K2837" s="548"/>
      <c r="L2837" s="548"/>
      <c r="M2837" s="548"/>
      <c r="N2837" s="552"/>
      <c r="Y2837" s="551"/>
    </row>
    <row r="2838" spans="1:25">
      <c r="A2838" s="499">
        <v>45574</v>
      </c>
      <c r="B2838" s="499">
        <v>45574</v>
      </c>
      <c r="C2838" s="500" t="s">
        <v>173</v>
      </c>
      <c r="D2838" s="500" t="s">
        <v>760</v>
      </c>
      <c r="E2838" s="501">
        <v>-1235884468.72</v>
      </c>
      <c r="F2838" s="502" t="s">
        <v>878</v>
      </c>
      <c r="G2838" s="100" t="s">
        <v>422</v>
      </c>
      <c r="H2838" s="530"/>
      <c r="I2838" s="525"/>
      <c r="K2838" s="548"/>
      <c r="L2838" s="548"/>
      <c r="M2838" s="548"/>
      <c r="N2838" s="552"/>
      <c r="Y2838" s="551"/>
    </row>
    <row r="2839" spans="1:25">
      <c r="A2839" s="499">
        <v>45574</v>
      </c>
      <c r="B2839" s="499">
        <v>45574</v>
      </c>
      <c r="C2839" s="500" t="s">
        <v>173</v>
      </c>
      <c r="D2839" s="500" t="s">
        <v>760</v>
      </c>
      <c r="E2839" s="501">
        <v>-38010258.939999998</v>
      </c>
      <c r="F2839" s="502" t="s">
        <v>878</v>
      </c>
      <c r="G2839" s="100" t="s">
        <v>88</v>
      </c>
      <c r="H2839" s="530"/>
      <c r="I2839" s="525"/>
      <c r="K2839" s="548"/>
      <c r="L2839" s="548"/>
      <c r="M2839" s="548"/>
      <c r="N2839" s="552"/>
      <c r="Y2839" s="551"/>
    </row>
    <row r="2840" spans="1:25">
      <c r="A2840" s="499">
        <v>45574</v>
      </c>
      <c r="B2840" s="499">
        <v>45575</v>
      </c>
      <c r="C2840" s="500" t="s">
        <v>173</v>
      </c>
      <c r="D2840" s="500" t="s">
        <v>760</v>
      </c>
      <c r="E2840" s="501">
        <v>1236340678.9300001</v>
      </c>
      <c r="F2840" s="502" t="s">
        <v>878</v>
      </c>
      <c r="G2840" s="100" t="s">
        <v>422</v>
      </c>
      <c r="H2840" s="484" t="s">
        <v>979</v>
      </c>
      <c r="I2840" s="525"/>
      <c r="K2840" s="548"/>
      <c r="L2840" s="548"/>
      <c r="M2840" s="548"/>
      <c r="N2840" s="552"/>
      <c r="Y2840" s="551"/>
    </row>
    <row r="2841" spans="1:25">
      <c r="A2841" s="499">
        <v>45574</v>
      </c>
      <c r="B2841" s="499">
        <v>45575</v>
      </c>
      <c r="C2841" s="500" t="s">
        <v>173</v>
      </c>
      <c r="D2841" s="500" t="s">
        <v>760</v>
      </c>
      <c r="E2841" s="501">
        <v>38024331.039999999</v>
      </c>
      <c r="F2841" s="502" t="s">
        <v>878</v>
      </c>
      <c r="G2841" s="100" t="s">
        <v>88</v>
      </c>
      <c r="H2841" s="484" t="s">
        <v>980</v>
      </c>
      <c r="I2841" s="525"/>
      <c r="K2841" s="548"/>
      <c r="L2841" s="548"/>
      <c r="M2841" s="548"/>
      <c r="N2841" s="552"/>
      <c r="Y2841" s="551"/>
    </row>
    <row r="2842" spans="1:25">
      <c r="A2842" s="499">
        <v>45574</v>
      </c>
      <c r="B2842" s="499">
        <v>45574</v>
      </c>
      <c r="C2842" s="500" t="s">
        <v>173</v>
      </c>
      <c r="D2842" s="500" t="s">
        <v>763</v>
      </c>
      <c r="E2842" s="501">
        <v>-5371384059.5</v>
      </c>
      <c r="F2842" s="502" t="s">
        <v>878</v>
      </c>
      <c r="G2842" s="100" t="s">
        <v>633</v>
      </c>
      <c r="H2842" s="530"/>
      <c r="I2842" s="525"/>
      <c r="K2842" s="548"/>
      <c r="L2842" s="548"/>
      <c r="M2842" s="548"/>
      <c r="N2842" s="552"/>
      <c r="Y2842" s="551"/>
    </row>
    <row r="2843" spans="1:25">
      <c r="A2843" s="499">
        <v>45574</v>
      </c>
      <c r="B2843" s="499">
        <v>45574</v>
      </c>
      <c r="C2843" s="500" t="s">
        <v>173</v>
      </c>
      <c r="D2843" s="500" t="s">
        <v>763</v>
      </c>
      <c r="E2843" s="501">
        <v>-22020704.379999999</v>
      </c>
      <c r="F2843" s="502" t="s">
        <v>878</v>
      </c>
      <c r="G2843" s="100" t="s">
        <v>671</v>
      </c>
      <c r="H2843" s="530"/>
      <c r="I2843" s="525"/>
      <c r="K2843" s="548"/>
      <c r="L2843" s="548"/>
      <c r="M2843" s="548"/>
      <c r="N2843" s="552"/>
      <c r="Y2843" s="551"/>
    </row>
    <row r="2844" spans="1:25">
      <c r="A2844" s="499">
        <v>45574</v>
      </c>
      <c r="B2844" s="499">
        <v>45575</v>
      </c>
      <c r="C2844" s="500" t="s">
        <v>173</v>
      </c>
      <c r="D2844" s="500" t="s">
        <v>763</v>
      </c>
      <c r="E2844" s="501">
        <v>5373380012.9799995</v>
      </c>
      <c r="F2844" s="502" t="s">
        <v>878</v>
      </c>
      <c r="G2844" s="100" t="s">
        <v>633</v>
      </c>
      <c r="H2844" s="484">
        <v>114311533</v>
      </c>
      <c r="I2844" s="525"/>
      <c r="K2844" s="548"/>
      <c r="L2844" s="548"/>
      <c r="M2844" s="548"/>
      <c r="N2844" s="552"/>
      <c r="Y2844" s="551"/>
    </row>
    <row r="2845" spans="1:25">
      <c r="A2845" s="499">
        <v>45574</v>
      </c>
      <c r="B2845" s="499">
        <v>45575</v>
      </c>
      <c r="C2845" s="500" t="s">
        <v>173</v>
      </c>
      <c r="D2845" s="500" t="s">
        <v>763</v>
      </c>
      <c r="E2845" s="501">
        <v>22028887</v>
      </c>
      <c r="F2845" s="502" t="s">
        <v>878</v>
      </c>
      <c r="G2845" s="100" t="s">
        <v>671</v>
      </c>
      <c r="H2845" s="484">
        <v>114311568</v>
      </c>
      <c r="I2845" s="525"/>
      <c r="K2845" s="548"/>
      <c r="L2845" s="548"/>
      <c r="M2845" s="548"/>
      <c r="N2845" s="552"/>
      <c r="Y2845" s="551"/>
    </row>
    <row r="2846" spans="1:25">
      <c r="A2846" s="499">
        <v>45575</v>
      </c>
      <c r="B2846" s="499">
        <v>45575</v>
      </c>
      <c r="C2846" s="500" t="s">
        <v>173</v>
      </c>
      <c r="D2846" s="500" t="s">
        <v>762</v>
      </c>
      <c r="E2846" s="501">
        <v>-865569343</v>
      </c>
      <c r="F2846" s="502" t="s">
        <v>878</v>
      </c>
      <c r="G2846" s="100" t="s">
        <v>705</v>
      </c>
      <c r="H2846" s="530"/>
      <c r="I2846" s="525"/>
      <c r="K2846" s="548"/>
      <c r="L2846" s="548"/>
      <c r="M2846" s="548"/>
      <c r="N2846" s="552"/>
      <c r="Y2846" s="551"/>
    </row>
    <row r="2847" spans="1:25">
      <c r="A2847" s="499">
        <v>45575</v>
      </c>
      <c r="B2847" s="499">
        <v>45575</v>
      </c>
      <c r="C2847" s="500" t="s">
        <v>173</v>
      </c>
      <c r="D2847" s="500" t="s">
        <v>762</v>
      </c>
      <c r="E2847" s="501">
        <v>-1445354327.5999999</v>
      </c>
      <c r="F2847" s="502" t="s">
        <v>878</v>
      </c>
      <c r="G2847" s="100" t="s">
        <v>687</v>
      </c>
      <c r="H2847" s="530"/>
      <c r="I2847" s="525"/>
      <c r="K2847" s="548"/>
      <c r="L2847" s="548"/>
      <c r="M2847" s="548"/>
      <c r="N2847" s="552"/>
      <c r="Y2847" s="551"/>
    </row>
    <row r="2848" spans="1:25">
      <c r="A2848" s="499">
        <v>45575</v>
      </c>
      <c r="B2848" s="499">
        <v>45575</v>
      </c>
      <c r="C2848" s="500" t="s">
        <v>173</v>
      </c>
      <c r="D2848" s="500" t="s">
        <v>762</v>
      </c>
      <c r="E2848" s="501">
        <v>-990648368.82000005</v>
      </c>
      <c r="F2848" s="502" t="s">
        <v>878</v>
      </c>
      <c r="G2848" s="100" t="s">
        <v>681</v>
      </c>
      <c r="H2848" s="530"/>
      <c r="I2848" s="525"/>
      <c r="K2848" s="548"/>
      <c r="L2848" s="548"/>
      <c r="M2848" s="548"/>
      <c r="N2848" s="552"/>
      <c r="Y2848" s="551"/>
    </row>
    <row r="2849" spans="1:25">
      <c r="A2849" s="499">
        <v>45575</v>
      </c>
      <c r="B2849" s="499">
        <v>45575</v>
      </c>
      <c r="C2849" s="500" t="s">
        <v>173</v>
      </c>
      <c r="D2849" s="500" t="s">
        <v>762</v>
      </c>
      <c r="E2849" s="501">
        <v>-898754936.02999997</v>
      </c>
      <c r="F2849" s="502" t="s">
        <v>878</v>
      </c>
      <c r="G2849" s="100" t="s">
        <v>673</v>
      </c>
      <c r="H2849" s="530"/>
      <c r="I2849" s="525"/>
      <c r="K2849" s="548"/>
      <c r="L2849" s="548"/>
      <c r="M2849" s="548"/>
      <c r="N2849" s="552"/>
      <c r="Y2849" s="551"/>
    </row>
    <row r="2850" spans="1:25">
      <c r="A2850" s="499">
        <v>45575</v>
      </c>
      <c r="B2850" s="499">
        <v>45575</v>
      </c>
      <c r="C2850" s="500" t="s">
        <v>173</v>
      </c>
      <c r="D2850" s="500" t="s">
        <v>762</v>
      </c>
      <c r="E2850" s="501">
        <v>-88073980.370000005</v>
      </c>
      <c r="F2850" s="502" t="s">
        <v>878</v>
      </c>
      <c r="G2850" s="100" t="s">
        <v>673</v>
      </c>
      <c r="H2850" s="530"/>
      <c r="I2850" s="525"/>
      <c r="K2850" s="548"/>
      <c r="L2850" s="548"/>
      <c r="M2850" s="548"/>
      <c r="N2850" s="552"/>
      <c r="Y2850" s="551"/>
    </row>
    <row r="2851" spans="1:25">
      <c r="A2851" s="499">
        <v>45575</v>
      </c>
      <c r="B2851" s="499">
        <v>45575</v>
      </c>
      <c r="C2851" s="500" t="s">
        <v>173</v>
      </c>
      <c r="D2851" s="500" t="s">
        <v>762</v>
      </c>
      <c r="E2851" s="501">
        <v>-951956521.50999999</v>
      </c>
      <c r="F2851" s="502" t="s">
        <v>878</v>
      </c>
      <c r="G2851" s="100" t="s">
        <v>671</v>
      </c>
      <c r="H2851" s="530"/>
      <c r="I2851" s="525"/>
      <c r="K2851" s="548"/>
      <c r="L2851" s="548"/>
      <c r="M2851" s="548"/>
      <c r="N2851" s="552"/>
      <c r="Y2851" s="551"/>
    </row>
    <row r="2852" spans="1:25">
      <c r="A2852" s="499">
        <v>45575</v>
      </c>
      <c r="B2852" s="499">
        <v>45575</v>
      </c>
      <c r="C2852" s="500" t="s">
        <v>173</v>
      </c>
      <c r="D2852" s="500" t="s">
        <v>762</v>
      </c>
      <c r="E2852" s="501">
        <v>-22011274.469999999</v>
      </c>
      <c r="F2852" s="502" t="s">
        <v>878</v>
      </c>
      <c r="G2852" s="100" t="s">
        <v>656</v>
      </c>
      <c r="H2852" s="530"/>
      <c r="I2852" s="525"/>
      <c r="K2852" s="548"/>
      <c r="L2852" s="548"/>
      <c r="M2852" s="548"/>
      <c r="N2852" s="552"/>
      <c r="Y2852" s="551"/>
    </row>
    <row r="2853" spans="1:25">
      <c r="A2853" s="499">
        <v>45575</v>
      </c>
      <c r="B2853" s="499">
        <v>45575</v>
      </c>
      <c r="C2853" s="500" t="s">
        <v>173</v>
      </c>
      <c r="D2853" s="500" t="s">
        <v>762</v>
      </c>
      <c r="E2853" s="501">
        <v>-74025578.260000005</v>
      </c>
      <c r="F2853" s="502" t="s">
        <v>878</v>
      </c>
      <c r="G2853" s="100" t="s">
        <v>633</v>
      </c>
      <c r="H2853" s="530"/>
      <c r="I2853" s="525"/>
      <c r="K2853" s="548"/>
      <c r="L2853" s="548"/>
      <c r="M2853" s="548"/>
      <c r="N2853" s="552"/>
      <c r="Y2853" s="551"/>
    </row>
    <row r="2854" spans="1:25">
      <c r="A2854" s="499">
        <v>45575</v>
      </c>
      <c r="B2854" s="499">
        <v>45575</v>
      </c>
      <c r="C2854" s="500" t="s">
        <v>173</v>
      </c>
      <c r="D2854" s="500" t="s">
        <v>762</v>
      </c>
      <c r="E2854" s="501">
        <v>-896127622.65999997</v>
      </c>
      <c r="F2854" s="502" t="s">
        <v>878</v>
      </c>
      <c r="G2854" s="100" t="s">
        <v>550</v>
      </c>
      <c r="H2854" s="530"/>
      <c r="I2854" s="525"/>
      <c r="K2854" s="548"/>
      <c r="L2854" s="548"/>
      <c r="M2854" s="548"/>
      <c r="N2854" s="552"/>
      <c r="Y2854" s="551"/>
    </row>
    <row r="2855" spans="1:25">
      <c r="A2855" s="499">
        <v>45575</v>
      </c>
      <c r="B2855" s="499">
        <v>45576</v>
      </c>
      <c r="C2855" s="500" t="s">
        <v>173</v>
      </c>
      <c r="D2855" s="500" t="s">
        <v>762</v>
      </c>
      <c r="E2855" s="501">
        <v>865902563.54999995</v>
      </c>
      <c r="F2855" s="502" t="s">
        <v>878</v>
      </c>
      <c r="G2855" s="100" t="s">
        <v>705</v>
      </c>
      <c r="H2855" s="484">
        <v>114324890</v>
      </c>
      <c r="I2855" s="525"/>
      <c r="K2855" s="548"/>
      <c r="L2855" s="548"/>
      <c r="M2855" s="548"/>
      <c r="N2855" s="552"/>
      <c r="Y2855" s="551"/>
    </row>
    <row r="2856" spans="1:25">
      <c r="A2856" s="499">
        <v>45575</v>
      </c>
      <c r="B2856" s="499">
        <v>45576</v>
      </c>
      <c r="C2856" s="500" t="s">
        <v>173</v>
      </c>
      <c r="D2856" s="500" t="s">
        <v>762</v>
      </c>
      <c r="E2856" s="501">
        <v>1445910749.53</v>
      </c>
      <c r="F2856" s="502" t="s">
        <v>878</v>
      </c>
      <c r="G2856" s="100" t="s">
        <v>687</v>
      </c>
      <c r="H2856" s="484">
        <v>114324870</v>
      </c>
      <c r="I2856" s="525"/>
      <c r="K2856" s="548"/>
      <c r="L2856" s="548"/>
      <c r="M2856" s="548"/>
      <c r="N2856" s="552"/>
      <c r="Y2856" s="551"/>
    </row>
    <row r="2857" spans="1:25">
      <c r="A2857" s="499">
        <v>45575</v>
      </c>
      <c r="B2857" s="499">
        <v>45576</v>
      </c>
      <c r="C2857" s="500" t="s">
        <v>173</v>
      </c>
      <c r="D2857" s="500" t="s">
        <v>762</v>
      </c>
      <c r="E2857" s="501">
        <v>991029741.38</v>
      </c>
      <c r="F2857" s="502" t="s">
        <v>878</v>
      </c>
      <c r="G2857" s="100" t="s">
        <v>681</v>
      </c>
      <c r="H2857" s="484">
        <v>114324873</v>
      </c>
      <c r="I2857" s="525"/>
      <c r="K2857" s="548"/>
      <c r="L2857" s="548"/>
      <c r="M2857" s="548"/>
      <c r="N2857" s="552"/>
      <c r="Y2857" s="551"/>
    </row>
    <row r="2858" spans="1:25">
      <c r="A2858" s="499">
        <v>45575</v>
      </c>
      <c r="B2858" s="499">
        <v>45576</v>
      </c>
      <c r="C2858" s="500" t="s">
        <v>173</v>
      </c>
      <c r="D2858" s="500" t="s">
        <v>762</v>
      </c>
      <c r="E2858" s="501">
        <v>899100932.12</v>
      </c>
      <c r="F2858" s="502" t="s">
        <v>878</v>
      </c>
      <c r="G2858" s="100" t="s">
        <v>673</v>
      </c>
      <c r="H2858" s="484">
        <v>114324884</v>
      </c>
      <c r="I2858" s="525"/>
      <c r="K2858" s="548"/>
      <c r="L2858" s="548"/>
      <c r="M2858" s="548"/>
      <c r="N2858" s="552"/>
      <c r="Y2858" s="551"/>
    </row>
    <row r="2859" spans="1:25">
      <c r="A2859" s="499">
        <v>45575</v>
      </c>
      <c r="B2859" s="499">
        <v>45576</v>
      </c>
      <c r="C2859" s="500" t="s">
        <v>173</v>
      </c>
      <c r="D2859" s="500" t="s">
        <v>762</v>
      </c>
      <c r="E2859" s="501">
        <v>88107886.450000003</v>
      </c>
      <c r="F2859" s="502" t="s">
        <v>878</v>
      </c>
      <c r="G2859" s="100" t="s">
        <v>673</v>
      </c>
      <c r="H2859" s="484">
        <v>114324895</v>
      </c>
      <c r="I2859" s="525"/>
      <c r="K2859" s="548"/>
      <c r="L2859" s="548"/>
      <c r="M2859" s="548"/>
      <c r="N2859" s="552"/>
      <c r="Y2859" s="551"/>
    </row>
    <row r="2860" spans="1:25">
      <c r="A2860" s="499">
        <v>45575</v>
      </c>
      <c r="B2860" s="499">
        <v>45576</v>
      </c>
      <c r="C2860" s="500" t="s">
        <v>173</v>
      </c>
      <c r="D2860" s="500" t="s">
        <v>762</v>
      </c>
      <c r="E2860" s="501">
        <v>952322998.75999999</v>
      </c>
      <c r="F2860" s="502" t="s">
        <v>878</v>
      </c>
      <c r="G2860" s="100" t="s">
        <v>671</v>
      </c>
      <c r="H2860" s="484">
        <v>114324877</v>
      </c>
      <c r="I2860" s="525"/>
      <c r="K2860" s="548"/>
      <c r="L2860" s="548"/>
      <c r="M2860" s="548"/>
      <c r="N2860" s="552"/>
      <c r="Y2860" s="551"/>
    </row>
    <row r="2861" spans="1:25">
      <c r="A2861" s="499">
        <v>45575</v>
      </c>
      <c r="B2861" s="499">
        <v>45576</v>
      </c>
      <c r="C2861" s="500" t="s">
        <v>173</v>
      </c>
      <c r="D2861" s="500" t="s">
        <v>762</v>
      </c>
      <c r="E2861" s="501">
        <v>22019754.219999999</v>
      </c>
      <c r="F2861" s="502" t="s">
        <v>878</v>
      </c>
      <c r="G2861" s="100" t="s">
        <v>656</v>
      </c>
      <c r="H2861" s="484">
        <v>114324975</v>
      </c>
      <c r="I2861" s="525"/>
      <c r="K2861" s="548"/>
      <c r="L2861" s="548"/>
      <c r="M2861" s="548"/>
      <c r="N2861" s="552"/>
      <c r="Y2861" s="551"/>
    </row>
    <row r="2862" spans="1:25">
      <c r="A2862" s="499">
        <v>45575</v>
      </c>
      <c r="B2862" s="499">
        <v>45576</v>
      </c>
      <c r="C2862" s="500" t="s">
        <v>173</v>
      </c>
      <c r="D2862" s="500" t="s">
        <v>762</v>
      </c>
      <c r="E2862" s="501">
        <v>74054076.090000004</v>
      </c>
      <c r="F2862" s="502" t="s">
        <v>878</v>
      </c>
      <c r="G2862" s="100" t="s">
        <v>633</v>
      </c>
      <c r="H2862" s="484">
        <v>114324861</v>
      </c>
      <c r="I2862" s="525"/>
      <c r="K2862" s="548"/>
      <c r="L2862" s="548"/>
      <c r="M2862" s="548"/>
      <c r="N2862" s="552"/>
      <c r="Y2862" s="551"/>
    </row>
    <row r="2863" spans="1:25">
      <c r="A2863" s="499">
        <v>45575</v>
      </c>
      <c r="B2863" s="499">
        <v>45576</v>
      </c>
      <c r="C2863" s="500" t="s">
        <v>173</v>
      </c>
      <c r="D2863" s="500" t="s">
        <v>762</v>
      </c>
      <c r="E2863" s="501">
        <v>896472607.30999994</v>
      </c>
      <c r="F2863" s="502" t="s">
        <v>878</v>
      </c>
      <c r="G2863" s="100" t="s">
        <v>550</v>
      </c>
      <c r="H2863" s="484">
        <v>114324887</v>
      </c>
      <c r="I2863" s="525"/>
      <c r="K2863" s="548"/>
      <c r="L2863" s="548"/>
      <c r="M2863" s="548"/>
      <c r="N2863" s="552"/>
      <c r="Y2863" s="551"/>
    </row>
    <row r="2864" spans="1:25">
      <c r="A2864" s="499">
        <v>45575</v>
      </c>
      <c r="B2864" s="499">
        <v>45575</v>
      </c>
      <c r="C2864" s="500" t="s">
        <v>173</v>
      </c>
      <c r="D2864" s="500" t="s">
        <v>761</v>
      </c>
      <c r="E2864" s="501">
        <v>-1000466.96</v>
      </c>
      <c r="F2864" s="502" t="s">
        <v>878</v>
      </c>
      <c r="G2864" s="100" t="s">
        <v>598</v>
      </c>
      <c r="H2864" s="530"/>
      <c r="I2864" s="525"/>
      <c r="K2864" s="548"/>
      <c r="L2864" s="548"/>
      <c r="M2864" s="548"/>
      <c r="N2864" s="552">
        <v>-1</v>
      </c>
      <c r="Y2864" s="551"/>
    </row>
    <row r="2865" spans="1:25">
      <c r="A2865" s="499">
        <v>45575</v>
      </c>
      <c r="B2865" s="499">
        <v>45575</v>
      </c>
      <c r="C2865" s="500" t="s">
        <v>173</v>
      </c>
      <c r="D2865" s="500" t="s">
        <v>761</v>
      </c>
      <c r="E2865" s="501">
        <v>-1000572.12</v>
      </c>
      <c r="F2865" s="502" t="s">
        <v>878</v>
      </c>
      <c r="G2865" s="100" t="s">
        <v>592</v>
      </c>
      <c r="H2865" s="530"/>
      <c r="I2865" s="525"/>
      <c r="K2865" s="548"/>
      <c r="L2865" s="548"/>
      <c r="M2865" s="548"/>
      <c r="N2865" s="552"/>
      <c r="Y2865" s="551"/>
    </row>
    <row r="2866" spans="1:25">
      <c r="A2866" s="499">
        <v>45575</v>
      </c>
      <c r="B2866" s="499">
        <v>45575</v>
      </c>
      <c r="C2866" s="500" t="s">
        <v>173</v>
      </c>
      <c r="D2866" s="500" t="s">
        <v>761</v>
      </c>
      <c r="E2866" s="501">
        <v>-1000317.84</v>
      </c>
      <c r="F2866" s="502" t="s">
        <v>878</v>
      </c>
      <c r="G2866" s="100" t="s">
        <v>981</v>
      </c>
      <c r="H2866" s="530"/>
      <c r="I2866" s="525"/>
      <c r="K2866" s="548"/>
      <c r="L2866" s="548"/>
      <c r="M2866" s="548"/>
      <c r="N2866" s="552"/>
      <c r="Y2866" s="551"/>
    </row>
    <row r="2867" spans="1:25">
      <c r="A2867" s="499">
        <v>45575</v>
      </c>
      <c r="B2867" s="499">
        <v>45575</v>
      </c>
      <c r="C2867" s="500" t="s">
        <v>173</v>
      </c>
      <c r="D2867" s="500" t="s">
        <v>761</v>
      </c>
      <c r="E2867" s="501">
        <v>-2001509.17</v>
      </c>
      <c r="F2867" s="502" t="s">
        <v>878</v>
      </c>
      <c r="G2867" s="100" t="s">
        <v>982</v>
      </c>
      <c r="H2867" s="530"/>
      <c r="I2867" s="525"/>
      <c r="K2867" s="548"/>
      <c r="L2867" s="548"/>
      <c r="M2867" s="548"/>
      <c r="N2867" s="552"/>
      <c r="Y2867" s="551"/>
    </row>
    <row r="2868" spans="1:25">
      <c r="A2868" s="499">
        <v>45575</v>
      </c>
      <c r="B2868" s="499">
        <v>45575</v>
      </c>
      <c r="C2868" s="500" t="s">
        <v>173</v>
      </c>
      <c r="D2868" s="500" t="s">
        <v>761</v>
      </c>
      <c r="E2868" s="501">
        <v>-2000941.49</v>
      </c>
      <c r="F2868" s="502" t="s">
        <v>878</v>
      </c>
      <c r="G2868" s="100" t="s">
        <v>983</v>
      </c>
      <c r="H2868" s="530"/>
      <c r="I2868" s="525"/>
      <c r="K2868" s="548"/>
      <c r="L2868" s="548"/>
      <c r="M2868" s="548"/>
      <c r="N2868" s="552"/>
      <c r="Y2868" s="551"/>
    </row>
    <row r="2869" spans="1:25">
      <c r="A2869" s="499">
        <v>45575</v>
      </c>
      <c r="B2869" s="499">
        <v>45575</v>
      </c>
      <c r="C2869" s="500" t="s">
        <v>173</v>
      </c>
      <c r="D2869" s="500" t="s">
        <v>761</v>
      </c>
      <c r="E2869" s="501">
        <v>-2000699.98</v>
      </c>
      <c r="F2869" s="502" t="s">
        <v>878</v>
      </c>
      <c r="G2869" s="100" t="s">
        <v>600</v>
      </c>
      <c r="H2869" s="530"/>
      <c r="I2869" s="525"/>
      <c r="K2869" s="548"/>
      <c r="L2869" s="548"/>
      <c r="M2869" s="548"/>
      <c r="N2869" s="552"/>
      <c r="Y2869" s="551"/>
    </row>
    <row r="2870" spans="1:25">
      <c r="A2870" s="499">
        <v>45575</v>
      </c>
      <c r="B2870" s="499">
        <v>45575</v>
      </c>
      <c r="C2870" s="500" t="s">
        <v>173</v>
      </c>
      <c r="D2870" s="500" t="s">
        <v>761</v>
      </c>
      <c r="E2870" s="501">
        <v>-3001380.26</v>
      </c>
      <c r="F2870" s="502" t="s">
        <v>878</v>
      </c>
      <c r="G2870" s="100" t="s">
        <v>817</v>
      </c>
      <c r="H2870" s="530"/>
      <c r="I2870" s="525"/>
      <c r="K2870" s="548"/>
      <c r="L2870" s="548"/>
      <c r="M2870" s="548"/>
      <c r="N2870" s="552"/>
      <c r="Y2870" s="551"/>
    </row>
    <row r="2871" spans="1:25">
      <c r="A2871" s="499">
        <v>45575</v>
      </c>
      <c r="B2871" s="499">
        <v>45575</v>
      </c>
      <c r="C2871" s="500" t="s">
        <v>173</v>
      </c>
      <c r="D2871" s="500" t="s">
        <v>761</v>
      </c>
      <c r="E2871" s="501">
        <v>-3002692.36</v>
      </c>
      <c r="F2871" s="502" t="s">
        <v>878</v>
      </c>
      <c r="G2871" s="100" t="s">
        <v>588</v>
      </c>
      <c r="H2871" s="530"/>
      <c r="I2871" s="525"/>
      <c r="K2871" s="548"/>
      <c r="L2871" s="548"/>
      <c r="M2871" s="548"/>
      <c r="N2871" s="552"/>
      <c r="Y2871" s="551"/>
    </row>
    <row r="2872" spans="1:25">
      <c r="A2872" s="499">
        <v>45575</v>
      </c>
      <c r="B2872" s="499">
        <v>45575</v>
      </c>
      <c r="C2872" s="500" t="s">
        <v>173</v>
      </c>
      <c r="D2872" s="500" t="s">
        <v>761</v>
      </c>
      <c r="E2872" s="501">
        <v>-3001716.36</v>
      </c>
      <c r="F2872" s="502" t="s">
        <v>878</v>
      </c>
      <c r="G2872" s="100" t="s">
        <v>592</v>
      </c>
      <c r="H2872" s="530"/>
      <c r="I2872" s="525"/>
      <c r="K2872" s="548"/>
      <c r="L2872" s="548"/>
      <c r="M2872" s="548"/>
      <c r="N2872" s="552"/>
      <c r="Y2872" s="551"/>
    </row>
    <row r="2873" spans="1:25">
      <c r="A2873" s="499">
        <v>45575</v>
      </c>
      <c r="B2873" s="499">
        <v>45575</v>
      </c>
      <c r="C2873" s="500" t="s">
        <v>173</v>
      </c>
      <c r="D2873" s="500" t="s">
        <v>761</v>
      </c>
      <c r="E2873" s="501">
        <v>-4000648.8</v>
      </c>
      <c r="F2873" s="502" t="s">
        <v>878</v>
      </c>
      <c r="G2873" s="100" t="s">
        <v>604</v>
      </c>
      <c r="H2873" s="530"/>
      <c r="I2873" s="525"/>
      <c r="K2873" s="548"/>
      <c r="L2873" s="548"/>
      <c r="M2873" s="548"/>
      <c r="N2873" s="552"/>
      <c r="Y2873" s="551"/>
    </row>
    <row r="2874" spans="1:25">
      <c r="A2874" s="499">
        <v>45575</v>
      </c>
      <c r="B2874" s="499">
        <v>45575</v>
      </c>
      <c r="C2874" s="500" t="s">
        <v>173</v>
      </c>
      <c r="D2874" s="500" t="s">
        <v>761</v>
      </c>
      <c r="E2874" s="501">
        <v>-4003589.81</v>
      </c>
      <c r="F2874" s="502" t="s">
        <v>878</v>
      </c>
      <c r="G2874" s="100" t="s">
        <v>588</v>
      </c>
      <c r="H2874" s="530"/>
      <c r="I2874" s="525"/>
      <c r="K2874" s="548"/>
      <c r="L2874" s="548"/>
      <c r="M2874" s="548"/>
      <c r="N2874" s="552"/>
      <c r="Y2874" s="551"/>
    </row>
    <row r="2875" spans="1:25">
      <c r="A2875" s="499">
        <v>45575</v>
      </c>
      <c r="B2875" s="499">
        <v>45575</v>
      </c>
      <c r="C2875" s="500" t="s">
        <v>173</v>
      </c>
      <c r="D2875" s="500" t="s">
        <v>761</v>
      </c>
      <c r="E2875" s="501">
        <v>-4000490.45</v>
      </c>
      <c r="F2875" s="502" t="s">
        <v>878</v>
      </c>
      <c r="G2875" s="100" t="s">
        <v>602</v>
      </c>
      <c r="H2875" s="530"/>
      <c r="I2875" s="525"/>
      <c r="K2875" s="548"/>
      <c r="L2875" s="548"/>
      <c r="M2875" s="548"/>
      <c r="N2875" s="552"/>
      <c r="Y2875" s="551"/>
    </row>
    <row r="2876" spans="1:25">
      <c r="A2876" s="499">
        <v>45575</v>
      </c>
      <c r="B2876" s="499">
        <v>45575</v>
      </c>
      <c r="C2876" s="500" t="s">
        <v>173</v>
      </c>
      <c r="D2876" s="500" t="s">
        <v>761</v>
      </c>
      <c r="E2876" s="501">
        <v>-5002353.74</v>
      </c>
      <c r="F2876" s="502" t="s">
        <v>878</v>
      </c>
      <c r="G2876" s="100" t="s">
        <v>983</v>
      </c>
      <c r="H2876" s="530"/>
      <c r="I2876" s="525"/>
      <c r="K2876" s="548"/>
      <c r="L2876" s="548"/>
      <c r="M2876" s="548"/>
      <c r="N2876" s="552"/>
      <c r="Y2876" s="551"/>
    </row>
    <row r="2877" spans="1:25">
      <c r="A2877" s="499">
        <v>45575</v>
      </c>
      <c r="B2877" s="499">
        <v>45575</v>
      </c>
      <c r="C2877" s="500" t="s">
        <v>173</v>
      </c>
      <c r="D2877" s="500" t="s">
        <v>761</v>
      </c>
      <c r="E2877" s="501">
        <v>-5000613.0599999996</v>
      </c>
      <c r="F2877" s="502" t="s">
        <v>878</v>
      </c>
      <c r="G2877" s="100" t="s">
        <v>602</v>
      </c>
      <c r="H2877" s="530"/>
      <c r="I2877" s="525"/>
      <c r="K2877" s="548"/>
      <c r="L2877" s="548"/>
      <c r="M2877" s="548"/>
      <c r="N2877" s="552"/>
      <c r="Y2877" s="551"/>
    </row>
    <row r="2878" spans="1:25">
      <c r="A2878" s="499">
        <v>45575</v>
      </c>
      <c r="B2878" s="499">
        <v>45575</v>
      </c>
      <c r="C2878" s="500" t="s">
        <v>173</v>
      </c>
      <c r="D2878" s="499">
        <v>45582</v>
      </c>
      <c r="E2878" s="501">
        <v>-5000712.18</v>
      </c>
      <c r="F2878" s="502" t="s">
        <v>878</v>
      </c>
      <c r="G2878" s="100" t="s">
        <v>550</v>
      </c>
      <c r="H2878" s="530"/>
      <c r="I2878" s="525"/>
      <c r="K2878" s="548"/>
      <c r="L2878" s="548"/>
      <c r="M2878" s="548"/>
      <c r="N2878" s="552"/>
      <c r="Y2878" s="551"/>
    </row>
    <row r="2879" spans="1:25">
      <c r="A2879" s="499">
        <v>45575</v>
      </c>
      <c r="B2879" s="499">
        <v>45575</v>
      </c>
      <c r="C2879" s="500" t="s">
        <v>173</v>
      </c>
      <c r="D2879" s="500" t="s">
        <v>761</v>
      </c>
      <c r="E2879" s="501">
        <v>-6002099.9500000002</v>
      </c>
      <c r="F2879" s="502" t="s">
        <v>878</v>
      </c>
      <c r="G2879" s="100" t="s">
        <v>600</v>
      </c>
      <c r="H2879" s="530"/>
      <c r="I2879" s="525"/>
      <c r="K2879" s="548"/>
      <c r="L2879" s="548"/>
      <c r="M2879" s="548"/>
      <c r="N2879" s="552"/>
      <c r="Y2879" s="551"/>
    </row>
    <row r="2880" spans="1:25">
      <c r="A2880" s="499">
        <v>45575</v>
      </c>
      <c r="B2880" s="499">
        <v>45575</v>
      </c>
      <c r="C2880" s="500" t="s">
        <v>173</v>
      </c>
      <c r="D2880" s="500" t="s">
        <v>761</v>
      </c>
      <c r="E2880" s="501">
        <v>-6000854.6200000001</v>
      </c>
      <c r="F2880" s="502" t="s">
        <v>878</v>
      </c>
      <c r="G2880" s="100" t="s">
        <v>550</v>
      </c>
      <c r="H2880" s="530"/>
      <c r="I2880" s="525"/>
      <c r="K2880" s="548"/>
      <c r="L2880" s="548"/>
      <c r="M2880" s="548"/>
      <c r="N2880" s="552"/>
      <c r="Y2880" s="551"/>
    </row>
    <row r="2881" spans="1:25">
      <c r="A2881" s="499">
        <v>45575</v>
      </c>
      <c r="B2881" s="499">
        <v>45575</v>
      </c>
      <c r="C2881" s="500" t="s">
        <v>173</v>
      </c>
      <c r="D2881" s="500" t="s">
        <v>761</v>
      </c>
      <c r="E2881" s="501">
        <v>-6002824.4800000004</v>
      </c>
      <c r="F2881" s="502" t="s">
        <v>878</v>
      </c>
      <c r="G2881" s="100" t="s">
        <v>983</v>
      </c>
      <c r="H2881" s="530"/>
      <c r="I2881" s="525"/>
      <c r="K2881" s="548"/>
      <c r="L2881" s="548"/>
      <c r="M2881" s="548"/>
      <c r="N2881" s="552"/>
      <c r="Y2881" s="551"/>
    </row>
    <row r="2882" spans="1:25">
      <c r="A2882" s="499">
        <v>45575</v>
      </c>
      <c r="B2882" s="499">
        <v>45575</v>
      </c>
      <c r="C2882" s="500" t="s">
        <v>173</v>
      </c>
      <c r="D2882" s="500" t="s">
        <v>761</v>
      </c>
      <c r="E2882" s="501">
        <v>-6005384.71</v>
      </c>
      <c r="F2882" s="502" t="s">
        <v>878</v>
      </c>
      <c r="G2882" s="100" t="s">
        <v>588</v>
      </c>
      <c r="H2882" s="530"/>
      <c r="I2882" s="525"/>
      <c r="K2882" s="548"/>
      <c r="L2882" s="548"/>
      <c r="M2882" s="548"/>
      <c r="N2882" s="552"/>
      <c r="Y2882" s="551"/>
    </row>
    <row r="2883" spans="1:25">
      <c r="A2883" s="499">
        <v>45575</v>
      </c>
      <c r="B2883" s="499">
        <v>45575</v>
      </c>
      <c r="C2883" s="500" t="s">
        <v>173</v>
      </c>
      <c r="D2883" s="500" t="s">
        <v>761</v>
      </c>
      <c r="E2883" s="501">
        <v>-7002871.9199999999</v>
      </c>
      <c r="F2883" s="502" t="s">
        <v>878</v>
      </c>
      <c r="G2883" s="100" t="s">
        <v>984</v>
      </c>
      <c r="H2883" s="530"/>
      <c r="I2883" s="525"/>
      <c r="K2883" s="548"/>
      <c r="L2883" s="548"/>
      <c r="M2883" s="548"/>
      <c r="N2883" s="552"/>
      <c r="Y2883" s="551"/>
    </row>
    <row r="2884" spans="1:25">
      <c r="A2884" s="499">
        <v>45575</v>
      </c>
      <c r="B2884" s="499">
        <v>45575</v>
      </c>
      <c r="C2884" s="500" t="s">
        <v>173</v>
      </c>
      <c r="D2884" s="500" t="s">
        <v>761</v>
      </c>
      <c r="E2884" s="501">
        <v>-7003295.2300000004</v>
      </c>
      <c r="F2884" s="502" t="s">
        <v>878</v>
      </c>
      <c r="G2884" s="100" t="s">
        <v>983</v>
      </c>
      <c r="H2884" s="530"/>
      <c r="I2884" s="525"/>
      <c r="K2884" s="548"/>
      <c r="L2884" s="548"/>
      <c r="M2884" s="548"/>
      <c r="N2884" s="552"/>
      <c r="Y2884" s="551"/>
    </row>
    <row r="2885" spans="1:25">
      <c r="A2885" s="499">
        <v>45575</v>
      </c>
      <c r="B2885" s="499">
        <v>45575</v>
      </c>
      <c r="C2885" s="500" t="s">
        <v>173</v>
      </c>
      <c r="D2885" s="500" t="s">
        <v>761</v>
      </c>
      <c r="E2885" s="501">
        <v>-8002542.7199999997</v>
      </c>
      <c r="F2885" s="502" t="s">
        <v>878</v>
      </c>
      <c r="G2885" s="100" t="s">
        <v>981</v>
      </c>
      <c r="H2885" s="530"/>
      <c r="I2885" s="525"/>
      <c r="K2885" s="548"/>
      <c r="L2885" s="548"/>
      <c r="M2885" s="548"/>
      <c r="N2885" s="552"/>
      <c r="Y2885" s="551"/>
    </row>
    <row r="2886" spans="1:25">
      <c r="A2886" s="499">
        <v>45575</v>
      </c>
      <c r="B2886" s="499">
        <v>45575</v>
      </c>
      <c r="C2886" s="500" t="s">
        <v>173</v>
      </c>
      <c r="D2886" s="500" t="s">
        <v>761</v>
      </c>
      <c r="E2886" s="501">
        <v>-8001297.5999999996</v>
      </c>
      <c r="F2886" s="502" t="s">
        <v>878</v>
      </c>
      <c r="G2886" s="100" t="s">
        <v>604</v>
      </c>
      <c r="H2886" s="530"/>
      <c r="I2886" s="525"/>
      <c r="K2886" s="548"/>
      <c r="L2886" s="548"/>
      <c r="M2886" s="548"/>
      <c r="N2886" s="552"/>
      <c r="Y2886" s="551"/>
    </row>
    <row r="2887" spans="1:25">
      <c r="A2887" s="499">
        <v>45575</v>
      </c>
      <c r="B2887" s="499">
        <v>45575</v>
      </c>
      <c r="C2887" s="500" t="s">
        <v>173</v>
      </c>
      <c r="D2887" s="500" t="s">
        <v>761</v>
      </c>
      <c r="E2887" s="501">
        <v>-8001297.5999999996</v>
      </c>
      <c r="F2887" s="502" t="s">
        <v>878</v>
      </c>
      <c r="G2887" s="100" t="s">
        <v>604</v>
      </c>
      <c r="H2887" s="530"/>
      <c r="I2887" s="525"/>
      <c r="K2887" s="548"/>
      <c r="L2887" s="548"/>
      <c r="M2887" s="548"/>
      <c r="N2887" s="552"/>
      <c r="Y2887" s="551"/>
    </row>
    <row r="2888" spans="1:25">
      <c r="A2888" s="499">
        <v>45575</v>
      </c>
      <c r="B2888" s="499">
        <v>45575</v>
      </c>
      <c r="C2888" s="500" t="s">
        <v>173</v>
      </c>
      <c r="D2888" s="500" t="s">
        <v>761</v>
      </c>
      <c r="E2888" s="501">
        <v>-9002860.5600000005</v>
      </c>
      <c r="F2888" s="502" t="s">
        <v>878</v>
      </c>
      <c r="G2888" s="100" t="s">
        <v>981</v>
      </c>
      <c r="H2888" s="530"/>
      <c r="I2888" s="525"/>
      <c r="K2888" s="548"/>
      <c r="L2888" s="548"/>
      <c r="M2888" s="548"/>
      <c r="N2888" s="552"/>
      <c r="Y2888" s="551"/>
    </row>
    <row r="2889" spans="1:25">
      <c r="A2889" s="499">
        <v>45575</v>
      </c>
      <c r="B2889" s="499">
        <v>45575</v>
      </c>
      <c r="C2889" s="500" t="s">
        <v>173</v>
      </c>
      <c r="D2889" s="500" t="s">
        <v>761</v>
      </c>
      <c r="E2889" s="501">
        <v>-9002860.5600000005</v>
      </c>
      <c r="F2889" s="502" t="s">
        <v>878</v>
      </c>
      <c r="G2889" s="100" t="s">
        <v>981</v>
      </c>
      <c r="H2889" s="530"/>
      <c r="I2889" s="525"/>
      <c r="K2889" s="548"/>
      <c r="L2889" s="548"/>
      <c r="M2889" s="548"/>
      <c r="N2889" s="552"/>
      <c r="Y2889" s="551"/>
    </row>
    <row r="2890" spans="1:25">
      <c r="A2890" s="499">
        <v>45575</v>
      </c>
      <c r="B2890" s="499">
        <v>45575</v>
      </c>
      <c r="C2890" s="500" t="s">
        <v>173</v>
      </c>
      <c r="D2890" s="500" t="s">
        <v>761</v>
      </c>
      <c r="E2890" s="501">
        <v>-9001103.5099999998</v>
      </c>
      <c r="F2890" s="502" t="s">
        <v>878</v>
      </c>
      <c r="G2890" s="100" t="s">
        <v>602</v>
      </c>
      <c r="H2890" s="530"/>
      <c r="I2890" s="525"/>
      <c r="K2890" s="548"/>
      <c r="L2890" s="548"/>
      <c r="M2890" s="548"/>
      <c r="N2890" s="552"/>
      <c r="Y2890" s="551"/>
    </row>
    <row r="2891" spans="1:25">
      <c r="A2891" s="499">
        <v>45575</v>
      </c>
      <c r="B2891" s="499">
        <v>45575</v>
      </c>
      <c r="C2891" s="500" t="s">
        <v>173</v>
      </c>
      <c r="D2891" s="500" t="s">
        <v>761</v>
      </c>
      <c r="E2891" s="501">
        <v>-10005436.42</v>
      </c>
      <c r="F2891" s="502" t="s">
        <v>878</v>
      </c>
      <c r="G2891" s="100" t="s">
        <v>596</v>
      </c>
      <c r="H2891" s="530"/>
      <c r="I2891" s="525"/>
      <c r="K2891" s="548"/>
      <c r="L2891" s="548"/>
      <c r="M2891" s="548"/>
      <c r="N2891" s="552"/>
      <c r="Y2891" s="551"/>
    </row>
    <row r="2892" spans="1:25">
      <c r="A2892" s="499">
        <v>45575</v>
      </c>
      <c r="B2892" s="499">
        <v>45575</v>
      </c>
      <c r="C2892" s="500" t="s">
        <v>173</v>
      </c>
      <c r="D2892" s="500" t="s">
        <v>761</v>
      </c>
      <c r="E2892" s="501">
        <v>-11008768.939999999</v>
      </c>
      <c r="F2892" s="502" t="s">
        <v>878</v>
      </c>
      <c r="G2892" s="100" t="s">
        <v>816</v>
      </c>
      <c r="H2892" s="530"/>
      <c r="I2892" s="525"/>
      <c r="K2892" s="548"/>
      <c r="L2892" s="548"/>
      <c r="M2892" s="548"/>
      <c r="N2892" s="552"/>
      <c r="Y2892" s="551"/>
    </row>
    <row r="2893" spans="1:25">
      <c r="A2893" s="499">
        <v>45575</v>
      </c>
      <c r="B2893" s="499">
        <v>45575</v>
      </c>
      <c r="C2893" s="500" t="s">
        <v>173</v>
      </c>
      <c r="D2893" s="500" t="s">
        <v>761</v>
      </c>
      <c r="E2893" s="501">
        <v>-13007568.34</v>
      </c>
      <c r="F2893" s="502" t="s">
        <v>878</v>
      </c>
      <c r="G2893" s="100" t="s">
        <v>525</v>
      </c>
      <c r="H2893" s="530"/>
      <c r="I2893" s="525"/>
      <c r="K2893" s="548"/>
      <c r="L2893" s="548"/>
      <c r="M2893" s="548"/>
      <c r="N2893" s="552"/>
      <c r="Y2893" s="551"/>
    </row>
    <row r="2894" spans="1:25">
      <c r="A2894" s="499">
        <v>45575</v>
      </c>
      <c r="B2894" s="499">
        <v>45575</v>
      </c>
      <c r="C2894" s="500" t="s">
        <v>173</v>
      </c>
      <c r="D2894" s="500" t="s">
        <v>761</v>
      </c>
      <c r="E2894" s="501">
        <v>-15011957.640000001</v>
      </c>
      <c r="F2894" s="502" t="s">
        <v>878</v>
      </c>
      <c r="G2894" s="100" t="s">
        <v>816</v>
      </c>
      <c r="H2894" s="530"/>
      <c r="I2894" s="525"/>
      <c r="K2894" s="548"/>
      <c r="L2894" s="548"/>
      <c r="M2894" s="548"/>
      <c r="N2894" s="552"/>
      <c r="Y2894" s="551"/>
    </row>
    <row r="2895" spans="1:25">
      <c r="A2895" s="499">
        <v>45575</v>
      </c>
      <c r="B2895" s="499">
        <v>45575</v>
      </c>
      <c r="C2895" s="500" t="s">
        <v>173</v>
      </c>
      <c r="D2895" s="500" t="s">
        <v>761</v>
      </c>
      <c r="E2895" s="501">
        <v>-16005041.41</v>
      </c>
      <c r="F2895" s="502" t="s">
        <v>878</v>
      </c>
      <c r="G2895" s="100" t="s">
        <v>590</v>
      </c>
      <c r="H2895" s="530"/>
      <c r="I2895" s="525"/>
      <c r="K2895" s="548"/>
      <c r="L2895" s="548"/>
      <c r="M2895" s="548"/>
      <c r="N2895" s="552"/>
      <c r="Y2895" s="551"/>
    </row>
    <row r="2896" spans="1:25">
      <c r="A2896" s="499">
        <v>45575</v>
      </c>
      <c r="B2896" s="499">
        <v>45575</v>
      </c>
      <c r="C2896" s="500" t="s">
        <v>173</v>
      </c>
      <c r="D2896" s="500" t="s">
        <v>761</v>
      </c>
      <c r="E2896" s="501">
        <v>-16011566.66</v>
      </c>
      <c r="F2896" s="502" t="s">
        <v>878</v>
      </c>
      <c r="G2896" s="100" t="s">
        <v>824</v>
      </c>
      <c r="H2896" s="530"/>
      <c r="I2896" s="525"/>
      <c r="K2896" s="548"/>
      <c r="L2896" s="548"/>
      <c r="M2896" s="548"/>
      <c r="N2896" s="552"/>
      <c r="Y2896" s="551"/>
    </row>
    <row r="2897" spans="1:25">
      <c r="A2897" s="499">
        <v>45575</v>
      </c>
      <c r="B2897" s="499">
        <v>45575</v>
      </c>
      <c r="C2897" s="500" t="s">
        <v>173</v>
      </c>
      <c r="D2897" s="500" t="s">
        <v>761</v>
      </c>
      <c r="E2897" s="501">
        <v>-18008473.449999999</v>
      </c>
      <c r="F2897" s="502" t="s">
        <v>878</v>
      </c>
      <c r="G2897" s="100" t="s">
        <v>983</v>
      </c>
      <c r="H2897" s="530"/>
      <c r="I2897" s="525"/>
      <c r="K2897" s="548"/>
      <c r="L2897" s="548"/>
      <c r="M2897" s="548"/>
      <c r="N2897" s="552"/>
      <c r="Y2897" s="551"/>
    </row>
    <row r="2898" spans="1:25">
      <c r="A2898" s="499">
        <v>45575</v>
      </c>
      <c r="B2898" s="499">
        <v>45575</v>
      </c>
      <c r="C2898" s="500" t="s">
        <v>173</v>
      </c>
      <c r="D2898" s="500" t="s">
        <v>761</v>
      </c>
      <c r="E2898" s="501">
        <v>-19012773.489999998</v>
      </c>
      <c r="F2898" s="502" t="s">
        <v>878</v>
      </c>
      <c r="G2898" s="100" t="s">
        <v>985</v>
      </c>
      <c r="H2898" s="530"/>
      <c r="I2898" s="525"/>
      <c r="K2898" s="548"/>
      <c r="L2898" s="548"/>
      <c r="M2898" s="548"/>
      <c r="N2898" s="552"/>
      <c r="Y2898" s="551"/>
    </row>
    <row r="2899" spans="1:25">
      <c r="A2899" s="499">
        <v>45575</v>
      </c>
      <c r="B2899" s="499">
        <v>45575</v>
      </c>
      <c r="C2899" s="500" t="s">
        <v>173</v>
      </c>
      <c r="D2899" s="500" t="s">
        <v>761</v>
      </c>
      <c r="E2899" s="501">
        <v>-19010870.280000001</v>
      </c>
      <c r="F2899" s="502" t="s">
        <v>878</v>
      </c>
      <c r="G2899" s="100" t="s">
        <v>592</v>
      </c>
      <c r="H2899" s="530"/>
      <c r="I2899" s="525"/>
      <c r="K2899" s="548"/>
      <c r="L2899" s="548"/>
      <c r="M2899" s="548"/>
      <c r="N2899" s="552"/>
      <c r="Y2899" s="551"/>
    </row>
    <row r="2900" spans="1:25">
      <c r="A2900" s="499">
        <v>45575</v>
      </c>
      <c r="B2900" s="499">
        <v>45575</v>
      </c>
      <c r="C2900" s="500" t="s">
        <v>173</v>
      </c>
      <c r="D2900" s="500" t="s">
        <v>761</v>
      </c>
      <c r="E2900" s="501">
        <v>-22009026.030000001</v>
      </c>
      <c r="F2900" s="502" t="s">
        <v>878</v>
      </c>
      <c r="G2900" s="100" t="s">
        <v>984</v>
      </c>
      <c r="H2900" s="530"/>
      <c r="I2900" s="525"/>
      <c r="K2900" s="548"/>
      <c r="L2900" s="548"/>
      <c r="M2900" s="548"/>
      <c r="N2900" s="552"/>
      <c r="Y2900" s="551"/>
    </row>
    <row r="2901" spans="1:25">
      <c r="A2901" s="499">
        <v>45575</v>
      </c>
      <c r="B2901" s="499">
        <v>45575</v>
      </c>
      <c r="C2901" s="500" t="s">
        <v>173</v>
      </c>
      <c r="D2901" s="500" t="s">
        <v>761</v>
      </c>
      <c r="E2901" s="501">
        <v>-22019743.940000001</v>
      </c>
      <c r="F2901" s="502" t="s">
        <v>878</v>
      </c>
      <c r="G2901" s="100" t="s">
        <v>588</v>
      </c>
      <c r="H2901" s="530"/>
      <c r="I2901" s="525"/>
      <c r="K2901" s="548"/>
      <c r="L2901" s="548"/>
      <c r="M2901" s="548"/>
      <c r="N2901" s="552"/>
      <c r="Y2901" s="551"/>
    </row>
    <row r="2902" spans="1:25">
      <c r="A2902" s="499">
        <v>45575</v>
      </c>
      <c r="B2902" s="499">
        <v>45575</v>
      </c>
      <c r="C2902" s="500" t="s">
        <v>173</v>
      </c>
      <c r="D2902" s="500" t="s">
        <v>761</v>
      </c>
      <c r="E2902" s="501">
        <v>-23008406.940000001</v>
      </c>
      <c r="F2902" s="502" t="s">
        <v>878</v>
      </c>
      <c r="G2902" s="100" t="s">
        <v>819</v>
      </c>
      <c r="H2902" s="530"/>
      <c r="I2902" s="525"/>
      <c r="K2902" s="548"/>
      <c r="L2902" s="548"/>
      <c r="M2902" s="548"/>
      <c r="N2902" s="552"/>
      <c r="Y2902" s="551"/>
    </row>
    <row r="2903" spans="1:25">
      <c r="A2903" s="499">
        <v>45575</v>
      </c>
      <c r="B2903" s="499">
        <v>45575</v>
      </c>
      <c r="C2903" s="500" t="s">
        <v>173</v>
      </c>
      <c r="D2903" s="500" t="s">
        <v>761</v>
      </c>
      <c r="E2903" s="501">
        <v>-25005014.93</v>
      </c>
      <c r="F2903" s="502" t="s">
        <v>878</v>
      </c>
      <c r="G2903" s="100" t="s">
        <v>986</v>
      </c>
      <c r="H2903" s="530"/>
      <c r="I2903" s="525"/>
      <c r="K2903" s="548"/>
      <c r="L2903" s="548"/>
      <c r="M2903" s="548"/>
      <c r="N2903" s="552"/>
      <c r="Y2903" s="551"/>
    </row>
    <row r="2904" spans="1:25">
      <c r="A2904" s="499">
        <v>45575</v>
      </c>
      <c r="B2904" s="499">
        <v>45575</v>
      </c>
      <c r="C2904" s="500" t="s">
        <v>173</v>
      </c>
      <c r="D2904" s="500" t="s">
        <v>761</v>
      </c>
      <c r="E2904" s="501">
        <v>-25019713.949999999</v>
      </c>
      <c r="F2904" s="502" t="s">
        <v>878</v>
      </c>
      <c r="G2904" s="100" t="s">
        <v>821</v>
      </c>
      <c r="H2904" s="530"/>
      <c r="I2904" s="525"/>
      <c r="K2904" s="548"/>
      <c r="L2904" s="548"/>
      <c r="M2904" s="548"/>
      <c r="N2904" s="552"/>
      <c r="Y2904" s="551"/>
    </row>
    <row r="2905" spans="1:25">
      <c r="A2905" s="499">
        <v>45575</v>
      </c>
      <c r="B2905" s="499">
        <v>45575</v>
      </c>
      <c r="C2905" s="500" t="s">
        <v>173</v>
      </c>
      <c r="D2905" s="500" t="s">
        <v>761</v>
      </c>
      <c r="E2905" s="501">
        <v>-26018795.82</v>
      </c>
      <c r="F2905" s="502" t="s">
        <v>878</v>
      </c>
      <c r="G2905" s="100" t="s">
        <v>824</v>
      </c>
      <c r="H2905" s="530"/>
      <c r="I2905" s="525"/>
      <c r="K2905" s="548"/>
      <c r="L2905" s="548"/>
      <c r="M2905" s="548"/>
      <c r="N2905" s="552"/>
      <c r="Y2905" s="551"/>
    </row>
    <row r="2906" spans="1:25">
      <c r="A2906" s="499">
        <v>45575</v>
      </c>
      <c r="B2906" s="499">
        <v>45575</v>
      </c>
      <c r="C2906" s="500" t="s">
        <v>173</v>
      </c>
      <c r="D2906" s="500" t="s">
        <v>761</v>
      </c>
      <c r="E2906" s="501">
        <v>-26003703.34</v>
      </c>
      <c r="F2906" s="502" t="s">
        <v>878</v>
      </c>
      <c r="G2906" s="100" t="s">
        <v>550</v>
      </c>
      <c r="H2906" s="530"/>
      <c r="I2906" s="525"/>
      <c r="K2906" s="548"/>
      <c r="L2906" s="548"/>
      <c r="M2906" s="548"/>
      <c r="N2906" s="552"/>
      <c r="Y2906" s="551"/>
    </row>
    <row r="2907" spans="1:25">
      <c r="A2907" s="499">
        <v>45575</v>
      </c>
      <c r="B2907" s="499">
        <v>45575</v>
      </c>
      <c r="C2907" s="500" t="s">
        <v>173</v>
      </c>
      <c r="D2907" s="500" t="s">
        <v>761</v>
      </c>
      <c r="E2907" s="501">
        <v>-29014933.379999999</v>
      </c>
      <c r="F2907" s="502" t="s">
        <v>878</v>
      </c>
      <c r="G2907" s="100" t="s">
        <v>987</v>
      </c>
      <c r="H2907" s="530"/>
      <c r="I2907" s="525"/>
      <c r="K2907" s="548"/>
      <c r="L2907" s="548"/>
      <c r="M2907" s="548"/>
      <c r="N2907" s="552"/>
      <c r="Y2907" s="551"/>
    </row>
    <row r="2908" spans="1:25">
      <c r="A2908" s="499">
        <v>45575</v>
      </c>
      <c r="B2908" s="499">
        <v>45575</v>
      </c>
      <c r="C2908" s="500" t="s">
        <v>173</v>
      </c>
      <c r="D2908" s="500" t="s">
        <v>761</v>
      </c>
      <c r="E2908" s="501">
        <v>-30004273.079999998</v>
      </c>
      <c r="F2908" s="502" t="s">
        <v>878</v>
      </c>
      <c r="G2908" s="100" t="s">
        <v>550</v>
      </c>
      <c r="H2908" s="530"/>
      <c r="I2908" s="525"/>
      <c r="K2908" s="548"/>
      <c r="L2908" s="548"/>
      <c r="M2908" s="548"/>
      <c r="N2908" s="552"/>
      <c r="Y2908" s="551"/>
    </row>
    <row r="2909" spans="1:25">
      <c r="A2909" s="499">
        <v>45575</v>
      </c>
      <c r="B2909" s="499">
        <v>45575</v>
      </c>
      <c r="C2909" s="500" t="s">
        <v>173</v>
      </c>
      <c r="D2909" s="500" t="s">
        <v>761</v>
      </c>
      <c r="E2909" s="501">
        <v>-1000365.52</v>
      </c>
      <c r="F2909" s="502" t="s">
        <v>878</v>
      </c>
      <c r="G2909" s="100" t="s">
        <v>819</v>
      </c>
      <c r="H2909" s="530"/>
      <c r="I2909" s="525"/>
      <c r="K2909" s="548"/>
      <c r="L2909" s="548"/>
      <c r="M2909" s="548"/>
      <c r="N2909" s="552"/>
      <c r="Y2909" s="551"/>
    </row>
    <row r="2910" spans="1:25">
      <c r="A2910" s="499">
        <v>45575</v>
      </c>
      <c r="B2910" s="499">
        <v>45575</v>
      </c>
      <c r="C2910" s="500" t="s">
        <v>173</v>
      </c>
      <c r="D2910" s="500" t="s">
        <v>761</v>
      </c>
      <c r="E2910" s="501">
        <v>-2000731.04</v>
      </c>
      <c r="F2910" s="502" t="s">
        <v>878</v>
      </c>
      <c r="G2910" s="100" t="s">
        <v>819</v>
      </c>
      <c r="H2910" s="530"/>
      <c r="I2910" s="525"/>
      <c r="K2910" s="548"/>
      <c r="L2910" s="548"/>
      <c r="M2910" s="548"/>
      <c r="N2910" s="552"/>
      <c r="Y2910" s="551"/>
    </row>
    <row r="2911" spans="1:25">
      <c r="A2911" s="499">
        <v>45575</v>
      </c>
      <c r="B2911" s="499">
        <v>45576</v>
      </c>
      <c r="C2911" s="500" t="s">
        <v>173</v>
      </c>
      <c r="D2911" s="500" t="s">
        <v>761</v>
      </c>
      <c r="E2911" s="501">
        <v>1000844.19</v>
      </c>
      <c r="F2911" s="502" t="s">
        <v>878</v>
      </c>
      <c r="G2911" s="100" t="s">
        <v>598</v>
      </c>
      <c r="H2911" s="484">
        <v>114323337</v>
      </c>
      <c r="I2911" s="525"/>
      <c r="K2911" s="548"/>
      <c r="L2911" s="548"/>
      <c r="M2911" s="548"/>
      <c r="N2911" s="552"/>
      <c r="Y2911" s="551"/>
    </row>
    <row r="2912" spans="1:25">
      <c r="A2912" s="499">
        <v>45575</v>
      </c>
      <c r="B2912" s="499">
        <v>45576</v>
      </c>
      <c r="C2912" s="500" t="s">
        <v>173</v>
      </c>
      <c r="D2912" s="500" t="s">
        <v>761</v>
      </c>
      <c r="E2912" s="501">
        <v>1000949.38</v>
      </c>
      <c r="F2912" s="502" t="s">
        <v>878</v>
      </c>
      <c r="G2912" s="100" t="s">
        <v>592</v>
      </c>
      <c r="H2912" s="484">
        <v>114323340</v>
      </c>
      <c r="I2912" s="525"/>
      <c r="K2912" s="548"/>
      <c r="L2912" s="548"/>
      <c r="M2912" s="548"/>
      <c r="N2912" s="552"/>
      <c r="Y2912" s="551"/>
    </row>
    <row r="2913" spans="1:25">
      <c r="A2913" s="499">
        <v>45575</v>
      </c>
      <c r="B2913" s="499">
        <v>45576</v>
      </c>
      <c r="C2913" s="500" t="s">
        <v>173</v>
      </c>
      <c r="D2913" s="500" t="s">
        <v>761</v>
      </c>
      <c r="E2913" s="501">
        <v>1000695.01</v>
      </c>
      <c r="F2913" s="502" t="s">
        <v>878</v>
      </c>
      <c r="G2913" s="100" t="s">
        <v>981</v>
      </c>
      <c r="H2913" s="484">
        <v>114323343</v>
      </c>
      <c r="I2913" s="525"/>
      <c r="K2913" s="548"/>
      <c r="L2913" s="548"/>
      <c r="M2913" s="548"/>
      <c r="N2913" s="552"/>
      <c r="Y2913" s="551"/>
    </row>
    <row r="2914" spans="1:25">
      <c r="A2914" s="499">
        <v>45575</v>
      </c>
      <c r="B2914" s="499">
        <v>45576</v>
      </c>
      <c r="C2914" s="500" t="s">
        <v>173</v>
      </c>
      <c r="D2914" s="500" t="s">
        <v>761</v>
      </c>
      <c r="E2914" s="501">
        <v>2002263.84</v>
      </c>
      <c r="F2914" s="502" t="s">
        <v>878</v>
      </c>
      <c r="G2914" s="100" t="s">
        <v>982</v>
      </c>
      <c r="H2914" s="484">
        <v>114323346</v>
      </c>
      <c r="I2914" s="525"/>
      <c r="K2914" s="548"/>
      <c r="L2914" s="548"/>
      <c r="M2914" s="548"/>
      <c r="N2914" s="552"/>
      <c r="Y2914" s="551"/>
    </row>
    <row r="2915" spans="1:25">
      <c r="A2915" s="499">
        <v>45575</v>
      </c>
      <c r="B2915" s="499">
        <v>45576</v>
      </c>
      <c r="C2915" s="500" t="s">
        <v>173</v>
      </c>
      <c r="D2915" s="500" t="s">
        <v>761</v>
      </c>
      <c r="E2915" s="501">
        <v>2001695.94</v>
      </c>
      <c r="F2915" s="502" t="s">
        <v>878</v>
      </c>
      <c r="G2915" s="100" t="s">
        <v>983</v>
      </c>
      <c r="H2915" s="484">
        <v>114323349</v>
      </c>
      <c r="I2915" s="525"/>
      <c r="K2915" s="548"/>
      <c r="L2915" s="548"/>
      <c r="M2915" s="548"/>
      <c r="N2915" s="552"/>
      <c r="Y2915" s="551"/>
    </row>
    <row r="2916" spans="1:25">
      <c r="A2916" s="499">
        <v>45575</v>
      </c>
      <c r="B2916" s="499">
        <v>45576</v>
      </c>
      <c r="C2916" s="500" t="s">
        <v>173</v>
      </c>
      <c r="D2916" s="500" t="s">
        <v>761</v>
      </c>
      <c r="E2916" s="501">
        <v>2001454.34</v>
      </c>
      <c r="F2916" s="502" t="s">
        <v>878</v>
      </c>
      <c r="G2916" s="100" t="s">
        <v>600</v>
      </c>
      <c r="H2916" s="484">
        <v>114323352</v>
      </c>
      <c r="I2916" s="525"/>
      <c r="K2916" s="548"/>
      <c r="L2916" s="548"/>
      <c r="M2916" s="548"/>
      <c r="N2916" s="552"/>
      <c r="Y2916" s="551"/>
    </row>
    <row r="2917" spans="1:25">
      <c r="A2917" s="499">
        <v>45575</v>
      </c>
      <c r="B2917" s="499">
        <v>45576</v>
      </c>
      <c r="C2917" s="500" t="s">
        <v>173</v>
      </c>
      <c r="D2917" s="500" t="s">
        <v>761</v>
      </c>
      <c r="E2917" s="501">
        <v>3002511.93</v>
      </c>
      <c r="F2917" s="502" t="s">
        <v>878</v>
      </c>
      <c r="G2917" s="100" t="s">
        <v>817</v>
      </c>
      <c r="H2917" s="484">
        <v>114323355</v>
      </c>
      <c r="I2917" s="525"/>
      <c r="K2917" s="548"/>
      <c r="L2917" s="548"/>
      <c r="M2917" s="548"/>
      <c r="N2917" s="552"/>
      <c r="Y2917" s="551"/>
    </row>
    <row r="2918" spans="1:25">
      <c r="A2918" s="499">
        <v>45575</v>
      </c>
      <c r="B2918" s="499">
        <v>45576</v>
      </c>
      <c r="C2918" s="500" t="s">
        <v>173</v>
      </c>
      <c r="D2918" s="500" t="s">
        <v>761</v>
      </c>
      <c r="E2918" s="501">
        <v>3003824.52</v>
      </c>
      <c r="F2918" s="502" t="s">
        <v>878</v>
      </c>
      <c r="G2918" s="100" t="s">
        <v>588</v>
      </c>
      <c r="H2918" s="484">
        <v>114323358</v>
      </c>
      <c r="I2918" s="525"/>
      <c r="K2918" s="548"/>
      <c r="L2918" s="548"/>
      <c r="M2918" s="548"/>
      <c r="N2918" s="552"/>
      <c r="Y2918" s="551"/>
    </row>
    <row r="2919" spans="1:25">
      <c r="A2919" s="499">
        <v>45575</v>
      </c>
      <c r="B2919" s="499">
        <v>45576</v>
      </c>
      <c r="C2919" s="500" t="s">
        <v>173</v>
      </c>
      <c r="D2919" s="500" t="s">
        <v>761</v>
      </c>
      <c r="E2919" s="501">
        <v>3002848.15</v>
      </c>
      <c r="F2919" s="502" t="s">
        <v>878</v>
      </c>
      <c r="G2919" s="100" t="s">
        <v>592</v>
      </c>
      <c r="H2919" s="484">
        <v>114323361</v>
      </c>
      <c r="I2919" s="525"/>
      <c r="K2919" s="548"/>
      <c r="L2919" s="548"/>
      <c r="M2919" s="548"/>
      <c r="N2919" s="552"/>
      <c r="Y2919" s="551"/>
    </row>
    <row r="2920" spans="1:25">
      <c r="A2920" s="499">
        <v>45575</v>
      </c>
      <c r="B2920" s="499">
        <v>45576</v>
      </c>
      <c r="C2920" s="500" t="s">
        <v>173</v>
      </c>
      <c r="D2920" s="500" t="s">
        <v>761</v>
      </c>
      <c r="E2920" s="501">
        <v>4002157.24</v>
      </c>
      <c r="F2920" s="502" t="s">
        <v>878</v>
      </c>
      <c r="G2920" s="100" t="s">
        <v>604</v>
      </c>
      <c r="H2920" s="484">
        <v>114323364</v>
      </c>
      <c r="I2920" s="525"/>
      <c r="K2920" s="548"/>
      <c r="L2920" s="548"/>
      <c r="M2920" s="548"/>
      <c r="N2920" s="552"/>
      <c r="Y2920" s="551"/>
    </row>
    <row r="2921" spans="1:25">
      <c r="A2921" s="499">
        <v>45575</v>
      </c>
      <c r="B2921" s="499">
        <v>45576</v>
      </c>
      <c r="C2921" s="500" t="s">
        <v>173</v>
      </c>
      <c r="D2921" s="500" t="s">
        <v>761</v>
      </c>
      <c r="E2921" s="501">
        <v>4005099.36</v>
      </c>
      <c r="F2921" s="502" t="s">
        <v>878</v>
      </c>
      <c r="G2921" s="100" t="s">
        <v>588</v>
      </c>
      <c r="H2921" s="484">
        <v>114323367</v>
      </c>
      <c r="I2921" s="525"/>
      <c r="K2921" s="548"/>
      <c r="L2921" s="548"/>
      <c r="M2921" s="548"/>
      <c r="N2921" s="552"/>
      <c r="Y2921" s="551"/>
    </row>
    <row r="2922" spans="1:25">
      <c r="A2922" s="499">
        <v>45575</v>
      </c>
      <c r="B2922" s="499">
        <v>45576</v>
      </c>
      <c r="C2922" s="500" t="s">
        <v>173</v>
      </c>
      <c r="D2922" s="500" t="s">
        <v>761</v>
      </c>
      <c r="E2922" s="501">
        <v>4001998.83</v>
      </c>
      <c r="F2922" s="502" t="s">
        <v>878</v>
      </c>
      <c r="G2922" s="100" t="s">
        <v>602</v>
      </c>
      <c r="H2922" s="484">
        <v>114323370</v>
      </c>
      <c r="I2922" s="525"/>
      <c r="K2922" s="548"/>
      <c r="L2922" s="548"/>
      <c r="M2922" s="548"/>
      <c r="N2922" s="552"/>
      <c r="Y2922" s="551"/>
    </row>
    <row r="2923" spans="1:25">
      <c r="A2923" s="499">
        <v>45575</v>
      </c>
      <c r="B2923" s="499">
        <v>45576</v>
      </c>
      <c r="C2923" s="500" t="s">
        <v>173</v>
      </c>
      <c r="D2923" s="500" t="s">
        <v>761</v>
      </c>
      <c r="E2923" s="501">
        <v>5004239.87</v>
      </c>
      <c r="F2923" s="502" t="s">
        <v>878</v>
      </c>
      <c r="G2923" s="100" t="s">
        <v>983</v>
      </c>
      <c r="H2923" s="484">
        <v>114323373</v>
      </c>
      <c r="I2923" s="525"/>
      <c r="K2923" s="548"/>
      <c r="L2923" s="548"/>
      <c r="M2923" s="548"/>
      <c r="N2923" s="552"/>
      <c r="Y2923" s="551"/>
    </row>
    <row r="2924" spans="1:25">
      <c r="A2924" s="499">
        <v>45575</v>
      </c>
      <c r="B2924" s="499">
        <v>45576</v>
      </c>
      <c r="C2924" s="500" t="s">
        <v>173</v>
      </c>
      <c r="D2924" s="500" t="s">
        <v>761</v>
      </c>
      <c r="E2924" s="501">
        <v>5002498.54</v>
      </c>
      <c r="F2924" s="502" t="s">
        <v>878</v>
      </c>
      <c r="G2924" s="100" t="s">
        <v>602</v>
      </c>
      <c r="H2924" s="484">
        <v>114323376</v>
      </c>
      <c r="I2924" s="525"/>
      <c r="K2924" s="548"/>
      <c r="L2924" s="548"/>
      <c r="M2924" s="548"/>
      <c r="N2924" s="552"/>
      <c r="Y2924" s="551"/>
    </row>
    <row r="2925" spans="1:25">
      <c r="A2925" s="499">
        <v>45575</v>
      </c>
      <c r="B2925" s="499">
        <v>45576</v>
      </c>
      <c r="C2925" s="500" t="s">
        <v>173</v>
      </c>
      <c r="D2925" s="500" t="s">
        <v>761</v>
      </c>
      <c r="E2925" s="501">
        <v>5002597.6900000004</v>
      </c>
      <c r="F2925" s="502" t="s">
        <v>878</v>
      </c>
      <c r="G2925" s="100" t="s">
        <v>550</v>
      </c>
      <c r="H2925" s="484">
        <v>114323379</v>
      </c>
      <c r="I2925" s="525"/>
      <c r="K2925" s="548"/>
      <c r="L2925" s="548"/>
      <c r="M2925" s="548"/>
      <c r="N2925" s="552"/>
      <c r="Y2925" s="551"/>
    </row>
    <row r="2926" spans="1:25">
      <c r="A2926" s="499">
        <v>45575</v>
      </c>
      <c r="B2926" s="499">
        <v>45576</v>
      </c>
      <c r="C2926" s="500" t="s">
        <v>173</v>
      </c>
      <c r="D2926" s="500" t="s">
        <v>761</v>
      </c>
      <c r="E2926" s="501">
        <v>6004363.04</v>
      </c>
      <c r="F2926" s="502" t="s">
        <v>878</v>
      </c>
      <c r="G2926" s="100" t="s">
        <v>600</v>
      </c>
      <c r="H2926" s="484">
        <v>114323382</v>
      </c>
      <c r="I2926" s="525"/>
      <c r="K2926" s="548"/>
      <c r="L2926" s="548"/>
      <c r="M2926" s="548"/>
      <c r="N2926" s="552"/>
      <c r="Y2926" s="551"/>
    </row>
    <row r="2927" spans="1:25">
      <c r="A2927" s="499">
        <v>45575</v>
      </c>
      <c r="B2927" s="499">
        <v>45576</v>
      </c>
      <c r="C2927" s="500" t="s">
        <v>173</v>
      </c>
      <c r="D2927" s="500" t="s">
        <v>761</v>
      </c>
      <c r="E2927" s="501">
        <v>6003117.2400000002</v>
      </c>
      <c r="F2927" s="502" t="s">
        <v>878</v>
      </c>
      <c r="G2927" s="100" t="s">
        <v>550</v>
      </c>
      <c r="H2927" s="484">
        <v>114323385</v>
      </c>
      <c r="I2927" s="525"/>
      <c r="K2927" s="548"/>
      <c r="L2927" s="548"/>
      <c r="M2927" s="548"/>
      <c r="N2927" s="552"/>
      <c r="Y2927" s="551"/>
    </row>
    <row r="2928" spans="1:25">
      <c r="A2928" s="499">
        <v>45575</v>
      </c>
      <c r="B2928" s="499">
        <v>45576</v>
      </c>
      <c r="C2928" s="500" t="s">
        <v>173</v>
      </c>
      <c r="D2928" s="500" t="s">
        <v>761</v>
      </c>
      <c r="E2928" s="501">
        <v>6005087.8399999999</v>
      </c>
      <c r="F2928" s="502" t="s">
        <v>878</v>
      </c>
      <c r="G2928" s="100" t="s">
        <v>983</v>
      </c>
      <c r="H2928" s="484">
        <v>114323388</v>
      </c>
      <c r="I2928" s="525"/>
      <c r="K2928" s="548"/>
      <c r="L2928" s="548"/>
      <c r="M2928" s="548"/>
      <c r="N2928" s="552"/>
      <c r="Y2928" s="551"/>
    </row>
    <row r="2929" spans="1:25">
      <c r="A2929" s="499">
        <v>45575</v>
      </c>
      <c r="B2929" s="499">
        <v>45576</v>
      </c>
      <c r="C2929" s="500" t="s">
        <v>173</v>
      </c>
      <c r="D2929" s="500" t="s">
        <v>761</v>
      </c>
      <c r="E2929" s="501">
        <v>6007649.04</v>
      </c>
      <c r="F2929" s="502" t="s">
        <v>878</v>
      </c>
      <c r="G2929" s="100" t="s">
        <v>588</v>
      </c>
      <c r="H2929" s="484">
        <v>114323391</v>
      </c>
      <c r="I2929" s="525"/>
      <c r="K2929" s="548"/>
      <c r="L2929" s="548"/>
      <c r="M2929" s="548"/>
      <c r="N2929" s="552"/>
      <c r="Y2929" s="551"/>
    </row>
    <row r="2930" spans="1:25">
      <c r="A2930" s="499">
        <v>45575</v>
      </c>
      <c r="B2930" s="499">
        <v>45576</v>
      </c>
      <c r="C2930" s="500" t="s">
        <v>173</v>
      </c>
      <c r="D2930" s="500" t="s">
        <v>761</v>
      </c>
      <c r="E2930" s="501">
        <v>7005512.3499999996</v>
      </c>
      <c r="F2930" s="502" t="s">
        <v>878</v>
      </c>
      <c r="G2930" s="100" t="s">
        <v>984</v>
      </c>
      <c r="H2930" s="484">
        <v>114323394</v>
      </c>
      <c r="I2930" s="525"/>
      <c r="K2930" s="548"/>
      <c r="L2930" s="548"/>
      <c r="M2930" s="548"/>
      <c r="N2930" s="552"/>
      <c r="Y2930" s="551"/>
    </row>
    <row r="2931" spans="1:25">
      <c r="A2931" s="499">
        <v>45575</v>
      </c>
      <c r="B2931" s="499">
        <v>45576</v>
      </c>
      <c r="C2931" s="500" t="s">
        <v>173</v>
      </c>
      <c r="D2931" s="500" t="s">
        <v>761</v>
      </c>
      <c r="E2931" s="501">
        <v>7005935.8200000003</v>
      </c>
      <c r="F2931" s="502" t="s">
        <v>878</v>
      </c>
      <c r="G2931" s="100" t="s">
        <v>983</v>
      </c>
      <c r="H2931" s="484">
        <v>114323397</v>
      </c>
      <c r="I2931" s="525"/>
      <c r="K2931" s="548"/>
      <c r="L2931" s="548"/>
      <c r="M2931" s="548"/>
      <c r="N2931" s="552"/>
      <c r="Y2931" s="551"/>
    </row>
    <row r="2932" spans="1:25">
      <c r="A2932" s="499">
        <v>45575</v>
      </c>
      <c r="B2932" s="499">
        <v>45576</v>
      </c>
      <c r="C2932" s="500" t="s">
        <v>173</v>
      </c>
      <c r="D2932" s="500" t="s">
        <v>761</v>
      </c>
      <c r="E2932" s="501">
        <v>8005560.0700000003</v>
      </c>
      <c r="F2932" s="502" t="s">
        <v>878</v>
      </c>
      <c r="G2932" s="100" t="s">
        <v>981</v>
      </c>
      <c r="H2932" s="484">
        <v>114323400</v>
      </c>
      <c r="I2932" s="525"/>
      <c r="K2932" s="548"/>
      <c r="L2932" s="548"/>
      <c r="M2932" s="548"/>
      <c r="N2932" s="552"/>
      <c r="Y2932" s="551"/>
    </row>
    <row r="2933" spans="1:25">
      <c r="A2933" s="499">
        <v>45575</v>
      </c>
      <c r="B2933" s="499">
        <v>45576</v>
      </c>
      <c r="C2933" s="500" t="s">
        <v>173</v>
      </c>
      <c r="D2933" s="500" t="s">
        <v>761</v>
      </c>
      <c r="E2933" s="501">
        <v>8004314.4800000004</v>
      </c>
      <c r="F2933" s="502" t="s">
        <v>878</v>
      </c>
      <c r="G2933" s="100" t="s">
        <v>604</v>
      </c>
      <c r="H2933" s="484">
        <v>114323403</v>
      </c>
      <c r="I2933" s="525"/>
      <c r="K2933" s="548"/>
      <c r="L2933" s="548"/>
      <c r="M2933" s="548"/>
      <c r="N2933" s="552"/>
      <c r="Y2933" s="551"/>
    </row>
    <row r="2934" spans="1:25">
      <c r="A2934" s="499">
        <v>45575</v>
      </c>
      <c r="B2934" s="499">
        <v>45576</v>
      </c>
      <c r="C2934" s="500" t="s">
        <v>173</v>
      </c>
      <c r="D2934" s="500" t="s">
        <v>761</v>
      </c>
      <c r="E2934" s="501">
        <v>8004314.4800000004</v>
      </c>
      <c r="F2934" s="502" t="s">
        <v>878</v>
      </c>
      <c r="G2934" s="100" t="s">
        <v>604</v>
      </c>
      <c r="H2934" s="484">
        <v>114323406</v>
      </c>
      <c r="I2934" s="525"/>
      <c r="K2934" s="548"/>
      <c r="L2934" s="548"/>
      <c r="M2934" s="548"/>
      <c r="N2934" s="552"/>
      <c r="Y2934" s="551"/>
    </row>
    <row r="2935" spans="1:25">
      <c r="A2935" s="499">
        <v>45575</v>
      </c>
      <c r="B2935" s="499">
        <v>45576</v>
      </c>
      <c r="C2935" s="500" t="s">
        <v>173</v>
      </c>
      <c r="D2935" s="500" t="s">
        <v>761</v>
      </c>
      <c r="E2935" s="501">
        <v>9006255.0800000001</v>
      </c>
      <c r="F2935" s="502" t="s">
        <v>878</v>
      </c>
      <c r="G2935" s="100" t="s">
        <v>981</v>
      </c>
      <c r="H2935" s="484">
        <v>114323409</v>
      </c>
      <c r="I2935" s="525"/>
      <c r="K2935" s="548"/>
      <c r="L2935" s="548"/>
      <c r="M2935" s="548"/>
      <c r="N2935" s="552"/>
      <c r="Y2935" s="551"/>
    </row>
    <row r="2936" spans="1:25">
      <c r="A2936" s="499">
        <v>45575</v>
      </c>
      <c r="B2936" s="499">
        <v>45576</v>
      </c>
      <c r="C2936" s="500" t="s">
        <v>173</v>
      </c>
      <c r="D2936" s="500" t="s">
        <v>761</v>
      </c>
      <c r="E2936" s="501">
        <v>9006255.0800000001</v>
      </c>
      <c r="F2936" s="502" t="s">
        <v>878</v>
      </c>
      <c r="G2936" s="100" t="s">
        <v>981</v>
      </c>
      <c r="H2936" s="484">
        <v>114323412</v>
      </c>
      <c r="I2936" s="525"/>
      <c r="K2936" s="548"/>
      <c r="L2936" s="548"/>
      <c r="M2936" s="548"/>
      <c r="N2936" s="552"/>
      <c r="Y2936" s="551"/>
    </row>
    <row r="2937" spans="1:25">
      <c r="A2937" s="499">
        <v>45575</v>
      </c>
      <c r="B2937" s="499">
        <v>45576</v>
      </c>
      <c r="C2937" s="500" t="s">
        <v>173</v>
      </c>
      <c r="D2937" s="500" t="s">
        <v>761</v>
      </c>
      <c r="E2937" s="501">
        <v>9004497.3699999992</v>
      </c>
      <c r="F2937" s="502" t="s">
        <v>878</v>
      </c>
      <c r="G2937" s="100" t="s">
        <v>602</v>
      </c>
      <c r="H2937" s="484">
        <v>114323415</v>
      </c>
      <c r="I2937" s="525"/>
      <c r="K2937" s="548"/>
      <c r="L2937" s="548"/>
      <c r="M2937" s="548"/>
      <c r="N2937" s="552"/>
      <c r="Y2937" s="551"/>
    </row>
    <row r="2938" spans="1:25">
      <c r="A2938" s="499">
        <v>45575</v>
      </c>
      <c r="B2938" s="499">
        <v>45576</v>
      </c>
      <c r="C2938" s="500" t="s">
        <v>173</v>
      </c>
      <c r="D2938" s="500" t="s">
        <v>761</v>
      </c>
      <c r="E2938" s="501">
        <v>10009208.960000001</v>
      </c>
      <c r="F2938" s="502" t="s">
        <v>878</v>
      </c>
      <c r="G2938" s="100" t="s">
        <v>596</v>
      </c>
      <c r="H2938" s="484">
        <v>114323418</v>
      </c>
      <c r="I2938" s="525"/>
      <c r="K2938" s="548"/>
      <c r="L2938" s="548"/>
      <c r="M2938" s="548"/>
      <c r="N2938" s="552"/>
      <c r="Y2938" s="551"/>
    </row>
    <row r="2939" spans="1:25">
      <c r="A2939" s="499">
        <v>45575</v>
      </c>
      <c r="B2939" s="499">
        <v>45576</v>
      </c>
      <c r="C2939" s="500" t="s">
        <v>173</v>
      </c>
      <c r="D2939" s="500" t="s">
        <v>761</v>
      </c>
      <c r="E2939" s="501">
        <v>11012919.789999999</v>
      </c>
      <c r="F2939" s="502" t="s">
        <v>878</v>
      </c>
      <c r="G2939" s="100" t="s">
        <v>816</v>
      </c>
      <c r="H2939" s="484">
        <v>114323421</v>
      </c>
      <c r="I2939" s="525"/>
      <c r="K2939" s="548"/>
      <c r="L2939" s="548"/>
      <c r="M2939" s="548"/>
      <c r="N2939" s="552"/>
      <c r="Y2939" s="551"/>
    </row>
    <row r="2940" spans="1:25">
      <c r="A2940" s="499">
        <v>45575</v>
      </c>
      <c r="B2940" s="499">
        <v>45576</v>
      </c>
      <c r="C2940" s="500" t="s">
        <v>173</v>
      </c>
      <c r="D2940" s="500" t="s">
        <v>761</v>
      </c>
      <c r="E2940" s="501">
        <v>13012472.83</v>
      </c>
      <c r="F2940" s="502" t="s">
        <v>878</v>
      </c>
      <c r="G2940" s="100" t="s">
        <v>525</v>
      </c>
      <c r="H2940" s="484">
        <v>114323424</v>
      </c>
      <c r="I2940" s="525"/>
      <c r="K2940" s="548"/>
      <c r="L2940" s="548"/>
      <c r="M2940" s="548"/>
      <c r="N2940" s="552"/>
      <c r="Y2940" s="551"/>
    </row>
    <row r="2941" spans="1:25">
      <c r="A2941" s="499">
        <v>45575</v>
      </c>
      <c r="B2941" s="499">
        <v>45576</v>
      </c>
      <c r="C2941" s="500" t="s">
        <v>173</v>
      </c>
      <c r="D2941" s="500" t="s">
        <v>761</v>
      </c>
      <c r="E2941" s="501">
        <v>15017617.890000001</v>
      </c>
      <c r="F2941" s="502" t="s">
        <v>878</v>
      </c>
      <c r="G2941" s="100" t="s">
        <v>816</v>
      </c>
      <c r="H2941" s="484">
        <v>114323427</v>
      </c>
      <c r="I2941" s="525"/>
      <c r="K2941" s="548"/>
      <c r="L2941" s="548"/>
      <c r="M2941" s="548"/>
      <c r="N2941" s="552"/>
      <c r="Y2941" s="551"/>
    </row>
    <row r="2942" spans="1:25">
      <c r="A2942" s="499">
        <v>45575</v>
      </c>
      <c r="B2942" s="499">
        <v>45576</v>
      </c>
      <c r="C2942" s="500" t="s">
        <v>173</v>
      </c>
      <c r="D2942" s="500" t="s">
        <v>761</v>
      </c>
      <c r="E2942" s="501">
        <v>16011076.1</v>
      </c>
      <c r="F2942" s="502" t="s">
        <v>878</v>
      </c>
      <c r="G2942" s="100" t="s">
        <v>590</v>
      </c>
      <c r="H2942" s="484">
        <v>114323430</v>
      </c>
      <c r="I2942" s="525"/>
      <c r="K2942" s="548"/>
      <c r="L2942" s="548"/>
      <c r="M2942" s="548"/>
      <c r="N2942" s="552"/>
      <c r="Y2942" s="551"/>
    </row>
    <row r="2943" spans="1:25">
      <c r="A2943" s="499">
        <v>45575</v>
      </c>
      <c r="B2943" s="499">
        <v>45576</v>
      </c>
      <c r="C2943" s="500" t="s">
        <v>173</v>
      </c>
      <c r="D2943" s="500" t="s">
        <v>761</v>
      </c>
      <c r="E2943" s="501">
        <v>16017603.810000001</v>
      </c>
      <c r="F2943" s="502" t="s">
        <v>878</v>
      </c>
      <c r="G2943" s="100" t="s">
        <v>824</v>
      </c>
      <c r="H2943" s="484">
        <v>114323433</v>
      </c>
      <c r="I2943" s="525"/>
      <c r="K2943" s="548"/>
      <c r="L2943" s="548"/>
      <c r="M2943" s="548"/>
      <c r="N2943" s="552"/>
      <c r="Y2943" s="551"/>
    </row>
    <row r="2944" spans="1:25">
      <c r="A2944" s="499">
        <v>45575</v>
      </c>
      <c r="B2944" s="499">
        <v>45576</v>
      </c>
      <c r="C2944" s="500" t="s">
        <v>173</v>
      </c>
      <c r="D2944" s="500" t="s">
        <v>761</v>
      </c>
      <c r="E2944" s="501">
        <v>18015263.530000001</v>
      </c>
      <c r="F2944" s="502" t="s">
        <v>878</v>
      </c>
      <c r="G2944" s="100" t="s">
        <v>983</v>
      </c>
      <c r="H2944" s="484">
        <v>114323436</v>
      </c>
      <c r="I2944" s="525"/>
      <c r="K2944" s="548"/>
      <c r="L2944" s="548"/>
      <c r="M2944" s="548"/>
      <c r="N2944" s="552"/>
      <c r="Y2944" s="551"/>
    </row>
    <row r="2945" spans="1:25">
      <c r="A2945" s="499">
        <v>45575</v>
      </c>
      <c r="B2945" s="499">
        <v>45576</v>
      </c>
      <c r="C2945" s="500" t="s">
        <v>173</v>
      </c>
      <c r="D2945" s="500" t="s">
        <v>761</v>
      </c>
      <c r="E2945" s="501">
        <v>19019942.239999998</v>
      </c>
      <c r="F2945" s="502" t="s">
        <v>878</v>
      </c>
      <c r="G2945" s="100" t="s">
        <v>985</v>
      </c>
      <c r="H2945" s="484">
        <v>114323439</v>
      </c>
      <c r="I2945" s="525"/>
      <c r="K2945" s="548"/>
      <c r="L2945" s="548"/>
      <c r="M2945" s="548"/>
      <c r="N2945" s="552"/>
      <c r="Y2945" s="551"/>
    </row>
    <row r="2946" spans="1:25">
      <c r="A2946" s="499">
        <v>45575</v>
      </c>
      <c r="B2946" s="499">
        <v>45576</v>
      </c>
      <c r="C2946" s="500" t="s">
        <v>173</v>
      </c>
      <c r="D2946" s="500" t="s">
        <v>761</v>
      </c>
      <c r="E2946" s="501">
        <v>19018038.309999999</v>
      </c>
      <c r="F2946" s="502" t="s">
        <v>878</v>
      </c>
      <c r="G2946" s="100" t="s">
        <v>592</v>
      </c>
      <c r="H2946" s="484">
        <v>114323442</v>
      </c>
      <c r="I2946" s="525"/>
      <c r="K2946" s="548"/>
      <c r="L2946" s="548"/>
      <c r="M2946" s="548"/>
      <c r="N2946" s="552"/>
      <c r="Y2946" s="551"/>
    </row>
    <row r="2947" spans="1:25">
      <c r="A2947" s="499">
        <v>45575</v>
      </c>
      <c r="B2947" s="499">
        <v>45576</v>
      </c>
      <c r="C2947" s="500" t="s">
        <v>173</v>
      </c>
      <c r="D2947" s="500" t="s">
        <v>761</v>
      </c>
      <c r="E2947" s="501">
        <v>22017324.52</v>
      </c>
      <c r="F2947" s="502" t="s">
        <v>878</v>
      </c>
      <c r="G2947" s="100" t="s">
        <v>984</v>
      </c>
      <c r="H2947" s="484">
        <v>114323445</v>
      </c>
      <c r="I2947" s="525"/>
      <c r="K2947" s="548"/>
      <c r="L2947" s="548"/>
      <c r="M2947" s="548"/>
      <c r="N2947" s="552"/>
      <c r="Y2947" s="551"/>
    </row>
    <row r="2948" spans="1:25">
      <c r="A2948" s="499">
        <v>45575</v>
      </c>
      <c r="B2948" s="499">
        <v>45576</v>
      </c>
      <c r="C2948" s="500" t="s">
        <v>173</v>
      </c>
      <c r="D2948" s="500" t="s">
        <v>761</v>
      </c>
      <c r="E2948" s="501">
        <v>22028046.469999999</v>
      </c>
      <c r="F2948" s="502" t="s">
        <v>878</v>
      </c>
      <c r="G2948" s="100" t="s">
        <v>588</v>
      </c>
      <c r="H2948" s="484">
        <v>114323448</v>
      </c>
      <c r="I2948" s="525"/>
      <c r="K2948" s="548"/>
      <c r="L2948" s="548"/>
      <c r="M2948" s="548"/>
      <c r="N2948" s="552"/>
      <c r="Y2948" s="551"/>
    </row>
    <row r="2949" spans="1:25">
      <c r="A2949" s="499">
        <v>45575</v>
      </c>
      <c r="B2949" s="499">
        <v>45576</v>
      </c>
      <c r="C2949" s="500" t="s">
        <v>173</v>
      </c>
      <c r="D2949" s="500" t="s">
        <v>761</v>
      </c>
      <c r="E2949" s="501">
        <v>23017082.239999998</v>
      </c>
      <c r="F2949" s="502" t="s">
        <v>878</v>
      </c>
      <c r="G2949" s="100" t="s">
        <v>819</v>
      </c>
      <c r="H2949" s="484">
        <v>114323451</v>
      </c>
      <c r="I2949" s="525"/>
      <c r="K2949" s="548"/>
      <c r="L2949" s="548"/>
      <c r="M2949" s="548"/>
      <c r="N2949" s="552"/>
      <c r="Y2949" s="551"/>
    </row>
    <row r="2950" spans="1:25">
      <c r="A2950" s="499">
        <v>45575</v>
      </c>
      <c r="B2950" s="499">
        <v>45576</v>
      </c>
      <c r="C2950" s="500" t="s">
        <v>173</v>
      </c>
      <c r="D2950" s="500" t="s">
        <v>761</v>
      </c>
      <c r="E2950" s="501">
        <v>25014443.050000001</v>
      </c>
      <c r="F2950" s="502" t="s">
        <v>878</v>
      </c>
      <c r="G2950" s="100" t="s">
        <v>986</v>
      </c>
      <c r="H2950" s="484">
        <v>114323454</v>
      </c>
      <c r="I2950" s="525"/>
      <c r="K2950" s="548"/>
      <c r="L2950" s="548"/>
      <c r="M2950" s="548"/>
      <c r="N2950" s="552"/>
      <c r="Y2950" s="551"/>
    </row>
    <row r="2951" spans="1:25">
      <c r="A2951" s="499">
        <v>45575</v>
      </c>
      <c r="B2951" s="499">
        <v>45576</v>
      </c>
      <c r="C2951" s="500" t="s">
        <v>173</v>
      </c>
      <c r="D2951" s="500" t="s">
        <v>761</v>
      </c>
      <c r="E2951" s="501">
        <v>25029147.609999999</v>
      </c>
      <c r="F2951" s="502" t="s">
        <v>878</v>
      </c>
      <c r="G2951" s="100" t="s">
        <v>821</v>
      </c>
      <c r="H2951" s="484">
        <v>114323457</v>
      </c>
      <c r="I2951" s="525"/>
      <c r="K2951" s="548"/>
      <c r="L2951" s="548"/>
      <c r="M2951" s="548"/>
      <c r="N2951" s="552"/>
      <c r="Y2951" s="551"/>
    </row>
    <row r="2952" spans="1:25">
      <c r="A2952" s="499">
        <v>45575</v>
      </c>
      <c r="B2952" s="499">
        <v>45576</v>
      </c>
      <c r="C2952" s="500" t="s">
        <v>173</v>
      </c>
      <c r="D2952" s="500" t="s">
        <v>761</v>
      </c>
      <c r="E2952" s="501">
        <v>26028606.190000001</v>
      </c>
      <c r="F2952" s="502" t="s">
        <v>878</v>
      </c>
      <c r="G2952" s="100" t="s">
        <v>824</v>
      </c>
      <c r="H2952" s="484">
        <v>114323460</v>
      </c>
      <c r="I2952" s="525"/>
      <c r="K2952" s="548"/>
      <c r="L2952" s="548"/>
      <c r="M2952" s="548"/>
      <c r="N2952" s="552"/>
      <c r="Y2952" s="551"/>
    </row>
    <row r="2953" spans="1:25">
      <c r="A2953" s="499">
        <v>45575</v>
      </c>
      <c r="B2953" s="499">
        <v>45576</v>
      </c>
      <c r="C2953" s="500" t="s">
        <v>173</v>
      </c>
      <c r="D2953" s="500" t="s">
        <v>761</v>
      </c>
      <c r="E2953" s="501">
        <v>26013508.02</v>
      </c>
      <c r="F2953" s="502" t="s">
        <v>878</v>
      </c>
      <c r="G2953" s="100" t="s">
        <v>550</v>
      </c>
      <c r="H2953" s="484">
        <v>114323463</v>
      </c>
      <c r="I2953" s="525"/>
      <c r="K2953" s="548"/>
      <c r="L2953" s="548"/>
      <c r="M2953" s="548"/>
      <c r="N2953" s="552"/>
      <c r="Y2953" s="551"/>
    </row>
    <row r="2954" spans="1:25">
      <c r="A2954" s="499">
        <v>45575</v>
      </c>
      <c r="B2954" s="499">
        <v>45576</v>
      </c>
      <c r="C2954" s="500" t="s">
        <v>173</v>
      </c>
      <c r="D2954" s="500" t="s">
        <v>761</v>
      </c>
      <c r="E2954" s="501">
        <v>29025873.440000001</v>
      </c>
      <c r="F2954" s="502" t="s">
        <v>878</v>
      </c>
      <c r="G2954" s="100" t="s">
        <v>987</v>
      </c>
      <c r="H2954" s="484">
        <v>114323466</v>
      </c>
      <c r="I2954" s="525"/>
      <c r="K2954" s="548"/>
      <c r="L2954" s="548"/>
      <c r="M2954" s="548"/>
      <c r="N2954" s="552"/>
      <c r="Y2954" s="551"/>
    </row>
    <row r="2955" spans="1:25">
      <c r="A2955" s="499">
        <v>45575</v>
      </c>
      <c r="B2955" s="499">
        <v>45576</v>
      </c>
      <c r="C2955" s="500" t="s">
        <v>173</v>
      </c>
      <c r="D2955" s="500" t="s">
        <v>761</v>
      </c>
      <c r="E2955" s="501">
        <v>30015586.170000002</v>
      </c>
      <c r="F2955" s="502" t="s">
        <v>878</v>
      </c>
      <c r="G2955" s="100" t="s">
        <v>550</v>
      </c>
      <c r="H2955" s="484">
        <v>114323469</v>
      </c>
      <c r="I2955" s="525"/>
      <c r="K2955" s="548"/>
      <c r="L2955" s="548"/>
      <c r="M2955" s="548"/>
      <c r="N2955" s="552"/>
      <c r="Y2955" s="551"/>
    </row>
    <row r="2956" spans="1:25">
      <c r="A2956" s="499">
        <v>45575</v>
      </c>
      <c r="B2956" s="499">
        <v>45576</v>
      </c>
      <c r="C2956" s="500" t="s">
        <v>173</v>
      </c>
      <c r="D2956" s="500" t="s">
        <v>761</v>
      </c>
      <c r="E2956" s="501">
        <v>1000742.71</v>
      </c>
      <c r="F2956" s="502" t="s">
        <v>878</v>
      </c>
      <c r="G2956" s="100" t="s">
        <v>819</v>
      </c>
      <c r="H2956" s="484">
        <v>114323472</v>
      </c>
      <c r="I2956" s="525"/>
      <c r="K2956" s="548"/>
      <c r="L2956" s="548"/>
      <c r="M2956" s="548"/>
      <c r="N2956" s="552"/>
      <c r="Y2956" s="551"/>
    </row>
    <row r="2957" spans="1:25">
      <c r="A2957" s="499">
        <v>45575</v>
      </c>
      <c r="B2957" s="499">
        <v>45576</v>
      </c>
      <c r="C2957" s="500" t="s">
        <v>173</v>
      </c>
      <c r="D2957" s="500" t="s">
        <v>761</v>
      </c>
      <c r="E2957" s="501">
        <v>2001485.41</v>
      </c>
      <c r="F2957" s="502" t="s">
        <v>878</v>
      </c>
      <c r="G2957" s="100" t="s">
        <v>819</v>
      </c>
      <c r="H2957" s="484">
        <v>114323649</v>
      </c>
      <c r="I2957" s="525"/>
      <c r="K2957" s="548"/>
      <c r="L2957" s="548"/>
      <c r="M2957" s="548"/>
      <c r="N2957" s="552"/>
      <c r="Y2957" s="551"/>
    </row>
    <row r="2958" spans="1:25">
      <c r="A2958" s="499">
        <v>45575</v>
      </c>
      <c r="B2958" s="499">
        <v>45575</v>
      </c>
      <c r="C2958" s="500" t="s">
        <v>173</v>
      </c>
      <c r="D2958" s="500" t="s">
        <v>759</v>
      </c>
      <c r="E2958" s="501">
        <v>-7002419.5599999996</v>
      </c>
      <c r="F2958" s="502" t="s">
        <v>878</v>
      </c>
      <c r="G2958" s="100" t="s">
        <v>634</v>
      </c>
      <c r="H2958" s="484"/>
      <c r="I2958" s="525"/>
      <c r="K2958" s="548"/>
      <c r="L2958" s="548"/>
      <c r="M2958" s="548"/>
      <c r="N2958" s="552"/>
      <c r="Q2958" s="539">
        <v>-1</v>
      </c>
      <c r="Y2958" s="551"/>
    </row>
    <row r="2959" spans="1:25">
      <c r="A2959" s="499">
        <v>45575</v>
      </c>
      <c r="B2959" s="499">
        <v>45575</v>
      </c>
      <c r="C2959" s="500" t="s">
        <v>173</v>
      </c>
      <c r="D2959" s="500" t="s">
        <v>759</v>
      </c>
      <c r="E2959" s="501">
        <v>-883742325.74000001</v>
      </c>
      <c r="F2959" s="502" t="s">
        <v>878</v>
      </c>
      <c r="G2959" s="100" t="s">
        <v>422</v>
      </c>
      <c r="H2959" s="484"/>
      <c r="I2959" s="525"/>
      <c r="K2959" s="548"/>
      <c r="L2959" s="548"/>
      <c r="M2959" s="548"/>
      <c r="N2959" s="552"/>
      <c r="Y2959" s="551"/>
    </row>
    <row r="2960" spans="1:25">
      <c r="A2960" s="499">
        <v>45575</v>
      </c>
      <c r="B2960" s="499">
        <v>45575</v>
      </c>
      <c r="C2960" s="500" t="s">
        <v>173</v>
      </c>
      <c r="D2960" s="500" t="s">
        <v>759</v>
      </c>
      <c r="E2960" s="501">
        <v>-1126849544.48</v>
      </c>
      <c r="F2960" s="502" t="s">
        <v>878</v>
      </c>
      <c r="G2960" s="100" t="s">
        <v>683</v>
      </c>
      <c r="H2960" s="484"/>
      <c r="I2960" s="525"/>
      <c r="K2960" s="548"/>
      <c r="L2960" s="548"/>
      <c r="M2960" s="548"/>
      <c r="N2960" s="552"/>
      <c r="Y2960" s="551"/>
    </row>
    <row r="2961" spans="1:25">
      <c r="A2961" s="499">
        <v>45575</v>
      </c>
      <c r="B2961" s="499">
        <v>45576</v>
      </c>
      <c r="C2961" s="500" t="s">
        <v>173</v>
      </c>
      <c r="D2961" s="500" t="s">
        <v>759</v>
      </c>
      <c r="E2961" s="501">
        <v>7005145.9500000002</v>
      </c>
      <c r="F2961" s="502" t="s">
        <v>878</v>
      </c>
      <c r="G2961" s="100" t="s">
        <v>634</v>
      </c>
      <c r="H2961" s="570" t="s">
        <v>988</v>
      </c>
      <c r="I2961" s="525"/>
      <c r="K2961" s="548"/>
      <c r="L2961" s="548"/>
      <c r="M2961" s="548"/>
      <c r="N2961" s="552"/>
      <c r="Y2961" s="551"/>
    </row>
    <row r="2962" spans="1:25">
      <c r="A2962" s="499">
        <v>45575</v>
      </c>
      <c r="B2962" s="499">
        <v>45576</v>
      </c>
      <c r="C2962" s="500" t="s">
        <v>173</v>
      </c>
      <c r="D2962" s="500" t="s">
        <v>759</v>
      </c>
      <c r="E2962" s="501">
        <v>884080364.41999996</v>
      </c>
      <c r="F2962" s="502" t="s">
        <v>878</v>
      </c>
      <c r="G2962" s="100" t="s">
        <v>422</v>
      </c>
      <c r="H2962" s="570" t="s">
        <v>989</v>
      </c>
      <c r="I2962" s="525"/>
      <c r="K2962" s="548"/>
      <c r="L2962" s="548"/>
      <c r="M2962" s="548"/>
      <c r="N2962" s="552"/>
      <c r="Y2962" s="551"/>
    </row>
    <row r="2963" spans="1:25">
      <c r="A2963" s="499">
        <v>45575</v>
      </c>
      <c r="B2963" s="499">
        <v>45576</v>
      </c>
      <c r="C2963" s="500" t="s">
        <v>173</v>
      </c>
      <c r="D2963" s="500" t="s">
        <v>759</v>
      </c>
      <c r="E2963" s="501">
        <v>1127280573.6700001</v>
      </c>
      <c r="F2963" s="502" t="s">
        <v>878</v>
      </c>
      <c r="G2963" s="100" t="s">
        <v>683</v>
      </c>
      <c r="H2963" s="570" t="s">
        <v>990</v>
      </c>
      <c r="I2963" s="525"/>
      <c r="K2963" s="548"/>
      <c r="L2963" s="548"/>
      <c r="M2963" s="548"/>
      <c r="N2963" s="552"/>
      <c r="Y2963" s="551"/>
    </row>
    <row r="2964" spans="1:25">
      <c r="A2964" s="499">
        <v>45575</v>
      </c>
      <c r="B2964" s="499">
        <v>45575</v>
      </c>
      <c r="C2964" s="500" t="s">
        <v>173</v>
      </c>
      <c r="D2964" s="500" t="s">
        <v>760</v>
      </c>
      <c r="E2964" s="501">
        <v>-1240935555.2</v>
      </c>
      <c r="F2964" s="502" t="s">
        <v>878</v>
      </c>
      <c r="G2964" s="100" t="s">
        <v>683</v>
      </c>
      <c r="H2964" s="530"/>
      <c r="I2964" s="525"/>
      <c r="K2964" s="548"/>
      <c r="L2964" s="548"/>
      <c r="M2964" s="548"/>
      <c r="N2964" s="552"/>
      <c r="Y2964" s="551"/>
    </row>
    <row r="2965" spans="1:25">
      <c r="A2965" s="499">
        <v>45575</v>
      </c>
      <c r="B2965" s="499">
        <v>45575</v>
      </c>
      <c r="C2965" s="500" t="s">
        <v>173</v>
      </c>
      <c r="D2965" s="500" t="s">
        <v>760</v>
      </c>
      <c r="E2965" s="501">
        <v>-33028652.32</v>
      </c>
      <c r="F2965" s="502" t="s">
        <v>878</v>
      </c>
      <c r="G2965" s="100" t="s">
        <v>475</v>
      </c>
      <c r="H2965" s="530"/>
      <c r="I2965" s="525"/>
      <c r="K2965" s="548"/>
      <c r="L2965" s="548"/>
      <c r="M2965" s="548"/>
      <c r="N2965" s="552"/>
      <c r="Y2965" s="551"/>
    </row>
    <row r="2966" spans="1:25">
      <c r="A2966" s="499">
        <v>45575</v>
      </c>
      <c r="B2966" s="499">
        <v>45576</v>
      </c>
      <c r="C2966" s="500" t="s">
        <v>173</v>
      </c>
      <c r="D2966" s="500" t="s">
        <v>760</v>
      </c>
      <c r="E2966" s="501">
        <v>1241410223.22</v>
      </c>
      <c r="F2966" s="502" t="s">
        <v>878</v>
      </c>
      <c r="G2966" s="100" t="s">
        <v>683</v>
      </c>
      <c r="H2966" s="484" t="s">
        <v>991</v>
      </c>
      <c r="I2966" s="525"/>
      <c r="K2966" s="548"/>
      <c r="L2966" s="548"/>
      <c r="M2966" s="548"/>
      <c r="N2966" s="552"/>
      <c r="Y2966" s="551"/>
    </row>
    <row r="2967" spans="1:25">
      <c r="A2967" s="499">
        <v>45575</v>
      </c>
      <c r="B2967" s="499">
        <v>45576</v>
      </c>
      <c r="C2967" s="500" t="s">
        <v>173</v>
      </c>
      <c r="D2967" s="500" t="s">
        <v>760</v>
      </c>
      <c r="E2967" s="501">
        <v>33041286.050000001</v>
      </c>
      <c r="F2967" s="502" t="s">
        <v>878</v>
      </c>
      <c r="G2967" s="100" t="s">
        <v>475</v>
      </c>
      <c r="H2967" s="484" t="s">
        <v>992</v>
      </c>
      <c r="I2967" s="525"/>
      <c r="K2967" s="548"/>
      <c r="L2967" s="548"/>
      <c r="M2967" s="548"/>
      <c r="N2967" s="552"/>
      <c r="Y2967" s="551"/>
    </row>
    <row r="2968" spans="1:25">
      <c r="A2968" s="499">
        <v>45575</v>
      </c>
      <c r="B2968" s="499">
        <v>45575</v>
      </c>
      <c r="C2968" s="500" t="s">
        <v>173</v>
      </c>
      <c r="D2968" s="500" t="s">
        <v>763</v>
      </c>
      <c r="E2968" s="501">
        <v>-5372523288.6700001</v>
      </c>
      <c r="F2968" s="502" t="s">
        <v>878</v>
      </c>
      <c r="G2968" s="100" t="s">
        <v>644</v>
      </c>
      <c r="H2968" s="530"/>
      <c r="I2968" s="525"/>
      <c r="K2968" s="548"/>
      <c r="L2968" s="548"/>
      <c r="M2968" s="548"/>
      <c r="N2968" s="552"/>
      <c r="Y2968" s="551"/>
    </row>
    <row r="2969" spans="1:25">
      <c r="A2969" s="499">
        <v>45575</v>
      </c>
      <c r="B2969" s="499">
        <v>45575</v>
      </c>
      <c r="C2969" s="500" t="s">
        <v>173</v>
      </c>
      <c r="D2969" s="500" t="s">
        <v>763</v>
      </c>
      <c r="E2969" s="501">
        <v>-23007950</v>
      </c>
      <c r="F2969" s="502" t="s">
        <v>878</v>
      </c>
      <c r="G2969" s="100" t="s">
        <v>633</v>
      </c>
      <c r="H2969" s="530"/>
      <c r="I2969" s="525"/>
      <c r="K2969" s="548"/>
      <c r="L2969" s="548"/>
      <c r="M2969" s="548"/>
      <c r="N2969" s="552"/>
      <c r="Y2969" s="551"/>
    </row>
    <row r="2970" spans="1:25">
      <c r="A2970" s="499">
        <v>45575</v>
      </c>
      <c r="B2970" s="499">
        <v>45576</v>
      </c>
      <c r="C2970" s="500" t="s">
        <v>173</v>
      </c>
      <c r="D2970" s="500" t="s">
        <v>763</v>
      </c>
      <c r="E2970" s="501">
        <v>5374468332.9300003</v>
      </c>
      <c r="F2970" s="502" t="s">
        <v>878</v>
      </c>
      <c r="G2970" s="100" t="s">
        <v>644</v>
      </c>
      <c r="H2970" s="484">
        <v>114322770</v>
      </c>
      <c r="I2970" s="525"/>
      <c r="K2970" s="548"/>
      <c r="L2970" s="548"/>
      <c r="M2970" s="548"/>
      <c r="N2970" s="552"/>
      <c r="Y2970" s="551"/>
    </row>
    <row r="2971" spans="1:25">
      <c r="A2971" s="499">
        <v>45575</v>
      </c>
      <c r="B2971" s="499">
        <v>45576</v>
      </c>
      <c r="C2971" s="500" t="s">
        <v>173</v>
      </c>
      <c r="D2971" s="500" t="s">
        <v>763</v>
      </c>
      <c r="E2971" s="501">
        <v>23016468.030000001</v>
      </c>
      <c r="F2971" s="502" t="s">
        <v>878</v>
      </c>
      <c r="G2971" s="100" t="s">
        <v>633</v>
      </c>
      <c r="H2971" s="484">
        <v>114322885</v>
      </c>
      <c r="I2971" s="525"/>
      <c r="K2971" s="548"/>
      <c r="L2971" s="548"/>
      <c r="M2971" s="548"/>
      <c r="N2971" s="552"/>
      <c r="Y2971" s="551"/>
    </row>
    <row r="2972" spans="1:25">
      <c r="A2972" s="499">
        <v>45576</v>
      </c>
      <c r="B2972" s="499">
        <v>45576</v>
      </c>
      <c r="C2972" s="500" t="s">
        <v>173</v>
      </c>
      <c r="D2972" s="500" t="s">
        <v>762</v>
      </c>
      <c r="E2972" s="501">
        <v>-1210175996.9200001</v>
      </c>
      <c r="F2972" s="502" t="s">
        <v>878</v>
      </c>
      <c r="G2972" s="100" t="s">
        <v>719</v>
      </c>
      <c r="H2972" s="530"/>
      <c r="I2972" s="525"/>
      <c r="K2972" s="548"/>
      <c r="L2972" s="548"/>
      <c r="M2972" s="548"/>
      <c r="N2972" s="552"/>
      <c r="Y2972" s="551"/>
    </row>
    <row r="2973" spans="1:25">
      <c r="A2973" s="499">
        <v>45576</v>
      </c>
      <c r="B2973" s="499">
        <v>45576</v>
      </c>
      <c r="C2973" s="500" t="s">
        <v>173</v>
      </c>
      <c r="D2973" s="500" t="s">
        <v>762</v>
      </c>
      <c r="E2973" s="501">
        <v>-25019565.75</v>
      </c>
      <c r="F2973" s="502" t="s">
        <v>878</v>
      </c>
      <c r="G2973" s="100" t="s">
        <v>689</v>
      </c>
      <c r="H2973" s="530"/>
      <c r="I2973" s="525"/>
      <c r="K2973" s="548"/>
      <c r="L2973" s="548"/>
      <c r="M2973" s="548"/>
      <c r="N2973" s="552"/>
      <c r="Y2973" s="551"/>
    </row>
    <row r="2974" spans="1:25">
      <c r="A2974" s="499">
        <v>45576</v>
      </c>
      <c r="B2974" s="499">
        <v>45576</v>
      </c>
      <c r="C2974" s="500" t="s">
        <v>173</v>
      </c>
      <c r="D2974" s="500" t="s">
        <v>762</v>
      </c>
      <c r="E2974" s="501">
        <v>-5001421923</v>
      </c>
      <c r="F2974" s="502" t="s">
        <v>878</v>
      </c>
      <c r="G2974" s="100" t="s">
        <v>633</v>
      </c>
      <c r="H2974" s="530"/>
      <c r="I2974" s="525"/>
      <c r="K2974" s="548"/>
      <c r="L2974" s="548"/>
      <c r="M2974" s="548"/>
      <c r="N2974" s="552"/>
      <c r="Y2974" s="551"/>
    </row>
    <row r="2975" spans="1:25">
      <c r="A2975" s="499">
        <v>45576</v>
      </c>
      <c r="B2975" s="499">
        <v>45579</v>
      </c>
      <c r="C2975" s="500" t="s">
        <v>173</v>
      </c>
      <c r="D2975" s="500" t="s">
        <v>762</v>
      </c>
      <c r="E2975" s="501">
        <v>1211534965.05</v>
      </c>
      <c r="F2975" s="502" t="s">
        <v>878</v>
      </c>
      <c r="G2975" s="100" t="s">
        <v>719</v>
      </c>
      <c r="H2975" s="484">
        <v>114338751</v>
      </c>
      <c r="I2975" s="525"/>
      <c r="K2975" s="548"/>
      <c r="L2975" s="548"/>
      <c r="M2975" s="548"/>
      <c r="N2975" s="552"/>
      <c r="Y2975" s="551"/>
    </row>
    <row r="2976" spans="1:25">
      <c r="A2976" s="499">
        <v>45576</v>
      </c>
      <c r="B2976" s="499">
        <v>45579</v>
      </c>
      <c r="C2976" s="500" t="s">
        <v>173</v>
      </c>
      <c r="D2976" s="500" t="s">
        <v>762</v>
      </c>
      <c r="E2976" s="501">
        <v>25047661.899999999</v>
      </c>
      <c r="F2976" s="502" t="s">
        <v>878</v>
      </c>
      <c r="G2976" s="100" t="s">
        <v>689</v>
      </c>
      <c r="H2976" s="484">
        <v>114338844</v>
      </c>
      <c r="I2976" s="525"/>
      <c r="K2976" s="548"/>
      <c r="L2976" s="548"/>
      <c r="M2976" s="548"/>
      <c r="N2976" s="552"/>
      <c r="Y2976" s="551"/>
    </row>
    <row r="2977" spans="1:25">
      <c r="A2977" s="499">
        <v>45576</v>
      </c>
      <c r="B2977" s="499">
        <v>45579</v>
      </c>
      <c r="C2977" s="500" t="s">
        <v>173</v>
      </c>
      <c r="D2977" s="500" t="s">
        <v>762</v>
      </c>
      <c r="E2977" s="501">
        <v>5007038314.8400002</v>
      </c>
      <c r="F2977" s="502" t="s">
        <v>878</v>
      </c>
      <c r="G2977" s="100" t="s">
        <v>633</v>
      </c>
      <c r="H2977" s="484">
        <v>114338748</v>
      </c>
      <c r="I2977" s="525"/>
      <c r="K2977" s="548"/>
      <c r="L2977" s="548"/>
      <c r="M2977" s="548"/>
      <c r="N2977" s="552"/>
      <c r="Y2977" s="551"/>
    </row>
    <row r="2978" spans="1:25">
      <c r="A2978" s="499">
        <v>45576</v>
      </c>
      <c r="B2978" s="499">
        <v>45576</v>
      </c>
      <c r="C2978" s="500" t="s">
        <v>173</v>
      </c>
      <c r="D2978" s="500" t="s">
        <v>761</v>
      </c>
      <c r="E2978" s="501">
        <v>-500135480</v>
      </c>
      <c r="F2978" s="502" t="s">
        <v>878</v>
      </c>
      <c r="G2978" s="100" t="s">
        <v>993</v>
      </c>
      <c r="H2978" s="530"/>
      <c r="I2978" s="525"/>
      <c r="K2978" s="548"/>
      <c r="L2978" s="548"/>
      <c r="M2978" s="548"/>
      <c r="N2978" s="552"/>
      <c r="Y2978" s="551"/>
    </row>
    <row r="2979" spans="1:25">
      <c r="A2979" s="499">
        <v>45576</v>
      </c>
      <c r="B2979" s="499">
        <v>45576</v>
      </c>
      <c r="C2979" s="500" t="s">
        <v>173</v>
      </c>
      <c r="D2979" s="500" t="s">
        <v>761</v>
      </c>
      <c r="E2979" s="501">
        <v>-2000190.85</v>
      </c>
      <c r="F2979" s="502" t="s">
        <v>878</v>
      </c>
      <c r="G2979" s="100" t="s">
        <v>994</v>
      </c>
      <c r="H2979" s="530"/>
      <c r="I2979" s="525"/>
      <c r="K2979" s="548"/>
      <c r="L2979" s="548"/>
      <c r="M2979" s="548"/>
      <c r="N2979" s="552"/>
      <c r="Y2979" s="551"/>
    </row>
    <row r="2980" spans="1:25">
      <c r="A2980" s="499">
        <v>45576</v>
      </c>
      <c r="B2980" s="499">
        <v>45579</v>
      </c>
      <c r="C2980" s="500" t="s">
        <v>173</v>
      </c>
      <c r="D2980" s="500" t="s">
        <v>761</v>
      </c>
      <c r="E2980" s="501">
        <v>500704896.54000002</v>
      </c>
      <c r="F2980" s="502" t="s">
        <v>878</v>
      </c>
      <c r="G2980" s="100" t="s">
        <v>993</v>
      </c>
      <c r="H2980" s="484">
        <v>114342135</v>
      </c>
      <c r="I2980" s="525"/>
      <c r="K2980" s="548"/>
      <c r="L2980" s="548"/>
      <c r="M2980" s="548"/>
      <c r="N2980" s="552"/>
      <c r="Y2980" s="551"/>
    </row>
    <row r="2981" spans="1:25">
      <c r="A2981" s="499">
        <v>45576</v>
      </c>
      <c r="B2981" s="499">
        <v>45579</v>
      </c>
      <c r="C2981" s="500" t="s">
        <v>173</v>
      </c>
      <c r="D2981" s="500" t="s">
        <v>761</v>
      </c>
      <c r="E2981" s="501">
        <v>2002463.2</v>
      </c>
      <c r="F2981" s="502" t="s">
        <v>878</v>
      </c>
      <c r="G2981" s="100" t="s">
        <v>994</v>
      </c>
      <c r="H2981" s="484">
        <v>114342244</v>
      </c>
      <c r="I2981" s="525"/>
      <c r="K2981" s="548"/>
      <c r="L2981" s="548"/>
      <c r="M2981" s="548"/>
      <c r="N2981" s="552"/>
      <c r="Y2981" s="551"/>
    </row>
    <row r="2982" spans="1:25">
      <c r="A2982" s="499">
        <v>45576</v>
      </c>
      <c r="B2982" s="499">
        <v>45576</v>
      </c>
      <c r="C2982" s="500" t="s">
        <v>173</v>
      </c>
      <c r="D2982" s="500" t="s">
        <v>759</v>
      </c>
      <c r="E2982" s="501">
        <v>-22002099.350000001</v>
      </c>
      <c r="F2982" s="502" t="s">
        <v>878</v>
      </c>
      <c r="G2982" s="100" t="s">
        <v>647</v>
      </c>
      <c r="H2982" s="484"/>
      <c r="I2982" s="525"/>
      <c r="K2982" s="548"/>
      <c r="L2982" s="548"/>
      <c r="M2982" s="548"/>
      <c r="N2982" s="552"/>
      <c r="Y2982" s="551"/>
    </row>
    <row r="2983" spans="1:25">
      <c r="A2983" s="499">
        <v>45576</v>
      </c>
      <c r="B2983" s="499">
        <v>45576</v>
      </c>
      <c r="C2983" s="500" t="s">
        <v>173</v>
      </c>
      <c r="D2983" s="500" t="s">
        <v>759</v>
      </c>
      <c r="E2983" s="501">
        <v>-1991515177.6199999</v>
      </c>
      <c r="F2983" s="502" t="s">
        <v>878</v>
      </c>
      <c r="G2983" s="100" t="s">
        <v>632</v>
      </c>
      <c r="H2983" s="484"/>
      <c r="I2983" s="525"/>
      <c r="K2983" s="548"/>
      <c r="L2983" s="548"/>
      <c r="M2983" s="548"/>
      <c r="N2983" s="552"/>
      <c r="Y2983" s="551"/>
    </row>
    <row r="2984" spans="1:25">
      <c r="A2984" s="499">
        <v>45576</v>
      </c>
      <c r="B2984" s="499">
        <v>45576</v>
      </c>
      <c r="C2984" s="500" t="s">
        <v>173</v>
      </c>
      <c r="D2984" s="500" t="s">
        <v>759</v>
      </c>
      <c r="E2984" s="501">
        <v>-3772072414.3299999</v>
      </c>
      <c r="F2984" s="502" t="s">
        <v>878</v>
      </c>
      <c r="G2984" s="100" t="s">
        <v>634</v>
      </c>
      <c r="H2984" s="484"/>
      <c r="I2984" s="525"/>
      <c r="K2984" s="548"/>
      <c r="L2984" s="548"/>
      <c r="M2984" s="548"/>
      <c r="N2984" s="552"/>
      <c r="Y2984" s="551"/>
    </row>
    <row r="2985" spans="1:25">
      <c r="A2985" s="499">
        <v>45576</v>
      </c>
      <c r="B2985" s="499">
        <v>45579</v>
      </c>
      <c r="C2985" s="500" t="s">
        <v>173</v>
      </c>
      <c r="D2985" s="500" t="s">
        <v>759</v>
      </c>
      <c r="E2985" s="501">
        <v>22027095.18</v>
      </c>
      <c r="F2985" s="502" t="s">
        <v>878</v>
      </c>
      <c r="G2985" s="100" t="s">
        <v>647</v>
      </c>
      <c r="H2985" s="570" t="s">
        <v>995</v>
      </c>
      <c r="I2985" s="525"/>
      <c r="K2985" s="548"/>
      <c r="L2985" s="548"/>
      <c r="M2985" s="548"/>
      <c r="N2985" s="552"/>
      <c r="Y2985" s="551"/>
    </row>
    <row r="2986" spans="1:25">
      <c r="A2986" s="499">
        <v>45576</v>
      </c>
      <c r="B2986" s="499">
        <v>45579</v>
      </c>
      <c r="C2986" s="500" t="s">
        <v>173</v>
      </c>
      <c r="D2986" s="500" t="s">
        <v>759</v>
      </c>
      <c r="E2986" s="501">
        <v>1993767858.79</v>
      </c>
      <c r="F2986" s="502" t="s">
        <v>878</v>
      </c>
      <c r="G2986" s="100" t="s">
        <v>632</v>
      </c>
      <c r="H2986" s="570" t="s">
        <v>996</v>
      </c>
      <c r="I2986" s="525"/>
      <c r="K2986" s="548"/>
      <c r="L2986" s="548"/>
      <c r="M2986" s="548"/>
      <c r="N2986" s="552"/>
      <c r="Y2986" s="551"/>
    </row>
    <row r="2987" spans="1:25">
      <c r="A2987" s="499">
        <v>45576</v>
      </c>
      <c r="B2987" s="499">
        <v>45583</v>
      </c>
      <c r="C2987" s="500" t="s">
        <v>173</v>
      </c>
      <c r="D2987" s="500" t="s">
        <v>759</v>
      </c>
      <c r="E2987" s="501">
        <v>3782085854.6399999</v>
      </c>
      <c r="F2987" s="502" t="s">
        <v>878</v>
      </c>
      <c r="G2987" s="100" t="s">
        <v>634</v>
      </c>
      <c r="H2987" s="570" t="s">
        <v>997</v>
      </c>
      <c r="I2987" s="525"/>
      <c r="K2987" s="548"/>
      <c r="L2987" s="548"/>
      <c r="M2987" s="548"/>
      <c r="N2987" s="552"/>
      <c r="Y2987" s="551"/>
    </row>
    <row r="2988" spans="1:25">
      <c r="A2988" s="499">
        <v>45576</v>
      </c>
      <c r="B2988" s="499">
        <v>45576</v>
      </c>
      <c r="C2988" s="500" t="s">
        <v>173</v>
      </c>
      <c r="D2988" s="500" t="s">
        <v>760</v>
      </c>
      <c r="E2988" s="501">
        <v>-1240352636.9000001</v>
      </c>
      <c r="F2988" s="502" t="s">
        <v>878</v>
      </c>
      <c r="G2988" s="100" t="s">
        <v>634</v>
      </c>
      <c r="H2988" s="530"/>
      <c r="I2988" s="525"/>
      <c r="K2988" s="548"/>
      <c r="L2988" s="548"/>
      <c r="M2988" s="548"/>
      <c r="N2988" s="552"/>
      <c r="Y2988" s="551"/>
    </row>
    <row r="2989" spans="1:25">
      <c r="A2989" s="499">
        <v>45576</v>
      </c>
      <c r="B2989" s="499">
        <v>45576</v>
      </c>
      <c r="C2989" s="500" t="s">
        <v>173</v>
      </c>
      <c r="D2989" s="500" t="s">
        <v>760</v>
      </c>
      <c r="E2989" s="501">
        <v>-33028459.199999999</v>
      </c>
      <c r="F2989" s="502" t="s">
        <v>878</v>
      </c>
      <c r="G2989" s="100" t="s">
        <v>390</v>
      </c>
      <c r="H2989" s="530"/>
      <c r="I2989" s="525"/>
      <c r="K2989" s="548"/>
      <c r="L2989" s="548"/>
      <c r="M2989" s="548"/>
      <c r="N2989" s="552"/>
      <c r="Y2989" s="551"/>
    </row>
    <row r="2990" spans="1:25">
      <c r="A2990" s="499">
        <v>45576</v>
      </c>
      <c r="B2990" s="499">
        <v>45579</v>
      </c>
      <c r="C2990" s="500" t="s">
        <v>173</v>
      </c>
      <c r="D2990" s="500" t="s">
        <v>760</v>
      </c>
      <c r="E2990" s="501">
        <v>1241755658.74</v>
      </c>
      <c r="F2990" s="502" t="s">
        <v>878</v>
      </c>
      <c r="G2990" s="100" t="s">
        <v>634</v>
      </c>
      <c r="H2990" s="484" t="s">
        <v>998</v>
      </c>
      <c r="I2990" s="525"/>
      <c r="K2990" s="548"/>
      <c r="L2990" s="548"/>
      <c r="M2990" s="548"/>
      <c r="N2990" s="552"/>
      <c r="Y2990" s="551"/>
    </row>
    <row r="2991" spans="1:25">
      <c r="A2991" s="499">
        <v>45576</v>
      </c>
      <c r="B2991" s="499">
        <v>45579</v>
      </c>
      <c r="C2991" s="500" t="s">
        <v>173</v>
      </c>
      <c r="D2991" s="500" t="s">
        <v>760</v>
      </c>
      <c r="E2991" s="501">
        <v>33065954.350000001</v>
      </c>
      <c r="F2991" s="502" t="s">
        <v>878</v>
      </c>
      <c r="G2991" s="100" t="s">
        <v>390</v>
      </c>
      <c r="H2991" s="484" t="s">
        <v>999</v>
      </c>
      <c r="I2991" s="525"/>
      <c r="K2991" s="548"/>
      <c r="L2991" s="548"/>
      <c r="M2991" s="548"/>
      <c r="N2991" s="552"/>
      <c r="Y2991" s="551"/>
    </row>
    <row r="2992" spans="1:25">
      <c r="A2992" s="499">
        <v>45576</v>
      </c>
      <c r="B2992" s="499">
        <v>45576</v>
      </c>
      <c r="C2992" s="500" t="s">
        <v>173</v>
      </c>
      <c r="D2992" s="500" t="s">
        <v>763</v>
      </c>
      <c r="E2992" s="501">
        <v>-5377581174.4899998</v>
      </c>
      <c r="F2992" s="502" t="s">
        <v>878</v>
      </c>
      <c r="G2992" s="100" t="s">
        <v>678</v>
      </c>
      <c r="H2992" s="530"/>
      <c r="I2992" s="525"/>
      <c r="K2992" s="548"/>
      <c r="L2992" s="548"/>
      <c r="M2992" s="548"/>
      <c r="N2992" s="552"/>
      <c r="Y2992" s="551"/>
    </row>
    <row r="2993" spans="1:25">
      <c r="A2993" s="499">
        <v>45576</v>
      </c>
      <c r="B2993" s="499">
        <v>45576</v>
      </c>
      <c r="C2993" s="500" t="s">
        <v>173</v>
      </c>
      <c r="D2993" s="500" t="s">
        <v>763</v>
      </c>
      <c r="E2993" s="501">
        <v>-19005403.309999999</v>
      </c>
      <c r="F2993" s="502" t="s">
        <v>878</v>
      </c>
      <c r="G2993" s="100" t="s">
        <v>633</v>
      </c>
      <c r="H2993" s="530"/>
      <c r="I2993" s="525"/>
      <c r="K2993" s="548"/>
      <c r="L2993" s="548"/>
      <c r="M2993" s="548"/>
      <c r="N2993" s="552"/>
      <c r="Y2993" s="551"/>
    </row>
    <row r="2994" spans="1:25">
      <c r="A2994" s="499">
        <v>45576</v>
      </c>
      <c r="B2994" s="499">
        <v>45579</v>
      </c>
      <c r="C2994" s="500" t="s">
        <v>173</v>
      </c>
      <c r="D2994" s="500" t="s">
        <v>763</v>
      </c>
      <c r="E2994" s="501">
        <v>5383421580.2700005</v>
      </c>
      <c r="F2994" s="502" t="s">
        <v>878</v>
      </c>
      <c r="G2994" s="100" t="s">
        <v>678</v>
      </c>
      <c r="H2994" s="484">
        <v>114337198</v>
      </c>
      <c r="I2994" s="525"/>
      <c r="K2994" s="548"/>
      <c r="L2994" s="548"/>
      <c r="M2994" s="548"/>
      <c r="N2994" s="552"/>
      <c r="Y2994" s="551"/>
    </row>
    <row r="2995" spans="1:25">
      <c r="A2995" s="499">
        <v>45576</v>
      </c>
      <c r="B2995" s="499">
        <v>45579</v>
      </c>
      <c r="C2995" s="500" t="s">
        <v>173</v>
      </c>
      <c r="D2995" s="500" t="s">
        <v>763</v>
      </c>
      <c r="E2995" s="501">
        <v>19026591.219999999</v>
      </c>
      <c r="F2995" s="502" t="s">
        <v>878</v>
      </c>
      <c r="G2995" s="100" t="s">
        <v>633</v>
      </c>
      <c r="H2995" s="484">
        <v>114337566</v>
      </c>
      <c r="I2995" s="525"/>
      <c r="K2995" s="548"/>
      <c r="L2995" s="548"/>
      <c r="M2995" s="548"/>
      <c r="N2995" s="552"/>
      <c r="Y2995" s="551"/>
    </row>
    <row r="2996" spans="1:25">
      <c r="A2996" s="499">
        <v>45579</v>
      </c>
      <c r="B2996" s="499">
        <v>45579</v>
      </c>
      <c r="C2996" s="500" t="s">
        <v>173</v>
      </c>
      <c r="D2996" s="500" t="s">
        <v>762</v>
      </c>
      <c r="E2996" s="501">
        <v>-6218416636.71</v>
      </c>
      <c r="F2996" s="502" t="s">
        <v>878</v>
      </c>
      <c r="G2996" s="100" t="s">
        <v>709</v>
      </c>
      <c r="H2996" s="530"/>
      <c r="I2996" s="525"/>
      <c r="K2996" s="548"/>
      <c r="L2996" s="548"/>
      <c r="M2996" s="548"/>
      <c r="N2996" s="552"/>
      <c r="Y2996" s="551"/>
    </row>
    <row r="2997" spans="1:25">
      <c r="A2997" s="499">
        <v>45579</v>
      </c>
      <c r="B2997" s="499">
        <v>45579</v>
      </c>
      <c r="C2997" s="500" t="s">
        <v>173</v>
      </c>
      <c r="D2997" s="500" t="s">
        <v>762</v>
      </c>
      <c r="E2997" s="501">
        <v>-25005696.629999999</v>
      </c>
      <c r="F2997" s="502" t="s">
        <v>878</v>
      </c>
      <c r="G2997" s="100" t="s">
        <v>709</v>
      </c>
      <c r="H2997" s="530"/>
      <c r="I2997" s="525"/>
      <c r="K2997" s="548"/>
      <c r="L2997" s="548"/>
      <c r="M2997" s="548"/>
      <c r="N2997" s="552"/>
      <c r="Y2997" s="551"/>
    </row>
    <row r="2998" spans="1:25">
      <c r="A2998" s="499">
        <v>45579</v>
      </c>
      <c r="B2998" s="499">
        <v>45580</v>
      </c>
      <c r="C2998" s="500" t="s">
        <v>173</v>
      </c>
      <c r="D2998" s="500" t="s">
        <v>762</v>
      </c>
      <c r="E2998" s="501">
        <v>6220778275.8199997</v>
      </c>
      <c r="F2998" s="502" t="s">
        <v>878</v>
      </c>
      <c r="G2998" s="100" t="s">
        <v>709</v>
      </c>
      <c r="H2998" s="484">
        <v>114353639</v>
      </c>
      <c r="I2998" s="525"/>
      <c r="K2998" s="548"/>
      <c r="L2998" s="548"/>
      <c r="M2998" s="548"/>
      <c r="N2998" s="552"/>
      <c r="Y2998" s="551"/>
    </row>
    <row r="2999" spans="1:25">
      <c r="A2999" s="499">
        <v>45579</v>
      </c>
      <c r="B2999" s="499">
        <v>45580</v>
      </c>
      <c r="C2999" s="500" t="s">
        <v>173</v>
      </c>
      <c r="D2999" s="500" t="s">
        <v>762</v>
      </c>
      <c r="E2999" s="501">
        <v>25015193.329999998</v>
      </c>
      <c r="F2999" s="502" t="s">
        <v>878</v>
      </c>
      <c r="G2999" s="100" t="s">
        <v>709</v>
      </c>
      <c r="H2999" s="484">
        <v>114353648</v>
      </c>
      <c r="I2999" s="525"/>
      <c r="K2999" s="548"/>
      <c r="L2999" s="548"/>
      <c r="M2999" s="548"/>
      <c r="N2999" s="552"/>
      <c r="Y2999" s="551"/>
    </row>
    <row r="3000" spans="1:25">
      <c r="A3000" s="499">
        <v>45579</v>
      </c>
      <c r="B3000" s="499">
        <v>45579</v>
      </c>
      <c r="C3000" s="500" t="s">
        <v>173</v>
      </c>
      <c r="D3000" s="500" t="s">
        <v>761</v>
      </c>
      <c r="E3000" s="501">
        <v>-2507437151.6100001</v>
      </c>
      <c r="F3000" s="502" t="s">
        <v>878</v>
      </c>
      <c r="G3000" s="100" t="s">
        <v>633</v>
      </c>
      <c r="H3000" s="530"/>
      <c r="I3000" s="525"/>
      <c r="K3000" s="548"/>
      <c r="L3000" s="548"/>
      <c r="M3000" s="548"/>
      <c r="N3000" s="552"/>
      <c r="Y3000" s="551"/>
    </row>
    <row r="3001" spans="1:25">
      <c r="A3001" s="499">
        <v>45579</v>
      </c>
      <c r="B3001" s="499">
        <v>45579</v>
      </c>
      <c r="C3001" s="500" t="s">
        <v>173</v>
      </c>
      <c r="D3001" s="500" t="s">
        <v>761</v>
      </c>
      <c r="E3001" s="501">
        <v>-10000314.02</v>
      </c>
      <c r="F3001" s="502" t="s">
        <v>878</v>
      </c>
      <c r="G3001" s="100" t="s">
        <v>644</v>
      </c>
      <c r="H3001" s="530"/>
      <c r="I3001" s="525"/>
      <c r="K3001" s="548"/>
      <c r="L3001" s="548"/>
      <c r="M3001" s="548"/>
      <c r="N3001" s="552"/>
      <c r="Y3001" s="551"/>
    </row>
    <row r="3002" spans="1:25">
      <c r="A3002" s="499">
        <v>45579</v>
      </c>
      <c r="B3002" s="499">
        <v>45580</v>
      </c>
      <c r="C3002" s="500" t="s">
        <v>173</v>
      </c>
      <c r="D3002" s="500" t="s">
        <v>761</v>
      </c>
      <c r="E3002" s="501">
        <v>2508392170.02</v>
      </c>
      <c r="F3002" s="502" t="s">
        <v>878</v>
      </c>
      <c r="G3002" s="100" t="s">
        <v>633</v>
      </c>
      <c r="H3002" s="484">
        <v>114351445</v>
      </c>
      <c r="I3002" s="525"/>
      <c r="K3002" s="548"/>
      <c r="L3002" s="548"/>
      <c r="M3002" s="548"/>
      <c r="N3002" s="552"/>
      <c r="Y3002" s="551"/>
    </row>
    <row r="3003" spans="1:25">
      <c r="A3003" s="499">
        <v>45579</v>
      </c>
      <c r="B3003" s="499">
        <v>45580</v>
      </c>
      <c r="C3003" s="500" t="s">
        <v>173</v>
      </c>
      <c r="D3003" s="500" t="s">
        <v>761</v>
      </c>
      <c r="E3003" s="501">
        <v>10004125.619999999</v>
      </c>
      <c r="F3003" s="502" t="s">
        <v>878</v>
      </c>
      <c r="G3003" s="100" t="s">
        <v>644</v>
      </c>
      <c r="H3003" s="484">
        <v>114351544</v>
      </c>
      <c r="I3003" s="525"/>
      <c r="K3003" s="548"/>
      <c r="L3003" s="548"/>
      <c r="M3003" s="548"/>
      <c r="N3003" s="552"/>
      <c r="Y3003" s="551"/>
    </row>
    <row r="3004" spans="1:25">
      <c r="A3004" s="499">
        <v>45579</v>
      </c>
      <c r="B3004" s="499">
        <v>45579</v>
      </c>
      <c r="C3004" s="500" t="s">
        <v>173</v>
      </c>
      <c r="D3004" s="500" t="s">
        <v>759</v>
      </c>
      <c r="E3004" s="501">
        <v>-2009164660.0799999</v>
      </c>
      <c r="F3004" s="502" t="s">
        <v>878</v>
      </c>
      <c r="G3004" s="100" t="s">
        <v>657</v>
      </c>
      <c r="H3004" s="530"/>
      <c r="I3004" s="525"/>
      <c r="K3004" s="548"/>
      <c r="L3004" s="548"/>
      <c r="M3004" s="548"/>
      <c r="N3004" s="552"/>
      <c r="Y3004" s="551"/>
    </row>
    <row r="3005" spans="1:25">
      <c r="A3005" s="499">
        <v>45579</v>
      </c>
      <c r="B3005" s="499">
        <v>45579</v>
      </c>
      <c r="C3005" s="500" t="s">
        <v>173</v>
      </c>
      <c r="D3005" s="500" t="s">
        <v>759</v>
      </c>
      <c r="E3005" s="501">
        <v>-8000342.1799999997</v>
      </c>
      <c r="F3005" s="502" t="s">
        <v>878</v>
      </c>
      <c r="G3005" s="100" t="s">
        <v>686</v>
      </c>
      <c r="H3005" s="530"/>
      <c r="I3005" s="525"/>
      <c r="K3005" s="548"/>
      <c r="L3005" s="548"/>
      <c r="M3005" s="548"/>
      <c r="N3005" s="552"/>
      <c r="Y3005" s="551"/>
    </row>
    <row r="3006" spans="1:25">
      <c r="A3006" s="499">
        <v>45579</v>
      </c>
      <c r="B3006" s="499">
        <v>45580</v>
      </c>
      <c r="C3006" s="500" t="s">
        <v>173</v>
      </c>
      <c r="D3006" s="500" t="s">
        <v>759</v>
      </c>
      <c r="E3006" s="501">
        <v>2009927698</v>
      </c>
      <c r="F3006" s="502" t="s">
        <v>878</v>
      </c>
      <c r="G3006" s="100" t="s">
        <v>657</v>
      </c>
      <c r="H3006" s="484">
        <v>114353563</v>
      </c>
      <c r="I3006" s="525"/>
      <c r="K3006" s="548"/>
      <c r="L3006" s="548"/>
      <c r="M3006" s="548"/>
      <c r="N3006" s="552"/>
      <c r="Y3006" s="551"/>
    </row>
    <row r="3007" spans="1:25">
      <c r="A3007" s="499">
        <v>45579</v>
      </c>
      <c r="B3007" s="499">
        <v>45580</v>
      </c>
      <c r="C3007" s="500" t="s">
        <v>173</v>
      </c>
      <c r="D3007" s="500" t="s">
        <v>759</v>
      </c>
      <c r="E3007" s="501">
        <v>8003282.2000000002</v>
      </c>
      <c r="F3007" s="502" t="s">
        <v>878</v>
      </c>
      <c r="G3007" s="100" t="s">
        <v>686</v>
      </c>
      <c r="H3007" s="484">
        <v>114356819</v>
      </c>
      <c r="I3007" s="525"/>
      <c r="K3007" s="548"/>
      <c r="L3007" s="548"/>
      <c r="M3007" s="548"/>
      <c r="N3007" s="552"/>
      <c r="Y3007" s="551"/>
    </row>
    <row r="3008" spans="1:25">
      <c r="A3008" s="499">
        <v>45579</v>
      </c>
      <c r="B3008" s="499">
        <v>45579</v>
      </c>
      <c r="C3008" s="500" t="s">
        <v>173</v>
      </c>
      <c r="D3008" s="500" t="s">
        <v>760</v>
      </c>
      <c r="E3008" s="501">
        <v>-1245325271.1900001</v>
      </c>
      <c r="F3008" s="502" t="s">
        <v>878</v>
      </c>
      <c r="G3008" s="100" t="s">
        <v>427</v>
      </c>
      <c r="H3008" s="530"/>
      <c r="I3008" s="525"/>
      <c r="K3008" s="548"/>
      <c r="L3008" s="548"/>
      <c r="M3008" s="548"/>
      <c r="N3008" s="552"/>
      <c r="Y3008" s="551"/>
    </row>
    <row r="3009" spans="1:25">
      <c r="A3009" s="499">
        <v>45579</v>
      </c>
      <c r="B3009" s="499">
        <v>45579</v>
      </c>
      <c r="C3009" s="500" t="s">
        <v>173</v>
      </c>
      <c r="D3009" s="500" t="s">
        <v>760</v>
      </c>
      <c r="E3009" s="501">
        <v>-29011934.539999999</v>
      </c>
      <c r="F3009" s="502" t="s">
        <v>878</v>
      </c>
      <c r="G3009" s="100" t="s">
        <v>513</v>
      </c>
      <c r="H3009" s="530"/>
      <c r="I3009" s="525"/>
      <c r="K3009" s="548"/>
      <c r="L3009" s="548"/>
      <c r="M3009" s="548"/>
      <c r="N3009" s="552"/>
      <c r="Y3009" s="551"/>
    </row>
    <row r="3010" spans="1:25">
      <c r="A3010" s="499">
        <v>45579</v>
      </c>
      <c r="B3010" s="499">
        <v>45580</v>
      </c>
      <c r="C3010" s="500" t="s">
        <v>173</v>
      </c>
      <c r="D3010" s="500" t="s">
        <v>760</v>
      </c>
      <c r="E3010" s="501">
        <v>1245798215.79</v>
      </c>
      <c r="F3010" s="502" t="s">
        <v>878</v>
      </c>
      <c r="G3010" s="100" t="s">
        <v>427</v>
      </c>
      <c r="H3010" s="484" t="s">
        <v>1000</v>
      </c>
      <c r="I3010" s="525"/>
      <c r="K3010" s="548"/>
      <c r="L3010" s="548"/>
      <c r="M3010" s="548"/>
      <c r="N3010" s="552"/>
      <c r="Y3010" s="551"/>
    </row>
    <row r="3011" spans="1:25">
      <c r="A3011" s="499">
        <v>45579</v>
      </c>
      <c r="B3011" s="499">
        <v>45580</v>
      </c>
      <c r="C3011" s="500" t="s">
        <v>173</v>
      </c>
      <c r="D3011" s="500" t="s">
        <v>760</v>
      </c>
      <c r="E3011" s="501">
        <v>29022952.73</v>
      </c>
      <c r="F3011" s="502" t="s">
        <v>878</v>
      </c>
      <c r="G3011" s="100" t="s">
        <v>513</v>
      </c>
      <c r="H3011" s="484" t="s">
        <v>1001</v>
      </c>
      <c r="I3011" s="525"/>
      <c r="K3011" s="548"/>
      <c r="L3011" s="548"/>
      <c r="M3011" s="548"/>
      <c r="N3011" s="552"/>
      <c r="Y3011" s="551"/>
    </row>
    <row r="3012" spans="1:25">
      <c r="A3012" s="499">
        <v>45579</v>
      </c>
      <c r="B3012" s="499">
        <v>45579</v>
      </c>
      <c r="C3012" s="500" t="s">
        <v>173</v>
      </c>
      <c r="D3012" s="500" t="s">
        <v>764</v>
      </c>
      <c r="E3012" s="501">
        <v>-3449260461.5799999</v>
      </c>
      <c r="F3012" s="502" t="s">
        <v>878</v>
      </c>
      <c r="G3012" s="100" t="s">
        <v>646</v>
      </c>
      <c r="H3012" s="530"/>
      <c r="I3012" s="525"/>
      <c r="K3012" s="548"/>
      <c r="L3012" s="548"/>
      <c r="M3012" s="548"/>
      <c r="N3012" s="552"/>
      <c r="Y3012" s="551"/>
    </row>
    <row r="3013" spans="1:25">
      <c r="A3013" s="499">
        <v>45579</v>
      </c>
      <c r="B3013" s="499">
        <v>45579</v>
      </c>
      <c r="C3013" s="500" t="s">
        <v>173</v>
      </c>
      <c r="D3013" s="500" t="s">
        <v>764</v>
      </c>
      <c r="E3013" s="501">
        <v>-14013686.4</v>
      </c>
      <c r="F3013" s="502" t="s">
        <v>878</v>
      </c>
      <c r="G3013" s="100" t="s">
        <v>656</v>
      </c>
      <c r="H3013" s="530"/>
      <c r="I3013" s="525"/>
      <c r="K3013" s="548"/>
      <c r="L3013" s="548"/>
      <c r="M3013" s="548"/>
      <c r="N3013" s="552"/>
      <c r="Y3013" s="551"/>
    </row>
    <row r="3014" spans="1:25">
      <c r="A3014" s="499">
        <v>45579</v>
      </c>
      <c r="B3014" s="499">
        <v>45580</v>
      </c>
      <c r="C3014" s="500" t="s">
        <v>173</v>
      </c>
      <c r="D3014" s="500" t="s">
        <v>764</v>
      </c>
      <c r="E3014" s="501">
        <v>3450579850.8299999</v>
      </c>
      <c r="F3014" s="502" t="s">
        <v>878</v>
      </c>
      <c r="G3014" s="100" t="s">
        <v>646</v>
      </c>
      <c r="H3014" s="484">
        <v>114351766</v>
      </c>
      <c r="I3014" s="525"/>
      <c r="K3014" s="548"/>
      <c r="L3014" s="548"/>
      <c r="M3014" s="548"/>
      <c r="N3014" s="552"/>
      <c r="Y3014" s="551"/>
    </row>
    <row r="3015" spans="1:25">
      <c r="A3015" s="499">
        <v>45579</v>
      </c>
      <c r="B3015" s="499">
        <v>45580</v>
      </c>
      <c r="C3015" s="500" t="s">
        <v>173</v>
      </c>
      <c r="D3015" s="500" t="s">
        <v>764</v>
      </c>
      <c r="E3015" s="501">
        <v>14018993.41</v>
      </c>
      <c r="F3015" s="502" t="s">
        <v>878</v>
      </c>
      <c r="G3015" s="100" t="s">
        <v>656</v>
      </c>
      <c r="H3015" s="484">
        <v>114354715</v>
      </c>
      <c r="I3015" s="525"/>
      <c r="K3015" s="548"/>
      <c r="L3015" s="548"/>
      <c r="M3015" s="548"/>
      <c r="N3015" s="552"/>
      <c r="Y3015" s="551"/>
    </row>
    <row r="3016" spans="1:25">
      <c r="A3016" s="499">
        <v>45579</v>
      </c>
      <c r="B3016" s="499">
        <v>45579</v>
      </c>
      <c r="C3016" s="500" t="s">
        <v>173</v>
      </c>
      <c r="D3016" s="500" t="s">
        <v>763</v>
      </c>
      <c r="E3016" s="501">
        <v>-5380168942.7600002</v>
      </c>
      <c r="F3016" s="502" t="s">
        <v>878</v>
      </c>
      <c r="G3016" s="100" t="s">
        <v>644</v>
      </c>
      <c r="H3016" s="530"/>
      <c r="I3016" s="525"/>
      <c r="K3016" s="548"/>
      <c r="L3016" s="548"/>
      <c r="M3016" s="548"/>
      <c r="N3016" s="552"/>
      <c r="Y3016" s="551"/>
    </row>
    <row r="3017" spans="1:25">
      <c r="A3017" s="499">
        <v>45579</v>
      </c>
      <c r="B3017" s="499">
        <v>45579</v>
      </c>
      <c r="C3017" s="500" t="s">
        <v>173</v>
      </c>
      <c r="D3017" s="500" t="s">
        <v>763</v>
      </c>
      <c r="E3017" s="501">
        <v>-23000983.760000002</v>
      </c>
      <c r="F3017" s="502" t="s">
        <v>878</v>
      </c>
      <c r="G3017" s="100" t="s">
        <v>686</v>
      </c>
      <c r="H3017" s="530"/>
      <c r="I3017" s="525"/>
      <c r="K3017" s="548"/>
      <c r="L3017" s="548"/>
      <c r="M3017" s="548"/>
      <c r="N3017" s="552"/>
      <c r="Y3017" s="551"/>
    </row>
    <row r="3018" spans="1:25">
      <c r="A3018" s="499">
        <v>45579</v>
      </c>
      <c r="B3018" s="499">
        <v>45580</v>
      </c>
      <c r="C3018" s="500" t="s">
        <v>173</v>
      </c>
      <c r="D3018" s="500" t="s">
        <v>763</v>
      </c>
      <c r="E3018" s="501">
        <v>5382116681.5200005</v>
      </c>
      <c r="F3018" s="502" t="s">
        <v>878</v>
      </c>
      <c r="G3018" s="100" t="s">
        <v>644</v>
      </c>
      <c r="H3018" s="484">
        <v>114350816</v>
      </c>
      <c r="I3018" s="525"/>
      <c r="K3018" s="548"/>
      <c r="L3018" s="548"/>
      <c r="M3018" s="548"/>
      <c r="N3018" s="552"/>
      <c r="Y3018" s="551"/>
    </row>
    <row r="3019" spans="1:25">
      <c r="A3019" s="499">
        <v>45579</v>
      </c>
      <c r="B3019" s="499">
        <v>45580</v>
      </c>
      <c r="C3019" s="500" t="s">
        <v>173</v>
      </c>
      <c r="D3019" s="500" t="s">
        <v>763</v>
      </c>
      <c r="E3019" s="501">
        <v>23009543.140000001</v>
      </c>
      <c r="F3019" s="502" t="s">
        <v>878</v>
      </c>
      <c r="G3019" s="100" t="s">
        <v>686</v>
      </c>
      <c r="H3019" s="484">
        <v>114351100</v>
      </c>
      <c r="I3019" s="525"/>
      <c r="K3019" s="548"/>
      <c r="L3019" s="548"/>
      <c r="M3019" s="548"/>
      <c r="N3019" s="552"/>
      <c r="Y3019" s="551"/>
    </row>
    <row r="3020" spans="1:25">
      <c r="A3020" s="499">
        <v>45580</v>
      </c>
      <c r="B3020" s="499">
        <v>45580</v>
      </c>
      <c r="C3020" s="500" t="s">
        <v>173</v>
      </c>
      <c r="D3020" s="500" t="s">
        <v>762</v>
      </c>
      <c r="E3020" s="501">
        <v>-405290502.44999999</v>
      </c>
      <c r="F3020" s="502" t="s">
        <v>878</v>
      </c>
      <c r="G3020" s="100" t="s">
        <v>678</v>
      </c>
      <c r="H3020" s="530"/>
      <c r="I3020" s="525"/>
      <c r="K3020" s="548"/>
      <c r="L3020" s="548"/>
      <c r="M3020" s="548"/>
      <c r="N3020" s="552"/>
      <c r="Y3020" s="551"/>
    </row>
    <row r="3021" spans="1:25">
      <c r="A3021" s="499">
        <v>45580</v>
      </c>
      <c r="B3021" s="499">
        <v>45580</v>
      </c>
      <c r="C3021" s="500" t="s">
        <v>173</v>
      </c>
      <c r="D3021" s="500" t="s">
        <v>762</v>
      </c>
      <c r="E3021" s="501">
        <v>-26018649.539999999</v>
      </c>
      <c r="F3021" s="502" t="s">
        <v>878</v>
      </c>
      <c r="G3021" s="100" t="s">
        <v>678</v>
      </c>
      <c r="H3021" s="530"/>
      <c r="I3021" s="525"/>
      <c r="K3021" s="548"/>
      <c r="L3021" s="548"/>
      <c r="M3021" s="548"/>
      <c r="N3021" s="552"/>
      <c r="Y3021" s="551"/>
    </row>
    <row r="3022" spans="1:25">
      <c r="A3022" s="499">
        <v>45580</v>
      </c>
      <c r="B3022" s="499">
        <v>45580</v>
      </c>
      <c r="C3022" s="500" t="s">
        <v>173</v>
      </c>
      <c r="D3022" s="500" t="s">
        <v>762</v>
      </c>
      <c r="E3022" s="501">
        <v>-5000425884.5</v>
      </c>
      <c r="F3022" s="502" t="s">
        <v>878</v>
      </c>
      <c r="G3022" s="100" t="s">
        <v>644</v>
      </c>
      <c r="H3022" s="530"/>
      <c r="I3022" s="525"/>
      <c r="K3022" s="548"/>
      <c r="L3022" s="548"/>
      <c r="M3022" s="548"/>
      <c r="N3022" s="552"/>
      <c r="Y3022" s="551"/>
    </row>
    <row r="3023" spans="1:25">
      <c r="A3023" s="499">
        <v>45580</v>
      </c>
      <c r="B3023" s="499">
        <v>45580</v>
      </c>
      <c r="C3023" s="500" t="s">
        <v>173</v>
      </c>
      <c r="D3023" s="500" t="s">
        <v>762</v>
      </c>
      <c r="E3023" s="501">
        <v>-813282667.09000003</v>
      </c>
      <c r="F3023" s="502" t="s">
        <v>878</v>
      </c>
      <c r="G3023" s="100" t="s">
        <v>829</v>
      </c>
      <c r="H3023" s="530"/>
      <c r="I3023" s="525"/>
      <c r="K3023" s="548"/>
      <c r="L3023" s="548"/>
      <c r="M3023" s="548"/>
      <c r="N3023" s="552">
        <v>-1</v>
      </c>
      <c r="Y3023" s="551"/>
    </row>
    <row r="3024" spans="1:25">
      <c r="A3024" s="499">
        <v>45580</v>
      </c>
      <c r="B3024" s="499">
        <v>45581</v>
      </c>
      <c r="C3024" s="500" t="s">
        <v>173</v>
      </c>
      <c r="D3024" s="500" t="s">
        <v>762</v>
      </c>
      <c r="E3024" s="501">
        <v>405443538.37</v>
      </c>
      <c r="F3024" s="502" t="s">
        <v>878</v>
      </c>
      <c r="G3024" s="100" t="s">
        <v>678</v>
      </c>
      <c r="H3024" s="484">
        <v>114368981</v>
      </c>
      <c r="I3024" s="525"/>
      <c r="K3024" s="548"/>
      <c r="L3024" s="548"/>
      <c r="M3024" s="548"/>
      <c r="N3024" s="552"/>
      <c r="Y3024" s="551"/>
    </row>
    <row r="3025" spans="1:25">
      <c r="A3025" s="499">
        <v>45580</v>
      </c>
      <c r="B3025" s="499">
        <v>45581</v>
      </c>
      <c r="C3025" s="500" t="s">
        <v>173</v>
      </c>
      <c r="D3025" s="500" t="s">
        <v>762</v>
      </c>
      <c r="E3025" s="501">
        <v>26028459.989999998</v>
      </c>
      <c r="F3025" s="502" t="s">
        <v>878</v>
      </c>
      <c r="G3025" s="100" t="s">
        <v>678</v>
      </c>
      <c r="H3025" s="484">
        <v>114369169</v>
      </c>
      <c r="I3025" s="525"/>
      <c r="K3025" s="548"/>
      <c r="L3025" s="548"/>
      <c r="M3025" s="548"/>
      <c r="N3025" s="552"/>
      <c r="Y3025" s="551"/>
    </row>
    <row r="3026" spans="1:25">
      <c r="A3026" s="499">
        <v>45580</v>
      </c>
      <c r="B3026" s="499">
        <v>45581</v>
      </c>
      <c r="C3026" s="500" t="s">
        <v>173</v>
      </c>
      <c r="D3026" s="500" t="s">
        <v>762</v>
      </c>
      <c r="E3026" s="501">
        <v>5002311304.6400003</v>
      </c>
      <c r="F3026" s="502" t="s">
        <v>878</v>
      </c>
      <c r="G3026" s="100" t="s">
        <v>644</v>
      </c>
      <c r="H3026" s="484">
        <v>114368984</v>
      </c>
      <c r="I3026" s="525"/>
      <c r="K3026" s="548"/>
      <c r="L3026" s="548"/>
      <c r="M3026" s="548"/>
      <c r="N3026" s="552"/>
      <c r="Y3026" s="551"/>
    </row>
    <row r="3027" spans="1:25">
      <c r="A3027" s="499">
        <v>45580</v>
      </c>
      <c r="B3027" s="499">
        <v>45581</v>
      </c>
      <c r="C3027" s="500" t="s">
        <v>173</v>
      </c>
      <c r="D3027" s="500" t="s">
        <v>762</v>
      </c>
      <c r="E3027" s="501">
        <v>813589314.64999998</v>
      </c>
      <c r="F3027" s="502" t="s">
        <v>878</v>
      </c>
      <c r="G3027" s="100" t="s">
        <v>829</v>
      </c>
      <c r="H3027" s="484">
        <v>114368987</v>
      </c>
      <c r="I3027" s="525"/>
      <c r="K3027" s="548"/>
      <c r="L3027" s="548"/>
      <c r="M3027" s="548"/>
      <c r="N3027" s="552"/>
      <c r="Y3027" s="551"/>
    </row>
    <row r="3028" spans="1:25">
      <c r="A3028" s="499">
        <v>45580</v>
      </c>
      <c r="B3028" s="499">
        <v>45580</v>
      </c>
      <c r="C3028" s="500" t="s">
        <v>173</v>
      </c>
      <c r="D3028" s="500" t="s">
        <v>761</v>
      </c>
      <c r="E3028" s="501">
        <v>-2508609892.9299998</v>
      </c>
      <c r="F3028" s="502" t="s">
        <v>878</v>
      </c>
      <c r="G3028" s="100" t="s">
        <v>805</v>
      </c>
      <c r="H3028" s="530"/>
      <c r="I3028" s="525"/>
      <c r="K3028" s="548"/>
      <c r="L3028" s="548"/>
      <c r="M3028" s="548"/>
      <c r="N3028" s="552"/>
      <c r="Y3028" s="551"/>
    </row>
    <row r="3029" spans="1:25">
      <c r="A3029" s="499">
        <v>45580</v>
      </c>
      <c r="B3029" s="499">
        <v>45580</v>
      </c>
      <c r="C3029" s="500" t="s">
        <v>173</v>
      </c>
      <c r="D3029" s="500" t="s">
        <v>761</v>
      </c>
      <c r="E3029" s="501">
        <v>-10000851.77</v>
      </c>
      <c r="F3029" s="502" t="s">
        <v>878</v>
      </c>
      <c r="G3029" s="100" t="s">
        <v>644</v>
      </c>
      <c r="H3029" s="530"/>
      <c r="I3029" s="525"/>
      <c r="K3029" s="548"/>
      <c r="L3029" s="548"/>
      <c r="M3029" s="548"/>
      <c r="N3029" s="552"/>
      <c r="Y3029" s="551"/>
    </row>
    <row r="3030" spans="1:25">
      <c r="A3030" s="499">
        <v>45580</v>
      </c>
      <c r="B3030" s="499">
        <v>45581</v>
      </c>
      <c r="C3030" s="500" t="s">
        <v>173</v>
      </c>
      <c r="D3030" s="500" t="s">
        <v>761</v>
      </c>
      <c r="E3030" s="501">
        <v>2509558503.8800001</v>
      </c>
      <c r="F3030" s="502" t="s">
        <v>878</v>
      </c>
      <c r="G3030" s="100" t="s">
        <v>805</v>
      </c>
      <c r="H3030" s="484">
        <v>114369418</v>
      </c>
      <c r="I3030" s="525"/>
      <c r="K3030" s="548"/>
      <c r="L3030" s="548"/>
      <c r="M3030" s="548"/>
      <c r="N3030" s="552"/>
      <c r="Y3030" s="551"/>
    </row>
    <row r="3031" spans="1:25">
      <c r="A3031" s="499">
        <v>45580</v>
      </c>
      <c r="B3031" s="499">
        <v>45581</v>
      </c>
      <c r="C3031" s="500" t="s">
        <v>173</v>
      </c>
      <c r="D3031" s="500" t="s">
        <v>761</v>
      </c>
      <c r="E3031" s="501">
        <v>10004647.18</v>
      </c>
      <c r="F3031" s="502" t="s">
        <v>878</v>
      </c>
      <c r="G3031" s="100" t="s">
        <v>644</v>
      </c>
      <c r="H3031" s="484">
        <v>114371578</v>
      </c>
      <c r="I3031" s="525"/>
      <c r="K3031" s="548"/>
      <c r="L3031" s="548"/>
      <c r="M3031" s="548"/>
      <c r="N3031" s="552"/>
      <c r="Y3031" s="551"/>
    </row>
    <row r="3032" spans="1:25">
      <c r="A3032" s="499">
        <v>45580</v>
      </c>
      <c r="B3032" s="499">
        <v>45580</v>
      </c>
      <c r="C3032" s="500" t="s">
        <v>173</v>
      </c>
      <c r="D3032" s="500" t="s">
        <v>759</v>
      </c>
      <c r="E3032" s="501">
        <v>-2009939986.99</v>
      </c>
      <c r="F3032" s="502" t="s">
        <v>878</v>
      </c>
      <c r="G3032" s="100" t="s">
        <v>1002</v>
      </c>
      <c r="H3032" s="530"/>
      <c r="I3032" s="525"/>
      <c r="K3032" s="548"/>
      <c r="L3032" s="548"/>
      <c r="M3032" s="548"/>
      <c r="N3032" s="552"/>
      <c r="Y3032" s="551"/>
    </row>
    <row r="3033" spans="1:25">
      <c r="A3033" s="499">
        <v>45580</v>
      </c>
      <c r="B3033" s="499">
        <v>45580</v>
      </c>
      <c r="C3033" s="500" t="s">
        <v>173</v>
      </c>
      <c r="D3033" s="500" t="s">
        <v>759</v>
      </c>
      <c r="E3033" s="501">
        <v>-7003275.2199999997</v>
      </c>
      <c r="F3033" s="502" t="s">
        <v>878</v>
      </c>
      <c r="G3033" s="100" t="s">
        <v>1002</v>
      </c>
      <c r="H3033" s="530"/>
      <c r="I3033" s="525"/>
      <c r="K3033" s="548"/>
      <c r="L3033" s="548"/>
      <c r="M3033" s="548"/>
      <c r="N3033" s="552"/>
      <c r="Y3033" s="551"/>
    </row>
    <row r="3034" spans="1:25">
      <c r="A3034" s="499">
        <v>45580</v>
      </c>
      <c r="B3034" s="499">
        <v>45581</v>
      </c>
      <c r="C3034" s="500" t="s">
        <v>173</v>
      </c>
      <c r="D3034" s="500" t="s">
        <v>759</v>
      </c>
      <c r="E3034" s="501">
        <v>2010697833.21</v>
      </c>
      <c r="F3034" s="502" t="s">
        <v>878</v>
      </c>
      <c r="G3034" s="100" t="s">
        <v>1002</v>
      </c>
      <c r="H3034" s="100">
        <v>114368198</v>
      </c>
      <c r="I3034" s="525"/>
      <c r="K3034" s="548"/>
      <c r="L3034" s="548"/>
      <c r="M3034" s="548"/>
      <c r="N3034" s="552"/>
      <c r="Y3034" s="551"/>
    </row>
    <row r="3035" spans="1:25">
      <c r="A3035" s="499">
        <v>45580</v>
      </c>
      <c r="B3035" s="499">
        <v>45581</v>
      </c>
      <c r="C3035" s="500" t="s">
        <v>173</v>
      </c>
      <c r="D3035" s="500" t="s">
        <v>759</v>
      </c>
      <c r="E3035" s="501">
        <v>7005915.7999999998</v>
      </c>
      <c r="F3035" s="502" t="s">
        <v>878</v>
      </c>
      <c r="G3035" s="100" t="s">
        <v>1002</v>
      </c>
      <c r="H3035" s="100">
        <v>114368214</v>
      </c>
      <c r="I3035" s="525"/>
      <c r="K3035" s="548"/>
      <c r="L3035" s="548"/>
      <c r="M3035" s="548"/>
      <c r="N3035" s="552"/>
      <c r="Y3035" s="551"/>
    </row>
    <row r="3036" spans="1:25">
      <c r="A3036" s="499">
        <v>45580</v>
      </c>
      <c r="B3036" s="499">
        <v>45580</v>
      </c>
      <c r="C3036" s="500" t="s">
        <v>173</v>
      </c>
      <c r="D3036" s="500" t="s">
        <v>760</v>
      </c>
      <c r="E3036" s="501">
        <v>-1245578419.28</v>
      </c>
      <c r="F3036" s="502" t="s">
        <v>878</v>
      </c>
      <c r="G3036" s="100" t="s">
        <v>634</v>
      </c>
      <c r="H3036" s="530"/>
      <c r="I3036" s="525"/>
      <c r="K3036" s="548"/>
      <c r="L3036" s="548"/>
      <c r="M3036" s="548"/>
      <c r="N3036" s="552"/>
      <c r="Y3036" s="551"/>
    </row>
    <row r="3037" spans="1:25">
      <c r="A3037" s="499">
        <v>45580</v>
      </c>
      <c r="B3037" s="499">
        <v>45580</v>
      </c>
      <c r="C3037" s="500" t="s">
        <v>173</v>
      </c>
      <c r="D3037" s="500" t="s">
        <v>760</v>
      </c>
      <c r="E3037" s="501">
        <v>-29011359.300000001</v>
      </c>
      <c r="F3037" s="502" t="s">
        <v>878</v>
      </c>
      <c r="G3037" s="100" t="s">
        <v>710</v>
      </c>
      <c r="H3037" s="530"/>
      <c r="I3037" s="525"/>
      <c r="K3037" s="548"/>
      <c r="L3037" s="548"/>
      <c r="M3037" s="548"/>
      <c r="N3037" s="552"/>
      <c r="Y3037" s="551"/>
    </row>
    <row r="3038" spans="1:25">
      <c r="A3038" s="499">
        <v>45580</v>
      </c>
      <c r="B3038" s="499">
        <v>45581</v>
      </c>
      <c r="C3038" s="500" t="s">
        <v>173</v>
      </c>
      <c r="D3038" s="500" t="s">
        <v>760</v>
      </c>
      <c r="E3038" s="501">
        <v>1246047396.5699999</v>
      </c>
      <c r="F3038" s="502" t="s">
        <v>878</v>
      </c>
      <c r="G3038" s="100" t="s">
        <v>634</v>
      </c>
      <c r="H3038" s="484" t="s">
        <v>1003</v>
      </c>
      <c r="I3038" s="525"/>
      <c r="K3038" s="548"/>
      <c r="L3038" s="548"/>
      <c r="M3038" s="548"/>
      <c r="N3038" s="552"/>
      <c r="Y3038" s="551"/>
    </row>
    <row r="3039" spans="1:25">
      <c r="A3039" s="499">
        <v>45580</v>
      </c>
      <c r="B3039" s="499">
        <v>45581</v>
      </c>
      <c r="C3039" s="500" t="s">
        <v>173</v>
      </c>
      <c r="D3039" s="500" t="s">
        <v>760</v>
      </c>
      <c r="E3039" s="501">
        <v>29022298.010000002</v>
      </c>
      <c r="F3039" s="502" t="s">
        <v>878</v>
      </c>
      <c r="G3039" s="100" t="s">
        <v>710</v>
      </c>
      <c r="H3039" s="484" t="s">
        <v>1004</v>
      </c>
      <c r="I3039" s="525"/>
      <c r="K3039" s="548"/>
      <c r="L3039" s="548"/>
      <c r="M3039" s="548"/>
      <c r="N3039" s="552"/>
      <c r="Y3039" s="551"/>
    </row>
    <row r="3040" spans="1:25">
      <c r="A3040" s="499">
        <v>45580</v>
      </c>
      <c r="B3040" s="499">
        <v>45580</v>
      </c>
      <c r="C3040" s="500" t="s">
        <v>173</v>
      </c>
      <c r="D3040" s="500" t="s">
        <v>764</v>
      </c>
      <c r="E3040" s="501">
        <v>-3449742949.0900002</v>
      </c>
      <c r="F3040" s="502" t="s">
        <v>878</v>
      </c>
      <c r="G3040" s="100" t="s">
        <v>695</v>
      </c>
      <c r="H3040" s="530"/>
      <c r="I3040" s="525"/>
      <c r="K3040" s="548"/>
      <c r="L3040" s="548"/>
      <c r="M3040" s="548"/>
      <c r="N3040" s="552"/>
      <c r="Y3040" s="551"/>
    </row>
    <row r="3041" spans="1:25">
      <c r="A3041" s="499">
        <v>45580</v>
      </c>
      <c r="B3041" s="499">
        <v>45580</v>
      </c>
      <c r="C3041" s="500" t="s">
        <v>173</v>
      </c>
      <c r="D3041" s="500" t="s">
        <v>764</v>
      </c>
      <c r="E3041" s="501">
        <v>-14003015.74</v>
      </c>
      <c r="F3041" s="502" t="s">
        <v>878</v>
      </c>
      <c r="G3041" s="100" t="s">
        <v>695</v>
      </c>
      <c r="H3041" s="530"/>
      <c r="I3041" s="525"/>
      <c r="K3041" s="548"/>
      <c r="L3041" s="548"/>
      <c r="M3041" s="548"/>
      <c r="N3041" s="552"/>
      <c r="Y3041" s="551"/>
    </row>
    <row r="3042" spans="1:25">
      <c r="A3042" s="499">
        <v>45580</v>
      </c>
      <c r="B3042" s="499">
        <v>45587</v>
      </c>
      <c r="C3042" s="500" t="s">
        <v>173</v>
      </c>
      <c r="D3042" s="500" t="s">
        <v>764</v>
      </c>
      <c r="E3042" s="501">
        <v>3458913987.04</v>
      </c>
      <c r="F3042" s="502" t="s">
        <v>878</v>
      </c>
      <c r="G3042" s="100" t="s">
        <v>695</v>
      </c>
      <c r="H3042" s="484">
        <v>114368004</v>
      </c>
      <c r="I3042" s="525"/>
      <c r="K3042" s="548"/>
      <c r="L3042" s="548"/>
      <c r="M3042" s="548"/>
      <c r="N3042" s="552"/>
      <c r="Y3042" s="551"/>
    </row>
    <row r="3043" spans="1:25">
      <c r="A3043" s="499">
        <v>45580</v>
      </c>
      <c r="B3043" s="499">
        <v>45587</v>
      </c>
      <c r="C3043" s="500" t="s">
        <v>173</v>
      </c>
      <c r="D3043" s="500" t="s">
        <v>764</v>
      </c>
      <c r="E3043" s="501">
        <v>14040242.34</v>
      </c>
      <c r="F3043" s="502" t="s">
        <v>878</v>
      </c>
      <c r="G3043" s="100" t="s">
        <v>695</v>
      </c>
      <c r="H3043" s="484">
        <v>114368041</v>
      </c>
      <c r="I3043" s="525"/>
      <c r="K3043" s="548"/>
      <c r="L3043" s="548"/>
      <c r="M3043" s="548"/>
      <c r="N3043" s="552"/>
      <c r="Y3043" s="551"/>
    </row>
    <row r="3044" spans="1:25">
      <c r="A3044" s="499">
        <v>45580</v>
      </c>
      <c r="B3044" s="499">
        <v>45580</v>
      </c>
      <c r="C3044" s="500" t="s">
        <v>173</v>
      </c>
      <c r="D3044" s="500" t="s">
        <v>763</v>
      </c>
      <c r="E3044" s="501">
        <v>-2502045787.5</v>
      </c>
      <c r="F3044" s="502" t="s">
        <v>878</v>
      </c>
      <c r="G3044" s="100" t="s">
        <v>816</v>
      </c>
      <c r="H3044" s="530"/>
      <c r="I3044" s="525"/>
      <c r="K3044" s="548"/>
      <c r="L3044" s="548"/>
      <c r="M3044" s="548"/>
      <c r="N3044" s="552"/>
      <c r="Y3044" s="551"/>
    </row>
    <row r="3045" spans="1:25">
      <c r="A3045" s="499">
        <v>45580</v>
      </c>
      <c r="B3045" s="499">
        <v>45580</v>
      </c>
      <c r="C3045" s="500" t="s">
        <v>173</v>
      </c>
      <c r="D3045" s="500" t="s">
        <v>763</v>
      </c>
      <c r="E3045" s="501">
        <v>-486249897.80000001</v>
      </c>
      <c r="F3045" s="502" t="s">
        <v>878</v>
      </c>
      <c r="G3045" s="100" t="s">
        <v>687</v>
      </c>
      <c r="H3045" s="530"/>
      <c r="I3045" s="525"/>
      <c r="K3045" s="548"/>
      <c r="L3045" s="548"/>
      <c r="M3045" s="548"/>
      <c r="N3045" s="552"/>
      <c r="Y3045" s="551"/>
    </row>
    <row r="3046" spans="1:25">
      <c r="A3046" s="499">
        <v>45580</v>
      </c>
      <c r="B3046" s="499">
        <v>45580</v>
      </c>
      <c r="C3046" s="500" t="s">
        <v>173</v>
      </c>
      <c r="D3046" s="500" t="s">
        <v>763</v>
      </c>
      <c r="E3046" s="501">
        <v>-2396805032.04</v>
      </c>
      <c r="F3046" s="502" t="s">
        <v>878</v>
      </c>
      <c r="G3046" s="100" t="s">
        <v>716</v>
      </c>
      <c r="H3046" s="530"/>
      <c r="I3046" s="525"/>
      <c r="K3046" s="548"/>
      <c r="L3046" s="548"/>
      <c r="M3046" s="548"/>
      <c r="N3046" s="552"/>
      <c r="Y3046" s="551"/>
    </row>
    <row r="3047" spans="1:25">
      <c r="A3047" s="499">
        <v>45580</v>
      </c>
      <c r="B3047" s="499">
        <v>45580</v>
      </c>
      <c r="C3047" s="500" t="s">
        <v>173</v>
      </c>
      <c r="D3047" s="500" t="s">
        <v>763</v>
      </c>
      <c r="E3047" s="501">
        <v>-20019345.48</v>
      </c>
      <c r="F3047" s="502" t="s">
        <v>878</v>
      </c>
      <c r="G3047" s="100" t="s">
        <v>604</v>
      </c>
      <c r="H3047" s="530"/>
      <c r="I3047" s="525"/>
      <c r="K3047" s="548"/>
      <c r="L3047" s="548"/>
      <c r="M3047" s="548"/>
      <c r="N3047" s="552"/>
      <c r="Y3047" s="551"/>
    </row>
    <row r="3048" spans="1:25">
      <c r="A3048" s="499">
        <v>45580</v>
      </c>
      <c r="B3048" s="499">
        <v>45581</v>
      </c>
      <c r="C3048" s="500" t="s">
        <v>173</v>
      </c>
      <c r="D3048" s="500" t="s">
        <v>763</v>
      </c>
      <c r="E3048" s="501">
        <v>2502968673.2399998</v>
      </c>
      <c r="F3048" s="502" t="s">
        <v>878</v>
      </c>
      <c r="G3048" s="100" t="s">
        <v>816</v>
      </c>
      <c r="H3048" s="484">
        <v>114365854</v>
      </c>
      <c r="I3048" s="525"/>
      <c r="K3048" s="548"/>
      <c r="L3048" s="548"/>
      <c r="M3048" s="548"/>
      <c r="N3048" s="552"/>
      <c r="Y3048" s="551"/>
    </row>
    <row r="3049" spans="1:25">
      <c r="A3049" s="499">
        <v>45580</v>
      </c>
      <c r="B3049" s="499">
        <v>45581</v>
      </c>
      <c r="C3049" s="500" t="s">
        <v>173</v>
      </c>
      <c r="D3049" s="500" t="s">
        <v>763</v>
      </c>
      <c r="E3049" s="501">
        <v>486429252.26999998</v>
      </c>
      <c r="F3049" s="502" t="s">
        <v>878</v>
      </c>
      <c r="G3049" s="100" t="s">
        <v>687</v>
      </c>
      <c r="H3049" s="484">
        <v>114365857</v>
      </c>
      <c r="I3049" s="525"/>
      <c r="K3049" s="548"/>
      <c r="L3049" s="548"/>
      <c r="M3049" s="548"/>
      <c r="N3049" s="552"/>
      <c r="Y3049" s="551"/>
    </row>
    <row r="3050" spans="1:25">
      <c r="A3050" s="499">
        <v>45580</v>
      </c>
      <c r="B3050" s="499">
        <v>45581</v>
      </c>
      <c r="C3050" s="500" t="s">
        <v>173</v>
      </c>
      <c r="D3050" s="500" t="s">
        <v>763</v>
      </c>
      <c r="E3050" s="501">
        <v>2397689099.4699998</v>
      </c>
      <c r="F3050" s="502" t="s">
        <v>878</v>
      </c>
      <c r="G3050" s="100" t="s">
        <v>716</v>
      </c>
      <c r="H3050" s="484">
        <v>114365860</v>
      </c>
      <c r="I3050" s="525"/>
      <c r="K3050" s="548"/>
      <c r="L3050" s="548"/>
      <c r="M3050" s="548"/>
      <c r="N3050" s="552"/>
      <c r="Y3050" s="551"/>
    </row>
    <row r="3051" spans="1:25">
      <c r="A3051" s="499">
        <v>45580</v>
      </c>
      <c r="B3051" s="499">
        <v>45581</v>
      </c>
      <c r="C3051" s="500" t="s">
        <v>173</v>
      </c>
      <c r="D3051" s="500" t="s">
        <v>763</v>
      </c>
      <c r="E3051" s="501">
        <v>20026762.760000002</v>
      </c>
      <c r="F3051" s="502" t="s">
        <v>878</v>
      </c>
      <c r="G3051" s="100" t="s">
        <v>604</v>
      </c>
      <c r="H3051" s="484">
        <v>114366245</v>
      </c>
      <c r="I3051" s="525"/>
      <c r="K3051" s="548"/>
      <c r="L3051" s="548"/>
      <c r="M3051" s="548"/>
      <c r="N3051" s="552"/>
      <c r="Y3051" s="551"/>
    </row>
    <row r="3052" spans="1:25">
      <c r="A3052" s="499">
        <v>45581</v>
      </c>
      <c r="B3052" s="499">
        <v>45581</v>
      </c>
      <c r="C3052" s="500" t="s">
        <v>173</v>
      </c>
      <c r="D3052" s="500" t="s">
        <v>762</v>
      </c>
      <c r="E3052" s="501">
        <v>-852327231.04999995</v>
      </c>
      <c r="F3052" s="502" t="s">
        <v>878</v>
      </c>
      <c r="G3052" s="100" t="s">
        <v>686</v>
      </c>
      <c r="H3052" s="530"/>
      <c r="I3052" s="525"/>
      <c r="K3052" s="548"/>
      <c r="L3052" s="548"/>
      <c r="M3052" s="548"/>
      <c r="N3052" s="552"/>
      <c r="Y3052" s="551"/>
    </row>
    <row r="3053" spans="1:25">
      <c r="A3053" s="499">
        <v>45581</v>
      </c>
      <c r="B3053" s="499">
        <v>45581</v>
      </c>
      <c r="C3053" s="500" t="s">
        <v>173</v>
      </c>
      <c r="D3053" s="500" t="s">
        <v>762</v>
      </c>
      <c r="E3053" s="501">
        <v>-23015321.68</v>
      </c>
      <c r="F3053" s="502" t="s">
        <v>878</v>
      </c>
      <c r="G3053" s="100" t="s">
        <v>678</v>
      </c>
      <c r="H3053" s="530"/>
      <c r="I3053" s="525"/>
      <c r="K3053" s="548"/>
      <c r="L3053" s="548"/>
      <c r="M3053" s="548"/>
      <c r="N3053" s="552"/>
      <c r="Y3053" s="551"/>
    </row>
    <row r="3054" spans="1:25">
      <c r="A3054" s="499">
        <v>45581</v>
      </c>
      <c r="B3054" s="499">
        <v>45581</v>
      </c>
      <c r="C3054" s="500" t="s">
        <v>173</v>
      </c>
      <c r="D3054" s="500" t="s">
        <v>762</v>
      </c>
      <c r="E3054" s="501">
        <v>-4221090338.79</v>
      </c>
      <c r="F3054" s="502" t="s">
        <v>878</v>
      </c>
      <c r="G3054" s="100" t="s">
        <v>671</v>
      </c>
      <c r="H3054" s="530"/>
      <c r="I3054" s="525"/>
      <c r="K3054" s="548"/>
      <c r="L3054" s="548"/>
      <c r="M3054" s="548"/>
      <c r="N3054" s="552"/>
      <c r="Y3054" s="551"/>
    </row>
    <row r="3055" spans="1:25">
      <c r="A3055" s="499">
        <v>45581</v>
      </c>
      <c r="B3055" s="499">
        <v>45581</v>
      </c>
      <c r="C3055" s="500" t="s">
        <v>173</v>
      </c>
      <c r="D3055" s="500" t="s">
        <v>762</v>
      </c>
      <c r="E3055" s="501">
        <v>-1150060814.3</v>
      </c>
      <c r="F3055" s="502" t="s">
        <v>878</v>
      </c>
      <c r="G3055" s="100" t="s">
        <v>633</v>
      </c>
      <c r="H3055" s="530"/>
      <c r="I3055" s="525"/>
      <c r="K3055" s="548"/>
      <c r="L3055" s="548"/>
      <c r="M3055" s="548"/>
      <c r="N3055" s="552"/>
      <c r="Y3055" s="551"/>
    </row>
    <row r="3056" spans="1:25">
      <c r="A3056" s="499">
        <v>45581</v>
      </c>
      <c r="B3056" s="499">
        <v>45582</v>
      </c>
      <c r="C3056" s="500" t="s">
        <v>173</v>
      </c>
      <c r="D3056" s="500" t="s">
        <v>762</v>
      </c>
      <c r="E3056" s="501">
        <v>852650929.10000002</v>
      </c>
      <c r="F3056" s="502" t="s">
        <v>878</v>
      </c>
      <c r="G3056" s="100" t="s">
        <v>686</v>
      </c>
      <c r="H3056" s="484">
        <v>114383285</v>
      </c>
      <c r="I3056" s="525"/>
      <c r="K3056" s="548"/>
      <c r="L3056" s="548"/>
      <c r="M3056" s="548"/>
      <c r="N3056" s="552"/>
      <c r="Y3056" s="551"/>
    </row>
    <row r="3057" spans="1:25">
      <c r="A3057" s="499">
        <v>45581</v>
      </c>
      <c r="B3057" s="499">
        <v>45582</v>
      </c>
      <c r="C3057" s="500" t="s">
        <v>173</v>
      </c>
      <c r="D3057" s="500" t="s">
        <v>762</v>
      </c>
      <c r="E3057" s="501">
        <v>23024075.109999999</v>
      </c>
      <c r="F3057" s="502" t="s">
        <v>878</v>
      </c>
      <c r="G3057" s="100" t="s">
        <v>678</v>
      </c>
      <c r="H3057" s="484">
        <v>114384161</v>
      </c>
      <c r="I3057" s="525"/>
      <c r="K3057" s="548"/>
      <c r="L3057" s="548"/>
      <c r="M3057" s="548"/>
      <c r="N3057" s="552"/>
      <c r="Y3057" s="551"/>
    </row>
    <row r="3058" spans="1:25">
      <c r="A3058" s="499">
        <v>45581</v>
      </c>
      <c r="B3058" s="499">
        <v>45582</v>
      </c>
      <c r="C3058" s="500" t="s">
        <v>173</v>
      </c>
      <c r="D3058" s="500" t="s">
        <v>762</v>
      </c>
      <c r="E3058" s="501">
        <v>4222690005.1700001</v>
      </c>
      <c r="F3058" s="502" t="s">
        <v>878</v>
      </c>
      <c r="G3058" s="100" t="s">
        <v>671</v>
      </c>
      <c r="H3058" s="484">
        <v>114383291</v>
      </c>
      <c r="I3058" s="525"/>
      <c r="K3058" s="548"/>
      <c r="L3058" s="548"/>
      <c r="M3058" s="548"/>
      <c r="N3058" s="552"/>
      <c r="Y3058" s="551"/>
    </row>
    <row r="3059" spans="1:25">
      <c r="A3059" s="499">
        <v>45581</v>
      </c>
      <c r="B3059" s="499">
        <v>45582</v>
      </c>
      <c r="C3059" s="500" t="s">
        <v>173</v>
      </c>
      <c r="D3059" s="500" t="s">
        <v>762</v>
      </c>
      <c r="E3059" s="501">
        <v>1150497586.03</v>
      </c>
      <c r="F3059" s="502" t="s">
        <v>878</v>
      </c>
      <c r="G3059" s="100" t="s">
        <v>633</v>
      </c>
      <c r="H3059" s="484">
        <v>114383288</v>
      </c>
      <c r="I3059" s="525"/>
      <c r="K3059" s="548"/>
      <c r="L3059" s="548"/>
      <c r="M3059" s="548"/>
      <c r="N3059" s="552"/>
      <c r="Y3059" s="551"/>
    </row>
    <row r="3060" spans="1:25">
      <c r="A3060" s="499">
        <v>45581</v>
      </c>
      <c r="B3060" s="499">
        <v>45581</v>
      </c>
      <c r="C3060" s="500" t="s">
        <v>173</v>
      </c>
      <c r="D3060" s="500" t="s">
        <v>761</v>
      </c>
      <c r="E3060" s="501">
        <v>-3161622172.6799998</v>
      </c>
      <c r="F3060" s="502" t="s">
        <v>878</v>
      </c>
      <c r="G3060" s="100" t="s">
        <v>631</v>
      </c>
      <c r="H3060" s="530"/>
      <c r="I3060" s="525"/>
      <c r="K3060" s="548"/>
      <c r="L3060" s="548"/>
      <c r="M3060" s="548"/>
      <c r="N3060" s="552"/>
      <c r="Y3060" s="551"/>
    </row>
    <row r="3061" spans="1:25">
      <c r="A3061" s="499">
        <v>45581</v>
      </c>
      <c r="B3061" s="499">
        <v>45581</v>
      </c>
      <c r="C3061" s="500" t="s">
        <v>173</v>
      </c>
      <c r="D3061" s="500" t="s">
        <v>761</v>
      </c>
      <c r="E3061" s="501">
        <v>-12001198.08</v>
      </c>
      <c r="F3061" s="502" t="s">
        <v>878</v>
      </c>
      <c r="G3061" s="100" t="s">
        <v>600</v>
      </c>
      <c r="H3061" s="530"/>
      <c r="I3061" s="525"/>
      <c r="K3061" s="548"/>
      <c r="L3061" s="548"/>
      <c r="M3061" s="548"/>
      <c r="N3061" s="552"/>
      <c r="Y3061" s="551"/>
    </row>
    <row r="3062" spans="1:25">
      <c r="A3062" s="499">
        <v>45581</v>
      </c>
      <c r="B3062" s="499">
        <v>45582</v>
      </c>
      <c r="C3062" s="500" t="s">
        <v>173</v>
      </c>
      <c r="D3062" s="500" t="s">
        <v>761</v>
      </c>
      <c r="E3062" s="501">
        <v>3162822898.04</v>
      </c>
      <c r="F3062" s="502" t="s">
        <v>878</v>
      </c>
      <c r="G3062" s="100" t="s">
        <v>631</v>
      </c>
      <c r="H3062" s="484">
        <v>114380580</v>
      </c>
      <c r="I3062" s="525"/>
      <c r="K3062" s="548"/>
      <c r="L3062" s="548"/>
      <c r="M3062" s="548"/>
      <c r="N3062" s="552"/>
      <c r="Y3062" s="551"/>
    </row>
    <row r="3063" spans="1:25">
      <c r="A3063" s="499">
        <v>45581</v>
      </c>
      <c r="B3063" s="499">
        <v>45582</v>
      </c>
      <c r="C3063" s="500" t="s">
        <v>173</v>
      </c>
      <c r="D3063" s="500" t="s">
        <v>761</v>
      </c>
      <c r="E3063" s="501">
        <v>12005788.699999999</v>
      </c>
      <c r="F3063" s="502" t="s">
        <v>878</v>
      </c>
      <c r="G3063" s="100" t="s">
        <v>600</v>
      </c>
      <c r="H3063" s="484">
        <v>114383930</v>
      </c>
      <c r="I3063" s="525"/>
      <c r="K3063" s="548"/>
      <c r="L3063" s="548"/>
      <c r="M3063" s="548"/>
      <c r="N3063" s="552"/>
      <c r="Y3063" s="551"/>
    </row>
    <row r="3064" spans="1:25">
      <c r="A3064" s="499">
        <v>45581</v>
      </c>
      <c r="B3064" s="499">
        <v>45581</v>
      </c>
      <c r="C3064" s="500" t="s">
        <v>173</v>
      </c>
      <c r="D3064" s="500" t="s">
        <v>759</v>
      </c>
      <c r="E3064" s="501">
        <v>-2010078727.6800001</v>
      </c>
      <c r="F3064" s="502" t="s">
        <v>878</v>
      </c>
      <c r="G3064" s="100" t="s">
        <v>1005</v>
      </c>
      <c r="H3064" s="530"/>
      <c r="I3064" s="525"/>
      <c r="K3064" s="548"/>
      <c r="L3064" s="548"/>
      <c r="M3064" s="548"/>
      <c r="N3064" s="552"/>
      <c r="Y3064" s="551"/>
    </row>
    <row r="3065" spans="1:25">
      <c r="A3065" s="499">
        <v>45581</v>
      </c>
      <c r="B3065" s="499">
        <v>45581</v>
      </c>
      <c r="C3065" s="500" t="s">
        <v>173</v>
      </c>
      <c r="D3065" s="500" t="s">
        <v>759</v>
      </c>
      <c r="E3065" s="501">
        <v>-8003698.5599999996</v>
      </c>
      <c r="F3065" s="502" t="s">
        <v>878</v>
      </c>
      <c r="G3065" s="100" t="s">
        <v>1006</v>
      </c>
      <c r="H3065" s="530"/>
      <c r="I3065" s="525"/>
      <c r="K3065" s="548"/>
      <c r="L3065" s="548"/>
      <c r="M3065" s="548"/>
      <c r="N3065" s="552"/>
      <c r="Y3065" s="551"/>
    </row>
    <row r="3066" spans="1:25">
      <c r="A3066" s="499">
        <v>45581</v>
      </c>
      <c r="B3066" s="499">
        <v>45582</v>
      </c>
      <c r="C3066" s="500" t="s">
        <v>173</v>
      </c>
      <c r="D3066" s="500" t="s">
        <v>759</v>
      </c>
      <c r="E3066" s="501">
        <v>2010844864.24</v>
      </c>
      <c r="F3066" s="502" t="s">
        <v>878</v>
      </c>
      <c r="G3066" s="100" t="s">
        <v>1005</v>
      </c>
      <c r="H3066" s="484">
        <v>114382516</v>
      </c>
      <c r="I3066" s="525"/>
      <c r="K3066" s="548"/>
      <c r="L3066" s="548"/>
      <c r="M3066" s="548"/>
      <c r="N3066" s="552"/>
      <c r="Y3066" s="551"/>
    </row>
    <row r="3067" spans="1:25">
      <c r="A3067" s="499">
        <v>45581</v>
      </c>
      <c r="B3067" s="499">
        <v>45582</v>
      </c>
      <c r="C3067" s="500" t="s">
        <v>173</v>
      </c>
      <c r="D3067" s="500" t="s">
        <v>759</v>
      </c>
      <c r="E3067" s="501">
        <v>8006738.2400000002</v>
      </c>
      <c r="F3067" s="502" t="s">
        <v>878</v>
      </c>
      <c r="G3067" s="100" t="s">
        <v>1006</v>
      </c>
      <c r="H3067" s="484">
        <v>114382538</v>
      </c>
      <c r="I3067" s="525"/>
      <c r="K3067" s="548"/>
      <c r="L3067" s="548"/>
      <c r="M3067" s="548"/>
      <c r="N3067" s="552"/>
      <c r="Y3067" s="551"/>
    </row>
    <row r="3068" spans="1:25">
      <c r="A3068" s="499">
        <v>45581</v>
      </c>
      <c r="B3068" s="499">
        <v>45581</v>
      </c>
      <c r="C3068" s="500" t="s">
        <v>173</v>
      </c>
      <c r="D3068" s="500" t="s">
        <v>760</v>
      </c>
      <c r="E3068" s="501">
        <v>-1245514689.23</v>
      </c>
      <c r="F3068" s="502" t="s">
        <v>878</v>
      </c>
      <c r="G3068" s="100" t="s">
        <v>687</v>
      </c>
      <c r="H3068" s="530"/>
      <c r="I3068" s="525"/>
      <c r="K3068" s="548"/>
      <c r="L3068" s="548"/>
      <c r="M3068" s="548"/>
      <c r="N3068" s="552"/>
      <c r="Y3068" s="551"/>
    </row>
    <row r="3069" spans="1:25">
      <c r="A3069" s="499">
        <v>45581</v>
      </c>
      <c r="B3069" s="499">
        <v>45581</v>
      </c>
      <c r="C3069" s="500" t="s">
        <v>173</v>
      </c>
      <c r="D3069" s="500" t="s">
        <v>760</v>
      </c>
      <c r="E3069" s="501">
        <v>-17004536.550000001</v>
      </c>
      <c r="F3069" s="502" t="s">
        <v>878</v>
      </c>
      <c r="G3069" s="100" t="s">
        <v>674</v>
      </c>
      <c r="H3069" s="530"/>
      <c r="I3069" s="525"/>
      <c r="K3069" s="548"/>
      <c r="L3069" s="548"/>
      <c r="M3069" s="548"/>
      <c r="N3069" s="552"/>
      <c r="Y3069" s="551"/>
    </row>
    <row r="3070" spans="1:25">
      <c r="A3070" s="499">
        <v>45581</v>
      </c>
      <c r="B3070" s="499">
        <v>45581</v>
      </c>
      <c r="C3070" s="500" t="s">
        <v>173</v>
      </c>
      <c r="D3070" s="500" t="s">
        <v>760</v>
      </c>
      <c r="E3070" s="501">
        <v>-12000634.58</v>
      </c>
      <c r="F3070" s="502" t="s">
        <v>878</v>
      </c>
      <c r="G3070" s="100" t="s">
        <v>633</v>
      </c>
      <c r="H3070" s="530"/>
      <c r="I3070" s="525"/>
      <c r="K3070" s="548"/>
      <c r="L3070" s="548"/>
      <c r="M3070" s="548"/>
      <c r="N3070" s="552"/>
      <c r="Y3070" s="551"/>
    </row>
    <row r="3071" spans="1:25">
      <c r="A3071" s="499">
        <v>45581</v>
      </c>
      <c r="B3071" s="499">
        <v>45582</v>
      </c>
      <c r="C3071" s="500" t="s">
        <v>173</v>
      </c>
      <c r="D3071" s="500" t="s">
        <v>760</v>
      </c>
      <c r="E3071" s="501">
        <v>1245991115.6099999</v>
      </c>
      <c r="F3071" s="502" t="s">
        <v>878</v>
      </c>
      <c r="G3071" s="100" t="s">
        <v>687</v>
      </c>
      <c r="H3071" s="484">
        <v>114381478</v>
      </c>
      <c r="I3071" s="525"/>
      <c r="K3071" s="548"/>
      <c r="L3071" s="548"/>
      <c r="M3071" s="548"/>
      <c r="N3071" s="552"/>
      <c r="Y3071" s="551"/>
    </row>
    <row r="3072" spans="1:25">
      <c r="A3072" s="499">
        <v>45581</v>
      </c>
      <c r="B3072" s="499">
        <v>45582</v>
      </c>
      <c r="C3072" s="500" t="s">
        <v>173</v>
      </c>
      <c r="D3072" s="500" t="s">
        <v>760</v>
      </c>
      <c r="E3072" s="501">
        <v>17011041.02</v>
      </c>
      <c r="F3072" s="502" t="s">
        <v>878</v>
      </c>
      <c r="G3072" s="100" t="s">
        <v>674</v>
      </c>
      <c r="H3072" s="484">
        <v>114381727</v>
      </c>
      <c r="I3072" s="525"/>
      <c r="K3072" s="548"/>
      <c r="L3072" s="548"/>
      <c r="M3072" s="548"/>
      <c r="N3072" s="552"/>
      <c r="Y3072" s="551"/>
    </row>
    <row r="3073" spans="1:25">
      <c r="A3073" s="499">
        <v>45581</v>
      </c>
      <c r="B3073" s="499">
        <v>45582</v>
      </c>
      <c r="C3073" s="500" t="s">
        <v>173</v>
      </c>
      <c r="D3073" s="500" t="s">
        <v>760</v>
      </c>
      <c r="E3073" s="501">
        <v>12005224.99</v>
      </c>
      <c r="F3073" s="502" t="s">
        <v>878</v>
      </c>
      <c r="G3073" s="100" t="s">
        <v>633</v>
      </c>
      <c r="H3073" s="484">
        <v>114381739</v>
      </c>
      <c r="I3073" s="525"/>
      <c r="K3073" s="548"/>
      <c r="L3073" s="548"/>
      <c r="M3073" s="548"/>
      <c r="N3073" s="552"/>
      <c r="Y3073" s="551"/>
    </row>
    <row r="3074" spans="1:25">
      <c r="A3074" s="499">
        <v>45581</v>
      </c>
      <c r="B3074" s="499">
        <v>45581</v>
      </c>
      <c r="C3074" s="500" t="s">
        <v>173</v>
      </c>
      <c r="D3074" s="500" t="s">
        <v>763</v>
      </c>
      <c r="E3074" s="501">
        <v>-5384168103.0200005</v>
      </c>
      <c r="F3074" s="502" t="s">
        <v>878</v>
      </c>
      <c r="G3074" s="100" t="s">
        <v>644</v>
      </c>
      <c r="H3074" s="530"/>
      <c r="I3074" s="525"/>
      <c r="K3074" s="548"/>
      <c r="L3074" s="548"/>
      <c r="M3074" s="548"/>
      <c r="N3074" s="552"/>
      <c r="Y3074" s="551"/>
    </row>
    <row r="3075" spans="1:25">
      <c r="A3075" s="499">
        <v>45581</v>
      </c>
      <c r="B3075" s="499">
        <v>45581</v>
      </c>
      <c r="C3075" s="500" t="s">
        <v>173</v>
      </c>
      <c r="D3075" s="500" t="s">
        <v>763</v>
      </c>
      <c r="E3075" s="501">
        <v>-23000771.420000002</v>
      </c>
      <c r="F3075" s="502" t="s">
        <v>878</v>
      </c>
      <c r="G3075" s="100" t="s">
        <v>716</v>
      </c>
      <c r="H3075" s="530"/>
      <c r="I3075" s="525"/>
      <c r="K3075" s="548"/>
      <c r="L3075" s="548"/>
      <c r="M3075" s="548"/>
      <c r="N3075" s="552"/>
      <c r="Y3075" s="551"/>
    </row>
    <row r="3076" spans="1:25">
      <c r="A3076" s="499">
        <v>45581</v>
      </c>
      <c r="B3076" s="499">
        <v>45582</v>
      </c>
      <c r="C3076" s="500" t="s">
        <v>173</v>
      </c>
      <c r="D3076" s="500" t="s">
        <v>763</v>
      </c>
      <c r="E3076" s="501">
        <v>5386154213.7700005</v>
      </c>
      <c r="F3076" s="502" t="s">
        <v>878</v>
      </c>
      <c r="G3076" s="100" t="s">
        <v>644</v>
      </c>
      <c r="H3076" s="484">
        <v>114380185</v>
      </c>
      <c r="I3076" s="525"/>
      <c r="K3076" s="548"/>
      <c r="L3076" s="548"/>
      <c r="M3076" s="548"/>
      <c r="N3076" s="552"/>
      <c r="Y3076" s="551"/>
    </row>
    <row r="3077" spans="1:25">
      <c r="A3077" s="499">
        <v>45581</v>
      </c>
      <c r="B3077" s="499">
        <v>45582</v>
      </c>
      <c r="C3077" s="500" t="s">
        <v>173</v>
      </c>
      <c r="D3077" s="500" t="s">
        <v>763</v>
      </c>
      <c r="E3077" s="501">
        <v>23009318.149999999</v>
      </c>
      <c r="F3077" s="502" t="s">
        <v>878</v>
      </c>
      <c r="G3077" s="100" t="s">
        <v>716</v>
      </c>
      <c r="H3077" s="484">
        <v>114380365</v>
      </c>
      <c r="I3077" s="525"/>
      <c r="K3077" s="548"/>
      <c r="L3077" s="548"/>
      <c r="M3077" s="548"/>
      <c r="N3077" s="552"/>
      <c r="Y3077" s="551"/>
    </row>
    <row r="3078" spans="1:25">
      <c r="A3078" s="499">
        <v>45582</v>
      </c>
      <c r="B3078" s="499">
        <v>45582</v>
      </c>
      <c r="C3078" s="500" t="s">
        <v>173</v>
      </c>
      <c r="D3078" s="500" t="s">
        <v>762</v>
      </c>
      <c r="E3078" s="501">
        <v>-23009601.120000001</v>
      </c>
      <c r="F3078" s="502" t="s">
        <v>878</v>
      </c>
      <c r="G3078" s="100" t="s">
        <v>686</v>
      </c>
      <c r="H3078" s="530"/>
      <c r="I3078" s="525"/>
      <c r="K3078" s="548"/>
      <c r="L3078" s="548"/>
      <c r="M3078" s="548"/>
      <c r="N3078" s="552"/>
      <c r="Y3078" s="551"/>
    </row>
    <row r="3079" spans="1:25">
      <c r="A3079" s="499">
        <v>45582</v>
      </c>
      <c r="B3079" s="499">
        <v>45582</v>
      </c>
      <c r="C3079" s="500" t="s">
        <v>173</v>
      </c>
      <c r="D3079" s="500" t="s">
        <v>762</v>
      </c>
      <c r="E3079" s="501">
        <v>-1277264915.3900001</v>
      </c>
      <c r="F3079" s="502" t="s">
        <v>878</v>
      </c>
      <c r="G3079" s="100" t="s">
        <v>656</v>
      </c>
      <c r="H3079" s="530"/>
      <c r="I3079" s="525"/>
      <c r="K3079" s="548"/>
      <c r="L3079" s="548"/>
      <c r="M3079" s="548"/>
      <c r="N3079" s="552"/>
      <c r="Y3079" s="551"/>
    </row>
    <row r="3080" spans="1:25">
      <c r="A3080" s="499">
        <v>45582</v>
      </c>
      <c r="B3080" s="499">
        <v>45582</v>
      </c>
      <c r="C3080" s="500" t="s">
        <v>173</v>
      </c>
      <c r="D3080" s="500" t="s">
        <v>762</v>
      </c>
      <c r="E3080" s="501">
        <v>-1399230800.1600001</v>
      </c>
      <c r="F3080" s="502" t="s">
        <v>878</v>
      </c>
      <c r="G3080" s="100" t="s">
        <v>633</v>
      </c>
      <c r="H3080" s="530"/>
      <c r="I3080" s="525"/>
      <c r="K3080" s="548"/>
      <c r="L3080" s="548">
        <v>-1</v>
      </c>
      <c r="M3080" s="548"/>
      <c r="N3080" s="552"/>
      <c r="Y3080" s="551"/>
    </row>
    <row r="3081" spans="1:25">
      <c r="A3081" s="499">
        <v>45582</v>
      </c>
      <c r="B3081" s="499">
        <v>45582</v>
      </c>
      <c r="C3081" s="500" t="s">
        <v>173</v>
      </c>
      <c r="D3081" s="500" t="s">
        <v>762</v>
      </c>
      <c r="E3081" s="501">
        <v>-1800970453.8</v>
      </c>
      <c r="F3081" s="502" t="s">
        <v>878</v>
      </c>
      <c r="G3081" s="100" t="s">
        <v>592</v>
      </c>
      <c r="H3081" s="530"/>
      <c r="I3081" s="525"/>
      <c r="K3081" s="548"/>
      <c r="L3081" s="548"/>
      <c r="M3081" s="548"/>
      <c r="N3081" s="552"/>
      <c r="Y3081" s="551"/>
    </row>
    <row r="3082" spans="1:25">
      <c r="A3082" s="499">
        <v>45582</v>
      </c>
      <c r="B3082" s="499">
        <v>45582</v>
      </c>
      <c r="C3082" s="500" t="s">
        <v>173</v>
      </c>
      <c r="D3082" s="500" t="s">
        <v>762</v>
      </c>
      <c r="E3082" s="501">
        <v>-1150000394.45</v>
      </c>
      <c r="F3082" s="502" t="s">
        <v>878</v>
      </c>
      <c r="G3082" s="100" t="s">
        <v>811</v>
      </c>
      <c r="H3082" s="530"/>
      <c r="I3082" s="525"/>
      <c r="K3082" s="548"/>
      <c r="L3082" s="548"/>
      <c r="M3082" s="548"/>
      <c r="N3082" s="552"/>
      <c r="Y3082" s="551"/>
    </row>
    <row r="3083" spans="1:25">
      <c r="A3083" s="499">
        <v>45582</v>
      </c>
      <c r="B3083" s="499">
        <v>45582</v>
      </c>
      <c r="C3083" s="500" t="s">
        <v>173</v>
      </c>
      <c r="D3083" s="500" t="s">
        <v>762</v>
      </c>
      <c r="E3083" s="501">
        <v>-600332481</v>
      </c>
      <c r="F3083" s="502" t="s">
        <v>878</v>
      </c>
      <c r="G3083" s="100" t="s">
        <v>525</v>
      </c>
      <c r="H3083" s="530"/>
      <c r="I3083" s="525"/>
      <c r="K3083" s="548"/>
      <c r="L3083" s="548"/>
      <c r="M3083" s="548"/>
      <c r="N3083" s="552"/>
      <c r="Y3083" s="551"/>
    </row>
    <row r="3084" spans="1:25">
      <c r="A3084" s="499">
        <v>45582</v>
      </c>
      <c r="B3084" s="499">
        <v>45583</v>
      </c>
      <c r="C3084" s="500" t="s">
        <v>173</v>
      </c>
      <c r="D3084" s="500" t="s">
        <v>762</v>
      </c>
      <c r="E3084" s="501">
        <v>23018182.699999999</v>
      </c>
      <c r="F3084" s="502" t="s">
        <v>878</v>
      </c>
      <c r="G3084" s="100" t="s">
        <v>686</v>
      </c>
      <c r="H3084" s="484">
        <v>114396870</v>
      </c>
      <c r="I3084" s="525"/>
      <c r="K3084" s="548"/>
      <c r="L3084" s="548"/>
      <c r="M3084" s="548"/>
      <c r="N3084" s="552"/>
      <c r="Y3084" s="551"/>
    </row>
    <row r="3085" spans="1:25">
      <c r="A3085" s="499">
        <v>45582</v>
      </c>
      <c r="B3085" s="499">
        <v>45583</v>
      </c>
      <c r="C3085" s="500" t="s">
        <v>173</v>
      </c>
      <c r="D3085" s="500" t="s">
        <v>762</v>
      </c>
      <c r="E3085" s="501">
        <v>1277741279.3699999</v>
      </c>
      <c r="F3085" s="502" t="s">
        <v>878</v>
      </c>
      <c r="G3085" s="100" t="s">
        <v>656</v>
      </c>
      <c r="H3085" s="484">
        <v>114396838</v>
      </c>
      <c r="I3085" s="525"/>
      <c r="K3085" s="548"/>
      <c r="L3085" s="548"/>
      <c r="M3085" s="548"/>
      <c r="N3085" s="552"/>
      <c r="Y3085" s="551"/>
    </row>
    <row r="3086" spans="1:25">
      <c r="A3086" s="499">
        <v>45582</v>
      </c>
      <c r="B3086" s="499">
        <v>45583</v>
      </c>
      <c r="C3086" s="500" t="s">
        <v>173</v>
      </c>
      <c r="D3086" s="500" t="s">
        <v>762</v>
      </c>
      <c r="E3086" s="501">
        <v>1399752644.4300001</v>
      </c>
      <c r="F3086" s="502" t="s">
        <v>878</v>
      </c>
      <c r="G3086" s="100" t="s">
        <v>633</v>
      </c>
      <c r="H3086" s="484">
        <v>114396844</v>
      </c>
      <c r="I3086" s="525"/>
      <c r="K3086" s="548"/>
      <c r="L3086" s="548"/>
      <c r="M3086" s="548"/>
      <c r="N3086" s="552"/>
      <c r="Y3086" s="551"/>
    </row>
    <row r="3087" spans="1:25">
      <c r="A3087" s="499">
        <v>45582</v>
      </c>
      <c r="B3087" s="499">
        <v>45583</v>
      </c>
      <c r="C3087" s="500" t="s">
        <v>173</v>
      </c>
      <c r="D3087" s="500" t="s">
        <v>762</v>
      </c>
      <c r="E3087" s="501">
        <v>1801642137.05</v>
      </c>
      <c r="F3087" s="502" t="s">
        <v>878</v>
      </c>
      <c r="G3087" s="100" t="s">
        <v>592</v>
      </c>
      <c r="H3087" s="484">
        <v>114396832</v>
      </c>
      <c r="I3087" s="525"/>
      <c r="K3087" s="548"/>
      <c r="L3087" s="548"/>
      <c r="M3087" s="548"/>
      <c r="N3087" s="552"/>
      <c r="Y3087" s="551"/>
    </row>
    <row r="3088" spans="1:25">
      <c r="A3088" s="499">
        <v>45582</v>
      </c>
      <c r="B3088" s="499">
        <v>45583</v>
      </c>
      <c r="C3088" s="500" t="s">
        <v>173</v>
      </c>
      <c r="D3088" s="500" t="s">
        <v>762</v>
      </c>
      <c r="E3088" s="501">
        <v>1150429294.3199999</v>
      </c>
      <c r="F3088" s="502" t="s">
        <v>878</v>
      </c>
      <c r="G3088" s="100" t="s">
        <v>811</v>
      </c>
      <c r="H3088" s="484">
        <v>114396841</v>
      </c>
      <c r="I3088" s="525"/>
      <c r="K3088" s="548"/>
      <c r="L3088" s="548"/>
      <c r="M3088" s="548"/>
      <c r="N3088" s="552"/>
      <c r="Y3088" s="551"/>
    </row>
    <row r="3089" spans="1:25">
      <c r="A3089" s="499">
        <v>45582</v>
      </c>
      <c r="B3089" s="499">
        <v>45583</v>
      </c>
      <c r="C3089" s="500" t="s">
        <v>173</v>
      </c>
      <c r="D3089" s="500" t="s">
        <v>762</v>
      </c>
      <c r="E3089" s="501">
        <v>600556378.76999998</v>
      </c>
      <c r="F3089" s="502" t="s">
        <v>878</v>
      </c>
      <c r="G3089" s="100" t="s">
        <v>525</v>
      </c>
      <c r="H3089" s="484">
        <v>114396835</v>
      </c>
      <c r="I3089" s="525"/>
      <c r="K3089" s="548"/>
      <c r="L3089" s="548"/>
      <c r="M3089" s="548"/>
      <c r="N3089" s="552"/>
      <c r="Y3089" s="551"/>
    </row>
    <row r="3090" spans="1:25">
      <c r="A3090" s="499">
        <v>45582</v>
      </c>
      <c r="B3090" s="499">
        <v>45582</v>
      </c>
      <c r="C3090" s="500" t="s">
        <v>173</v>
      </c>
      <c r="D3090" s="500" t="s">
        <v>761</v>
      </c>
      <c r="E3090" s="501">
        <v>-63034910.509999998</v>
      </c>
      <c r="F3090" s="502" t="s">
        <v>878</v>
      </c>
      <c r="G3090" s="100" t="s">
        <v>525</v>
      </c>
      <c r="H3090" s="530"/>
      <c r="I3090" s="525"/>
      <c r="K3090" s="548"/>
      <c r="L3090" s="548"/>
      <c r="M3090" s="548"/>
      <c r="N3090" s="552"/>
      <c r="Y3090" s="551"/>
    </row>
    <row r="3091" spans="1:25">
      <c r="A3091" s="499">
        <v>45582</v>
      </c>
      <c r="B3091" s="499">
        <v>45582</v>
      </c>
      <c r="C3091" s="500" t="s">
        <v>173</v>
      </c>
      <c r="D3091" s="500" t="s">
        <v>761</v>
      </c>
      <c r="E3091" s="501">
        <v>-779772232.83000004</v>
      </c>
      <c r="F3091" s="502" t="s">
        <v>878</v>
      </c>
      <c r="G3091" s="100" t="s">
        <v>656</v>
      </c>
      <c r="H3091" s="530"/>
      <c r="I3091" s="525"/>
      <c r="K3091" s="548"/>
      <c r="L3091" s="548"/>
      <c r="M3091" s="548"/>
      <c r="N3091" s="552"/>
      <c r="Y3091" s="551"/>
    </row>
    <row r="3092" spans="1:25">
      <c r="A3092" s="499">
        <v>45582</v>
      </c>
      <c r="B3092" s="499">
        <v>45582</v>
      </c>
      <c r="C3092" s="500" t="s">
        <v>173</v>
      </c>
      <c r="D3092" s="500" t="s">
        <v>761</v>
      </c>
      <c r="E3092" s="501">
        <v>-30016687.050000001</v>
      </c>
      <c r="F3092" s="502" t="s">
        <v>878</v>
      </c>
      <c r="G3092" s="100" t="s">
        <v>596</v>
      </c>
      <c r="H3092" s="530"/>
      <c r="I3092" s="525"/>
      <c r="K3092" s="548"/>
      <c r="L3092" s="548"/>
      <c r="M3092" s="548"/>
      <c r="N3092" s="552"/>
      <c r="Y3092" s="551"/>
    </row>
    <row r="3093" spans="1:25">
      <c r="A3093" s="499">
        <v>45582</v>
      </c>
      <c r="B3093" s="499">
        <v>45582</v>
      </c>
      <c r="C3093" s="500" t="s">
        <v>173</v>
      </c>
      <c r="D3093" s="500" t="s">
        <v>761</v>
      </c>
      <c r="E3093" s="501">
        <v>-591176563.61000001</v>
      </c>
      <c r="F3093" s="502" t="s">
        <v>878</v>
      </c>
      <c r="G3093" s="100" t="s">
        <v>637</v>
      </c>
      <c r="H3093" s="530"/>
      <c r="I3093" s="525"/>
      <c r="K3093" s="548"/>
      <c r="L3093" s="548"/>
      <c r="M3093" s="548"/>
      <c r="N3093" s="552"/>
      <c r="Y3093" s="551"/>
    </row>
    <row r="3094" spans="1:25">
      <c r="A3094" s="499">
        <v>45582</v>
      </c>
      <c r="B3094" s="499">
        <v>45582</v>
      </c>
      <c r="C3094" s="500" t="s">
        <v>173</v>
      </c>
      <c r="D3094" s="500" t="s">
        <v>761</v>
      </c>
      <c r="E3094" s="501">
        <v>-1401266565.47</v>
      </c>
      <c r="F3094" s="502" t="s">
        <v>878</v>
      </c>
      <c r="G3094" s="100" t="s">
        <v>671</v>
      </c>
      <c r="H3094" s="530"/>
      <c r="I3094" s="525"/>
      <c r="K3094" s="548"/>
      <c r="L3094" s="548"/>
      <c r="M3094" s="548"/>
      <c r="N3094" s="552"/>
      <c r="Y3094" s="551"/>
    </row>
    <row r="3095" spans="1:25">
      <c r="A3095" s="499">
        <v>45582</v>
      </c>
      <c r="B3095" s="499">
        <v>45582</v>
      </c>
      <c r="C3095" s="500" t="s">
        <v>173</v>
      </c>
      <c r="D3095" s="500" t="s">
        <v>761</v>
      </c>
      <c r="E3095" s="501">
        <v>-10000218.689999999</v>
      </c>
      <c r="F3095" s="502" t="s">
        <v>878</v>
      </c>
      <c r="G3095" s="100" t="s">
        <v>678</v>
      </c>
      <c r="H3095" s="530"/>
      <c r="I3095" s="525"/>
      <c r="K3095" s="548"/>
      <c r="L3095" s="548"/>
      <c r="M3095" s="548"/>
      <c r="N3095" s="552"/>
      <c r="Y3095" s="551"/>
    </row>
    <row r="3096" spans="1:25">
      <c r="A3096" s="499">
        <v>45582</v>
      </c>
      <c r="B3096" s="499">
        <v>45583</v>
      </c>
      <c r="C3096" s="500" t="s">
        <v>173</v>
      </c>
      <c r="D3096" s="500" t="s">
        <v>761</v>
      </c>
      <c r="E3096" s="501">
        <v>63059022.219999999</v>
      </c>
      <c r="F3096" s="502" t="s">
        <v>878</v>
      </c>
      <c r="G3096" s="100" t="s">
        <v>525</v>
      </c>
      <c r="H3096" s="484">
        <v>114394648</v>
      </c>
      <c r="I3096" s="525"/>
      <c r="K3096" s="548"/>
      <c r="L3096" s="548"/>
      <c r="M3096" s="548"/>
      <c r="N3096" s="552"/>
      <c r="Y3096" s="551"/>
    </row>
    <row r="3097" spans="1:25">
      <c r="A3097" s="499">
        <v>45582</v>
      </c>
      <c r="B3097" s="499">
        <v>45583</v>
      </c>
      <c r="C3097" s="500" t="s">
        <v>173</v>
      </c>
      <c r="D3097" s="500" t="s">
        <v>761</v>
      </c>
      <c r="E3097" s="501">
        <v>780070506.36000001</v>
      </c>
      <c r="F3097" s="502" t="s">
        <v>878</v>
      </c>
      <c r="G3097" s="100" t="s">
        <v>656</v>
      </c>
      <c r="H3097" s="484">
        <v>114394651</v>
      </c>
      <c r="I3097" s="525"/>
      <c r="K3097" s="548"/>
      <c r="L3097" s="548"/>
      <c r="M3097" s="548"/>
      <c r="N3097" s="552"/>
      <c r="Y3097" s="551"/>
    </row>
    <row r="3098" spans="1:25">
      <c r="A3098" s="499">
        <v>45582</v>
      </c>
      <c r="B3098" s="499">
        <v>45583</v>
      </c>
      <c r="C3098" s="500" t="s">
        <v>173</v>
      </c>
      <c r="D3098" s="500" t="s">
        <v>761</v>
      </c>
      <c r="E3098" s="501">
        <v>30028168.84</v>
      </c>
      <c r="F3098" s="502" t="s">
        <v>878</v>
      </c>
      <c r="G3098" s="100" t="s">
        <v>596</v>
      </c>
      <c r="H3098" s="484">
        <v>114394654</v>
      </c>
      <c r="I3098" s="525"/>
      <c r="K3098" s="548"/>
      <c r="L3098" s="548"/>
      <c r="M3098" s="548"/>
      <c r="N3098" s="552"/>
      <c r="Y3098" s="551"/>
    </row>
    <row r="3099" spans="1:25">
      <c r="A3099" s="499">
        <v>45582</v>
      </c>
      <c r="B3099" s="499">
        <v>45589</v>
      </c>
      <c r="C3099" s="500" t="s">
        <v>173</v>
      </c>
      <c r="D3099" s="500" t="s">
        <v>761</v>
      </c>
      <c r="E3099" s="501">
        <v>592770802.04999995</v>
      </c>
      <c r="F3099" s="502" t="s">
        <v>878</v>
      </c>
      <c r="G3099" s="100" t="s">
        <v>637</v>
      </c>
      <c r="H3099" s="484">
        <v>114394967</v>
      </c>
      <c r="I3099" s="525"/>
      <c r="K3099" s="548"/>
      <c r="L3099" s="548"/>
      <c r="M3099" s="548"/>
      <c r="N3099" s="552"/>
      <c r="Y3099" s="551"/>
    </row>
    <row r="3100" spans="1:25">
      <c r="A3100" s="499">
        <v>45582</v>
      </c>
      <c r="B3100" s="499">
        <v>45589</v>
      </c>
      <c r="C3100" s="500" t="s">
        <v>173</v>
      </c>
      <c r="D3100" s="500" t="s">
        <v>761</v>
      </c>
      <c r="E3100" s="501">
        <v>1405045390.8800001</v>
      </c>
      <c r="F3100" s="502" t="s">
        <v>878</v>
      </c>
      <c r="G3100" s="100" t="s">
        <v>671</v>
      </c>
      <c r="H3100" s="484">
        <v>114395047</v>
      </c>
      <c r="I3100" s="525"/>
      <c r="K3100" s="548"/>
      <c r="L3100" s="548"/>
      <c r="M3100" s="548"/>
      <c r="N3100" s="552"/>
      <c r="Y3100" s="551"/>
    </row>
    <row r="3101" spans="1:25">
      <c r="A3101" s="499">
        <v>45582</v>
      </c>
      <c r="B3101" s="499">
        <v>45589</v>
      </c>
      <c r="C3101" s="500" t="s">
        <v>173</v>
      </c>
      <c r="D3101" s="500" t="s">
        <v>761</v>
      </c>
      <c r="E3101" s="501">
        <v>10026488.58</v>
      </c>
      <c r="F3101" s="502" t="s">
        <v>878</v>
      </c>
      <c r="G3101" s="100" t="s">
        <v>678</v>
      </c>
      <c r="H3101" s="484">
        <v>114399963</v>
      </c>
      <c r="I3101" s="525"/>
      <c r="K3101" s="548"/>
      <c r="L3101" s="548"/>
      <c r="M3101" s="548"/>
      <c r="N3101" s="552"/>
      <c r="Y3101" s="551"/>
    </row>
    <row r="3102" spans="1:25">
      <c r="A3102" s="499">
        <v>45580</v>
      </c>
      <c r="B3102" s="499">
        <v>45582</v>
      </c>
      <c r="C3102" s="500" t="s">
        <v>173</v>
      </c>
      <c r="D3102" s="500" t="s">
        <v>761</v>
      </c>
      <c r="E3102" s="501">
        <v>-299999321.54000002</v>
      </c>
      <c r="F3102" s="502" t="s">
        <v>906</v>
      </c>
      <c r="G3102" s="100" t="s">
        <v>516</v>
      </c>
      <c r="H3102" s="530"/>
      <c r="I3102" s="525" t="s">
        <v>672</v>
      </c>
      <c r="K3102" s="548">
        <v>114373082</v>
      </c>
      <c r="L3102" s="549">
        <v>96.624099999999999</v>
      </c>
      <c r="M3102" s="549">
        <f>E3102*(-1)/(N3102*O3102)*100</f>
        <v>103.95743333367986</v>
      </c>
      <c r="N3102" s="549">
        <v>288579</v>
      </c>
      <c r="O3102" s="539">
        <v>1000</v>
      </c>
      <c r="T3102" s="549">
        <v>12.86</v>
      </c>
      <c r="U3102" s="538">
        <v>0</v>
      </c>
      <c r="V3102" s="538">
        <v>29999.93</v>
      </c>
      <c r="W3102" s="550">
        <f>VLOOKUP(G3102,Справочник!A:C,3,0)</f>
        <v>0.12</v>
      </c>
      <c r="X3102" s="539" t="str">
        <f>VLOOKUP(G3102,Справочник!A:G,7,0)</f>
        <v>Министерство финансов Республики Казахстан</v>
      </c>
      <c r="Y3102" s="551">
        <f>VLOOKUP(G3102,Справочник!A:B,2,0)</f>
        <v>47549</v>
      </c>
    </row>
    <row r="3103" spans="1:25">
      <c r="A3103" s="499">
        <v>45582</v>
      </c>
      <c r="B3103" s="499">
        <v>45582</v>
      </c>
      <c r="C3103" s="500" t="s">
        <v>173</v>
      </c>
      <c r="D3103" s="500" t="s">
        <v>760</v>
      </c>
      <c r="E3103" s="501">
        <v>-1245856886.1900001</v>
      </c>
      <c r="F3103" s="502" t="s">
        <v>878</v>
      </c>
      <c r="G3103" s="100" t="s">
        <v>719</v>
      </c>
      <c r="H3103" s="530"/>
      <c r="I3103" s="525"/>
      <c r="K3103" s="548"/>
      <c r="L3103" s="548"/>
      <c r="M3103" s="548"/>
      <c r="N3103" s="552"/>
      <c r="Y3103" s="551"/>
    </row>
    <row r="3104" spans="1:25">
      <c r="A3104" s="499">
        <v>45582</v>
      </c>
      <c r="B3104" s="499">
        <v>45582</v>
      </c>
      <c r="C3104" s="500" t="s">
        <v>173</v>
      </c>
      <c r="D3104" s="500" t="s">
        <v>760</v>
      </c>
      <c r="E3104" s="501">
        <v>-29002568.57</v>
      </c>
      <c r="F3104" s="502" t="s">
        <v>878</v>
      </c>
      <c r="G3104" s="100" t="s">
        <v>644</v>
      </c>
      <c r="H3104" s="530"/>
      <c r="I3104" s="525"/>
      <c r="K3104" s="548"/>
      <c r="L3104" s="548"/>
      <c r="M3104" s="548"/>
      <c r="N3104" s="552"/>
      <c r="Y3104" s="551"/>
    </row>
    <row r="3105" spans="1:25">
      <c r="A3105" s="499">
        <v>45582</v>
      </c>
      <c r="B3105" s="499">
        <v>45583</v>
      </c>
      <c r="C3105" s="500" t="s">
        <v>173</v>
      </c>
      <c r="D3105" s="500" t="s">
        <v>760</v>
      </c>
      <c r="E3105" s="501">
        <v>1246331738.0699999</v>
      </c>
      <c r="F3105" s="502" t="s">
        <v>878</v>
      </c>
      <c r="G3105" s="100" t="s">
        <v>719</v>
      </c>
      <c r="H3105" s="484">
        <v>114395637</v>
      </c>
      <c r="I3105" s="525"/>
      <c r="K3105" s="548"/>
      <c r="L3105" s="548"/>
      <c r="M3105" s="548"/>
      <c r="N3105" s="552"/>
      <c r="Y3105" s="551"/>
    </row>
    <row r="3106" spans="1:25">
      <c r="A3106" s="499">
        <v>45582</v>
      </c>
      <c r="B3106" s="499">
        <v>45583</v>
      </c>
      <c r="C3106" s="500" t="s">
        <v>173</v>
      </c>
      <c r="D3106" s="500" t="s">
        <v>760</v>
      </c>
      <c r="E3106" s="501">
        <v>29013662.449999999</v>
      </c>
      <c r="F3106" s="502" t="s">
        <v>878</v>
      </c>
      <c r="G3106" s="100" t="s">
        <v>644</v>
      </c>
      <c r="H3106" s="484">
        <v>114395879</v>
      </c>
      <c r="I3106" s="525"/>
      <c r="K3106" s="548"/>
      <c r="L3106" s="548"/>
      <c r="M3106" s="548"/>
      <c r="N3106" s="552"/>
      <c r="Y3106" s="551"/>
    </row>
    <row r="3107" spans="1:25">
      <c r="A3107" s="499">
        <v>45582</v>
      </c>
      <c r="B3107" s="499">
        <v>45582</v>
      </c>
      <c r="C3107" s="500" t="s">
        <v>173</v>
      </c>
      <c r="D3107" s="500" t="s">
        <v>763</v>
      </c>
      <c r="E3107" s="501">
        <v>-3002988660</v>
      </c>
      <c r="F3107" s="502" t="s">
        <v>878</v>
      </c>
      <c r="G3107" s="100" t="s">
        <v>682</v>
      </c>
      <c r="H3107" s="530"/>
      <c r="I3107" s="525"/>
      <c r="K3107" s="548"/>
      <c r="L3107" s="548"/>
      <c r="M3107" s="548"/>
      <c r="N3107" s="552"/>
      <c r="Y3107" s="551"/>
    </row>
    <row r="3108" spans="1:25">
      <c r="A3108" s="499">
        <v>45582</v>
      </c>
      <c r="B3108" s="499">
        <v>45582</v>
      </c>
      <c r="C3108" s="500" t="s">
        <v>173</v>
      </c>
      <c r="D3108" s="500" t="s">
        <v>763</v>
      </c>
      <c r="E3108" s="501">
        <v>-2388376980.9200001</v>
      </c>
      <c r="F3108" s="502" t="s">
        <v>878</v>
      </c>
      <c r="G3108" s="100" t="s">
        <v>682</v>
      </c>
      <c r="H3108" s="530"/>
      <c r="I3108" s="525"/>
      <c r="K3108" s="548"/>
      <c r="L3108" s="548"/>
      <c r="M3108" s="548"/>
      <c r="N3108" s="552"/>
      <c r="Y3108" s="551"/>
    </row>
    <row r="3109" spans="1:25">
      <c r="A3109" s="499">
        <v>45582</v>
      </c>
      <c r="B3109" s="499">
        <v>45582</v>
      </c>
      <c r="C3109" s="500" t="s">
        <v>173</v>
      </c>
      <c r="D3109" s="500" t="s">
        <v>763</v>
      </c>
      <c r="E3109" s="501">
        <v>-17001181.18</v>
      </c>
      <c r="F3109" s="502" t="s">
        <v>878</v>
      </c>
      <c r="G3109" s="100" t="s">
        <v>1007</v>
      </c>
      <c r="H3109" s="530"/>
      <c r="I3109" s="525"/>
      <c r="K3109" s="548"/>
      <c r="L3109" s="548"/>
      <c r="M3109" s="548"/>
      <c r="N3109" s="552"/>
      <c r="Y3109" s="551"/>
    </row>
    <row r="3110" spans="1:25">
      <c r="A3110" s="499">
        <v>45582</v>
      </c>
      <c r="B3110" s="499">
        <v>45583</v>
      </c>
      <c r="C3110" s="500" t="s">
        <v>173</v>
      </c>
      <c r="D3110" s="500" t="s">
        <v>763</v>
      </c>
      <c r="E3110" s="501">
        <v>3004096565.9000001</v>
      </c>
      <c r="F3110" s="502" t="s">
        <v>878</v>
      </c>
      <c r="G3110" s="100" t="s">
        <v>682</v>
      </c>
      <c r="H3110" s="484">
        <v>114393392</v>
      </c>
      <c r="I3110" s="525"/>
      <c r="K3110" s="548"/>
      <c r="L3110" s="548"/>
      <c r="M3110" s="548"/>
      <c r="N3110" s="552"/>
      <c r="Y3110" s="551"/>
    </row>
    <row r="3111" spans="1:25">
      <c r="A3111" s="499">
        <v>45582</v>
      </c>
      <c r="B3111" s="499">
        <v>45583</v>
      </c>
      <c r="C3111" s="500" t="s">
        <v>173</v>
      </c>
      <c r="D3111" s="500" t="s">
        <v>763</v>
      </c>
      <c r="E3111" s="501">
        <v>2389258135.4099998</v>
      </c>
      <c r="F3111" s="502" t="s">
        <v>878</v>
      </c>
      <c r="G3111" s="100" t="s">
        <v>682</v>
      </c>
      <c r="H3111" s="484">
        <v>114393395</v>
      </c>
      <c r="I3111" s="525"/>
      <c r="K3111" s="548"/>
      <c r="L3111" s="548"/>
      <c r="M3111" s="548"/>
      <c r="N3111" s="552"/>
      <c r="Y3111" s="551"/>
    </row>
    <row r="3112" spans="1:25">
      <c r="A3112" s="499">
        <v>45582</v>
      </c>
      <c r="B3112" s="499">
        <v>45583</v>
      </c>
      <c r="C3112" s="500" t="s">
        <v>173</v>
      </c>
      <c r="D3112" s="500" t="s">
        <v>763</v>
      </c>
      <c r="E3112" s="501">
        <v>17007571.719999999</v>
      </c>
      <c r="F3112" s="502" t="s">
        <v>878</v>
      </c>
      <c r="G3112" s="100" t="s">
        <v>1007</v>
      </c>
      <c r="H3112" s="484">
        <v>114393821</v>
      </c>
      <c r="I3112" s="525"/>
      <c r="K3112" s="548"/>
      <c r="L3112" s="548"/>
      <c r="M3112" s="548"/>
      <c r="N3112" s="552"/>
      <c r="Y3112" s="551"/>
    </row>
    <row r="3113" spans="1:25">
      <c r="A3113" s="499">
        <v>45582</v>
      </c>
      <c r="B3113" s="499">
        <v>45582</v>
      </c>
      <c r="C3113" s="500" t="s">
        <v>173</v>
      </c>
      <c r="D3113" s="500" t="s">
        <v>759</v>
      </c>
      <c r="E3113" s="501">
        <v>-1408401681.54</v>
      </c>
      <c r="F3113" s="502" t="s">
        <v>878</v>
      </c>
      <c r="G3113" s="100" t="s">
        <v>1008</v>
      </c>
      <c r="H3113" s="530"/>
      <c r="I3113" s="525"/>
      <c r="K3113" s="548"/>
      <c r="L3113" s="548"/>
      <c r="M3113" s="548"/>
      <c r="N3113" s="552"/>
      <c r="Y3113" s="551"/>
    </row>
    <row r="3114" spans="1:25">
      <c r="A3114" s="499">
        <v>45582</v>
      </c>
      <c r="B3114" s="499">
        <v>45582</v>
      </c>
      <c r="C3114" s="500" t="s">
        <v>173</v>
      </c>
      <c r="D3114" s="500" t="s">
        <v>759</v>
      </c>
      <c r="E3114" s="501">
        <v>-603053408.54999995</v>
      </c>
      <c r="F3114" s="502" t="s">
        <v>878</v>
      </c>
      <c r="G3114" s="100" t="s">
        <v>1009</v>
      </c>
      <c r="H3114" s="530"/>
      <c r="I3114" s="525"/>
      <c r="K3114" s="548"/>
      <c r="L3114" s="548"/>
      <c r="M3114" s="548"/>
      <c r="N3114" s="552"/>
      <c r="Y3114" s="551"/>
    </row>
    <row r="3115" spans="1:25">
      <c r="A3115" s="499">
        <v>45582</v>
      </c>
      <c r="B3115" s="499">
        <v>45582</v>
      </c>
      <c r="C3115" s="500" t="s">
        <v>173</v>
      </c>
      <c r="D3115" s="500" t="s">
        <v>759</v>
      </c>
      <c r="E3115" s="501">
        <v>-7000620</v>
      </c>
      <c r="F3115" s="502" t="s">
        <v>878</v>
      </c>
      <c r="G3115" s="100" t="s">
        <v>1009</v>
      </c>
      <c r="H3115" s="530"/>
      <c r="I3115" s="525"/>
      <c r="K3115" s="548"/>
      <c r="L3115" s="548"/>
      <c r="M3115" s="548"/>
      <c r="N3115" s="552"/>
      <c r="Y3115" s="551"/>
    </row>
    <row r="3116" spans="1:25">
      <c r="A3116" s="499">
        <v>45582</v>
      </c>
      <c r="B3116" s="499">
        <v>45583</v>
      </c>
      <c r="C3116" s="500" t="s">
        <v>173</v>
      </c>
      <c r="D3116" s="500" t="s">
        <v>759</v>
      </c>
      <c r="E3116" s="501">
        <v>1408940414.4200001</v>
      </c>
      <c r="F3116" s="502" t="s">
        <v>878</v>
      </c>
      <c r="G3116" s="100" t="s">
        <v>1008</v>
      </c>
      <c r="H3116" s="100">
        <v>114395901</v>
      </c>
      <c r="I3116" s="525"/>
      <c r="K3116" s="548"/>
      <c r="L3116" s="548"/>
      <c r="M3116" s="548"/>
      <c r="N3116" s="552"/>
      <c r="Y3116" s="551"/>
    </row>
    <row r="3117" spans="1:25">
      <c r="A3117" s="499">
        <v>45582</v>
      </c>
      <c r="B3117" s="499">
        <v>45583</v>
      </c>
      <c r="C3117" s="500" t="s">
        <v>173</v>
      </c>
      <c r="D3117" s="500" t="s">
        <v>759</v>
      </c>
      <c r="E3117" s="501">
        <v>603284084.72000003</v>
      </c>
      <c r="F3117" s="502" t="s">
        <v>878</v>
      </c>
      <c r="G3117" s="100" t="s">
        <v>1009</v>
      </c>
      <c r="H3117" s="100">
        <v>114395923</v>
      </c>
      <c r="I3117" s="525"/>
      <c r="K3117" s="548"/>
      <c r="L3117" s="548"/>
      <c r="M3117" s="548"/>
      <c r="N3117" s="552"/>
      <c r="Y3117" s="551"/>
    </row>
    <row r="3118" spans="1:25">
      <c r="A3118" s="499">
        <v>45582</v>
      </c>
      <c r="B3118" s="499">
        <v>45583</v>
      </c>
      <c r="C3118" s="500" t="s">
        <v>173</v>
      </c>
      <c r="D3118" s="500" t="s">
        <v>759</v>
      </c>
      <c r="E3118" s="501">
        <v>7003297.8300000001</v>
      </c>
      <c r="F3118" s="502" t="s">
        <v>878</v>
      </c>
      <c r="G3118" s="100" t="s">
        <v>1009</v>
      </c>
      <c r="H3118" s="100">
        <v>114395936</v>
      </c>
      <c r="I3118" s="525"/>
      <c r="K3118" s="548"/>
      <c r="L3118" s="548"/>
      <c r="M3118" s="548"/>
      <c r="N3118" s="552"/>
      <c r="Y3118" s="551"/>
    </row>
    <row r="3119" spans="1:25">
      <c r="A3119" s="499">
        <v>45583</v>
      </c>
      <c r="B3119" s="499">
        <v>45583</v>
      </c>
      <c r="C3119" s="500" t="s">
        <v>173</v>
      </c>
      <c r="D3119" s="500" t="s">
        <v>762</v>
      </c>
      <c r="E3119" s="501">
        <v>-6230329909.0600004</v>
      </c>
      <c r="F3119" s="502" t="s">
        <v>878</v>
      </c>
      <c r="G3119" s="100" t="s">
        <v>672</v>
      </c>
      <c r="H3119" s="530"/>
      <c r="I3119" s="525"/>
      <c r="K3119" s="548"/>
      <c r="L3119" s="548"/>
      <c r="M3119" s="548"/>
      <c r="N3119" s="552"/>
      <c r="Y3119" s="551"/>
    </row>
    <row r="3120" spans="1:25">
      <c r="A3120" s="499">
        <v>45583</v>
      </c>
      <c r="B3120" s="499">
        <v>45583</v>
      </c>
      <c r="C3120" s="500" t="s">
        <v>173</v>
      </c>
      <c r="D3120" s="500" t="s">
        <v>762</v>
      </c>
      <c r="E3120" s="501">
        <v>-22006732.699999999</v>
      </c>
      <c r="F3120" s="502" t="s">
        <v>878</v>
      </c>
      <c r="G3120" s="100" t="s">
        <v>656</v>
      </c>
      <c r="H3120" s="530"/>
      <c r="I3120" s="525"/>
      <c r="K3120" s="548"/>
      <c r="L3120" s="548"/>
      <c r="M3120" s="548"/>
      <c r="N3120" s="552"/>
      <c r="Y3120" s="551"/>
    </row>
    <row r="3121" spans="1:25">
      <c r="A3121" s="499">
        <v>45583</v>
      </c>
      <c r="B3121" s="499">
        <v>45586</v>
      </c>
      <c r="C3121" s="500" t="s">
        <v>173</v>
      </c>
      <c r="D3121" s="500" t="s">
        <v>762</v>
      </c>
      <c r="E3121" s="501">
        <v>6237402865.5600004</v>
      </c>
      <c r="F3121" s="502" t="s">
        <v>878</v>
      </c>
      <c r="G3121" s="100" t="s">
        <v>672</v>
      </c>
      <c r="H3121" s="484">
        <v>114409684</v>
      </c>
      <c r="I3121" s="525"/>
      <c r="K3121" s="548"/>
      <c r="L3121" s="548"/>
      <c r="M3121" s="548"/>
      <c r="N3121" s="552"/>
      <c r="Y3121" s="551"/>
    </row>
    <row r="3122" spans="1:25">
      <c r="A3122" s="499">
        <v>45583</v>
      </c>
      <c r="B3122" s="499">
        <v>45586</v>
      </c>
      <c r="C3122" s="500" t="s">
        <v>173</v>
      </c>
      <c r="D3122" s="500" t="s">
        <v>762</v>
      </c>
      <c r="E3122" s="501">
        <v>22031715.75</v>
      </c>
      <c r="F3122" s="502" t="s">
        <v>878</v>
      </c>
      <c r="G3122" s="100" t="s">
        <v>656</v>
      </c>
      <c r="H3122" s="484">
        <v>114409965</v>
      </c>
      <c r="I3122" s="525"/>
      <c r="K3122" s="548"/>
      <c r="L3122" s="548"/>
      <c r="M3122" s="548"/>
      <c r="N3122" s="552"/>
      <c r="Y3122" s="551"/>
    </row>
    <row r="3123" spans="1:25">
      <c r="A3123" s="499">
        <v>45583</v>
      </c>
      <c r="B3123" s="499">
        <v>45583</v>
      </c>
      <c r="C3123" s="500" t="s">
        <v>173</v>
      </c>
      <c r="D3123" s="500" t="s">
        <v>761</v>
      </c>
      <c r="E3123" s="501">
        <v>-870345037.64999998</v>
      </c>
      <c r="F3123" s="502" t="s">
        <v>878</v>
      </c>
      <c r="G3123" s="100" t="s">
        <v>674</v>
      </c>
      <c r="H3123" s="530"/>
      <c r="I3123" s="525"/>
      <c r="K3123" s="548"/>
      <c r="L3123" s="548"/>
      <c r="M3123" s="548"/>
      <c r="N3123" s="552"/>
      <c r="Y3123" s="551"/>
    </row>
    <row r="3124" spans="1:25">
      <c r="A3124" s="499">
        <v>45583</v>
      </c>
      <c r="B3124" s="499">
        <v>45583</v>
      </c>
      <c r="C3124" s="500" t="s">
        <v>173</v>
      </c>
      <c r="D3124" s="500" t="s">
        <v>761</v>
      </c>
      <c r="E3124" s="501">
        <v>-3001189.79</v>
      </c>
      <c r="F3124" s="502" t="s">
        <v>878</v>
      </c>
      <c r="G3124" s="100" t="s">
        <v>674</v>
      </c>
      <c r="H3124" s="530"/>
      <c r="I3124" s="525"/>
      <c r="K3124" s="548"/>
      <c r="L3124" s="548"/>
      <c r="M3124" s="548"/>
      <c r="N3124" s="552"/>
      <c r="Y3124" s="551"/>
    </row>
    <row r="3125" spans="1:25">
      <c r="A3125" s="499">
        <v>45583</v>
      </c>
      <c r="B3125" s="499">
        <v>45586</v>
      </c>
      <c r="C3125" s="500" t="s">
        <v>173</v>
      </c>
      <c r="D3125" s="500" t="s">
        <v>761</v>
      </c>
      <c r="E3125" s="501">
        <v>871315258.35000002</v>
      </c>
      <c r="F3125" s="502" t="s">
        <v>878</v>
      </c>
      <c r="G3125" s="100" t="s">
        <v>674</v>
      </c>
      <c r="H3125" s="484">
        <v>114410876</v>
      </c>
      <c r="I3125" s="525"/>
      <c r="K3125" s="548"/>
      <c r="L3125" s="548"/>
      <c r="M3125" s="548"/>
      <c r="N3125" s="552"/>
      <c r="Y3125" s="551"/>
    </row>
    <row r="3126" spans="1:25">
      <c r="A3126" s="499">
        <v>45583</v>
      </c>
      <c r="B3126" s="499">
        <v>45586</v>
      </c>
      <c r="C3126" s="500" t="s">
        <v>173</v>
      </c>
      <c r="D3126" s="500" t="s">
        <v>761</v>
      </c>
      <c r="E3126" s="501">
        <v>3004535.38</v>
      </c>
      <c r="F3126" s="502" t="s">
        <v>878</v>
      </c>
      <c r="G3126" s="100" t="s">
        <v>674</v>
      </c>
      <c r="H3126" s="484">
        <v>114410902</v>
      </c>
      <c r="I3126" s="525"/>
      <c r="K3126" s="548"/>
      <c r="L3126" s="548"/>
      <c r="M3126" s="548"/>
      <c r="N3126" s="552"/>
      <c r="Y3126" s="551"/>
    </row>
    <row r="3127" spans="1:25">
      <c r="A3127" s="499">
        <v>45583</v>
      </c>
      <c r="B3127" s="499">
        <v>45583</v>
      </c>
      <c r="C3127" s="500" t="s">
        <v>173</v>
      </c>
      <c r="D3127" s="500" t="s">
        <v>759</v>
      </c>
      <c r="E3127" s="501">
        <v>-1992609615.74</v>
      </c>
      <c r="F3127" s="502" t="s">
        <v>878</v>
      </c>
      <c r="G3127" s="100" t="s">
        <v>1010</v>
      </c>
      <c r="H3127" s="530"/>
      <c r="I3127" s="525"/>
      <c r="K3127" s="548"/>
      <c r="L3127" s="548"/>
      <c r="M3127" s="548"/>
      <c r="N3127" s="552"/>
      <c r="Y3127" s="551"/>
    </row>
    <row r="3128" spans="1:25">
      <c r="A3128" s="499">
        <v>45583</v>
      </c>
      <c r="B3128" s="499">
        <v>45583</v>
      </c>
      <c r="C3128" s="500" t="s">
        <v>173</v>
      </c>
      <c r="D3128" s="500" t="s">
        <v>759</v>
      </c>
      <c r="E3128" s="501">
        <v>-7002142.2199999997</v>
      </c>
      <c r="F3128" s="502" t="s">
        <v>878</v>
      </c>
      <c r="G3128" s="100" t="s">
        <v>1010</v>
      </c>
      <c r="H3128" s="530"/>
      <c r="I3128" s="525"/>
      <c r="K3128" s="548"/>
      <c r="L3128" s="548"/>
      <c r="M3128" s="548"/>
      <c r="N3128" s="552"/>
      <c r="Y3128" s="551"/>
    </row>
    <row r="3129" spans="1:25">
      <c r="A3129" s="499">
        <v>45583</v>
      </c>
      <c r="B3129" s="499">
        <v>45583</v>
      </c>
      <c r="C3129" s="500" t="s">
        <v>173</v>
      </c>
      <c r="D3129" s="500" t="s">
        <v>759</v>
      </c>
      <c r="E3129" s="501">
        <v>-629358986.02999997</v>
      </c>
      <c r="F3129" s="502" t="s">
        <v>878</v>
      </c>
      <c r="G3129" s="100" t="s">
        <v>590</v>
      </c>
      <c r="H3129" s="530"/>
      <c r="I3129" s="525"/>
      <c r="K3129" s="548"/>
      <c r="L3129" s="548"/>
      <c r="M3129" s="548"/>
      <c r="N3129" s="552"/>
      <c r="Y3129" s="551"/>
    </row>
    <row r="3130" spans="1:25">
      <c r="A3130" s="499">
        <v>45583</v>
      </c>
      <c r="B3130" s="499">
        <v>45583</v>
      </c>
      <c r="C3130" s="500" t="s">
        <v>173</v>
      </c>
      <c r="D3130" s="500" t="s">
        <v>759</v>
      </c>
      <c r="E3130" s="501">
        <v>-2185760124.9099998</v>
      </c>
      <c r="F3130" s="502" t="s">
        <v>878</v>
      </c>
      <c r="G3130" s="100" t="s">
        <v>1011</v>
      </c>
      <c r="H3130" s="530"/>
      <c r="I3130" s="525"/>
      <c r="K3130" s="548"/>
      <c r="L3130" s="548"/>
      <c r="M3130" s="548"/>
      <c r="N3130" s="552"/>
      <c r="Y3130" s="551"/>
    </row>
    <row r="3131" spans="1:25">
      <c r="A3131" s="499">
        <v>45583</v>
      </c>
      <c r="B3131" s="499">
        <v>45583</v>
      </c>
      <c r="C3131" s="500" t="s">
        <v>173</v>
      </c>
      <c r="D3131" s="500" t="s">
        <v>759</v>
      </c>
      <c r="E3131" s="501">
        <v>-973802452.55999994</v>
      </c>
      <c r="F3131" s="502" t="s">
        <v>878</v>
      </c>
      <c r="G3131" s="100" t="s">
        <v>1012</v>
      </c>
      <c r="H3131" s="530"/>
      <c r="I3131" s="525"/>
      <c r="K3131" s="548"/>
      <c r="L3131" s="548"/>
      <c r="M3131" s="548"/>
      <c r="N3131" s="552">
        <v>-1</v>
      </c>
      <c r="Y3131" s="551"/>
    </row>
    <row r="3132" spans="1:25">
      <c r="A3132" s="499">
        <v>45583</v>
      </c>
      <c r="B3132" s="499">
        <v>45583</v>
      </c>
      <c r="C3132" s="500" t="s">
        <v>173</v>
      </c>
      <c r="D3132" s="500" t="s">
        <v>759</v>
      </c>
      <c r="E3132" s="501">
        <v>-13010721.359999999</v>
      </c>
      <c r="F3132" s="502" t="s">
        <v>878</v>
      </c>
      <c r="G3132" s="100" t="s">
        <v>1012</v>
      </c>
      <c r="H3132" s="530"/>
      <c r="I3132" s="525"/>
      <c r="K3132" s="548"/>
      <c r="L3132" s="548"/>
      <c r="M3132" s="548"/>
      <c r="N3132" s="552"/>
      <c r="Y3132" s="551"/>
    </row>
    <row r="3133" spans="1:25">
      <c r="A3133" s="499">
        <v>45583</v>
      </c>
      <c r="B3133" s="499">
        <v>45586</v>
      </c>
      <c r="C3133" s="500" t="s">
        <v>173</v>
      </c>
      <c r="D3133" s="500" t="s">
        <v>759</v>
      </c>
      <c r="E3133" s="501">
        <v>1994848851.6300001</v>
      </c>
      <c r="F3133" s="502" t="s">
        <v>878</v>
      </c>
      <c r="G3133" s="100" t="s">
        <v>1010</v>
      </c>
      <c r="H3133" s="484">
        <v>114409949</v>
      </c>
      <c r="I3133" s="525"/>
      <c r="K3133" s="548"/>
      <c r="L3133" s="548"/>
      <c r="M3133" s="548"/>
      <c r="N3133" s="552"/>
      <c r="Y3133" s="551"/>
    </row>
    <row r="3134" spans="1:25">
      <c r="A3134" s="499">
        <v>45583</v>
      </c>
      <c r="B3134" s="499">
        <v>45586</v>
      </c>
      <c r="C3134" s="500" t="s">
        <v>173</v>
      </c>
      <c r="D3134" s="500" t="s">
        <v>759</v>
      </c>
      <c r="E3134" s="501">
        <v>7010011.0199999996</v>
      </c>
      <c r="F3134" s="502" t="s">
        <v>878</v>
      </c>
      <c r="G3134" s="100" t="s">
        <v>1010</v>
      </c>
      <c r="H3134" s="484">
        <v>114409959</v>
      </c>
      <c r="I3134" s="525"/>
      <c r="K3134" s="548"/>
      <c r="L3134" s="548"/>
      <c r="M3134" s="548"/>
      <c r="N3134" s="552"/>
      <c r="Y3134" s="551"/>
    </row>
    <row r="3135" spans="1:25">
      <c r="A3135" s="499">
        <v>45583</v>
      </c>
      <c r="B3135" s="499">
        <v>45593</v>
      </c>
      <c r="C3135" s="500" t="s">
        <v>173</v>
      </c>
      <c r="D3135" s="500" t="s">
        <v>759</v>
      </c>
      <c r="E3135" s="501">
        <v>631757858.30999994</v>
      </c>
      <c r="F3135" s="502" t="s">
        <v>878</v>
      </c>
      <c r="G3135" s="100" t="s">
        <v>590</v>
      </c>
      <c r="H3135" s="484">
        <v>114409976</v>
      </c>
      <c r="I3135" s="525"/>
      <c r="K3135" s="548"/>
      <c r="L3135" s="548"/>
      <c r="M3135" s="548"/>
      <c r="N3135" s="552"/>
      <c r="Y3135" s="551"/>
    </row>
    <row r="3136" spans="1:25">
      <c r="A3136" s="499">
        <v>45583</v>
      </c>
      <c r="B3136" s="499">
        <v>45593</v>
      </c>
      <c r="C3136" s="500" t="s">
        <v>173</v>
      </c>
      <c r="D3136" s="500" t="s">
        <v>759</v>
      </c>
      <c r="E3136" s="501">
        <v>2194073239.5300002</v>
      </c>
      <c r="F3136" s="502" t="s">
        <v>878</v>
      </c>
      <c r="G3136" s="100" t="s">
        <v>1011</v>
      </c>
      <c r="H3136" s="484">
        <v>114409979</v>
      </c>
      <c r="I3136" s="525"/>
      <c r="K3136" s="548"/>
      <c r="L3136" s="548"/>
      <c r="M3136" s="548"/>
      <c r="N3136" s="552"/>
      <c r="Y3136" s="551"/>
    </row>
    <row r="3137" spans="1:25">
      <c r="A3137" s="499">
        <v>45583</v>
      </c>
      <c r="B3137" s="499">
        <v>45593</v>
      </c>
      <c r="C3137" s="500" t="s">
        <v>173</v>
      </c>
      <c r="D3137" s="500" t="s">
        <v>759</v>
      </c>
      <c r="E3137" s="501">
        <v>977506121.27999997</v>
      </c>
      <c r="F3137" s="502" t="s">
        <v>878</v>
      </c>
      <c r="G3137" s="100" t="s">
        <v>1012</v>
      </c>
      <c r="H3137" s="484">
        <v>114409982</v>
      </c>
      <c r="I3137" s="525"/>
      <c r="K3137" s="548"/>
      <c r="L3137" s="548"/>
      <c r="M3137" s="548"/>
      <c r="N3137" s="552"/>
      <c r="Y3137" s="551"/>
    </row>
    <row r="3138" spans="1:25">
      <c r="A3138" s="499">
        <v>45583</v>
      </c>
      <c r="B3138" s="499">
        <v>45593</v>
      </c>
      <c r="C3138" s="500" t="s">
        <v>173</v>
      </c>
      <c r="D3138" s="500" t="s">
        <v>759</v>
      </c>
      <c r="E3138" s="501">
        <v>13060205.109999999</v>
      </c>
      <c r="F3138" s="502" t="s">
        <v>878</v>
      </c>
      <c r="G3138" s="100" t="s">
        <v>1012</v>
      </c>
      <c r="H3138" s="484">
        <v>114409987</v>
      </c>
      <c r="I3138" s="525"/>
      <c r="K3138" s="548"/>
      <c r="L3138" s="548"/>
      <c r="M3138" s="548"/>
      <c r="N3138" s="552"/>
      <c r="Y3138" s="551"/>
    </row>
    <row r="3139" spans="1:25">
      <c r="A3139" s="499">
        <v>45583</v>
      </c>
      <c r="B3139" s="499">
        <v>45583</v>
      </c>
      <c r="C3139" s="500" t="s">
        <v>173</v>
      </c>
      <c r="D3139" s="500" t="s">
        <v>760</v>
      </c>
      <c r="E3139" s="501">
        <v>-1245573764.48</v>
      </c>
      <c r="F3139" s="502" t="s">
        <v>878</v>
      </c>
      <c r="G3139" s="100" t="s">
        <v>675</v>
      </c>
      <c r="H3139" s="530"/>
      <c r="I3139" s="525"/>
      <c r="K3139" s="548"/>
      <c r="L3139" s="548"/>
      <c r="M3139" s="548"/>
      <c r="N3139" s="552"/>
      <c r="Y3139" s="551"/>
    </row>
    <row r="3140" spans="1:25">
      <c r="A3140" s="499">
        <v>45583</v>
      </c>
      <c r="B3140" s="499">
        <v>45583</v>
      </c>
      <c r="C3140" s="500" t="s">
        <v>173</v>
      </c>
      <c r="D3140" s="500" t="s">
        <v>760</v>
      </c>
      <c r="E3140" s="501">
        <v>-33022950.050000001</v>
      </c>
      <c r="F3140" s="502" t="s">
        <v>878</v>
      </c>
      <c r="G3140" s="100" t="s">
        <v>672</v>
      </c>
      <c r="H3140" s="530"/>
      <c r="I3140" s="525"/>
      <c r="K3140" s="548"/>
      <c r="L3140" s="548"/>
      <c r="M3140" s="548"/>
      <c r="N3140" s="552"/>
      <c r="Y3140" s="551"/>
    </row>
    <row r="3141" spans="1:25">
      <c r="A3141" s="499">
        <v>45583</v>
      </c>
      <c r="B3141" s="499">
        <v>45586</v>
      </c>
      <c r="C3141" s="500" t="s">
        <v>173</v>
      </c>
      <c r="D3141" s="500" t="s">
        <v>760</v>
      </c>
      <c r="E3141" s="501">
        <v>1246987786.78</v>
      </c>
      <c r="F3141" s="502" t="s">
        <v>878</v>
      </c>
      <c r="G3141" s="100" t="s">
        <v>675</v>
      </c>
      <c r="H3141" s="484">
        <v>114408878</v>
      </c>
      <c r="I3141" s="525"/>
      <c r="K3141" s="548"/>
      <c r="L3141" s="548"/>
      <c r="M3141" s="548"/>
      <c r="N3141" s="552"/>
      <c r="Y3141" s="551"/>
    </row>
    <row r="3142" spans="1:25">
      <c r="A3142" s="499">
        <v>45583</v>
      </c>
      <c r="B3142" s="499">
        <v>45586</v>
      </c>
      <c r="C3142" s="500" t="s">
        <v>173</v>
      </c>
      <c r="D3142" s="500" t="s">
        <v>760</v>
      </c>
      <c r="E3142" s="501">
        <v>33060466.289999999</v>
      </c>
      <c r="F3142" s="502" t="s">
        <v>878</v>
      </c>
      <c r="G3142" s="100" t="s">
        <v>672</v>
      </c>
      <c r="H3142" s="484">
        <v>114409690</v>
      </c>
      <c r="I3142" s="525"/>
      <c r="K3142" s="548"/>
      <c r="L3142" s="548"/>
      <c r="M3142" s="548"/>
      <c r="N3142" s="552"/>
      <c r="Y3142" s="551"/>
    </row>
    <row r="3143" spans="1:25">
      <c r="A3143" s="499">
        <v>45583</v>
      </c>
      <c r="B3143" s="499">
        <v>45583</v>
      </c>
      <c r="C3143" s="500" t="s">
        <v>173</v>
      </c>
      <c r="D3143" s="500" t="s">
        <v>763</v>
      </c>
      <c r="E3143" s="501">
        <v>-5388427724.7600002</v>
      </c>
      <c r="F3143" s="502" t="s">
        <v>878</v>
      </c>
      <c r="G3143" s="100" t="s">
        <v>644</v>
      </c>
      <c r="H3143" s="530"/>
      <c r="I3143" s="525"/>
      <c r="K3143" s="548"/>
      <c r="L3143" s="548"/>
      <c r="M3143" s="548"/>
      <c r="N3143" s="552"/>
      <c r="Y3143" s="551"/>
    </row>
    <row r="3144" spans="1:25">
      <c r="A3144" s="499">
        <v>45583</v>
      </c>
      <c r="B3144" s="499">
        <v>45583</v>
      </c>
      <c r="C3144" s="500" t="s">
        <v>173</v>
      </c>
      <c r="D3144" s="500" t="s">
        <v>763</v>
      </c>
      <c r="E3144" s="501">
        <v>-22011451.440000001</v>
      </c>
      <c r="F3144" s="502" t="s">
        <v>878</v>
      </c>
      <c r="G3144" s="100" t="s">
        <v>677</v>
      </c>
      <c r="H3144" s="530"/>
      <c r="I3144" s="525"/>
      <c r="K3144" s="548"/>
      <c r="L3144" s="548"/>
      <c r="M3144" s="548"/>
      <c r="N3144" s="552"/>
      <c r="Y3144" s="551"/>
    </row>
    <row r="3145" spans="1:25">
      <c r="A3145" s="499">
        <v>45583</v>
      </c>
      <c r="B3145" s="499">
        <v>45586</v>
      </c>
      <c r="C3145" s="500" t="s">
        <v>173</v>
      </c>
      <c r="D3145" s="500" t="s">
        <v>763</v>
      </c>
      <c r="E3145" s="501">
        <v>5394394966.79</v>
      </c>
      <c r="F3145" s="502" t="s">
        <v>878</v>
      </c>
      <c r="G3145" s="100" t="s">
        <v>644</v>
      </c>
      <c r="H3145" s="484">
        <v>114407506</v>
      </c>
      <c r="I3145" s="525"/>
      <c r="K3145" s="548"/>
      <c r="L3145" s="548"/>
      <c r="M3145" s="548"/>
      <c r="N3145" s="552"/>
      <c r="Y3145" s="551"/>
    </row>
    <row r="3146" spans="1:25">
      <c r="A3146" s="499">
        <v>45583</v>
      </c>
      <c r="B3146" s="499">
        <v>45586</v>
      </c>
      <c r="C3146" s="500" t="s">
        <v>173</v>
      </c>
      <c r="D3146" s="500" t="s">
        <v>763</v>
      </c>
      <c r="E3146" s="501">
        <v>22035826.600000001</v>
      </c>
      <c r="F3146" s="502" t="s">
        <v>878</v>
      </c>
      <c r="G3146" s="100" t="s">
        <v>677</v>
      </c>
      <c r="H3146" s="484">
        <v>114407765</v>
      </c>
      <c r="I3146" s="525"/>
      <c r="K3146" s="548"/>
      <c r="L3146" s="548"/>
      <c r="M3146" s="548"/>
      <c r="N3146" s="552"/>
      <c r="Y3146" s="551"/>
    </row>
    <row r="3147" spans="1:25">
      <c r="A3147" s="499">
        <v>45586</v>
      </c>
      <c r="B3147" s="499">
        <v>45586</v>
      </c>
      <c r="C3147" s="500" t="s">
        <v>173</v>
      </c>
      <c r="D3147" s="500" t="s">
        <v>762</v>
      </c>
      <c r="E3147" s="501">
        <v>-4454390036.25</v>
      </c>
      <c r="F3147" s="502" t="s">
        <v>878</v>
      </c>
      <c r="G3147" s="100" t="s">
        <v>654</v>
      </c>
      <c r="H3147" s="530"/>
      <c r="I3147" s="525"/>
      <c r="K3147" s="548"/>
      <c r="L3147" s="548"/>
      <c r="M3147" s="548"/>
      <c r="N3147" s="552"/>
      <c r="Y3147" s="551"/>
    </row>
    <row r="3148" spans="1:25">
      <c r="A3148" s="499">
        <v>45586</v>
      </c>
      <c r="B3148" s="499">
        <v>45586</v>
      </c>
      <c r="C3148" s="500" t="s">
        <v>173</v>
      </c>
      <c r="D3148" s="500" t="s">
        <v>762</v>
      </c>
      <c r="E3148" s="501">
        <v>-1782843821.55</v>
      </c>
      <c r="F3148" s="502" t="s">
        <v>878</v>
      </c>
      <c r="G3148" s="100" t="s">
        <v>653</v>
      </c>
      <c r="H3148" s="530"/>
      <c r="I3148" s="525"/>
      <c r="K3148" s="548"/>
      <c r="L3148" s="548"/>
      <c r="M3148" s="548"/>
      <c r="N3148" s="552"/>
      <c r="Y3148" s="551"/>
    </row>
    <row r="3149" spans="1:25">
      <c r="A3149" s="499">
        <v>45586</v>
      </c>
      <c r="B3149" s="499">
        <v>45586</v>
      </c>
      <c r="C3149" s="500" t="s">
        <v>173</v>
      </c>
      <c r="D3149" s="500" t="s">
        <v>762</v>
      </c>
      <c r="E3149" s="501">
        <v>-22010417.550000001</v>
      </c>
      <c r="F3149" s="502" t="s">
        <v>878</v>
      </c>
      <c r="G3149" s="100" t="s">
        <v>653</v>
      </c>
      <c r="H3149" s="530"/>
      <c r="I3149" s="525"/>
      <c r="K3149" s="548"/>
      <c r="L3149" s="548"/>
      <c r="M3149" s="548"/>
      <c r="N3149" s="552"/>
      <c r="Y3149" s="551"/>
    </row>
    <row r="3150" spans="1:25">
      <c r="A3150" s="499">
        <v>45586</v>
      </c>
      <c r="B3150" s="499">
        <v>45587</v>
      </c>
      <c r="C3150" s="500" t="s">
        <v>173</v>
      </c>
      <c r="D3150" s="500" t="s">
        <v>762</v>
      </c>
      <c r="E3150" s="501">
        <v>4456075657.7600002</v>
      </c>
      <c r="F3150" s="502" t="s">
        <v>878</v>
      </c>
      <c r="G3150" s="100" t="s">
        <v>654</v>
      </c>
      <c r="H3150" s="484">
        <v>114424017</v>
      </c>
      <c r="I3150" s="525"/>
      <c r="K3150" s="548"/>
      <c r="L3150" s="548"/>
      <c r="M3150" s="548"/>
      <c r="N3150" s="552"/>
      <c r="Y3150" s="551"/>
    </row>
    <row r="3151" spans="1:25">
      <c r="A3151" s="499">
        <v>45586</v>
      </c>
      <c r="B3151" s="499">
        <v>45587</v>
      </c>
      <c r="C3151" s="500" t="s">
        <v>173</v>
      </c>
      <c r="D3151" s="500" t="s">
        <v>762</v>
      </c>
      <c r="E3151" s="501">
        <v>1783518481.8</v>
      </c>
      <c r="F3151" s="502" t="s">
        <v>878</v>
      </c>
      <c r="G3151" s="100" t="s">
        <v>653</v>
      </c>
      <c r="H3151" s="484">
        <v>114424020</v>
      </c>
      <c r="I3151" s="525"/>
      <c r="K3151" s="548"/>
      <c r="L3151" s="548"/>
      <c r="M3151" s="548"/>
      <c r="N3151" s="552"/>
      <c r="Y3151" s="551"/>
    </row>
    <row r="3152" spans="1:25">
      <c r="A3152" s="499">
        <v>45586</v>
      </c>
      <c r="B3152" s="499">
        <v>45587</v>
      </c>
      <c r="C3152" s="500" t="s">
        <v>173</v>
      </c>
      <c r="D3152" s="500" t="s">
        <v>762</v>
      </c>
      <c r="E3152" s="501">
        <v>22018746.690000001</v>
      </c>
      <c r="F3152" s="502" t="s">
        <v>878</v>
      </c>
      <c r="G3152" s="100" t="s">
        <v>653</v>
      </c>
      <c r="H3152" s="484">
        <v>114424097</v>
      </c>
      <c r="I3152" s="525"/>
      <c r="K3152" s="548"/>
      <c r="L3152" s="548"/>
      <c r="M3152" s="548"/>
      <c r="N3152" s="552"/>
      <c r="Y3152" s="551"/>
    </row>
    <row r="3153" spans="1:25">
      <c r="A3153" s="499">
        <v>45586</v>
      </c>
      <c r="B3153" s="499">
        <v>45586</v>
      </c>
      <c r="C3153" s="500" t="s">
        <v>173</v>
      </c>
      <c r="D3153" s="500" t="s">
        <v>761</v>
      </c>
      <c r="E3153" s="501">
        <v>-870169967.02999997</v>
      </c>
      <c r="F3153" s="502" t="s">
        <v>878</v>
      </c>
      <c r="G3153" s="100" t="s">
        <v>631</v>
      </c>
      <c r="H3153" s="530"/>
      <c r="I3153" s="525"/>
      <c r="K3153" s="548"/>
      <c r="L3153" s="548"/>
      <c r="M3153" s="548"/>
      <c r="N3153" s="552"/>
      <c r="Y3153" s="551"/>
    </row>
    <row r="3154" spans="1:25">
      <c r="A3154" s="499">
        <v>45586</v>
      </c>
      <c r="B3154" s="499">
        <v>45586</v>
      </c>
      <c r="C3154" s="500" t="s">
        <v>173</v>
      </c>
      <c r="D3154" s="500" t="s">
        <v>761</v>
      </c>
      <c r="E3154" s="501">
        <v>-4001321.67</v>
      </c>
      <c r="F3154" s="502" t="s">
        <v>878</v>
      </c>
      <c r="G3154" s="100" t="s">
        <v>633</v>
      </c>
      <c r="H3154" s="530"/>
      <c r="I3154" s="525"/>
      <c r="K3154" s="548"/>
      <c r="L3154" s="548"/>
      <c r="M3154" s="548"/>
      <c r="N3154" s="552"/>
      <c r="Y3154" s="551"/>
    </row>
    <row r="3155" spans="1:25">
      <c r="A3155" s="499">
        <v>45586</v>
      </c>
      <c r="B3155" s="499">
        <v>45587</v>
      </c>
      <c r="C3155" s="500" t="s">
        <v>173</v>
      </c>
      <c r="D3155" s="500" t="s">
        <v>761</v>
      </c>
      <c r="E3155" s="501">
        <v>870502818.92999995</v>
      </c>
      <c r="F3155" s="502" t="s">
        <v>878</v>
      </c>
      <c r="G3155" s="100" t="s">
        <v>631</v>
      </c>
      <c r="H3155" s="484">
        <v>114423635</v>
      </c>
      <c r="I3155" s="525"/>
      <c r="K3155" s="548"/>
      <c r="L3155" s="548"/>
      <c r="M3155" s="548"/>
      <c r="N3155" s="552"/>
      <c r="Y3155" s="551"/>
    </row>
    <row r="3156" spans="1:25">
      <c r="A3156" s="499">
        <v>45586</v>
      </c>
      <c r="B3156" s="499">
        <v>45587</v>
      </c>
      <c r="C3156" s="500" t="s">
        <v>173</v>
      </c>
      <c r="D3156" s="500" t="s">
        <v>761</v>
      </c>
      <c r="E3156" s="501">
        <v>4002841.3</v>
      </c>
      <c r="F3156" s="502" t="s">
        <v>878</v>
      </c>
      <c r="G3156" s="100" t="s">
        <v>633</v>
      </c>
      <c r="H3156" s="484">
        <v>114423828</v>
      </c>
      <c r="I3156" s="525"/>
      <c r="K3156" s="548"/>
      <c r="L3156" s="548"/>
      <c r="M3156" s="548"/>
      <c r="N3156" s="552"/>
      <c r="Y3156" s="551"/>
    </row>
    <row r="3157" spans="1:25">
      <c r="A3157" s="499">
        <v>45586</v>
      </c>
      <c r="B3157" s="499">
        <v>45586</v>
      </c>
      <c r="C3157" s="500" t="s">
        <v>173</v>
      </c>
      <c r="D3157" s="500" t="s">
        <v>759</v>
      </c>
      <c r="E3157" s="501">
        <v>-843544602.45000005</v>
      </c>
      <c r="F3157" s="502" t="s">
        <v>878</v>
      </c>
      <c r="G3157" s="100" t="s">
        <v>711</v>
      </c>
      <c r="H3157" s="530"/>
      <c r="I3157" s="525"/>
      <c r="K3157" s="548"/>
      <c r="L3157" s="548"/>
      <c r="M3157" s="548"/>
      <c r="N3157" s="552"/>
      <c r="Y3157" s="551"/>
    </row>
    <row r="3158" spans="1:25">
      <c r="A3158" s="499">
        <v>45586</v>
      </c>
      <c r="B3158" s="499">
        <v>45586</v>
      </c>
      <c r="C3158" s="500" t="s">
        <v>173</v>
      </c>
      <c r="D3158" s="500" t="s">
        <v>759</v>
      </c>
      <c r="E3158" s="501">
        <v>-851293300.54999995</v>
      </c>
      <c r="F3158" s="502" t="s">
        <v>878</v>
      </c>
      <c r="G3158" s="100" t="s">
        <v>689</v>
      </c>
      <c r="H3158" s="530"/>
      <c r="I3158" s="525"/>
      <c r="K3158" s="548"/>
      <c r="L3158" s="548"/>
      <c r="M3158" s="548"/>
      <c r="N3158" s="552"/>
      <c r="Y3158" s="551"/>
    </row>
    <row r="3159" spans="1:25">
      <c r="A3159" s="499">
        <v>45586</v>
      </c>
      <c r="B3159" s="499">
        <v>45586</v>
      </c>
      <c r="C3159" s="500" t="s">
        <v>173</v>
      </c>
      <c r="D3159" s="500" t="s">
        <v>759</v>
      </c>
      <c r="E3159" s="501">
        <v>-298195634.01999998</v>
      </c>
      <c r="F3159" s="502" t="s">
        <v>878</v>
      </c>
      <c r="G3159" s="100" t="s">
        <v>673</v>
      </c>
      <c r="H3159" s="530"/>
      <c r="I3159" s="525"/>
      <c r="K3159" s="548"/>
      <c r="L3159" s="548"/>
      <c r="M3159" s="548"/>
      <c r="N3159" s="552"/>
      <c r="Y3159" s="551"/>
    </row>
    <row r="3160" spans="1:25">
      <c r="A3160" s="499">
        <v>45586</v>
      </c>
      <c r="B3160" s="499">
        <v>45586</v>
      </c>
      <c r="C3160" s="500" t="s">
        <v>173</v>
      </c>
      <c r="D3160" s="500" t="s">
        <v>759</v>
      </c>
      <c r="E3160" s="501">
        <v>-9004401.8499999996</v>
      </c>
      <c r="F3160" s="502" t="s">
        <v>878</v>
      </c>
      <c r="G3160" s="100" t="s">
        <v>590</v>
      </c>
      <c r="H3160" s="530"/>
      <c r="I3160" s="525"/>
      <c r="K3160" s="548"/>
      <c r="L3160" s="548"/>
      <c r="M3160" s="548"/>
      <c r="N3160" s="552"/>
      <c r="Y3160" s="551"/>
    </row>
    <row r="3161" spans="1:25">
      <c r="A3161" s="499">
        <v>45586</v>
      </c>
      <c r="B3161" s="499">
        <v>45587</v>
      </c>
      <c r="C3161" s="500" t="s">
        <v>173</v>
      </c>
      <c r="D3161" s="500" t="s">
        <v>759</v>
      </c>
      <c r="E3161" s="501">
        <v>843863812.63</v>
      </c>
      <c r="F3161" s="502" t="s">
        <v>878</v>
      </c>
      <c r="G3161" s="100" t="s">
        <v>711</v>
      </c>
      <c r="H3161" s="484">
        <v>114422109</v>
      </c>
      <c r="I3161" s="525"/>
      <c r="K3161" s="548"/>
      <c r="L3161" s="548"/>
      <c r="M3161" s="548"/>
      <c r="N3161" s="552"/>
      <c r="Y3161" s="551"/>
    </row>
    <row r="3162" spans="1:25">
      <c r="A3162" s="499">
        <v>45586</v>
      </c>
      <c r="B3162" s="499">
        <v>45587</v>
      </c>
      <c r="C3162" s="500" t="s">
        <v>173</v>
      </c>
      <c r="D3162" s="500" t="s">
        <v>759</v>
      </c>
      <c r="E3162" s="501">
        <v>851615442.96000004</v>
      </c>
      <c r="F3162" s="502" t="s">
        <v>878</v>
      </c>
      <c r="G3162" s="100" t="s">
        <v>689</v>
      </c>
      <c r="H3162" s="484">
        <v>114422112</v>
      </c>
      <c r="I3162" s="525"/>
      <c r="K3162" s="548"/>
      <c r="L3162" s="548"/>
      <c r="M3162" s="548"/>
      <c r="N3162" s="552"/>
      <c r="Y3162" s="551"/>
    </row>
    <row r="3163" spans="1:25">
      <c r="A3163" s="499">
        <v>45586</v>
      </c>
      <c r="B3163" s="499">
        <v>45587</v>
      </c>
      <c r="C3163" s="500" t="s">
        <v>173</v>
      </c>
      <c r="D3163" s="500" t="s">
        <v>759</v>
      </c>
      <c r="E3163" s="501">
        <v>298308475.81</v>
      </c>
      <c r="F3163" s="502" t="s">
        <v>878</v>
      </c>
      <c r="G3163" s="100" t="s">
        <v>673</v>
      </c>
      <c r="H3163" s="484">
        <v>114422177</v>
      </c>
      <c r="I3163" s="525"/>
      <c r="K3163" s="548"/>
      <c r="L3163" s="548"/>
      <c r="M3163" s="548"/>
      <c r="N3163" s="552"/>
      <c r="Y3163" s="551"/>
    </row>
    <row r="3164" spans="1:25">
      <c r="A3164" s="499">
        <v>45586</v>
      </c>
      <c r="B3164" s="499">
        <v>45587</v>
      </c>
      <c r="C3164" s="500" t="s">
        <v>173</v>
      </c>
      <c r="D3164" s="500" t="s">
        <v>759</v>
      </c>
      <c r="E3164" s="501">
        <v>9007969.1899999995</v>
      </c>
      <c r="F3164" s="502" t="s">
        <v>878</v>
      </c>
      <c r="G3164" s="100" t="s">
        <v>590</v>
      </c>
      <c r="H3164" s="484">
        <v>114428074</v>
      </c>
      <c r="I3164" s="525"/>
      <c r="K3164" s="548"/>
      <c r="L3164" s="548"/>
      <c r="M3164" s="548"/>
      <c r="N3164" s="552"/>
      <c r="Y3164" s="551"/>
    </row>
    <row r="3165" spans="1:25">
      <c r="A3165" s="499">
        <v>45586</v>
      </c>
      <c r="B3165" s="499">
        <v>45586</v>
      </c>
      <c r="C3165" s="500" t="s">
        <v>173</v>
      </c>
      <c r="D3165" s="500" t="s">
        <v>760</v>
      </c>
      <c r="E3165" s="501">
        <v>-1250413020.5</v>
      </c>
      <c r="F3165" s="502" t="s">
        <v>878</v>
      </c>
      <c r="G3165" s="100" t="s">
        <v>633</v>
      </c>
      <c r="H3165" s="530"/>
      <c r="I3165" s="525"/>
      <c r="K3165" s="548"/>
      <c r="L3165" s="548"/>
      <c r="M3165" s="548"/>
      <c r="N3165" s="552"/>
      <c r="Y3165" s="551"/>
    </row>
    <row r="3166" spans="1:25">
      <c r="A3166" s="499">
        <v>45586</v>
      </c>
      <c r="B3166" s="499">
        <v>45586</v>
      </c>
      <c r="C3166" s="500" t="s">
        <v>173</v>
      </c>
      <c r="D3166" s="500" t="s">
        <v>760</v>
      </c>
      <c r="E3166" s="501">
        <v>-29009582.079999998</v>
      </c>
      <c r="F3166" s="502" t="s">
        <v>878</v>
      </c>
      <c r="G3166" s="100" t="s">
        <v>633</v>
      </c>
      <c r="H3166" s="530"/>
      <c r="I3166" s="525"/>
      <c r="K3166" s="548"/>
      <c r="L3166" s="548"/>
      <c r="M3166" s="548"/>
      <c r="N3166" s="552"/>
      <c r="Y3166" s="551"/>
    </row>
    <row r="3167" spans="1:25">
      <c r="A3167" s="499">
        <v>45586</v>
      </c>
      <c r="B3167" s="499">
        <v>45587</v>
      </c>
      <c r="C3167" s="500" t="s">
        <v>173</v>
      </c>
      <c r="D3167" s="500" t="s">
        <v>760</v>
      </c>
      <c r="E3167" s="501">
        <v>1250887900.72</v>
      </c>
      <c r="F3167" s="502" t="s">
        <v>878</v>
      </c>
      <c r="G3167" s="100" t="s">
        <v>633</v>
      </c>
      <c r="H3167" s="484">
        <v>114423501</v>
      </c>
      <c r="I3167" s="525"/>
      <c r="K3167" s="548"/>
      <c r="L3167" s="548"/>
      <c r="M3167" s="548"/>
      <c r="N3167" s="552"/>
      <c r="Y3167" s="551"/>
    </row>
    <row r="3168" spans="1:25">
      <c r="A3168" s="499">
        <v>45586</v>
      </c>
      <c r="B3168" s="499">
        <v>45587</v>
      </c>
      <c r="C3168" s="500" t="s">
        <v>173</v>
      </c>
      <c r="D3168" s="500" t="s">
        <v>760</v>
      </c>
      <c r="E3168" s="501">
        <v>29020599.379999999</v>
      </c>
      <c r="F3168" s="502" t="s">
        <v>878</v>
      </c>
      <c r="G3168" s="100" t="s">
        <v>633</v>
      </c>
      <c r="H3168" s="484">
        <v>114423819</v>
      </c>
      <c r="I3168" s="525"/>
      <c r="K3168" s="548"/>
      <c r="L3168" s="548"/>
      <c r="M3168" s="548"/>
      <c r="N3168" s="552"/>
      <c r="Y3168" s="551"/>
    </row>
    <row r="3169" spans="1:25">
      <c r="A3169" s="499">
        <v>45586</v>
      </c>
      <c r="B3169" s="499">
        <v>45586</v>
      </c>
      <c r="C3169" s="500" t="s">
        <v>173</v>
      </c>
      <c r="D3169" s="500" t="s">
        <v>763</v>
      </c>
      <c r="E3169" s="501">
        <v>-2644495326.96</v>
      </c>
      <c r="F3169" s="502" t="s">
        <v>878</v>
      </c>
      <c r="G3169" s="100" t="s">
        <v>816</v>
      </c>
      <c r="H3169" s="530"/>
      <c r="I3169" s="525"/>
      <c r="K3169" s="548"/>
      <c r="L3169" s="548"/>
      <c r="M3169" s="548"/>
      <c r="N3169" s="552"/>
      <c r="Y3169" s="551"/>
    </row>
    <row r="3170" spans="1:25">
      <c r="A3170" s="499">
        <v>45586</v>
      </c>
      <c r="B3170" s="499">
        <v>45586</v>
      </c>
      <c r="C3170" s="500" t="s">
        <v>173</v>
      </c>
      <c r="D3170" s="500" t="s">
        <v>763</v>
      </c>
      <c r="E3170" s="501">
        <v>-2751437075.75</v>
      </c>
      <c r="F3170" s="502" t="s">
        <v>878</v>
      </c>
      <c r="G3170" s="100" t="s">
        <v>716</v>
      </c>
      <c r="H3170" s="530"/>
      <c r="I3170" s="525"/>
      <c r="K3170" s="548"/>
      <c r="L3170" s="548"/>
      <c r="M3170" s="548"/>
      <c r="N3170" s="552"/>
      <c r="Y3170" s="551"/>
    </row>
    <row r="3171" spans="1:25">
      <c r="A3171" s="499">
        <v>45586</v>
      </c>
      <c r="B3171" s="499">
        <v>45586</v>
      </c>
      <c r="C3171" s="500" t="s">
        <v>173</v>
      </c>
      <c r="D3171" s="500" t="s">
        <v>763</v>
      </c>
      <c r="E3171" s="501">
        <v>-21002638.760000002</v>
      </c>
      <c r="F3171" s="502" t="s">
        <v>878</v>
      </c>
      <c r="G3171" s="100" t="s">
        <v>550</v>
      </c>
      <c r="H3171" s="530"/>
      <c r="I3171" s="525"/>
      <c r="K3171" s="548"/>
      <c r="L3171" s="548"/>
      <c r="M3171" s="548"/>
      <c r="N3171" s="552"/>
      <c r="Y3171" s="551"/>
    </row>
    <row r="3172" spans="1:25">
      <c r="A3172" s="499">
        <v>45586</v>
      </c>
      <c r="B3172" s="499">
        <v>45587</v>
      </c>
      <c r="C3172" s="500" t="s">
        <v>173</v>
      </c>
      <c r="D3172" s="500" t="s">
        <v>763</v>
      </c>
      <c r="E3172" s="501">
        <v>2645474368.2600002</v>
      </c>
      <c r="F3172" s="502" t="s">
        <v>878</v>
      </c>
      <c r="G3172" s="100" t="s">
        <v>816</v>
      </c>
      <c r="H3172" s="484">
        <v>114421056</v>
      </c>
      <c r="I3172" s="525"/>
      <c r="K3172" s="548"/>
      <c r="L3172" s="548"/>
      <c r="M3172" s="548"/>
      <c r="N3172" s="552"/>
      <c r="Y3172" s="551"/>
    </row>
    <row r="3173" spans="1:25">
      <c r="A3173" s="499">
        <v>45586</v>
      </c>
      <c r="B3173" s="499">
        <v>45587</v>
      </c>
      <c r="C3173" s="500" t="s">
        <v>173</v>
      </c>
      <c r="D3173" s="500" t="s">
        <v>763</v>
      </c>
      <c r="E3173" s="501">
        <v>2752455708.8800001</v>
      </c>
      <c r="F3173" s="502" t="s">
        <v>878</v>
      </c>
      <c r="G3173" s="100" t="s">
        <v>716</v>
      </c>
      <c r="H3173" s="484">
        <v>114421059</v>
      </c>
      <c r="I3173" s="525"/>
      <c r="K3173" s="548"/>
      <c r="L3173" s="548"/>
      <c r="M3173" s="548"/>
      <c r="N3173" s="552"/>
      <c r="Y3173" s="551"/>
    </row>
    <row r="3174" spans="1:25">
      <c r="A3174" s="499">
        <v>45586</v>
      </c>
      <c r="B3174" s="499">
        <v>45587</v>
      </c>
      <c r="C3174" s="500" t="s">
        <v>173</v>
      </c>
      <c r="D3174" s="500" t="s">
        <v>763</v>
      </c>
      <c r="E3174" s="501">
        <v>21010443.02</v>
      </c>
      <c r="F3174" s="502" t="s">
        <v>878</v>
      </c>
      <c r="G3174" s="100" t="s">
        <v>550</v>
      </c>
      <c r="H3174" s="484">
        <v>114421435</v>
      </c>
      <c r="I3174" s="525"/>
      <c r="K3174" s="548"/>
      <c r="L3174" s="548"/>
      <c r="M3174" s="548"/>
      <c r="N3174" s="552"/>
      <c r="Y3174" s="551"/>
    </row>
    <row r="3175" spans="1:25">
      <c r="A3175" s="499">
        <v>45587</v>
      </c>
      <c r="B3175" s="499">
        <v>45587</v>
      </c>
      <c r="C3175" s="500" t="s">
        <v>173</v>
      </c>
      <c r="D3175" s="500" t="s">
        <v>762</v>
      </c>
      <c r="E3175" s="501">
        <v>-1458119789.28</v>
      </c>
      <c r="F3175" s="502" t="s">
        <v>878</v>
      </c>
      <c r="G3175" s="100" t="s">
        <v>1007</v>
      </c>
      <c r="H3175" s="530"/>
      <c r="I3175" s="525"/>
      <c r="K3175" s="548"/>
      <c r="L3175" s="548"/>
      <c r="M3175" s="548"/>
      <c r="N3175" s="552"/>
      <c r="Y3175" s="551"/>
    </row>
    <row r="3176" spans="1:25">
      <c r="A3176" s="499">
        <v>45587</v>
      </c>
      <c r="B3176" s="499">
        <v>45587</v>
      </c>
      <c r="C3176" s="500" t="s">
        <v>173</v>
      </c>
      <c r="D3176" s="500" t="s">
        <v>762</v>
      </c>
      <c r="E3176" s="501">
        <v>-27002218.32</v>
      </c>
      <c r="F3176" s="502" t="s">
        <v>878</v>
      </c>
      <c r="G3176" s="100" t="s">
        <v>1007</v>
      </c>
      <c r="H3176" s="530"/>
      <c r="I3176" s="525"/>
      <c r="K3176" s="548"/>
      <c r="L3176" s="548"/>
      <c r="M3176" s="548"/>
      <c r="N3176" s="552"/>
      <c r="Y3176" s="551"/>
    </row>
    <row r="3177" spans="1:25">
      <c r="A3177" s="499">
        <v>45587</v>
      </c>
      <c r="B3177" s="499">
        <v>45587</v>
      </c>
      <c r="C3177" s="500" t="s">
        <v>173</v>
      </c>
      <c r="D3177" s="500" t="s">
        <v>762</v>
      </c>
      <c r="E3177" s="501">
        <v>-4776281369.9200001</v>
      </c>
      <c r="F3177" s="502" t="s">
        <v>878</v>
      </c>
      <c r="G3177" s="100" t="s">
        <v>633</v>
      </c>
      <c r="H3177" s="530"/>
      <c r="I3177" s="525"/>
      <c r="K3177" s="548"/>
      <c r="L3177" s="548"/>
      <c r="M3177" s="548"/>
      <c r="N3177" s="552">
        <v>-1</v>
      </c>
      <c r="Y3177" s="551"/>
    </row>
    <row r="3178" spans="1:25">
      <c r="A3178" s="499">
        <v>45587</v>
      </c>
      <c r="B3178" s="499">
        <v>45588</v>
      </c>
      <c r="C3178" s="500" t="s">
        <v>173</v>
      </c>
      <c r="D3178" s="500" t="s">
        <v>762</v>
      </c>
      <c r="E3178" s="501">
        <v>1458661616.24</v>
      </c>
      <c r="F3178" s="502" t="s">
        <v>878</v>
      </c>
      <c r="G3178" s="100" t="s">
        <v>1007</v>
      </c>
      <c r="H3178" s="484">
        <v>114443442</v>
      </c>
      <c r="I3178" s="525"/>
      <c r="K3178" s="548"/>
      <c r="L3178" s="548"/>
      <c r="M3178" s="548"/>
      <c r="N3178" s="552"/>
      <c r="Y3178" s="551"/>
    </row>
    <row r="3179" spans="1:25">
      <c r="A3179" s="499">
        <v>45587</v>
      </c>
      <c r="B3179" s="499">
        <v>45588</v>
      </c>
      <c r="C3179" s="500" t="s">
        <v>173</v>
      </c>
      <c r="D3179" s="500" t="s">
        <v>762</v>
      </c>
      <c r="E3179" s="501">
        <v>27012252.149999999</v>
      </c>
      <c r="F3179" s="502" t="s">
        <v>878</v>
      </c>
      <c r="G3179" s="100" t="s">
        <v>1007</v>
      </c>
      <c r="H3179" s="484">
        <v>114443453</v>
      </c>
      <c r="I3179" s="525"/>
      <c r="K3179" s="548"/>
      <c r="L3179" s="548"/>
      <c r="M3179" s="548"/>
      <c r="N3179" s="552"/>
      <c r="Y3179" s="551"/>
    </row>
    <row r="3180" spans="1:25">
      <c r="A3180" s="499">
        <v>45587</v>
      </c>
      <c r="B3180" s="499">
        <v>45588</v>
      </c>
      <c r="C3180" s="500" t="s">
        <v>173</v>
      </c>
      <c r="D3180" s="500" t="s">
        <v>762</v>
      </c>
      <c r="E3180" s="501">
        <v>4778056215.1999998</v>
      </c>
      <c r="F3180" s="502" t="s">
        <v>878</v>
      </c>
      <c r="G3180" s="100" t="s">
        <v>633</v>
      </c>
      <c r="H3180" s="484">
        <v>114443439</v>
      </c>
      <c r="I3180" s="525"/>
      <c r="K3180" s="548"/>
      <c r="L3180" s="548"/>
      <c r="M3180" s="548"/>
      <c r="N3180" s="552"/>
      <c r="Y3180" s="551"/>
    </row>
    <row r="3181" spans="1:25">
      <c r="A3181" s="499">
        <v>45587</v>
      </c>
      <c r="B3181" s="499">
        <v>45587</v>
      </c>
      <c r="C3181" s="500" t="s">
        <v>173</v>
      </c>
      <c r="D3181" s="500" t="s">
        <v>761</v>
      </c>
      <c r="E3181" s="501">
        <v>-871051313.48000002</v>
      </c>
      <c r="F3181" s="502" t="s">
        <v>878</v>
      </c>
      <c r="G3181" s="100" t="s">
        <v>633</v>
      </c>
      <c r="H3181" s="530"/>
      <c r="I3181" s="525"/>
      <c r="K3181" s="548"/>
      <c r="L3181" s="548"/>
      <c r="M3181" s="548"/>
      <c r="N3181" s="552"/>
      <c r="Y3181" s="551"/>
    </row>
    <row r="3182" spans="1:25">
      <c r="A3182" s="499">
        <v>45587</v>
      </c>
      <c r="B3182" s="499">
        <v>45587</v>
      </c>
      <c r="C3182" s="500" t="s">
        <v>173</v>
      </c>
      <c r="D3182" s="500" t="s">
        <v>761</v>
      </c>
      <c r="E3182" s="501">
        <v>-3000187.05</v>
      </c>
      <c r="F3182" s="502" t="s">
        <v>878</v>
      </c>
      <c r="G3182" s="100" t="s">
        <v>644</v>
      </c>
      <c r="H3182" s="530"/>
      <c r="I3182" s="525"/>
      <c r="K3182" s="548"/>
      <c r="L3182" s="548"/>
      <c r="M3182" s="548"/>
      <c r="N3182" s="552"/>
      <c r="Y3182" s="551"/>
    </row>
    <row r="3183" spans="1:25">
      <c r="A3183" s="499">
        <v>45587</v>
      </c>
      <c r="B3183" s="499">
        <v>45588</v>
      </c>
      <c r="C3183" s="500" t="s">
        <v>173</v>
      </c>
      <c r="D3183" s="500" t="s">
        <v>761</v>
      </c>
      <c r="E3183" s="501">
        <v>871396402.12</v>
      </c>
      <c r="F3183" s="502" t="s">
        <v>878</v>
      </c>
      <c r="G3183" s="100" t="s">
        <v>633</v>
      </c>
      <c r="H3183" s="484">
        <v>114437802</v>
      </c>
      <c r="I3183" s="525"/>
      <c r="K3183" s="548"/>
      <c r="L3183" s="548"/>
      <c r="M3183" s="548"/>
      <c r="N3183" s="552"/>
      <c r="Y3183" s="551"/>
    </row>
    <row r="3184" spans="1:25">
      <c r="A3184" s="499">
        <v>45587</v>
      </c>
      <c r="B3184" s="499">
        <v>45588</v>
      </c>
      <c r="C3184" s="500" t="s">
        <v>173</v>
      </c>
      <c r="D3184" s="500" t="s">
        <v>761</v>
      </c>
      <c r="E3184" s="501">
        <v>3001383.85</v>
      </c>
      <c r="F3184" s="502" t="s">
        <v>878</v>
      </c>
      <c r="G3184" s="100" t="s">
        <v>644</v>
      </c>
      <c r="H3184" s="484">
        <v>114438308</v>
      </c>
      <c r="I3184" s="525"/>
      <c r="K3184" s="548"/>
      <c r="L3184" s="548"/>
      <c r="M3184" s="548"/>
      <c r="N3184" s="552"/>
      <c r="Y3184" s="551"/>
    </row>
    <row r="3185" spans="1:25">
      <c r="A3185" s="499">
        <v>45587</v>
      </c>
      <c r="B3185" s="499">
        <v>45587</v>
      </c>
      <c r="C3185" s="500" t="s">
        <v>173</v>
      </c>
      <c r="D3185" s="500" t="s">
        <v>759</v>
      </c>
      <c r="E3185" s="501">
        <v>-1995389897.76</v>
      </c>
      <c r="F3185" s="502" t="s">
        <v>878</v>
      </c>
      <c r="G3185" s="100" t="s">
        <v>673</v>
      </c>
      <c r="H3185" s="530"/>
      <c r="I3185" s="525"/>
      <c r="K3185" s="548"/>
      <c r="L3185" s="548"/>
      <c r="M3185" s="548"/>
      <c r="N3185" s="552"/>
      <c r="Y3185" s="551"/>
    </row>
    <row r="3186" spans="1:25">
      <c r="A3186" s="499">
        <v>45587</v>
      </c>
      <c r="B3186" s="499">
        <v>45587</v>
      </c>
      <c r="C3186" s="500" t="s">
        <v>173</v>
      </c>
      <c r="D3186" s="500" t="s">
        <v>759</v>
      </c>
      <c r="E3186" s="501">
        <v>-8005993.4400000004</v>
      </c>
      <c r="F3186" s="502" t="s">
        <v>878</v>
      </c>
      <c r="G3186" s="100" t="s">
        <v>686</v>
      </c>
      <c r="H3186" s="530"/>
      <c r="I3186" s="525"/>
      <c r="K3186" s="548"/>
      <c r="L3186" s="548"/>
      <c r="M3186" s="548"/>
      <c r="N3186" s="552"/>
      <c r="Y3186" s="551"/>
    </row>
    <row r="3187" spans="1:25">
      <c r="A3187" s="499">
        <v>45587</v>
      </c>
      <c r="B3187" s="499">
        <v>45588</v>
      </c>
      <c r="C3187" s="500" t="s">
        <v>173</v>
      </c>
      <c r="D3187" s="500" t="s">
        <v>759</v>
      </c>
      <c r="E3187" s="501">
        <v>1996194050.79</v>
      </c>
      <c r="F3187" s="502" t="s">
        <v>878</v>
      </c>
      <c r="G3187" s="100" t="s">
        <v>673</v>
      </c>
      <c r="H3187" s="484">
        <v>114438707</v>
      </c>
      <c r="I3187" s="525"/>
      <c r="K3187" s="548"/>
      <c r="L3187" s="548"/>
      <c r="M3187" s="548"/>
      <c r="N3187" s="552"/>
      <c r="Y3187" s="551"/>
    </row>
    <row r="3188" spans="1:25">
      <c r="A3188" s="499">
        <v>45587</v>
      </c>
      <c r="B3188" s="499">
        <v>45588</v>
      </c>
      <c r="C3188" s="500" t="s">
        <v>173</v>
      </c>
      <c r="D3188" s="500" t="s">
        <v>759</v>
      </c>
      <c r="E3188" s="501">
        <v>8008891.8099999996</v>
      </c>
      <c r="F3188" s="502" t="s">
        <v>878</v>
      </c>
      <c r="G3188" s="100" t="s">
        <v>686</v>
      </c>
      <c r="H3188" s="484">
        <v>114443719</v>
      </c>
      <c r="I3188" s="525"/>
      <c r="K3188" s="548"/>
      <c r="L3188" s="548"/>
      <c r="M3188" s="548"/>
      <c r="N3188" s="552"/>
      <c r="Y3188" s="551"/>
    </row>
    <row r="3189" spans="1:25">
      <c r="A3189" s="499">
        <v>45587</v>
      </c>
      <c r="B3189" s="499">
        <v>45587</v>
      </c>
      <c r="C3189" s="500" t="s">
        <v>173</v>
      </c>
      <c r="D3189" s="500" t="s">
        <v>760</v>
      </c>
      <c r="E3189" s="501">
        <v>-1245867814.8</v>
      </c>
      <c r="F3189" s="502" t="s">
        <v>878</v>
      </c>
      <c r="G3189" s="100" t="s">
        <v>673</v>
      </c>
      <c r="H3189" s="530"/>
      <c r="I3189" s="525"/>
      <c r="K3189" s="548"/>
      <c r="L3189" s="548"/>
      <c r="M3189" s="548"/>
      <c r="N3189" s="552"/>
      <c r="Y3189" s="551"/>
    </row>
    <row r="3190" spans="1:25">
      <c r="A3190" s="499">
        <v>45587</v>
      </c>
      <c r="B3190" s="499">
        <v>45587</v>
      </c>
      <c r="C3190" s="500" t="s">
        <v>173</v>
      </c>
      <c r="D3190" s="500" t="s">
        <v>760</v>
      </c>
      <c r="E3190" s="501">
        <v>-33006113.420000002</v>
      </c>
      <c r="F3190" s="502" t="s">
        <v>878</v>
      </c>
      <c r="G3190" s="100" t="s">
        <v>631</v>
      </c>
      <c r="H3190" s="530"/>
      <c r="I3190" s="525"/>
      <c r="K3190" s="548"/>
      <c r="L3190" s="548"/>
      <c r="M3190" s="548"/>
      <c r="N3190" s="552"/>
      <c r="Y3190" s="551"/>
    </row>
    <row r="3191" spans="1:25">
      <c r="A3191" s="499">
        <v>45587</v>
      </c>
      <c r="B3191" s="499">
        <v>45588</v>
      </c>
      <c r="C3191" s="500" t="s">
        <v>173</v>
      </c>
      <c r="D3191" s="500" t="s">
        <v>760</v>
      </c>
      <c r="E3191" s="501">
        <v>1246375008.95</v>
      </c>
      <c r="F3191" s="502" t="s">
        <v>878</v>
      </c>
      <c r="G3191" s="100" t="s">
        <v>673</v>
      </c>
      <c r="H3191" s="484">
        <v>114439006</v>
      </c>
      <c r="I3191" s="525"/>
      <c r="K3191" s="548"/>
      <c r="L3191" s="548"/>
      <c r="M3191" s="548"/>
      <c r="N3191" s="552"/>
      <c r="Y3191" s="551"/>
    </row>
    <row r="3192" spans="1:25">
      <c r="A3192" s="499">
        <v>45587</v>
      </c>
      <c r="B3192" s="499">
        <v>45588</v>
      </c>
      <c r="C3192" s="500" t="s">
        <v>173</v>
      </c>
      <c r="D3192" s="500" t="s">
        <v>760</v>
      </c>
      <c r="E3192" s="501">
        <v>33019550.34</v>
      </c>
      <c r="F3192" s="502" t="s">
        <v>878</v>
      </c>
      <c r="G3192" s="100" t="s">
        <v>631</v>
      </c>
      <c r="H3192" s="484">
        <v>114439264</v>
      </c>
      <c r="I3192" s="525"/>
      <c r="K3192" s="548"/>
      <c r="L3192" s="548"/>
      <c r="M3192" s="548"/>
      <c r="N3192" s="552"/>
      <c r="Y3192" s="551"/>
    </row>
    <row r="3193" spans="1:25">
      <c r="A3193" s="499">
        <v>45587</v>
      </c>
      <c r="B3193" s="499">
        <v>45587</v>
      </c>
      <c r="C3193" s="500" t="s">
        <v>173</v>
      </c>
      <c r="D3193" s="500" t="s">
        <v>764</v>
      </c>
      <c r="E3193" s="501">
        <v>-939259141.46000004</v>
      </c>
      <c r="F3193" s="502" t="s">
        <v>878</v>
      </c>
      <c r="G3193" s="100" t="s">
        <v>588</v>
      </c>
      <c r="H3193" s="530"/>
      <c r="I3193" s="525"/>
      <c r="K3193" s="548"/>
      <c r="L3193" s="548"/>
      <c r="M3193" s="548"/>
      <c r="N3193" s="552"/>
      <c r="Y3193" s="551"/>
    </row>
    <row r="3194" spans="1:25">
      <c r="A3194" s="499">
        <v>45587</v>
      </c>
      <c r="B3194" s="499">
        <v>45587</v>
      </c>
      <c r="C3194" s="500" t="s">
        <v>173</v>
      </c>
      <c r="D3194" s="500" t="s">
        <v>764</v>
      </c>
      <c r="E3194" s="501">
        <v>-946735412.83000004</v>
      </c>
      <c r="F3194" s="502" t="s">
        <v>878</v>
      </c>
      <c r="G3194" s="100" t="s">
        <v>671</v>
      </c>
      <c r="H3194" s="530"/>
      <c r="I3194" s="525"/>
      <c r="K3194" s="548"/>
      <c r="L3194" s="548"/>
      <c r="M3194" s="548"/>
      <c r="N3194" s="552"/>
      <c r="Y3194" s="551"/>
    </row>
    <row r="3195" spans="1:25">
      <c r="A3195" s="499">
        <v>45587</v>
      </c>
      <c r="B3195" s="499">
        <v>45587</v>
      </c>
      <c r="C3195" s="500" t="s">
        <v>173</v>
      </c>
      <c r="D3195" s="500" t="s">
        <v>764</v>
      </c>
      <c r="E3195" s="501">
        <v>-961738705.32000005</v>
      </c>
      <c r="F3195" s="502" t="s">
        <v>878</v>
      </c>
      <c r="G3195" s="100" t="s">
        <v>684</v>
      </c>
      <c r="H3195" s="530"/>
      <c r="I3195" s="525"/>
      <c r="K3195" s="548"/>
      <c r="L3195" s="548"/>
      <c r="M3195" s="548"/>
      <c r="N3195" s="552"/>
      <c r="Y3195" s="551"/>
    </row>
    <row r="3196" spans="1:25">
      <c r="A3196" s="499">
        <v>45587</v>
      </c>
      <c r="B3196" s="499">
        <v>45587</v>
      </c>
      <c r="C3196" s="500" t="s">
        <v>173</v>
      </c>
      <c r="D3196" s="500" t="s">
        <v>764</v>
      </c>
      <c r="E3196" s="501">
        <v>-614459996.51999998</v>
      </c>
      <c r="F3196" s="502" t="s">
        <v>878</v>
      </c>
      <c r="G3196" s="100" t="s">
        <v>686</v>
      </c>
      <c r="H3196" s="530"/>
      <c r="I3196" s="525"/>
      <c r="K3196" s="548"/>
      <c r="L3196" s="548"/>
      <c r="M3196" s="548"/>
      <c r="N3196" s="552"/>
      <c r="Y3196" s="551"/>
    </row>
    <row r="3197" spans="1:25">
      <c r="A3197" s="499">
        <v>45587</v>
      </c>
      <c r="B3197" s="499">
        <v>45587</v>
      </c>
      <c r="C3197" s="500" t="s">
        <v>173</v>
      </c>
      <c r="D3197" s="500" t="s">
        <v>764</v>
      </c>
      <c r="E3197" s="501">
        <v>-13000810.560000001</v>
      </c>
      <c r="F3197" s="502" t="s">
        <v>878</v>
      </c>
      <c r="G3197" s="100" t="s">
        <v>644</v>
      </c>
      <c r="H3197" s="530"/>
      <c r="I3197" s="525"/>
      <c r="K3197" s="548"/>
      <c r="L3197" s="548"/>
      <c r="M3197" s="548"/>
      <c r="N3197" s="552"/>
      <c r="Y3197" s="551"/>
    </row>
    <row r="3198" spans="1:25">
      <c r="A3198" s="499">
        <v>45587</v>
      </c>
      <c r="B3198" s="499">
        <v>45588</v>
      </c>
      <c r="C3198" s="500" t="s">
        <v>173</v>
      </c>
      <c r="D3198" s="500" t="s">
        <v>764</v>
      </c>
      <c r="E3198" s="501">
        <v>939631252.32000005</v>
      </c>
      <c r="F3198" s="502" t="s">
        <v>878</v>
      </c>
      <c r="G3198" s="100" t="s">
        <v>588</v>
      </c>
      <c r="H3198" s="484">
        <v>114438167</v>
      </c>
      <c r="I3198" s="525"/>
      <c r="K3198" s="548"/>
      <c r="L3198" s="548"/>
      <c r="M3198" s="548"/>
      <c r="N3198" s="552"/>
      <c r="Y3198" s="551"/>
    </row>
    <row r="3199" spans="1:25">
      <c r="A3199" s="499">
        <v>45587</v>
      </c>
      <c r="B3199" s="499">
        <v>45588</v>
      </c>
      <c r="C3199" s="500" t="s">
        <v>173</v>
      </c>
      <c r="D3199" s="500" t="s">
        <v>764</v>
      </c>
      <c r="E3199" s="501">
        <v>947110485.60000002</v>
      </c>
      <c r="F3199" s="502" t="s">
        <v>878</v>
      </c>
      <c r="G3199" s="100" t="s">
        <v>671</v>
      </c>
      <c r="H3199" s="484">
        <v>114438170</v>
      </c>
      <c r="I3199" s="525"/>
      <c r="K3199" s="548"/>
      <c r="L3199" s="548"/>
      <c r="M3199" s="548"/>
      <c r="N3199" s="552"/>
      <c r="Y3199" s="551"/>
    </row>
    <row r="3200" spans="1:25">
      <c r="A3200" s="499">
        <v>45587</v>
      </c>
      <c r="B3200" s="499">
        <v>45588</v>
      </c>
      <c r="C3200" s="500" t="s">
        <v>173</v>
      </c>
      <c r="D3200" s="500" t="s">
        <v>764</v>
      </c>
      <c r="E3200" s="501">
        <v>962119722.01999998</v>
      </c>
      <c r="F3200" s="502" t="s">
        <v>878</v>
      </c>
      <c r="G3200" s="100" t="s">
        <v>684</v>
      </c>
      <c r="H3200" s="484">
        <v>114438173</v>
      </c>
      <c r="I3200" s="525"/>
      <c r="K3200" s="548"/>
      <c r="L3200" s="548"/>
      <c r="M3200" s="548"/>
      <c r="N3200" s="552"/>
      <c r="Y3200" s="551"/>
    </row>
    <row r="3201" spans="1:25">
      <c r="A3201" s="499">
        <v>45587</v>
      </c>
      <c r="B3201" s="499">
        <v>45588</v>
      </c>
      <c r="C3201" s="500" t="s">
        <v>173</v>
      </c>
      <c r="D3201" s="500" t="s">
        <v>764</v>
      </c>
      <c r="E3201" s="501">
        <v>614703430.13</v>
      </c>
      <c r="F3201" s="502" t="s">
        <v>878</v>
      </c>
      <c r="G3201" s="100" t="s">
        <v>686</v>
      </c>
      <c r="H3201" s="484">
        <v>114438176</v>
      </c>
      <c r="I3201" s="525"/>
      <c r="K3201" s="548"/>
      <c r="L3201" s="548"/>
      <c r="M3201" s="548"/>
      <c r="N3201" s="552"/>
      <c r="Y3201" s="551"/>
    </row>
    <row r="3202" spans="1:25">
      <c r="A3202" s="499">
        <v>45587</v>
      </c>
      <c r="B3202" s="499">
        <v>45588</v>
      </c>
      <c r="C3202" s="500" t="s">
        <v>173</v>
      </c>
      <c r="D3202" s="500" t="s">
        <v>764</v>
      </c>
      <c r="E3202" s="501">
        <v>13005961.15</v>
      </c>
      <c r="F3202" s="502" t="s">
        <v>878</v>
      </c>
      <c r="G3202" s="100" t="s">
        <v>644</v>
      </c>
      <c r="H3202" s="484">
        <v>114438209</v>
      </c>
      <c r="I3202" s="525"/>
      <c r="K3202" s="548"/>
      <c r="L3202" s="548"/>
      <c r="M3202" s="548"/>
      <c r="N3202" s="552"/>
      <c r="Y3202" s="551"/>
    </row>
    <row r="3203" spans="1:25">
      <c r="A3203" s="499">
        <v>45587</v>
      </c>
      <c r="B3203" s="499">
        <v>45589</v>
      </c>
      <c r="C3203" s="500" t="s">
        <v>173</v>
      </c>
      <c r="D3203" s="500" t="s">
        <v>764</v>
      </c>
      <c r="E3203" s="501">
        <v>-500029520</v>
      </c>
      <c r="F3203" s="502" t="s">
        <v>906</v>
      </c>
      <c r="G3203" s="100" t="s">
        <v>1017</v>
      </c>
      <c r="H3203" s="530"/>
      <c r="I3203" s="525" t="s">
        <v>1018</v>
      </c>
      <c r="K3203" s="548">
        <v>114444505</v>
      </c>
      <c r="L3203" s="549">
        <v>88.500799999999998</v>
      </c>
      <c r="M3203" s="549">
        <f>E3203*(-1)/(N3203*O3203)*100</f>
        <v>88.500799999999998</v>
      </c>
      <c r="N3203" s="549">
        <v>5650000</v>
      </c>
      <c r="O3203" s="539">
        <v>100</v>
      </c>
      <c r="T3203" s="553">
        <v>13</v>
      </c>
      <c r="U3203" s="553">
        <v>0</v>
      </c>
      <c r="V3203" s="549">
        <v>50002.95</v>
      </c>
      <c r="W3203" s="550">
        <f>VLOOKUP(G3203,Справочник!A:C,3,0)</f>
        <v>0</v>
      </c>
      <c r="X3203" s="539" t="str">
        <f>VLOOKUP(G3203,Справочник!A:G,7,0)</f>
        <v>Министерство финансов Республики Казахстан</v>
      </c>
      <c r="Y3203" s="551">
        <f>VLOOKUP(G3203,Справочник!A:B,2,0)</f>
        <v>45954</v>
      </c>
    </row>
    <row r="3204" spans="1:25">
      <c r="A3204" s="499">
        <v>45587</v>
      </c>
      <c r="B3204" s="499">
        <v>45587</v>
      </c>
      <c r="C3204" s="500" t="s">
        <v>173</v>
      </c>
      <c r="D3204" s="500" t="s">
        <v>763</v>
      </c>
      <c r="E3204" s="501">
        <v>-2362587701.6700001</v>
      </c>
      <c r="F3204" s="502" t="s">
        <v>878</v>
      </c>
      <c r="G3204" s="100" t="s">
        <v>816</v>
      </c>
      <c r="H3204" s="530"/>
      <c r="I3204" s="525"/>
      <c r="K3204" s="548"/>
      <c r="L3204" s="548"/>
      <c r="M3204" s="548"/>
      <c r="N3204" s="552"/>
      <c r="Y3204" s="551"/>
    </row>
    <row r="3205" spans="1:25">
      <c r="A3205" s="499">
        <v>45587</v>
      </c>
      <c r="B3205" s="499">
        <v>45587</v>
      </c>
      <c r="C3205" s="500" t="s">
        <v>173</v>
      </c>
      <c r="D3205" s="500" t="s">
        <v>763</v>
      </c>
      <c r="E3205" s="501">
        <v>-3036743109.7600002</v>
      </c>
      <c r="F3205" s="502" t="s">
        <v>878</v>
      </c>
      <c r="G3205" s="100" t="s">
        <v>716</v>
      </c>
      <c r="H3205" s="530"/>
      <c r="I3205" s="525"/>
      <c r="K3205" s="548"/>
      <c r="L3205" s="548"/>
      <c r="M3205" s="548"/>
      <c r="N3205" s="552"/>
      <c r="Y3205" s="551"/>
    </row>
    <row r="3206" spans="1:25">
      <c r="A3206" s="499">
        <v>45587</v>
      </c>
      <c r="B3206" s="499">
        <v>45587</v>
      </c>
      <c r="C3206" s="500" t="s">
        <v>173</v>
      </c>
      <c r="D3206" s="500" t="s">
        <v>763</v>
      </c>
      <c r="E3206" s="501">
        <v>-19018114.75</v>
      </c>
      <c r="F3206" s="502" t="s">
        <v>878</v>
      </c>
      <c r="G3206" s="100" t="s">
        <v>654</v>
      </c>
      <c r="H3206" s="530"/>
      <c r="I3206" s="525"/>
      <c r="K3206" s="548"/>
      <c r="L3206" s="548"/>
      <c r="M3206" s="548"/>
      <c r="N3206" s="552"/>
      <c r="Y3206" s="551"/>
    </row>
    <row r="3207" spans="1:25">
      <c r="A3207" s="499">
        <v>45587</v>
      </c>
      <c r="B3207" s="499">
        <v>45588</v>
      </c>
      <c r="C3207" s="500" t="s">
        <v>173</v>
      </c>
      <c r="D3207" s="500" t="s">
        <v>763</v>
      </c>
      <c r="E3207" s="501">
        <v>2363465603.1100001</v>
      </c>
      <c r="F3207" s="502" t="s">
        <v>878</v>
      </c>
      <c r="G3207" s="100" t="s">
        <v>816</v>
      </c>
      <c r="H3207" s="100">
        <v>114436855</v>
      </c>
      <c r="I3207" s="525"/>
      <c r="K3207" s="548"/>
      <c r="L3207" s="548"/>
      <c r="M3207" s="548"/>
      <c r="N3207" s="552"/>
      <c r="Y3207" s="551"/>
    </row>
    <row r="3208" spans="1:25">
      <c r="A3208" s="499">
        <v>45587</v>
      </c>
      <c r="B3208" s="499">
        <v>45588</v>
      </c>
      <c r="C3208" s="500" t="s">
        <v>173</v>
      </c>
      <c r="D3208" s="500" t="s">
        <v>763</v>
      </c>
      <c r="E3208" s="501">
        <v>3037871517.04</v>
      </c>
      <c r="F3208" s="502" t="s">
        <v>878</v>
      </c>
      <c r="G3208" s="100" t="s">
        <v>716</v>
      </c>
      <c r="H3208" s="100">
        <v>114436858</v>
      </c>
      <c r="I3208" s="525"/>
      <c r="K3208" s="548"/>
      <c r="L3208" s="548"/>
      <c r="M3208" s="548"/>
      <c r="N3208" s="552"/>
      <c r="Y3208" s="551"/>
    </row>
    <row r="3209" spans="1:25">
      <c r="A3209" s="499">
        <v>45587</v>
      </c>
      <c r="B3209" s="499">
        <v>45588</v>
      </c>
      <c r="C3209" s="500" t="s">
        <v>173</v>
      </c>
      <c r="D3209" s="500" t="s">
        <v>763</v>
      </c>
      <c r="E3209" s="501">
        <v>19025337.629999999</v>
      </c>
      <c r="F3209" s="502" t="s">
        <v>878</v>
      </c>
      <c r="G3209" s="100" t="s">
        <v>654</v>
      </c>
      <c r="H3209" s="100">
        <v>114437195</v>
      </c>
      <c r="I3209" s="525"/>
      <c r="K3209" s="548"/>
      <c r="L3209" s="548"/>
      <c r="M3209" s="548"/>
      <c r="N3209" s="552"/>
      <c r="Y3209" s="551"/>
    </row>
    <row r="3210" spans="1:25">
      <c r="A3210" s="499">
        <v>45588</v>
      </c>
      <c r="B3210" s="499">
        <v>45588</v>
      </c>
      <c r="C3210" s="500" t="s">
        <v>173</v>
      </c>
      <c r="D3210" s="500" t="s">
        <v>762</v>
      </c>
      <c r="E3210" s="501">
        <v>-2620062135.77</v>
      </c>
      <c r="F3210" s="502" t="s">
        <v>878</v>
      </c>
      <c r="G3210" s="100" t="s">
        <v>716</v>
      </c>
      <c r="H3210" s="530"/>
      <c r="I3210" s="525"/>
      <c r="K3210" s="548"/>
      <c r="L3210" s="548"/>
      <c r="M3210" s="548"/>
      <c r="N3210" s="552"/>
      <c r="Y3210" s="551"/>
    </row>
    <row r="3211" spans="1:25">
      <c r="A3211" s="499">
        <v>45588</v>
      </c>
      <c r="B3211" s="499">
        <v>45588</v>
      </c>
      <c r="C3211" s="500" t="s">
        <v>173</v>
      </c>
      <c r="D3211" s="500" t="s">
        <v>762</v>
      </c>
      <c r="E3211" s="501">
        <v>-25014786.5</v>
      </c>
      <c r="F3211" s="502" t="s">
        <v>878</v>
      </c>
      <c r="G3211" s="100" t="s">
        <v>687</v>
      </c>
      <c r="H3211" s="530"/>
      <c r="I3211" s="525"/>
      <c r="K3211" s="548"/>
      <c r="L3211" s="548"/>
      <c r="M3211" s="548"/>
      <c r="N3211" s="552"/>
      <c r="Y3211" s="551"/>
    </row>
    <row r="3212" spans="1:25">
      <c r="A3212" s="499">
        <v>45588</v>
      </c>
      <c r="B3212" s="499">
        <v>45588</v>
      </c>
      <c r="C3212" s="500" t="s">
        <v>173</v>
      </c>
      <c r="D3212" s="500" t="s">
        <v>762</v>
      </c>
      <c r="E3212" s="501">
        <v>-1254165703.5599999</v>
      </c>
      <c r="F3212" s="502" t="s">
        <v>878</v>
      </c>
      <c r="G3212" s="100" t="s">
        <v>677</v>
      </c>
      <c r="H3212" s="530"/>
      <c r="I3212" s="525"/>
      <c r="K3212" s="548"/>
      <c r="L3212" s="548"/>
      <c r="M3212" s="548"/>
      <c r="N3212" s="552"/>
      <c r="Y3212" s="551"/>
    </row>
    <row r="3213" spans="1:25">
      <c r="A3213" s="499">
        <v>45588</v>
      </c>
      <c r="B3213" s="499">
        <v>45588</v>
      </c>
      <c r="C3213" s="500" t="s">
        <v>173</v>
      </c>
      <c r="D3213" s="500" t="s">
        <v>762</v>
      </c>
      <c r="E3213" s="501">
        <v>-2364141799.8099999</v>
      </c>
      <c r="F3213" s="502" t="s">
        <v>878</v>
      </c>
      <c r="G3213" s="100" t="s">
        <v>816</v>
      </c>
      <c r="H3213" s="530"/>
      <c r="I3213" s="525"/>
      <c r="K3213" s="548"/>
      <c r="L3213" s="548"/>
      <c r="M3213" s="548"/>
      <c r="N3213" s="552"/>
      <c r="Y3213" s="551"/>
    </row>
    <row r="3214" spans="1:25">
      <c r="A3214" s="499">
        <v>45588</v>
      </c>
      <c r="B3214" s="499">
        <v>45589</v>
      </c>
      <c r="C3214" s="500" t="s">
        <v>173</v>
      </c>
      <c r="D3214" s="500" t="s">
        <v>762</v>
      </c>
      <c r="E3214" s="501">
        <v>2621028552.1300001</v>
      </c>
      <c r="F3214" s="502" t="s">
        <v>878</v>
      </c>
      <c r="G3214" s="100" t="s">
        <v>716</v>
      </c>
      <c r="H3214" s="484">
        <v>114455873</v>
      </c>
      <c r="I3214" s="525"/>
      <c r="K3214" s="548"/>
      <c r="L3214" s="548"/>
      <c r="M3214" s="548"/>
      <c r="N3214" s="552"/>
      <c r="Y3214" s="551"/>
    </row>
    <row r="3215" spans="1:25">
      <c r="A3215" s="499">
        <v>45588</v>
      </c>
      <c r="B3215" s="499">
        <v>45589</v>
      </c>
      <c r="C3215" s="500" t="s">
        <v>173</v>
      </c>
      <c r="D3215" s="500" t="s">
        <v>762</v>
      </c>
      <c r="E3215" s="501">
        <v>25024013.329999998</v>
      </c>
      <c r="F3215" s="502" t="s">
        <v>878</v>
      </c>
      <c r="G3215" s="100" t="s">
        <v>687</v>
      </c>
      <c r="H3215" s="484">
        <v>114455907</v>
      </c>
      <c r="I3215" s="525"/>
      <c r="K3215" s="548"/>
      <c r="L3215" s="548"/>
      <c r="M3215" s="548"/>
      <c r="N3215" s="552"/>
      <c r="Y3215" s="551"/>
    </row>
    <row r="3216" spans="1:25">
      <c r="A3216" s="499">
        <v>45588</v>
      </c>
      <c r="B3216" s="499">
        <v>45589</v>
      </c>
      <c r="C3216" s="500" t="s">
        <v>173</v>
      </c>
      <c r="D3216" s="500" t="s">
        <v>762</v>
      </c>
      <c r="E3216" s="501">
        <v>1254630019</v>
      </c>
      <c r="F3216" s="502" t="s">
        <v>878</v>
      </c>
      <c r="G3216" s="100" t="s">
        <v>677</v>
      </c>
      <c r="H3216" s="484">
        <v>114455867</v>
      </c>
      <c r="I3216" s="525"/>
      <c r="K3216" s="548"/>
      <c r="L3216" s="548"/>
      <c r="M3216" s="548"/>
      <c r="N3216" s="552"/>
      <c r="Y3216" s="551"/>
    </row>
    <row r="3217" spans="1:25">
      <c r="A3217" s="499">
        <v>45588</v>
      </c>
      <c r="B3217" s="499">
        <v>45589</v>
      </c>
      <c r="C3217" s="500" t="s">
        <v>173</v>
      </c>
      <c r="D3217" s="500" t="s">
        <v>762</v>
      </c>
      <c r="E3217" s="501">
        <v>2365013819.3299999</v>
      </c>
      <c r="F3217" s="502" t="s">
        <v>878</v>
      </c>
      <c r="G3217" s="100" t="s">
        <v>816</v>
      </c>
      <c r="H3217" s="484">
        <v>114455870</v>
      </c>
      <c r="I3217" s="525"/>
      <c r="K3217" s="548"/>
      <c r="L3217" s="548"/>
      <c r="M3217" s="548"/>
      <c r="N3217" s="552"/>
      <c r="Y3217" s="551"/>
    </row>
    <row r="3218" spans="1:25">
      <c r="A3218" s="499">
        <v>45588</v>
      </c>
      <c r="B3218" s="499">
        <v>45588</v>
      </c>
      <c r="C3218" s="500" t="s">
        <v>173</v>
      </c>
      <c r="D3218" s="500" t="s">
        <v>761</v>
      </c>
      <c r="E3218" s="501">
        <v>-871052245.19000006</v>
      </c>
      <c r="F3218" s="502" t="s">
        <v>878</v>
      </c>
      <c r="G3218" s="100" t="s">
        <v>816</v>
      </c>
      <c r="H3218" s="530"/>
      <c r="I3218" s="525"/>
      <c r="K3218" s="548"/>
      <c r="L3218" s="548"/>
      <c r="M3218" s="548"/>
      <c r="N3218" s="552"/>
      <c r="Y3218" s="551"/>
    </row>
    <row r="3219" spans="1:25">
      <c r="A3219" s="499">
        <v>45588</v>
      </c>
      <c r="B3219" s="499">
        <v>45588</v>
      </c>
      <c r="C3219" s="500" t="s">
        <v>173</v>
      </c>
      <c r="D3219" s="500" t="s">
        <v>761</v>
      </c>
      <c r="E3219" s="501">
        <v>-4000239.93</v>
      </c>
      <c r="F3219" s="502" t="s">
        <v>878</v>
      </c>
      <c r="G3219" s="100" t="s">
        <v>816</v>
      </c>
      <c r="H3219" s="530"/>
      <c r="I3219" s="525"/>
      <c r="K3219" s="548"/>
      <c r="L3219" s="548"/>
      <c r="M3219" s="548"/>
      <c r="N3219" s="552"/>
      <c r="Y3219" s="551"/>
    </row>
    <row r="3220" spans="1:25">
      <c r="A3220" s="499">
        <v>45588</v>
      </c>
      <c r="B3220" s="499">
        <v>45602</v>
      </c>
      <c r="C3220" s="500" t="s">
        <v>173</v>
      </c>
      <c r="D3220" s="500" t="s">
        <v>761</v>
      </c>
      <c r="E3220" s="501">
        <v>875717263.07000005</v>
      </c>
      <c r="F3220" s="502" t="s">
        <v>878</v>
      </c>
      <c r="G3220" s="100" t="s">
        <v>816</v>
      </c>
      <c r="H3220" s="484">
        <v>114456029</v>
      </c>
      <c r="I3220" s="525"/>
      <c r="K3220" s="548"/>
      <c r="L3220" s="548"/>
      <c r="M3220" s="548"/>
      <c r="N3220" s="552"/>
      <c r="Y3220" s="551"/>
    </row>
    <row r="3221" spans="1:25">
      <c r="A3221" s="499">
        <v>45588</v>
      </c>
      <c r="B3221" s="499">
        <v>45602</v>
      </c>
      <c r="C3221" s="500" t="s">
        <v>173</v>
      </c>
      <c r="D3221" s="500" t="s">
        <v>761</v>
      </c>
      <c r="E3221" s="501">
        <v>4021663.66</v>
      </c>
      <c r="F3221" s="502" t="s">
        <v>878</v>
      </c>
      <c r="G3221" s="100" t="s">
        <v>816</v>
      </c>
      <c r="H3221" s="484">
        <v>114456049</v>
      </c>
      <c r="I3221" s="525"/>
      <c r="K3221" s="548"/>
      <c r="L3221" s="548"/>
      <c r="M3221" s="548"/>
      <c r="N3221" s="552"/>
      <c r="Y3221" s="551"/>
    </row>
    <row r="3222" spans="1:25">
      <c r="A3222" s="499">
        <v>45588</v>
      </c>
      <c r="B3222" s="499">
        <v>45588</v>
      </c>
      <c r="C3222" s="500" t="s">
        <v>173</v>
      </c>
      <c r="D3222" s="500" t="s">
        <v>760</v>
      </c>
      <c r="E3222" s="501">
        <v>-1250041407.5</v>
      </c>
      <c r="F3222" s="502" t="s">
        <v>878</v>
      </c>
      <c r="G3222" s="100" t="s">
        <v>644</v>
      </c>
      <c r="H3222" s="530"/>
      <c r="I3222" s="525"/>
      <c r="K3222" s="548"/>
      <c r="L3222" s="548"/>
      <c r="M3222" s="548"/>
      <c r="N3222" s="552"/>
      <c r="Y3222" s="551"/>
    </row>
    <row r="3223" spans="1:25">
      <c r="A3223" s="499">
        <v>45588</v>
      </c>
      <c r="B3223" s="499">
        <v>45588</v>
      </c>
      <c r="C3223" s="500" t="s">
        <v>173</v>
      </c>
      <c r="D3223" s="500" t="s">
        <v>760</v>
      </c>
      <c r="E3223" s="501">
        <v>-29009022.440000001</v>
      </c>
      <c r="F3223" s="502" t="s">
        <v>878</v>
      </c>
      <c r="G3223" s="100" t="s">
        <v>805</v>
      </c>
      <c r="H3223" s="530"/>
      <c r="I3223" s="525"/>
      <c r="K3223" s="548"/>
      <c r="L3223" s="548"/>
      <c r="M3223" s="548"/>
      <c r="N3223" s="552"/>
      <c r="Y3223" s="551"/>
    </row>
    <row r="3224" spans="1:25">
      <c r="A3224" s="499">
        <v>45588</v>
      </c>
      <c r="B3224" s="499">
        <v>45589</v>
      </c>
      <c r="C3224" s="500" t="s">
        <v>173</v>
      </c>
      <c r="D3224" s="500" t="s">
        <v>760</v>
      </c>
      <c r="E3224" s="501">
        <v>1250519565.4200001</v>
      </c>
      <c r="F3224" s="502" t="s">
        <v>878</v>
      </c>
      <c r="G3224" s="100" t="s">
        <v>644</v>
      </c>
      <c r="H3224" s="484">
        <v>114454311</v>
      </c>
      <c r="I3224" s="525"/>
      <c r="K3224" s="548"/>
      <c r="L3224" s="548"/>
      <c r="M3224" s="548"/>
      <c r="N3224" s="552"/>
      <c r="Y3224" s="551"/>
    </row>
    <row r="3225" spans="1:25">
      <c r="A3225" s="499">
        <v>45588</v>
      </c>
      <c r="B3225" s="499">
        <v>45589</v>
      </c>
      <c r="C3225" s="500" t="s">
        <v>173</v>
      </c>
      <c r="D3225" s="500" t="s">
        <v>760</v>
      </c>
      <c r="E3225" s="501">
        <v>29020071.23</v>
      </c>
      <c r="F3225" s="502" t="s">
        <v>878</v>
      </c>
      <c r="G3225" s="100" t="s">
        <v>805</v>
      </c>
      <c r="H3225" s="484">
        <v>114454890</v>
      </c>
      <c r="I3225" s="525"/>
      <c r="K3225" s="548"/>
      <c r="L3225" s="548"/>
      <c r="M3225" s="548"/>
      <c r="N3225" s="552"/>
      <c r="Y3225" s="551"/>
    </row>
    <row r="3226" spans="1:25">
      <c r="A3226" s="499">
        <v>45588</v>
      </c>
      <c r="B3226" s="499">
        <v>45588</v>
      </c>
      <c r="C3226" s="500" t="s">
        <v>173</v>
      </c>
      <c r="D3226" s="500" t="s">
        <v>764</v>
      </c>
      <c r="E3226" s="501">
        <v>-499097655.80000001</v>
      </c>
      <c r="F3226" s="502" t="s">
        <v>878</v>
      </c>
      <c r="G3226" s="100" t="s">
        <v>672</v>
      </c>
      <c r="H3226" s="530"/>
      <c r="I3226" s="525"/>
      <c r="K3226" s="548"/>
      <c r="L3226" s="548"/>
      <c r="M3226" s="548"/>
      <c r="N3226" s="552"/>
      <c r="Y3226" s="551"/>
    </row>
    <row r="3227" spans="1:25">
      <c r="A3227" s="499">
        <v>45588</v>
      </c>
      <c r="B3227" s="499">
        <v>45588</v>
      </c>
      <c r="C3227" s="500" t="s">
        <v>173</v>
      </c>
      <c r="D3227" s="500" t="s">
        <v>764</v>
      </c>
      <c r="E3227" s="501">
        <v>-735605654.70000005</v>
      </c>
      <c r="F3227" s="502" t="s">
        <v>878</v>
      </c>
      <c r="G3227" s="100" t="s">
        <v>604</v>
      </c>
      <c r="H3227" s="530"/>
      <c r="I3227" s="525"/>
      <c r="K3227" s="548"/>
      <c r="L3227" s="548"/>
      <c r="M3227" s="548"/>
      <c r="N3227" s="552"/>
      <c r="Y3227" s="551"/>
    </row>
    <row r="3228" spans="1:25">
      <c r="A3228" s="499">
        <v>45588</v>
      </c>
      <c r="B3228" s="499">
        <v>45588</v>
      </c>
      <c r="C3228" s="500" t="s">
        <v>173</v>
      </c>
      <c r="D3228" s="500" t="s">
        <v>764</v>
      </c>
      <c r="E3228" s="501">
        <v>-567579876</v>
      </c>
      <c r="F3228" s="502" t="s">
        <v>878</v>
      </c>
      <c r="G3228" s="100" t="s">
        <v>658</v>
      </c>
      <c r="H3228" s="530"/>
      <c r="I3228" s="525"/>
      <c r="K3228" s="548"/>
      <c r="L3228" s="548"/>
      <c r="M3228" s="548"/>
      <c r="N3228" s="552"/>
      <c r="Y3228" s="551"/>
    </row>
    <row r="3229" spans="1:25">
      <c r="A3229" s="499">
        <v>45588</v>
      </c>
      <c r="B3229" s="499">
        <v>45588</v>
      </c>
      <c r="C3229" s="500" t="s">
        <v>173</v>
      </c>
      <c r="D3229" s="500" t="s">
        <v>764</v>
      </c>
      <c r="E3229" s="501">
        <v>-489167855.12</v>
      </c>
      <c r="F3229" s="502" t="s">
        <v>878</v>
      </c>
      <c r="G3229" s="100" t="s">
        <v>670</v>
      </c>
      <c r="H3229" s="530"/>
      <c r="I3229" s="525"/>
      <c r="K3229" s="548"/>
      <c r="L3229" s="548"/>
      <c r="M3229" s="548"/>
      <c r="N3229" s="552"/>
      <c r="Y3229" s="551"/>
    </row>
    <row r="3230" spans="1:25">
      <c r="A3230" s="499">
        <v>45588</v>
      </c>
      <c r="B3230" s="499">
        <v>45588</v>
      </c>
      <c r="C3230" s="500" t="s">
        <v>173</v>
      </c>
      <c r="D3230" s="500" t="s">
        <v>764</v>
      </c>
      <c r="E3230" s="501">
        <v>-279144940.22000003</v>
      </c>
      <c r="F3230" s="502" t="s">
        <v>878</v>
      </c>
      <c r="G3230" s="100" t="s">
        <v>692</v>
      </c>
      <c r="H3230" s="530"/>
      <c r="I3230" s="525"/>
      <c r="K3230" s="548"/>
      <c r="L3230" s="548"/>
      <c r="M3230" s="548"/>
      <c r="N3230" s="552"/>
      <c r="Y3230" s="551"/>
    </row>
    <row r="3231" spans="1:25">
      <c r="A3231" s="499">
        <v>45588</v>
      </c>
      <c r="B3231" s="499">
        <v>45588</v>
      </c>
      <c r="C3231" s="500" t="s">
        <v>173</v>
      </c>
      <c r="D3231" s="500" t="s">
        <v>764</v>
      </c>
      <c r="E3231" s="501">
        <v>-192158283.25999999</v>
      </c>
      <c r="F3231" s="502" t="s">
        <v>878</v>
      </c>
      <c r="G3231" s="100" t="s">
        <v>690</v>
      </c>
      <c r="H3231" s="530"/>
      <c r="I3231" s="525"/>
      <c r="K3231" s="548"/>
      <c r="L3231" s="548"/>
      <c r="M3231" s="548"/>
      <c r="N3231" s="552"/>
      <c r="Y3231" s="551"/>
    </row>
    <row r="3232" spans="1:25">
      <c r="A3232" s="499">
        <v>45588</v>
      </c>
      <c r="B3232" s="499">
        <v>45588</v>
      </c>
      <c r="C3232" s="500" t="s">
        <v>173</v>
      </c>
      <c r="D3232" s="500" t="s">
        <v>764</v>
      </c>
      <c r="E3232" s="501">
        <v>-136016812.05000001</v>
      </c>
      <c r="F3232" s="502" t="s">
        <v>878</v>
      </c>
      <c r="G3232" s="100" t="s">
        <v>598</v>
      </c>
      <c r="H3232" s="530"/>
      <c r="I3232" s="525"/>
      <c r="K3232" s="548"/>
      <c r="L3232" s="548"/>
      <c r="M3232" s="548"/>
      <c r="N3232" s="552"/>
      <c r="Y3232" s="551"/>
    </row>
    <row r="3233" spans="1:25">
      <c r="A3233" s="499">
        <v>45588</v>
      </c>
      <c r="B3233" s="499">
        <v>45588</v>
      </c>
      <c r="C3233" s="500" t="s">
        <v>173</v>
      </c>
      <c r="D3233" s="500" t="s">
        <v>764</v>
      </c>
      <c r="E3233" s="501">
        <v>-98004408.430000007</v>
      </c>
      <c r="F3233" s="502" t="s">
        <v>878</v>
      </c>
      <c r="G3233" s="100" t="s">
        <v>715</v>
      </c>
      <c r="H3233" s="530"/>
      <c r="I3233" s="525"/>
      <c r="K3233" s="548"/>
      <c r="L3233" s="548"/>
      <c r="M3233" s="548"/>
      <c r="N3233" s="552"/>
      <c r="Y3233" s="551"/>
    </row>
    <row r="3234" spans="1:25">
      <c r="A3234" s="499">
        <v>45588</v>
      </c>
      <c r="B3234" s="499">
        <v>45588</v>
      </c>
      <c r="C3234" s="500" t="s">
        <v>173</v>
      </c>
      <c r="D3234" s="500" t="s">
        <v>764</v>
      </c>
      <c r="E3234" s="501">
        <v>-94002482.349999994</v>
      </c>
      <c r="F3234" s="502" t="s">
        <v>878</v>
      </c>
      <c r="G3234" s="100" t="s">
        <v>525</v>
      </c>
      <c r="H3234" s="530"/>
      <c r="I3234" s="525"/>
      <c r="K3234" s="548"/>
      <c r="L3234" s="548"/>
      <c r="M3234" s="548"/>
      <c r="N3234" s="552"/>
      <c r="Y3234" s="551"/>
    </row>
    <row r="3235" spans="1:25">
      <c r="A3235" s="499">
        <v>45588</v>
      </c>
      <c r="B3235" s="499">
        <v>45588</v>
      </c>
      <c r="C3235" s="500" t="s">
        <v>173</v>
      </c>
      <c r="D3235" s="500" t="s">
        <v>764</v>
      </c>
      <c r="E3235" s="501">
        <v>-77027621.900000006</v>
      </c>
      <c r="F3235" s="502" t="s">
        <v>878</v>
      </c>
      <c r="G3235" s="100" t="s">
        <v>594</v>
      </c>
      <c r="H3235" s="530"/>
      <c r="I3235" s="525"/>
      <c r="K3235" s="548"/>
      <c r="L3235" s="548"/>
      <c r="M3235" s="548"/>
      <c r="N3235" s="552"/>
      <c r="Y3235" s="551"/>
    </row>
    <row r="3236" spans="1:25">
      <c r="A3236" s="499">
        <v>45588</v>
      </c>
      <c r="B3236" s="499">
        <v>45588</v>
      </c>
      <c r="C3236" s="500" t="s">
        <v>173</v>
      </c>
      <c r="D3236" s="500" t="s">
        <v>764</v>
      </c>
      <c r="E3236" s="501">
        <v>-48042826.939999998</v>
      </c>
      <c r="F3236" s="502" t="s">
        <v>878</v>
      </c>
      <c r="G3236" s="100" t="s">
        <v>693</v>
      </c>
      <c r="H3236" s="530"/>
      <c r="I3236" s="525"/>
      <c r="K3236" s="548"/>
      <c r="L3236" s="548"/>
      <c r="M3236" s="548"/>
      <c r="N3236" s="552"/>
      <c r="Y3236" s="551"/>
    </row>
    <row r="3237" spans="1:25">
      <c r="A3237" s="499">
        <v>45588</v>
      </c>
      <c r="B3237" s="499">
        <v>45588</v>
      </c>
      <c r="C3237" s="500" t="s">
        <v>173</v>
      </c>
      <c r="D3237" s="500" t="s">
        <v>764</v>
      </c>
      <c r="E3237" s="501">
        <v>-40037923.039999999</v>
      </c>
      <c r="F3237" s="502" t="s">
        <v>878</v>
      </c>
      <c r="G3237" s="100" t="s">
        <v>590</v>
      </c>
      <c r="H3237" s="530"/>
      <c r="I3237" s="525"/>
      <c r="K3237" s="548"/>
      <c r="L3237" s="548"/>
      <c r="M3237" s="548"/>
      <c r="N3237" s="552"/>
      <c r="Y3237" s="551"/>
    </row>
    <row r="3238" spans="1:25">
      <c r="A3238" s="499">
        <v>45588</v>
      </c>
      <c r="B3238" s="499">
        <v>45588</v>
      </c>
      <c r="C3238" s="500" t="s">
        <v>173</v>
      </c>
      <c r="D3238" s="500" t="s">
        <v>764</v>
      </c>
      <c r="E3238" s="501">
        <v>-32000845.059999999</v>
      </c>
      <c r="F3238" s="502" t="s">
        <v>878</v>
      </c>
      <c r="G3238" s="100" t="s">
        <v>525</v>
      </c>
      <c r="H3238" s="530"/>
      <c r="I3238" s="525"/>
      <c r="K3238" s="548"/>
      <c r="L3238" s="548"/>
      <c r="M3238" s="548"/>
      <c r="N3238" s="552"/>
      <c r="Y3238" s="551"/>
    </row>
    <row r="3239" spans="1:25">
      <c r="A3239" s="499">
        <v>45588</v>
      </c>
      <c r="B3239" s="499">
        <v>45588</v>
      </c>
      <c r="C3239" s="500" t="s">
        <v>173</v>
      </c>
      <c r="D3239" s="500" t="s">
        <v>764</v>
      </c>
      <c r="E3239" s="501">
        <v>-30015456.899999999</v>
      </c>
      <c r="F3239" s="502" t="s">
        <v>878</v>
      </c>
      <c r="G3239" s="100" t="s">
        <v>689</v>
      </c>
      <c r="H3239" s="530"/>
      <c r="I3239" s="525"/>
      <c r="K3239" s="548"/>
      <c r="L3239" s="548"/>
      <c r="M3239" s="548"/>
      <c r="N3239" s="552"/>
      <c r="Y3239" s="551"/>
    </row>
    <row r="3240" spans="1:25">
      <c r="A3240" s="499">
        <v>45588</v>
      </c>
      <c r="B3240" s="499">
        <v>45588</v>
      </c>
      <c r="C3240" s="500" t="s">
        <v>173</v>
      </c>
      <c r="D3240" s="500" t="s">
        <v>764</v>
      </c>
      <c r="E3240" s="501">
        <v>-30023337.600000001</v>
      </c>
      <c r="F3240" s="502" t="s">
        <v>878</v>
      </c>
      <c r="G3240" s="100" t="s">
        <v>823</v>
      </c>
      <c r="H3240" s="530"/>
      <c r="I3240" s="525"/>
      <c r="K3240" s="548"/>
      <c r="L3240" s="548"/>
      <c r="M3240" s="548"/>
      <c r="N3240" s="552"/>
      <c r="Y3240" s="551"/>
    </row>
    <row r="3241" spans="1:25">
      <c r="A3241" s="499">
        <v>45588</v>
      </c>
      <c r="B3241" s="499">
        <v>45588</v>
      </c>
      <c r="C3241" s="500" t="s">
        <v>173</v>
      </c>
      <c r="D3241" s="500" t="s">
        <v>764</v>
      </c>
      <c r="E3241" s="501">
        <v>-30001349.52</v>
      </c>
      <c r="F3241" s="502" t="s">
        <v>878</v>
      </c>
      <c r="G3241" s="100" t="s">
        <v>715</v>
      </c>
      <c r="H3241" s="530"/>
      <c r="I3241" s="525"/>
      <c r="K3241" s="548"/>
      <c r="L3241" s="548"/>
      <c r="M3241" s="548"/>
      <c r="N3241" s="552"/>
      <c r="Y3241" s="551"/>
    </row>
    <row r="3242" spans="1:25">
      <c r="A3242" s="499">
        <v>45588</v>
      </c>
      <c r="B3242" s="499">
        <v>45588</v>
      </c>
      <c r="C3242" s="500" t="s">
        <v>173</v>
      </c>
      <c r="D3242" s="500" t="s">
        <v>764</v>
      </c>
      <c r="E3242" s="501">
        <v>-28007777.280000001</v>
      </c>
      <c r="F3242" s="502" t="s">
        <v>878</v>
      </c>
      <c r="G3242" s="100" t="s">
        <v>821</v>
      </c>
      <c r="H3242" s="530"/>
      <c r="I3242" s="525"/>
      <c r="K3242" s="548"/>
      <c r="L3242" s="548"/>
      <c r="M3242" s="548"/>
      <c r="N3242" s="552"/>
      <c r="Y3242" s="551"/>
    </row>
    <row r="3243" spans="1:25">
      <c r="A3243" s="499">
        <v>45588</v>
      </c>
      <c r="B3243" s="499">
        <v>45588</v>
      </c>
      <c r="C3243" s="500" t="s">
        <v>173</v>
      </c>
      <c r="D3243" s="500" t="s">
        <v>764</v>
      </c>
      <c r="E3243" s="501">
        <v>-28002394.629999999</v>
      </c>
      <c r="F3243" s="502" t="s">
        <v>878</v>
      </c>
      <c r="G3243" s="100" t="s">
        <v>550</v>
      </c>
      <c r="H3243" s="530"/>
      <c r="I3243" s="525"/>
      <c r="K3243" s="548"/>
      <c r="L3243" s="548"/>
      <c r="M3243" s="548"/>
      <c r="N3243" s="552"/>
      <c r="Y3243" s="551"/>
    </row>
    <row r="3244" spans="1:25">
      <c r="A3244" s="499">
        <v>45588</v>
      </c>
      <c r="B3244" s="499">
        <v>45588</v>
      </c>
      <c r="C3244" s="500" t="s">
        <v>173</v>
      </c>
      <c r="D3244" s="500" t="s">
        <v>764</v>
      </c>
      <c r="E3244" s="501">
        <v>-26001169.579999998</v>
      </c>
      <c r="F3244" s="502" t="s">
        <v>878</v>
      </c>
      <c r="G3244" s="100" t="s">
        <v>715</v>
      </c>
      <c r="H3244" s="530"/>
      <c r="I3244" s="525"/>
      <c r="K3244" s="548"/>
      <c r="L3244" s="548"/>
      <c r="M3244" s="548"/>
      <c r="N3244" s="552"/>
      <c r="Y3244" s="551"/>
    </row>
    <row r="3245" spans="1:25">
      <c r="A3245" s="499">
        <v>45588</v>
      </c>
      <c r="B3245" s="499">
        <v>45588</v>
      </c>
      <c r="C3245" s="500" t="s">
        <v>173</v>
      </c>
      <c r="D3245" s="500" t="s">
        <v>764</v>
      </c>
      <c r="E3245" s="501">
        <v>-1000621.78</v>
      </c>
      <c r="F3245" s="502" t="s">
        <v>878</v>
      </c>
      <c r="G3245" s="100" t="s">
        <v>588</v>
      </c>
      <c r="H3245" s="530"/>
      <c r="I3245" s="525"/>
      <c r="K3245" s="548"/>
      <c r="L3245" s="548"/>
      <c r="M3245" s="548"/>
      <c r="N3245" s="552"/>
      <c r="Y3245" s="551"/>
    </row>
    <row r="3246" spans="1:25">
      <c r="A3246" s="499">
        <v>45588</v>
      </c>
      <c r="B3246" s="499">
        <v>45588</v>
      </c>
      <c r="C3246" s="500" t="s">
        <v>173</v>
      </c>
      <c r="D3246" s="500" t="s">
        <v>764</v>
      </c>
      <c r="E3246" s="501">
        <v>-14008704.859999999</v>
      </c>
      <c r="F3246" s="502" t="s">
        <v>878</v>
      </c>
      <c r="G3246" s="100" t="s">
        <v>588</v>
      </c>
      <c r="H3246" s="530"/>
      <c r="I3246" s="525"/>
      <c r="K3246" s="548"/>
      <c r="L3246" s="548"/>
      <c r="M3246" s="548"/>
      <c r="N3246" s="552"/>
      <c r="Y3246" s="551"/>
    </row>
    <row r="3247" spans="1:25">
      <c r="A3247" s="499">
        <v>45588</v>
      </c>
      <c r="B3247" s="499">
        <v>45589</v>
      </c>
      <c r="C3247" s="500" t="s">
        <v>173</v>
      </c>
      <c r="D3247" s="500" t="s">
        <v>764</v>
      </c>
      <c r="E3247" s="501">
        <v>499287750.63999999</v>
      </c>
      <c r="F3247" s="502" t="s">
        <v>878</v>
      </c>
      <c r="G3247" s="100" t="s">
        <v>672</v>
      </c>
      <c r="H3247" s="484">
        <v>114455026</v>
      </c>
      <c r="I3247" s="525"/>
      <c r="K3247" s="548"/>
      <c r="L3247" s="548"/>
      <c r="M3247" s="548"/>
      <c r="N3247" s="552"/>
      <c r="Y3247" s="551"/>
    </row>
    <row r="3248" spans="1:25">
      <c r="A3248" s="499">
        <v>45588</v>
      </c>
      <c r="B3248" s="499">
        <v>45595</v>
      </c>
      <c r="C3248" s="500" t="s">
        <v>173</v>
      </c>
      <c r="D3248" s="500" t="s">
        <v>764</v>
      </c>
      <c r="E3248" s="501">
        <v>737561282.42999995</v>
      </c>
      <c r="F3248" s="502" t="s">
        <v>878</v>
      </c>
      <c r="G3248" s="100" t="s">
        <v>604</v>
      </c>
      <c r="H3248" s="484">
        <v>114456144</v>
      </c>
      <c r="I3248" s="525"/>
      <c r="K3248" s="548"/>
      <c r="L3248" s="548"/>
      <c r="M3248" s="548"/>
      <c r="N3248" s="552"/>
      <c r="Y3248" s="551"/>
    </row>
    <row r="3249" spans="1:25">
      <c r="A3249" s="499">
        <v>45588</v>
      </c>
      <c r="B3249" s="499">
        <v>45595</v>
      </c>
      <c r="C3249" s="500" t="s">
        <v>173</v>
      </c>
      <c r="D3249" s="500" t="s">
        <v>764</v>
      </c>
      <c r="E3249" s="501">
        <v>569088802.61000001</v>
      </c>
      <c r="F3249" s="502" t="s">
        <v>878</v>
      </c>
      <c r="G3249" s="100" t="s">
        <v>658</v>
      </c>
      <c r="H3249" s="484">
        <v>114456147</v>
      </c>
      <c r="I3249" s="525"/>
      <c r="K3249" s="548"/>
      <c r="L3249" s="548"/>
      <c r="M3249" s="548"/>
      <c r="N3249" s="552"/>
      <c r="Y3249" s="551"/>
    </row>
    <row r="3250" spans="1:25">
      <c r="A3250" s="499">
        <v>45588</v>
      </c>
      <c r="B3250" s="499">
        <v>45595</v>
      </c>
      <c r="C3250" s="500" t="s">
        <v>173</v>
      </c>
      <c r="D3250" s="500" t="s">
        <v>764</v>
      </c>
      <c r="E3250" s="501">
        <v>490468321.23000002</v>
      </c>
      <c r="F3250" s="502" t="s">
        <v>878</v>
      </c>
      <c r="G3250" s="100" t="s">
        <v>670</v>
      </c>
      <c r="H3250" s="484">
        <v>114456150</v>
      </c>
      <c r="I3250" s="525"/>
      <c r="K3250" s="548"/>
      <c r="L3250" s="548"/>
      <c r="M3250" s="548"/>
      <c r="N3250" s="552"/>
      <c r="Y3250" s="551"/>
    </row>
    <row r="3251" spans="1:25">
      <c r="A3251" s="499">
        <v>45588</v>
      </c>
      <c r="B3251" s="499">
        <v>45595</v>
      </c>
      <c r="C3251" s="500" t="s">
        <v>173</v>
      </c>
      <c r="D3251" s="500" t="s">
        <v>764</v>
      </c>
      <c r="E3251" s="501">
        <v>279887054.67000002</v>
      </c>
      <c r="F3251" s="502" t="s">
        <v>878</v>
      </c>
      <c r="G3251" s="100" t="s">
        <v>692</v>
      </c>
      <c r="H3251" s="484">
        <v>114456153</v>
      </c>
      <c r="I3251" s="525"/>
      <c r="K3251" s="548"/>
      <c r="L3251" s="548"/>
      <c r="M3251" s="548"/>
      <c r="N3251" s="552"/>
      <c r="Y3251" s="551"/>
    </row>
    <row r="3252" spans="1:25">
      <c r="A3252" s="499">
        <v>45588</v>
      </c>
      <c r="B3252" s="499">
        <v>45595</v>
      </c>
      <c r="C3252" s="500" t="s">
        <v>173</v>
      </c>
      <c r="D3252" s="500" t="s">
        <v>764</v>
      </c>
      <c r="E3252" s="501">
        <v>192669141.31</v>
      </c>
      <c r="F3252" s="502" t="s">
        <v>878</v>
      </c>
      <c r="G3252" s="100" t="s">
        <v>690</v>
      </c>
      <c r="H3252" s="484">
        <v>114456156</v>
      </c>
      <c r="I3252" s="525"/>
      <c r="K3252" s="548"/>
      <c r="L3252" s="548"/>
      <c r="M3252" s="548"/>
      <c r="N3252" s="552"/>
      <c r="Y3252" s="551"/>
    </row>
    <row r="3253" spans="1:25">
      <c r="A3253" s="499">
        <v>45588</v>
      </c>
      <c r="B3253" s="499">
        <v>45595</v>
      </c>
      <c r="C3253" s="500" t="s">
        <v>173</v>
      </c>
      <c r="D3253" s="500" t="s">
        <v>764</v>
      </c>
      <c r="E3253" s="501">
        <v>136378416.46000001</v>
      </c>
      <c r="F3253" s="502" t="s">
        <v>878</v>
      </c>
      <c r="G3253" s="100" t="s">
        <v>598</v>
      </c>
      <c r="H3253" s="484">
        <v>114456159</v>
      </c>
      <c r="I3253" s="525"/>
      <c r="K3253" s="548"/>
      <c r="L3253" s="548"/>
      <c r="M3253" s="548"/>
      <c r="N3253" s="552"/>
      <c r="Y3253" s="551"/>
    </row>
    <row r="3254" spans="1:25">
      <c r="A3254" s="499">
        <v>45588</v>
      </c>
      <c r="B3254" s="499">
        <v>45595</v>
      </c>
      <c r="C3254" s="500" t="s">
        <v>173</v>
      </c>
      <c r="D3254" s="500" t="s">
        <v>764</v>
      </c>
      <c r="E3254" s="501">
        <v>98264955.829999998</v>
      </c>
      <c r="F3254" s="502" t="s">
        <v>878</v>
      </c>
      <c r="G3254" s="100" t="s">
        <v>715</v>
      </c>
      <c r="H3254" s="484">
        <v>114456162</v>
      </c>
      <c r="I3254" s="525"/>
      <c r="K3254" s="548"/>
      <c r="L3254" s="548"/>
      <c r="M3254" s="548"/>
      <c r="N3254" s="552"/>
      <c r="Y3254" s="551"/>
    </row>
    <row r="3255" spans="1:25">
      <c r="A3255" s="499">
        <v>45588</v>
      </c>
      <c r="B3255" s="499">
        <v>45595</v>
      </c>
      <c r="C3255" s="500" t="s">
        <v>173</v>
      </c>
      <c r="D3255" s="500" t="s">
        <v>764</v>
      </c>
      <c r="E3255" s="501">
        <v>94252390.519999996</v>
      </c>
      <c r="F3255" s="502" t="s">
        <v>878</v>
      </c>
      <c r="G3255" s="100" t="s">
        <v>525</v>
      </c>
      <c r="H3255" s="484">
        <v>114456165</v>
      </c>
      <c r="I3255" s="525"/>
      <c r="K3255" s="548"/>
      <c r="L3255" s="548"/>
      <c r="M3255" s="548"/>
      <c r="N3255" s="552"/>
      <c r="Y3255" s="551"/>
    </row>
    <row r="3256" spans="1:25">
      <c r="A3256" s="499">
        <v>45588</v>
      </c>
      <c r="B3256" s="499">
        <v>45595</v>
      </c>
      <c r="C3256" s="500" t="s">
        <v>173</v>
      </c>
      <c r="D3256" s="500" t="s">
        <v>764</v>
      </c>
      <c r="E3256" s="501">
        <v>77232401.939999998</v>
      </c>
      <c r="F3256" s="502" t="s">
        <v>878</v>
      </c>
      <c r="G3256" s="100" t="s">
        <v>594</v>
      </c>
      <c r="H3256" s="484">
        <v>114456168</v>
      </c>
      <c r="I3256" s="525"/>
      <c r="K3256" s="548"/>
      <c r="L3256" s="548"/>
      <c r="M3256" s="548"/>
      <c r="N3256" s="552"/>
      <c r="Y3256" s="551"/>
    </row>
    <row r="3257" spans="1:25">
      <c r="A3257" s="499">
        <v>45588</v>
      </c>
      <c r="B3257" s="499">
        <v>45595</v>
      </c>
      <c r="C3257" s="500" t="s">
        <v>173</v>
      </c>
      <c r="D3257" s="500" t="s">
        <v>764</v>
      </c>
      <c r="E3257" s="501">
        <v>48170550.109999999</v>
      </c>
      <c r="F3257" s="502" t="s">
        <v>878</v>
      </c>
      <c r="G3257" s="100" t="s">
        <v>693</v>
      </c>
      <c r="H3257" s="484">
        <v>114456171</v>
      </c>
      <c r="I3257" s="525"/>
      <c r="K3257" s="548"/>
      <c r="L3257" s="548"/>
      <c r="M3257" s="548"/>
      <c r="N3257" s="552"/>
      <c r="Y3257" s="551"/>
    </row>
    <row r="3258" spans="1:25">
      <c r="A3258" s="499">
        <v>45588</v>
      </c>
      <c r="B3258" s="499">
        <v>45595</v>
      </c>
      <c r="C3258" s="500" t="s">
        <v>173</v>
      </c>
      <c r="D3258" s="500" t="s">
        <v>764</v>
      </c>
      <c r="E3258" s="501">
        <v>40144364.950000003</v>
      </c>
      <c r="F3258" s="502" t="s">
        <v>878</v>
      </c>
      <c r="G3258" s="100" t="s">
        <v>590</v>
      </c>
      <c r="H3258" s="484">
        <v>114456174</v>
      </c>
      <c r="I3258" s="525"/>
      <c r="K3258" s="548"/>
      <c r="L3258" s="548"/>
      <c r="M3258" s="548"/>
      <c r="N3258" s="552"/>
      <c r="Y3258" s="551"/>
    </row>
    <row r="3259" spans="1:25">
      <c r="A3259" s="499">
        <v>45588</v>
      </c>
      <c r="B3259" s="499">
        <v>45595</v>
      </c>
      <c r="C3259" s="500" t="s">
        <v>173</v>
      </c>
      <c r="D3259" s="500" t="s">
        <v>764</v>
      </c>
      <c r="E3259" s="501">
        <v>32085920.18</v>
      </c>
      <c r="F3259" s="502" t="s">
        <v>878</v>
      </c>
      <c r="G3259" s="100" t="s">
        <v>525</v>
      </c>
      <c r="H3259" s="484">
        <v>114456177</v>
      </c>
      <c r="I3259" s="525"/>
      <c r="K3259" s="548"/>
      <c r="L3259" s="548"/>
      <c r="M3259" s="548"/>
      <c r="N3259" s="552"/>
      <c r="Y3259" s="551"/>
    </row>
    <row r="3260" spans="1:25">
      <c r="A3260" s="499">
        <v>45588</v>
      </c>
      <c r="B3260" s="499">
        <v>45595</v>
      </c>
      <c r="C3260" s="500" t="s">
        <v>173</v>
      </c>
      <c r="D3260" s="500" t="s">
        <v>764</v>
      </c>
      <c r="E3260" s="501">
        <v>30095253.809999999</v>
      </c>
      <c r="F3260" s="502" t="s">
        <v>878</v>
      </c>
      <c r="G3260" s="100" t="s">
        <v>689</v>
      </c>
      <c r="H3260" s="484">
        <v>114456180</v>
      </c>
      <c r="I3260" s="525"/>
      <c r="K3260" s="548"/>
      <c r="L3260" s="548"/>
      <c r="M3260" s="548"/>
      <c r="N3260" s="552"/>
      <c r="Y3260" s="551"/>
    </row>
    <row r="3261" spans="1:25">
      <c r="A3261" s="499">
        <v>45588</v>
      </c>
      <c r="B3261" s="499">
        <v>45595</v>
      </c>
      <c r="C3261" s="500" t="s">
        <v>173</v>
      </c>
      <c r="D3261" s="500" t="s">
        <v>764</v>
      </c>
      <c r="E3261" s="501">
        <v>30103155.460000001</v>
      </c>
      <c r="F3261" s="502" t="s">
        <v>878</v>
      </c>
      <c r="G3261" s="100" t="s">
        <v>823</v>
      </c>
      <c r="H3261" s="484">
        <v>114456183</v>
      </c>
      <c r="I3261" s="525"/>
      <c r="K3261" s="548"/>
      <c r="L3261" s="548"/>
      <c r="M3261" s="548"/>
      <c r="N3261" s="552"/>
      <c r="Y3261" s="551"/>
    </row>
    <row r="3262" spans="1:25">
      <c r="A3262" s="499">
        <v>45588</v>
      </c>
      <c r="B3262" s="499">
        <v>45595</v>
      </c>
      <c r="C3262" s="500" t="s">
        <v>173</v>
      </c>
      <c r="D3262" s="500" t="s">
        <v>764</v>
      </c>
      <c r="E3262" s="501">
        <v>30081108.93</v>
      </c>
      <c r="F3262" s="502" t="s">
        <v>878</v>
      </c>
      <c r="G3262" s="100" t="s">
        <v>715</v>
      </c>
      <c r="H3262" s="484">
        <v>114456186</v>
      </c>
      <c r="I3262" s="525"/>
      <c r="K3262" s="548"/>
      <c r="L3262" s="548"/>
      <c r="M3262" s="548"/>
      <c r="N3262" s="552"/>
      <c r="Y3262" s="551"/>
    </row>
    <row r="3263" spans="1:25">
      <c r="A3263" s="499">
        <v>45588</v>
      </c>
      <c r="B3263" s="499">
        <v>45595</v>
      </c>
      <c r="C3263" s="500" t="s">
        <v>173</v>
      </c>
      <c r="D3263" s="500" t="s">
        <v>764</v>
      </c>
      <c r="E3263" s="501">
        <v>28082236.719999999</v>
      </c>
      <c r="F3263" s="502" t="s">
        <v>878</v>
      </c>
      <c r="G3263" s="100" t="s">
        <v>821</v>
      </c>
      <c r="H3263" s="484">
        <v>114456189</v>
      </c>
      <c r="I3263" s="525"/>
      <c r="K3263" s="548"/>
      <c r="L3263" s="548"/>
      <c r="M3263" s="548"/>
      <c r="N3263" s="552"/>
      <c r="Y3263" s="551"/>
    </row>
    <row r="3264" spans="1:25">
      <c r="A3264" s="499">
        <v>45588</v>
      </c>
      <c r="B3264" s="499">
        <v>45595</v>
      </c>
      <c r="C3264" s="500" t="s">
        <v>173</v>
      </c>
      <c r="D3264" s="500" t="s">
        <v>764</v>
      </c>
      <c r="E3264" s="501">
        <v>28076839.760000002</v>
      </c>
      <c r="F3264" s="502" t="s">
        <v>878</v>
      </c>
      <c r="G3264" s="100" t="s">
        <v>550</v>
      </c>
      <c r="H3264" s="484">
        <v>114456192</v>
      </c>
      <c r="I3264" s="525"/>
      <c r="K3264" s="548"/>
      <c r="L3264" s="548"/>
      <c r="M3264" s="548"/>
      <c r="N3264" s="552"/>
      <c r="Y3264" s="551"/>
    </row>
    <row r="3265" spans="1:25">
      <c r="A3265" s="499">
        <v>45588</v>
      </c>
      <c r="B3265" s="499">
        <v>45595</v>
      </c>
      <c r="C3265" s="500" t="s">
        <v>173</v>
      </c>
      <c r="D3265" s="500" t="s">
        <v>764</v>
      </c>
      <c r="E3265" s="501">
        <v>26070294.399999999</v>
      </c>
      <c r="F3265" s="502" t="s">
        <v>878</v>
      </c>
      <c r="G3265" s="100" t="s">
        <v>715</v>
      </c>
      <c r="H3265" s="484">
        <v>114456195</v>
      </c>
      <c r="I3265" s="525"/>
      <c r="K3265" s="548"/>
      <c r="L3265" s="548"/>
      <c r="M3265" s="548"/>
      <c r="N3265" s="552"/>
      <c r="Y3265" s="551"/>
    </row>
    <row r="3266" spans="1:25">
      <c r="A3266" s="499">
        <v>45588</v>
      </c>
      <c r="B3266" s="499">
        <v>45595</v>
      </c>
      <c r="C3266" s="500" t="s">
        <v>173</v>
      </c>
      <c r="D3266" s="500" t="s">
        <v>764</v>
      </c>
      <c r="E3266" s="501">
        <v>1003281.96</v>
      </c>
      <c r="F3266" s="502" t="s">
        <v>878</v>
      </c>
      <c r="G3266" s="100" t="s">
        <v>588</v>
      </c>
      <c r="H3266" s="484">
        <v>114456198</v>
      </c>
      <c r="I3266" s="525"/>
      <c r="K3266" s="548"/>
      <c r="L3266" s="548"/>
      <c r="M3266" s="548"/>
      <c r="N3266" s="552"/>
      <c r="Y3266" s="551"/>
    </row>
    <row r="3267" spans="1:25">
      <c r="A3267" s="499">
        <v>45588</v>
      </c>
      <c r="B3267" s="499">
        <v>45595</v>
      </c>
      <c r="C3267" s="500" t="s">
        <v>173</v>
      </c>
      <c r="D3267" s="500" t="s">
        <v>764</v>
      </c>
      <c r="E3267" s="501">
        <v>14045947.380000001</v>
      </c>
      <c r="F3267" s="502" t="s">
        <v>878</v>
      </c>
      <c r="G3267" s="100" t="s">
        <v>588</v>
      </c>
      <c r="H3267" s="484">
        <v>114456360</v>
      </c>
      <c r="I3267" s="525"/>
      <c r="K3267" s="548"/>
      <c r="L3267" s="548"/>
      <c r="M3267" s="548"/>
      <c r="N3267" s="552"/>
      <c r="Y3267" s="551"/>
    </row>
    <row r="3268" spans="1:25">
      <c r="A3268" s="499">
        <v>45588</v>
      </c>
      <c r="B3268" s="499">
        <v>45588</v>
      </c>
      <c r="C3268" s="500" t="s">
        <v>173</v>
      </c>
      <c r="D3268" s="500" t="s">
        <v>763</v>
      </c>
      <c r="E3268" s="501">
        <v>-5398178814.1499996</v>
      </c>
      <c r="F3268" s="502" t="s">
        <v>878</v>
      </c>
      <c r="G3268" s="100" t="s">
        <v>644</v>
      </c>
      <c r="H3268" s="530"/>
      <c r="I3268" s="525"/>
      <c r="K3268" s="548"/>
      <c r="L3268" s="548"/>
      <c r="M3268" s="548"/>
      <c r="N3268" s="552"/>
      <c r="Y3268" s="551"/>
    </row>
    <row r="3269" spans="1:25">
      <c r="A3269" s="499">
        <v>45588</v>
      </c>
      <c r="B3269" s="499">
        <v>45588</v>
      </c>
      <c r="C3269" s="500" t="s">
        <v>173</v>
      </c>
      <c r="D3269" s="500" t="s">
        <v>763</v>
      </c>
      <c r="E3269" s="501">
        <v>-23022404.579999998</v>
      </c>
      <c r="F3269" s="502" t="s">
        <v>878</v>
      </c>
      <c r="G3269" s="100" t="s">
        <v>684</v>
      </c>
      <c r="H3269" s="530"/>
      <c r="I3269" s="525"/>
      <c r="K3269" s="548"/>
      <c r="L3269" s="548"/>
      <c r="M3269" s="548"/>
      <c r="N3269" s="552"/>
      <c r="Y3269" s="551"/>
    </row>
    <row r="3270" spans="1:25">
      <c r="A3270" s="499">
        <v>45588</v>
      </c>
      <c r="B3270" s="499">
        <v>45589</v>
      </c>
      <c r="C3270" s="500" t="s">
        <v>173</v>
      </c>
      <c r="D3270" s="500" t="s">
        <v>763</v>
      </c>
      <c r="E3270" s="501">
        <v>5400192143.1099997</v>
      </c>
      <c r="F3270" s="502" t="s">
        <v>878</v>
      </c>
      <c r="G3270" s="100" t="s">
        <v>644</v>
      </c>
      <c r="H3270" s="484">
        <v>114452273</v>
      </c>
      <c r="I3270" s="525"/>
      <c r="K3270" s="548"/>
      <c r="L3270" s="548"/>
      <c r="M3270" s="548"/>
      <c r="N3270" s="552"/>
      <c r="Y3270" s="551"/>
    </row>
    <row r="3271" spans="1:25">
      <c r="A3271" s="499">
        <v>45588</v>
      </c>
      <c r="B3271" s="499">
        <v>45589</v>
      </c>
      <c r="C3271" s="500" t="s">
        <v>173</v>
      </c>
      <c r="D3271" s="500" t="s">
        <v>763</v>
      </c>
      <c r="E3271" s="501">
        <v>23031148.059999999</v>
      </c>
      <c r="F3271" s="502" t="s">
        <v>878</v>
      </c>
      <c r="G3271" s="100" t="s">
        <v>684</v>
      </c>
      <c r="H3271" s="484">
        <v>114452418</v>
      </c>
      <c r="I3271" s="525"/>
      <c r="K3271" s="548"/>
      <c r="L3271" s="548"/>
      <c r="M3271" s="548"/>
      <c r="N3271" s="552"/>
      <c r="Y3271" s="551"/>
    </row>
    <row r="3272" spans="1:25">
      <c r="A3272" s="499">
        <v>45588</v>
      </c>
      <c r="B3272" s="499">
        <v>45588</v>
      </c>
      <c r="C3272" s="500" t="s">
        <v>173</v>
      </c>
      <c r="D3272" s="500" t="s">
        <v>759</v>
      </c>
      <c r="E3272" s="501">
        <v>-175125053.25</v>
      </c>
      <c r="F3272" s="502" t="s">
        <v>878</v>
      </c>
      <c r="G3272" s="100" t="s">
        <v>686</v>
      </c>
      <c r="H3272" s="530"/>
      <c r="I3272" s="525"/>
      <c r="K3272" s="548"/>
      <c r="L3272" s="548"/>
      <c r="M3272" s="548"/>
      <c r="N3272" s="552"/>
      <c r="Y3272" s="551"/>
    </row>
    <row r="3273" spans="1:25">
      <c r="A3273" s="499">
        <v>45588</v>
      </c>
      <c r="B3273" s="499">
        <v>45588</v>
      </c>
      <c r="C3273" s="500" t="s">
        <v>173</v>
      </c>
      <c r="D3273" s="500" t="s">
        <v>759</v>
      </c>
      <c r="E3273" s="501">
        <v>-1820817808.8099999</v>
      </c>
      <c r="F3273" s="502" t="s">
        <v>878</v>
      </c>
      <c r="G3273" s="100" t="s">
        <v>633</v>
      </c>
      <c r="H3273" s="530"/>
      <c r="I3273" s="525"/>
      <c r="K3273" s="548"/>
      <c r="L3273" s="548"/>
      <c r="M3273" s="548"/>
      <c r="N3273" s="552"/>
      <c r="Y3273" s="551"/>
    </row>
    <row r="3274" spans="1:25">
      <c r="A3274" s="499">
        <v>45588</v>
      </c>
      <c r="B3274" s="499">
        <v>45588</v>
      </c>
      <c r="C3274" s="500" t="s">
        <v>173</v>
      </c>
      <c r="D3274" s="500" t="s">
        <v>759</v>
      </c>
      <c r="E3274" s="501">
        <v>-8006170.9800000004</v>
      </c>
      <c r="F3274" s="502" t="s">
        <v>878</v>
      </c>
      <c r="G3274" s="100" t="s">
        <v>800</v>
      </c>
      <c r="H3274" s="530"/>
      <c r="I3274" s="525"/>
      <c r="K3274" s="548"/>
      <c r="L3274" s="548"/>
      <c r="M3274" s="548"/>
      <c r="N3274" s="552"/>
      <c r="Y3274" s="551"/>
    </row>
    <row r="3275" spans="1:25">
      <c r="A3275" s="499">
        <v>45588</v>
      </c>
      <c r="B3275" s="499">
        <v>45589</v>
      </c>
      <c r="C3275" s="500" t="s">
        <v>173</v>
      </c>
      <c r="D3275" s="500" t="s">
        <v>759</v>
      </c>
      <c r="E3275" s="501">
        <v>175193237.18000001</v>
      </c>
      <c r="F3275" s="502" t="s">
        <v>878</v>
      </c>
      <c r="G3275" s="100" t="s">
        <v>686</v>
      </c>
      <c r="H3275" s="484">
        <v>114453213</v>
      </c>
      <c r="I3275" s="525"/>
      <c r="K3275" s="548"/>
      <c r="L3275" s="548"/>
      <c r="M3275" s="548"/>
      <c r="N3275" s="552"/>
      <c r="Y3275" s="551"/>
    </row>
    <row r="3276" spans="1:25">
      <c r="A3276" s="499">
        <v>45588</v>
      </c>
      <c r="B3276" s="499">
        <v>45589</v>
      </c>
      <c r="C3276" s="500" t="s">
        <v>173</v>
      </c>
      <c r="D3276" s="500" t="s">
        <v>759</v>
      </c>
      <c r="E3276" s="501">
        <v>1821511809.04</v>
      </c>
      <c r="F3276" s="502" t="s">
        <v>878</v>
      </c>
      <c r="G3276" s="100" t="s">
        <v>633</v>
      </c>
      <c r="H3276" s="484">
        <v>114453890</v>
      </c>
      <c r="I3276" s="525"/>
      <c r="K3276" s="548"/>
      <c r="L3276" s="548"/>
      <c r="M3276" s="548"/>
      <c r="N3276" s="552"/>
      <c r="Y3276" s="551"/>
    </row>
    <row r="3277" spans="1:25">
      <c r="A3277" s="499">
        <v>45588</v>
      </c>
      <c r="B3277" s="499">
        <v>45589</v>
      </c>
      <c r="C3277" s="500" t="s">
        <v>173</v>
      </c>
      <c r="D3277" s="500" t="s">
        <v>759</v>
      </c>
      <c r="E3277" s="501">
        <v>8009135.04</v>
      </c>
      <c r="F3277" s="502" t="s">
        <v>878</v>
      </c>
      <c r="G3277" s="100" t="s">
        <v>800</v>
      </c>
      <c r="H3277" s="484">
        <v>114458904</v>
      </c>
      <c r="I3277" s="525"/>
      <c r="K3277" s="548"/>
      <c r="L3277" s="548"/>
      <c r="M3277" s="548"/>
      <c r="N3277" s="552"/>
      <c r="R3277" s="539">
        <v>-1</v>
      </c>
      <c r="Y3277" s="551"/>
    </row>
    <row r="3278" spans="1:25">
      <c r="A3278" s="499">
        <v>45589</v>
      </c>
      <c r="B3278" s="499">
        <v>45589</v>
      </c>
      <c r="C3278" s="500" t="s">
        <v>173</v>
      </c>
      <c r="D3278" s="500" t="s">
        <v>762</v>
      </c>
      <c r="E3278" s="501">
        <v>-27000270.43</v>
      </c>
      <c r="F3278" s="502" t="s">
        <v>878</v>
      </c>
      <c r="G3278" s="100" t="s">
        <v>1007</v>
      </c>
      <c r="H3278" s="530"/>
      <c r="I3278" s="525"/>
      <c r="K3278" s="548"/>
      <c r="L3278" s="548"/>
      <c r="M3278" s="548"/>
      <c r="N3278" s="552"/>
      <c r="Y3278" s="551"/>
    </row>
    <row r="3279" spans="1:25">
      <c r="A3279" s="499">
        <v>45589</v>
      </c>
      <c r="B3279" s="499">
        <v>45589</v>
      </c>
      <c r="C3279" s="500" t="s">
        <v>173</v>
      </c>
      <c r="D3279" s="500" t="s">
        <v>762</v>
      </c>
      <c r="E3279" s="501">
        <v>-1969272017.3499999</v>
      </c>
      <c r="F3279" s="502" t="s">
        <v>878</v>
      </c>
      <c r="G3279" s="100" t="s">
        <v>676</v>
      </c>
      <c r="H3279" s="530"/>
      <c r="I3279" s="525"/>
      <c r="K3279" s="548"/>
      <c r="L3279" s="548"/>
      <c r="M3279" s="548"/>
      <c r="N3279" s="552"/>
      <c r="Y3279" s="551"/>
    </row>
    <row r="3280" spans="1:25">
      <c r="A3280" s="499">
        <v>45589</v>
      </c>
      <c r="B3280" s="499">
        <v>45589</v>
      </c>
      <c r="C3280" s="500" t="s">
        <v>173</v>
      </c>
      <c r="D3280" s="500" t="s">
        <v>762</v>
      </c>
      <c r="E3280" s="501">
        <v>-4271088911.54</v>
      </c>
      <c r="F3280" s="502" t="s">
        <v>878</v>
      </c>
      <c r="G3280" s="100" t="s">
        <v>644</v>
      </c>
      <c r="H3280" s="530"/>
      <c r="I3280" s="525"/>
      <c r="K3280" s="548"/>
      <c r="L3280" s="548"/>
      <c r="M3280" s="548"/>
      <c r="N3280" s="552"/>
      <c r="Y3280" s="551"/>
    </row>
    <row r="3281" spans="1:25">
      <c r="A3281" s="499">
        <v>45589</v>
      </c>
      <c r="B3281" s="499">
        <v>45593</v>
      </c>
      <c r="C3281" s="500" t="s">
        <v>173</v>
      </c>
      <c r="D3281" s="500" t="s">
        <v>762</v>
      </c>
      <c r="E3281" s="501">
        <v>27040717.719999999</v>
      </c>
      <c r="F3281" s="502" t="s">
        <v>878</v>
      </c>
      <c r="G3281" s="100" t="s">
        <v>1007</v>
      </c>
      <c r="H3281" s="484">
        <v>114470596</v>
      </c>
      <c r="I3281" s="525"/>
      <c r="K3281" s="548"/>
      <c r="L3281" s="548"/>
      <c r="M3281" s="548"/>
      <c r="N3281" s="552"/>
      <c r="Y3281" s="551"/>
    </row>
    <row r="3282" spans="1:25">
      <c r="A3282" s="499">
        <v>45589</v>
      </c>
      <c r="B3282" s="499">
        <v>45593</v>
      </c>
      <c r="C3282" s="500" t="s">
        <v>173</v>
      </c>
      <c r="D3282" s="500" t="s">
        <v>762</v>
      </c>
      <c r="E3282" s="501">
        <v>1972216240.4300001</v>
      </c>
      <c r="F3282" s="502" t="s">
        <v>878</v>
      </c>
      <c r="G3282" s="100" t="s">
        <v>676</v>
      </c>
      <c r="H3282" s="484">
        <v>114470444</v>
      </c>
      <c r="I3282" s="525"/>
      <c r="K3282" s="548"/>
      <c r="L3282" s="548"/>
      <c r="M3282" s="548"/>
      <c r="N3282" s="552"/>
      <c r="Y3282" s="551"/>
    </row>
    <row r="3283" spans="1:25">
      <c r="A3283" s="499">
        <v>45589</v>
      </c>
      <c r="B3283" s="499">
        <v>45593</v>
      </c>
      <c r="C3283" s="500" t="s">
        <v>173</v>
      </c>
      <c r="D3283" s="500" t="s">
        <v>762</v>
      </c>
      <c r="E3283" s="501">
        <v>4277474539.5500002</v>
      </c>
      <c r="F3283" s="502" t="s">
        <v>878</v>
      </c>
      <c r="G3283" s="100" t="s">
        <v>644</v>
      </c>
      <c r="H3283" s="484">
        <v>114470447</v>
      </c>
      <c r="I3283" s="525"/>
      <c r="K3283" s="548"/>
      <c r="L3283" s="548"/>
      <c r="M3283" s="548"/>
      <c r="N3283" s="552"/>
      <c r="Y3283" s="551"/>
    </row>
    <row r="3284" spans="1:25">
      <c r="A3284" s="499">
        <v>45589</v>
      </c>
      <c r="B3284" s="499">
        <v>45589</v>
      </c>
      <c r="C3284" s="500" t="s">
        <v>173</v>
      </c>
      <c r="D3284" s="500" t="s">
        <v>761</v>
      </c>
      <c r="E3284" s="501">
        <v>-1494763592.3599999</v>
      </c>
      <c r="F3284" s="502" t="s">
        <v>878</v>
      </c>
      <c r="G3284" s="100" t="s">
        <v>687</v>
      </c>
      <c r="H3284" s="530"/>
      <c r="I3284" s="525"/>
      <c r="K3284" s="548"/>
      <c r="L3284" s="548"/>
      <c r="M3284" s="548"/>
      <c r="N3284" s="552"/>
      <c r="Y3284" s="551"/>
    </row>
    <row r="3285" spans="1:25">
      <c r="A3285" s="499">
        <v>45589</v>
      </c>
      <c r="B3285" s="499">
        <v>45589</v>
      </c>
      <c r="C3285" s="500" t="s">
        <v>173</v>
      </c>
      <c r="D3285" s="500" t="s">
        <v>761</v>
      </c>
      <c r="E3285" s="501">
        <v>-6003066.6399999997</v>
      </c>
      <c r="F3285" s="502" t="s">
        <v>878</v>
      </c>
      <c r="G3285" s="100" t="s">
        <v>687</v>
      </c>
      <c r="H3285" s="530"/>
      <c r="I3285" s="525"/>
      <c r="K3285" s="548"/>
      <c r="L3285" s="548"/>
      <c r="M3285" s="548"/>
      <c r="N3285" s="552"/>
      <c r="Y3285" s="551"/>
    </row>
    <row r="3286" spans="1:25">
      <c r="A3286" s="499">
        <v>45589</v>
      </c>
      <c r="B3286" s="499">
        <v>45589</v>
      </c>
      <c r="C3286" s="500" t="s">
        <v>173</v>
      </c>
      <c r="D3286" s="500" t="s">
        <v>761</v>
      </c>
      <c r="E3286" s="501">
        <v>-199042727.16999999</v>
      </c>
      <c r="F3286" s="502" t="s">
        <v>878</v>
      </c>
      <c r="G3286" s="100" t="s">
        <v>833</v>
      </c>
      <c r="H3286" s="530"/>
      <c r="I3286" s="525"/>
      <c r="K3286" s="548"/>
      <c r="L3286" s="548"/>
      <c r="M3286" s="548"/>
      <c r="N3286" s="552"/>
      <c r="Y3286" s="551"/>
    </row>
    <row r="3287" spans="1:25">
      <c r="A3287" s="499">
        <v>45589</v>
      </c>
      <c r="B3287" s="499">
        <v>45589</v>
      </c>
      <c r="C3287" s="500" t="s">
        <v>173</v>
      </c>
      <c r="D3287" s="500" t="s">
        <v>761</v>
      </c>
      <c r="E3287" s="501">
        <v>-118025335.70999999</v>
      </c>
      <c r="F3287" s="502" t="s">
        <v>878</v>
      </c>
      <c r="G3287" s="100" t="s">
        <v>833</v>
      </c>
      <c r="H3287" s="530"/>
      <c r="I3287" s="525"/>
      <c r="K3287" s="548"/>
      <c r="L3287" s="548"/>
      <c r="M3287" s="548"/>
      <c r="N3287" s="552"/>
      <c r="Y3287" s="551"/>
    </row>
    <row r="3288" spans="1:25">
      <c r="A3288" s="499">
        <v>45589</v>
      </c>
      <c r="B3288" s="499">
        <v>45589</v>
      </c>
      <c r="C3288" s="500" t="s">
        <v>173</v>
      </c>
      <c r="D3288" s="500" t="s">
        <v>761</v>
      </c>
      <c r="E3288" s="501">
        <v>-188069059.91999999</v>
      </c>
      <c r="F3288" s="502" t="s">
        <v>878</v>
      </c>
      <c r="G3288" s="100" t="s">
        <v>604</v>
      </c>
      <c r="H3288" s="530"/>
      <c r="I3288" s="525"/>
      <c r="K3288" s="548"/>
      <c r="L3288" s="548"/>
      <c r="M3288" s="548"/>
      <c r="N3288" s="552"/>
      <c r="Y3288" s="551"/>
    </row>
    <row r="3289" spans="1:25">
      <c r="A3289" s="499">
        <v>45589</v>
      </c>
      <c r="B3289" s="499">
        <v>45589</v>
      </c>
      <c r="C3289" s="500" t="s">
        <v>173</v>
      </c>
      <c r="D3289" s="500" t="s">
        <v>761</v>
      </c>
      <c r="E3289" s="501">
        <v>-2000162.76</v>
      </c>
      <c r="F3289" s="502" t="s">
        <v>878</v>
      </c>
      <c r="G3289" s="100" t="s">
        <v>633</v>
      </c>
      <c r="H3289" s="530"/>
      <c r="I3289" s="525"/>
      <c r="K3289" s="548"/>
      <c r="L3289" s="548"/>
      <c r="M3289" s="548"/>
      <c r="N3289" s="552"/>
      <c r="Y3289" s="551"/>
    </row>
    <row r="3290" spans="1:25">
      <c r="A3290" s="499">
        <v>45589</v>
      </c>
      <c r="B3290" s="499">
        <v>45596</v>
      </c>
      <c r="C3290" s="500" t="s">
        <v>173</v>
      </c>
      <c r="D3290" s="500" t="s">
        <v>761</v>
      </c>
      <c r="E3290" s="501">
        <v>1498766022</v>
      </c>
      <c r="F3290" s="502" t="s">
        <v>878</v>
      </c>
      <c r="G3290" s="100" t="s">
        <v>687</v>
      </c>
      <c r="H3290" s="484">
        <v>114469691</v>
      </c>
      <c r="I3290" s="525"/>
      <c r="K3290" s="548"/>
      <c r="L3290" s="548"/>
      <c r="M3290" s="548"/>
      <c r="N3290" s="552"/>
      <c r="Y3290" s="551"/>
    </row>
    <row r="3291" spans="1:25">
      <c r="A3291" s="499">
        <v>45589</v>
      </c>
      <c r="B3291" s="499">
        <v>45596</v>
      </c>
      <c r="C3291" s="500" t="s">
        <v>173</v>
      </c>
      <c r="D3291" s="500" t="s">
        <v>761</v>
      </c>
      <c r="E3291" s="501">
        <v>6019140.6500000004</v>
      </c>
      <c r="F3291" s="502" t="s">
        <v>878</v>
      </c>
      <c r="G3291" s="100" t="s">
        <v>687</v>
      </c>
      <c r="H3291" s="484">
        <v>114469788</v>
      </c>
      <c r="I3291" s="525"/>
      <c r="K3291" s="548"/>
      <c r="L3291" s="548"/>
      <c r="M3291" s="548"/>
      <c r="N3291" s="552"/>
      <c r="Y3291" s="551"/>
    </row>
    <row r="3292" spans="1:25">
      <c r="A3292" s="499">
        <v>45589</v>
      </c>
      <c r="B3292" s="499">
        <v>45593</v>
      </c>
      <c r="C3292" s="500" t="s">
        <v>173</v>
      </c>
      <c r="D3292" s="500" t="s">
        <v>761</v>
      </c>
      <c r="E3292" s="501">
        <v>199344010.41999999</v>
      </c>
      <c r="F3292" s="502" t="s">
        <v>878</v>
      </c>
      <c r="G3292" s="100" t="s">
        <v>833</v>
      </c>
      <c r="H3292" s="484">
        <v>114469846</v>
      </c>
      <c r="I3292" s="525"/>
      <c r="K3292" s="548"/>
      <c r="L3292" s="548"/>
      <c r="M3292" s="548"/>
      <c r="N3292" s="552"/>
      <c r="Y3292" s="551"/>
    </row>
    <row r="3293" spans="1:25">
      <c r="A3293" s="499">
        <v>45589</v>
      </c>
      <c r="B3293" s="499">
        <v>45593</v>
      </c>
      <c r="C3293" s="500" t="s">
        <v>173</v>
      </c>
      <c r="D3293" s="500" t="s">
        <v>761</v>
      </c>
      <c r="E3293" s="501">
        <v>118203986.08</v>
      </c>
      <c r="F3293" s="502" t="s">
        <v>878</v>
      </c>
      <c r="G3293" s="100" t="s">
        <v>833</v>
      </c>
      <c r="H3293" s="484">
        <v>114469856</v>
      </c>
      <c r="I3293" s="525"/>
      <c r="K3293" s="548"/>
      <c r="L3293" s="548"/>
      <c r="M3293" s="548"/>
      <c r="N3293" s="552"/>
      <c r="Y3293" s="551"/>
    </row>
    <row r="3294" spans="1:25">
      <c r="A3294" s="499">
        <v>45589</v>
      </c>
      <c r="B3294" s="499">
        <v>45593</v>
      </c>
      <c r="C3294" s="500" t="s">
        <v>173</v>
      </c>
      <c r="D3294" s="500" t="s">
        <v>761</v>
      </c>
      <c r="E3294" s="501">
        <v>188353732.75999999</v>
      </c>
      <c r="F3294" s="502" t="s">
        <v>878</v>
      </c>
      <c r="G3294" s="100" t="s">
        <v>604</v>
      </c>
      <c r="H3294" s="484">
        <v>114469862</v>
      </c>
      <c r="I3294" s="525"/>
      <c r="K3294" s="548"/>
      <c r="L3294" s="548"/>
      <c r="M3294" s="548"/>
      <c r="N3294" s="552"/>
      <c r="Y3294" s="551"/>
    </row>
    <row r="3295" spans="1:25">
      <c r="A3295" s="499">
        <v>45589</v>
      </c>
      <c r="B3295" s="499">
        <v>45593</v>
      </c>
      <c r="C3295" s="500" t="s">
        <v>173</v>
      </c>
      <c r="D3295" s="500" t="s">
        <v>761</v>
      </c>
      <c r="E3295" s="501">
        <v>2003188.14</v>
      </c>
      <c r="F3295" s="502" t="s">
        <v>878</v>
      </c>
      <c r="G3295" s="100" t="s">
        <v>633</v>
      </c>
      <c r="H3295" s="484">
        <v>114471855</v>
      </c>
      <c r="I3295" s="525"/>
      <c r="K3295" s="548"/>
      <c r="L3295" s="548"/>
      <c r="M3295" s="548"/>
      <c r="N3295" s="552"/>
      <c r="Y3295" s="551"/>
    </row>
    <row r="3296" spans="1:25">
      <c r="A3296" s="499">
        <v>45589</v>
      </c>
      <c r="B3296" s="499">
        <v>45589</v>
      </c>
      <c r="C3296" s="500" t="s">
        <v>173</v>
      </c>
      <c r="D3296" s="500" t="s">
        <v>759</v>
      </c>
      <c r="E3296" s="501">
        <v>-882008834.11000001</v>
      </c>
      <c r="F3296" s="502" t="s">
        <v>878</v>
      </c>
      <c r="G3296" s="100" t="s">
        <v>1007</v>
      </c>
      <c r="H3296" s="530"/>
      <c r="I3296" s="525"/>
      <c r="K3296" s="548"/>
      <c r="L3296" s="548"/>
      <c r="M3296" s="548"/>
      <c r="N3296" s="552"/>
      <c r="Y3296" s="551"/>
    </row>
    <row r="3297" spans="1:25">
      <c r="A3297" s="499">
        <v>45589</v>
      </c>
      <c r="B3297" s="499">
        <v>45589</v>
      </c>
      <c r="C3297" s="500" t="s">
        <v>173</v>
      </c>
      <c r="D3297" s="500" t="s">
        <v>759</v>
      </c>
      <c r="E3297" s="501">
        <v>-1114011157.8199999</v>
      </c>
      <c r="F3297" s="502" t="s">
        <v>878</v>
      </c>
      <c r="G3297" s="100" t="s">
        <v>1007</v>
      </c>
      <c r="H3297" s="530"/>
      <c r="I3297" s="525"/>
      <c r="K3297" s="548"/>
      <c r="L3297" s="548"/>
      <c r="M3297" s="548"/>
      <c r="N3297" s="552"/>
      <c r="Y3297" s="551"/>
    </row>
    <row r="3298" spans="1:25">
      <c r="A3298" s="499">
        <v>45589</v>
      </c>
      <c r="B3298" s="499">
        <v>45589</v>
      </c>
      <c r="C3298" s="500" t="s">
        <v>173</v>
      </c>
      <c r="D3298" s="500" t="s">
        <v>759</v>
      </c>
      <c r="E3298" s="501">
        <v>-9000090.1400000006</v>
      </c>
      <c r="F3298" s="502" t="s">
        <v>878</v>
      </c>
      <c r="G3298" s="100" t="s">
        <v>1007</v>
      </c>
      <c r="H3298" s="530"/>
      <c r="I3298" s="525"/>
      <c r="K3298" s="548"/>
      <c r="L3298" s="548"/>
      <c r="M3298" s="548"/>
      <c r="N3298" s="552"/>
      <c r="Y3298" s="551"/>
    </row>
    <row r="3299" spans="1:25">
      <c r="A3299" s="499">
        <v>45589</v>
      </c>
      <c r="B3299" s="499">
        <v>45593</v>
      </c>
      <c r="C3299" s="500" t="s">
        <v>173</v>
      </c>
      <c r="D3299" s="500" t="s">
        <v>759</v>
      </c>
      <c r="E3299" s="501">
        <v>883343896.65999997</v>
      </c>
      <c r="F3299" s="502" t="s">
        <v>878</v>
      </c>
      <c r="G3299" s="100" t="s">
        <v>1007</v>
      </c>
      <c r="H3299" s="484">
        <v>114468625</v>
      </c>
      <c r="I3299" s="525"/>
      <c r="K3299" s="548"/>
      <c r="L3299" s="548"/>
      <c r="M3299" s="548"/>
      <c r="N3299" s="552"/>
      <c r="Y3299" s="551"/>
    </row>
    <row r="3300" spans="1:25">
      <c r="A3300" s="499">
        <v>45589</v>
      </c>
      <c r="B3300" s="499">
        <v>45593</v>
      </c>
      <c r="C3300" s="500" t="s">
        <v>173</v>
      </c>
      <c r="D3300" s="500" t="s">
        <v>759</v>
      </c>
      <c r="E3300" s="501">
        <v>1115697393.29</v>
      </c>
      <c r="F3300" s="502" t="s">
        <v>878</v>
      </c>
      <c r="G3300" s="100" t="s">
        <v>1007</v>
      </c>
      <c r="H3300" s="484">
        <v>114468629</v>
      </c>
      <c r="I3300" s="525"/>
      <c r="K3300" s="548"/>
      <c r="L3300" s="548"/>
      <c r="M3300" s="548"/>
      <c r="N3300" s="552"/>
      <c r="Y3300" s="551"/>
    </row>
    <row r="3301" spans="1:25">
      <c r="A3301" s="499">
        <v>45589</v>
      </c>
      <c r="B3301" s="499">
        <v>45593</v>
      </c>
      <c r="C3301" s="500" t="s">
        <v>173</v>
      </c>
      <c r="D3301" s="500" t="s">
        <v>759</v>
      </c>
      <c r="E3301" s="501">
        <v>9013572.5700000003</v>
      </c>
      <c r="F3301" s="502" t="s">
        <v>878</v>
      </c>
      <c r="G3301" s="100" t="s">
        <v>1007</v>
      </c>
      <c r="H3301" s="484">
        <v>114470678</v>
      </c>
      <c r="I3301" s="525"/>
      <c r="K3301" s="548"/>
      <c r="L3301" s="548"/>
      <c r="M3301" s="548"/>
      <c r="N3301" s="552"/>
      <c r="Y3301" s="551"/>
    </row>
    <row r="3302" spans="1:25">
      <c r="A3302" s="499">
        <v>45589</v>
      </c>
      <c r="B3302" s="499">
        <v>45589</v>
      </c>
      <c r="C3302" s="500" t="s">
        <v>173</v>
      </c>
      <c r="D3302" s="500" t="s">
        <v>760</v>
      </c>
      <c r="E3302" s="501">
        <v>-1250457007.5</v>
      </c>
      <c r="F3302" s="502" t="s">
        <v>878</v>
      </c>
      <c r="G3302" s="100" t="s">
        <v>708</v>
      </c>
      <c r="H3302" s="530"/>
      <c r="I3302" s="525"/>
      <c r="K3302" s="548"/>
      <c r="L3302" s="548"/>
      <c r="M3302" s="548"/>
      <c r="N3302" s="552"/>
      <c r="Y3302" s="551"/>
    </row>
    <row r="3303" spans="1:25">
      <c r="A3303" s="499">
        <v>45589</v>
      </c>
      <c r="B3303" s="499">
        <v>45589</v>
      </c>
      <c r="C3303" s="500" t="s">
        <v>173</v>
      </c>
      <c r="D3303" s="500" t="s">
        <v>760</v>
      </c>
      <c r="E3303" s="501">
        <v>-28000582.890000001</v>
      </c>
      <c r="F3303" s="502" t="s">
        <v>878</v>
      </c>
      <c r="G3303" s="100" t="s">
        <v>644</v>
      </c>
      <c r="H3303" s="530"/>
      <c r="I3303" s="525"/>
      <c r="K3303" s="548"/>
      <c r="L3303" s="548"/>
      <c r="M3303" s="548"/>
      <c r="N3303" s="552"/>
      <c r="Y3303" s="551"/>
    </row>
    <row r="3304" spans="1:25">
      <c r="A3304" s="499">
        <v>45589</v>
      </c>
      <c r="B3304" s="499">
        <v>45593</v>
      </c>
      <c r="C3304" s="500" t="s">
        <v>173</v>
      </c>
      <c r="D3304" s="500" t="s">
        <v>760</v>
      </c>
      <c r="E3304" s="501">
        <v>1252349775.76</v>
      </c>
      <c r="F3304" s="502" t="s">
        <v>878</v>
      </c>
      <c r="G3304" s="100" t="s">
        <v>708</v>
      </c>
      <c r="H3304" s="484">
        <v>114469402</v>
      </c>
      <c r="I3304" s="525"/>
      <c r="K3304" s="548"/>
      <c r="L3304" s="548"/>
      <c r="M3304" s="548"/>
      <c r="N3304" s="552"/>
      <c r="Y3304" s="551"/>
    </row>
    <row r="3305" spans="1:25">
      <c r="A3305" s="499">
        <v>45589</v>
      </c>
      <c r="B3305" s="499">
        <v>45593</v>
      </c>
      <c r="C3305" s="500" t="s">
        <v>173</v>
      </c>
      <c r="D3305" s="500" t="s">
        <v>760</v>
      </c>
      <c r="E3305" s="501">
        <v>28042660.27</v>
      </c>
      <c r="F3305" s="502" t="s">
        <v>878</v>
      </c>
      <c r="G3305" s="100" t="s">
        <v>644</v>
      </c>
      <c r="H3305" s="484">
        <v>114470175</v>
      </c>
      <c r="I3305" s="525"/>
      <c r="K3305" s="548"/>
      <c r="L3305" s="548"/>
      <c r="M3305" s="548"/>
      <c r="N3305" s="552"/>
      <c r="Y3305" s="551"/>
    </row>
    <row r="3306" spans="1:25">
      <c r="A3306" s="499">
        <v>45589</v>
      </c>
      <c r="B3306" s="499">
        <v>45589</v>
      </c>
      <c r="C3306" s="500" t="s">
        <v>173</v>
      </c>
      <c r="D3306" s="500" t="s">
        <v>763</v>
      </c>
      <c r="E3306" s="501">
        <v>-4951539252</v>
      </c>
      <c r="F3306" s="502" t="s">
        <v>878</v>
      </c>
      <c r="G3306" s="100" t="s">
        <v>682</v>
      </c>
      <c r="H3306" s="530"/>
      <c r="I3306" s="525"/>
      <c r="K3306" s="548"/>
      <c r="L3306" s="548"/>
      <c r="M3306" s="548"/>
      <c r="N3306" s="552"/>
      <c r="Y3306" s="551"/>
    </row>
    <row r="3307" spans="1:25">
      <c r="A3307" s="499">
        <v>45589</v>
      </c>
      <c r="B3307" s="499">
        <v>45589</v>
      </c>
      <c r="C3307" s="500" t="s">
        <v>173</v>
      </c>
      <c r="D3307" s="500" t="s">
        <v>763</v>
      </c>
      <c r="E3307" s="501">
        <v>-450212886.89999998</v>
      </c>
      <c r="F3307" s="502" t="s">
        <v>878</v>
      </c>
      <c r="G3307" s="100" t="s">
        <v>816</v>
      </c>
      <c r="H3307" s="530"/>
      <c r="I3307" s="525"/>
      <c r="K3307" s="548"/>
      <c r="L3307" s="548"/>
      <c r="M3307" s="548"/>
      <c r="N3307" s="552"/>
      <c r="Y3307" s="551"/>
    </row>
    <row r="3308" spans="1:25">
      <c r="A3308" s="499">
        <v>45589</v>
      </c>
      <c r="B3308" s="499">
        <v>45589</v>
      </c>
      <c r="C3308" s="500" t="s">
        <v>173</v>
      </c>
      <c r="D3308" s="500" t="s">
        <v>763</v>
      </c>
      <c r="E3308" s="501">
        <v>-21002076.420000002</v>
      </c>
      <c r="F3308" s="502" t="s">
        <v>878</v>
      </c>
      <c r="G3308" s="100" t="s">
        <v>550</v>
      </c>
      <c r="H3308" s="530"/>
      <c r="I3308" s="525"/>
      <c r="K3308" s="548"/>
      <c r="L3308" s="548"/>
      <c r="M3308" s="548"/>
      <c r="N3308" s="552"/>
      <c r="Y3308" s="551"/>
    </row>
    <row r="3309" spans="1:25">
      <c r="A3309" s="499">
        <v>45589</v>
      </c>
      <c r="B3309" s="499">
        <v>45593</v>
      </c>
      <c r="C3309" s="500" t="s">
        <v>173</v>
      </c>
      <c r="D3309" s="500" t="s">
        <v>763</v>
      </c>
      <c r="E3309" s="501">
        <v>4958873536.8800001</v>
      </c>
      <c r="F3309" s="502" t="s">
        <v>878</v>
      </c>
      <c r="G3309" s="100" t="s">
        <v>682</v>
      </c>
      <c r="H3309" s="484">
        <v>114467991</v>
      </c>
      <c r="I3309" s="525"/>
      <c r="K3309" s="548"/>
      <c r="L3309" s="548"/>
      <c r="M3309" s="548"/>
      <c r="N3309" s="552"/>
      <c r="Y3309" s="551"/>
    </row>
    <row r="3310" spans="1:25">
      <c r="A3310" s="499">
        <v>45589</v>
      </c>
      <c r="B3310" s="499">
        <v>45593</v>
      </c>
      <c r="C3310" s="500" t="s">
        <v>173</v>
      </c>
      <c r="D3310" s="500" t="s">
        <v>763</v>
      </c>
      <c r="E3310" s="501">
        <v>450877135.42000002</v>
      </c>
      <c r="F3310" s="502" t="s">
        <v>878</v>
      </c>
      <c r="G3310" s="100" t="s">
        <v>816</v>
      </c>
      <c r="H3310" s="484">
        <v>114467994</v>
      </c>
      <c r="I3310" s="525"/>
      <c r="K3310" s="548"/>
      <c r="L3310" s="548"/>
      <c r="M3310" s="548"/>
      <c r="N3310" s="552"/>
      <c r="Y3310" s="551"/>
    </row>
    <row r="3311" spans="1:25">
      <c r="A3311" s="499">
        <v>45589</v>
      </c>
      <c r="B3311" s="499">
        <v>45593</v>
      </c>
      <c r="C3311" s="500" t="s">
        <v>173</v>
      </c>
      <c r="D3311" s="500" t="s">
        <v>763</v>
      </c>
      <c r="E3311" s="501">
        <v>21033637.149999999</v>
      </c>
      <c r="F3311" s="502" t="s">
        <v>878</v>
      </c>
      <c r="G3311" s="100" t="s">
        <v>550</v>
      </c>
      <c r="H3311" s="484">
        <v>114468103</v>
      </c>
      <c r="I3311" s="525"/>
      <c r="K3311" s="548"/>
      <c r="L3311" s="548"/>
      <c r="M3311" s="548"/>
      <c r="N3311" s="552"/>
      <c r="Y3311" s="551"/>
    </row>
    <row r="3312" spans="1:25">
      <c r="A3312" s="499">
        <v>45593</v>
      </c>
      <c r="B3312" s="499">
        <v>45593</v>
      </c>
      <c r="C3312" s="500" t="s">
        <v>173</v>
      </c>
      <c r="D3312" s="500" t="s">
        <v>762</v>
      </c>
      <c r="E3312" s="501">
        <v>-2131590769.2</v>
      </c>
      <c r="F3312" s="502" t="s">
        <v>878</v>
      </c>
      <c r="G3312" s="100" t="s">
        <v>673</v>
      </c>
      <c r="H3312" s="530"/>
      <c r="I3312" s="525"/>
      <c r="K3312" s="548"/>
      <c r="L3312" s="548"/>
      <c r="M3312" s="548"/>
      <c r="N3312" s="552"/>
      <c r="Y3312" s="551"/>
    </row>
    <row r="3313" spans="1:25">
      <c r="A3313" s="499">
        <v>45593</v>
      </c>
      <c r="B3313" s="499">
        <v>45593</v>
      </c>
      <c r="C3313" s="500" t="s">
        <v>173</v>
      </c>
      <c r="D3313" s="500" t="s">
        <v>762</v>
      </c>
      <c r="E3313" s="501">
        <v>-16000373.75</v>
      </c>
      <c r="F3313" s="502" t="s">
        <v>878</v>
      </c>
      <c r="G3313" s="100" t="s">
        <v>1013</v>
      </c>
      <c r="H3313" s="530"/>
      <c r="I3313" s="525"/>
      <c r="K3313" s="548"/>
      <c r="L3313" s="548"/>
      <c r="M3313" s="548"/>
      <c r="N3313" s="552"/>
      <c r="Y3313" s="551"/>
    </row>
    <row r="3314" spans="1:25">
      <c r="A3314" s="499">
        <v>45593</v>
      </c>
      <c r="B3314" s="499">
        <v>45593</v>
      </c>
      <c r="C3314" s="500" t="s">
        <v>173</v>
      </c>
      <c r="D3314" s="500" t="s">
        <v>762</v>
      </c>
      <c r="E3314" s="501">
        <v>-4121050797.7600002</v>
      </c>
      <c r="F3314" s="502" t="s">
        <v>878</v>
      </c>
      <c r="G3314" s="100" t="s">
        <v>633</v>
      </c>
      <c r="H3314" s="530"/>
      <c r="I3314" s="525"/>
      <c r="K3314" s="548"/>
      <c r="L3314" s="548"/>
      <c r="M3314" s="548"/>
      <c r="N3314" s="552"/>
      <c r="Y3314" s="551"/>
    </row>
    <row r="3315" spans="1:25">
      <c r="A3315" s="499">
        <v>45593</v>
      </c>
      <c r="B3315" s="499">
        <v>45593</v>
      </c>
      <c r="C3315" s="500" t="s">
        <v>173</v>
      </c>
      <c r="D3315" s="500" t="s">
        <v>762</v>
      </c>
      <c r="E3315" s="501">
        <v>-7001785.3399999999</v>
      </c>
      <c r="F3315" s="502" t="s">
        <v>878</v>
      </c>
      <c r="G3315" s="100" t="s">
        <v>633</v>
      </c>
      <c r="H3315" s="530"/>
      <c r="I3315" s="525"/>
      <c r="K3315" s="548"/>
      <c r="L3315" s="548"/>
      <c r="M3315" s="548"/>
      <c r="N3315" s="552"/>
      <c r="Y3315" s="551"/>
    </row>
    <row r="3316" spans="1:25">
      <c r="A3316" s="499">
        <v>45593</v>
      </c>
      <c r="B3316" s="499">
        <v>45594</v>
      </c>
      <c r="C3316" s="500" t="s">
        <v>173</v>
      </c>
      <c r="D3316" s="500" t="s">
        <v>762</v>
      </c>
      <c r="E3316" s="501">
        <v>2132394565.29</v>
      </c>
      <c r="F3316" s="502" t="s">
        <v>878</v>
      </c>
      <c r="G3316" s="100" t="s">
        <v>673</v>
      </c>
      <c r="H3316" s="484">
        <v>114486818</v>
      </c>
      <c r="I3316" s="525"/>
      <c r="K3316" s="548"/>
      <c r="L3316" s="548"/>
      <c r="M3316" s="548"/>
      <c r="N3316" s="552"/>
      <c r="Y3316" s="551"/>
    </row>
    <row r="3317" spans="1:25">
      <c r="A3317" s="499">
        <v>45593</v>
      </c>
      <c r="B3317" s="499">
        <v>45594</v>
      </c>
      <c r="C3317" s="500" t="s">
        <v>173</v>
      </c>
      <c r="D3317" s="500" t="s">
        <v>762</v>
      </c>
      <c r="E3317" s="501">
        <v>16006179.390000001</v>
      </c>
      <c r="F3317" s="502" t="s">
        <v>878</v>
      </c>
      <c r="G3317" s="100" t="s">
        <v>1013</v>
      </c>
      <c r="H3317" s="484">
        <v>114492545</v>
      </c>
      <c r="I3317" s="525"/>
      <c r="K3317" s="548"/>
      <c r="L3317" s="548"/>
      <c r="M3317" s="548"/>
      <c r="N3317" s="552"/>
      <c r="Y3317" s="551"/>
    </row>
    <row r="3318" spans="1:25">
      <c r="A3318" s="499">
        <v>45593</v>
      </c>
      <c r="B3318" s="499">
        <v>45594</v>
      </c>
      <c r="C3318" s="500" t="s">
        <v>173</v>
      </c>
      <c r="D3318" s="500" t="s">
        <v>762</v>
      </c>
      <c r="E3318" s="501">
        <v>4122604636.5900002</v>
      </c>
      <c r="F3318" s="502" t="s">
        <v>878</v>
      </c>
      <c r="G3318" s="100" t="s">
        <v>633</v>
      </c>
      <c r="H3318" s="484">
        <v>114487048</v>
      </c>
      <c r="I3318" s="525"/>
      <c r="K3318" s="548"/>
      <c r="L3318" s="548"/>
      <c r="M3318" s="548"/>
      <c r="N3318" s="552"/>
      <c r="Y3318" s="551"/>
    </row>
    <row r="3319" spans="1:25">
      <c r="A3319" s="499">
        <v>45593</v>
      </c>
      <c r="B3319" s="499">
        <v>45594</v>
      </c>
      <c r="C3319" s="500" t="s">
        <v>173</v>
      </c>
      <c r="D3319" s="500" t="s">
        <v>762</v>
      </c>
      <c r="E3319" s="501">
        <v>7004425.3600000003</v>
      </c>
      <c r="F3319" s="502" t="s">
        <v>878</v>
      </c>
      <c r="G3319" s="100" t="s">
        <v>633</v>
      </c>
      <c r="H3319" s="484">
        <v>114487051</v>
      </c>
      <c r="I3319" s="525"/>
      <c r="K3319" s="548"/>
      <c r="L3319" s="548"/>
      <c r="M3319" s="548"/>
      <c r="N3319" s="552"/>
      <c r="Y3319" s="551"/>
    </row>
    <row r="3320" spans="1:25">
      <c r="A3320" s="499">
        <v>45593</v>
      </c>
      <c r="B3320" s="499">
        <v>45593</v>
      </c>
      <c r="C3320" s="500" t="s">
        <v>173</v>
      </c>
      <c r="D3320" s="500" t="s">
        <v>761</v>
      </c>
      <c r="E3320" s="501">
        <v>-506063454.93000001</v>
      </c>
      <c r="F3320" s="502" t="s">
        <v>878</v>
      </c>
      <c r="G3320" s="100" t="s">
        <v>631</v>
      </c>
      <c r="H3320" s="530"/>
      <c r="I3320" s="525"/>
      <c r="K3320" s="548"/>
      <c r="L3320" s="548"/>
      <c r="M3320" s="548"/>
      <c r="N3320" s="552"/>
      <c r="Y3320" s="551"/>
    </row>
    <row r="3321" spans="1:25">
      <c r="A3321" s="499">
        <v>45593</v>
      </c>
      <c r="B3321" s="499">
        <v>45593</v>
      </c>
      <c r="C3321" s="500" t="s">
        <v>173</v>
      </c>
      <c r="D3321" s="500" t="s">
        <v>761</v>
      </c>
      <c r="E3321" s="501">
        <v>-2000510.1</v>
      </c>
      <c r="F3321" s="502" t="s">
        <v>878</v>
      </c>
      <c r="G3321" s="100" t="s">
        <v>633</v>
      </c>
      <c r="H3321" s="530"/>
      <c r="I3321" s="525"/>
      <c r="K3321" s="548"/>
      <c r="L3321" s="548"/>
      <c r="M3321" s="548"/>
      <c r="N3321" s="552"/>
      <c r="Y3321" s="551"/>
    </row>
    <row r="3322" spans="1:25">
      <c r="A3322" s="499">
        <v>45593</v>
      </c>
      <c r="B3322" s="499">
        <v>45594</v>
      </c>
      <c r="C3322" s="500" t="s">
        <v>173</v>
      </c>
      <c r="D3322" s="500" t="s">
        <v>761</v>
      </c>
      <c r="E3322" s="501">
        <v>506257031.11000001</v>
      </c>
      <c r="F3322" s="502" t="s">
        <v>878</v>
      </c>
      <c r="G3322" s="100" t="s">
        <v>631</v>
      </c>
      <c r="H3322" s="100">
        <v>114484213</v>
      </c>
      <c r="I3322" s="525"/>
      <c r="K3322" s="548"/>
      <c r="L3322" s="548"/>
      <c r="M3322" s="548"/>
      <c r="N3322" s="552"/>
      <c r="Y3322" s="551"/>
    </row>
    <row r="3323" spans="1:25">
      <c r="A3323" s="499">
        <v>45593</v>
      </c>
      <c r="B3323" s="499">
        <v>45594</v>
      </c>
      <c r="C3323" s="500" t="s">
        <v>173</v>
      </c>
      <c r="D3323" s="500" t="s">
        <v>761</v>
      </c>
      <c r="E3323" s="501">
        <v>2001275.32</v>
      </c>
      <c r="F3323" s="502" t="s">
        <v>878</v>
      </c>
      <c r="G3323" s="100" t="s">
        <v>633</v>
      </c>
      <c r="H3323" s="100">
        <v>114485061</v>
      </c>
      <c r="I3323" s="525"/>
      <c r="K3323" s="548"/>
      <c r="L3323" s="548"/>
      <c r="M3323" s="548"/>
      <c r="N3323" s="552"/>
      <c r="Y3323" s="551"/>
    </row>
    <row r="3324" spans="1:25">
      <c r="A3324" s="499">
        <v>45593</v>
      </c>
      <c r="B3324" s="499">
        <v>45593</v>
      </c>
      <c r="C3324" s="500" t="s">
        <v>173</v>
      </c>
      <c r="D3324" s="500" t="s">
        <v>759</v>
      </c>
      <c r="E3324" s="501">
        <v>-2000510096</v>
      </c>
      <c r="F3324" s="502" t="s">
        <v>878</v>
      </c>
      <c r="G3324" s="100" t="s">
        <v>633</v>
      </c>
      <c r="H3324" s="530"/>
      <c r="I3324" s="525"/>
      <c r="K3324" s="548"/>
      <c r="L3324" s="548"/>
      <c r="M3324" s="548"/>
      <c r="N3324" s="552"/>
      <c r="Y3324" s="551"/>
    </row>
    <row r="3325" spans="1:25">
      <c r="A3325" s="499">
        <v>45593</v>
      </c>
      <c r="B3325" s="499">
        <v>45593</v>
      </c>
      <c r="C3325" s="500" t="s">
        <v>173</v>
      </c>
      <c r="D3325" s="500" t="s">
        <v>759</v>
      </c>
      <c r="E3325" s="501">
        <v>-244070084.61000001</v>
      </c>
      <c r="F3325" s="502" t="s">
        <v>878</v>
      </c>
      <c r="G3325" s="100" t="s">
        <v>687</v>
      </c>
      <c r="H3325" s="530"/>
      <c r="I3325" s="525"/>
      <c r="K3325" s="548"/>
      <c r="L3325" s="548"/>
      <c r="M3325" s="548"/>
      <c r="N3325" s="552"/>
      <c r="Y3325" s="551"/>
    </row>
    <row r="3326" spans="1:25">
      <c r="A3326" s="499">
        <v>45593</v>
      </c>
      <c r="B3326" s="499">
        <v>45593</v>
      </c>
      <c r="C3326" s="500" t="s">
        <v>173</v>
      </c>
      <c r="D3326" s="500" t="s">
        <v>759</v>
      </c>
      <c r="E3326" s="501">
        <v>-293134112.55000001</v>
      </c>
      <c r="F3326" s="502" t="s">
        <v>878</v>
      </c>
      <c r="G3326" s="100" t="s">
        <v>604</v>
      </c>
      <c r="H3326" s="530"/>
      <c r="I3326" s="525"/>
      <c r="K3326" s="548"/>
      <c r="L3326" s="548"/>
      <c r="M3326" s="548"/>
      <c r="N3326" s="552"/>
      <c r="Y3326" s="551"/>
    </row>
    <row r="3327" spans="1:25">
      <c r="A3327" s="499">
        <v>45593</v>
      </c>
      <c r="B3327" s="499">
        <v>45593</v>
      </c>
      <c r="C3327" s="500" t="s">
        <v>173</v>
      </c>
      <c r="D3327" s="500" t="s">
        <v>759</v>
      </c>
      <c r="E3327" s="501">
        <v>-3270715920.7199998</v>
      </c>
      <c r="F3327" s="502" t="s">
        <v>878</v>
      </c>
      <c r="G3327" s="100" t="s">
        <v>684</v>
      </c>
      <c r="H3327" s="530"/>
      <c r="I3327" s="525"/>
      <c r="K3327" s="548"/>
      <c r="L3327" s="548"/>
      <c r="M3327" s="548"/>
      <c r="N3327" s="552"/>
      <c r="Y3327" s="551"/>
    </row>
    <row r="3328" spans="1:25">
      <c r="A3328" s="499">
        <v>45593</v>
      </c>
      <c r="B3328" s="499">
        <v>45593</v>
      </c>
      <c r="C3328" s="500" t="s">
        <v>173</v>
      </c>
      <c r="D3328" s="500" t="s">
        <v>759</v>
      </c>
      <c r="E3328" s="501">
        <v>-16003502.98</v>
      </c>
      <c r="F3328" s="502" t="s">
        <v>878</v>
      </c>
      <c r="G3328" s="100" t="s">
        <v>684</v>
      </c>
      <c r="H3328" s="530"/>
      <c r="I3328" s="525"/>
      <c r="K3328" s="548"/>
      <c r="L3328" s="548"/>
      <c r="M3328" s="548"/>
      <c r="N3328" s="552"/>
      <c r="Y3328" s="551"/>
    </row>
    <row r="3329" spans="1:25">
      <c r="A3329" s="499">
        <v>45593</v>
      </c>
      <c r="B3329" s="499">
        <v>45594</v>
      </c>
      <c r="C3329" s="500" t="s">
        <v>173</v>
      </c>
      <c r="D3329" s="500" t="s">
        <v>759</v>
      </c>
      <c r="E3329" s="501">
        <v>2001275318.4400001</v>
      </c>
      <c r="F3329" s="502" t="s">
        <v>878</v>
      </c>
      <c r="G3329" s="100" t="s">
        <v>633</v>
      </c>
      <c r="H3329" s="100">
        <v>114485866</v>
      </c>
      <c r="I3329" s="525"/>
      <c r="K3329" s="548"/>
      <c r="L3329" s="548"/>
      <c r="M3329" s="548"/>
      <c r="N3329" s="552"/>
      <c r="Y3329" s="551"/>
    </row>
    <row r="3330" spans="1:25">
      <c r="A3330" s="499">
        <v>45593</v>
      </c>
      <c r="B3330" s="499">
        <v>45600</v>
      </c>
      <c r="C3330" s="500" t="s">
        <v>173</v>
      </c>
      <c r="D3330" s="500" t="s">
        <v>759</v>
      </c>
      <c r="E3330" s="501">
        <v>244724100.41</v>
      </c>
      <c r="F3330" s="502" t="s">
        <v>878</v>
      </c>
      <c r="G3330" s="100" t="s">
        <v>687</v>
      </c>
      <c r="H3330" s="100">
        <v>114486532</v>
      </c>
      <c r="I3330" s="525"/>
      <c r="K3330" s="548"/>
      <c r="L3330" s="548"/>
      <c r="M3330" s="548"/>
      <c r="N3330" s="552"/>
      <c r="Y3330" s="551"/>
    </row>
    <row r="3331" spans="1:25">
      <c r="A3331" s="499">
        <v>45593</v>
      </c>
      <c r="B3331" s="499">
        <v>45600</v>
      </c>
      <c r="C3331" s="500" t="s">
        <v>173</v>
      </c>
      <c r="D3331" s="500" t="s">
        <v>759</v>
      </c>
      <c r="E3331" s="501">
        <v>293919601.44999999</v>
      </c>
      <c r="F3331" s="502" t="s">
        <v>878</v>
      </c>
      <c r="G3331" s="100" t="s">
        <v>604</v>
      </c>
      <c r="H3331" s="100">
        <v>114486535</v>
      </c>
      <c r="I3331" s="525"/>
      <c r="K3331" s="548"/>
      <c r="L3331" s="548"/>
      <c r="M3331" s="548"/>
      <c r="N3331" s="552"/>
      <c r="Y3331" s="551"/>
    </row>
    <row r="3332" spans="1:25">
      <c r="A3332" s="499">
        <v>45593</v>
      </c>
      <c r="B3332" s="499">
        <v>45600</v>
      </c>
      <c r="C3332" s="500" t="s">
        <v>173</v>
      </c>
      <c r="D3332" s="500" t="s">
        <v>759</v>
      </c>
      <c r="E3332" s="501">
        <v>3279480143.6100001</v>
      </c>
      <c r="F3332" s="502" t="s">
        <v>878</v>
      </c>
      <c r="G3332" s="100" t="s">
        <v>684</v>
      </c>
      <c r="H3332" s="100">
        <v>114486538</v>
      </c>
      <c r="I3332" s="525"/>
      <c r="K3332" s="548"/>
      <c r="L3332" s="548"/>
      <c r="M3332" s="548"/>
      <c r="N3332" s="552"/>
      <c r="Y3332" s="551"/>
    </row>
    <row r="3333" spans="1:25">
      <c r="A3333" s="499">
        <v>45593</v>
      </c>
      <c r="B3333" s="499">
        <v>45600</v>
      </c>
      <c r="C3333" s="500" t="s">
        <v>173</v>
      </c>
      <c r="D3333" s="500" t="s">
        <v>759</v>
      </c>
      <c r="E3333" s="501">
        <v>16045252.01</v>
      </c>
      <c r="F3333" s="502" t="s">
        <v>878</v>
      </c>
      <c r="G3333" s="100" t="s">
        <v>684</v>
      </c>
      <c r="H3333" s="100">
        <v>114491255</v>
      </c>
      <c r="I3333" s="525"/>
      <c r="K3333" s="548"/>
      <c r="L3333" s="548"/>
      <c r="M3333" s="548"/>
      <c r="N3333" s="552"/>
      <c r="Y3333" s="551"/>
    </row>
    <row r="3334" spans="1:25">
      <c r="A3334" s="499">
        <v>45593</v>
      </c>
      <c r="B3334" s="499">
        <v>45593</v>
      </c>
      <c r="C3334" s="500" t="s">
        <v>173</v>
      </c>
      <c r="D3334" s="500" t="s">
        <v>760</v>
      </c>
      <c r="E3334" s="501">
        <v>-1250318810</v>
      </c>
      <c r="F3334" s="502" t="s">
        <v>878</v>
      </c>
      <c r="G3334" s="100" t="s">
        <v>633</v>
      </c>
      <c r="H3334" s="530"/>
      <c r="I3334" s="525"/>
      <c r="K3334" s="548"/>
      <c r="L3334" s="548"/>
      <c r="M3334" s="548"/>
      <c r="N3334" s="552"/>
      <c r="Y3334" s="551"/>
    </row>
    <row r="3335" spans="1:25">
      <c r="A3335" s="499">
        <v>45593</v>
      </c>
      <c r="B3335" s="499">
        <v>45593</v>
      </c>
      <c r="C3335" s="500" t="s">
        <v>173</v>
      </c>
      <c r="D3335" s="500" t="s">
        <v>760</v>
      </c>
      <c r="E3335" s="501">
        <v>-29007396.390000001</v>
      </c>
      <c r="F3335" s="502" t="s">
        <v>878</v>
      </c>
      <c r="G3335" s="100" t="s">
        <v>633</v>
      </c>
      <c r="H3335" s="530"/>
      <c r="I3335" s="525"/>
      <c r="K3335" s="548"/>
      <c r="L3335" s="548"/>
      <c r="M3335" s="548"/>
      <c r="N3335" s="552"/>
      <c r="Y3335" s="551"/>
    </row>
    <row r="3336" spans="1:25">
      <c r="A3336" s="499">
        <v>45593</v>
      </c>
      <c r="B3336" s="499">
        <v>45594</v>
      </c>
      <c r="C3336" s="500" t="s">
        <v>173</v>
      </c>
      <c r="D3336" s="500" t="s">
        <v>760</v>
      </c>
      <c r="E3336" s="501">
        <v>1250797070.6099999</v>
      </c>
      <c r="F3336" s="502" t="s">
        <v>878</v>
      </c>
      <c r="G3336" s="100" t="s">
        <v>633</v>
      </c>
      <c r="H3336" s="100">
        <v>114485450</v>
      </c>
      <c r="I3336" s="525"/>
      <c r="K3336" s="548"/>
      <c r="L3336" s="548"/>
      <c r="M3336" s="548"/>
      <c r="N3336" s="552"/>
      <c r="Y3336" s="551"/>
    </row>
    <row r="3337" spans="1:25">
      <c r="A3337" s="499">
        <v>45593</v>
      </c>
      <c r="B3337" s="499">
        <v>45594</v>
      </c>
      <c r="C3337" s="500" t="s">
        <v>173</v>
      </c>
      <c r="D3337" s="500" t="s">
        <v>760</v>
      </c>
      <c r="E3337" s="501">
        <v>29018492.120000001</v>
      </c>
      <c r="F3337" s="502" t="s">
        <v>878</v>
      </c>
      <c r="G3337" s="100" t="s">
        <v>633</v>
      </c>
      <c r="H3337" s="100">
        <v>114485503</v>
      </c>
      <c r="I3337" s="525"/>
      <c r="K3337" s="548"/>
      <c r="L3337" s="548"/>
      <c r="M3337" s="548"/>
      <c r="N3337" s="552"/>
      <c r="Y3337" s="551"/>
    </row>
    <row r="3338" spans="1:25">
      <c r="A3338" s="499">
        <v>45593</v>
      </c>
      <c r="B3338" s="499">
        <v>45593</v>
      </c>
      <c r="C3338" s="500" t="s">
        <v>173</v>
      </c>
      <c r="D3338" s="500" t="s">
        <v>763</v>
      </c>
      <c r="E3338" s="501">
        <v>-5412038910.7200003</v>
      </c>
      <c r="F3338" s="502" t="s">
        <v>878</v>
      </c>
      <c r="G3338" s="100" t="s">
        <v>673</v>
      </c>
      <c r="H3338" s="530"/>
      <c r="I3338" s="525"/>
      <c r="K3338" s="548"/>
      <c r="L3338" s="548"/>
      <c r="M3338" s="548"/>
      <c r="N3338" s="552"/>
      <c r="Y3338" s="551"/>
    </row>
    <row r="3339" spans="1:25">
      <c r="A3339" s="499">
        <v>45593</v>
      </c>
      <c r="B3339" s="499">
        <v>45593</v>
      </c>
      <c r="C3339" s="500" t="s">
        <v>173</v>
      </c>
      <c r="D3339" s="500" t="s">
        <v>763</v>
      </c>
      <c r="E3339" s="501">
        <v>-19014189.960000001</v>
      </c>
      <c r="F3339" s="502" t="s">
        <v>878</v>
      </c>
      <c r="G3339" s="100" t="s">
        <v>673</v>
      </c>
      <c r="H3339" s="530"/>
      <c r="I3339" s="525"/>
      <c r="K3339" s="548"/>
      <c r="L3339" s="548"/>
      <c r="M3339" s="548"/>
      <c r="N3339" s="552"/>
      <c r="Y3339" s="551"/>
    </row>
    <row r="3340" spans="1:25">
      <c r="A3340" s="499">
        <v>45593</v>
      </c>
      <c r="B3340" s="499">
        <v>45594</v>
      </c>
      <c r="C3340" s="500" t="s">
        <v>173</v>
      </c>
      <c r="D3340" s="500" t="s">
        <v>763</v>
      </c>
      <c r="E3340" s="501">
        <v>5414079722.5699997</v>
      </c>
      <c r="F3340" s="502" t="s">
        <v>878</v>
      </c>
      <c r="G3340" s="100" t="s">
        <v>673</v>
      </c>
      <c r="H3340" s="484">
        <v>114484174</v>
      </c>
      <c r="I3340" s="525"/>
      <c r="K3340" s="548"/>
      <c r="L3340" s="548"/>
      <c r="M3340" s="548"/>
      <c r="N3340" s="552"/>
      <c r="Y3340" s="551"/>
    </row>
    <row r="3341" spans="1:25">
      <c r="A3341" s="499">
        <v>45593</v>
      </c>
      <c r="B3341" s="499">
        <v>45594</v>
      </c>
      <c r="C3341" s="500" t="s">
        <v>173</v>
      </c>
      <c r="D3341" s="500" t="s">
        <v>763</v>
      </c>
      <c r="E3341" s="501">
        <v>19021359.969999999</v>
      </c>
      <c r="F3341" s="502" t="s">
        <v>878</v>
      </c>
      <c r="G3341" s="100" t="s">
        <v>673</v>
      </c>
      <c r="H3341" s="484">
        <v>114484196</v>
      </c>
      <c r="I3341" s="525"/>
      <c r="K3341" s="548"/>
      <c r="L3341" s="548"/>
      <c r="M3341" s="548"/>
      <c r="N3341" s="552"/>
      <c r="Y3341" s="551"/>
    </row>
    <row r="3342" spans="1:25">
      <c r="A3342" s="499">
        <v>45594</v>
      </c>
      <c r="B3342" s="499">
        <v>45594</v>
      </c>
      <c r="C3342" s="500" t="s">
        <v>173</v>
      </c>
      <c r="D3342" s="500" t="s">
        <v>762</v>
      </c>
      <c r="E3342" s="501">
        <v>-6254113535.5900002</v>
      </c>
      <c r="F3342" s="502" t="s">
        <v>878</v>
      </c>
      <c r="G3342" s="100" t="s">
        <v>719</v>
      </c>
      <c r="H3342" s="530"/>
      <c r="I3342" s="525"/>
      <c r="K3342" s="548"/>
      <c r="L3342" s="548"/>
      <c r="M3342" s="548"/>
      <c r="N3342" s="552"/>
      <c r="Y3342" s="551"/>
    </row>
    <row r="3343" spans="1:25">
      <c r="A3343" s="499">
        <v>45594</v>
      </c>
      <c r="B3343" s="499">
        <v>45594</v>
      </c>
      <c r="C3343" s="500" t="s">
        <v>173</v>
      </c>
      <c r="D3343" s="500" t="s">
        <v>762</v>
      </c>
      <c r="E3343" s="501">
        <v>-23004762.32</v>
      </c>
      <c r="F3343" s="502" t="s">
        <v>878</v>
      </c>
      <c r="G3343" s="100" t="s">
        <v>1013</v>
      </c>
      <c r="H3343" s="530"/>
      <c r="I3343" s="525"/>
      <c r="K3343" s="548"/>
      <c r="L3343" s="548"/>
      <c r="M3343" s="548"/>
      <c r="N3343" s="552"/>
      <c r="Y3343" s="551"/>
    </row>
    <row r="3344" spans="1:25">
      <c r="A3344" s="499">
        <v>45594</v>
      </c>
      <c r="B3344" s="499">
        <v>45601</v>
      </c>
      <c r="C3344" s="500" t="s">
        <v>173</v>
      </c>
      <c r="D3344" s="500" t="s">
        <v>762</v>
      </c>
      <c r="E3344" s="501">
        <v>6270620174.6499996</v>
      </c>
      <c r="F3344" s="502" t="s">
        <v>878</v>
      </c>
      <c r="G3344" s="100" t="s">
        <v>719</v>
      </c>
      <c r="H3344" s="574">
        <v>114502908</v>
      </c>
      <c r="I3344" s="525"/>
      <c r="K3344" s="548"/>
      <c r="L3344" s="548"/>
      <c r="M3344" s="548"/>
      <c r="N3344" s="552"/>
      <c r="Y3344" s="551"/>
    </row>
    <row r="3345" spans="1:25">
      <c r="A3345" s="499">
        <v>45594</v>
      </c>
      <c r="B3345" s="499">
        <v>45601</v>
      </c>
      <c r="C3345" s="500" t="s">
        <v>173</v>
      </c>
      <c r="D3345" s="500" t="s">
        <v>762</v>
      </c>
      <c r="E3345" s="501">
        <v>23065127.82</v>
      </c>
      <c r="F3345" s="502" t="s">
        <v>878</v>
      </c>
      <c r="G3345" s="100" t="s">
        <v>1013</v>
      </c>
      <c r="H3345" s="574">
        <v>114507926</v>
      </c>
      <c r="I3345" s="525"/>
      <c r="K3345" s="548"/>
      <c r="L3345" s="548"/>
      <c r="M3345" s="548"/>
      <c r="N3345" s="552"/>
      <c r="Y3345" s="551"/>
    </row>
    <row r="3346" spans="1:25">
      <c r="A3346" s="499">
        <v>45594</v>
      </c>
      <c r="B3346" s="499">
        <v>45594</v>
      </c>
      <c r="C3346" s="500" t="s">
        <v>173</v>
      </c>
      <c r="D3346" s="500" t="s">
        <v>761</v>
      </c>
      <c r="E3346" s="501">
        <v>-506133584</v>
      </c>
      <c r="F3346" s="502" t="s">
        <v>878</v>
      </c>
      <c r="G3346" s="100" t="s">
        <v>677</v>
      </c>
      <c r="H3346" s="530"/>
      <c r="I3346" s="525"/>
      <c r="K3346" s="548"/>
      <c r="L3346" s="548"/>
      <c r="M3346" s="548"/>
      <c r="N3346" s="552"/>
      <c r="Y3346" s="551"/>
    </row>
    <row r="3347" spans="1:25">
      <c r="A3347" s="499">
        <v>45594</v>
      </c>
      <c r="B3347" s="499">
        <v>45594</v>
      </c>
      <c r="C3347" s="500" t="s">
        <v>173</v>
      </c>
      <c r="D3347" s="500" t="s">
        <v>761</v>
      </c>
      <c r="E3347" s="501">
        <v>-2001522.99</v>
      </c>
      <c r="F3347" s="502" t="s">
        <v>878</v>
      </c>
      <c r="G3347" s="100" t="s">
        <v>693</v>
      </c>
      <c r="H3347" s="530"/>
      <c r="I3347" s="525"/>
      <c r="K3347" s="548"/>
      <c r="L3347" s="548"/>
      <c r="M3347" s="548"/>
      <c r="N3347" s="552"/>
      <c r="Y3347" s="551"/>
    </row>
    <row r="3348" spans="1:25">
      <c r="A3348" s="499">
        <v>45594</v>
      </c>
      <c r="B3348" s="499">
        <v>45595</v>
      </c>
      <c r="C3348" s="500" t="s">
        <v>173</v>
      </c>
      <c r="D3348" s="500" t="s">
        <v>761</v>
      </c>
      <c r="E3348" s="501">
        <v>506319304.60000002</v>
      </c>
      <c r="F3348" s="502" t="s">
        <v>878</v>
      </c>
      <c r="G3348" s="100" t="s">
        <v>677</v>
      </c>
      <c r="H3348" s="484">
        <v>114503516</v>
      </c>
      <c r="I3348" s="525"/>
      <c r="K3348" s="548"/>
      <c r="L3348" s="548"/>
      <c r="M3348" s="548"/>
      <c r="N3348" s="552"/>
      <c r="Y3348" s="551"/>
    </row>
    <row r="3349" spans="1:25">
      <c r="A3349" s="499">
        <v>45594</v>
      </c>
      <c r="B3349" s="499">
        <v>45595</v>
      </c>
      <c r="C3349" s="500" t="s">
        <v>173</v>
      </c>
      <c r="D3349" s="500" t="s">
        <v>761</v>
      </c>
      <c r="E3349" s="501">
        <v>2002255.79</v>
      </c>
      <c r="F3349" s="502" t="s">
        <v>878</v>
      </c>
      <c r="G3349" s="100" t="s">
        <v>693</v>
      </c>
      <c r="H3349" s="484">
        <v>114503621</v>
      </c>
      <c r="I3349" s="525"/>
      <c r="K3349" s="548"/>
      <c r="L3349" s="548"/>
      <c r="M3349" s="548"/>
      <c r="N3349" s="552"/>
      <c r="Y3349" s="551"/>
    </row>
    <row r="3350" spans="1:25">
      <c r="A3350" s="499">
        <v>45594</v>
      </c>
      <c r="B3350" s="499">
        <v>45594</v>
      </c>
      <c r="C3350" s="500" t="s">
        <v>173</v>
      </c>
      <c r="D3350" s="500" t="s">
        <v>759</v>
      </c>
      <c r="E3350" s="501">
        <v>-1993954386.71</v>
      </c>
      <c r="F3350" s="502" t="s">
        <v>878</v>
      </c>
      <c r="G3350" s="100" t="s">
        <v>633</v>
      </c>
      <c r="H3350" s="530"/>
      <c r="I3350" s="525"/>
      <c r="K3350" s="548"/>
      <c r="L3350" s="548"/>
      <c r="M3350" s="548"/>
      <c r="N3350" s="552"/>
      <c r="Y3350" s="551"/>
    </row>
    <row r="3351" spans="1:25">
      <c r="A3351" s="499">
        <v>45594</v>
      </c>
      <c r="B3351" s="499">
        <v>45594</v>
      </c>
      <c r="C3351" s="500" t="s">
        <v>173</v>
      </c>
      <c r="D3351" s="500" t="s">
        <v>759</v>
      </c>
      <c r="E3351" s="501">
        <v>-7007344.8899999997</v>
      </c>
      <c r="F3351" s="502" t="s">
        <v>878</v>
      </c>
      <c r="G3351" s="100" t="s">
        <v>654</v>
      </c>
      <c r="H3351" s="530"/>
      <c r="I3351" s="525"/>
      <c r="K3351" s="548"/>
      <c r="L3351" s="548"/>
      <c r="M3351" s="548"/>
      <c r="N3351" s="552"/>
      <c r="Y3351" s="551"/>
    </row>
    <row r="3352" spans="1:25">
      <c r="A3352" s="499">
        <v>45594</v>
      </c>
      <c r="B3352" s="499">
        <v>45595</v>
      </c>
      <c r="C3352" s="500" t="s">
        <v>173</v>
      </c>
      <c r="D3352" s="500" t="s">
        <v>759</v>
      </c>
      <c r="E3352" s="501">
        <v>1994695309.6500001</v>
      </c>
      <c r="F3352" s="502" t="s">
        <v>878</v>
      </c>
      <c r="G3352" s="100" t="s">
        <v>633</v>
      </c>
      <c r="H3352" s="484">
        <v>114501865</v>
      </c>
      <c r="I3352" s="525"/>
      <c r="K3352" s="548"/>
      <c r="L3352" s="548"/>
      <c r="M3352" s="548"/>
      <c r="N3352" s="552"/>
      <c r="Y3352" s="551"/>
    </row>
    <row r="3353" spans="1:25">
      <c r="A3353" s="499">
        <v>45594</v>
      </c>
      <c r="B3353" s="499">
        <v>45595</v>
      </c>
      <c r="C3353" s="500" t="s">
        <v>173</v>
      </c>
      <c r="D3353" s="500" t="s">
        <v>759</v>
      </c>
      <c r="E3353" s="501">
        <v>7009910.4199999999</v>
      </c>
      <c r="F3353" s="502" t="s">
        <v>878</v>
      </c>
      <c r="G3353" s="100" t="s">
        <v>654</v>
      </c>
      <c r="H3353" s="484">
        <v>114504274</v>
      </c>
      <c r="I3353" s="525"/>
      <c r="K3353" s="548"/>
      <c r="L3353" s="548"/>
      <c r="M3353" s="548"/>
      <c r="N3353" s="552"/>
      <c r="Y3353" s="551"/>
    </row>
    <row r="3354" spans="1:25">
      <c r="A3354" s="499">
        <v>45594</v>
      </c>
      <c r="B3354" s="499">
        <v>45594</v>
      </c>
      <c r="C3354" s="500" t="s">
        <v>173</v>
      </c>
      <c r="D3354" s="500" t="s">
        <v>760</v>
      </c>
      <c r="E3354" s="501">
        <v>-1250052802.5</v>
      </c>
      <c r="F3354" s="502" t="s">
        <v>878</v>
      </c>
      <c r="G3354" s="100" t="s">
        <v>723</v>
      </c>
      <c r="H3354" s="530"/>
      <c r="I3354" s="525"/>
      <c r="K3354" s="548"/>
      <c r="L3354" s="548"/>
      <c r="M3354" s="548"/>
      <c r="N3354" s="552"/>
      <c r="Y3354" s="551"/>
    </row>
    <row r="3355" spans="1:25">
      <c r="A3355" s="499">
        <v>45594</v>
      </c>
      <c r="B3355" s="499">
        <v>45594</v>
      </c>
      <c r="C3355" s="500" t="s">
        <v>173</v>
      </c>
      <c r="D3355" s="500" t="s">
        <v>760</v>
      </c>
      <c r="E3355" s="501">
        <v>-34007227.579999998</v>
      </c>
      <c r="F3355" s="502" t="s">
        <v>878</v>
      </c>
      <c r="G3355" s="100" t="s">
        <v>686</v>
      </c>
      <c r="H3355" s="530"/>
      <c r="I3355" s="525"/>
      <c r="K3355" s="548"/>
      <c r="L3355" s="548"/>
      <c r="M3355" s="548"/>
      <c r="N3355" s="552"/>
      <c r="Y3355" s="551"/>
    </row>
    <row r="3356" spans="1:25">
      <c r="A3356" s="499">
        <v>45594</v>
      </c>
      <c r="B3356" s="499">
        <v>45595</v>
      </c>
      <c r="C3356" s="500" t="s">
        <v>173</v>
      </c>
      <c r="D3356" s="500" t="s">
        <v>760</v>
      </c>
      <c r="E3356" s="501">
        <v>1250513546.01</v>
      </c>
      <c r="F3356" s="502" t="s">
        <v>878</v>
      </c>
      <c r="G3356" s="100" t="s">
        <v>723</v>
      </c>
      <c r="H3356" s="100">
        <v>114502323</v>
      </c>
      <c r="I3356" s="525"/>
      <c r="K3356" s="548"/>
      <c r="L3356" s="548"/>
      <c r="M3356" s="548"/>
      <c r="N3356" s="552"/>
      <c r="Y3356" s="551"/>
    </row>
    <row r="3357" spans="1:25">
      <c r="A3357" s="499">
        <v>45594</v>
      </c>
      <c r="B3357" s="499">
        <v>45595</v>
      </c>
      <c r="C3357" s="500" t="s">
        <v>173</v>
      </c>
      <c r="D3357" s="500" t="s">
        <v>760</v>
      </c>
      <c r="E3357" s="501">
        <v>34019446.020000003</v>
      </c>
      <c r="F3357" s="502" t="s">
        <v>878</v>
      </c>
      <c r="G3357" s="100" t="s">
        <v>686</v>
      </c>
      <c r="H3357" s="100">
        <v>114508757</v>
      </c>
      <c r="I3357" s="525"/>
      <c r="K3357" s="548"/>
      <c r="L3357" s="548"/>
      <c r="M3357" s="548"/>
      <c r="N3357" s="552"/>
      <c r="Y3357" s="551"/>
    </row>
    <row r="3358" spans="1:25">
      <c r="A3358" s="499">
        <v>45594</v>
      </c>
      <c r="B3358" s="499">
        <v>45594</v>
      </c>
      <c r="C3358" s="500" t="s">
        <v>173</v>
      </c>
      <c r="D3358" s="500" t="s">
        <v>763</v>
      </c>
      <c r="E3358" s="501">
        <v>-4401677984</v>
      </c>
      <c r="F3358" s="502" t="s">
        <v>878</v>
      </c>
      <c r="G3358" s="100" t="s">
        <v>716</v>
      </c>
      <c r="H3358" s="530"/>
      <c r="I3358" s="525"/>
      <c r="K3358" s="548"/>
      <c r="L3358" s="548"/>
      <c r="M3358" s="548"/>
      <c r="N3358" s="552"/>
      <c r="Y3358" s="551"/>
    </row>
    <row r="3359" spans="1:25">
      <c r="A3359" s="499">
        <v>45594</v>
      </c>
      <c r="B3359" s="499">
        <v>45594</v>
      </c>
      <c r="C3359" s="500" t="s">
        <v>173</v>
      </c>
      <c r="D3359" s="500" t="s">
        <v>763</v>
      </c>
      <c r="E3359" s="501">
        <v>-820238775.13999999</v>
      </c>
      <c r="F3359" s="502" t="s">
        <v>878</v>
      </c>
      <c r="G3359" s="100" t="s">
        <v>635</v>
      </c>
      <c r="H3359" s="530"/>
      <c r="I3359" s="525"/>
      <c r="K3359" s="548"/>
      <c r="L3359" s="548"/>
      <c r="M3359" s="548"/>
      <c r="N3359" s="552"/>
      <c r="Y3359" s="551"/>
    </row>
    <row r="3360" spans="1:25">
      <c r="A3360" s="499">
        <v>45594</v>
      </c>
      <c r="B3360" s="499">
        <v>45594</v>
      </c>
      <c r="C3360" s="500" t="s">
        <v>173</v>
      </c>
      <c r="D3360" s="500" t="s">
        <v>763</v>
      </c>
      <c r="E3360" s="501">
        <v>-190039293.90000001</v>
      </c>
      <c r="F3360" s="502" t="s">
        <v>878</v>
      </c>
      <c r="G3360" s="100" t="s">
        <v>682</v>
      </c>
      <c r="H3360" s="530"/>
      <c r="I3360" s="525"/>
      <c r="K3360" s="548"/>
      <c r="L3360" s="548"/>
      <c r="M3360" s="548"/>
      <c r="N3360" s="552"/>
      <c r="Y3360" s="551"/>
    </row>
    <row r="3361" spans="1:25">
      <c r="A3361" s="499">
        <v>45594</v>
      </c>
      <c r="B3361" s="499">
        <v>45594</v>
      </c>
      <c r="C3361" s="500" t="s">
        <v>173</v>
      </c>
      <c r="D3361" s="500" t="s">
        <v>763</v>
      </c>
      <c r="E3361" s="501">
        <v>-21004343.010000002</v>
      </c>
      <c r="F3361" s="502" t="s">
        <v>878</v>
      </c>
      <c r="G3361" s="100" t="s">
        <v>682</v>
      </c>
      <c r="H3361" s="530"/>
      <c r="I3361" s="525"/>
      <c r="K3361" s="548"/>
      <c r="L3361" s="548"/>
      <c r="M3361" s="548"/>
      <c r="N3361" s="552"/>
      <c r="Y3361" s="551"/>
    </row>
    <row r="3362" spans="1:25">
      <c r="A3362" s="499">
        <v>45594</v>
      </c>
      <c r="B3362" s="499">
        <v>45595</v>
      </c>
      <c r="C3362" s="500" t="s">
        <v>173</v>
      </c>
      <c r="D3362" s="500" t="s">
        <v>763</v>
      </c>
      <c r="E3362" s="501">
        <v>4403313580.1899996</v>
      </c>
      <c r="F3362" s="502" t="s">
        <v>878</v>
      </c>
      <c r="G3362" s="100" t="s">
        <v>716</v>
      </c>
      <c r="H3362" s="100">
        <v>114501158</v>
      </c>
      <c r="I3362" s="525"/>
      <c r="K3362" s="548"/>
      <c r="L3362" s="548"/>
      <c r="M3362" s="548"/>
      <c r="N3362" s="552"/>
      <c r="Y3362" s="551"/>
    </row>
    <row r="3363" spans="1:25">
      <c r="A3363" s="499">
        <v>45594</v>
      </c>
      <c r="B3363" s="499">
        <v>45595</v>
      </c>
      <c r="C3363" s="500" t="s">
        <v>173</v>
      </c>
      <c r="D3363" s="500" t="s">
        <v>763</v>
      </c>
      <c r="E3363" s="501">
        <v>820543563.32000005</v>
      </c>
      <c r="F3363" s="502" t="s">
        <v>878</v>
      </c>
      <c r="G3363" s="100" t="s">
        <v>635</v>
      </c>
      <c r="H3363" s="100">
        <v>114501161</v>
      </c>
      <c r="I3363" s="525"/>
      <c r="K3363" s="548"/>
      <c r="L3363" s="548"/>
      <c r="M3363" s="548"/>
      <c r="N3363" s="552"/>
      <c r="Y3363" s="551"/>
    </row>
    <row r="3364" spans="1:25">
      <c r="A3364" s="499">
        <v>45594</v>
      </c>
      <c r="B3364" s="499">
        <v>45595</v>
      </c>
      <c r="C3364" s="500" t="s">
        <v>173</v>
      </c>
      <c r="D3364" s="500" t="s">
        <v>763</v>
      </c>
      <c r="E3364" s="501">
        <v>190109754.86000001</v>
      </c>
      <c r="F3364" s="502" t="s">
        <v>878</v>
      </c>
      <c r="G3364" s="100" t="s">
        <v>682</v>
      </c>
      <c r="H3364" s="100">
        <v>114501164</v>
      </c>
      <c r="I3364" s="525"/>
      <c r="K3364" s="548"/>
      <c r="L3364" s="548"/>
      <c r="M3364" s="548"/>
      <c r="N3364" s="552"/>
      <c r="Y3364" s="551"/>
    </row>
    <row r="3365" spans="1:25">
      <c r="A3365" s="499">
        <v>45594</v>
      </c>
      <c r="B3365" s="499">
        <v>45595</v>
      </c>
      <c r="C3365" s="500" t="s">
        <v>173</v>
      </c>
      <c r="D3365" s="500" t="s">
        <v>763</v>
      </c>
      <c r="E3365" s="501">
        <v>21012130.920000002</v>
      </c>
      <c r="F3365" s="502" t="s">
        <v>878</v>
      </c>
      <c r="G3365" s="100" t="s">
        <v>682</v>
      </c>
      <c r="H3365" s="100">
        <v>114501194</v>
      </c>
      <c r="I3365" s="525"/>
      <c r="K3365" s="548"/>
      <c r="L3365" s="548"/>
      <c r="M3365" s="548"/>
      <c r="N3365" s="552"/>
      <c r="Y3365" s="551"/>
    </row>
    <row r="3366" spans="1:25">
      <c r="A3366" s="499">
        <v>45595</v>
      </c>
      <c r="B3366" s="499">
        <v>45595</v>
      </c>
      <c r="C3366" s="500" t="s">
        <v>173</v>
      </c>
      <c r="D3366" s="500" t="s">
        <v>761</v>
      </c>
      <c r="E3366" s="501">
        <v>-506000471.58999997</v>
      </c>
      <c r="F3366" s="502" t="s">
        <v>878</v>
      </c>
      <c r="G3366" s="100" t="s">
        <v>807</v>
      </c>
      <c r="H3366" s="530"/>
      <c r="I3366" s="525"/>
      <c r="K3366" s="548"/>
      <c r="L3366" s="548"/>
      <c r="M3366" s="548"/>
      <c r="N3366" s="552"/>
      <c r="Y3366" s="551"/>
    </row>
    <row r="3367" spans="1:25">
      <c r="A3367" s="499">
        <v>45595</v>
      </c>
      <c r="B3367" s="499">
        <v>45595</v>
      </c>
      <c r="C3367" s="500" t="s">
        <v>173</v>
      </c>
      <c r="D3367" s="500" t="s">
        <v>761</v>
      </c>
      <c r="E3367" s="501">
        <v>-2001113.51</v>
      </c>
      <c r="F3367" s="502" t="s">
        <v>878</v>
      </c>
      <c r="G3367" s="100" t="s">
        <v>716</v>
      </c>
      <c r="H3367" s="530"/>
      <c r="I3367" s="525"/>
      <c r="K3367" s="548"/>
      <c r="L3367" s="548"/>
      <c r="M3367" s="548"/>
      <c r="N3367" s="552"/>
      <c r="Y3367" s="551"/>
    </row>
    <row r="3368" spans="1:25">
      <c r="A3368" s="499">
        <v>45595</v>
      </c>
      <c r="B3368" s="499">
        <v>45596</v>
      </c>
      <c r="C3368" s="500" t="s">
        <v>173</v>
      </c>
      <c r="D3368" s="500" t="s">
        <v>761</v>
      </c>
      <c r="E3368" s="501">
        <v>506188493.62</v>
      </c>
      <c r="F3368" s="502" t="s">
        <v>878</v>
      </c>
      <c r="G3368" s="100" t="s">
        <v>807</v>
      </c>
      <c r="H3368" s="100">
        <v>114515640</v>
      </c>
      <c r="I3368" s="525"/>
      <c r="K3368" s="548"/>
      <c r="L3368" s="548"/>
      <c r="M3368" s="548"/>
      <c r="N3368" s="552"/>
      <c r="Y3368" s="551"/>
    </row>
    <row r="3369" spans="1:25">
      <c r="A3369" s="499">
        <v>45595</v>
      </c>
      <c r="B3369" s="499">
        <v>45596</v>
      </c>
      <c r="C3369" s="500" t="s">
        <v>173</v>
      </c>
      <c r="D3369" s="500" t="s">
        <v>761</v>
      </c>
      <c r="E3369" s="501">
        <v>2001854.36</v>
      </c>
      <c r="F3369" s="502" t="s">
        <v>878</v>
      </c>
      <c r="G3369" s="100" t="s">
        <v>716</v>
      </c>
      <c r="H3369" s="100">
        <v>114516658</v>
      </c>
      <c r="I3369" s="525"/>
      <c r="K3369" s="548"/>
      <c r="L3369" s="548"/>
      <c r="M3369" s="548"/>
      <c r="N3369" s="552"/>
      <c r="Y3369" s="551"/>
    </row>
    <row r="3370" spans="1:25">
      <c r="A3370" s="499">
        <v>45595</v>
      </c>
      <c r="B3370" s="499">
        <v>45595</v>
      </c>
      <c r="C3370" s="500" t="s">
        <v>173</v>
      </c>
      <c r="D3370" s="500" t="s">
        <v>759</v>
      </c>
      <c r="E3370" s="501">
        <v>-1000530.34</v>
      </c>
      <c r="F3370" s="502" t="s">
        <v>878</v>
      </c>
      <c r="G3370" s="100" t="s">
        <v>598</v>
      </c>
      <c r="H3370" s="530"/>
      <c r="I3370" s="525"/>
      <c r="K3370" s="548"/>
      <c r="L3370" s="548"/>
      <c r="M3370" s="548"/>
      <c r="N3370" s="552"/>
      <c r="Y3370" s="551"/>
    </row>
    <row r="3371" spans="1:25">
      <c r="A3371" s="499">
        <v>45595</v>
      </c>
      <c r="B3371" s="499">
        <v>45595</v>
      </c>
      <c r="C3371" s="500" t="s">
        <v>173</v>
      </c>
      <c r="D3371" s="500" t="s">
        <v>759</v>
      </c>
      <c r="E3371" s="501">
        <v>-1000498.52</v>
      </c>
      <c r="F3371" s="502" t="s">
        <v>878</v>
      </c>
      <c r="G3371" s="100" t="s">
        <v>592</v>
      </c>
      <c r="H3371" s="530"/>
      <c r="I3371" s="525"/>
      <c r="K3371" s="548"/>
      <c r="L3371" s="548">
        <v>-1</v>
      </c>
      <c r="M3371" s="548"/>
      <c r="N3371" s="552"/>
      <c r="Y3371" s="551"/>
    </row>
    <row r="3372" spans="1:25">
      <c r="A3372" s="499">
        <v>45595</v>
      </c>
      <c r="B3372" s="499">
        <v>45595</v>
      </c>
      <c r="C3372" s="500" t="s">
        <v>173</v>
      </c>
      <c r="D3372" s="500" t="s">
        <v>759</v>
      </c>
      <c r="E3372" s="501">
        <v>-1000498.52</v>
      </c>
      <c r="F3372" s="502" t="s">
        <v>878</v>
      </c>
      <c r="G3372" s="100" t="s">
        <v>592</v>
      </c>
      <c r="H3372" s="530"/>
      <c r="I3372" s="525"/>
      <c r="K3372" s="548"/>
      <c r="L3372" s="548"/>
      <c r="M3372" s="548"/>
      <c r="N3372" s="552"/>
      <c r="Y3372" s="551"/>
    </row>
    <row r="3373" spans="1:25">
      <c r="A3373" s="499">
        <v>45595</v>
      </c>
      <c r="B3373" s="499">
        <v>45595</v>
      </c>
      <c r="C3373" s="500" t="s">
        <v>173</v>
      </c>
      <c r="D3373" s="500" t="s">
        <v>759</v>
      </c>
      <c r="E3373" s="501">
        <v>-1000214.72</v>
      </c>
      <c r="F3373" s="502" t="s">
        <v>878</v>
      </c>
      <c r="G3373" s="100" t="s">
        <v>676</v>
      </c>
      <c r="H3373" s="530"/>
      <c r="I3373" s="525"/>
      <c r="K3373" s="548"/>
      <c r="L3373" s="548"/>
      <c r="M3373" s="548"/>
      <c r="N3373" s="552"/>
      <c r="Y3373" s="551"/>
    </row>
    <row r="3374" spans="1:25">
      <c r="A3374" s="499">
        <v>45595</v>
      </c>
      <c r="B3374" s="499">
        <v>45595</v>
      </c>
      <c r="C3374" s="500" t="s">
        <v>173</v>
      </c>
      <c r="D3374" s="500" t="s">
        <v>759</v>
      </c>
      <c r="E3374" s="501">
        <v>-1000267.39</v>
      </c>
      <c r="F3374" s="502" t="s">
        <v>878</v>
      </c>
      <c r="G3374" s="100" t="s">
        <v>696</v>
      </c>
      <c r="H3374" s="530"/>
      <c r="I3374" s="525"/>
      <c r="K3374" s="548"/>
      <c r="L3374" s="548"/>
      <c r="M3374" s="548"/>
      <c r="N3374" s="552"/>
      <c r="Y3374" s="551"/>
    </row>
    <row r="3375" spans="1:25">
      <c r="A3375" s="499">
        <v>45595</v>
      </c>
      <c r="B3375" s="499">
        <v>45595</v>
      </c>
      <c r="C3375" s="500" t="s">
        <v>173</v>
      </c>
      <c r="D3375" s="500" t="s">
        <v>759</v>
      </c>
      <c r="E3375" s="501">
        <v>-1000010.18</v>
      </c>
      <c r="F3375" s="502" t="s">
        <v>878</v>
      </c>
      <c r="G3375" s="100" t="s">
        <v>588</v>
      </c>
      <c r="H3375" s="530"/>
      <c r="I3375" s="525"/>
      <c r="K3375" s="548"/>
      <c r="L3375" s="548"/>
      <c r="M3375" s="548"/>
      <c r="N3375" s="552"/>
      <c r="Y3375" s="551"/>
    </row>
    <row r="3376" spans="1:25">
      <c r="A3376" s="499">
        <v>45595</v>
      </c>
      <c r="B3376" s="499">
        <v>45595</v>
      </c>
      <c r="C3376" s="500" t="s">
        <v>173</v>
      </c>
      <c r="D3376" s="500" t="s">
        <v>759</v>
      </c>
      <c r="E3376" s="501">
        <v>-2001569.28</v>
      </c>
      <c r="F3376" s="502" t="s">
        <v>878</v>
      </c>
      <c r="G3376" s="100" t="s">
        <v>648</v>
      </c>
      <c r="H3376" s="530"/>
      <c r="I3376" s="525"/>
      <c r="K3376" s="548"/>
      <c r="L3376" s="548"/>
      <c r="M3376" s="548"/>
      <c r="N3376" s="552"/>
      <c r="Y3376" s="551"/>
    </row>
    <row r="3377" spans="1:25">
      <c r="A3377" s="499">
        <v>45595</v>
      </c>
      <c r="B3377" s="499">
        <v>45595</v>
      </c>
      <c r="C3377" s="500" t="s">
        <v>173</v>
      </c>
      <c r="D3377" s="500" t="s">
        <v>759</v>
      </c>
      <c r="E3377" s="501">
        <v>-2000985.34</v>
      </c>
      <c r="F3377" s="502" t="s">
        <v>878</v>
      </c>
      <c r="G3377" s="100" t="s">
        <v>550</v>
      </c>
      <c r="H3377" s="530"/>
      <c r="I3377" s="525"/>
      <c r="K3377" s="548"/>
      <c r="L3377" s="548"/>
      <c r="M3377" s="548"/>
      <c r="N3377" s="552"/>
      <c r="Y3377" s="551"/>
    </row>
    <row r="3378" spans="1:25">
      <c r="A3378" s="499">
        <v>45595</v>
      </c>
      <c r="B3378" s="499">
        <v>45595</v>
      </c>
      <c r="C3378" s="500" t="s">
        <v>173</v>
      </c>
      <c r="D3378" s="500" t="s">
        <v>759</v>
      </c>
      <c r="E3378" s="501">
        <v>-2000758.98</v>
      </c>
      <c r="F3378" s="502" t="s">
        <v>878</v>
      </c>
      <c r="G3378" s="100" t="s">
        <v>600</v>
      </c>
      <c r="H3378" s="530"/>
      <c r="I3378" s="525"/>
      <c r="K3378" s="548"/>
      <c r="L3378" s="548"/>
      <c r="M3378" s="548"/>
      <c r="N3378" s="552"/>
      <c r="Y3378" s="551"/>
    </row>
    <row r="3379" spans="1:25">
      <c r="A3379" s="499">
        <v>45595</v>
      </c>
      <c r="B3379" s="499">
        <v>45595</v>
      </c>
      <c r="C3379" s="500" t="s">
        <v>173</v>
      </c>
      <c r="D3379" s="500" t="s">
        <v>759</v>
      </c>
      <c r="E3379" s="501">
        <v>-3001811.75</v>
      </c>
      <c r="F3379" s="502" t="s">
        <v>878</v>
      </c>
      <c r="G3379" s="100" t="s">
        <v>817</v>
      </c>
      <c r="H3379" s="530"/>
      <c r="I3379" s="525"/>
      <c r="K3379" s="548"/>
      <c r="L3379" s="548"/>
      <c r="M3379" s="548"/>
      <c r="N3379" s="552"/>
      <c r="Y3379" s="551"/>
    </row>
    <row r="3380" spans="1:25">
      <c r="A3380" s="499">
        <v>45595</v>
      </c>
      <c r="B3380" s="499">
        <v>45595</v>
      </c>
      <c r="C3380" s="500" t="s">
        <v>173</v>
      </c>
      <c r="D3380" s="500" t="s">
        <v>759</v>
      </c>
      <c r="E3380" s="501">
        <v>-3001138.47</v>
      </c>
      <c r="F3380" s="502" t="s">
        <v>878</v>
      </c>
      <c r="G3380" s="100" t="s">
        <v>600</v>
      </c>
      <c r="H3380" s="530"/>
      <c r="I3380" s="525"/>
      <c r="K3380" s="548"/>
      <c r="L3380" s="548"/>
      <c r="M3380" s="548"/>
      <c r="N3380" s="552"/>
      <c r="Y3380" s="551"/>
    </row>
    <row r="3381" spans="1:25">
      <c r="A3381" s="499">
        <v>45595</v>
      </c>
      <c r="B3381" s="499">
        <v>45595</v>
      </c>
      <c r="C3381" s="500" t="s">
        <v>173</v>
      </c>
      <c r="D3381" s="500" t="s">
        <v>759</v>
      </c>
      <c r="E3381" s="501">
        <v>-4000803.28</v>
      </c>
      <c r="F3381" s="502" t="s">
        <v>878</v>
      </c>
      <c r="G3381" s="100" t="s">
        <v>604</v>
      </c>
      <c r="H3381" s="530"/>
      <c r="I3381" s="525"/>
      <c r="K3381" s="548"/>
      <c r="L3381" s="548"/>
      <c r="M3381" s="548"/>
      <c r="N3381" s="552"/>
      <c r="Y3381" s="551"/>
    </row>
    <row r="3382" spans="1:25">
      <c r="A3382" s="499">
        <v>45595</v>
      </c>
      <c r="B3382" s="499">
        <v>45595</v>
      </c>
      <c r="C3382" s="500" t="s">
        <v>173</v>
      </c>
      <c r="D3382" s="500" t="s">
        <v>759</v>
      </c>
      <c r="E3382" s="501">
        <v>-4002730.56</v>
      </c>
      <c r="F3382" s="502" t="s">
        <v>878</v>
      </c>
      <c r="G3382" s="100" t="s">
        <v>602</v>
      </c>
      <c r="H3382" s="530"/>
      <c r="I3382" s="525"/>
      <c r="K3382" s="548"/>
      <c r="L3382" s="548"/>
      <c r="M3382" s="548"/>
      <c r="N3382" s="552"/>
      <c r="Y3382" s="551"/>
    </row>
    <row r="3383" spans="1:25">
      <c r="A3383" s="499">
        <v>45595</v>
      </c>
      <c r="B3383" s="499">
        <v>45595</v>
      </c>
      <c r="C3383" s="500" t="s">
        <v>173</v>
      </c>
      <c r="D3383" s="500" t="s">
        <v>759</v>
      </c>
      <c r="E3383" s="501">
        <v>-5001073.62</v>
      </c>
      <c r="F3383" s="502" t="s">
        <v>878</v>
      </c>
      <c r="G3383" s="100" t="s">
        <v>676</v>
      </c>
      <c r="H3383" s="530"/>
      <c r="I3383" s="525"/>
      <c r="K3383" s="548"/>
      <c r="L3383" s="548"/>
      <c r="M3383" s="548"/>
      <c r="N3383" s="552"/>
      <c r="Y3383" s="551"/>
    </row>
    <row r="3384" spans="1:25">
      <c r="A3384" s="499">
        <v>45595</v>
      </c>
      <c r="B3384" s="499">
        <v>45595</v>
      </c>
      <c r="C3384" s="500" t="s">
        <v>173</v>
      </c>
      <c r="D3384" s="500" t="s">
        <v>759</v>
      </c>
      <c r="E3384" s="501">
        <v>-5000050.88</v>
      </c>
      <c r="F3384" s="502" t="s">
        <v>878</v>
      </c>
      <c r="G3384" s="100" t="s">
        <v>588</v>
      </c>
      <c r="H3384" s="530"/>
      <c r="I3384" s="525"/>
      <c r="K3384" s="548"/>
      <c r="L3384" s="548"/>
      <c r="M3384" s="548"/>
      <c r="N3384" s="552"/>
      <c r="Y3384" s="551"/>
    </row>
    <row r="3385" spans="1:25">
      <c r="A3385" s="499">
        <v>45595</v>
      </c>
      <c r="B3385" s="499">
        <v>45595</v>
      </c>
      <c r="C3385" s="500" t="s">
        <v>173</v>
      </c>
      <c r="D3385" s="500" t="s">
        <v>759</v>
      </c>
      <c r="E3385" s="501">
        <v>-6000061.0499999998</v>
      </c>
      <c r="F3385" s="502" t="s">
        <v>878</v>
      </c>
      <c r="G3385" s="100" t="s">
        <v>588</v>
      </c>
      <c r="H3385" s="530"/>
      <c r="I3385" s="525"/>
      <c r="K3385" s="548"/>
      <c r="L3385" s="548"/>
      <c r="M3385" s="548"/>
      <c r="N3385" s="552"/>
      <c r="Y3385" s="551"/>
    </row>
    <row r="3386" spans="1:25">
      <c r="A3386" s="499">
        <v>45595</v>
      </c>
      <c r="B3386" s="499">
        <v>45595</v>
      </c>
      <c r="C3386" s="500" t="s">
        <v>173</v>
      </c>
      <c r="D3386" s="500" t="s">
        <v>759</v>
      </c>
      <c r="E3386" s="501">
        <v>-6002956.0099999998</v>
      </c>
      <c r="F3386" s="502" t="s">
        <v>878</v>
      </c>
      <c r="G3386" s="100" t="s">
        <v>550</v>
      </c>
      <c r="H3386" s="530"/>
      <c r="I3386" s="525"/>
      <c r="K3386" s="548"/>
      <c r="L3386" s="548"/>
      <c r="M3386" s="548"/>
      <c r="N3386" s="552"/>
      <c r="Y3386" s="551"/>
    </row>
    <row r="3387" spans="1:25">
      <c r="A3387" s="499">
        <v>45595</v>
      </c>
      <c r="B3387" s="499">
        <v>45595</v>
      </c>
      <c r="C3387" s="500" t="s">
        <v>173</v>
      </c>
      <c r="D3387" s="500" t="s">
        <v>759</v>
      </c>
      <c r="E3387" s="501">
        <v>-6001288.3399999999</v>
      </c>
      <c r="F3387" s="502" t="s">
        <v>878</v>
      </c>
      <c r="G3387" s="100" t="s">
        <v>676</v>
      </c>
      <c r="H3387" s="530"/>
      <c r="I3387" s="525"/>
      <c r="K3387" s="548"/>
      <c r="L3387" s="548"/>
      <c r="M3387" s="548"/>
      <c r="N3387" s="552"/>
      <c r="Y3387" s="551"/>
    </row>
    <row r="3388" spans="1:25">
      <c r="A3388" s="499">
        <v>45595</v>
      </c>
      <c r="B3388" s="499">
        <v>45595</v>
      </c>
      <c r="C3388" s="500" t="s">
        <v>173</v>
      </c>
      <c r="D3388" s="500" t="s">
        <v>759</v>
      </c>
      <c r="E3388" s="501">
        <v>-7004611.54</v>
      </c>
      <c r="F3388" s="502" t="s">
        <v>878</v>
      </c>
      <c r="G3388" s="100" t="s">
        <v>695</v>
      </c>
      <c r="H3388" s="530"/>
      <c r="I3388" s="525"/>
      <c r="K3388" s="548"/>
      <c r="L3388" s="548"/>
      <c r="M3388" s="548"/>
      <c r="N3388" s="552"/>
      <c r="Y3388" s="551"/>
    </row>
    <row r="3389" spans="1:25">
      <c r="A3389" s="499">
        <v>45595</v>
      </c>
      <c r="B3389" s="499">
        <v>45595</v>
      </c>
      <c r="C3389" s="500" t="s">
        <v>173</v>
      </c>
      <c r="D3389" s="500" t="s">
        <v>759</v>
      </c>
      <c r="E3389" s="501">
        <v>-7001503.0700000003</v>
      </c>
      <c r="F3389" s="502" t="s">
        <v>878</v>
      </c>
      <c r="G3389" s="100" t="s">
        <v>676</v>
      </c>
      <c r="H3389" s="530"/>
      <c r="I3389" s="525"/>
      <c r="K3389" s="548"/>
      <c r="L3389" s="548"/>
      <c r="M3389" s="548"/>
      <c r="N3389" s="552"/>
      <c r="Y3389" s="551"/>
    </row>
    <row r="3390" spans="1:25">
      <c r="A3390" s="499">
        <v>45595</v>
      </c>
      <c r="B3390" s="499">
        <v>45595</v>
      </c>
      <c r="C3390" s="500" t="s">
        <v>173</v>
      </c>
      <c r="D3390" s="500" t="s">
        <v>759</v>
      </c>
      <c r="E3390" s="501">
        <v>-8002139.0899999999</v>
      </c>
      <c r="F3390" s="502" t="s">
        <v>878</v>
      </c>
      <c r="G3390" s="100" t="s">
        <v>696</v>
      </c>
      <c r="H3390" s="530"/>
      <c r="I3390" s="525"/>
      <c r="K3390" s="548"/>
      <c r="L3390" s="548"/>
      <c r="M3390" s="548"/>
      <c r="N3390" s="552"/>
      <c r="Y3390" s="551"/>
    </row>
    <row r="3391" spans="1:25">
      <c r="A3391" s="499">
        <v>45595</v>
      </c>
      <c r="B3391" s="499">
        <v>45595</v>
      </c>
      <c r="C3391" s="500" t="s">
        <v>173</v>
      </c>
      <c r="D3391" s="500" t="s">
        <v>759</v>
      </c>
      <c r="E3391" s="501">
        <v>-9002406.4700000007</v>
      </c>
      <c r="F3391" s="502" t="s">
        <v>878</v>
      </c>
      <c r="G3391" s="100" t="s">
        <v>696</v>
      </c>
      <c r="H3391" s="530"/>
      <c r="I3391" s="525"/>
      <c r="K3391" s="548"/>
      <c r="L3391" s="548"/>
      <c r="M3391" s="548"/>
      <c r="N3391" s="552"/>
      <c r="Y3391" s="551"/>
    </row>
    <row r="3392" spans="1:25">
      <c r="A3392" s="499">
        <v>45595</v>
      </c>
      <c r="B3392" s="499">
        <v>45595</v>
      </c>
      <c r="C3392" s="500" t="s">
        <v>173</v>
      </c>
      <c r="D3392" s="500" t="s">
        <v>759</v>
      </c>
      <c r="E3392" s="501">
        <v>-9002406.4700000007</v>
      </c>
      <c r="F3392" s="502" t="s">
        <v>878</v>
      </c>
      <c r="G3392" s="100" t="s">
        <v>696</v>
      </c>
      <c r="H3392" s="530"/>
      <c r="I3392" s="525"/>
      <c r="K3392" s="548"/>
      <c r="L3392" s="548"/>
      <c r="M3392" s="548"/>
      <c r="N3392" s="552"/>
      <c r="Y3392" s="551"/>
    </row>
    <row r="3393" spans="1:25">
      <c r="A3393" s="499">
        <v>45595</v>
      </c>
      <c r="B3393" s="499">
        <v>45595</v>
      </c>
      <c r="C3393" s="500" t="s">
        <v>173</v>
      </c>
      <c r="D3393" s="500" t="s">
        <v>759</v>
      </c>
      <c r="E3393" s="501">
        <v>-9004434.0099999998</v>
      </c>
      <c r="F3393" s="502" t="s">
        <v>878</v>
      </c>
      <c r="G3393" s="100" t="s">
        <v>550</v>
      </c>
      <c r="H3393" s="530"/>
      <c r="I3393" s="525"/>
      <c r="K3393" s="548"/>
      <c r="L3393" s="548"/>
      <c r="M3393" s="548"/>
      <c r="N3393" s="552"/>
      <c r="Y3393" s="551"/>
    </row>
    <row r="3394" spans="1:25">
      <c r="A3394" s="499">
        <v>45595</v>
      </c>
      <c r="B3394" s="499">
        <v>45595</v>
      </c>
      <c r="C3394" s="500" t="s">
        <v>173</v>
      </c>
      <c r="D3394" s="500" t="s">
        <v>759</v>
      </c>
      <c r="E3394" s="501">
        <v>-10002008.189999999</v>
      </c>
      <c r="F3394" s="502" t="s">
        <v>878</v>
      </c>
      <c r="G3394" s="100" t="s">
        <v>604</v>
      </c>
      <c r="H3394" s="530"/>
      <c r="I3394" s="525"/>
      <c r="K3394" s="548"/>
      <c r="L3394" s="548"/>
      <c r="M3394" s="548"/>
      <c r="N3394" s="552"/>
      <c r="Y3394" s="551"/>
    </row>
    <row r="3395" spans="1:25">
      <c r="A3395" s="499">
        <v>45595</v>
      </c>
      <c r="B3395" s="499">
        <v>45595</v>
      </c>
      <c r="C3395" s="500" t="s">
        <v>173</v>
      </c>
      <c r="D3395" s="500" t="s">
        <v>759</v>
      </c>
      <c r="E3395" s="501">
        <v>-10001236.050000001</v>
      </c>
      <c r="F3395" s="502" t="s">
        <v>878</v>
      </c>
      <c r="G3395" s="100" t="s">
        <v>596</v>
      </c>
      <c r="H3395" s="530"/>
      <c r="I3395" s="525"/>
      <c r="K3395" s="548"/>
      <c r="L3395" s="548"/>
      <c r="M3395" s="548"/>
      <c r="N3395" s="552"/>
      <c r="Y3395" s="551"/>
    </row>
    <row r="3396" spans="1:25">
      <c r="A3396" s="499">
        <v>45595</v>
      </c>
      <c r="B3396" s="499">
        <v>45595</v>
      </c>
      <c r="C3396" s="500" t="s">
        <v>173</v>
      </c>
      <c r="D3396" s="500" t="s">
        <v>759</v>
      </c>
      <c r="E3396" s="501">
        <v>-11010714</v>
      </c>
      <c r="F3396" s="502" t="s">
        <v>878</v>
      </c>
      <c r="G3396" s="100" t="s">
        <v>816</v>
      </c>
      <c r="H3396" s="530"/>
      <c r="I3396" s="525"/>
      <c r="K3396" s="548"/>
      <c r="L3396" s="548"/>
      <c r="M3396" s="548"/>
      <c r="N3396" s="552"/>
      <c r="Y3396" s="551"/>
    </row>
    <row r="3397" spans="1:25">
      <c r="A3397" s="499">
        <v>45595</v>
      </c>
      <c r="B3397" s="499">
        <v>45595</v>
      </c>
      <c r="C3397" s="500" t="s">
        <v>173</v>
      </c>
      <c r="D3397" s="500" t="s">
        <v>759</v>
      </c>
      <c r="E3397" s="501">
        <v>-13007226.34</v>
      </c>
      <c r="F3397" s="502" t="s">
        <v>878</v>
      </c>
      <c r="G3397" s="100" t="s">
        <v>525</v>
      </c>
      <c r="H3397" s="530"/>
      <c r="I3397" s="525"/>
      <c r="K3397" s="548"/>
      <c r="L3397" s="548"/>
      <c r="M3397" s="548"/>
      <c r="N3397" s="552"/>
      <c r="Y3397" s="551"/>
    </row>
    <row r="3398" spans="1:25">
      <c r="A3398" s="499">
        <v>45595</v>
      </c>
      <c r="B3398" s="499">
        <v>45595</v>
      </c>
      <c r="C3398" s="500" t="s">
        <v>173</v>
      </c>
      <c r="D3398" s="500" t="s">
        <v>759</v>
      </c>
      <c r="E3398" s="501">
        <v>-15014610</v>
      </c>
      <c r="F3398" s="502" t="s">
        <v>878</v>
      </c>
      <c r="G3398" s="100" t="s">
        <v>816</v>
      </c>
      <c r="H3398" s="530"/>
      <c r="I3398" s="525"/>
      <c r="K3398" s="548"/>
      <c r="L3398" s="548"/>
      <c r="M3398" s="548"/>
      <c r="N3398" s="552"/>
      <c r="Y3398" s="551"/>
    </row>
    <row r="3399" spans="1:25">
      <c r="A3399" s="499">
        <v>45595</v>
      </c>
      <c r="B3399" s="499">
        <v>45595</v>
      </c>
      <c r="C3399" s="500" t="s">
        <v>173</v>
      </c>
      <c r="D3399" s="500" t="s">
        <v>759</v>
      </c>
      <c r="E3399" s="501">
        <v>-16011102.24</v>
      </c>
      <c r="F3399" s="502" t="s">
        <v>878</v>
      </c>
      <c r="G3399" s="100" t="s">
        <v>590</v>
      </c>
      <c r="H3399" s="530"/>
      <c r="I3399" s="525"/>
      <c r="K3399" s="548"/>
      <c r="L3399" s="548"/>
      <c r="M3399" s="548"/>
      <c r="N3399" s="552"/>
      <c r="Y3399" s="551"/>
    </row>
    <row r="3400" spans="1:25">
      <c r="A3400" s="499">
        <v>45595</v>
      </c>
      <c r="B3400" s="499">
        <v>45595</v>
      </c>
      <c r="C3400" s="500" t="s">
        <v>173</v>
      </c>
      <c r="D3400" s="500" t="s">
        <v>759</v>
      </c>
      <c r="E3400" s="501">
        <v>-16014919.359999999</v>
      </c>
      <c r="F3400" s="502" t="s">
        <v>878</v>
      </c>
      <c r="G3400" s="100" t="s">
        <v>824</v>
      </c>
      <c r="H3400" s="530"/>
      <c r="I3400" s="525"/>
      <c r="K3400" s="548"/>
      <c r="L3400" s="548"/>
      <c r="M3400" s="548"/>
      <c r="N3400" s="552"/>
      <c r="Y3400" s="551"/>
    </row>
    <row r="3401" spans="1:25">
      <c r="A3401" s="499">
        <v>45595</v>
      </c>
      <c r="B3401" s="499">
        <v>45595</v>
      </c>
      <c r="C3401" s="500" t="s">
        <v>173</v>
      </c>
      <c r="D3401" s="500" t="s">
        <v>759</v>
      </c>
      <c r="E3401" s="501">
        <v>-18003865.030000001</v>
      </c>
      <c r="F3401" s="502" t="s">
        <v>878</v>
      </c>
      <c r="G3401" s="100" t="s">
        <v>676</v>
      </c>
      <c r="H3401" s="530"/>
      <c r="I3401" s="525"/>
      <c r="K3401" s="548"/>
      <c r="L3401" s="548"/>
      <c r="M3401" s="548"/>
      <c r="N3401" s="552"/>
      <c r="Y3401" s="551"/>
    </row>
    <row r="3402" spans="1:25">
      <c r="A3402" s="499">
        <v>45595</v>
      </c>
      <c r="B3402" s="499">
        <v>45595</v>
      </c>
      <c r="C3402" s="500" t="s">
        <v>173</v>
      </c>
      <c r="D3402" s="500" t="s">
        <v>759</v>
      </c>
      <c r="E3402" s="501">
        <v>-20002209.199999999</v>
      </c>
      <c r="F3402" s="502" t="s">
        <v>878</v>
      </c>
      <c r="G3402" s="100" t="s">
        <v>690</v>
      </c>
      <c r="H3402" s="530"/>
      <c r="I3402" s="525"/>
      <c r="K3402" s="548"/>
      <c r="L3402" s="548"/>
      <c r="M3402" s="548"/>
      <c r="N3402" s="552"/>
      <c r="Y3402" s="551"/>
    </row>
    <row r="3403" spans="1:25">
      <c r="A3403" s="499">
        <v>45595</v>
      </c>
      <c r="B3403" s="499">
        <v>45595</v>
      </c>
      <c r="C3403" s="500" t="s">
        <v>173</v>
      </c>
      <c r="D3403" s="500" t="s">
        <v>759</v>
      </c>
      <c r="E3403" s="501">
        <v>-21000213.68</v>
      </c>
      <c r="F3403" s="502" t="s">
        <v>878</v>
      </c>
      <c r="G3403" s="100" t="s">
        <v>588</v>
      </c>
      <c r="H3403" s="530"/>
      <c r="I3403" s="525"/>
      <c r="K3403" s="548"/>
      <c r="L3403" s="548"/>
      <c r="M3403" s="548"/>
      <c r="N3403" s="552"/>
      <c r="Y3403" s="551"/>
    </row>
    <row r="3404" spans="1:25">
      <c r="A3404" s="499">
        <v>45595</v>
      </c>
      <c r="B3404" s="499">
        <v>45595</v>
      </c>
      <c r="C3404" s="500" t="s">
        <v>173</v>
      </c>
      <c r="D3404" s="500" t="s">
        <v>759</v>
      </c>
      <c r="E3404" s="501">
        <v>-21008512.100000001</v>
      </c>
      <c r="F3404" s="502" t="s">
        <v>878</v>
      </c>
      <c r="G3404" s="100" t="s">
        <v>657</v>
      </c>
      <c r="H3404" s="530"/>
      <c r="I3404" s="525"/>
      <c r="K3404" s="548"/>
      <c r="L3404" s="548"/>
      <c r="M3404" s="548"/>
      <c r="N3404" s="552"/>
      <c r="Y3404" s="551"/>
    </row>
    <row r="3405" spans="1:25">
      <c r="A3405" s="499">
        <v>45595</v>
      </c>
      <c r="B3405" s="499">
        <v>45595</v>
      </c>
      <c r="C3405" s="500" t="s">
        <v>173</v>
      </c>
      <c r="D3405" s="500" t="s">
        <v>759</v>
      </c>
      <c r="E3405" s="501">
        <v>-22014493.420000002</v>
      </c>
      <c r="F3405" s="502" t="s">
        <v>878</v>
      </c>
      <c r="G3405" s="100" t="s">
        <v>695</v>
      </c>
      <c r="H3405" s="530"/>
      <c r="I3405" s="525"/>
      <c r="K3405" s="548"/>
      <c r="L3405" s="548"/>
      <c r="M3405" s="548"/>
      <c r="N3405" s="552"/>
      <c r="Y3405" s="551"/>
    </row>
    <row r="3406" spans="1:25">
      <c r="A3406" s="499">
        <v>45595</v>
      </c>
      <c r="B3406" s="499">
        <v>45595</v>
      </c>
      <c r="C3406" s="500" t="s">
        <v>173</v>
      </c>
      <c r="D3406" s="500" t="s">
        <v>759</v>
      </c>
      <c r="E3406" s="501">
        <v>-23012134.920000002</v>
      </c>
      <c r="F3406" s="502" t="s">
        <v>878</v>
      </c>
      <c r="G3406" s="100" t="s">
        <v>819</v>
      </c>
      <c r="H3406" s="530"/>
      <c r="I3406" s="525"/>
      <c r="K3406" s="548"/>
      <c r="L3406" s="548"/>
      <c r="M3406" s="548"/>
      <c r="N3406" s="552"/>
      <c r="Y3406" s="551"/>
    </row>
    <row r="3407" spans="1:25">
      <c r="A3407" s="499">
        <v>45595</v>
      </c>
      <c r="B3407" s="499">
        <v>45595</v>
      </c>
      <c r="C3407" s="500" t="s">
        <v>173</v>
      </c>
      <c r="D3407" s="500" t="s">
        <v>759</v>
      </c>
      <c r="E3407" s="501">
        <v>-25006768.879999999</v>
      </c>
      <c r="F3407" s="502" t="s">
        <v>878</v>
      </c>
      <c r="G3407" s="100" t="s">
        <v>821</v>
      </c>
      <c r="H3407" s="530"/>
      <c r="I3407" s="525"/>
      <c r="K3407" s="548"/>
      <c r="L3407" s="548"/>
      <c r="M3407" s="548"/>
      <c r="N3407" s="552"/>
      <c r="Y3407" s="551"/>
    </row>
    <row r="3408" spans="1:25">
      <c r="A3408" s="499">
        <v>45595</v>
      </c>
      <c r="B3408" s="499">
        <v>45595</v>
      </c>
      <c r="C3408" s="500" t="s">
        <v>173</v>
      </c>
      <c r="D3408" s="500" t="s">
        <v>759</v>
      </c>
      <c r="E3408" s="501">
        <v>-26016589.870000001</v>
      </c>
      <c r="F3408" s="502" t="s">
        <v>878</v>
      </c>
      <c r="G3408" s="100" t="s">
        <v>717</v>
      </c>
      <c r="H3408" s="530"/>
      <c r="I3408" s="525"/>
      <c r="K3408" s="548"/>
      <c r="L3408" s="548"/>
      <c r="M3408" s="548"/>
      <c r="N3408" s="552"/>
      <c r="Y3408" s="551"/>
    </row>
    <row r="3409" spans="1:25">
      <c r="A3409" s="499">
        <v>45595</v>
      </c>
      <c r="B3409" s="499">
        <v>45595</v>
      </c>
      <c r="C3409" s="500" t="s">
        <v>173</v>
      </c>
      <c r="D3409" s="500" t="s">
        <v>759</v>
      </c>
      <c r="E3409" s="501">
        <v>-26024243.960000001</v>
      </c>
      <c r="F3409" s="502" t="s">
        <v>878</v>
      </c>
      <c r="G3409" s="100" t="s">
        <v>824</v>
      </c>
      <c r="H3409" s="530"/>
      <c r="I3409" s="525"/>
      <c r="K3409" s="548"/>
      <c r="L3409" s="548"/>
      <c r="M3409" s="548"/>
      <c r="N3409" s="552"/>
      <c r="Y3409" s="551"/>
    </row>
    <row r="3410" spans="1:25">
      <c r="A3410" s="499">
        <v>45595</v>
      </c>
      <c r="B3410" s="499">
        <v>45595</v>
      </c>
      <c r="C3410" s="500" t="s">
        <v>173</v>
      </c>
      <c r="D3410" s="500" t="s">
        <v>759</v>
      </c>
      <c r="E3410" s="501">
        <v>-30013763.52</v>
      </c>
      <c r="F3410" s="502" t="s">
        <v>878</v>
      </c>
      <c r="G3410" s="100" t="s">
        <v>719</v>
      </c>
      <c r="H3410" s="530"/>
      <c r="I3410" s="525"/>
      <c r="K3410" s="548"/>
      <c r="L3410" s="548"/>
      <c r="M3410" s="548"/>
      <c r="N3410" s="552"/>
      <c r="Y3410" s="551"/>
    </row>
    <row r="3411" spans="1:25">
      <c r="A3411" s="499">
        <v>45595</v>
      </c>
      <c r="B3411" s="499">
        <v>45595</v>
      </c>
      <c r="C3411" s="500" t="s">
        <v>173</v>
      </c>
      <c r="D3411" s="500" t="s">
        <v>759</v>
      </c>
      <c r="E3411" s="501">
        <v>-30015828.149999999</v>
      </c>
      <c r="F3411" s="502" t="s">
        <v>878</v>
      </c>
      <c r="G3411" s="100" t="s">
        <v>819</v>
      </c>
      <c r="H3411" s="530"/>
      <c r="I3411" s="525"/>
      <c r="K3411" s="548"/>
      <c r="L3411" s="548"/>
      <c r="M3411" s="548"/>
      <c r="N3411" s="552"/>
      <c r="Y3411" s="551"/>
    </row>
    <row r="3412" spans="1:25">
      <c r="A3412" s="499">
        <v>45595</v>
      </c>
      <c r="B3412" s="499">
        <v>45595</v>
      </c>
      <c r="C3412" s="500" t="s">
        <v>173</v>
      </c>
      <c r="D3412" s="500" t="s">
        <v>759</v>
      </c>
      <c r="E3412" s="501">
        <v>-39026678.57</v>
      </c>
      <c r="F3412" s="502" t="s">
        <v>878</v>
      </c>
      <c r="G3412" s="100" t="s">
        <v>715</v>
      </c>
      <c r="H3412" s="530"/>
      <c r="I3412" s="525"/>
      <c r="K3412" s="548"/>
      <c r="L3412" s="548"/>
      <c r="M3412" s="548"/>
      <c r="N3412" s="552"/>
      <c r="Y3412" s="551"/>
    </row>
    <row r="3413" spans="1:25">
      <c r="A3413" s="499">
        <v>45595</v>
      </c>
      <c r="B3413" s="499">
        <v>45595</v>
      </c>
      <c r="C3413" s="500" t="s">
        <v>173</v>
      </c>
      <c r="D3413" s="500" t="s">
        <v>759</v>
      </c>
      <c r="E3413" s="501">
        <v>-39018762.899999999</v>
      </c>
      <c r="F3413" s="502" t="s">
        <v>878</v>
      </c>
      <c r="G3413" s="100" t="s">
        <v>692</v>
      </c>
      <c r="H3413" s="530"/>
      <c r="I3413" s="525"/>
      <c r="K3413" s="548"/>
      <c r="L3413" s="548"/>
      <c r="M3413" s="548"/>
      <c r="N3413" s="552"/>
      <c r="Y3413" s="551"/>
    </row>
    <row r="3414" spans="1:25">
      <c r="A3414" s="499">
        <v>45595</v>
      </c>
      <c r="B3414" s="499">
        <v>45595</v>
      </c>
      <c r="C3414" s="500" t="s">
        <v>173</v>
      </c>
      <c r="D3414" s="500" t="s">
        <v>759</v>
      </c>
      <c r="E3414" s="501">
        <v>-40019706.719999999</v>
      </c>
      <c r="F3414" s="502" t="s">
        <v>878</v>
      </c>
      <c r="G3414" s="100" t="s">
        <v>550</v>
      </c>
      <c r="H3414" s="530"/>
      <c r="I3414" s="525"/>
      <c r="K3414" s="548"/>
      <c r="L3414" s="548"/>
      <c r="M3414" s="548"/>
      <c r="N3414" s="552"/>
      <c r="Y3414" s="551"/>
    </row>
    <row r="3415" spans="1:25">
      <c r="A3415" s="499">
        <v>45595</v>
      </c>
      <c r="B3415" s="499">
        <v>45595</v>
      </c>
      <c r="C3415" s="500" t="s">
        <v>173</v>
      </c>
      <c r="D3415" s="500" t="s">
        <v>759</v>
      </c>
      <c r="E3415" s="501">
        <v>-40024156.640000001</v>
      </c>
      <c r="F3415" s="502" t="s">
        <v>878</v>
      </c>
      <c r="G3415" s="100" t="s">
        <v>817</v>
      </c>
      <c r="H3415" s="530"/>
      <c r="I3415" s="525"/>
      <c r="K3415" s="548"/>
      <c r="L3415" s="548"/>
      <c r="M3415" s="548"/>
      <c r="N3415" s="552"/>
      <c r="Y3415" s="551"/>
    </row>
    <row r="3416" spans="1:25">
      <c r="A3416" s="499">
        <v>45595</v>
      </c>
      <c r="B3416" s="499">
        <v>45595</v>
      </c>
      <c r="C3416" s="500" t="s">
        <v>173</v>
      </c>
      <c r="D3416" s="500" t="s">
        <v>759</v>
      </c>
      <c r="E3416" s="501">
        <v>-45017077.049999997</v>
      </c>
      <c r="F3416" s="502" t="s">
        <v>878</v>
      </c>
      <c r="G3416" s="100" t="s">
        <v>600</v>
      </c>
      <c r="H3416" s="530"/>
      <c r="I3416" s="525"/>
      <c r="K3416" s="548"/>
      <c r="L3416" s="548"/>
      <c r="M3416" s="548"/>
      <c r="N3416" s="552"/>
      <c r="Y3416" s="551"/>
    </row>
    <row r="3417" spans="1:25">
      <c r="A3417" s="499">
        <v>45595</v>
      </c>
      <c r="B3417" s="499">
        <v>45595</v>
      </c>
      <c r="C3417" s="500" t="s">
        <v>173</v>
      </c>
      <c r="D3417" s="500" t="s">
        <v>759</v>
      </c>
      <c r="E3417" s="501">
        <v>-48009639.310000002</v>
      </c>
      <c r="F3417" s="502" t="s">
        <v>878</v>
      </c>
      <c r="G3417" s="100" t="s">
        <v>604</v>
      </c>
      <c r="H3417" s="530"/>
      <c r="I3417" s="525"/>
      <c r="K3417" s="548"/>
      <c r="L3417" s="548"/>
      <c r="M3417" s="548"/>
      <c r="N3417" s="552"/>
      <c r="Y3417" s="551"/>
    </row>
    <row r="3418" spans="1:25">
      <c r="A3418" s="499">
        <v>45595</v>
      </c>
      <c r="B3418" s="499">
        <v>45595</v>
      </c>
      <c r="C3418" s="500" t="s">
        <v>173</v>
      </c>
      <c r="D3418" s="500" t="s">
        <v>759</v>
      </c>
      <c r="E3418" s="501">
        <v>-50000508.75</v>
      </c>
      <c r="F3418" s="502" t="s">
        <v>878</v>
      </c>
      <c r="G3418" s="100" t="s">
        <v>588</v>
      </c>
      <c r="H3418" s="530"/>
      <c r="I3418" s="525"/>
      <c r="K3418" s="548"/>
      <c r="L3418" s="548"/>
      <c r="M3418" s="548"/>
      <c r="N3418" s="552"/>
      <c r="Y3418" s="551"/>
    </row>
    <row r="3419" spans="1:25">
      <c r="A3419" s="499">
        <v>45595</v>
      </c>
      <c r="B3419" s="499">
        <v>45595</v>
      </c>
      <c r="C3419" s="500" t="s">
        <v>173</v>
      </c>
      <c r="D3419" s="500" t="s">
        <v>759</v>
      </c>
      <c r="E3419" s="501">
        <v>-53005854.380000003</v>
      </c>
      <c r="F3419" s="502" t="s">
        <v>878</v>
      </c>
      <c r="G3419" s="100" t="s">
        <v>690</v>
      </c>
      <c r="H3419" s="530"/>
      <c r="I3419" s="525"/>
      <c r="K3419" s="548"/>
      <c r="L3419" s="548"/>
      <c r="M3419" s="548"/>
      <c r="N3419" s="552"/>
      <c r="Y3419" s="551"/>
    </row>
    <row r="3420" spans="1:25">
      <c r="A3420" s="499">
        <v>45595</v>
      </c>
      <c r="B3420" s="499">
        <v>45595</v>
      </c>
      <c r="C3420" s="500" t="s">
        <v>173</v>
      </c>
      <c r="D3420" s="500" t="s">
        <v>759</v>
      </c>
      <c r="E3420" s="501">
        <v>-58028913.93</v>
      </c>
      <c r="F3420" s="502" t="s">
        <v>878</v>
      </c>
      <c r="G3420" s="100" t="s">
        <v>592</v>
      </c>
      <c r="H3420" s="530"/>
      <c r="I3420" s="525"/>
      <c r="K3420" s="548"/>
      <c r="L3420" s="548"/>
      <c r="M3420" s="548"/>
      <c r="N3420" s="552"/>
      <c r="Y3420" s="551"/>
    </row>
    <row r="3421" spans="1:25">
      <c r="A3421" s="499">
        <v>45595</v>
      </c>
      <c r="B3421" s="499">
        <v>45595</v>
      </c>
      <c r="C3421" s="500" t="s">
        <v>173</v>
      </c>
      <c r="D3421" s="500" t="s">
        <v>759</v>
      </c>
      <c r="E3421" s="501">
        <v>-60016245.299999997</v>
      </c>
      <c r="F3421" s="502" t="s">
        <v>878</v>
      </c>
      <c r="G3421" s="100" t="s">
        <v>821</v>
      </c>
      <c r="H3421" s="530"/>
      <c r="I3421" s="525"/>
      <c r="K3421" s="548"/>
      <c r="L3421" s="548"/>
      <c r="M3421" s="548"/>
      <c r="N3421" s="552"/>
      <c r="Y3421" s="551"/>
    </row>
    <row r="3422" spans="1:25">
      <c r="A3422" s="499">
        <v>45595</v>
      </c>
      <c r="B3422" s="499">
        <v>45595</v>
      </c>
      <c r="C3422" s="500" t="s">
        <v>173</v>
      </c>
      <c r="D3422" s="500" t="s">
        <v>759</v>
      </c>
      <c r="E3422" s="501">
        <v>-67044239.899999999</v>
      </c>
      <c r="F3422" s="502" t="s">
        <v>878</v>
      </c>
      <c r="G3422" s="100" t="s">
        <v>594</v>
      </c>
      <c r="H3422" s="530"/>
      <c r="I3422" s="525"/>
      <c r="K3422" s="548"/>
      <c r="L3422" s="548"/>
      <c r="M3422" s="548"/>
      <c r="N3422" s="552"/>
      <c r="Y3422" s="551"/>
    </row>
    <row r="3423" spans="1:25">
      <c r="A3423" s="499">
        <v>45595</v>
      </c>
      <c r="B3423" s="499">
        <v>45595</v>
      </c>
      <c r="C3423" s="500" t="s">
        <v>173</v>
      </c>
      <c r="D3423" s="500" t="s">
        <v>759</v>
      </c>
      <c r="E3423" s="501">
        <v>-70047784.799999997</v>
      </c>
      <c r="F3423" s="502" t="s">
        <v>878</v>
      </c>
      <c r="G3423" s="100" t="s">
        <v>602</v>
      </c>
      <c r="H3423" s="530"/>
      <c r="I3423" s="525"/>
      <c r="K3423" s="548"/>
      <c r="L3423" s="548"/>
      <c r="M3423" s="548"/>
      <c r="N3423" s="552"/>
      <c r="Y3423" s="551"/>
    </row>
    <row r="3424" spans="1:25">
      <c r="A3424" s="499">
        <v>45595</v>
      </c>
      <c r="B3424" s="499">
        <v>45595</v>
      </c>
      <c r="C3424" s="500" t="s">
        <v>173</v>
      </c>
      <c r="D3424" s="500" t="s">
        <v>759</v>
      </c>
      <c r="E3424" s="501">
        <v>-74039244.790000007</v>
      </c>
      <c r="F3424" s="502" t="s">
        <v>878</v>
      </c>
      <c r="G3424" s="100" t="s">
        <v>598</v>
      </c>
      <c r="H3424" s="530"/>
      <c r="I3424" s="525"/>
      <c r="K3424" s="548"/>
      <c r="L3424" s="548"/>
      <c r="M3424" s="548"/>
      <c r="N3424" s="552"/>
      <c r="Y3424" s="551"/>
    </row>
    <row r="3425" spans="1:25">
      <c r="A3425" s="499">
        <v>45595</v>
      </c>
      <c r="B3425" s="499">
        <v>45595</v>
      </c>
      <c r="C3425" s="500" t="s">
        <v>173</v>
      </c>
      <c r="D3425" s="500" t="s">
        <v>759</v>
      </c>
      <c r="E3425" s="501">
        <v>-86069291.75</v>
      </c>
      <c r="F3425" s="502" t="s">
        <v>878</v>
      </c>
      <c r="G3425" s="100" t="s">
        <v>823</v>
      </c>
      <c r="H3425" s="530"/>
      <c r="I3425" s="525"/>
      <c r="K3425" s="548"/>
      <c r="L3425" s="548"/>
      <c r="M3425" s="548"/>
      <c r="N3425" s="552"/>
      <c r="Y3425" s="551"/>
    </row>
    <row r="3426" spans="1:25">
      <c r="A3426" s="499">
        <v>45595</v>
      </c>
      <c r="B3426" s="499">
        <v>45595</v>
      </c>
      <c r="C3426" s="500" t="s">
        <v>173</v>
      </c>
      <c r="D3426" s="500" t="s">
        <v>759</v>
      </c>
      <c r="E3426" s="501">
        <v>-89046956.849999994</v>
      </c>
      <c r="F3426" s="502" t="s">
        <v>878</v>
      </c>
      <c r="G3426" s="100" t="s">
        <v>819</v>
      </c>
      <c r="H3426" s="530"/>
      <c r="I3426" s="525"/>
      <c r="K3426" s="548"/>
      <c r="L3426" s="548"/>
      <c r="M3426" s="548"/>
      <c r="N3426" s="552"/>
      <c r="Y3426" s="551"/>
    </row>
    <row r="3427" spans="1:25">
      <c r="A3427" s="499">
        <v>45595</v>
      </c>
      <c r="B3427" s="499">
        <v>45595</v>
      </c>
      <c r="C3427" s="500" t="s">
        <v>173</v>
      </c>
      <c r="D3427" s="500" t="s">
        <v>759</v>
      </c>
      <c r="E3427" s="501">
        <v>-99079766.079999998</v>
      </c>
      <c r="F3427" s="502" t="s">
        <v>878</v>
      </c>
      <c r="G3427" s="100" t="s">
        <v>823</v>
      </c>
      <c r="H3427" s="530"/>
      <c r="I3427" s="525"/>
      <c r="K3427" s="548"/>
      <c r="L3427" s="548"/>
      <c r="M3427" s="548"/>
      <c r="N3427" s="552"/>
      <c r="Y3427" s="551"/>
    </row>
    <row r="3428" spans="1:25">
      <c r="A3428" s="499">
        <v>45595</v>
      </c>
      <c r="B3428" s="499">
        <v>45595</v>
      </c>
      <c r="C3428" s="500" t="s">
        <v>173</v>
      </c>
      <c r="D3428" s="500" t="s">
        <v>759</v>
      </c>
      <c r="E3428" s="501">
        <v>-101057900.78</v>
      </c>
      <c r="F3428" s="502" t="s">
        <v>878</v>
      </c>
      <c r="G3428" s="100" t="s">
        <v>711</v>
      </c>
      <c r="H3428" s="530"/>
      <c r="I3428" s="525"/>
      <c r="K3428" s="548"/>
      <c r="L3428" s="548"/>
      <c r="M3428" s="548"/>
      <c r="N3428" s="552"/>
      <c r="Y3428" s="551"/>
    </row>
    <row r="3429" spans="1:25">
      <c r="A3429" s="499">
        <v>45595</v>
      </c>
      <c r="B3429" s="499">
        <v>45595</v>
      </c>
      <c r="C3429" s="500" t="s">
        <v>173</v>
      </c>
      <c r="D3429" s="500" t="s">
        <v>759</v>
      </c>
      <c r="E3429" s="501">
        <v>-101057900.78</v>
      </c>
      <c r="F3429" s="502" t="s">
        <v>878</v>
      </c>
      <c r="G3429" s="100" t="s">
        <v>711</v>
      </c>
      <c r="H3429" s="530"/>
      <c r="I3429" s="525"/>
      <c r="K3429" s="548"/>
      <c r="L3429" s="548"/>
      <c r="M3429" s="548"/>
      <c r="N3429" s="552"/>
      <c r="Y3429" s="551"/>
    </row>
    <row r="3430" spans="1:25">
      <c r="A3430" s="499">
        <v>45595</v>
      </c>
      <c r="B3430" s="499">
        <v>45595</v>
      </c>
      <c r="C3430" s="500" t="s">
        <v>173</v>
      </c>
      <c r="D3430" s="500" t="s">
        <v>759</v>
      </c>
      <c r="E3430" s="501">
        <v>-101098374</v>
      </c>
      <c r="F3430" s="502" t="s">
        <v>878</v>
      </c>
      <c r="G3430" s="100" t="s">
        <v>816</v>
      </c>
      <c r="H3430" s="530"/>
      <c r="I3430" s="525"/>
      <c r="K3430" s="548"/>
      <c r="L3430" s="548"/>
      <c r="M3430" s="548"/>
      <c r="N3430" s="552"/>
      <c r="Y3430" s="551"/>
    </row>
    <row r="3431" spans="1:25">
      <c r="A3431" s="499">
        <v>45595</v>
      </c>
      <c r="B3431" s="499">
        <v>45595</v>
      </c>
      <c r="C3431" s="500" t="s">
        <v>173</v>
      </c>
      <c r="D3431" s="500" t="s">
        <v>759</v>
      </c>
      <c r="E3431" s="501">
        <v>-111040082.88</v>
      </c>
      <c r="F3431" s="502" t="s">
        <v>878</v>
      </c>
      <c r="G3431" s="100" t="s">
        <v>684</v>
      </c>
      <c r="H3431" s="530"/>
      <c r="I3431" s="525"/>
      <c r="K3431" s="548"/>
      <c r="L3431" s="548"/>
      <c r="M3431" s="548"/>
      <c r="N3431" s="552"/>
      <c r="Y3431" s="551"/>
    </row>
    <row r="3432" spans="1:25">
      <c r="A3432" s="499">
        <v>45595</v>
      </c>
      <c r="B3432" s="499">
        <v>45595</v>
      </c>
      <c r="C3432" s="500" t="s">
        <v>173</v>
      </c>
      <c r="D3432" s="500" t="s">
        <v>759</v>
      </c>
      <c r="E3432" s="501">
        <v>-115069450.34</v>
      </c>
      <c r="F3432" s="502" t="s">
        <v>878</v>
      </c>
      <c r="G3432" s="100" t="s">
        <v>817</v>
      </c>
      <c r="H3432" s="530"/>
      <c r="I3432" s="525"/>
      <c r="K3432" s="548"/>
      <c r="L3432" s="548"/>
      <c r="M3432" s="548"/>
      <c r="N3432" s="552"/>
      <c r="Y3432" s="551"/>
    </row>
    <row r="3433" spans="1:25">
      <c r="A3433" s="499">
        <v>45595</v>
      </c>
      <c r="B3433" s="499">
        <v>45595</v>
      </c>
      <c r="C3433" s="500" t="s">
        <v>173</v>
      </c>
      <c r="D3433" s="500" t="s">
        <v>759</v>
      </c>
      <c r="E3433" s="501">
        <v>-51025424.32</v>
      </c>
      <c r="F3433" s="502" t="s">
        <v>878</v>
      </c>
      <c r="G3433" s="100" t="s">
        <v>592</v>
      </c>
      <c r="H3433" s="530"/>
      <c r="I3433" s="525"/>
      <c r="K3433" s="548"/>
      <c r="L3433" s="548"/>
      <c r="M3433" s="548"/>
      <c r="N3433" s="552"/>
      <c r="Y3433" s="551"/>
    </row>
    <row r="3434" spans="1:25">
      <c r="A3434" s="499">
        <v>45595</v>
      </c>
      <c r="B3434" s="499">
        <v>45595</v>
      </c>
      <c r="C3434" s="500" t="s">
        <v>173</v>
      </c>
      <c r="D3434" s="500" t="s">
        <v>759</v>
      </c>
      <c r="E3434" s="501">
        <v>-8001760.0499999998</v>
      </c>
      <c r="F3434" s="502" t="s">
        <v>878</v>
      </c>
      <c r="G3434" s="100" t="s">
        <v>633</v>
      </c>
      <c r="H3434" s="530"/>
      <c r="I3434" s="525"/>
      <c r="K3434" s="548"/>
      <c r="L3434" s="548"/>
      <c r="M3434" s="548"/>
      <c r="N3434" s="552"/>
      <c r="Y3434" s="551"/>
    </row>
    <row r="3435" spans="1:25">
      <c r="A3435" s="499">
        <v>45595</v>
      </c>
      <c r="B3435" s="499">
        <v>45596</v>
      </c>
      <c r="C3435" s="500" t="s">
        <v>173</v>
      </c>
      <c r="D3435" s="500" t="s">
        <v>759</v>
      </c>
      <c r="E3435" s="501">
        <v>1000902.12</v>
      </c>
      <c r="F3435" s="502" t="s">
        <v>878</v>
      </c>
      <c r="G3435" s="100" t="s">
        <v>598</v>
      </c>
      <c r="H3435" s="100">
        <v>114515897</v>
      </c>
      <c r="I3435" s="525"/>
      <c r="K3435" s="548"/>
      <c r="L3435" s="548"/>
      <c r="M3435" s="548"/>
      <c r="N3435" s="552"/>
      <c r="Y3435" s="551"/>
    </row>
    <row r="3436" spans="1:25">
      <c r="A3436" s="499">
        <v>45595</v>
      </c>
      <c r="B3436" s="499">
        <v>45596</v>
      </c>
      <c r="C3436" s="500" t="s">
        <v>173</v>
      </c>
      <c r="D3436" s="500" t="s">
        <v>759</v>
      </c>
      <c r="E3436" s="501">
        <v>1000870.29</v>
      </c>
      <c r="F3436" s="502" t="s">
        <v>878</v>
      </c>
      <c r="G3436" s="100" t="s">
        <v>592</v>
      </c>
      <c r="H3436" s="100">
        <v>114515900</v>
      </c>
      <c r="I3436" s="525"/>
      <c r="K3436" s="548"/>
      <c r="L3436" s="548"/>
      <c r="M3436" s="548"/>
      <c r="N3436" s="552"/>
      <c r="Y3436" s="551"/>
    </row>
    <row r="3437" spans="1:25">
      <c r="A3437" s="499">
        <v>45595</v>
      </c>
      <c r="B3437" s="499">
        <v>45596</v>
      </c>
      <c r="C3437" s="500" t="s">
        <v>173</v>
      </c>
      <c r="D3437" s="500" t="s">
        <v>759</v>
      </c>
      <c r="E3437" s="501">
        <v>1000870.29</v>
      </c>
      <c r="F3437" s="502" t="s">
        <v>878</v>
      </c>
      <c r="G3437" s="100" t="s">
        <v>592</v>
      </c>
      <c r="H3437" s="100">
        <v>114515903</v>
      </c>
      <c r="I3437" s="525"/>
      <c r="K3437" s="548"/>
      <c r="L3437" s="548"/>
      <c r="M3437" s="548"/>
      <c r="N3437" s="552"/>
      <c r="Y3437" s="551"/>
    </row>
    <row r="3438" spans="1:25">
      <c r="A3438" s="499">
        <v>45595</v>
      </c>
      <c r="B3438" s="499">
        <v>45596</v>
      </c>
      <c r="C3438" s="500" t="s">
        <v>173</v>
      </c>
      <c r="D3438" s="500" t="s">
        <v>759</v>
      </c>
      <c r="E3438" s="501">
        <v>1000586.38</v>
      </c>
      <c r="F3438" s="502" t="s">
        <v>878</v>
      </c>
      <c r="G3438" s="100" t="s">
        <v>676</v>
      </c>
      <c r="H3438" s="100">
        <v>114515906</v>
      </c>
      <c r="I3438" s="525"/>
      <c r="K3438" s="548"/>
      <c r="L3438" s="548"/>
      <c r="M3438" s="548"/>
      <c r="N3438" s="552"/>
      <c r="Y3438" s="551"/>
    </row>
    <row r="3439" spans="1:25">
      <c r="A3439" s="499">
        <v>45595</v>
      </c>
      <c r="B3439" s="499">
        <v>45596</v>
      </c>
      <c r="C3439" s="500" t="s">
        <v>173</v>
      </c>
      <c r="D3439" s="500" t="s">
        <v>759</v>
      </c>
      <c r="E3439" s="501">
        <v>1000639.07</v>
      </c>
      <c r="F3439" s="502" t="s">
        <v>878</v>
      </c>
      <c r="G3439" s="100" t="s">
        <v>696</v>
      </c>
      <c r="H3439" s="100">
        <v>114515909</v>
      </c>
      <c r="I3439" s="525"/>
      <c r="K3439" s="548"/>
      <c r="L3439" s="548"/>
      <c r="M3439" s="548"/>
      <c r="N3439" s="552"/>
      <c r="Y3439" s="551"/>
    </row>
    <row r="3440" spans="1:25">
      <c r="A3440" s="499">
        <v>45595</v>
      </c>
      <c r="B3440" s="499">
        <v>45596</v>
      </c>
      <c r="C3440" s="500" t="s">
        <v>173</v>
      </c>
      <c r="D3440" s="500" t="s">
        <v>759</v>
      </c>
      <c r="E3440" s="501">
        <v>1000381.77</v>
      </c>
      <c r="F3440" s="502" t="s">
        <v>878</v>
      </c>
      <c r="G3440" s="100" t="s">
        <v>588</v>
      </c>
      <c r="H3440" s="100">
        <v>114515912</v>
      </c>
      <c r="I3440" s="525"/>
      <c r="K3440" s="548"/>
      <c r="L3440" s="548"/>
      <c r="M3440" s="548"/>
      <c r="N3440" s="552"/>
      <c r="Y3440" s="551"/>
    </row>
    <row r="3441" spans="1:25">
      <c r="A3441" s="499">
        <v>45595</v>
      </c>
      <c r="B3441" s="499">
        <v>45596</v>
      </c>
      <c r="C3441" s="500" t="s">
        <v>173</v>
      </c>
      <c r="D3441" s="500" t="s">
        <v>759</v>
      </c>
      <c r="E3441" s="501">
        <v>2002313.03</v>
      </c>
      <c r="F3441" s="502" t="s">
        <v>878</v>
      </c>
      <c r="G3441" s="100" t="s">
        <v>648</v>
      </c>
      <c r="H3441" s="100">
        <v>114515915</v>
      </c>
      <c r="I3441" s="525"/>
      <c r="K3441" s="548"/>
      <c r="L3441" s="548"/>
      <c r="M3441" s="548"/>
      <c r="N3441" s="552"/>
      <c r="Y3441" s="551"/>
    </row>
    <row r="3442" spans="1:25">
      <c r="A3442" s="499">
        <v>45595</v>
      </c>
      <c r="B3442" s="499">
        <v>45596</v>
      </c>
      <c r="C3442" s="500" t="s">
        <v>173</v>
      </c>
      <c r="D3442" s="500" t="s">
        <v>759</v>
      </c>
      <c r="E3442" s="501">
        <v>2001728.88</v>
      </c>
      <c r="F3442" s="502" t="s">
        <v>878</v>
      </c>
      <c r="G3442" s="100" t="s">
        <v>550</v>
      </c>
      <c r="H3442" s="100">
        <v>114515918</v>
      </c>
      <c r="I3442" s="525"/>
      <c r="K3442" s="548"/>
      <c r="L3442" s="548"/>
      <c r="M3442" s="548"/>
      <c r="N3442" s="552"/>
      <c r="Y3442" s="551"/>
    </row>
    <row r="3443" spans="1:25">
      <c r="A3443" s="499">
        <v>45595</v>
      </c>
      <c r="B3443" s="499">
        <v>45596</v>
      </c>
      <c r="C3443" s="500" t="s">
        <v>173</v>
      </c>
      <c r="D3443" s="500" t="s">
        <v>759</v>
      </c>
      <c r="E3443" s="501">
        <v>2001502.43</v>
      </c>
      <c r="F3443" s="502" t="s">
        <v>878</v>
      </c>
      <c r="G3443" s="100" t="s">
        <v>600</v>
      </c>
      <c r="H3443" s="100">
        <v>114515921</v>
      </c>
      <c r="I3443" s="525"/>
      <c r="K3443" s="548"/>
      <c r="L3443" s="548"/>
      <c r="M3443" s="548"/>
      <c r="N3443" s="552"/>
      <c r="Y3443" s="551"/>
    </row>
    <row r="3444" spans="1:25">
      <c r="A3444" s="499">
        <v>45595</v>
      </c>
      <c r="B3444" s="499">
        <v>45596</v>
      </c>
      <c r="C3444" s="500" t="s">
        <v>173</v>
      </c>
      <c r="D3444" s="500" t="s">
        <v>759</v>
      </c>
      <c r="E3444" s="501">
        <v>3002927.18</v>
      </c>
      <c r="F3444" s="502" t="s">
        <v>878</v>
      </c>
      <c r="G3444" s="100" t="s">
        <v>817</v>
      </c>
      <c r="H3444" s="100">
        <v>114515924</v>
      </c>
      <c r="I3444" s="525"/>
      <c r="K3444" s="548"/>
      <c r="L3444" s="548"/>
      <c r="M3444" s="548"/>
      <c r="N3444" s="552"/>
      <c r="Y3444" s="551"/>
    </row>
    <row r="3445" spans="1:25">
      <c r="A3445" s="499">
        <v>45595</v>
      </c>
      <c r="B3445" s="499">
        <v>45596</v>
      </c>
      <c r="C3445" s="500" t="s">
        <v>173</v>
      </c>
      <c r="D3445" s="500" t="s">
        <v>759</v>
      </c>
      <c r="E3445" s="501">
        <v>3002253.65</v>
      </c>
      <c r="F3445" s="502" t="s">
        <v>878</v>
      </c>
      <c r="G3445" s="100" t="s">
        <v>600</v>
      </c>
      <c r="H3445" s="100">
        <v>114515927</v>
      </c>
      <c r="I3445" s="525"/>
      <c r="K3445" s="548"/>
      <c r="L3445" s="548"/>
      <c r="M3445" s="548"/>
      <c r="N3445" s="552"/>
      <c r="Y3445" s="551"/>
    </row>
    <row r="3446" spans="1:25">
      <c r="A3446" s="499">
        <v>45595</v>
      </c>
      <c r="B3446" s="499">
        <v>45596</v>
      </c>
      <c r="C3446" s="500" t="s">
        <v>173</v>
      </c>
      <c r="D3446" s="500" t="s">
        <v>759</v>
      </c>
      <c r="E3446" s="501">
        <v>4002289.92</v>
      </c>
      <c r="F3446" s="502" t="s">
        <v>878</v>
      </c>
      <c r="G3446" s="100" t="s">
        <v>604</v>
      </c>
      <c r="H3446" s="100">
        <v>114515930</v>
      </c>
      <c r="I3446" s="525"/>
      <c r="K3446" s="548"/>
      <c r="L3446" s="548"/>
      <c r="M3446" s="548"/>
      <c r="N3446" s="552"/>
      <c r="Y3446" s="551"/>
    </row>
    <row r="3447" spans="1:25">
      <c r="A3447" s="499">
        <v>45595</v>
      </c>
      <c r="B3447" s="499">
        <v>45596</v>
      </c>
      <c r="C3447" s="500" t="s">
        <v>173</v>
      </c>
      <c r="D3447" s="500" t="s">
        <v>759</v>
      </c>
      <c r="E3447" s="501">
        <v>4004217.91</v>
      </c>
      <c r="F3447" s="502" t="s">
        <v>878</v>
      </c>
      <c r="G3447" s="100" t="s">
        <v>602</v>
      </c>
      <c r="H3447" s="100">
        <v>114515933</v>
      </c>
      <c r="I3447" s="525"/>
      <c r="K3447" s="548"/>
      <c r="L3447" s="548"/>
      <c r="M3447" s="548"/>
      <c r="N3447" s="552"/>
      <c r="Y3447" s="551"/>
    </row>
    <row r="3448" spans="1:25">
      <c r="A3448" s="499">
        <v>45595</v>
      </c>
      <c r="B3448" s="499">
        <v>45596</v>
      </c>
      <c r="C3448" s="500" t="s">
        <v>173</v>
      </c>
      <c r="D3448" s="500" t="s">
        <v>759</v>
      </c>
      <c r="E3448" s="501">
        <v>5002931.9400000004</v>
      </c>
      <c r="F3448" s="502" t="s">
        <v>878</v>
      </c>
      <c r="G3448" s="100" t="s">
        <v>676</v>
      </c>
      <c r="H3448" s="100">
        <v>114515936</v>
      </c>
      <c r="I3448" s="525"/>
      <c r="K3448" s="548"/>
      <c r="L3448" s="548"/>
      <c r="M3448" s="548"/>
      <c r="N3448" s="552"/>
      <c r="Y3448" s="551"/>
    </row>
    <row r="3449" spans="1:25">
      <c r="A3449" s="499">
        <v>45595</v>
      </c>
      <c r="B3449" s="499">
        <v>45596</v>
      </c>
      <c r="C3449" s="500" t="s">
        <v>173</v>
      </c>
      <c r="D3449" s="500" t="s">
        <v>759</v>
      </c>
      <c r="E3449" s="501">
        <v>5001908.82</v>
      </c>
      <c r="F3449" s="502" t="s">
        <v>878</v>
      </c>
      <c r="G3449" s="100" t="s">
        <v>588</v>
      </c>
      <c r="H3449" s="100">
        <v>114515939</v>
      </c>
      <c r="I3449" s="525"/>
      <c r="K3449" s="548"/>
      <c r="L3449" s="548"/>
      <c r="M3449" s="548"/>
      <c r="N3449" s="552"/>
      <c r="Y3449" s="551"/>
    </row>
    <row r="3450" spans="1:25">
      <c r="A3450" s="499">
        <v>45595</v>
      </c>
      <c r="B3450" s="499">
        <v>45596</v>
      </c>
      <c r="C3450" s="500" t="s">
        <v>173</v>
      </c>
      <c r="D3450" s="500" t="s">
        <v>759</v>
      </c>
      <c r="E3450" s="501">
        <v>6002290.5800000001</v>
      </c>
      <c r="F3450" s="502" t="s">
        <v>878</v>
      </c>
      <c r="G3450" s="100" t="s">
        <v>588</v>
      </c>
      <c r="H3450" s="100">
        <v>114515942</v>
      </c>
      <c r="I3450" s="525"/>
      <c r="K3450" s="548"/>
      <c r="L3450" s="548"/>
      <c r="M3450" s="548"/>
      <c r="N3450" s="552"/>
      <c r="Y3450" s="551"/>
    </row>
    <row r="3451" spans="1:25">
      <c r="A3451" s="499">
        <v>45595</v>
      </c>
      <c r="B3451" s="499">
        <v>45596</v>
      </c>
      <c r="C3451" s="500" t="s">
        <v>173</v>
      </c>
      <c r="D3451" s="500" t="s">
        <v>759</v>
      </c>
      <c r="E3451" s="501">
        <v>6005186.6200000001</v>
      </c>
      <c r="F3451" s="502" t="s">
        <v>878</v>
      </c>
      <c r="G3451" s="100" t="s">
        <v>550</v>
      </c>
      <c r="H3451" s="100">
        <v>114515945</v>
      </c>
      <c r="I3451" s="525"/>
      <c r="K3451" s="548"/>
      <c r="L3451" s="548"/>
      <c r="M3451" s="548"/>
      <c r="N3451" s="552"/>
      <c r="Y3451" s="551"/>
    </row>
    <row r="3452" spans="1:25">
      <c r="A3452" s="499">
        <v>45595</v>
      </c>
      <c r="B3452" s="499">
        <v>45596</v>
      </c>
      <c r="C3452" s="500" t="s">
        <v>173</v>
      </c>
      <c r="D3452" s="500" t="s">
        <v>759</v>
      </c>
      <c r="E3452" s="501">
        <v>6003518.3300000001</v>
      </c>
      <c r="F3452" s="502" t="s">
        <v>878</v>
      </c>
      <c r="G3452" s="100" t="s">
        <v>676</v>
      </c>
      <c r="H3452" s="100">
        <v>114515948</v>
      </c>
      <c r="I3452" s="525"/>
      <c r="K3452" s="548"/>
      <c r="L3452" s="548"/>
      <c r="M3452" s="548"/>
      <c r="N3452" s="552"/>
      <c r="Y3452" s="551"/>
    </row>
    <row r="3453" spans="1:25">
      <c r="A3453" s="499">
        <v>45595</v>
      </c>
      <c r="B3453" s="499">
        <v>45596</v>
      </c>
      <c r="C3453" s="500" t="s">
        <v>173</v>
      </c>
      <c r="D3453" s="500" t="s">
        <v>759</v>
      </c>
      <c r="E3453" s="501">
        <v>7007214.3499999996</v>
      </c>
      <c r="F3453" s="502" t="s">
        <v>878</v>
      </c>
      <c r="G3453" s="100" t="s">
        <v>695</v>
      </c>
      <c r="H3453" s="100">
        <v>114515951</v>
      </c>
      <c r="I3453" s="525"/>
      <c r="K3453" s="548"/>
      <c r="L3453" s="548"/>
      <c r="M3453" s="548"/>
      <c r="N3453" s="552"/>
      <c r="Y3453" s="551"/>
    </row>
    <row r="3454" spans="1:25">
      <c r="A3454" s="499">
        <v>45595</v>
      </c>
      <c r="B3454" s="499">
        <v>45596</v>
      </c>
      <c r="C3454" s="500" t="s">
        <v>173</v>
      </c>
      <c r="D3454" s="500" t="s">
        <v>759</v>
      </c>
      <c r="E3454" s="501">
        <v>7004104.7199999997</v>
      </c>
      <c r="F3454" s="502" t="s">
        <v>878</v>
      </c>
      <c r="G3454" s="100" t="s">
        <v>676</v>
      </c>
      <c r="H3454" s="100">
        <v>114515954</v>
      </c>
      <c r="I3454" s="525"/>
      <c r="K3454" s="548"/>
      <c r="L3454" s="548"/>
      <c r="M3454" s="548"/>
      <c r="N3454" s="552"/>
      <c r="Y3454" s="551"/>
    </row>
    <row r="3455" spans="1:25">
      <c r="A3455" s="499">
        <v>45595</v>
      </c>
      <c r="B3455" s="499">
        <v>45596</v>
      </c>
      <c r="C3455" s="500" t="s">
        <v>173</v>
      </c>
      <c r="D3455" s="500" t="s">
        <v>759</v>
      </c>
      <c r="E3455" s="501">
        <v>8005112.5599999996</v>
      </c>
      <c r="F3455" s="502" t="s">
        <v>878</v>
      </c>
      <c r="G3455" s="100" t="s">
        <v>696</v>
      </c>
      <c r="H3455" s="100">
        <v>114515957</v>
      </c>
      <c r="I3455" s="525"/>
      <c r="K3455" s="548"/>
      <c r="L3455" s="548"/>
      <c r="M3455" s="548"/>
      <c r="N3455" s="552"/>
      <c r="Y3455" s="551"/>
    </row>
    <row r="3456" spans="1:25">
      <c r="A3456" s="499">
        <v>45595</v>
      </c>
      <c r="B3456" s="499">
        <v>45596</v>
      </c>
      <c r="C3456" s="500" t="s">
        <v>173</v>
      </c>
      <c r="D3456" s="500" t="s">
        <v>759</v>
      </c>
      <c r="E3456" s="501">
        <v>9005751.6300000008</v>
      </c>
      <c r="F3456" s="502" t="s">
        <v>878</v>
      </c>
      <c r="G3456" s="100" t="s">
        <v>696</v>
      </c>
      <c r="H3456" s="100">
        <v>114515960</v>
      </c>
      <c r="I3456" s="525"/>
      <c r="K3456" s="548"/>
      <c r="L3456" s="548"/>
      <c r="M3456" s="548"/>
      <c r="N3456" s="552"/>
      <c r="Y3456" s="551"/>
    </row>
    <row r="3457" spans="1:25">
      <c r="A3457" s="499">
        <v>45595</v>
      </c>
      <c r="B3457" s="499">
        <v>45596</v>
      </c>
      <c r="C3457" s="500" t="s">
        <v>173</v>
      </c>
      <c r="D3457" s="500" t="s">
        <v>759</v>
      </c>
      <c r="E3457" s="501">
        <v>9005751.6300000008</v>
      </c>
      <c r="F3457" s="502" t="s">
        <v>878</v>
      </c>
      <c r="G3457" s="100" t="s">
        <v>696</v>
      </c>
      <c r="H3457" s="100">
        <v>114515963</v>
      </c>
      <c r="I3457" s="525"/>
      <c r="K3457" s="548"/>
      <c r="L3457" s="548"/>
      <c r="M3457" s="548"/>
      <c r="N3457" s="552"/>
      <c r="Y3457" s="551"/>
    </row>
    <row r="3458" spans="1:25">
      <c r="A3458" s="499">
        <v>45595</v>
      </c>
      <c r="B3458" s="499">
        <v>45596</v>
      </c>
      <c r="C3458" s="500" t="s">
        <v>173</v>
      </c>
      <c r="D3458" s="500" t="s">
        <v>759</v>
      </c>
      <c r="E3458" s="501">
        <v>9007779.9199999999</v>
      </c>
      <c r="F3458" s="502" t="s">
        <v>878</v>
      </c>
      <c r="G3458" s="100" t="s">
        <v>550</v>
      </c>
      <c r="H3458" s="100">
        <v>114515966</v>
      </c>
      <c r="I3458" s="525"/>
      <c r="K3458" s="548"/>
      <c r="L3458" s="548"/>
      <c r="M3458" s="548"/>
      <c r="N3458" s="552"/>
      <c r="Y3458" s="551"/>
    </row>
    <row r="3459" spans="1:25">
      <c r="A3459" s="499">
        <v>45595</v>
      </c>
      <c r="B3459" s="499">
        <v>45596</v>
      </c>
      <c r="C3459" s="500" t="s">
        <v>173</v>
      </c>
      <c r="D3459" s="500" t="s">
        <v>759</v>
      </c>
      <c r="E3459" s="501">
        <v>10005724.779999999</v>
      </c>
      <c r="F3459" s="502" t="s">
        <v>878</v>
      </c>
      <c r="G3459" s="100" t="s">
        <v>604</v>
      </c>
      <c r="H3459" s="100">
        <v>114515969</v>
      </c>
      <c r="I3459" s="525"/>
      <c r="K3459" s="548"/>
      <c r="L3459" s="548"/>
      <c r="M3459" s="548"/>
      <c r="N3459" s="552"/>
      <c r="Y3459" s="551"/>
    </row>
    <row r="3460" spans="1:25">
      <c r="A3460" s="499">
        <v>45595</v>
      </c>
      <c r="B3460" s="499">
        <v>45596</v>
      </c>
      <c r="C3460" s="500" t="s">
        <v>173</v>
      </c>
      <c r="D3460" s="500" t="s">
        <v>759</v>
      </c>
      <c r="E3460" s="501">
        <v>10004952.359999999</v>
      </c>
      <c r="F3460" s="502" t="s">
        <v>878</v>
      </c>
      <c r="G3460" s="100" t="s">
        <v>596</v>
      </c>
      <c r="H3460" s="100">
        <v>114515972</v>
      </c>
      <c r="I3460" s="525"/>
      <c r="K3460" s="548"/>
      <c r="L3460" s="548"/>
      <c r="M3460" s="548"/>
      <c r="N3460" s="552"/>
      <c r="Y3460" s="551"/>
    </row>
    <row r="3461" spans="1:25">
      <c r="A3461" s="499">
        <v>45595</v>
      </c>
      <c r="B3461" s="499">
        <v>45596</v>
      </c>
      <c r="C3461" s="500" t="s">
        <v>173</v>
      </c>
      <c r="D3461" s="500" t="s">
        <v>759</v>
      </c>
      <c r="E3461" s="501">
        <v>11014805.41</v>
      </c>
      <c r="F3461" s="502" t="s">
        <v>878</v>
      </c>
      <c r="G3461" s="100" t="s">
        <v>816</v>
      </c>
      <c r="H3461" s="100">
        <v>114515975</v>
      </c>
      <c r="I3461" s="525"/>
      <c r="K3461" s="548"/>
      <c r="L3461" s="548"/>
      <c r="M3461" s="548"/>
      <c r="N3461" s="552"/>
      <c r="Y3461" s="551"/>
    </row>
    <row r="3462" spans="1:25">
      <c r="A3462" s="499">
        <v>45595</v>
      </c>
      <c r="B3462" s="499">
        <v>45596</v>
      </c>
      <c r="C3462" s="500" t="s">
        <v>173</v>
      </c>
      <c r="D3462" s="500" t="s">
        <v>759</v>
      </c>
      <c r="E3462" s="501">
        <v>13012059.630000001</v>
      </c>
      <c r="F3462" s="502" t="s">
        <v>878</v>
      </c>
      <c r="G3462" s="100" t="s">
        <v>525</v>
      </c>
      <c r="H3462" s="100">
        <v>114515978</v>
      </c>
      <c r="I3462" s="525"/>
      <c r="K3462" s="548"/>
      <c r="L3462" s="548"/>
      <c r="M3462" s="548"/>
      <c r="N3462" s="552"/>
      <c r="Y3462" s="551"/>
    </row>
    <row r="3463" spans="1:25">
      <c r="A3463" s="499">
        <v>45595</v>
      </c>
      <c r="B3463" s="499">
        <v>45596</v>
      </c>
      <c r="C3463" s="500" t="s">
        <v>173</v>
      </c>
      <c r="D3463" s="500" t="s">
        <v>759</v>
      </c>
      <c r="E3463" s="501">
        <v>15020189.199999999</v>
      </c>
      <c r="F3463" s="502" t="s">
        <v>878</v>
      </c>
      <c r="G3463" s="100" t="s">
        <v>816</v>
      </c>
      <c r="H3463" s="100">
        <v>114515981</v>
      </c>
      <c r="I3463" s="525"/>
      <c r="K3463" s="548"/>
      <c r="L3463" s="548"/>
      <c r="M3463" s="548"/>
      <c r="N3463" s="552"/>
      <c r="Y3463" s="551"/>
    </row>
    <row r="3464" spans="1:25">
      <c r="A3464" s="499">
        <v>45595</v>
      </c>
      <c r="B3464" s="499">
        <v>45596</v>
      </c>
      <c r="C3464" s="500" t="s">
        <v>173</v>
      </c>
      <c r="D3464" s="500" t="s">
        <v>759</v>
      </c>
      <c r="E3464" s="501">
        <v>16017051.720000001</v>
      </c>
      <c r="F3464" s="502" t="s">
        <v>878</v>
      </c>
      <c r="G3464" s="100" t="s">
        <v>590</v>
      </c>
      <c r="H3464" s="100">
        <v>114515984</v>
      </c>
      <c r="I3464" s="525"/>
      <c r="K3464" s="548"/>
      <c r="L3464" s="548"/>
      <c r="M3464" s="548"/>
      <c r="N3464" s="552"/>
      <c r="Y3464" s="551"/>
    </row>
    <row r="3465" spans="1:25">
      <c r="A3465" s="499">
        <v>45595</v>
      </c>
      <c r="B3465" s="499">
        <v>45596</v>
      </c>
      <c r="C3465" s="500" t="s">
        <v>173</v>
      </c>
      <c r="D3465" s="500" t="s">
        <v>759</v>
      </c>
      <c r="E3465" s="501">
        <v>16020870.26</v>
      </c>
      <c r="F3465" s="502" t="s">
        <v>878</v>
      </c>
      <c r="G3465" s="100" t="s">
        <v>824</v>
      </c>
      <c r="H3465" s="100">
        <v>114515987</v>
      </c>
      <c r="I3465" s="525"/>
      <c r="K3465" s="548"/>
      <c r="L3465" s="548"/>
      <c r="M3465" s="548"/>
      <c r="N3465" s="552"/>
      <c r="Y3465" s="551"/>
    </row>
    <row r="3466" spans="1:25">
      <c r="A3466" s="499">
        <v>45595</v>
      </c>
      <c r="B3466" s="499">
        <v>45596</v>
      </c>
      <c r="C3466" s="500" t="s">
        <v>173</v>
      </c>
      <c r="D3466" s="500" t="s">
        <v>759</v>
      </c>
      <c r="E3466" s="501">
        <v>18010554.989999998</v>
      </c>
      <c r="F3466" s="502" t="s">
        <v>878</v>
      </c>
      <c r="G3466" s="100" t="s">
        <v>676</v>
      </c>
      <c r="H3466" s="100">
        <v>114515990</v>
      </c>
      <c r="I3466" s="525"/>
      <c r="K3466" s="548"/>
      <c r="L3466" s="548"/>
      <c r="M3466" s="548"/>
      <c r="N3466" s="552"/>
      <c r="Y3466" s="551"/>
    </row>
    <row r="3467" spans="1:25">
      <c r="A3467" s="499">
        <v>45595</v>
      </c>
      <c r="B3467" s="499">
        <v>45596</v>
      </c>
      <c r="C3467" s="500" t="s">
        <v>173</v>
      </c>
      <c r="D3467" s="500" t="s">
        <v>759</v>
      </c>
      <c r="E3467" s="501">
        <v>20009641.710000001</v>
      </c>
      <c r="F3467" s="502" t="s">
        <v>878</v>
      </c>
      <c r="G3467" s="100" t="s">
        <v>690</v>
      </c>
      <c r="H3467" s="100">
        <v>114515993</v>
      </c>
      <c r="I3467" s="525"/>
      <c r="K3467" s="548"/>
      <c r="L3467" s="548"/>
      <c r="M3467" s="548"/>
      <c r="N3467" s="552"/>
      <c r="Y3467" s="551"/>
    </row>
    <row r="3468" spans="1:25">
      <c r="A3468" s="499">
        <v>45595</v>
      </c>
      <c r="B3468" s="499">
        <v>45596</v>
      </c>
      <c r="C3468" s="500" t="s">
        <v>173</v>
      </c>
      <c r="D3468" s="500" t="s">
        <v>759</v>
      </c>
      <c r="E3468" s="501">
        <v>21008017.039999999</v>
      </c>
      <c r="F3468" s="502" t="s">
        <v>878</v>
      </c>
      <c r="G3468" s="100" t="s">
        <v>588</v>
      </c>
      <c r="H3468" s="100">
        <v>114515996</v>
      </c>
      <c r="I3468" s="525"/>
      <c r="K3468" s="548"/>
      <c r="L3468" s="548"/>
      <c r="M3468" s="548"/>
      <c r="N3468" s="552"/>
      <c r="Y3468" s="551"/>
    </row>
    <row r="3469" spans="1:25">
      <c r="A3469" s="499">
        <v>45595</v>
      </c>
      <c r="B3469" s="499">
        <v>45596</v>
      </c>
      <c r="C3469" s="500" t="s">
        <v>173</v>
      </c>
      <c r="D3469" s="500" t="s">
        <v>759</v>
      </c>
      <c r="E3469" s="501">
        <v>21016318.539999999</v>
      </c>
      <c r="F3469" s="502" t="s">
        <v>878</v>
      </c>
      <c r="G3469" s="100" t="s">
        <v>657</v>
      </c>
      <c r="H3469" s="100">
        <v>114515999</v>
      </c>
      <c r="I3469" s="525"/>
      <c r="K3469" s="548"/>
      <c r="L3469" s="548"/>
      <c r="M3469" s="548"/>
      <c r="N3469" s="552"/>
      <c r="Y3469" s="551"/>
    </row>
    <row r="3470" spans="1:25">
      <c r="A3470" s="499">
        <v>45595</v>
      </c>
      <c r="B3470" s="499">
        <v>45596</v>
      </c>
      <c r="C3470" s="500" t="s">
        <v>173</v>
      </c>
      <c r="D3470" s="500" t="s">
        <v>759</v>
      </c>
      <c r="E3470" s="501">
        <v>22022673.670000002</v>
      </c>
      <c r="F3470" s="502" t="s">
        <v>878</v>
      </c>
      <c r="G3470" s="100" t="s">
        <v>695</v>
      </c>
      <c r="H3470" s="100">
        <v>114516002</v>
      </c>
      <c r="I3470" s="525"/>
      <c r="K3470" s="548"/>
      <c r="L3470" s="548"/>
      <c r="M3470" s="548"/>
      <c r="N3470" s="552"/>
      <c r="Y3470" s="551"/>
    </row>
    <row r="3471" spans="1:25">
      <c r="A3471" s="499">
        <v>45595</v>
      </c>
      <c r="B3471" s="499">
        <v>45596</v>
      </c>
      <c r="C3471" s="500" t="s">
        <v>173</v>
      </c>
      <c r="D3471" s="500" t="s">
        <v>759</v>
      </c>
      <c r="E3471" s="501">
        <v>23020685.879999999</v>
      </c>
      <c r="F3471" s="502" t="s">
        <v>878</v>
      </c>
      <c r="G3471" s="100" t="s">
        <v>819</v>
      </c>
      <c r="H3471" s="100">
        <v>114516005</v>
      </c>
      <c r="I3471" s="525"/>
      <c r="K3471" s="548"/>
      <c r="L3471" s="548"/>
      <c r="M3471" s="548"/>
      <c r="N3471" s="552"/>
      <c r="Y3471" s="551"/>
    </row>
    <row r="3472" spans="1:25">
      <c r="A3472" s="499">
        <v>45595</v>
      </c>
      <c r="B3472" s="499">
        <v>45596</v>
      </c>
      <c r="C3472" s="500" t="s">
        <v>173</v>
      </c>
      <c r="D3472" s="500" t="s">
        <v>759</v>
      </c>
      <c r="E3472" s="501">
        <v>25016061.010000002</v>
      </c>
      <c r="F3472" s="502" t="s">
        <v>878</v>
      </c>
      <c r="G3472" s="100" t="s">
        <v>821</v>
      </c>
      <c r="H3472" s="100">
        <v>114516008</v>
      </c>
      <c r="I3472" s="525"/>
      <c r="K3472" s="548"/>
      <c r="L3472" s="548"/>
      <c r="M3472" s="548"/>
      <c r="N3472" s="552"/>
      <c r="Y3472" s="551"/>
    </row>
    <row r="3473" spans="1:25">
      <c r="A3473" s="499">
        <v>45595</v>
      </c>
      <c r="B3473" s="499">
        <v>45596</v>
      </c>
      <c r="C3473" s="500" t="s">
        <v>173</v>
      </c>
      <c r="D3473" s="500" t="s">
        <v>759</v>
      </c>
      <c r="E3473" s="501">
        <v>26026257.239999998</v>
      </c>
      <c r="F3473" s="502" t="s">
        <v>878</v>
      </c>
      <c r="G3473" s="100" t="s">
        <v>717</v>
      </c>
      <c r="H3473" s="100">
        <v>114516011</v>
      </c>
      <c r="I3473" s="525"/>
      <c r="K3473" s="548"/>
      <c r="L3473" s="548"/>
      <c r="M3473" s="548"/>
      <c r="N3473" s="552"/>
      <c r="Y3473" s="551"/>
    </row>
    <row r="3474" spans="1:25">
      <c r="A3474" s="499">
        <v>45595</v>
      </c>
      <c r="B3474" s="499">
        <v>45596</v>
      </c>
      <c r="C3474" s="500" t="s">
        <v>173</v>
      </c>
      <c r="D3474" s="500" t="s">
        <v>759</v>
      </c>
      <c r="E3474" s="501">
        <v>26033914.170000002</v>
      </c>
      <c r="F3474" s="502" t="s">
        <v>878</v>
      </c>
      <c r="G3474" s="100" t="s">
        <v>824</v>
      </c>
      <c r="H3474" s="100">
        <v>114516014</v>
      </c>
      <c r="I3474" s="525"/>
      <c r="K3474" s="548"/>
      <c r="L3474" s="548"/>
      <c r="M3474" s="548"/>
      <c r="N3474" s="552"/>
      <c r="Y3474" s="551"/>
    </row>
    <row r="3475" spans="1:25">
      <c r="A3475" s="499">
        <v>45595</v>
      </c>
      <c r="B3475" s="499">
        <v>45596</v>
      </c>
      <c r="C3475" s="500" t="s">
        <v>173</v>
      </c>
      <c r="D3475" s="500" t="s">
        <v>759</v>
      </c>
      <c r="E3475" s="501">
        <v>30024916.18</v>
      </c>
      <c r="F3475" s="502" t="s">
        <v>878</v>
      </c>
      <c r="G3475" s="100" t="s">
        <v>719</v>
      </c>
      <c r="H3475" s="100">
        <v>114516017</v>
      </c>
      <c r="I3475" s="525"/>
      <c r="K3475" s="548"/>
      <c r="L3475" s="548"/>
      <c r="M3475" s="548"/>
      <c r="N3475" s="552"/>
      <c r="Y3475" s="551"/>
    </row>
    <row r="3476" spans="1:25">
      <c r="A3476" s="499">
        <v>45595</v>
      </c>
      <c r="B3476" s="499">
        <v>45596</v>
      </c>
      <c r="C3476" s="500" t="s">
        <v>173</v>
      </c>
      <c r="D3476" s="500" t="s">
        <v>759</v>
      </c>
      <c r="E3476" s="501">
        <v>30026981.57</v>
      </c>
      <c r="F3476" s="502" t="s">
        <v>878</v>
      </c>
      <c r="G3476" s="100" t="s">
        <v>819</v>
      </c>
      <c r="H3476" s="100">
        <v>114516020</v>
      </c>
      <c r="I3476" s="525"/>
      <c r="K3476" s="548"/>
      <c r="L3476" s="548"/>
      <c r="M3476" s="548"/>
      <c r="N3476" s="552"/>
      <c r="Y3476" s="551"/>
    </row>
    <row r="3477" spans="1:25">
      <c r="A3477" s="499">
        <v>45595</v>
      </c>
      <c r="B3477" s="499">
        <v>45596</v>
      </c>
      <c r="C3477" s="500" t="s">
        <v>173</v>
      </c>
      <c r="D3477" s="500" t="s">
        <v>759</v>
      </c>
      <c r="E3477" s="501">
        <v>39041180.289999999</v>
      </c>
      <c r="F3477" s="502" t="s">
        <v>878</v>
      </c>
      <c r="G3477" s="100" t="s">
        <v>715</v>
      </c>
      <c r="H3477" s="100">
        <v>114516023</v>
      </c>
      <c r="I3477" s="525"/>
      <c r="K3477" s="548"/>
      <c r="L3477" s="548"/>
      <c r="M3477" s="548"/>
      <c r="N3477" s="552"/>
      <c r="Y3477" s="551"/>
    </row>
    <row r="3478" spans="1:25">
      <c r="A3478" s="499">
        <v>45595</v>
      </c>
      <c r="B3478" s="499">
        <v>45596</v>
      </c>
      <c r="C3478" s="500" t="s">
        <v>173</v>
      </c>
      <c r="D3478" s="500" t="s">
        <v>759</v>
      </c>
      <c r="E3478" s="501">
        <v>39033261.68</v>
      </c>
      <c r="F3478" s="502" t="s">
        <v>878</v>
      </c>
      <c r="G3478" s="100" t="s">
        <v>692</v>
      </c>
      <c r="H3478" s="100">
        <v>114516026</v>
      </c>
      <c r="I3478" s="525"/>
      <c r="K3478" s="548"/>
      <c r="L3478" s="548"/>
      <c r="M3478" s="548"/>
      <c r="N3478" s="552"/>
      <c r="Y3478" s="551"/>
    </row>
    <row r="3479" spans="1:25">
      <c r="A3479" s="499">
        <v>45595</v>
      </c>
      <c r="B3479" s="499">
        <v>45596</v>
      </c>
      <c r="C3479" s="500" t="s">
        <v>173</v>
      </c>
      <c r="D3479" s="500" t="s">
        <v>759</v>
      </c>
      <c r="E3479" s="501">
        <v>40034577.43</v>
      </c>
      <c r="F3479" s="502" t="s">
        <v>878</v>
      </c>
      <c r="G3479" s="100" t="s">
        <v>550</v>
      </c>
      <c r="H3479" s="100">
        <v>114516029</v>
      </c>
      <c r="I3479" s="525"/>
      <c r="K3479" s="548"/>
      <c r="L3479" s="548"/>
      <c r="M3479" s="548"/>
      <c r="N3479" s="552"/>
      <c r="Y3479" s="551"/>
    </row>
    <row r="3480" spans="1:25">
      <c r="A3480" s="499">
        <v>45595</v>
      </c>
      <c r="B3480" s="499">
        <v>45596</v>
      </c>
      <c r="C3480" s="500" t="s">
        <v>173</v>
      </c>
      <c r="D3480" s="500" t="s">
        <v>759</v>
      </c>
      <c r="E3480" s="501">
        <v>40039029</v>
      </c>
      <c r="F3480" s="502" t="s">
        <v>878</v>
      </c>
      <c r="G3480" s="100" t="s">
        <v>817</v>
      </c>
      <c r="H3480" s="100">
        <v>114516032</v>
      </c>
      <c r="I3480" s="525"/>
      <c r="K3480" s="548"/>
      <c r="L3480" s="548"/>
      <c r="M3480" s="548"/>
      <c r="N3480" s="552"/>
      <c r="Y3480" s="551"/>
    </row>
    <row r="3481" spans="1:25">
      <c r="A3481" s="499">
        <v>45595</v>
      </c>
      <c r="B3481" s="499">
        <v>45596</v>
      </c>
      <c r="C3481" s="500" t="s">
        <v>173</v>
      </c>
      <c r="D3481" s="500" t="s">
        <v>759</v>
      </c>
      <c r="E3481" s="501">
        <v>45033804.710000001</v>
      </c>
      <c r="F3481" s="502" t="s">
        <v>878</v>
      </c>
      <c r="G3481" s="100" t="s">
        <v>600</v>
      </c>
      <c r="H3481" s="100">
        <v>114516035</v>
      </c>
      <c r="I3481" s="525"/>
      <c r="K3481" s="548"/>
      <c r="L3481" s="548"/>
      <c r="M3481" s="548"/>
      <c r="N3481" s="552"/>
      <c r="Y3481" s="551"/>
    </row>
    <row r="3482" spans="1:25">
      <c r="A3482" s="499">
        <v>45595</v>
      </c>
      <c r="B3482" s="499">
        <v>45596</v>
      </c>
      <c r="C3482" s="500" t="s">
        <v>173</v>
      </c>
      <c r="D3482" s="500" t="s">
        <v>759</v>
      </c>
      <c r="E3482" s="501">
        <v>48027478.960000001</v>
      </c>
      <c r="F3482" s="502" t="s">
        <v>878</v>
      </c>
      <c r="G3482" s="100" t="s">
        <v>604</v>
      </c>
      <c r="H3482" s="100">
        <v>114516038</v>
      </c>
      <c r="I3482" s="525"/>
      <c r="K3482" s="548"/>
      <c r="L3482" s="548"/>
      <c r="M3482" s="548"/>
      <c r="N3482" s="552"/>
      <c r="Y3482" s="551"/>
    </row>
    <row r="3483" spans="1:25">
      <c r="A3483" s="499">
        <v>45595</v>
      </c>
      <c r="B3483" s="499">
        <v>45596</v>
      </c>
      <c r="C3483" s="500" t="s">
        <v>173</v>
      </c>
      <c r="D3483" s="500" t="s">
        <v>759</v>
      </c>
      <c r="E3483" s="501">
        <v>50019088.170000002</v>
      </c>
      <c r="F3483" s="502" t="s">
        <v>878</v>
      </c>
      <c r="G3483" s="100" t="s">
        <v>588</v>
      </c>
      <c r="H3483" s="100">
        <v>114516041</v>
      </c>
      <c r="I3483" s="525"/>
      <c r="K3483" s="548"/>
      <c r="L3483" s="548"/>
      <c r="M3483" s="548"/>
      <c r="N3483" s="552"/>
      <c r="Y3483" s="551"/>
    </row>
    <row r="3484" spans="1:25">
      <c r="A3484" s="499">
        <v>45595</v>
      </c>
      <c r="B3484" s="499">
        <v>45596</v>
      </c>
      <c r="C3484" s="500" t="s">
        <v>173</v>
      </c>
      <c r="D3484" s="500" t="s">
        <v>759</v>
      </c>
      <c r="E3484" s="501">
        <v>53025550.539999999</v>
      </c>
      <c r="F3484" s="502" t="s">
        <v>878</v>
      </c>
      <c r="G3484" s="100" t="s">
        <v>690</v>
      </c>
      <c r="H3484" s="100">
        <v>114516044</v>
      </c>
      <c r="I3484" s="525"/>
      <c r="K3484" s="548"/>
      <c r="L3484" s="548"/>
      <c r="M3484" s="548"/>
      <c r="N3484" s="552"/>
      <c r="Y3484" s="551"/>
    </row>
    <row r="3485" spans="1:25">
      <c r="A3485" s="499">
        <v>45595</v>
      </c>
      <c r="B3485" s="499">
        <v>45596</v>
      </c>
      <c r="C3485" s="500" t="s">
        <v>173</v>
      </c>
      <c r="D3485" s="500" t="s">
        <v>759</v>
      </c>
      <c r="E3485" s="501">
        <v>58050476.590000004</v>
      </c>
      <c r="F3485" s="502" t="s">
        <v>878</v>
      </c>
      <c r="G3485" s="100" t="s">
        <v>592</v>
      </c>
      <c r="H3485" s="100">
        <v>114516047</v>
      </c>
      <c r="I3485" s="525"/>
      <c r="K3485" s="548"/>
      <c r="L3485" s="548"/>
      <c r="M3485" s="548"/>
      <c r="N3485" s="552"/>
      <c r="Y3485" s="551"/>
    </row>
    <row r="3486" spans="1:25">
      <c r="A3486" s="499">
        <v>45595</v>
      </c>
      <c r="B3486" s="499">
        <v>45596</v>
      </c>
      <c r="C3486" s="500" t="s">
        <v>173</v>
      </c>
      <c r="D3486" s="500" t="s">
        <v>759</v>
      </c>
      <c r="E3486" s="501">
        <v>60038546.420000002</v>
      </c>
      <c r="F3486" s="502" t="s">
        <v>878</v>
      </c>
      <c r="G3486" s="100" t="s">
        <v>821</v>
      </c>
      <c r="H3486" s="100">
        <v>114516050</v>
      </c>
      <c r="I3486" s="525"/>
      <c r="K3486" s="548"/>
      <c r="L3486" s="548"/>
      <c r="M3486" s="548"/>
      <c r="N3486" s="552"/>
      <c r="Y3486" s="551"/>
    </row>
    <row r="3487" spans="1:25">
      <c r="A3487" s="499">
        <v>45595</v>
      </c>
      <c r="B3487" s="499">
        <v>45596</v>
      </c>
      <c r="C3487" s="500" t="s">
        <v>173</v>
      </c>
      <c r="D3487" s="500" t="s">
        <v>759</v>
      </c>
      <c r="E3487" s="501">
        <v>67069152.509999998</v>
      </c>
      <c r="F3487" s="502" t="s">
        <v>878</v>
      </c>
      <c r="G3487" s="100" t="s">
        <v>594</v>
      </c>
      <c r="H3487" s="100">
        <v>114516053</v>
      </c>
      <c r="I3487" s="525"/>
      <c r="K3487" s="548"/>
      <c r="L3487" s="548"/>
      <c r="M3487" s="548"/>
      <c r="N3487" s="552"/>
      <c r="Y3487" s="551"/>
    </row>
    <row r="3488" spans="1:25">
      <c r="A3488" s="499">
        <v>45595</v>
      </c>
      <c r="B3488" s="499">
        <v>45596</v>
      </c>
      <c r="C3488" s="500" t="s">
        <v>173</v>
      </c>
      <c r="D3488" s="500" t="s">
        <v>759</v>
      </c>
      <c r="E3488" s="501">
        <v>70073813.489999995</v>
      </c>
      <c r="F3488" s="502" t="s">
        <v>878</v>
      </c>
      <c r="G3488" s="100" t="s">
        <v>602</v>
      </c>
      <c r="H3488" s="100">
        <v>114516056</v>
      </c>
      <c r="I3488" s="525"/>
      <c r="K3488" s="548"/>
      <c r="L3488" s="548"/>
      <c r="M3488" s="548"/>
      <c r="N3488" s="552"/>
      <c r="Y3488" s="551"/>
    </row>
    <row r="3489" spans="1:25">
      <c r="A3489" s="499">
        <v>45595</v>
      </c>
      <c r="B3489" s="499">
        <v>45596</v>
      </c>
      <c r="C3489" s="500" t="s">
        <v>173</v>
      </c>
      <c r="D3489" s="500" t="s">
        <v>759</v>
      </c>
      <c r="E3489" s="501">
        <v>74066756.640000001</v>
      </c>
      <c r="F3489" s="502" t="s">
        <v>878</v>
      </c>
      <c r="G3489" s="100" t="s">
        <v>598</v>
      </c>
      <c r="H3489" s="100">
        <v>114516059</v>
      </c>
      <c r="I3489" s="525"/>
      <c r="K3489" s="548"/>
      <c r="L3489" s="548"/>
      <c r="M3489" s="548"/>
      <c r="N3489" s="552"/>
      <c r="Y3489" s="551"/>
    </row>
    <row r="3490" spans="1:25">
      <c r="A3490" s="499">
        <v>45595</v>
      </c>
      <c r="B3490" s="499">
        <v>45596</v>
      </c>
      <c r="C3490" s="500" t="s">
        <v>173</v>
      </c>
      <c r="D3490" s="500" t="s">
        <v>759</v>
      </c>
      <c r="E3490" s="501">
        <v>86101273.780000001</v>
      </c>
      <c r="F3490" s="502" t="s">
        <v>878</v>
      </c>
      <c r="G3490" s="100" t="s">
        <v>823</v>
      </c>
      <c r="H3490" s="100">
        <v>114516062</v>
      </c>
      <c r="I3490" s="525"/>
      <c r="K3490" s="548"/>
      <c r="L3490" s="548"/>
      <c r="M3490" s="548"/>
      <c r="N3490" s="552"/>
      <c r="Y3490" s="551"/>
    </row>
    <row r="3491" spans="1:25">
      <c r="A3491" s="499">
        <v>45595</v>
      </c>
      <c r="B3491" s="499">
        <v>45596</v>
      </c>
      <c r="C3491" s="500" t="s">
        <v>173</v>
      </c>
      <c r="D3491" s="500" t="s">
        <v>759</v>
      </c>
      <c r="E3491" s="501">
        <v>89080045.340000004</v>
      </c>
      <c r="F3491" s="502" t="s">
        <v>878</v>
      </c>
      <c r="G3491" s="100" t="s">
        <v>819</v>
      </c>
      <c r="H3491" s="100">
        <v>114516065</v>
      </c>
      <c r="I3491" s="525"/>
      <c r="K3491" s="548"/>
      <c r="L3491" s="548"/>
      <c r="M3491" s="548"/>
      <c r="N3491" s="552"/>
      <c r="Y3491" s="551"/>
    </row>
    <row r="3492" spans="1:25">
      <c r="A3492" s="499">
        <v>45595</v>
      </c>
      <c r="B3492" s="499">
        <v>45596</v>
      </c>
      <c r="C3492" s="500" t="s">
        <v>173</v>
      </c>
      <c r="D3492" s="500" t="s">
        <v>759</v>
      </c>
      <c r="E3492" s="501">
        <v>99116582.609999999</v>
      </c>
      <c r="F3492" s="502" t="s">
        <v>878</v>
      </c>
      <c r="G3492" s="100" t="s">
        <v>823</v>
      </c>
      <c r="H3492" s="100">
        <v>114516068</v>
      </c>
      <c r="I3492" s="525"/>
      <c r="K3492" s="548"/>
      <c r="L3492" s="548"/>
      <c r="M3492" s="548"/>
      <c r="N3492" s="552"/>
      <c r="Y3492" s="551"/>
    </row>
    <row r="3493" spans="1:25">
      <c r="A3493" s="499">
        <v>45595</v>
      </c>
      <c r="B3493" s="499">
        <v>45596</v>
      </c>
      <c r="C3493" s="500" t="s">
        <v>173</v>
      </c>
      <c r="D3493" s="500" t="s">
        <v>759</v>
      </c>
      <c r="E3493" s="501">
        <v>101095452.34999999</v>
      </c>
      <c r="F3493" s="502" t="s">
        <v>878</v>
      </c>
      <c r="G3493" s="100" t="s">
        <v>711</v>
      </c>
      <c r="H3493" s="100">
        <v>114516071</v>
      </c>
      <c r="I3493" s="525"/>
      <c r="K3493" s="548"/>
      <c r="L3493" s="548"/>
      <c r="M3493" s="548"/>
      <c r="N3493" s="552"/>
      <c r="Y3493" s="551"/>
    </row>
    <row r="3494" spans="1:25">
      <c r="A3494" s="499">
        <v>45595</v>
      </c>
      <c r="B3494" s="499">
        <v>45596</v>
      </c>
      <c r="C3494" s="500" t="s">
        <v>173</v>
      </c>
      <c r="D3494" s="500" t="s">
        <v>759</v>
      </c>
      <c r="E3494" s="501">
        <v>101095452.34999999</v>
      </c>
      <c r="F3494" s="502" t="s">
        <v>878</v>
      </c>
      <c r="G3494" s="100" t="s">
        <v>711</v>
      </c>
      <c r="H3494" s="100">
        <v>114516074</v>
      </c>
      <c r="I3494" s="525"/>
      <c r="K3494" s="548"/>
      <c r="L3494" s="548"/>
      <c r="M3494" s="548"/>
      <c r="N3494" s="552"/>
      <c r="Y3494" s="551"/>
    </row>
    <row r="3495" spans="1:25">
      <c r="A3495" s="499">
        <v>45595</v>
      </c>
      <c r="B3495" s="499">
        <v>45596</v>
      </c>
      <c r="C3495" s="500" t="s">
        <v>173</v>
      </c>
      <c r="D3495" s="500" t="s">
        <v>759</v>
      </c>
      <c r="E3495" s="501">
        <v>101135940.61</v>
      </c>
      <c r="F3495" s="502" t="s">
        <v>878</v>
      </c>
      <c r="G3495" s="100" t="s">
        <v>816</v>
      </c>
      <c r="H3495" s="100">
        <v>114516077</v>
      </c>
      <c r="I3495" s="525"/>
      <c r="K3495" s="548"/>
      <c r="L3495" s="548"/>
      <c r="M3495" s="548"/>
      <c r="N3495" s="552"/>
      <c r="Y3495" s="551"/>
    </row>
    <row r="3496" spans="1:25">
      <c r="A3496" s="499">
        <v>45595</v>
      </c>
      <c r="B3496" s="499">
        <v>45596</v>
      </c>
      <c r="C3496" s="500" t="s">
        <v>173</v>
      </c>
      <c r="D3496" s="500" t="s">
        <v>759</v>
      </c>
      <c r="E3496" s="501">
        <v>111081343.68000001</v>
      </c>
      <c r="F3496" s="502" t="s">
        <v>878</v>
      </c>
      <c r="G3496" s="100" t="s">
        <v>684</v>
      </c>
      <c r="H3496" s="100">
        <v>114516080</v>
      </c>
      <c r="I3496" s="525"/>
      <c r="K3496" s="548"/>
      <c r="L3496" s="548"/>
      <c r="M3496" s="548"/>
      <c r="N3496" s="552"/>
      <c r="Y3496" s="551"/>
    </row>
    <row r="3497" spans="1:25">
      <c r="A3497" s="499">
        <v>45595</v>
      </c>
      <c r="B3497" s="499">
        <v>45596</v>
      </c>
      <c r="C3497" s="500" t="s">
        <v>173</v>
      </c>
      <c r="D3497" s="500" t="s">
        <v>759</v>
      </c>
      <c r="E3497" s="501">
        <v>115112208.39</v>
      </c>
      <c r="F3497" s="502" t="s">
        <v>878</v>
      </c>
      <c r="G3497" s="100" t="s">
        <v>817</v>
      </c>
      <c r="H3497" s="100">
        <v>114516083</v>
      </c>
      <c r="I3497" s="525"/>
      <c r="K3497" s="548"/>
      <c r="L3497" s="548"/>
      <c r="M3497" s="548"/>
      <c r="N3497" s="552"/>
      <c r="Y3497" s="551"/>
    </row>
    <row r="3498" spans="1:25">
      <c r="A3498" s="499">
        <v>45595</v>
      </c>
      <c r="B3498" s="499">
        <v>45596</v>
      </c>
      <c r="C3498" s="500" t="s">
        <v>173</v>
      </c>
      <c r="D3498" s="500" t="s">
        <v>759</v>
      </c>
      <c r="E3498" s="501">
        <v>51044384.590000004</v>
      </c>
      <c r="F3498" s="502" t="s">
        <v>878</v>
      </c>
      <c r="G3498" s="100" t="s">
        <v>592</v>
      </c>
      <c r="H3498" s="100">
        <v>114516086</v>
      </c>
      <c r="I3498" s="525"/>
      <c r="K3498" s="548"/>
      <c r="L3498" s="548"/>
      <c r="M3498" s="548"/>
      <c r="N3498" s="552"/>
      <c r="Y3498" s="551"/>
    </row>
    <row r="3499" spans="1:25">
      <c r="A3499" s="499">
        <v>45595</v>
      </c>
      <c r="B3499" s="499">
        <v>45596</v>
      </c>
      <c r="C3499" s="500" t="s">
        <v>173</v>
      </c>
      <c r="D3499" s="500" t="s">
        <v>759</v>
      </c>
      <c r="E3499" s="501">
        <v>8004715.8899999997</v>
      </c>
      <c r="F3499" s="502" t="s">
        <v>878</v>
      </c>
      <c r="G3499" s="100" t="s">
        <v>633</v>
      </c>
      <c r="H3499" s="100">
        <v>114518981</v>
      </c>
      <c r="I3499" s="525"/>
      <c r="K3499" s="548"/>
      <c r="L3499" s="548"/>
      <c r="M3499" s="548"/>
      <c r="N3499" s="552"/>
      <c r="Y3499" s="551"/>
    </row>
    <row r="3500" spans="1:25">
      <c r="A3500" s="499">
        <v>45595</v>
      </c>
      <c r="B3500" s="499">
        <v>45595</v>
      </c>
      <c r="C3500" s="500" t="s">
        <v>173</v>
      </c>
      <c r="D3500" s="500" t="s">
        <v>760</v>
      </c>
      <c r="E3500" s="501">
        <v>-1250275008.1300001</v>
      </c>
      <c r="F3500" s="502" t="s">
        <v>878</v>
      </c>
      <c r="G3500" s="100" t="s">
        <v>633</v>
      </c>
      <c r="H3500" s="530"/>
      <c r="I3500" s="525"/>
      <c r="K3500" s="548"/>
      <c r="L3500" s="548"/>
      <c r="M3500" s="548"/>
      <c r="N3500" s="552"/>
      <c r="Y3500" s="551"/>
    </row>
    <row r="3501" spans="1:25">
      <c r="A3501" s="499">
        <v>45595</v>
      </c>
      <c r="B3501" s="499">
        <v>45595</v>
      </c>
      <c r="C3501" s="500" t="s">
        <v>173</v>
      </c>
      <c r="D3501" s="500" t="s">
        <v>760</v>
      </c>
      <c r="E3501" s="501">
        <v>-34026579.700000003</v>
      </c>
      <c r="F3501" s="502" t="s">
        <v>878</v>
      </c>
      <c r="G3501" s="100" t="s">
        <v>829</v>
      </c>
      <c r="H3501" s="530"/>
      <c r="I3501" s="525"/>
      <c r="K3501" s="548"/>
      <c r="L3501" s="548"/>
      <c r="M3501" s="548"/>
      <c r="N3501" s="552"/>
      <c r="Y3501" s="551"/>
    </row>
    <row r="3502" spans="1:25">
      <c r="A3502" s="499">
        <v>45595</v>
      </c>
      <c r="B3502" s="499">
        <v>45596</v>
      </c>
      <c r="C3502" s="500" t="s">
        <v>173</v>
      </c>
      <c r="D3502" s="500" t="s">
        <v>760</v>
      </c>
      <c r="E3502" s="501">
        <v>1250739587.78</v>
      </c>
      <c r="F3502" s="502" t="s">
        <v>878</v>
      </c>
      <c r="G3502" s="100" t="s">
        <v>633</v>
      </c>
      <c r="H3502" s="100">
        <v>114516810</v>
      </c>
      <c r="I3502" s="525"/>
      <c r="K3502" s="548"/>
      <c r="L3502" s="548"/>
      <c r="M3502" s="548"/>
      <c r="N3502" s="552"/>
      <c r="Y3502" s="551"/>
    </row>
    <row r="3503" spans="1:25">
      <c r="A3503" s="499">
        <v>45595</v>
      </c>
      <c r="B3503" s="499">
        <v>45596</v>
      </c>
      <c r="C3503" s="500" t="s">
        <v>173</v>
      </c>
      <c r="D3503" s="500" t="s">
        <v>760</v>
      </c>
      <c r="E3503" s="501">
        <v>34039223.460000001</v>
      </c>
      <c r="F3503" s="502" t="s">
        <v>878</v>
      </c>
      <c r="G3503" s="100" t="s">
        <v>829</v>
      </c>
      <c r="H3503" s="100">
        <v>114517006</v>
      </c>
      <c r="I3503" s="525"/>
      <c r="K3503" s="548"/>
      <c r="L3503" s="548"/>
      <c r="M3503" s="548"/>
      <c r="N3503" s="552"/>
      <c r="Y3503" s="551"/>
    </row>
    <row r="3504" spans="1:25">
      <c r="A3504" s="499">
        <v>45595</v>
      </c>
      <c r="B3504" s="499">
        <v>45595</v>
      </c>
      <c r="C3504" s="500" t="s">
        <v>173</v>
      </c>
      <c r="D3504" s="500" t="s">
        <v>763</v>
      </c>
      <c r="E3504" s="501">
        <v>-820097858.63999999</v>
      </c>
      <c r="F3504" s="502" t="s">
        <v>878</v>
      </c>
      <c r="G3504" s="100" t="s">
        <v>635</v>
      </c>
      <c r="H3504" s="530"/>
      <c r="I3504" s="525"/>
      <c r="K3504" s="548"/>
      <c r="L3504" s="548"/>
      <c r="M3504" s="548"/>
      <c r="N3504" s="552"/>
      <c r="Q3504" s="539">
        <v>-1</v>
      </c>
      <c r="Y3504" s="551"/>
    </row>
    <row r="3505" spans="1:25">
      <c r="A3505" s="499">
        <v>45595</v>
      </c>
      <c r="B3505" s="499">
        <v>45595</v>
      </c>
      <c r="C3505" s="500" t="s">
        <v>173</v>
      </c>
      <c r="D3505" s="500" t="s">
        <v>763</v>
      </c>
      <c r="E3505" s="501">
        <v>-16003846.029999999</v>
      </c>
      <c r="F3505" s="502" t="s">
        <v>878</v>
      </c>
      <c r="G3505" s="100" t="s">
        <v>674</v>
      </c>
      <c r="H3505" s="530"/>
      <c r="I3505" s="525"/>
      <c r="K3505" s="548"/>
      <c r="L3505" s="548"/>
      <c r="M3505" s="548"/>
      <c r="N3505" s="552"/>
      <c r="Y3505" s="551"/>
    </row>
    <row r="3506" spans="1:25">
      <c r="A3506" s="499">
        <v>45595</v>
      </c>
      <c r="B3506" s="499">
        <v>45595</v>
      </c>
      <c r="C3506" s="500" t="s">
        <v>173</v>
      </c>
      <c r="D3506" s="500" t="s">
        <v>763</v>
      </c>
      <c r="E3506" s="501">
        <v>-4577006749.7399998</v>
      </c>
      <c r="F3506" s="502" t="s">
        <v>878</v>
      </c>
      <c r="G3506" s="100" t="s">
        <v>633</v>
      </c>
      <c r="H3506" s="530"/>
      <c r="I3506" s="525"/>
      <c r="K3506" s="548"/>
      <c r="L3506" s="548"/>
      <c r="M3506" s="548"/>
      <c r="N3506" s="552"/>
      <c r="Y3506" s="551"/>
    </row>
    <row r="3507" spans="1:25">
      <c r="A3507" s="499">
        <v>45595</v>
      </c>
      <c r="B3507" s="499">
        <v>45595</v>
      </c>
      <c r="C3507" s="500" t="s">
        <v>173</v>
      </c>
      <c r="D3507" s="500" t="s">
        <v>763</v>
      </c>
      <c r="E3507" s="501">
        <v>-22014547.57</v>
      </c>
      <c r="F3507" s="502" t="s">
        <v>878</v>
      </c>
      <c r="G3507" s="100" t="s">
        <v>718</v>
      </c>
      <c r="H3507" s="530"/>
      <c r="I3507" s="525"/>
      <c r="K3507" s="548"/>
      <c r="L3507" s="548"/>
      <c r="M3507" s="548"/>
      <c r="N3507" s="552"/>
      <c r="Y3507" s="551"/>
    </row>
    <row r="3508" spans="1:25">
      <c r="A3508" s="499">
        <v>45595</v>
      </c>
      <c r="B3508" s="499">
        <v>45596</v>
      </c>
      <c r="C3508" s="500" t="s">
        <v>173</v>
      </c>
      <c r="D3508" s="500" t="s">
        <v>763</v>
      </c>
      <c r="E3508" s="501">
        <v>820400801.88999999</v>
      </c>
      <c r="F3508" s="502" t="s">
        <v>878</v>
      </c>
      <c r="G3508" s="100" t="s">
        <v>635</v>
      </c>
      <c r="H3508" s="100">
        <v>114515778</v>
      </c>
      <c r="I3508" s="525"/>
      <c r="K3508" s="548"/>
      <c r="L3508" s="548"/>
      <c r="M3508" s="548"/>
      <c r="N3508" s="552"/>
      <c r="Y3508" s="551"/>
    </row>
    <row r="3509" spans="1:25">
      <c r="A3509" s="499">
        <v>45595</v>
      </c>
      <c r="B3509" s="499">
        <v>45596</v>
      </c>
      <c r="C3509" s="500" t="s">
        <v>173</v>
      </c>
      <c r="D3509" s="500" t="s">
        <v>763</v>
      </c>
      <c r="E3509" s="501">
        <v>16009757.83</v>
      </c>
      <c r="F3509" s="502" t="s">
        <v>878</v>
      </c>
      <c r="G3509" s="100" t="s">
        <v>674</v>
      </c>
      <c r="H3509" s="100">
        <v>114515781</v>
      </c>
      <c r="I3509" s="525"/>
      <c r="K3509" s="548"/>
      <c r="L3509" s="548"/>
      <c r="M3509" s="548"/>
      <c r="N3509" s="552"/>
      <c r="Y3509" s="551"/>
    </row>
    <row r="3510" spans="1:25">
      <c r="A3510" s="499">
        <v>45595</v>
      </c>
      <c r="B3510" s="499">
        <v>45596</v>
      </c>
      <c r="C3510" s="500" t="s">
        <v>173</v>
      </c>
      <c r="D3510" s="500" t="s">
        <v>763</v>
      </c>
      <c r="E3510" s="501">
        <v>4578697491.0299997</v>
      </c>
      <c r="F3510" s="502" t="s">
        <v>878</v>
      </c>
      <c r="G3510" s="100" t="s">
        <v>633</v>
      </c>
      <c r="H3510" s="100">
        <v>114515784</v>
      </c>
      <c r="I3510" s="525"/>
      <c r="K3510" s="548"/>
      <c r="L3510" s="548"/>
      <c r="M3510" s="548"/>
      <c r="N3510" s="552"/>
      <c r="Y3510" s="551"/>
    </row>
    <row r="3511" spans="1:25">
      <c r="A3511" s="499">
        <v>45595</v>
      </c>
      <c r="B3511" s="499">
        <v>45596</v>
      </c>
      <c r="C3511" s="500" t="s">
        <v>173</v>
      </c>
      <c r="D3511" s="500" t="s">
        <v>763</v>
      </c>
      <c r="E3511" s="501">
        <v>22022703.780000001</v>
      </c>
      <c r="F3511" s="502" t="s">
        <v>878</v>
      </c>
      <c r="G3511" s="100" t="s">
        <v>718</v>
      </c>
      <c r="H3511" s="100">
        <v>114515799</v>
      </c>
      <c r="I3511" s="525"/>
      <c r="K3511" s="548"/>
      <c r="L3511" s="548"/>
      <c r="M3511" s="548"/>
      <c r="N3511" s="552"/>
      <c r="Y3511" s="551"/>
    </row>
    <row r="3512" spans="1:25">
      <c r="A3512" s="499">
        <v>45595</v>
      </c>
      <c r="B3512" s="499">
        <v>45595</v>
      </c>
      <c r="C3512" s="500" t="s">
        <v>173</v>
      </c>
      <c r="D3512" s="500" t="s">
        <v>764</v>
      </c>
      <c r="E3512" s="501">
        <v>-2972129626.75</v>
      </c>
      <c r="F3512" s="502" t="s">
        <v>878</v>
      </c>
      <c r="G3512" s="100" t="s">
        <v>686</v>
      </c>
      <c r="H3512" s="530"/>
      <c r="I3512" s="525"/>
      <c r="K3512" s="548"/>
      <c r="L3512" s="548"/>
      <c r="M3512" s="548"/>
      <c r="N3512" s="552"/>
      <c r="Y3512" s="551"/>
    </row>
    <row r="3513" spans="1:25">
      <c r="A3513" s="499">
        <v>45595</v>
      </c>
      <c r="B3513" s="499">
        <v>45595</v>
      </c>
      <c r="C3513" s="500" t="s">
        <v>173</v>
      </c>
      <c r="D3513" s="500" t="s">
        <v>764</v>
      </c>
      <c r="E3513" s="501">
        <v>-12006529.25</v>
      </c>
      <c r="F3513" s="502" t="s">
        <v>878</v>
      </c>
      <c r="G3513" s="100" t="s">
        <v>675</v>
      </c>
      <c r="H3513" s="530"/>
      <c r="I3513" s="525"/>
      <c r="K3513" s="548"/>
      <c r="L3513" s="548"/>
      <c r="M3513" s="548"/>
      <c r="N3513" s="552"/>
      <c r="Y3513" s="551"/>
    </row>
    <row r="3514" spans="1:25">
      <c r="A3514" s="499">
        <v>45595</v>
      </c>
      <c r="B3514" s="499">
        <v>45602</v>
      </c>
      <c r="C3514" s="500" t="s">
        <v>173</v>
      </c>
      <c r="D3514" s="500" t="s">
        <v>764</v>
      </c>
      <c r="E3514" s="501">
        <v>2980030944.04</v>
      </c>
      <c r="F3514" s="502" t="s">
        <v>878</v>
      </c>
      <c r="G3514" s="100" t="s">
        <v>686</v>
      </c>
      <c r="H3514" s="484">
        <v>114515861</v>
      </c>
      <c r="I3514" s="525"/>
      <c r="K3514" s="548"/>
      <c r="L3514" s="548"/>
      <c r="M3514" s="548"/>
      <c r="N3514" s="552"/>
      <c r="Y3514" s="551"/>
    </row>
    <row r="3515" spans="1:25">
      <c r="A3515" s="499">
        <v>45595</v>
      </c>
      <c r="B3515" s="499">
        <v>45602</v>
      </c>
      <c r="C3515" s="500" t="s">
        <v>173</v>
      </c>
      <c r="D3515" s="500" t="s">
        <v>764</v>
      </c>
      <c r="E3515" s="501">
        <v>12038448.25</v>
      </c>
      <c r="F3515" s="502" t="s">
        <v>878</v>
      </c>
      <c r="G3515" s="100" t="s">
        <v>675</v>
      </c>
      <c r="H3515" s="484">
        <v>114516328</v>
      </c>
      <c r="I3515" s="525"/>
      <c r="K3515" s="548"/>
      <c r="L3515" s="548"/>
      <c r="M3515" s="548"/>
      <c r="N3515" s="552"/>
      <c r="Y3515" s="551"/>
    </row>
    <row r="3516" spans="1:25">
      <c r="A3516" s="499">
        <v>45596</v>
      </c>
      <c r="B3516" s="499">
        <v>45596</v>
      </c>
      <c r="C3516" s="500" t="s">
        <v>173</v>
      </c>
      <c r="D3516" s="500" t="s">
        <v>761</v>
      </c>
      <c r="E3516" s="501">
        <v>-1494934132.46</v>
      </c>
      <c r="F3516" s="502" t="s">
        <v>878</v>
      </c>
      <c r="G3516" s="100" t="s">
        <v>673</v>
      </c>
      <c r="H3516" s="530"/>
      <c r="I3516" s="525"/>
      <c r="K3516" s="548"/>
      <c r="L3516" s="548"/>
      <c r="M3516" s="548"/>
      <c r="N3516" s="552"/>
      <c r="Y3516" s="551"/>
    </row>
    <row r="3517" spans="1:25">
      <c r="A3517" s="499">
        <v>45596</v>
      </c>
      <c r="B3517" s="499">
        <v>45596</v>
      </c>
      <c r="C3517" s="500" t="s">
        <v>173</v>
      </c>
      <c r="D3517" s="500" t="s">
        <v>761</v>
      </c>
      <c r="E3517" s="501">
        <v>-511221120.94</v>
      </c>
      <c r="F3517" s="502" t="s">
        <v>878</v>
      </c>
      <c r="G3517" s="100" t="s">
        <v>550</v>
      </c>
      <c r="H3517" s="530"/>
      <c r="I3517" s="525"/>
      <c r="K3517" s="548"/>
      <c r="L3517" s="548"/>
      <c r="M3517" s="548"/>
      <c r="N3517" s="552"/>
      <c r="Y3517" s="551"/>
    </row>
    <row r="3518" spans="1:25">
      <c r="A3518" s="499">
        <v>45596</v>
      </c>
      <c r="B3518" s="499">
        <v>45596</v>
      </c>
      <c r="C3518" s="500" t="s">
        <v>173</v>
      </c>
      <c r="D3518" s="500" t="s">
        <v>761</v>
      </c>
      <c r="E3518" s="501">
        <v>-5001054.9800000004</v>
      </c>
      <c r="F3518" s="502" t="s">
        <v>878</v>
      </c>
      <c r="G3518" s="100" t="s">
        <v>829</v>
      </c>
      <c r="H3518" s="530"/>
      <c r="I3518" s="525"/>
      <c r="K3518" s="548"/>
      <c r="L3518" s="548"/>
      <c r="M3518" s="548"/>
      <c r="N3518" s="552"/>
      <c r="Y3518" s="551"/>
    </row>
    <row r="3519" spans="1:25">
      <c r="A3519" s="499">
        <v>45596</v>
      </c>
      <c r="B3519" s="499">
        <v>45596</v>
      </c>
      <c r="C3519" s="500" t="s">
        <v>173</v>
      </c>
      <c r="D3519" s="500" t="s">
        <v>761</v>
      </c>
      <c r="E3519" s="501">
        <v>-2000421.99</v>
      </c>
      <c r="F3519" s="502" t="s">
        <v>878</v>
      </c>
      <c r="G3519" s="100" t="s">
        <v>829</v>
      </c>
      <c r="H3519" s="530"/>
      <c r="I3519" s="525"/>
      <c r="K3519" s="548"/>
      <c r="L3519" s="548"/>
      <c r="M3519" s="548"/>
      <c r="N3519" s="552"/>
      <c r="Y3519" s="551"/>
    </row>
    <row r="3520" spans="1:25">
      <c r="A3520" s="499">
        <v>45596</v>
      </c>
      <c r="B3520" s="499">
        <v>45603</v>
      </c>
      <c r="C3520" s="500" t="s">
        <v>173</v>
      </c>
      <c r="D3520" s="500" t="s">
        <v>761</v>
      </c>
      <c r="E3520" s="511">
        <v>1498936961.5599999</v>
      </c>
      <c r="F3520" s="502" t="s">
        <v>878</v>
      </c>
      <c r="G3520" s="100" t="s">
        <v>673</v>
      </c>
      <c r="H3520" s="484">
        <v>114531403</v>
      </c>
      <c r="I3520" s="525"/>
      <c r="K3520" s="548"/>
      <c r="L3520" s="548"/>
      <c r="M3520" s="548"/>
      <c r="N3520" s="552"/>
      <c r="Y3520" s="551"/>
    </row>
    <row r="3521" spans="1:25">
      <c r="A3521" s="499">
        <v>45596</v>
      </c>
      <c r="B3521" s="499">
        <v>45597</v>
      </c>
      <c r="C3521" s="500" t="s">
        <v>173</v>
      </c>
      <c r="D3521" s="500" t="s">
        <v>761</v>
      </c>
      <c r="E3521" s="501">
        <v>511412339.99000001</v>
      </c>
      <c r="F3521" s="502" t="s">
        <v>878</v>
      </c>
      <c r="G3521" s="100" t="s">
        <v>550</v>
      </c>
      <c r="H3521" s="484">
        <v>114533077</v>
      </c>
      <c r="I3521" s="525"/>
      <c r="K3521" s="548"/>
      <c r="L3521" s="548"/>
      <c r="M3521" s="548"/>
      <c r="N3521" s="552"/>
      <c r="Y3521" s="551"/>
    </row>
    <row r="3522" spans="1:25">
      <c r="A3522" s="499">
        <v>45596</v>
      </c>
      <c r="B3522" s="499">
        <v>45603</v>
      </c>
      <c r="C3522" s="500" t="s">
        <v>173</v>
      </c>
      <c r="D3522" s="500" t="s">
        <v>761</v>
      </c>
      <c r="E3522" s="501">
        <v>5014445.78</v>
      </c>
      <c r="F3522" s="502" t="s">
        <v>878</v>
      </c>
      <c r="G3522" s="100" t="s">
        <v>829</v>
      </c>
      <c r="H3522" s="484">
        <v>114534138</v>
      </c>
      <c r="I3522" s="525"/>
      <c r="K3522" s="548"/>
      <c r="L3522" s="548"/>
      <c r="M3522" s="548"/>
      <c r="N3522" s="552"/>
      <c r="Y3522" s="551"/>
    </row>
    <row r="3523" spans="1:25">
      <c r="A3523" s="499">
        <v>45596</v>
      </c>
      <c r="B3523" s="499">
        <v>45603</v>
      </c>
      <c r="C3523" s="500" t="s">
        <v>173</v>
      </c>
      <c r="D3523" s="500" t="s">
        <v>761</v>
      </c>
      <c r="E3523" s="501">
        <v>2005778.31</v>
      </c>
      <c r="F3523" s="502" t="s">
        <v>878</v>
      </c>
      <c r="G3523" s="100" t="s">
        <v>829</v>
      </c>
      <c r="H3523" s="484">
        <v>114534141</v>
      </c>
      <c r="I3523" s="525"/>
      <c r="K3523" s="548"/>
      <c r="L3523" s="548"/>
      <c r="M3523" s="548"/>
      <c r="N3523" s="552"/>
      <c r="Y3523" s="551"/>
    </row>
    <row r="3524" spans="1:25">
      <c r="A3524" s="499">
        <v>45596</v>
      </c>
      <c r="B3524" s="499">
        <v>45596</v>
      </c>
      <c r="C3524" s="500" t="s">
        <v>173</v>
      </c>
      <c r="D3524" s="500" t="s">
        <v>759</v>
      </c>
      <c r="E3524" s="501">
        <v>-750468942</v>
      </c>
      <c r="F3524" s="502" t="s">
        <v>878</v>
      </c>
      <c r="G3524" s="100" t="s">
        <v>975</v>
      </c>
      <c r="H3524" s="530"/>
      <c r="I3524" s="525"/>
      <c r="K3524" s="548"/>
      <c r="L3524" s="548"/>
      <c r="M3524" s="548"/>
      <c r="N3524" s="552"/>
      <c r="Y3524" s="551"/>
    </row>
    <row r="3525" spans="1:25">
      <c r="A3525" s="499">
        <v>45596</v>
      </c>
      <c r="B3525" s="499">
        <v>45596</v>
      </c>
      <c r="C3525" s="500" t="s">
        <v>173</v>
      </c>
      <c r="D3525" s="500" t="s">
        <v>759</v>
      </c>
      <c r="E3525" s="501">
        <v>-1244885740.4400001</v>
      </c>
      <c r="F3525" s="502" t="s">
        <v>878</v>
      </c>
      <c r="G3525" s="100" t="s">
        <v>525</v>
      </c>
      <c r="H3525" s="530"/>
      <c r="I3525" s="525"/>
      <c r="K3525" s="548"/>
      <c r="L3525" s="548"/>
      <c r="M3525" s="548"/>
      <c r="N3525" s="552"/>
      <c r="Y3525" s="551"/>
    </row>
    <row r="3526" spans="1:25">
      <c r="A3526" s="499">
        <v>45596</v>
      </c>
      <c r="B3526" s="499">
        <v>45596</v>
      </c>
      <c r="C3526" s="500" t="s">
        <v>173</v>
      </c>
      <c r="D3526" s="500" t="s">
        <v>759</v>
      </c>
      <c r="E3526" s="501">
        <v>-7000379.4100000001</v>
      </c>
      <c r="F3526" s="502" t="s">
        <v>878</v>
      </c>
      <c r="G3526" s="100" t="s">
        <v>1008</v>
      </c>
      <c r="H3526" s="530"/>
      <c r="I3526" s="525"/>
      <c r="K3526" s="548"/>
      <c r="L3526" s="548"/>
      <c r="M3526" s="548"/>
      <c r="N3526" s="552"/>
      <c r="Y3526" s="551"/>
    </row>
    <row r="3527" spans="1:25">
      <c r="A3527" s="499">
        <v>45596</v>
      </c>
      <c r="B3527" s="499">
        <v>45597</v>
      </c>
      <c r="C3527" s="500" t="s">
        <v>173</v>
      </c>
      <c r="D3527" s="500" t="s">
        <v>759</v>
      </c>
      <c r="E3527" s="501">
        <v>750747804.77999997</v>
      </c>
      <c r="F3527" s="502" t="s">
        <v>878</v>
      </c>
      <c r="G3527" s="100" t="s">
        <v>975</v>
      </c>
      <c r="H3527" s="100">
        <v>114532332</v>
      </c>
      <c r="I3527" s="525"/>
      <c r="K3527" s="548"/>
      <c r="L3527" s="548"/>
      <c r="M3527" s="548"/>
      <c r="N3527" s="552"/>
      <c r="Y3527" s="551"/>
    </row>
    <row r="3528" spans="1:25">
      <c r="A3528" s="499">
        <v>45596</v>
      </c>
      <c r="B3528" s="499">
        <v>45597</v>
      </c>
      <c r="C3528" s="500" t="s">
        <v>173</v>
      </c>
      <c r="D3528" s="500" t="s">
        <v>759</v>
      </c>
      <c r="E3528" s="501">
        <v>1245348320.9300001</v>
      </c>
      <c r="F3528" s="502" t="s">
        <v>878</v>
      </c>
      <c r="G3528" s="100" t="s">
        <v>525</v>
      </c>
      <c r="H3528" s="100">
        <v>114532335</v>
      </c>
      <c r="I3528" s="525"/>
      <c r="K3528" s="548"/>
      <c r="L3528" s="548"/>
      <c r="M3528" s="548"/>
      <c r="N3528" s="552"/>
      <c r="Y3528" s="551"/>
    </row>
    <row r="3529" spans="1:25">
      <c r="A3529" s="499">
        <v>45596</v>
      </c>
      <c r="B3529" s="499">
        <v>45597</v>
      </c>
      <c r="C3529" s="500" t="s">
        <v>173</v>
      </c>
      <c r="D3529" s="500" t="s">
        <v>759</v>
      </c>
      <c r="E3529" s="501">
        <v>7003009.4699999997</v>
      </c>
      <c r="F3529" s="502" t="s">
        <v>878</v>
      </c>
      <c r="G3529" s="100" t="s">
        <v>1008</v>
      </c>
      <c r="H3529" s="100">
        <v>114535929</v>
      </c>
      <c r="I3529" s="525"/>
      <c r="K3529" s="548"/>
      <c r="L3529" s="548"/>
      <c r="M3529" s="548"/>
      <c r="N3529" s="552"/>
      <c r="Y3529" s="551"/>
    </row>
    <row r="3530" spans="1:25">
      <c r="A3530" s="499">
        <v>45596</v>
      </c>
      <c r="B3530" s="499">
        <v>45596</v>
      </c>
      <c r="C3530" s="500" t="s">
        <v>173</v>
      </c>
      <c r="D3530" s="500" t="s">
        <v>760</v>
      </c>
      <c r="E3530" s="501">
        <v>-1250472602.5</v>
      </c>
      <c r="F3530" s="502" t="s">
        <v>878</v>
      </c>
      <c r="G3530" s="100" t="s">
        <v>713</v>
      </c>
      <c r="H3530" s="530"/>
      <c r="I3530" s="525"/>
      <c r="K3530" s="548"/>
      <c r="L3530" s="548"/>
      <c r="M3530" s="548"/>
      <c r="N3530" s="552"/>
      <c r="Y3530" s="551"/>
    </row>
    <row r="3531" spans="1:25">
      <c r="A3531" s="499">
        <v>45596</v>
      </c>
      <c r="B3531" s="499">
        <v>45596</v>
      </c>
      <c r="C3531" s="500" t="s">
        <v>173</v>
      </c>
      <c r="D3531" s="500" t="s">
        <v>760</v>
      </c>
      <c r="E3531" s="501">
        <v>-34016812.890000001</v>
      </c>
      <c r="F3531" s="502" t="s">
        <v>878</v>
      </c>
      <c r="G3531" s="100" t="s">
        <v>633</v>
      </c>
      <c r="H3531" s="530"/>
      <c r="I3531" s="525"/>
      <c r="K3531" s="548"/>
      <c r="L3531" s="548"/>
      <c r="M3531" s="548"/>
      <c r="N3531" s="552"/>
      <c r="Y3531" s="551"/>
    </row>
    <row r="3532" spans="1:25">
      <c r="A3532" s="499">
        <v>45596</v>
      </c>
      <c r="B3532" s="499">
        <v>45597</v>
      </c>
      <c r="C3532" s="500" t="s">
        <v>173</v>
      </c>
      <c r="D3532" s="500" t="s">
        <v>760</v>
      </c>
      <c r="E3532" s="501">
        <v>1250937255.5699999</v>
      </c>
      <c r="F3532" s="502" t="s">
        <v>878</v>
      </c>
      <c r="G3532" s="100" t="s">
        <v>713</v>
      </c>
      <c r="H3532" s="484">
        <v>114532755</v>
      </c>
      <c r="I3532" s="525"/>
      <c r="K3532" s="548"/>
      <c r="L3532" s="548"/>
      <c r="M3532" s="548"/>
      <c r="N3532" s="552"/>
      <c r="Y3532" s="551"/>
    </row>
    <row r="3533" spans="1:25">
      <c r="A3533" s="499">
        <v>45596</v>
      </c>
      <c r="B3533" s="499">
        <v>45597</v>
      </c>
      <c r="C3533" s="500" t="s">
        <v>173</v>
      </c>
      <c r="D3533" s="500" t="s">
        <v>760</v>
      </c>
      <c r="E3533" s="501">
        <v>34029453.020000003</v>
      </c>
      <c r="F3533" s="502" t="s">
        <v>878</v>
      </c>
      <c r="G3533" s="100" t="s">
        <v>633</v>
      </c>
      <c r="H3533" s="484">
        <v>114532798</v>
      </c>
      <c r="I3533" s="525"/>
      <c r="K3533" s="548"/>
      <c r="L3533" s="548"/>
      <c r="M3533" s="548"/>
      <c r="N3533" s="552"/>
      <c r="Y3533" s="551"/>
    </row>
    <row r="3534" spans="1:25">
      <c r="A3534" s="499">
        <v>45596</v>
      </c>
      <c r="B3534" s="499">
        <v>45596</v>
      </c>
      <c r="C3534" s="500" t="s">
        <v>173</v>
      </c>
      <c r="D3534" s="500" t="s">
        <v>763</v>
      </c>
      <c r="E3534" s="501">
        <v>-5414005370.6899996</v>
      </c>
      <c r="F3534" s="502" t="s">
        <v>878</v>
      </c>
      <c r="G3534" s="100" t="s">
        <v>807</v>
      </c>
      <c r="H3534" s="530"/>
      <c r="I3534" s="525"/>
      <c r="K3534" s="548"/>
      <c r="L3534" s="548"/>
      <c r="M3534" s="548"/>
      <c r="N3534" s="552"/>
      <c r="Y3534" s="551"/>
    </row>
    <row r="3535" spans="1:25">
      <c r="A3535" s="499">
        <v>45596</v>
      </c>
      <c r="B3535" s="499">
        <v>45596</v>
      </c>
      <c r="C3535" s="500" t="s">
        <v>173</v>
      </c>
      <c r="D3535" s="500" t="s">
        <v>763</v>
      </c>
      <c r="E3535" s="501">
        <v>-23000022.82</v>
      </c>
      <c r="F3535" s="502" t="s">
        <v>878</v>
      </c>
      <c r="G3535" s="100" t="s">
        <v>807</v>
      </c>
      <c r="H3535" s="530"/>
      <c r="I3535" s="525"/>
      <c r="K3535" s="548"/>
      <c r="L3535" s="548"/>
      <c r="M3535" s="548"/>
      <c r="N3535" s="552"/>
      <c r="Y3535" s="551"/>
    </row>
    <row r="3536" spans="1:25">
      <c r="A3536" s="499">
        <v>45596</v>
      </c>
      <c r="B3536" s="499">
        <v>45597</v>
      </c>
      <c r="C3536" s="500" t="s">
        <v>173</v>
      </c>
      <c r="D3536" s="500" t="s">
        <v>763</v>
      </c>
      <c r="E3536" s="501">
        <v>5416017132.25</v>
      </c>
      <c r="F3536" s="502" t="s">
        <v>878</v>
      </c>
      <c r="G3536" s="100" t="s">
        <v>807</v>
      </c>
      <c r="H3536" s="484">
        <v>114531344</v>
      </c>
      <c r="I3536" s="525"/>
      <c r="K3536" s="548"/>
      <c r="L3536" s="548"/>
      <c r="M3536" s="548"/>
      <c r="N3536" s="552"/>
      <c r="Y3536" s="551"/>
    </row>
    <row r="3537" spans="1:25">
      <c r="A3537" s="499">
        <v>45596</v>
      </c>
      <c r="B3537" s="499">
        <v>45597</v>
      </c>
      <c r="C3537" s="500" t="s">
        <v>173</v>
      </c>
      <c r="D3537" s="500" t="s">
        <v>763</v>
      </c>
      <c r="E3537" s="501">
        <v>23008569.280000001</v>
      </c>
      <c r="F3537" s="502" t="s">
        <v>878</v>
      </c>
      <c r="G3537" s="100" t="s">
        <v>807</v>
      </c>
      <c r="H3537" s="484">
        <v>114531365</v>
      </c>
      <c r="I3537" s="525"/>
      <c r="K3537" s="548"/>
      <c r="L3537" s="548"/>
      <c r="M3537" s="548"/>
      <c r="N3537" s="552"/>
      <c r="Y3537" s="551"/>
    </row>
    <row r="3538" spans="1:25">
      <c r="A3538" s="499">
        <v>45597</v>
      </c>
      <c r="B3538" s="499">
        <v>45597</v>
      </c>
      <c r="C3538" s="500" t="s">
        <v>173</v>
      </c>
      <c r="D3538" s="500" t="s">
        <v>761</v>
      </c>
      <c r="E3538" s="501">
        <v>-473139335.38999999</v>
      </c>
      <c r="F3538" s="502" t="s">
        <v>878</v>
      </c>
      <c r="G3538" s="100" t="s">
        <v>673</v>
      </c>
      <c r="H3538" s="530"/>
      <c r="I3538" s="525"/>
      <c r="K3538" s="548"/>
      <c r="L3538" s="548"/>
      <c r="M3538" s="548"/>
      <c r="N3538" s="552"/>
      <c r="Y3538" s="551"/>
    </row>
    <row r="3539" spans="1:25">
      <c r="A3539" s="499">
        <v>45597</v>
      </c>
      <c r="B3539" s="499">
        <v>45597</v>
      </c>
      <c r="C3539" s="500" t="s">
        <v>173</v>
      </c>
      <c r="D3539" s="500" t="s">
        <v>761</v>
      </c>
      <c r="E3539" s="501">
        <v>-36009944.460000001</v>
      </c>
      <c r="F3539" s="502" t="s">
        <v>878</v>
      </c>
      <c r="G3539" s="100" t="s">
        <v>637</v>
      </c>
      <c r="H3539" s="530"/>
      <c r="I3539" s="525"/>
      <c r="K3539" s="548"/>
      <c r="L3539" s="548"/>
      <c r="M3539" s="548"/>
      <c r="N3539" s="552"/>
      <c r="Y3539" s="551"/>
    </row>
    <row r="3540" spans="1:25">
      <c r="A3540" s="499">
        <v>45597</v>
      </c>
      <c r="B3540" s="499">
        <v>45597</v>
      </c>
      <c r="C3540" s="500" t="s">
        <v>173</v>
      </c>
      <c r="D3540" s="500" t="s">
        <v>761</v>
      </c>
      <c r="E3540" s="501">
        <v>-2000948.35</v>
      </c>
      <c r="F3540" s="502" t="s">
        <v>878</v>
      </c>
      <c r="G3540" s="100" t="s">
        <v>671</v>
      </c>
      <c r="H3540" s="530"/>
      <c r="I3540" s="525"/>
      <c r="K3540" s="548"/>
      <c r="L3540" s="548"/>
      <c r="M3540" s="548"/>
      <c r="N3540" s="552"/>
      <c r="Y3540" s="551"/>
    </row>
    <row r="3541" spans="1:25">
      <c r="A3541" s="499">
        <v>45597</v>
      </c>
      <c r="B3541" s="499">
        <v>45600</v>
      </c>
      <c r="C3541" s="500" t="s">
        <v>173</v>
      </c>
      <c r="D3541" s="500" t="s">
        <v>761</v>
      </c>
      <c r="E3541" s="501">
        <v>473666381.57999998</v>
      </c>
      <c r="F3541" s="502" t="s">
        <v>878</v>
      </c>
      <c r="G3541" s="100" t="s">
        <v>673</v>
      </c>
      <c r="H3541" s="484">
        <v>114549528</v>
      </c>
      <c r="I3541" s="525"/>
      <c r="K3541" s="548"/>
      <c r="L3541" s="548"/>
      <c r="M3541" s="548"/>
      <c r="N3541" s="552"/>
      <c r="Y3541" s="551"/>
    </row>
    <row r="3542" spans="1:25">
      <c r="A3542" s="499">
        <v>45597</v>
      </c>
      <c r="B3542" s="499">
        <v>45600</v>
      </c>
      <c r="C3542" s="500" t="s">
        <v>173</v>
      </c>
      <c r="D3542" s="500" t="s">
        <v>761</v>
      </c>
      <c r="E3542" s="501">
        <v>36050057.18</v>
      </c>
      <c r="F3542" s="502" t="s">
        <v>878</v>
      </c>
      <c r="G3542" s="100" t="s">
        <v>637</v>
      </c>
      <c r="H3542" s="484">
        <v>114549739</v>
      </c>
      <c r="I3542" s="525"/>
      <c r="K3542" s="548"/>
      <c r="L3542" s="548"/>
      <c r="M3542" s="548"/>
      <c r="N3542" s="552"/>
      <c r="Y3542" s="551"/>
    </row>
    <row r="3543" spans="1:25">
      <c r="A3543" s="499">
        <v>45597</v>
      </c>
      <c r="B3543" s="499">
        <v>45600</v>
      </c>
      <c r="C3543" s="500" t="s">
        <v>173</v>
      </c>
      <c r="D3543" s="500" t="s">
        <v>761</v>
      </c>
      <c r="E3543" s="501">
        <v>2003178.92</v>
      </c>
      <c r="F3543" s="502" t="s">
        <v>878</v>
      </c>
      <c r="G3543" s="100" t="s">
        <v>671</v>
      </c>
      <c r="H3543" s="484">
        <v>114550044</v>
      </c>
      <c r="I3543" s="525"/>
      <c r="K3543" s="548"/>
      <c r="L3543" s="548"/>
      <c r="M3543" s="548"/>
      <c r="N3543" s="552"/>
      <c r="Y3543" s="551"/>
    </row>
    <row r="3544" spans="1:25">
      <c r="A3544" s="499">
        <v>45597</v>
      </c>
      <c r="B3544" s="499">
        <v>45597</v>
      </c>
      <c r="C3544" s="500" t="s">
        <v>173</v>
      </c>
      <c r="D3544" s="500" t="s">
        <v>760</v>
      </c>
      <c r="E3544" s="501">
        <v>-1250060554.5</v>
      </c>
      <c r="F3544" s="502" t="s">
        <v>878</v>
      </c>
      <c r="G3544" s="100" t="s">
        <v>633</v>
      </c>
      <c r="H3544" s="530"/>
      <c r="I3544" s="525"/>
      <c r="K3544" s="548"/>
      <c r="L3544" s="548"/>
      <c r="M3544" s="548"/>
      <c r="N3544" s="552"/>
      <c r="Y3544" s="551"/>
    </row>
    <row r="3545" spans="1:25">
      <c r="A3545" s="499">
        <v>45597</v>
      </c>
      <c r="B3545" s="499">
        <v>45597</v>
      </c>
      <c r="C3545" s="500" t="s">
        <v>173</v>
      </c>
      <c r="D3545" s="500" t="s">
        <v>760</v>
      </c>
      <c r="E3545" s="501">
        <v>-34022085.039999999</v>
      </c>
      <c r="F3545" s="502" t="s">
        <v>878</v>
      </c>
      <c r="G3545" s="100" t="s">
        <v>682</v>
      </c>
      <c r="H3545" s="530"/>
      <c r="I3545" s="525"/>
      <c r="K3545" s="548"/>
      <c r="L3545" s="548"/>
      <c r="M3545" s="548"/>
      <c r="N3545" s="552"/>
      <c r="Y3545" s="551"/>
    </row>
    <row r="3546" spans="1:25">
      <c r="A3546" s="499">
        <v>45597</v>
      </c>
      <c r="B3546" s="499">
        <v>45600</v>
      </c>
      <c r="C3546" s="500" t="s">
        <v>173</v>
      </c>
      <c r="D3546" s="500" t="s">
        <v>760</v>
      </c>
      <c r="E3546" s="501">
        <v>1251454033.8900001</v>
      </c>
      <c r="F3546" s="502" t="s">
        <v>878</v>
      </c>
      <c r="G3546" s="100" t="s">
        <v>633</v>
      </c>
      <c r="H3546" s="484">
        <v>114549338</v>
      </c>
      <c r="I3546" s="525"/>
      <c r="K3546" s="548"/>
      <c r="L3546" s="548"/>
      <c r="M3546" s="548"/>
      <c r="N3546" s="552"/>
      <c r="Y3546" s="551"/>
    </row>
    <row r="3547" spans="1:25">
      <c r="A3547" s="499">
        <v>45597</v>
      </c>
      <c r="B3547" s="499">
        <v>45600</v>
      </c>
      <c r="C3547" s="500" t="s">
        <v>173</v>
      </c>
      <c r="D3547" s="500" t="s">
        <v>760</v>
      </c>
      <c r="E3547" s="501">
        <v>34059955.520000003</v>
      </c>
      <c r="F3547" s="502" t="s">
        <v>878</v>
      </c>
      <c r="G3547" s="100" t="s">
        <v>682</v>
      </c>
      <c r="H3547" s="484">
        <v>114549457</v>
      </c>
      <c r="I3547" s="525"/>
      <c r="K3547" s="548"/>
      <c r="L3547" s="548"/>
      <c r="M3547" s="548"/>
      <c r="N3547" s="552"/>
      <c r="Y3547" s="551"/>
    </row>
    <row r="3548" spans="1:25">
      <c r="A3548" s="499">
        <v>45597</v>
      </c>
      <c r="B3548" s="499">
        <v>45597</v>
      </c>
      <c r="C3548" s="500" t="s">
        <v>173</v>
      </c>
      <c r="D3548" s="500" t="s">
        <v>763</v>
      </c>
      <c r="E3548" s="501">
        <v>-1304189945.8599999</v>
      </c>
      <c r="F3548" s="502" t="s">
        <v>878</v>
      </c>
      <c r="G3548" s="100" t="s">
        <v>631</v>
      </c>
      <c r="H3548" s="530"/>
      <c r="I3548" s="525"/>
      <c r="K3548" s="548"/>
      <c r="L3548" s="548"/>
      <c r="M3548" s="548"/>
      <c r="N3548" s="552"/>
      <c r="Y3548" s="551"/>
    </row>
    <row r="3549" spans="1:25">
      <c r="A3549" s="499">
        <v>45597</v>
      </c>
      <c r="B3549" s="499">
        <v>45597</v>
      </c>
      <c r="C3549" s="500" t="s">
        <v>173</v>
      </c>
      <c r="D3549" s="500" t="s">
        <v>763</v>
      </c>
      <c r="E3549" s="501">
        <v>-3541298792.8400002</v>
      </c>
      <c r="F3549" s="502" t="s">
        <v>878</v>
      </c>
      <c r="G3549" s="100" t="s">
        <v>682</v>
      </c>
      <c r="H3549" s="530"/>
      <c r="I3549" s="525"/>
      <c r="K3549" s="548"/>
      <c r="L3549" s="548"/>
      <c r="M3549" s="548"/>
      <c r="N3549" s="552"/>
      <c r="Y3549" s="551"/>
    </row>
    <row r="3550" spans="1:25">
      <c r="A3550" s="499">
        <v>45597</v>
      </c>
      <c r="B3550" s="499">
        <v>45597</v>
      </c>
      <c r="C3550" s="500" t="s">
        <v>173</v>
      </c>
      <c r="D3550" s="500" t="s">
        <v>763</v>
      </c>
      <c r="E3550" s="501">
        <v>-573545862.72000003</v>
      </c>
      <c r="F3550" s="502" t="s">
        <v>878</v>
      </c>
      <c r="G3550" s="100" t="s">
        <v>677</v>
      </c>
      <c r="H3550" s="530"/>
      <c r="I3550" s="525"/>
      <c r="K3550" s="548"/>
      <c r="L3550" s="548"/>
      <c r="M3550" s="548"/>
      <c r="N3550" s="552"/>
      <c r="Y3550" s="551"/>
    </row>
    <row r="3551" spans="1:25">
      <c r="A3551" s="499">
        <v>45597</v>
      </c>
      <c r="B3551" s="499">
        <v>45597</v>
      </c>
      <c r="C3551" s="500" t="s">
        <v>173</v>
      </c>
      <c r="D3551" s="500" t="s">
        <v>763</v>
      </c>
      <c r="E3551" s="501">
        <v>-20012991.199999999</v>
      </c>
      <c r="F3551" s="502" t="s">
        <v>878</v>
      </c>
      <c r="G3551" s="100" t="s">
        <v>682</v>
      </c>
      <c r="H3551" s="530"/>
      <c r="I3551" s="525"/>
      <c r="K3551" s="548"/>
      <c r="L3551" s="548"/>
      <c r="M3551" s="548"/>
      <c r="N3551" s="552"/>
      <c r="Y3551" s="551"/>
    </row>
    <row r="3552" spans="1:25">
      <c r="A3552" s="499">
        <v>45597</v>
      </c>
      <c r="B3552" s="499">
        <v>45600</v>
      </c>
      <c r="C3552" s="500" t="s">
        <v>173</v>
      </c>
      <c r="D3552" s="500" t="s">
        <v>763</v>
      </c>
      <c r="E3552" s="501">
        <v>1305643796.95</v>
      </c>
      <c r="F3552" s="502" t="s">
        <v>878</v>
      </c>
      <c r="G3552" s="100" t="s">
        <v>631</v>
      </c>
      <c r="H3552" s="484">
        <v>114548537</v>
      </c>
      <c r="I3552" s="525"/>
      <c r="K3552" s="548"/>
      <c r="L3552" s="548"/>
      <c r="M3552" s="548"/>
      <c r="N3552" s="552"/>
      <c r="Y3552" s="551"/>
    </row>
    <row r="3553" spans="1:25">
      <c r="A3553" s="499">
        <v>45597</v>
      </c>
      <c r="B3553" s="499">
        <v>45600</v>
      </c>
      <c r="C3553" s="500" t="s">
        <v>173</v>
      </c>
      <c r="D3553" s="500" t="s">
        <v>763</v>
      </c>
      <c r="E3553" s="501">
        <v>3545237907.21</v>
      </c>
      <c r="F3553" s="502" t="s">
        <v>878</v>
      </c>
      <c r="G3553" s="100" t="s">
        <v>682</v>
      </c>
      <c r="H3553" s="484">
        <v>114548540</v>
      </c>
      <c r="I3553" s="525"/>
      <c r="K3553" s="548"/>
      <c r="L3553" s="548"/>
      <c r="M3553" s="548"/>
      <c r="N3553" s="552"/>
      <c r="Y3553" s="551"/>
    </row>
    <row r="3554" spans="1:25">
      <c r="A3554" s="499">
        <v>45597</v>
      </c>
      <c r="B3554" s="499">
        <v>45600</v>
      </c>
      <c r="C3554" s="500" t="s">
        <v>173</v>
      </c>
      <c r="D3554" s="500" t="s">
        <v>763</v>
      </c>
      <c r="E3554" s="501">
        <v>574183833.76999998</v>
      </c>
      <c r="F3554" s="502" t="s">
        <v>878</v>
      </c>
      <c r="G3554" s="100" t="s">
        <v>677</v>
      </c>
      <c r="H3554" s="484">
        <v>114548543</v>
      </c>
      <c r="I3554" s="525"/>
      <c r="K3554" s="548"/>
      <c r="L3554" s="548"/>
      <c r="M3554" s="548"/>
      <c r="N3554" s="552"/>
      <c r="Y3554" s="551"/>
    </row>
    <row r="3555" spans="1:25">
      <c r="A3555" s="499">
        <v>45597</v>
      </c>
      <c r="B3555" s="499">
        <v>45600</v>
      </c>
      <c r="C3555" s="500" t="s">
        <v>173</v>
      </c>
      <c r="D3555" s="500" t="s">
        <v>763</v>
      </c>
      <c r="E3555" s="501">
        <v>20035252.699999999</v>
      </c>
      <c r="F3555" s="502" t="s">
        <v>878</v>
      </c>
      <c r="G3555" s="100" t="s">
        <v>682</v>
      </c>
      <c r="H3555" s="484">
        <v>114548556</v>
      </c>
      <c r="I3555" s="525"/>
      <c r="K3555" s="548"/>
      <c r="L3555" s="548"/>
      <c r="M3555" s="548"/>
      <c r="N3555" s="552"/>
      <c r="Y3555" s="551"/>
    </row>
    <row r="3556" spans="1:25">
      <c r="A3556" s="499">
        <v>45597</v>
      </c>
      <c r="B3556" s="499">
        <v>45597</v>
      </c>
      <c r="C3556" s="500" t="s">
        <v>173</v>
      </c>
      <c r="D3556" s="500" t="s">
        <v>759</v>
      </c>
      <c r="E3556" s="501">
        <v>-465053424.97000003</v>
      </c>
      <c r="F3556" s="502" t="s">
        <v>878</v>
      </c>
      <c r="G3556" s="100" t="s">
        <v>550</v>
      </c>
      <c r="H3556" s="530"/>
      <c r="I3556" s="525"/>
      <c r="K3556" s="548"/>
      <c r="L3556" s="548"/>
      <c r="M3556" s="548"/>
      <c r="N3556" s="552"/>
      <c r="Y3556" s="551"/>
    </row>
    <row r="3557" spans="1:25">
      <c r="A3557" s="499">
        <v>45597</v>
      </c>
      <c r="B3557" s="499">
        <v>45597</v>
      </c>
      <c r="C3557" s="500" t="s">
        <v>173</v>
      </c>
      <c r="D3557" s="500" t="s">
        <v>759</v>
      </c>
      <c r="E3557" s="501">
        <v>-884842133.75999999</v>
      </c>
      <c r="F3557" s="502" t="s">
        <v>878</v>
      </c>
      <c r="G3557" s="100" t="s">
        <v>677</v>
      </c>
      <c r="H3557" s="530"/>
      <c r="I3557" s="525"/>
      <c r="K3557" s="548"/>
      <c r="L3557" s="548"/>
      <c r="M3557" s="548"/>
      <c r="N3557" s="552"/>
      <c r="Y3557" s="551"/>
    </row>
    <row r="3558" spans="1:25">
      <c r="A3558" s="499">
        <v>45597</v>
      </c>
      <c r="B3558" s="499">
        <v>45597</v>
      </c>
      <c r="C3558" s="500" t="s">
        <v>173</v>
      </c>
      <c r="D3558" s="500" t="s">
        <v>759</v>
      </c>
      <c r="E3558" s="501">
        <v>-332016083.27999997</v>
      </c>
      <c r="F3558" s="502" t="s">
        <v>878</v>
      </c>
      <c r="G3558" s="100" t="s">
        <v>633</v>
      </c>
      <c r="H3558" s="530"/>
      <c r="I3558" s="525"/>
      <c r="K3558" s="548"/>
      <c r="L3558" s="548"/>
      <c r="M3558" s="548"/>
      <c r="N3558" s="552"/>
      <c r="Y3558" s="551"/>
    </row>
    <row r="3559" spans="1:25">
      <c r="A3559" s="499">
        <v>45597</v>
      </c>
      <c r="B3559" s="499">
        <v>45597</v>
      </c>
      <c r="C3559" s="500" t="s">
        <v>173</v>
      </c>
      <c r="D3559" s="500" t="s">
        <v>759</v>
      </c>
      <c r="E3559" s="501">
        <v>-314203961.83999997</v>
      </c>
      <c r="F3559" s="502" t="s">
        <v>878</v>
      </c>
      <c r="G3559" s="100" t="s">
        <v>682</v>
      </c>
      <c r="H3559" s="530"/>
      <c r="I3559" s="525"/>
      <c r="K3559" s="548"/>
      <c r="L3559" s="548"/>
      <c r="M3559" s="548"/>
      <c r="N3559" s="552"/>
      <c r="Y3559" s="551"/>
    </row>
    <row r="3560" spans="1:25">
      <c r="A3560" s="499">
        <v>45597</v>
      </c>
      <c r="B3560" s="499">
        <v>45597</v>
      </c>
      <c r="C3560" s="500" t="s">
        <v>173</v>
      </c>
      <c r="D3560" s="500" t="s">
        <v>759</v>
      </c>
      <c r="E3560" s="501">
        <v>-7003319.2300000004</v>
      </c>
      <c r="F3560" s="502" t="s">
        <v>878</v>
      </c>
      <c r="G3560" s="100" t="s">
        <v>671</v>
      </c>
      <c r="H3560" s="530"/>
      <c r="I3560" s="525"/>
      <c r="K3560" s="548"/>
      <c r="L3560" s="548"/>
      <c r="M3560" s="548"/>
      <c r="N3560" s="552"/>
      <c r="Y3560" s="551"/>
    </row>
    <row r="3561" spans="1:25">
      <c r="A3561" s="499">
        <v>45597</v>
      </c>
      <c r="B3561" s="499">
        <v>45600</v>
      </c>
      <c r="C3561" s="500" t="s">
        <v>173</v>
      </c>
      <c r="D3561" s="500" t="s">
        <v>759</v>
      </c>
      <c r="E3561" s="501">
        <v>465571845.18000001</v>
      </c>
      <c r="F3561" s="502" t="s">
        <v>878</v>
      </c>
      <c r="G3561" s="100" t="s">
        <v>550</v>
      </c>
      <c r="H3561" s="484">
        <v>114548578</v>
      </c>
      <c r="I3561" s="525"/>
      <c r="K3561" s="548"/>
      <c r="L3561" s="548"/>
      <c r="M3561" s="548"/>
      <c r="N3561" s="552"/>
      <c r="Y3561" s="551"/>
    </row>
    <row r="3562" spans="1:25">
      <c r="A3562" s="499">
        <v>45597</v>
      </c>
      <c r="B3562" s="499">
        <v>45600</v>
      </c>
      <c r="C3562" s="500" t="s">
        <v>173</v>
      </c>
      <c r="D3562" s="500" t="s">
        <v>759</v>
      </c>
      <c r="E3562" s="501">
        <v>885828515.15999997</v>
      </c>
      <c r="F3562" s="502" t="s">
        <v>878</v>
      </c>
      <c r="G3562" s="100" t="s">
        <v>677</v>
      </c>
      <c r="H3562" s="484">
        <v>114548583</v>
      </c>
      <c r="I3562" s="525"/>
      <c r="K3562" s="548"/>
      <c r="L3562" s="548"/>
      <c r="M3562" s="548"/>
      <c r="N3562" s="552"/>
      <c r="Y3562" s="551"/>
    </row>
    <row r="3563" spans="1:25">
      <c r="A3563" s="499">
        <v>45597</v>
      </c>
      <c r="B3563" s="499">
        <v>45600</v>
      </c>
      <c r="C3563" s="500" t="s">
        <v>173</v>
      </c>
      <c r="D3563" s="500" t="s">
        <v>759</v>
      </c>
      <c r="E3563" s="501">
        <v>332386199.56999999</v>
      </c>
      <c r="F3563" s="502" t="s">
        <v>878</v>
      </c>
      <c r="G3563" s="100" t="s">
        <v>633</v>
      </c>
      <c r="H3563" s="484">
        <v>114548762</v>
      </c>
      <c r="I3563" s="525"/>
      <c r="K3563" s="548"/>
      <c r="L3563" s="548"/>
      <c r="M3563" s="548"/>
      <c r="N3563" s="552"/>
      <c r="Y3563" s="551"/>
    </row>
    <row r="3564" spans="1:25">
      <c r="A3564" s="499">
        <v>45597</v>
      </c>
      <c r="B3564" s="499">
        <v>45600</v>
      </c>
      <c r="C3564" s="500" t="s">
        <v>173</v>
      </c>
      <c r="D3564" s="500" t="s">
        <v>759</v>
      </c>
      <c r="E3564" s="501">
        <v>314553709.48000002</v>
      </c>
      <c r="F3564" s="502" t="s">
        <v>878</v>
      </c>
      <c r="G3564" s="100" t="s">
        <v>682</v>
      </c>
      <c r="H3564" s="484">
        <v>114549460</v>
      </c>
      <c r="I3564" s="525"/>
      <c r="K3564" s="548"/>
      <c r="L3564" s="548"/>
      <c r="M3564" s="548"/>
      <c r="N3564" s="552"/>
      <c r="Y3564" s="551"/>
    </row>
    <row r="3565" spans="1:25">
      <c r="A3565" s="499">
        <v>45597</v>
      </c>
      <c r="B3565" s="499">
        <v>45600</v>
      </c>
      <c r="C3565" s="500" t="s">
        <v>173</v>
      </c>
      <c r="D3565" s="500" t="s">
        <v>759</v>
      </c>
      <c r="E3565" s="501">
        <v>7011109.2699999996</v>
      </c>
      <c r="F3565" s="502" t="s">
        <v>878</v>
      </c>
      <c r="G3565" s="100" t="s">
        <v>671</v>
      </c>
      <c r="H3565" s="484">
        <v>114549704</v>
      </c>
      <c r="I3565" s="525"/>
      <c r="K3565" s="548"/>
      <c r="L3565" s="548"/>
      <c r="M3565" s="548"/>
      <c r="N3565" s="552"/>
      <c r="Y3565" s="551"/>
    </row>
    <row r="3566" spans="1:25">
      <c r="A3566" s="499">
        <v>45600</v>
      </c>
      <c r="B3566" s="499">
        <v>45600</v>
      </c>
      <c r="C3566" s="500" t="s">
        <v>173</v>
      </c>
      <c r="D3566" s="500" t="s">
        <v>761</v>
      </c>
      <c r="E3566" s="501">
        <v>-510043185.68000001</v>
      </c>
      <c r="F3566" s="502" t="s">
        <v>878</v>
      </c>
      <c r="G3566" s="100" t="s">
        <v>633</v>
      </c>
      <c r="H3566" s="530"/>
      <c r="I3566" s="525"/>
      <c r="K3566" s="548"/>
      <c r="L3566" s="548"/>
      <c r="M3566" s="548"/>
      <c r="N3566" s="552"/>
      <c r="Y3566" s="551"/>
    </row>
    <row r="3567" spans="1:25">
      <c r="A3567" s="499">
        <v>45600</v>
      </c>
      <c r="B3567" s="499">
        <v>45600</v>
      </c>
      <c r="C3567" s="500" t="s">
        <v>173</v>
      </c>
      <c r="D3567" s="500" t="s">
        <v>761</v>
      </c>
      <c r="E3567" s="501">
        <v>-2001061.82</v>
      </c>
      <c r="F3567" s="502" t="s">
        <v>878</v>
      </c>
      <c r="G3567" s="100" t="s">
        <v>800</v>
      </c>
      <c r="H3567" s="530"/>
      <c r="I3567" s="525"/>
      <c r="K3567" s="548"/>
      <c r="L3567" s="548"/>
      <c r="M3567" s="548"/>
      <c r="N3567" s="552"/>
      <c r="Y3567" s="551"/>
    </row>
    <row r="3568" spans="1:25">
      <c r="A3568" s="499">
        <v>45600</v>
      </c>
      <c r="B3568" s="499">
        <v>45601</v>
      </c>
      <c r="C3568" s="500" t="s">
        <v>173</v>
      </c>
      <c r="D3568" s="500" t="s">
        <v>761</v>
      </c>
      <c r="E3568" s="501">
        <v>510233267.35000002</v>
      </c>
      <c r="F3568" s="502" t="s">
        <v>878</v>
      </c>
      <c r="G3568" s="100" t="s">
        <v>633</v>
      </c>
      <c r="H3568" s="484">
        <v>114566322</v>
      </c>
      <c r="I3568" s="525"/>
      <c r="K3568" s="548"/>
      <c r="L3568" s="548"/>
      <c r="M3568" s="548"/>
      <c r="N3568" s="552"/>
      <c r="Y3568" s="551"/>
    </row>
    <row r="3569" spans="1:25">
      <c r="A3569" s="499">
        <v>45600</v>
      </c>
      <c r="B3569" s="499">
        <v>45601</v>
      </c>
      <c r="C3569" s="500" t="s">
        <v>173</v>
      </c>
      <c r="D3569" s="500" t="s">
        <v>761</v>
      </c>
      <c r="E3569" s="501">
        <v>2001804.32</v>
      </c>
      <c r="F3569" s="502" t="s">
        <v>878</v>
      </c>
      <c r="G3569" s="100" t="s">
        <v>800</v>
      </c>
      <c r="H3569" s="484">
        <v>114569588</v>
      </c>
      <c r="I3569" s="525"/>
      <c r="K3569" s="548"/>
      <c r="L3569" s="548"/>
      <c r="M3569" s="548"/>
      <c r="N3569" s="552"/>
      <c r="Y3569" s="551"/>
    </row>
    <row r="3570" spans="1:25">
      <c r="A3570" s="499">
        <v>45600</v>
      </c>
      <c r="B3570" s="499">
        <v>45600</v>
      </c>
      <c r="C3570" s="500" t="s">
        <v>173</v>
      </c>
      <c r="D3570" s="500" t="s">
        <v>759</v>
      </c>
      <c r="E3570" s="501">
        <v>-3816178094.8899999</v>
      </c>
      <c r="F3570" s="502" t="s">
        <v>878</v>
      </c>
      <c r="G3570" s="100" t="s">
        <v>678</v>
      </c>
      <c r="H3570" s="530"/>
      <c r="I3570" s="525"/>
      <c r="K3570" s="548"/>
      <c r="L3570" s="548"/>
      <c r="M3570" s="548"/>
      <c r="N3570" s="552">
        <v>-1</v>
      </c>
      <c r="Y3570" s="551"/>
    </row>
    <row r="3571" spans="1:25">
      <c r="A3571" s="499">
        <v>45600</v>
      </c>
      <c r="B3571" s="499">
        <v>45600</v>
      </c>
      <c r="C3571" s="500" t="s">
        <v>173</v>
      </c>
      <c r="D3571" s="500" t="s">
        <v>759</v>
      </c>
      <c r="E3571" s="501">
        <v>-2000267936</v>
      </c>
      <c r="F3571" s="502" t="s">
        <v>878</v>
      </c>
      <c r="G3571" s="100" t="s">
        <v>674</v>
      </c>
      <c r="H3571" s="530"/>
      <c r="I3571" s="525"/>
      <c r="K3571" s="548"/>
      <c r="L3571" s="548"/>
      <c r="M3571" s="548"/>
      <c r="N3571" s="552"/>
      <c r="Y3571" s="551"/>
    </row>
    <row r="3572" spans="1:25">
      <c r="A3572" s="499">
        <v>45600</v>
      </c>
      <c r="B3572" s="499">
        <v>45600</v>
      </c>
      <c r="C3572" s="500" t="s">
        <v>173</v>
      </c>
      <c r="D3572" s="500" t="s">
        <v>759</v>
      </c>
      <c r="E3572" s="501">
        <v>-23019185.199999999</v>
      </c>
      <c r="F3572" s="502" t="s">
        <v>878</v>
      </c>
      <c r="G3572" s="100" t="s">
        <v>687</v>
      </c>
      <c r="H3572" s="530"/>
      <c r="I3572" s="525"/>
      <c r="K3572" s="548"/>
      <c r="L3572" s="548"/>
      <c r="M3572" s="548"/>
      <c r="N3572" s="552"/>
      <c r="Y3572" s="551"/>
    </row>
    <row r="3573" spans="1:25">
      <c r="A3573" s="499">
        <v>45600</v>
      </c>
      <c r="B3573" s="499">
        <v>45607</v>
      </c>
      <c r="C3573" s="500" t="s">
        <v>173</v>
      </c>
      <c r="D3573" s="500" t="s">
        <v>759</v>
      </c>
      <c r="E3573" s="501">
        <v>3826286796.1599998</v>
      </c>
      <c r="F3573" s="502" t="s">
        <v>878</v>
      </c>
      <c r="G3573" s="100" t="s">
        <v>678</v>
      </c>
      <c r="H3573" s="484">
        <v>114563824</v>
      </c>
      <c r="I3573" s="525"/>
      <c r="K3573" s="548"/>
      <c r="L3573" s="548"/>
      <c r="M3573" s="548"/>
      <c r="N3573" s="552"/>
      <c r="Y3573" s="551"/>
    </row>
    <row r="3574" spans="1:25">
      <c r="A3574" s="499">
        <v>45600</v>
      </c>
      <c r="B3574" s="499">
        <v>45601</v>
      </c>
      <c r="C3574" s="500" t="s">
        <v>173</v>
      </c>
      <c r="D3574" s="500" t="s">
        <v>759</v>
      </c>
      <c r="E3574" s="501">
        <v>2001015577.1300001</v>
      </c>
      <c r="F3574" s="502" t="s">
        <v>878</v>
      </c>
      <c r="G3574" s="100" t="s">
        <v>674</v>
      </c>
      <c r="H3574" s="484">
        <v>114564287</v>
      </c>
      <c r="I3574" s="525"/>
      <c r="K3574" s="548"/>
      <c r="L3574" s="548"/>
      <c r="M3574" s="548"/>
      <c r="N3574" s="552"/>
      <c r="Y3574" s="551"/>
    </row>
    <row r="3575" spans="1:25">
      <c r="A3575" s="499">
        <v>45600</v>
      </c>
      <c r="B3575" s="499">
        <v>45607</v>
      </c>
      <c r="C3575" s="500" t="s">
        <v>173</v>
      </c>
      <c r="D3575" s="500" t="s">
        <v>759</v>
      </c>
      <c r="E3575" s="501">
        <v>23079589.870000001</v>
      </c>
      <c r="F3575" s="502" t="s">
        <v>878</v>
      </c>
      <c r="G3575" s="100" t="s">
        <v>687</v>
      </c>
      <c r="H3575" s="484">
        <v>114567427</v>
      </c>
      <c r="I3575" s="525"/>
      <c r="K3575" s="548"/>
      <c r="L3575" s="548"/>
      <c r="M3575" s="548"/>
      <c r="N3575" s="552"/>
      <c r="Y3575" s="551"/>
    </row>
    <row r="3576" spans="1:25">
      <c r="A3576" s="499">
        <v>45600</v>
      </c>
      <c r="B3576" s="499">
        <v>45600</v>
      </c>
      <c r="C3576" s="500" t="s">
        <v>173</v>
      </c>
      <c r="D3576" s="500" t="s">
        <v>760</v>
      </c>
      <c r="E3576" s="501">
        <v>-1251249326.25</v>
      </c>
      <c r="F3576" s="502" t="s">
        <v>878</v>
      </c>
      <c r="G3576" s="100" t="s">
        <v>682</v>
      </c>
      <c r="H3576" s="530"/>
      <c r="I3576" s="525"/>
      <c r="K3576" s="548"/>
      <c r="L3576" s="548"/>
      <c r="M3576" s="548"/>
      <c r="N3576" s="552"/>
      <c r="Y3576" s="551"/>
    </row>
    <row r="3577" spans="1:25">
      <c r="A3577" s="499">
        <v>45600</v>
      </c>
      <c r="B3577" s="499">
        <v>45600</v>
      </c>
      <c r="C3577" s="500" t="s">
        <v>173</v>
      </c>
      <c r="D3577" s="500" t="s">
        <v>760</v>
      </c>
      <c r="E3577" s="501">
        <v>-34033981.670000002</v>
      </c>
      <c r="F3577" s="502" t="s">
        <v>878</v>
      </c>
      <c r="G3577" s="100" t="s">
        <v>682</v>
      </c>
      <c r="H3577" s="530"/>
      <c r="I3577" s="525"/>
      <c r="K3577" s="548"/>
      <c r="L3577" s="548"/>
      <c r="M3577" s="548"/>
      <c r="N3577" s="552"/>
      <c r="Y3577" s="551"/>
    </row>
    <row r="3578" spans="1:25">
      <c r="A3578" s="499">
        <v>45600</v>
      </c>
      <c r="B3578" s="499">
        <v>45601</v>
      </c>
      <c r="C3578" s="500" t="s">
        <v>173</v>
      </c>
      <c r="D3578" s="500" t="s">
        <v>760</v>
      </c>
      <c r="E3578" s="501">
        <v>1251712934.6400001</v>
      </c>
      <c r="F3578" s="502" t="s">
        <v>878</v>
      </c>
      <c r="G3578" s="100" t="s">
        <v>682</v>
      </c>
      <c r="H3578" s="100">
        <v>114565205</v>
      </c>
      <c r="I3578" s="525"/>
      <c r="K3578" s="548"/>
      <c r="L3578" s="548"/>
      <c r="M3578" s="548"/>
      <c r="N3578" s="552"/>
      <c r="Y3578" s="551"/>
    </row>
    <row r="3579" spans="1:25">
      <c r="A3579" s="499">
        <v>45600</v>
      </c>
      <c r="B3579" s="499">
        <v>45601</v>
      </c>
      <c r="C3579" s="500" t="s">
        <v>173</v>
      </c>
      <c r="D3579" s="500" t="s">
        <v>760</v>
      </c>
      <c r="E3579" s="501">
        <v>34046591.82</v>
      </c>
      <c r="F3579" s="502" t="s">
        <v>878</v>
      </c>
      <c r="G3579" s="100" t="s">
        <v>682</v>
      </c>
      <c r="H3579" s="100">
        <v>114565272</v>
      </c>
      <c r="I3579" s="525"/>
      <c r="K3579" s="548"/>
      <c r="L3579" s="548"/>
      <c r="M3579" s="548"/>
      <c r="N3579" s="552"/>
      <c r="Y3579" s="551"/>
    </row>
    <row r="3580" spans="1:25">
      <c r="A3580" s="499">
        <v>45600</v>
      </c>
      <c r="B3580" s="499">
        <v>45600</v>
      </c>
      <c r="C3580" s="500" t="s">
        <v>173</v>
      </c>
      <c r="D3580" s="500" t="s">
        <v>763</v>
      </c>
      <c r="E3580" s="501">
        <v>-3506870303.0500002</v>
      </c>
      <c r="F3580" s="502" t="s">
        <v>878</v>
      </c>
      <c r="G3580" s="100" t="s">
        <v>686</v>
      </c>
      <c r="H3580" s="530"/>
      <c r="I3580" s="525"/>
      <c r="K3580" s="548"/>
      <c r="L3580" s="548"/>
      <c r="M3580" s="548"/>
      <c r="N3580" s="552"/>
      <c r="Y3580" s="551"/>
    </row>
    <row r="3581" spans="1:25">
      <c r="A3581" s="499">
        <v>45600</v>
      </c>
      <c r="B3581" s="499">
        <v>45600</v>
      </c>
      <c r="C3581" s="500" t="s">
        <v>173</v>
      </c>
      <c r="D3581" s="500" t="s">
        <v>763</v>
      </c>
      <c r="E3581" s="501">
        <v>-700000311.42999995</v>
      </c>
      <c r="F3581" s="502" t="s">
        <v>878</v>
      </c>
      <c r="G3581" s="100" t="s">
        <v>811</v>
      </c>
      <c r="H3581" s="530"/>
      <c r="I3581" s="525"/>
      <c r="K3581" s="548"/>
      <c r="L3581" s="548"/>
      <c r="M3581" s="548"/>
      <c r="N3581" s="552"/>
      <c r="Y3581" s="551"/>
    </row>
    <row r="3582" spans="1:25">
      <c r="A3582" s="499">
        <v>45600</v>
      </c>
      <c r="B3582" s="499">
        <v>45600</v>
      </c>
      <c r="C3582" s="500" t="s">
        <v>173</v>
      </c>
      <c r="D3582" s="500" t="s">
        <v>763</v>
      </c>
      <c r="E3582" s="501">
        <v>-1218811324.4200001</v>
      </c>
      <c r="F3582" s="502" t="s">
        <v>878</v>
      </c>
      <c r="G3582" s="100" t="s">
        <v>670</v>
      </c>
      <c r="H3582" s="530"/>
      <c r="I3582" s="525"/>
      <c r="K3582" s="548"/>
      <c r="L3582" s="548"/>
      <c r="M3582" s="548"/>
      <c r="N3582" s="552"/>
      <c r="Y3582" s="551"/>
    </row>
    <row r="3583" spans="1:25">
      <c r="A3583" s="499">
        <v>45600</v>
      </c>
      <c r="B3583" s="499">
        <v>45600</v>
      </c>
      <c r="C3583" s="500" t="s">
        <v>173</v>
      </c>
      <c r="D3583" s="500" t="s">
        <v>763</v>
      </c>
      <c r="E3583" s="501">
        <v>-19007338.100000001</v>
      </c>
      <c r="F3583" s="502" t="s">
        <v>878</v>
      </c>
      <c r="G3583" s="100" t="s">
        <v>723</v>
      </c>
      <c r="H3583" s="530"/>
      <c r="I3583" s="525"/>
      <c r="K3583" s="548"/>
      <c r="L3583" s="548"/>
      <c r="M3583" s="548"/>
      <c r="N3583" s="552"/>
      <c r="Y3583" s="551"/>
    </row>
    <row r="3584" spans="1:25">
      <c r="A3584" s="499">
        <v>45600</v>
      </c>
      <c r="B3584" s="499">
        <v>45601</v>
      </c>
      <c r="C3584" s="500" t="s">
        <v>173</v>
      </c>
      <c r="D3584" s="500" t="s">
        <v>763</v>
      </c>
      <c r="E3584" s="501">
        <v>3508174360.5599999</v>
      </c>
      <c r="F3584" s="502" t="s">
        <v>878</v>
      </c>
      <c r="G3584" s="100" t="s">
        <v>686</v>
      </c>
      <c r="H3584" s="100">
        <v>114564460</v>
      </c>
      <c r="I3584" s="525"/>
      <c r="K3584" s="548"/>
      <c r="L3584" s="548"/>
      <c r="M3584" s="548"/>
      <c r="N3584" s="552"/>
      <c r="Y3584" s="551"/>
    </row>
    <row r="3585" spans="1:25">
      <c r="A3585" s="499">
        <v>45600</v>
      </c>
      <c r="B3585" s="499">
        <v>45601</v>
      </c>
      <c r="C3585" s="500" t="s">
        <v>173</v>
      </c>
      <c r="D3585" s="500" t="s">
        <v>763</v>
      </c>
      <c r="E3585" s="501">
        <v>700260612.09000003</v>
      </c>
      <c r="F3585" s="502" t="s">
        <v>878</v>
      </c>
      <c r="G3585" s="100" t="s">
        <v>811</v>
      </c>
      <c r="H3585" s="100">
        <v>114564463</v>
      </c>
      <c r="I3585" s="525"/>
      <c r="K3585" s="548"/>
      <c r="L3585" s="548"/>
      <c r="M3585" s="548"/>
      <c r="N3585" s="552"/>
      <c r="Y3585" s="551"/>
    </row>
    <row r="3586" spans="1:25">
      <c r="A3586" s="499">
        <v>45600</v>
      </c>
      <c r="B3586" s="499">
        <v>45601</v>
      </c>
      <c r="C3586" s="500" t="s">
        <v>173</v>
      </c>
      <c r="D3586" s="500" t="s">
        <v>763</v>
      </c>
      <c r="E3586" s="501">
        <v>1219264226.05</v>
      </c>
      <c r="F3586" s="502" t="s">
        <v>878</v>
      </c>
      <c r="G3586" s="100" t="s">
        <v>670</v>
      </c>
      <c r="H3586" s="100">
        <v>114564466</v>
      </c>
      <c r="I3586" s="525"/>
      <c r="K3586" s="548"/>
      <c r="L3586" s="548"/>
      <c r="M3586" s="548"/>
      <c r="N3586" s="552"/>
      <c r="Y3586" s="551"/>
    </row>
    <row r="3587" spans="1:25">
      <c r="A3587" s="499">
        <v>45600</v>
      </c>
      <c r="B3587" s="499">
        <v>45601</v>
      </c>
      <c r="C3587" s="500" t="s">
        <v>173</v>
      </c>
      <c r="D3587" s="500" t="s">
        <v>763</v>
      </c>
      <c r="E3587" s="501">
        <v>19014406.129999999</v>
      </c>
      <c r="F3587" s="502" t="s">
        <v>878</v>
      </c>
      <c r="G3587" s="100" t="s">
        <v>723</v>
      </c>
      <c r="H3587" s="100">
        <v>114564506</v>
      </c>
      <c r="I3587" s="525"/>
      <c r="K3587" s="548"/>
      <c r="L3587" s="548"/>
      <c r="M3587" s="548"/>
      <c r="N3587" s="552"/>
      <c r="Y3587" s="551"/>
    </row>
    <row r="3588" spans="1:25">
      <c r="A3588" s="499">
        <v>45601</v>
      </c>
      <c r="B3588" s="499">
        <v>45601</v>
      </c>
      <c r="C3588" s="500" t="s">
        <v>173</v>
      </c>
      <c r="D3588" s="500" t="s">
        <v>762</v>
      </c>
      <c r="E3588" s="501">
        <v>-6269141510.1400003</v>
      </c>
      <c r="F3588" s="502" t="s">
        <v>878</v>
      </c>
      <c r="G3588" s="100" t="s">
        <v>719</v>
      </c>
      <c r="H3588" s="530"/>
      <c r="I3588" s="525"/>
      <c r="K3588" s="548"/>
      <c r="L3588" s="548"/>
      <c r="M3588" s="548"/>
      <c r="N3588" s="552"/>
      <c r="Y3588" s="551"/>
    </row>
    <row r="3589" spans="1:25">
      <c r="A3589" s="499">
        <v>45601</v>
      </c>
      <c r="B3589" s="499">
        <v>45601</v>
      </c>
      <c r="C3589" s="500" t="s">
        <v>173</v>
      </c>
      <c r="D3589" s="500" t="s">
        <v>762</v>
      </c>
      <c r="E3589" s="501">
        <v>-26000586.899999999</v>
      </c>
      <c r="F3589" s="502" t="s">
        <v>878</v>
      </c>
      <c r="G3589" s="100" t="s">
        <v>719</v>
      </c>
      <c r="H3589" s="530"/>
      <c r="I3589" s="525"/>
      <c r="K3589" s="548"/>
      <c r="L3589" s="548"/>
      <c r="M3589" s="548"/>
      <c r="N3589" s="552"/>
      <c r="Y3589" s="551"/>
    </row>
    <row r="3590" spans="1:25">
      <c r="A3590" s="499">
        <v>45601</v>
      </c>
      <c r="B3590" s="499">
        <v>45608</v>
      </c>
      <c r="C3590" s="500" t="s">
        <v>173</v>
      </c>
      <c r="D3590" s="500" t="s">
        <v>762</v>
      </c>
      <c r="E3590" s="501">
        <v>6285747883.6199999</v>
      </c>
      <c r="F3590" s="502" t="s">
        <v>878</v>
      </c>
      <c r="G3590" s="100" t="s">
        <v>719</v>
      </c>
      <c r="H3590" s="100">
        <v>114583029</v>
      </c>
      <c r="I3590" s="525"/>
      <c r="K3590" s="548"/>
      <c r="L3590" s="548"/>
      <c r="M3590" s="548"/>
      <c r="N3590" s="552"/>
      <c r="Y3590" s="551"/>
    </row>
    <row r="3591" spans="1:25">
      <c r="A3591" s="499">
        <v>45601</v>
      </c>
      <c r="B3591" s="499">
        <v>45608</v>
      </c>
      <c r="C3591" s="500" t="s">
        <v>173</v>
      </c>
      <c r="D3591" s="500" t="s">
        <v>762</v>
      </c>
      <c r="E3591" s="501">
        <v>26069460.039999999</v>
      </c>
      <c r="F3591" s="502" t="s">
        <v>878</v>
      </c>
      <c r="G3591" s="100" t="s">
        <v>719</v>
      </c>
      <c r="H3591" s="100">
        <v>114583054</v>
      </c>
      <c r="I3591" s="525"/>
      <c r="K3591" s="548"/>
      <c r="L3591" s="548"/>
      <c r="M3591" s="548"/>
      <c r="N3591" s="552"/>
      <c r="Y3591" s="551"/>
    </row>
    <row r="3592" spans="1:25">
      <c r="A3592" s="499">
        <v>45601</v>
      </c>
      <c r="B3592" s="499">
        <v>45601</v>
      </c>
      <c r="C3592" s="500" t="s">
        <v>173</v>
      </c>
      <c r="D3592" s="500" t="s">
        <v>761</v>
      </c>
      <c r="E3592" s="501">
        <v>-510451990.56</v>
      </c>
      <c r="F3592" s="502" t="s">
        <v>878</v>
      </c>
      <c r="G3592" s="100" t="s">
        <v>680</v>
      </c>
      <c r="H3592" s="530"/>
      <c r="I3592" s="525"/>
      <c r="K3592" s="548"/>
      <c r="L3592" s="548"/>
      <c r="M3592" s="548"/>
      <c r="N3592" s="552"/>
      <c r="Y3592" s="551"/>
    </row>
    <row r="3593" spans="1:25">
      <c r="A3593" s="499">
        <v>45601</v>
      </c>
      <c r="B3593" s="499">
        <v>45601</v>
      </c>
      <c r="C3593" s="500" t="s">
        <v>173</v>
      </c>
      <c r="D3593" s="500" t="s">
        <v>761</v>
      </c>
      <c r="E3593" s="501">
        <v>-2001772.51</v>
      </c>
      <c r="F3593" s="502" t="s">
        <v>878</v>
      </c>
      <c r="G3593" s="100" t="s">
        <v>680</v>
      </c>
      <c r="H3593" s="530"/>
      <c r="I3593" s="525"/>
      <c r="K3593" s="548"/>
      <c r="L3593" s="548"/>
      <c r="M3593" s="548"/>
      <c r="N3593" s="552"/>
      <c r="Y3593" s="551"/>
    </row>
    <row r="3594" spans="1:25">
      <c r="A3594" s="499">
        <v>45601</v>
      </c>
      <c r="B3594" s="499">
        <v>45602</v>
      </c>
      <c r="C3594" s="500" t="s">
        <v>173</v>
      </c>
      <c r="D3594" s="500" t="s">
        <v>761</v>
      </c>
      <c r="E3594" s="501">
        <v>510643061.38999999</v>
      </c>
      <c r="F3594" s="502" t="s">
        <v>878</v>
      </c>
      <c r="G3594" s="100" t="s">
        <v>680</v>
      </c>
      <c r="H3594" s="484">
        <v>114582299</v>
      </c>
      <c r="I3594" s="525"/>
      <c r="K3594" s="548"/>
      <c r="L3594" s="548"/>
      <c r="M3594" s="548"/>
      <c r="N3594" s="552"/>
      <c r="Y3594" s="551"/>
    </row>
    <row r="3595" spans="1:25">
      <c r="A3595" s="499">
        <v>45601</v>
      </c>
      <c r="B3595" s="499">
        <v>45602</v>
      </c>
      <c r="C3595" s="500" t="s">
        <v>173</v>
      </c>
      <c r="D3595" s="500" t="s">
        <v>761</v>
      </c>
      <c r="E3595" s="501">
        <v>2002521.81</v>
      </c>
      <c r="F3595" s="502" t="s">
        <v>878</v>
      </c>
      <c r="G3595" s="100" t="s">
        <v>680</v>
      </c>
      <c r="H3595" s="484">
        <v>114582399</v>
      </c>
      <c r="I3595" s="525"/>
      <c r="K3595" s="548"/>
      <c r="L3595" s="548"/>
      <c r="M3595" s="548"/>
      <c r="N3595" s="552"/>
      <c r="Y3595" s="551"/>
    </row>
    <row r="3596" spans="1:25">
      <c r="A3596" s="499">
        <v>45601</v>
      </c>
      <c r="B3596" s="499">
        <v>45601</v>
      </c>
      <c r="C3596" s="500" t="s">
        <v>173</v>
      </c>
      <c r="D3596" s="500" t="s">
        <v>759</v>
      </c>
      <c r="E3596" s="501">
        <v>-1992515087.3800001</v>
      </c>
      <c r="F3596" s="502" t="s">
        <v>878</v>
      </c>
      <c r="G3596" s="100" t="s">
        <v>631</v>
      </c>
      <c r="H3596" s="530"/>
      <c r="I3596" s="525"/>
      <c r="K3596" s="548"/>
      <c r="L3596" s="548"/>
      <c r="M3596" s="548"/>
      <c r="N3596" s="552"/>
      <c r="Y3596" s="551"/>
    </row>
    <row r="3597" spans="1:25">
      <c r="A3597" s="499">
        <v>45601</v>
      </c>
      <c r="B3597" s="499">
        <v>45601</v>
      </c>
      <c r="C3597" s="500" t="s">
        <v>173</v>
      </c>
      <c r="D3597" s="500" t="s">
        <v>759</v>
      </c>
      <c r="E3597" s="501">
        <v>-9004137.4600000009</v>
      </c>
      <c r="F3597" s="502" t="s">
        <v>878</v>
      </c>
      <c r="G3597" s="100" t="s">
        <v>800</v>
      </c>
      <c r="H3597" s="530"/>
      <c r="I3597" s="525"/>
      <c r="K3597" s="548"/>
      <c r="L3597" s="548"/>
      <c r="M3597" s="548"/>
      <c r="N3597" s="552"/>
      <c r="Y3597" s="551"/>
    </row>
    <row r="3598" spans="1:25">
      <c r="A3598" s="499">
        <v>45601</v>
      </c>
      <c r="B3598" s="499">
        <v>45602</v>
      </c>
      <c r="C3598" s="500" t="s">
        <v>173</v>
      </c>
      <c r="D3598" s="500" t="s">
        <v>759</v>
      </c>
      <c r="E3598" s="501">
        <v>1993260375.1300001</v>
      </c>
      <c r="F3598" s="502" t="s">
        <v>878</v>
      </c>
      <c r="G3598" s="100" t="s">
        <v>631</v>
      </c>
      <c r="H3598" s="100">
        <v>114581689</v>
      </c>
      <c r="I3598" s="525"/>
      <c r="K3598" s="548"/>
      <c r="L3598" s="548"/>
      <c r="M3598" s="548"/>
      <c r="N3598" s="552"/>
      <c r="Y3598" s="551"/>
    </row>
    <row r="3599" spans="1:25">
      <c r="A3599" s="499">
        <v>45601</v>
      </c>
      <c r="B3599" s="499">
        <v>45602</v>
      </c>
      <c r="C3599" s="500" t="s">
        <v>173</v>
      </c>
      <c r="D3599" s="500" t="s">
        <v>759</v>
      </c>
      <c r="E3599" s="501">
        <v>9007449.1899999995</v>
      </c>
      <c r="F3599" s="502" t="s">
        <v>878</v>
      </c>
      <c r="G3599" s="100" t="s">
        <v>800</v>
      </c>
      <c r="H3599" s="100">
        <v>114586812</v>
      </c>
      <c r="I3599" s="525"/>
      <c r="K3599" s="548"/>
      <c r="L3599" s="548"/>
      <c r="M3599" s="548"/>
      <c r="N3599" s="552"/>
      <c r="Y3599" s="551"/>
    </row>
    <row r="3600" spans="1:25">
      <c r="A3600" s="499">
        <v>45601</v>
      </c>
      <c r="B3600" s="499">
        <v>45601</v>
      </c>
      <c r="C3600" s="500" t="s">
        <v>173</v>
      </c>
      <c r="D3600" s="500" t="s">
        <v>760</v>
      </c>
      <c r="E3600" s="501">
        <v>-320230467.19999999</v>
      </c>
      <c r="F3600" s="502" t="s">
        <v>878</v>
      </c>
      <c r="G3600" s="100" t="s">
        <v>671</v>
      </c>
      <c r="H3600" s="530"/>
      <c r="I3600" s="525"/>
      <c r="K3600" s="548"/>
      <c r="L3600" s="548"/>
      <c r="M3600" s="548"/>
      <c r="N3600" s="552"/>
      <c r="Y3600" s="551"/>
    </row>
    <row r="3601" spans="1:25">
      <c r="A3601" s="499">
        <v>45601</v>
      </c>
      <c r="B3601" s="499">
        <v>45601</v>
      </c>
      <c r="C3601" s="500" t="s">
        <v>173</v>
      </c>
      <c r="D3601" s="500" t="s">
        <v>760</v>
      </c>
      <c r="E3601" s="501">
        <v>-363302493.35000002</v>
      </c>
      <c r="F3601" s="502" t="s">
        <v>878</v>
      </c>
      <c r="G3601" s="100" t="s">
        <v>821</v>
      </c>
      <c r="H3601" s="530"/>
      <c r="I3601" s="525"/>
      <c r="K3601" s="548"/>
      <c r="L3601" s="548"/>
      <c r="M3601" s="548"/>
      <c r="N3601" s="552"/>
      <c r="Y3601" s="551"/>
    </row>
    <row r="3602" spans="1:25">
      <c r="A3602" s="499">
        <v>45601</v>
      </c>
      <c r="B3602" s="499">
        <v>45601</v>
      </c>
      <c r="C3602" s="500" t="s">
        <v>173</v>
      </c>
      <c r="D3602" s="500" t="s">
        <v>760</v>
      </c>
      <c r="E3602" s="501">
        <v>-366055065.43000001</v>
      </c>
      <c r="F3602" s="502" t="s">
        <v>878</v>
      </c>
      <c r="G3602" s="100" t="s">
        <v>596</v>
      </c>
      <c r="H3602" s="530"/>
      <c r="I3602" s="525"/>
      <c r="K3602" s="548"/>
      <c r="L3602" s="548"/>
      <c r="M3602" s="548"/>
      <c r="N3602" s="552"/>
      <c r="Y3602" s="551"/>
    </row>
    <row r="3603" spans="1:25">
      <c r="A3603" s="499">
        <v>45601</v>
      </c>
      <c r="B3603" s="499">
        <v>45601</v>
      </c>
      <c r="C3603" s="500" t="s">
        <v>173</v>
      </c>
      <c r="D3603" s="500" t="s">
        <v>760</v>
      </c>
      <c r="E3603" s="501">
        <v>-201073067.12</v>
      </c>
      <c r="F3603" s="502" t="s">
        <v>878</v>
      </c>
      <c r="G3603" s="100" t="s">
        <v>692</v>
      </c>
      <c r="H3603" s="530"/>
      <c r="I3603" s="525"/>
      <c r="K3603" s="548"/>
      <c r="L3603" s="548"/>
      <c r="M3603" s="548"/>
      <c r="N3603" s="552"/>
      <c r="Y3603" s="551"/>
    </row>
    <row r="3604" spans="1:25">
      <c r="A3604" s="499">
        <v>45601</v>
      </c>
      <c r="B3604" s="499">
        <v>45601</v>
      </c>
      <c r="C3604" s="500" t="s">
        <v>173</v>
      </c>
      <c r="D3604" s="500" t="s">
        <v>760</v>
      </c>
      <c r="E3604" s="501">
        <v>-34008365.899999999</v>
      </c>
      <c r="F3604" s="502" t="s">
        <v>878</v>
      </c>
      <c r="G3604" s="100" t="s">
        <v>590</v>
      </c>
      <c r="H3604" s="530"/>
      <c r="I3604" s="525"/>
      <c r="K3604" s="548"/>
      <c r="L3604" s="548"/>
      <c r="M3604" s="548"/>
      <c r="N3604" s="552"/>
      <c r="Y3604" s="551"/>
    </row>
    <row r="3605" spans="1:25">
      <c r="A3605" s="499">
        <v>45601</v>
      </c>
      <c r="B3605" s="499">
        <v>45602</v>
      </c>
      <c r="C3605" s="500" t="s">
        <v>173</v>
      </c>
      <c r="D3605" s="500" t="s">
        <v>760</v>
      </c>
      <c r="E3605" s="501">
        <v>320350246.51999998</v>
      </c>
      <c r="F3605" s="502" t="s">
        <v>878</v>
      </c>
      <c r="G3605" s="100" t="s">
        <v>671</v>
      </c>
      <c r="H3605" s="484">
        <v>114582763</v>
      </c>
      <c r="I3605" s="525"/>
      <c r="K3605" s="548"/>
      <c r="L3605" s="548"/>
      <c r="M3605" s="548"/>
      <c r="N3605" s="552"/>
      <c r="Y3605" s="551"/>
    </row>
    <row r="3606" spans="1:25">
      <c r="A3606" s="499">
        <v>45601</v>
      </c>
      <c r="B3606" s="499">
        <v>45602</v>
      </c>
      <c r="C3606" s="500" t="s">
        <v>173</v>
      </c>
      <c r="D3606" s="500" t="s">
        <v>760</v>
      </c>
      <c r="E3606" s="501">
        <v>363438383.37</v>
      </c>
      <c r="F3606" s="502" t="s">
        <v>878</v>
      </c>
      <c r="G3606" s="100" t="s">
        <v>821</v>
      </c>
      <c r="H3606" s="484">
        <v>114582766</v>
      </c>
      <c r="I3606" s="525"/>
      <c r="K3606" s="548"/>
      <c r="L3606" s="548"/>
      <c r="M3606" s="548"/>
      <c r="N3606" s="552"/>
      <c r="Y3606" s="551"/>
    </row>
    <row r="3607" spans="1:25">
      <c r="A3607" s="499">
        <v>45601</v>
      </c>
      <c r="B3607" s="499">
        <v>45602</v>
      </c>
      <c r="C3607" s="500" t="s">
        <v>173</v>
      </c>
      <c r="D3607" s="500" t="s">
        <v>760</v>
      </c>
      <c r="E3607" s="501">
        <v>366191985.02999997</v>
      </c>
      <c r="F3607" s="502" t="s">
        <v>878</v>
      </c>
      <c r="G3607" s="100" t="s">
        <v>596</v>
      </c>
      <c r="H3607" s="484">
        <v>114582769</v>
      </c>
      <c r="I3607" s="525"/>
      <c r="K3607" s="548"/>
      <c r="L3607" s="548"/>
      <c r="M3607" s="548"/>
      <c r="N3607" s="552"/>
      <c r="Y3607" s="551"/>
    </row>
    <row r="3608" spans="1:25">
      <c r="A3608" s="499">
        <v>45601</v>
      </c>
      <c r="B3608" s="499">
        <v>45602</v>
      </c>
      <c r="C3608" s="500" t="s">
        <v>173</v>
      </c>
      <c r="D3608" s="500" t="s">
        <v>760</v>
      </c>
      <c r="E3608" s="501">
        <v>201148276.69</v>
      </c>
      <c r="F3608" s="502" t="s">
        <v>878</v>
      </c>
      <c r="G3608" s="100" t="s">
        <v>692</v>
      </c>
      <c r="H3608" s="484">
        <v>114582772</v>
      </c>
      <c r="I3608" s="525"/>
      <c r="K3608" s="548"/>
      <c r="L3608" s="548"/>
      <c r="M3608" s="548"/>
      <c r="N3608" s="552"/>
      <c r="Y3608" s="551"/>
    </row>
    <row r="3609" spans="1:25">
      <c r="A3609" s="499">
        <v>45601</v>
      </c>
      <c r="B3609" s="499">
        <v>45602</v>
      </c>
      <c r="C3609" s="500" t="s">
        <v>173</v>
      </c>
      <c r="D3609" s="500" t="s">
        <v>760</v>
      </c>
      <c r="E3609" s="501">
        <v>34021049.530000001</v>
      </c>
      <c r="F3609" s="502" t="s">
        <v>878</v>
      </c>
      <c r="G3609" s="100" t="s">
        <v>590</v>
      </c>
      <c r="H3609" s="484">
        <v>114582941</v>
      </c>
      <c r="I3609" s="525"/>
      <c r="K3609" s="548"/>
      <c r="L3609" s="548"/>
      <c r="M3609" s="548"/>
      <c r="N3609" s="552"/>
      <c r="Y3609" s="551"/>
    </row>
    <row r="3610" spans="1:25">
      <c r="A3610" s="499">
        <v>45601</v>
      </c>
      <c r="B3610" s="499">
        <v>45601</v>
      </c>
      <c r="C3610" s="500" t="s">
        <v>173</v>
      </c>
      <c r="D3610" s="500" t="s">
        <v>763</v>
      </c>
      <c r="E3610" s="501">
        <v>-2296934692.4200001</v>
      </c>
      <c r="F3610" s="502" t="s">
        <v>878</v>
      </c>
      <c r="G3610" s="100" t="s">
        <v>816</v>
      </c>
      <c r="H3610" s="530"/>
      <c r="I3610" s="525"/>
      <c r="K3610" s="548"/>
      <c r="L3610" s="548"/>
      <c r="M3610" s="548"/>
      <c r="N3610" s="552"/>
      <c r="Y3610" s="551"/>
    </row>
    <row r="3611" spans="1:25">
      <c r="A3611" s="499">
        <v>45601</v>
      </c>
      <c r="B3611" s="499">
        <v>45601</v>
      </c>
      <c r="C3611" s="500" t="s">
        <v>173</v>
      </c>
      <c r="D3611" s="500" t="s">
        <v>763</v>
      </c>
      <c r="E3611" s="501">
        <v>-2923981142.9499998</v>
      </c>
      <c r="F3611" s="502" t="s">
        <v>878</v>
      </c>
      <c r="G3611" s="100" t="s">
        <v>684</v>
      </c>
      <c r="H3611" s="530"/>
      <c r="I3611" s="525"/>
      <c r="K3611" s="548"/>
      <c r="L3611" s="548"/>
      <c r="M3611" s="548"/>
      <c r="N3611" s="552"/>
      <c r="Y3611" s="551"/>
    </row>
    <row r="3612" spans="1:25">
      <c r="A3612" s="499">
        <v>45601</v>
      </c>
      <c r="B3612" s="499">
        <v>45601</v>
      </c>
      <c r="C3612" s="500" t="s">
        <v>173</v>
      </c>
      <c r="D3612" s="500" t="s">
        <v>763</v>
      </c>
      <c r="E3612" s="501">
        <v>-206073218.16999999</v>
      </c>
      <c r="F3612" s="502" t="s">
        <v>878</v>
      </c>
      <c r="G3612" s="100" t="s">
        <v>686</v>
      </c>
      <c r="H3612" s="530"/>
      <c r="I3612" s="525"/>
      <c r="K3612" s="548"/>
      <c r="L3612" s="548"/>
      <c r="M3612" s="548"/>
      <c r="N3612" s="552"/>
      <c r="Y3612" s="551"/>
    </row>
    <row r="3613" spans="1:25">
      <c r="A3613" s="499">
        <v>45601</v>
      </c>
      <c r="B3613" s="499">
        <v>45601</v>
      </c>
      <c r="C3613" s="500" t="s">
        <v>173</v>
      </c>
      <c r="D3613" s="500" t="s">
        <v>763</v>
      </c>
      <c r="E3613" s="501">
        <v>-20007108.559999999</v>
      </c>
      <c r="F3613" s="502" t="s">
        <v>878</v>
      </c>
      <c r="G3613" s="100" t="s">
        <v>686</v>
      </c>
      <c r="H3613" s="530"/>
      <c r="I3613" s="525"/>
      <c r="K3613" s="548"/>
      <c r="L3613" s="548"/>
      <c r="M3613" s="548"/>
      <c r="N3613" s="552"/>
      <c r="Y3613" s="551"/>
    </row>
    <row r="3614" spans="1:25">
      <c r="A3614" s="499">
        <v>45601</v>
      </c>
      <c r="B3614" s="499">
        <v>45602</v>
      </c>
      <c r="C3614" s="500" t="s">
        <v>173</v>
      </c>
      <c r="D3614" s="500" t="s">
        <v>763</v>
      </c>
      <c r="E3614" s="501">
        <v>2297791963.6700001</v>
      </c>
      <c r="F3614" s="502" t="s">
        <v>878</v>
      </c>
      <c r="G3614" s="100" t="s">
        <v>816</v>
      </c>
      <c r="H3614" s="100">
        <v>114583630</v>
      </c>
      <c r="I3614" s="525"/>
      <c r="K3614" s="548"/>
      <c r="L3614" s="548"/>
      <c r="M3614" s="548"/>
      <c r="N3614" s="552"/>
      <c r="Y3614" s="551"/>
    </row>
    <row r="3615" spans="1:25">
      <c r="A3615" s="499">
        <v>45601</v>
      </c>
      <c r="B3615" s="499">
        <v>45602</v>
      </c>
      <c r="C3615" s="500" t="s">
        <v>173</v>
      </c>
      <c r="D3615" s="500" t="s">
        <v>763</v>
      </c>
      <c r="E3615" s="501">
        <v>2925072443.02</v>
      </c>
      <c r="F3615" s="502" t="s">
        <v>878</v>
      </c>
      <c r="G3615" s="100" t="s">
        <v>684</v>
      </c>
      <c r="H3615" s="100">
        <v>114583633</v>
      </c>
      <c r="I3615" s="525"/>
      <c r="K3615" s="548"/>
      <c r="L3615" s="548"/>
      <c r="M3615" s="548"/>
      <c r="N3615" s="552"/>
      <c r="Y3615" s="551"/>
    </row>
    <row r="3616" spans="1:25">
      <c r="A3616" s="499">
        <v>45601</v>
      </c>
      <c r="B3616" s="499">
        <v>45602</v>
      </c>
      <c r="C3616" s="500" t="s">
        <v>173</v>
      </c>
      <c r="D3616" s="500" t="s">
        <v>763</v>
      </c>
      <c r="E3616" s="501">
        <v>206150074.47</v>
      </c>
      <c r="F3616" s="502" t="s">
        <v>878</v>
      </c>
      <c r="G3616" s="100" t="s">
        <v>686</v>
      </c>
      <c r="H3616" s="100">
        <v>114583636</v>
      </c>
      <c r="I3616" s="525"/>
      <c r="K3616" s="548"/>
      <c r="L3616" s="548"/>
      <c r="M3616" s="548"/>
      <c r="N3616" s="552"/>
      <c r="Q3616" s="539">
        <v>-1</v>
      </c>
      <c r="Y3616" s="551"/>
    </row>
    <row r="3617" spans="1:25">
      <c r="A3617" s="499">
        <v>45601</v>
      </c>
      <c r="B3617" s="499">
        <v>45602</v>
      </c>
      <c r="C3617" s="500" t="s">
        <v>173</v>
      </c>
      <c r="D3617" s="500" t="s">
        <v>763</v>
      </c>
      <c r="E3617" s="501">
        <v>20014570.34</v>
      </c>
      <c r="F3617" s="502" t="s">
        <v>878</v>
      </c>
      <c r="G3617" s="100" t="s">
        <v>686</v>
      </c>
      <c r="H3617" s="100">
        <v>114583649</v>
      </c>
      <c r="I3617" s="525"/>
      <c r="K3617" s="548"/>
      <c r="L3617" s="548"/>
      <c r="M3617" s="548"/>
      <c r="N3617" s="552"/>
      <c r="Y3617" s="551"/>
    </row>
    <row r="3618" spans="1:25">
      <c r="A3618" s="499">
        <v>45602</v>
      </c>
      <c r="B3618" s="499">
        <v>45602</v>
      </c>
      <c r="C3618" s="500" t="s">
        <v>173</v>
      </c>
      <c r="D3618" s="500" t="s">
        <v>761</v>
      </c>
      <c r="E3618" s="501">
        <v>-349033788.44</v>
      </c>
      <c r="F3618" s="502" t="s">
        <v>878</v>
      </c>
      <c r="G3618" s="100" t="s">
        <v>602</v>
      </c>
      <c r="H3618" s="530"/>
      <c r="I3618" s="525"/>
      <c r="K3618" s="548"/>
      <c r="L3618" s="548"/>
      <c r="M3618" s="548"/>
      <c r="N3618" s="552"/>
      <c r="Y3618" s="551"/>
    </row>
    <row r="3619" spans="1:25">
      <c r="A3619" s="499">
        <v>45602</v>
      </c>
      <c r="B3619" s="499">
        <v>45602</v>
      </c>
      <c r="C3619" s="500" t="s">
        <v>173</v>
      </c>
      <c r="D3619" s="500" t="s">
        <v>761</v>
      </c>
      <c r="E3619" s="501">
        <v>-149027991.88999999</v>
      </c>
      <c r="F3619" s="502" t="s">
        <v>878</v>
      </c>
      <c r="G3619" s="100" t="s">
        <v>695</v>
      </c>
      <c r="H3619" s="530"/>
      <c r="I3619" s="525"/>
      <c r="K3619" s="548"/>
      <c r="L3619" s="548"/>
      <c r="M3619" s="548"/>
      <c r="N3619" s="552"/>
      <c r="Y3619" s="551"/>
    </row>
    <row r="3620" spans="1:25">
      <c r="A3620" s="499">
        <v>45602</v>
      </c>
      <c r="B3620" s="499">
        <v>45602</v>
      </c>
      <c r="C3620" s="500" t="s">
        <v>173</v>
      </c>
      <c r="D3620" s="500" t="s">
        <v>761</v>
      </c>
      <c r="E3620" s="501">
        <v>-2000000.44</v>
      </c>
      <c r="F3620" s="502" t="s">
        <v>878</v>
      </c>
      <c r="G3620" s="100" t="s">
        <v>796</v>
      </c>
      <c r="H3620" s="530"/>
      <c r="I3620" s="525"/>
      <c r="K3620" s="548"/>
      <c r="L3620" s="548"/>
      <c r="M3620" s="548"/>
      <c r="N3620" s="552"/>
      <c r="Y3620" s="551"/>
    </row>
    <row r="3621" spans="1:25">
      <c r="A3621" s="499">
        <v>45602</v>
      </c>
      <c r="B3621" s="499">
        <v>45602</v>
      </c>
      <c r="C3621" s="500" t="s">
        <v>173</v>
      </c>
      <c r="D3621" s="500" t="s">
        <v>761</v>
      </c>
      <c r="E3621" s="501">
        <v>-888447561.76999998</v>
      </c>
      <c r="F3621" s="502" t="s">
        <v>878</v>
      </c>
      <c r="G3621" s="100" t="s">
        <v>686</v>
      </c>
      <c r="H3621" s="530"/>
      <c r="I3621" s="525"/>
      <c r="K3621" s="548"/>
      <c r="L3621" s="548"/>
      <c r="M3621" s="548"/>
      <c r="N3621" s="552"/>
      <c r="Y3621" s="551"/>
    </row>
    <row r="3622" spans="1:25">
      <c r="A3622" s="499">
        <v>45602</v>
      </c>
      <c r="B3622" s="499">
        <v>45602</v>
      </c>
      <c r="C3622" s="500" t="s">
        <v>173</v>
      </c>
      <c r="D3622" s="500" t="s">
        <v>761</v>
      </c>
      <c r="E3622" s="501">
        <v>-3002459.62</v>
      </c>
      <c r="F3622" s="502" t="s">
        <v>878</v>
      </c>
      <c r="G3622" s="100" t="s">
        <v>816</v>
      </c>
      <c r="H3622" s="530"/>
      <c r="I3622" s="525"/>
      <c r="K3622" s="548"/>
      <c r="L3622" s="548"/>
      <c r="M3622" s="548"/>
      <c r="N3622" s="552"/>
      <c r="Y3622" s="551"/>
    </row>
    <row r="3623" spans="1:25">
      <c r="A3623" s="499">
        <v>45602</v>
      </c>
      <c r="B3623" s="499">
        <v>45603</v>
      </c>
      <c r="C3623" s="500" t="s">
        <v>173</v>
      </c>
      <c r="D3623" s="500" t="s">
        <v>761</v>
      </c>
      <c r="E3623" s="501">
        <v>349164437.69999999</v>
      </c>
      <c r="F3623" s="502" t="s">
        <v>878</v>
      </c>
      <c r="G3623" s="100" t="s">
        <v>602</v>
      </c>
      <c r="H3623" s="484">
        <v>114603226</v>
      </c>
      <c r="I3623" s="525"/>
      <c r="K3623" s="548"/>
      <c r="L3623" s="548"/>
      <c r="M3623" s="548"/>
      <c r="N3623" s="552"/>
      <c r="Y3623" s="551"/>
    </row>
    <row r="3624" spans="1:25">
      <c r="A3624" s="499">
        <v>45602</v>
      </c>
      <c r="B3624" s="499">
        <v>45603</v>
      </c>
      <c r="C3624" s="500" t="s">
        <v>173</v>
      </c>
      <c r="D3624" s="500" t="s">
        <v>761</v>
      </c>
      <c r="E3624" s="501">
        <v>149083775.59</v>
      </c>
      <c r="F3624" s="502" t="s">
        <v>878</v>
      </c>
      <c r="G3624" s="100" t="s">
        <v>695</v>
      </c>
      <c r="H3624" s="484">
        <v>114603256</v>
      </c>
      <c r="I3624" s="525"/>
      <c r="K3624" s="548"/>
      <c r="L3624" s="548"/>
      <c r="M3624" s="548"/>
      <c r="N3624" s="552"/>
      <c r="Y3624" s="551"/>
    </row>
    <row r="3625" spans="1:25">
      <c r="A3625" s="499">
        <v>45602</v>
      </c>
      <c r="B3625" s="499">
        <v>45603</v>
      </c>
      <c r="C3625" s="500" t="s">
        <v>173</v>
      </c>
      <c r="D3625" s="500" t="s">
        <v>761</v>
      </c>
      <c r="E3625" s="501">
        <v>2000749.07</v>
      </c>
      <c r="F3625" s="502" t="s">
        <v>878</v>
      </c>
      <c r="G3625" s="100" t="s">
        <v>796</v>
      </c>
      <c r="H3625" s="484">
        <v>114603303</v>
      </c>
      <c r="I3625" s="525"/>
      <c r="K3625" s="548"/>
      <c r="L3625" s="548"/>
      <c r="M3625" s="548"/>
      <c r="N3625" s="552"/>
      <c r="Y3625" s="551"/>
    </row>
    <row r="3626" spans="1:25">
      <c r="A3626" s="499">
        <v>45602</v>
      </c>
      <c r="B3626" s="499">
        <v>45609</v>
      </c>
      <c r="C3626" s="500" t="s">
        <v>173</v>
      </c>
      <c r="D3626" s="500" t="s">
        <v>761</v>
      </c>
      <c r="E3626" s="501">
        <v>890826465.08000004</v>
      </c>
      <c r="F3626" s="502" t="s">
        <v>878</v>
      </c>
      <c r="G3626" s="100" t="s">
        <v>686</v>
      </c>
      <c r="H3626" s="484">
        <v>114605419</v>
      </c>
      <c r="I3626" s="525"/>
      <c r="K3626" s="548"/>
      <c r="L3626" s="548"/>
      <c r="M3626" s="548"/>
      <c r="N3626" s="552"/>
      <c r="Y3626" s="551"/>
    </row>
    <row r="3627" spans="1:25">
      <c r="A3627" s="499">
        <v>45602</v>
      </c>
      <c r="B3627" s="499">
        <v>45609</v>
      </c>
      <c r="C3627" s="500" t="s">
        <v>173</v>
      </c>
      <c r="D3627" s="500" t="s">
        <v>761</v>
      </c>
      <c r="E3627" s="501">
        <v>3010441.57</v>
      </c>
      <c r="F3627" s="502" t="s">
        <v>878</v>
      </c>
      <c r="G3627" s="100" t="s">
        <v>816</v>
      </c>
      <c r="H3627" s="484">
        <v>114605813</v>
      </c>
      <c r="I3627" s="525"/>
      <c r="K3627" s="548"/>
      <c r="L3627" s="548"/>
      <c r="M3627" s="548"/>
      <c r="N3627" s="552"/>
      <c r="Y3627" s="551"/>
    </row>
    <row r="3628" spans="1:25">
      <c r="A3628" s="499">
        <v>45602</v>
      </c>
      <c r="B3628" s="499">
        <v>45602</v>
      </c>
      <c r="C3628" s="500" t="s">
        <v>173</v>
      </c>
      <c r="D3628" s="500" t="s">
        <v>759</v>
      </c>
      <c r="E3628" s="501">
        <v>-1082226073.0799999</v>
      </c>
      <c r="F3628" s="502" t="s">
        <v>878</v>
      </c>
      <c r="G3628" s="100" t="s">
        <v>717</v>
      </c>
      <c r="H3628" s="530"/>
      <c r="I3628" s="525"/>
      <c r="K3628" s="548"/>
      <c r="L3628" s="548"/>
      <c r="M3628" s="548"/>
      <c r="N3628" s="552"/>
      <c r="Y3628" s="551"/>
    </row>
    <row r="3629" spans="1:25">
      <c r="A3629" s="499">
        <v>45602</v>
      </c>
      <c r="B3629" s="499">
        <v>45602</v>
      </c>
      <c r="C3629" s="500" t="s">
        <v>173</v>
      </c>
      <c r="D3629" s="500" t="s">
        <v>759</v>
      </c>
      <c r="E3629" s="501">
        <v>-912702447.94000006</v>
      </c>
      <c r="F3629" s="502" t="s">
        <v>878</v>
      </c>
      <c r="G3629" s="100" t="s">
        <v>681</v>
      </c>
      <c r="H3629" s="530"/>
      <c r="I3629" s="525"/>
      <c r="K3629" s="548"/>
      <c r="L3629" s="548"/>
      <c r="M3629" s="548"/>
      <c r="N3629" s="552"/>
      <c r="Y3629" s="551"/>
    </row>
    <row r="3630" spans="1:25">
      <c r="A3630" s="499">
        <v>45602</v>
      </c>
      <c r="B3630" s="499">
        <v>45602</v>
      </c>
      <c r="C3630" s="500" t="s">
        <v>173</v>
      </c>
      <c r="D3630" s="500" t="s">
        <v>759</v>
      </c>
      <c r="E3630" s="501">
        <v>-7005732.6699999999</v>
      </c>
      <c r="F3630" s="502" t="s">
        <v>878</v>
      </c>
      <c r="G3630" s="100" t="s">
        <v>800</v>
      </c>
      <c r="H3630" s="530"/>
      <c r="I3630" s="525"/>
      <c r="K3630" s="548"/>
      <c r="L3630" s="548"/>
      <c r="M3630" s="548"/>
      <c r="N3630" s="552"/>
      <c r="Y3630" s="551"/>
    </row>
    <row r="3631" spans="1:25">
      <c r="A3631" s="499">
        <v>45602</v>
      </c>
      <c r="B3631" s="499">
        <v>45603</v>
      </c>
      <c r="C3631" s="500" t="s">
        <v>173</v>
      </c>
      <c r="D3631" s="500" t="s">
        <v>759</v>
      </c>
      <c r="E3631" s="501">
        <v>1082631168.6300001</v>
      </c>
      <c r="F3631" s="502" t="s">
        <v>878</v>
      </c>
      <c r="G3631" s="100" t="s">
        <v>717</v>
      </c>
      <c r="H3631" s="484">
        <v>114603414</v>
      </c>
      <c r="I3631" s="525"/>
      <c r="K3631" s="548"/>
      <c r="L3631" s="548"/>
      <c r="M3631" s="548"/>
      <c r="N3631" s="552"/>
      <c r="Y3631" s="551"/>
    </row>
    <row r="3632" spans="1:25">
      <c r="A3632" s="499">
        <v>45602</v>
      </c>
      <c r="B3632" s="499">
        <v>45603</v>
      </c>
      <c r="C3632" s="500" t="s">
        <v>173</v>
      </c>
      <c r="D3632" s="500" t="s">
        <v>759</v>
      </c>
      <c r="E3632" s="501">
        <v>913044087.92999995</v>
      </c>
      <c r="F3632" s="502" t="s">
        <v>878</v>
      </c>
      <c r="G3632" s="100" t="s">
        <v>681</v>
      </c>
      <c r="H3632" s="484">
        <v>114603448</v>
      </c>
      <c r="I3632" s="525"/>
      <c r="K3632" s="548"/>
      <c r="L3632" s="548"/>
      <c r="M3632" s="548"/>
      <c r="N3632" s="552"/>
      <c r="Y3632" s="551"/>
    </row>
    <row r="3633" spans="1:25">
      <c r="A3633" s="499">
        <v>45602</v>
      </c>
      <c r="B3633" s="499">
        <v>45603</v>
      </c>
      <c r="C3633" s="500" t="s">
        <v>173</v>
      </c>
      <c r="D3633" s="500" t="s">
        <v>759</v>
      </c>
      <c r="E3633" s="501">
        <v>7008364.6200000001</v>
      </c>
      <c r="F3633" s="502" t="s">
        <v>878</v>
      </c>
      <c r="G3633" s="100" t="s">
        <v>800</v>
      </c>
      <c r="H3633" s="484">
        <v>114607009</v>
      </c>
      <c r="I3633" s="525"/>
      <c r="K3633" s="548"/>
      <c r="L3633" s="548"/>
      <c r="M3633" s="548"/>
      <c r="N3633" s="552"/>
      <c r="Y3633" s="551"/>
    </row>
    <row r="3634" spans="1:25">
      <c r="A3634" s="499">
        <v>45602</v>
      </c>
      <c r="B3634" s="499">
        <v>45602</v>
      </c>
      <c r="C3634" s="500" t="s">
        <v>173</v>
      </c>
      <c r="D3634" s="500" t="s">
        <v>760</v>
      </c>
      <c r="E3634" s="501">
        <v>-751036578.80999994</v>
      </c>
      <c r="F3634" s="502" t="s">
        <v>878</v>
      </c>
      <c r="G3634" s="100" t="s">
        <v>631</v>
      </c>
      <c r="H3634" s="530"/>
      <c r="I3634" s="525"/>
      <c r="K3634" s="548"/>
      <c r="L3634" s="548"/>
      <c r="M3634" s="548"/>
      <c r="N3634" s="552"/>
      <c r="Y3634" s="551"/>
    </row>
    <row r="3635" spans="1:25">
      <c r="A3635" s="499">
        <v>45602</v>
      </c>
      <c r="B3635" s="499">
        <v>45602</v>
      </c>
      <c r="C3635" s="500" t="s">
        <v>173</v>
      </c>
      <c r="D3635" s="500" t="s">
        <v>760</v>
      </c>
      <c r="E3635" s="501">
        <v>-499020904.81</v>
      </c>
      <c r="F3635" s="502" t="s">
        <v>878</v>
      </c>
      <c r="G3635" s="100" t="s">
        <v>633</v>
      </c>
      <c r="H3635" s="530"/>
      <c r="I3635" s="525"/>
      <c r="K3635" s="548"/>
      <c r="L3635" s="548"/>
      <c r="M3635" s="548"/>
      <c r="N3635" s="552"/>
      <c r="Y3635" s="551"/>
    </row>
    <row r="3636" spans="1:25">
      <c r="A3636" s="499">
        <v>45602</v>
      </c>
      <c r="B3636" s="499">
        <v>45602</v>
      </c>
      <c r="C3636" s="500" t="s">
        <v>173</v>
      </c>
      <c r="D3636" s="500" t="s">
        <v>760</v>
      </c>
      <c r="E3636" s="501">
        <v>-34027371.700000003</v>
      </c>
      <c r="F3636" s="502" t="s">
        <v>878</v>
      </c>
      <c r="G3636" s="100" t="s">
        <v>656</v>
      </c>
      <c r="H3636" s="530"/>
      <c r="I3636" s="525"/>
      <c r="K3636" s="548"/>
      <c r="L3636" s="548"/>
      <c r="M3636" s="548"/>
      <c r="N3636" s="552"/>
      <c r="Y3636" s="551"/>
    </row>
    <row r="3637" spans="1:25">
      <c r="A3637" s="499">
        <v>45602</v>
      </c>
      <c r="B3637" s="499">
        <v>45603</v>
      </c>
      <c r="C3637" s="500" t="s">
        <v>173</v>
      </c>
      <c r="D3637" s="500" t="s">
        <v>760</v>
      </c>
      <c r="E3637" s="501">
        <v>751319549.27999997</v>
      </c>
      <c r="F3637" s="502" t="s">
        <v>878</v>
      </c>
      <c r="G3637" s="100" t="s">
        <v>631</v>
      </c>
      <c r="H3637" s="484">
        <v>114604032</v>
      </c>
      <c r="I3637" s="525"/>
      <c r="K3637" s="548"/>
      <c r="L3637" s="548"/>
      <c r="M3637" s="548"/>
      <c r="N3637" s="552"/>
      <c r="Y3637" s="551"/>
    </row>
    <row r="3638" spans="1:25">
      <c r="A3638" s="499">
        <v>45602</v>
      </c>
      <c r="B3638" s="499">
        <v>45603</v>
      </c>
      <c r="C3638" s="500" t="s">
        <v>173</v>
      </c>
      <c r="D3638" s="500" t="s">
        <v>760</v>
      </c>
      <c r="E3638" s="501">
        <v>499208922.52999997</v>
      </c>
      <c r="F3638" s="502" t="s">
        <v>878</v>
      </c>
      <c r="G3638" s="100" t="s">
        <v>633</v>
      </c>
      <c r="H3638" s="484">
        <v>114604066</v>
      </c>
      <c r="I3638" s="525"/>
      <c r="K3638" s="548"/>
      <c r="L3638" s="548"/>
      <c r="M3638" s="548"/>
      <c r="N3638" s="552"/>
      <c r="Y3638" s="551"/>
    </row>
    <row r="3639" spans="1:25">
      <c r="A3639" s="499">
        <v>45602</v>
      </c>
      <c r="B3639" s="499">
        <v>45603</v>
      </c>
      <c r="C3639" s="500" t="s">
        <v>173</v>
      </c>
      <c r="D3639" s="500" t="s">
        <v>760</v>
      </c>
      <c r="E3639" s="501">
        <v>34040155.210000001</v>
      </c>
      <c r="F3639" s="502" t="s">
        <v>878</v>
      </c>
      <c r="G3639" s="100" t="s">
        <v>656</v>
      </c>
      <c r="H3639" s="484">
        <v>114605377</v>
      </c>
      <c r="I3639" s="525"/>
      <c r="K3639" s="548"/>
      <c r="L3639" s="548"/>
      <c r="M3639" s="548"/>
      <c r="N3639" s="552"/>
      <c r="Y3639" s="551"/>
    </row>
    <row r="3640" spans="1:25">
      <c r="A3640" s="499">
        <v>45602</v>
      </c>
      <c r="B3640" s="499">
        <v>45602</v>
      </c>
      <c r="C3640" s="500" t="s">
        <v>173</v>
      </c>
      <c r="D3640" s="500" t="s">
        <v>764</v>
      </c>
      <c r="E3640" s="501">
        <v>-2981501952.7800002</v>
      </c>
      <c r="F3640" s="502" t="s">
        <v>878</v>
      </c>
      <c r="G3640" s="100" t="s">
        <v>686</v>
      </c>
      <c r="H3640" s="530"/>
      <c r="I3640" s="525"/>
      <c r="K3640" s="548"/>
      <c r="L3640" s="548"/>
      <c r="M3640" s="548"/>
      <c r="N3640" s="552"/>
      <c r="Y3640" s="551"/>
    </row>
    <row r="3641" spans="1:25">
      <c r="A3641" s="499">
        <v>45602</v>
      </c>
      <c r="B3641" s="499">
        <v>45602</v>
      </c>
      <c r="C3641" s="500" t="s">
        <v>173</v>
      </c>
      <c r="D3641" s="500" t="s">
        <v>764</v>
      </c>
      <c r="E3641" s="501">
        <v>-11009018.59</v>
      </c>
      <c r="F3641" s="502" t="s">
        <v>878</v>
      </c>
      <c r="G3641" s="100" t="s">
        <v>816</v>
      </c>
      <c r="H3641" s="530"/>
      <c r="I3641" s="525"/>
      <c r="K3641" s="548"/>
      <c r="L3641" s="548"/>
      <c r="M3641" s="548"/>
      <c r="N3641" s="552"/>
      <c r="Y3641" s="551"/>
    </row>
    <row r="3642" spans="1:25">
      <c r="A3642" s="499">
        <v>45602</v>
      </c>
      <c r="B3642" s="499">
        <v>45609</v>
      </c>
      <c r="C3642" s="500" t="s">
        <v>173</v>
      </c>
      <c r="D3642" s="500" t="s">
        <v>764</v>
      </c>
      <c r="E3642" s="501">
        <v>2989473804.7199998</v>
      </c>
      <c r="F3642" s="502" t="s">
        <v>878</v>
      </c>
      <c r="G3642" s="100" t="s">
        <v>686</v>
      </c>
      <c r="H3642" s="100">
        <v>114605416</v>
      </c>
      <c r="I3642" s="525"/>
      <c r="K3642" s="548"/>
      <c r="L3642" s="548"/>
      <c r="M3642" s="548"/>
      <c r="N3642" s="552"/>
      <c r="Y3642" s="551"/>
    </row>
    <row r="3643" spans="1:25">
      <c r="A3643" s="499">
        <v>45602</v>
      </c>
      <c r="B3643" s="499">
        <v>45609</v>
      </c>
      <c r="C3643" s="500" t="s">
        <v>173</v>
      </c>
      <c r="D3643" s="500" t="s">
        <v>764</v>
      </c>
      <c r="E3643" s="501">
        <v>11038496.289999999</v>
      </c>
      <c r="F3643" s="502" t="s">
        <v>878</v>
      </c>
      <c r="G3643" s="100" t="s">
        <v>816</v>
      </c>
      <c r="H3643" s="100">
        <v>114605718</v>
      </c>
      <c r="I3643" s="525"/>
      <c r="K3643" s="548"/>
      <c r="L3643" s="548"/>
      <c r="M3643" s="548"/>
      <c r="N3643" s="552"/>
      <c r="Y3643" s="551"/>
    </row>
    <row r="3644" spans="1:25">
      <c r="A3644" s="499">
        <v>45602</v>
      </c>
      <c r="B3644" s="499">
        <v>45602</v>
      </c>
      <c r="C3644" s="500" t="s">
        <v>173</v>
      </c>
      <c r="D3644" s="500" t="s">
        <v>763</v>
      </c>
      <c r="E3644" s="501">
        <v>-5426467639.8100004</v>
      </c>
      <c r="F3644" s="502" t="s">
        <v>878</v>
      </c>
      <c r="G3644" s="100" t="s">
        <v>682</v>
      </c>
      <c r="H3644" s="530"/>
      <c r="I3644" s="525"/>
      <c r="K3644" s="548"/>
      <c r="L3644" s="548"/>
      <c r="M3644" s="548"/>
      <c r="N3644" s="552"/>
      <c r="Y3644" s="551"/>
    </row>
    <row r="3645" spans="1:25">
      <c r="A3645" s="499">
        <v>45602</v>
      </c>
      <c r="B3645" s="499">
        <v>45602</v>
      </c>
      <c r="C3645" s="500" t="s">
        <v>173</v>
      </c>
      <c r="D3645" s="500" t="s">
        <v>763</v>
      </c>
      <c r="E3645" s="501">
        <v>-23001982.260000002</v>
      </c>
      <c r="F3645" s="502" t="s">
        <v>878</v>
      </c>
      <c r="G3645" s="100" t="s">
        <v>682</v>
      </c>
      <c r="H3645" s="530"/>
      <c r="I3645" s="525"/>
      <c r="K3645" s="548"/>
      <c r="L3645" s="548"/>
      <c r="M3645" s="548"/>
      <c r="N3645" s="552"/>
      <c r="Y3645" s="551"/>
    </row>
    <row r="3646" spans="1:25">
      <c r="A3646" s="499">
        <v>45602</v>
      </c>
      <c r="B3646" s="499">
        <v>45603</v>
      </c>
      <c r="C3646" s="500" t="s">
        <v>173</v>
      </c>
      <c r="D3646" s="500" t="s">
        <v>763</v>
      </c>
      <c r="E3646" s="501">
        <v>5428491460.1899996</v>
      </c>
      <c r="F3646" s="502" t="s">
        <v>878</v>
      </c>
      <c r="G3646" s="100" t="s">
        <v>682</v>
      </c>
      <c r="H3646" s="100">
        <v>114603120</v>
      </c>
      <c r="I3646" s="525"/>
      <c r="K3646" s="548"/>
      <c r="L3646" s="548"/>
      <c r="M3646" s="548"/>
      <c r="N3646" s="552"/>
      <c r="Y3646" s="551"/>
    </row>
    <row r="3647" spans="1:25">
      <c r="A3647" s="499">
        <v>45602</v>
      </c>
      <c r="B3647" s="499">
        <v>45603</v>
      </c>
      <c r="C3647" s="500" t="s">
        <v>173</v>
      </c>
      <c r="D3647" s="500" t="s">
        <v>763</v>
      </c>
      <c r="E3647" s="501">
        <v>23010560.93</v>
      </c>
      <c r="F3647" s="502" t="s">
        <v>878</v>
      </c>
      <c r="G3647" s="100" t="s">
        <v>682</v>
      </c>
      <c r="H3647" s="100">
        <v>114603212</v>
      </c>
      <c r="I3647" s="525"/>
      <c r="K3647" s="548"/>
      <c r="L3647" s="548"/>
      <c r="M3647" s="548"/>
      <c r="N3647" s="552"/>
      <c r="Y3647" s="551"/>
    </row>
    <row r="3648" spans="1:25">
      <c r="A3648" s="499">
        <v>45603</v>
      </c>
      <c r="B3648" s="499">
        <v>45603</v>
      </c>
      <c r="C3648" s="500" t="s">
        <v>173</v>
      </c>
      <c r="D3648" s="500" t="s">
        <v>761</v>
      </c>
      <c r="E3648" s="501">
        <v>-1501256295</v>
      </c>
      <c r="F3648" s="502" t="s">
        <v>878</v>
      </c>
      <c r="G3648" s="100" t="s">
        <v>686</v>
      </c>
      <c r="H3648" s="530"/>
      <c r="I3648" s="525"/>
      <c r="K3648" s="548"/>
      <c r="L3648" s="548"/>
      <c r="M3648" s="548"/>
      <c r="N3648" s="552"/>
      <c r="Y3648" s="551"/>
    </row>
    <row r="3649" spans="1:25">
      <c r="A3649" s="499">
        <v>45603</v>
      </c>
      <c r="B3649" s="499">
        <v>45603</v>
      </c>
      <c r="C3649" s="500" t="s">
        <v>173</v>
      </c>
      <c r="D3649" s="500" t="s">
        <v>761</v>
      </c>
      <c r="E3649" s="501">
        <v>-498307280.94</v>
      </c>
      <c r="F3649" s="502" t="s">
        <v>878</v>
      </c>
      <c r="G3649" s="100" t="s">
        <v>687</v>
      </c>
      <c r="H3649" s="530"/>
      <c r="I3649" s="525"/>
      <c r="K3649" s="548"/>
      <c r="L3649" s="548"/>
      <c r="M3649" s="548"/>
      <c r="N3649" s="552"/>
      <c r="Y3649" s="551"/>
    </row>
    <row r="3650" spans="1:25">
      <c r="A3650" s="499">
        <v>45603</v>
      </c>
      <c r="B3650" s="499">
        <v>45603</v>
      </c>
      <c r="C3650" s="500" t="s">
        <v>173</v>
      </c>
      <c r="D3650" s="500" t="s">
        <v>761</v>
      </c>
      <c r="E3650" s="501">
        <v>-7001754.3099999996</v>
      </c>
      <c r="F3650" s="502" t="s">
        <v>878</v>
      </c>
      <c r="G3650" s="100" t="s">
        <v>684</v>
      </c>
      <c r="H3650" s="530"/>
      <c r="I3650" s="525"/>
      <c r="K3650" s="548"/>
      <c r="L3650" s="548"/>
      <c r="M3650" s="548"/>
      <c r="N3650" s="552"/>
      <c r="Y3650" s="551"/>
    </row>
    <row r="3651" spans="1:25">
      <c r="A3651" s="499">
        <v>45603</v>
      </c>
      <c r="B3651" s="499">
        <v>45610</v>
      </c>
      <c r="C3651" s="500" t="s">
        <v>173</v>
      </c>
      <c r="D3651" s="500" t="s">
        <v>761</v>
      </c>
      <c r="E3651" s="501">
        <v>1505244468.49</v>
      </c>
      <c r="F3651" s="502" t="s">
        <v>878</v>
      </c>
      <c r="G3651" s="100" t="s">
        <v>686</v>
      </c>
      <c r="H3651" s="100">
        <v>114632886</v>
      </c>
      <c r="I3651" s="525"/>
      <c r="K3651" s="548"/>
      <c r="L3651" s="548"/>
      <c r="M3651" s="548"/>
      <c r="N3651" s="552"/>
      <c r="Y3651" s="551"/>
    </row>
    <row r="3652" spans="1:25">
      <c r="A3652" s="499">
        <v>45603</v>
      </c>
      <c r="B3652" s="499">
        <v>45604</v>
      </c>
      <c r="C3652" s="500" t="s">
        <v>173</v>
      </c>
      <c r="D3652" s="500" t="s">
        <v>761</v>
      </c>
      <c r="E3652" s="501">
        <v>498492988.89999998</v>
      </c>
      <c r="F3652" s="502" t="s">
        <v>878</v>
      </c>
      <c r="G3652" s="100" t="s">
        <v>687</v>
      </c>
      <c r="H3652" s="100">
        <v>114633996</v>
      </c>
      <c r="I3652" s="525"/>
      <c r="K3652" s="548"/>
      <c r="L3652" s="548"/>
      <c r="M3652" s="548"/>
      <c r="N3652" s="552"/>
      <c r="Y3652" s="551"/>
    </row>
    <row r="3653" spans="1:25">
      <c r="A3653" s="499">
        <v>45603</v>
      </c>
      <c r="B3653" s="499">
        <v>45610</v>
      </c>
      <c r="C3653" s="500" t="s">
        <v>173</v>
      </c>
      <c r="D3653" s="500" t="s">
        <v>761</v>
      </c>
      <c r="E3653" s="501">
        <v>7020167.3899999997</v>
      </c>
      <c r="F3653" s="502" t="s">
        <v>878</v>
      </c>
      <c r="G3653" s="100" t="s">
        <v>684</v>
      </c>
      <c r="H3653" s="100">
        <v>114634230</v>
      </c>
      <c r="I3653" s="525"/>
      <c r="K3653" s="548"/>
      <c r="L3653" s="548"/>
      <c r="M3653" s="548"/>
      <c r="N3653" s="552"/>
      <c r="Y3653" s="551"/>
    </row>
    <row r="3654" spans="1:25">
      <c r="A3654" s="499">
        <v>45603</v>
      </c>
      <c r="B3654" s="499">
        <v>45603</v>
      </c>
      <c r="C3654" s="500" t="s">
        <v>173</v>
      </c>
      <c r="D3654" s="500" t="s">
        <v>759</v>
      </c>
      <c r="E3654" s="501">
        <v>-1995519808.8499999</v>
      </c>
      <c r="F3654" s="502" t="s">
        <v>878</v>
      </c>
      <c r="G3654" s="100" t="s">
        <v>705</v>
      </c>
      <c r="H3654" s="530"/>
      <c r="I3654" s="525"/>
      <c r="K3654" s="548"/>
      <c r="L3654" s="548"/>
      <c r="M3654" s="548"/>
      <c r="N3654" s="552"/>
      <c r="Y3654" s="551"/>
    </row>
    <row r="3655" spans="1:25">
      <c r="A3655" s="499">
        <v>45603</v>
      </c>
      <c r="B3655" s="499">
        <v>45603</v>
      </c>
      <c r="C3655" s="500" t="s">
        <v>173</v>
      </c>
      <c r="D3655" s="500" t="s">
        <v>759</v>
      </c>
      <c r="E3655" s="501">
        <v>-7003352.3899999997</v>
      </c>
      <c r="F3655" s="502" t="s">
        <v>878</v>
      </c>
      <c r="G3655" s="100" t="s">
        <v>833</v>
      </c>
      <c r="H3655" s="530"/>
      <c r="I3655" s="525"/>
      <c r="K3655" s="548"/>
      <c r="L3655" s="548"/>
      <c r="M3655" s="548"/>
      <c r="N3655" s="552"/>
      <c r="Y3655" s="551"/>
    </row>
    <row r="3656" spans="1:25">
      <c r="A3656" s="499">
        <v>45603</v>
      </c>
      <c r="B3656" s="499">
        <v>45604</v>
      </c>
      <c r="C3656" s="500" t="s">
        <v>173</v>
      </c>
      <c r="D3656" s="500" t="s">
        <v>759</v>
      </c>
      <c r="E3656" s="501">
        <v>1996266765.72</v>
      </c>
      <c r="F3656" s="502" t="s">
        <v>878</v>
      </c>
      <c r="G3656" s="100" t="s">
        <v>705</v>
      </c>
      <c r="H3656" s="100">
        <v>114631254</v>
      </c>
      <c r="I3656" s="525"/>
      <c r="K3656" s="548"/>
      <c r="L3656" s="548"/>
      <c r="M3656" s="548"/>
      <c r="N3656" s="552"/>
      <c r="Y3656" s="551"/>
    </row>
    <row r="3657" spans="1:25">
      <c r="A3657" s="499">
        <v>45603</v>
      </c>
      <c r="B3657" s="499">
        <v>45604</v>
      </c>
      <c r="C3657" s="500" t="s">
        <v>173</v>
      </c>
      <c r="D3657" s="500" t="s">
        <v>759</v>
      </c>
      <c r="E3657" s="501">
        <v>7005935.5899999999</v>
      </c>
      <c r="F3657" s="502" t="s">
        <v>878</v>
      </c>
      <c r="G3657" s="100" t="s">
        <v>833</v>
      </c>
      <c r="H3657" s="100">
        <v>114633852</v>
      </c>
      <c r="I3657" s="525"/>
      <c r="K3657" s="548"/>
      <c r="L3657" s="548"/>
      <c r="M3657" s="548"/>
      <c r="N3657" s="552"/>
      <c r="Y3657" s="551"/>
    </row>
    <row r="3658" spans="1:25">
      <c r="A3658" s="499">
        <v>45603</v>
      </c>
      <c r="B3658" s="499">
        <v>45603</v>
      </c>
      <c r="C3658" s="500" t="s">
        <v>173</v>
      </c>
      <c r="D3658" s="500" t="s">
        <v>760</v>
      </c>
      <c r="E3658" s="501">
        <v>-1251046912.5</v>
      </c>
      <c r="F3658" s="502" t="s">
        <v>878</v>
      </c>
      <c r="G3658" s="100" t="s">
        <v>686</v>
      </c>
      <c r="H3658" s="530"/>
      <c r="I3658" s="525"/>
      <c r="K3658" s="548"/>
      <c r="L3658" s="548"/>
      <c r="M3658" s="548"/>
      <c r="N3658" s="552"/>
      <c r="Y3658" s="551"/>
    </row>
    <row r="3659" spans="1:25">
      <c r="A3659" s="499">
        <v>45603</v>
      </c>
      <c r="B3659" s="499">
        <v>45603</v>
      </c>
      <c r="C3659" s="500" t="s">
        <v>173</v>
      </c>
      <c r="D3659" s="500" t="s">
        <v>760</v>
      </c>
      <c r="E3659" s="501">
        <v>-33027604.199999999</v>
      </c>
      <c r="F3659" s="502" t="s">
        <v>878</v>
      </c>
      <c r="G3659" s="100" t="s">
        <v>696</v>
      </c>
      <c r="H3659" s="530"/>
      <c r="I3659" s="525"/>
      <c r="K3659" s="548"/>
      <c r="L3659" s="548"/>
      <c r="M3659" s="548"/>
      <c r="N3659" s="552"/>
      <c r="Y3659" s="551"/>
    </row>
    <row r="3660" spans="1:25">
      <c r="A3660" s="499">
        <v>45603</v>
      </c>
      <c r="B3660" s="499">
        <v>45604</v>
      </c>
      <c r="C3660" s="500" t="s">
        <v>173</v>
      </c>
      <c r="D3660" s="500" t="s">
        <v>760</v>
      </c>
      <c r="E3660" s="501">
        <v>1251515538.95</v>
      </c>
      <c r="F3660" s="502" t="s">
        <v>878</v>
      </c>
      <c r="G3660" s="100" t="s">
        <v>686</v>
      </c>
      <c r="H3660" s="100">
        <v>114632589</v>
      </c>
      <c r="I3660" s="525"/>
      <c r="K3660" s="548"/>
      <c r="L3660" s="548"/>
      <c r="M3660" s="548"/>
      <c r="N3660" s="552"/>
      <c r="Y3660" s="551"/>
    </row>
    <row r="3661" spans="1:25">
      <c r="A3661" s="499">
        <v>45603</v>
      </c>
      <c r="B3661" s="499">
        <v>45604</v>
      </c>
      <c r="C3661" s="500" t="s">
        <v>173</v>
      </c>
      <c r="D3661" s="500" t="s">
        <v>760</v>
      </c>
      <c r="E3661" s="501">
        <v>33039966.899999999</v>
      </c>
      <c r="F3661" s="502" t="s">
        <v>878</v>
      </c>
      <c r="G3661" s="100" t="s">
        <v>696</v>
      </c>
      <c r="H3661" s="100">
        <v>114632990</v>
      </c>
      <c r="I3661" s="525"/>
      <c r="K3661" s="548"/>
      <c r="L3661" s="548"/>
      <c r="M3661" s="548"/>
      <c r="N3661" s="552"/>
      <c r="Y3661" s="551"/>
    </row>
    <row r="3662" spans="1:25">
      <c r="A3662" s="499">
        <v>45603</v>
      </c>
      <c r="B3662" s="499">
        <v>45603</v>
      </c>
      <c r="C3662" s="500" t="s">
        <v>173</v>
      </c>
      <c r="D3662" s="500" t="s">
        <v>763</v>
      </c>
      <c r="E3662" s="501">
        <v>-5221409002.8900003</v>
      </c>
      <c r="F3662" s="502" t="s">
        <v>878</v>
      </c>
      <c r="G3662" s="100" t="s">
        <v>673</v>
      </c>
      <c r="H3662" s="530"/>
      <c r="I3662" s="525"/>
      <c r="K3662" s="548"/>
      <c r="L3662" s="548"/>
      <c r="M3662" s="548"/>
      <c r="N3662" s="552"/>
      <c r="Y3662" s="551"/>
    </row>
    <row r="3663" spans="1:25">
      <c r="A3663" s="499">
        <v>45603</v>
      </c>
      <c r="B3663" s="499">
        <v>45603</v>
      </c>
      <c r="C3663" s="500" t="s">
        <v>173</v>
      </c>
      <c r="D3663" s="500" t="s">
        <v>763</v>
      </c>
      <c r="E3663" s="501">
        <v>-210065944.97999999</v>
      </c>
      <c r="F3663" s="502" t="s">
        <v>878</v>
      </c>
      <c r="G3663" s="100" t="s">
        <v>633</v>
      </c>
      <c r="H3663" s="530"/>
      <c r="I3663" s="525"/>
      <c r="K3663" s="548"/>
      <c r="L3663" s="548"/>
      <c r="M3663" s="548"/>
      <c r="N3663" s="552"/>
      <c r="Y3663" s="551"/>
    </row>
    <row r="3664" spans="1:25">
      <c r="A3664" s="499">
        <v>45603</v>
      </c>
      <c r="B3664" s="499">
        <v>45603</v>
      </c>
      <c r="C3664" s="500" t="s">
        <v>173</v>
      </c>
      <c r="D3664" s="500" t="s">
        <v>763</v>
      </c>
      <c r="E3664" s="501">
        <v>-20006280.469999999</v>
      </c>
      <c r="F3664" s="502" t="s">
        <v>878</v>
      </c>
      <c r="G3664" s="100" t="s">
        <v>633</v>
      </c>
      <c r="H3664" s="530"/>
      <c r="I3664" s="525"/>
      <c r="K3664" s="548"/>
      <c r="L3664" s="548"/>
      <c r="M3664" s="548"/>
      <c r="N3664" s="552"/>
      <c r="Y3664" s="551"/>
    </row>
    <row r="3665" spans="1:25">
      <c r="A3665" s="499">
        <v>45603</v>
      </c>
      <c r="B3665" s="499">
        <v>45604</v>
      </c>
      <c r="C3665" s="500" t="s">
        <v>173</v>
      </c>
      <c r="D3665" s="500" t="s">
        <v>763</v>
      </c>
      <c r="E3665" s="501">
        <v>5223363479</v>
      </c>
      <c r="F3665" s="502" t="s">
        <v>878</v>
      </c>
      <c r="G3665" s="100" t="s">
        <v>673</v>
      </c>
      <c r="H3665" s="100">
        <v>114631449</v>
      </c>
      <c r="I3665" s="525"/>
      <c r="K3665" s="548"/>
      <c r="L3665" s="548"/>
      <c r="M3665" s="548"/>
      <c r="N3665" s="552"/>
      <c r="Y3665" s="551"/>
    </row>
    <row r="3666" spans="1:25">
      <c r="A3666" s="499">
        <v>45603</v>
      </c>
      <c r="B3666" s="499">
        <v>45604</v>
      </c>
      <c r="C3666" s="500" t="s">
        <v>173</v>
      </c>
      <c r="D3666" s="500" t="s">
        <v>763</v>
      </c>
      <c r="E3666" s="501">
        <v>210144576.22</v>
      </c>
      <c r="F3666" s="502" t="s">
        <v>878</v>
      </c>
      <c r="G3666" s="100" t="s">
        <v>633</v>
      </c>
      <c r="H3666" s="100">
        <v>114631452</v>
      </c>
      <c r="I3666" s="525"/>
      <c r="K3666" s="548"/>
      <c r="L3666" s="548"/>
      <c r="M3666" s="548"/>
      <c r="N3666" s="552"/>
      <c r="Y3666" s="551"/>
    </row>
    <row r="3667" spans="1:25">
      <c r="A3667" s="499">
        <v>45603</v>
      </c>
      <c r="B3667" s="499">
        <v>45604</v>
      </c>
      <c r="C3667" s="500" t="s">
        <v>173</v>
      </c>
      <c r="D3667" s="500" t="s">
        <v>763</v>
      </c>
      <c r="E3667" s="501">
        <v>20013769.16</v>
      </c>
      <c r="F3667" s="502" t="s">
        <v>878</v>
      </c>
      <c r="G3667" s="100" t="s">
        <v>633</v>
      </c>
      <c r="H3667" s="100">
        <v>114631467</v>
      </c>
      <c r="I3667" s="525"/>
      <c r="K3667" s="548"/>
      <c r="L3667" s="548"/>
      <c r="M3667" s="548"/>
      <c r="N3667" s="552"/>
      <c r="Y3667" s="551"/>
    </row>
    <row r="3668" spans="1:25">
      <c r="A3668" s="499">
        <v>45604</v>
      </c>
      <c r="B3668" s="499">
        <v>45604</v>
      </c>
      <c r="C3668" s="500" t="s">
        <v>173</v>
      </c>
      <c r="D3668" s="500" t="s">
        <v>761</v>
      </c>
      <c r="E3668" s="501">
        <v>-300098572.31999999</v>
      </c>
      <c r="F3668" s="502" t="s">
        <v>878</v>
      </c>
      <c r="G3668" s="100" t="s">
        <v>550</v>
      </c>
      <c r="H3668" s="530"/>
      <c r="I3668" s="525"/>
      <c r="K3668" s="548"/>
      <c r="L3668" s="548"/>
      <c r="M3668" s="548"/>
      <c r="N3668" s="552"/>
      <c r="Q3668" s="539">
        <v>-1</v>
      </c>
      <c r="Y3668" s="551"/>
    </row>
    <row r="3669" spans="1:25">
      <c r="A3669" s="499">
        <v>45604</v>
      </c>
      <c r="B3669" s="499">
        <v>45604</v>
      </c>
      <c r="C3669" s="500" t="s">
        <v>173</v>
      </c>
      <c r="D3669" s="500" t="s">
        <v>761</v>
      </c>
      <c r="E3669" s="501">
        <v>-197150287.36000001</v>
      </c>
      <c r="F3669" s="502" t="s">
        <v>878</v>
      </c>
      <c r="G3669" s="100" t="s">
        <v>686</v>
      </c>
      <c r="H3669" s="530"/>
      <c r="I3669" s="525"/>
      <c r="K3669" s="548"/>
      <c r="L3669" s="548"/>
      <c r="M3669" s="548"/>
      <c r="N3669" s="552"/>
      <c r="Y3669" s="551"/>
    </row>
    <row r="3670" spans="1:25">
      <c r="A3670" s="499">
        <v>45604</v>
      </c>
      <c r="B3670" s="499">
        <v>45604</v>
      </c>
      <c r="C3670" s="500" t="s">
        <v>173</v>
      </c>
      <c r="D3670" s="500" t="s">
        <v>761</v>
      </c>
      <c r="E3670" s="501">
        <v>-1000762.88</v>
      </c>
      <c r="F3670" s="502" t="s">
        <v>878</v>
      </c>
      <c r="G3670" s="100" t="s">
        <v>686</v>
      </c>
      <c r="H3670" s="530"/>
      <c r="I3670" s="525"/>
      <c r="K3670" s="548"/>
      <c r="L3670" s="548"/>
      <c r="M3670" s="548"/>
      <c r="N3670" s="552"/>
      <c r="Y3670" s="551"/>
    </row>
    <row r="3671" spans="1:25">
      <c r="A3671" s="499">
        <v>45604</v>
      </c>
      <c r="B3671" s="499">
        <v>45607</v>
      </c>
      <c r="C3671" s="500" t="s">
        <v>173</v>
      </c>
      <c r="D3671" s="500" t="s">
        <v>761</v>
      </c>
      <c r="E3671" s="501">
        <v>300430402.63</v>
      </c>
      <c r="F3671" s="502" t="s">
        <v>878</v>
      </c>
      <c r="G3671" s="100" t="s">
        <v>550</v>
      </c>
      <c r="H3671" s="100">
        <v>114651152</v>
      </c>
      <c r="I3671" s="525"/>
      <c r="K3671" s="548"/>
      <c r="L3671" s="548"/>
      <c r="M3671" s="548"/>
      <c r="N3671" s="552"/>
      <c r="Y3671" s="551"/>
    </row>
    <row r="3672" spans="1:25">
      <c r="A3672" s="499">
        <v>45604</v>
      </c>
      <c r="B3672" s="499">
        <v>45607</v>
      </c>
      <c r="C3672" s="500" t="s">
        <v>173</v>
      </c>
      <c r="D3672" s="500" t="s">
        <v>761</v>
      </c>
      <c r="E3672" s="501">
        <v>197368283.87</v>
      </c>
      <c r="F3672" s="502" t="s">
        <v>878</v>
      </c>
      <c r="G3672" s="100" t="s">
        <v>686</v>
      </c>
      <c r="H3672" s="100">
        <v>114651187</v>
      </c>
      <c r="I3672" s="525"/>
      <c r="K3672" s="548"/>
      <c r="L3672" s="548"/>
      <c r="M3672" s="548"/>
      <c r="N3672" s="552"/>
      <c r="Y3672" s="551"/>
    </row>
    <row r="3673" spans="1:25">
      <c r="A3673" s="499">
        <v>45604</v>
      </c>
      <c r="B3673" s="499">
        <v>45607</v>
      </c>
      <c r="C3673" s="500" t="s">
        <v>173</v>
      </c>
      <c r="D3673" s="500" t="s">
        <v>761</v>
      </c>
      <c r="E3673" s="501">
        <v>1001869.46</v>
      </c>
      <c r="F3673" s="502" t="s">
        <v>878</v>
      </c>
      <c r="G3673" s="100" t="s">
        <v>686</v>
      </c>
      <c r="H3673" s="100">
        <v>114651241</v>
      </c>
      <c r="I3673" s="525"/>
      <c r="K3673" s="548"/>
      <c r="L3673" s="548"/>
      <c r="M3673" s="548"/>
      <c r="N3673" s="552"/>
      <c r="Y3673" s="551"/>
    </row>
    <row r="3674" spans="1:25">
      <c r="A3674" s="499">
        <v>45604</v>
      </c>
      <c r="B3674" s="499">
        <v>45604</v>
      </c>
      <c r="C3674" s="500" t="s">
        <v>173</v>
      </c>
      <c r="D3674" s="500" t="s">
        <v>759</v>
      </c>
      <c r="E3674" s="501">
        <v>-1107929113.96</v>
      </c>
      <c r="F3674" s="502" t="s">
        <v>878</v>
      </c>
      <c r="G3674" s="100" t="s">
        <v>592</v>
      </c>
      <c r="H3674" s="100"/>
      <c r="I3674" s="525"/>
      <c r="K3674" s="548"/>
      <c r="L3674" s="548"/>
      <c r="M3674" s="548"/>
      <c r="N3674" s="552"/>
      <c r="Y3674" s="551"/>
    </row>
    <row r="3675" spans="1:25">
      <c r="A3675" s="499">
        <v>45604</v>
      </c>
      <c r="B3675" s="499">
        <v>45604</v>
      </c>
      <c r="C3675" s="500" t="s">
        <v>173</v>
      </c>
      <c r="D3675" s="500" t="s">
        <v>759</v>
      </c>
      <c r="E3675" s="501">
        <v>-887563837.51999998</v>
      </c>
      <c r="F3675" s="502" t="s">
        <v>878</v>
      </c>
      <c r="G3675" s="100" t="s">
        <v>590</v>
      </c>
      <c r="H3675" s="100"/>
      <c r="I3675" s="525"/>
      <c r="K3675" s="548"/>
      <c r="L3675" s="548"/>
      <c r="M3675" s="548"/>
      <c r="N3675" s="552"/>
      <c r="Y3675" s="551"/>
    </row>
    <row r="3676" spans="1:25">
      <c r="A3676" s="499">
        <v>45604</v>
      </c>
      <c r="B3676" s="499">
        <v>45604</v>
      </c>
      <c r="C3676" s="500" t="s">
        <v>173</v>
      </c>
      <c r="D3676" s="500" t="s">
        <v>759</v>
      </c>
      <c r="E3676" s="501">
        <v>-8005690.4000000004</v>
      </c>
      <c r="F3676" s="502" t="s">
        <v>878</v>
      </c>
      <c r="G3676" s="100" t="s">
        <v>1024</v>
      </c>
      <c r="H3676" s="100"/>
      <c r="I3676" s="525"/>
      <c r="K3676" s="548"/>
      <c r="L3676" s="548"/>
      <c r="M3676" s="548"/>
      <c r="N3676" s="552"/>
      <c r="Y3676" s="551"/>
    </row>
    <row r="3677" spans="1:25">
      <c r="A3677" s="499">
        <v>45604</v>
      </c>
      <c r="B3677" s="499">
        <v>45607</v>
      </c>
      <c r="C3677" s="500" t="s">
        <v>173</v>
      </c>
      <c r="D3677" s="500" t="s">
        <v>759</v>
      </c>
      <c r="E3677" s="501">
        <v>1109165998.76</v>
      </c>
      <c r="F3677" s="502" t="s">
        <v>878</v>
      </c>
      <c r="G3677" s="100" t="s">
        <v>592</v>
      </c>
      <c r="H3677" s="100">
        <v>114649467</v>
      </c>
      <c r="I3677" s="525"/>
      <c r="K3677" s="548"/>
      <c r="L3677" s="548"/>
      <c r="M3677" s="548"/>
      <c r="N3677" s="552"/>
      <c r="Y3677" s="551"/>
    </row>
    <row r="3678" spans="1:25">
      <c r="A3678" s="499">
        <v>45604</v>
      </c>
      <c r="B3678" s="499">
        <v>45607</v>
      </c>
      <c r="C3678" s="500" t="s">
        <v>173</v>
      </c>
      <c r="D3678" s="500" t="s">
        <v>759</v>
      </c>
      <c r="E3678" s="501">
        <v>888554707.97000003</v>
      </c>
      <c r="F3678" s="502" t="s">
        <v>878</v>
      </c>
      <c r="G3678" s="100" t="s">
        <v>590</v>
      </c>
      <c r="H3678" s="100">
        <v>114649470</v>
      </c>
      <c r="I3678" s="525"/>
      <c r="K3678" s="548"/>
      <c r="L3678" s="548"/>
      <c r="M3678" s="548"/>
      <c r="N3678" s="552"/>
      <c r="Y3678" s="551"/>
    </row>
    <row r="3679" spans="1:25">
      <c r="A3679" s="499">
        <v>45604</v>
      </c>
      <c r="B3679" s="499">
        <v>45607</v>
      </c>
      <c r="C3679" s="500" t="s">
        <v>173</v>
      </c>
      <c r="D3679" s="500" t="s">
        <v>759</v>
      </c>
      <c r="E3679" s="501">
        <v>8014549.2199999997</v>
      </c>
      <c r="F3679" s="502" t="s">
        <v>878</v>
      </c>
      <c r="G3679" s="100" t="s">
        <v>1024</v>
      </c>
      <c r="H3679" s="100">
        <v>114651371</v>
      </c>
      <c r="I3679" s="525"/>
      <c r="K3679" s="548"/>
      <c r="L3679" s="548"/>
      <c r="M3679" s="548"/>
      <c r="N3679" s="552"/>
      <c r="Y3679" s="551"/>
    </row>
    <row r="3680" spans="1:25">
      <c r="A3680" s="499">
        <v>45604</v>
      </c>
      <c r="B3680" s="499">
        <v>45604</v>
      </c>
      <c r="C3680" s="500" t="s">
        <v>173</v>
      </c>
      <c r="D3680" s="500" t="s">
        <v>760</v>
      </c>
      <c r="E3680" s="501">
        <v>-994245371.48000002</v>
      </c>
      <c r="F3680" s="502" t="s">
        <v>878</v>
      </c>
      <c r="G3680" s="100" t="s">
        <v>631</v>
      </c>
      <c r="H3680" s="100"/>
      <c r="I3680" s="525"/>
      <c r="K3680" s="548"/>
      <c r="L3680" s="548"/>
      <c r="M3680" s="548"/>
      <c r="N3680" s="552"/>
      <c r="Y3680" s="551"/>
    </row>
    <row r="3681" spans="1:25">
      <c r="A3681" s="499">
        <v>45604</v>
      </c>
      <c r="B3681" s="499">
        <v>45604</v>
      </c>
      <c r="C3681" s="500" t="s">
        <v>173</v>
      </c>
      <c r="D3681" s="500" t="s">
        <v>760</v>
      </c>
      <c r="E3681" s="501">
        <v>-8005543.5999999996</v>
      </c>
      <c r="F3681" s="502" t="s">
        <v>878</v>
      </c>
      <c r="G3681" s="100" t="s">
        <v>656</v>
      </c>
      <c r="H3681" s="100"/>
      <c r="I3681" s="525"/>
      <c r="K3681" s="548"/>
      <c r="L3681" s="548"/>
      <c r="M3681" s="548"/>
      <c r="N3681" s="552"/>
      <c r="Y3681" s="551"/>
    </row>
    <row r="3682" spans="1:25">
      <c r="A3682" s="499">
        <v>45604</v>
      </c>
      <c r="B3682" s="499">
        <v>45604</v>
      </c>
      <c r="C3682" s="500" t="s">
        <v>173</v>
      </c>
      <c r="D3682" s="500" t="s">
        <v>760</v>
      </c>
      <c r="E3682" s="501">
        <v>-7004850.6500000004</v>
      </c>
      <c r="F3682" s="502" t="s">
        <v>878</v>
      </c>
      <c r="G3682" s="100" t="s">
        <v>656</v>
      </c>
      <c r="H3682" s="100"/>
      <c r="I3682" s="525"/>
      <c r="K3682" s="548"/>
      <c r="L3682" s="548"/>
      <c r="M3682" s="548"/>
      <c r="N3682" s="552"/>
      <c r="Y3682" s="551"/>
    </row>
    <row r="3683" spans="1:25">
      <c r="A3683" s="499">
        <v>45604</v>
      </c>
      <c r="B3683" s="499">
        <v>45604</v>
      </c>
      <c r="C3683" s="500" t="s">
        <v>173</v>
      </c>
      <c r="D3683" s="500" t="s">
        <v>760</v>
      </c>
      <c r="E3683" s="501">
        <v>-241179298.69999999</v>
      </c>
      <c r="F3683" s="502" t="s">
        <v>878</v>
      </c>
      <c r="G3683" s="100" t="s">
        <v>687</v>
      </c>
      <c r="H3683" s="100"/>
      <c r="I3683" s="525"/>
      <c r="K3683" s="548"/>
      <c r="L3683" s="548"/>
      <c r="M3683" s="548"/>
      <c r="N3683" s="552"/>
      <c r="Y3683" s="551"/>
    </row>
    <row r="3684" spans="1:25">
      <c r="A3684" s="499">
        <v>45604</v>
      </c>
      <c r="B3684" s="499">
        <v>45604</v>
      </c>
      <c r="C3684" s="500" t="s">
        <v>173</v>
      </c>
      <c r="D3684" s="500" t="s">
        <v>760</v>
      </c>
      <c r="E3684" s="501">
        <v>-38028989.439999998</v>
      </c>
      <c r="F3684" s="502" t="s">
        <v>878</v>
      </c>
      <c r="G3684" s="100" t="s">
        <v>686</v>
      </c>
      <c r="H3684" s="100"/>
      <c r="I3684" s="525"/>
      <c r="K3684" s="548"/>
      <c r="L3684" s="548"/>
      <c r="M3684" s="548"/>
      <c r="N3684" s="552"/>
      <c r="Y3684" s="551"/>
    </row>
    <row r="3685" spans="1:25">
      <c r="A3685" s="499">
        <v>45604</v>
      </c>
      <c r="B3685" s="499">
        <v>45607</v>
      </c>
      <c r="C3685" s="500" t="s">
        <v>173</v>
      </c>
      <c r="D3685" s="500" t="s">
        <v>760</v>
      </c>
      <c r="E3685" s="501">
        <v>995349627.65999997</v>
      </c>
      <c r="F3685" s="502" t="s">
        <v>878</v>
      </c>
      <c r="G3685" s="100" t="s">
        <v>631</v>
      </c>
      <c r="H3685" s="100">
        <v>114650091</v>
      </c>
      <c r="I3685" s="525"/>
      <c r="K3685" s="548"/>
      <c r="L3685" s="548"/>
      <c r="M3685" s="548"/>
      <c r="N3685" s="552"/>
      <c r="Y3685" s="551"/>
    </row>
    <row r="3686" spans="1:25">
      <c r="A3686" s="499">
        <v>45604</v>
      </c>
      <c r="B3686" s="499">
        <v>45607</v>
      </c>
      <c r="C3686" s="500" t="s">
        <v>173</v>
      </c>
      <c r="D3686" s="500" t="s">
        <v>760</v>
      </c>
      <c r="E3686" s="501">
        <v>8014434.9400000004</v>
      </c>
      <c r="F3686" s="502" t="s">
        <v>878</v>
      </c>
      <c r="G3686" s="100" t="s">
        <v>656</v>
      </c>
      <c r="H3686" s="100">
        <v>114650121</v>
      </c>
      <c r="I3686" s="525"/>
      <c r="K3686" s="548"/>
      <c r="L3686" s="548"/>
      <c r="M3686" s="548"/>
      <c r="N3686" s="552"/>
      <c r="Y3686" s="551"/>
    </row>
    <row r="3687" spans="1:25">
      <c r="A3687" s="499">
        <v>45604</v>
      </c>
      <c r="B3687" s="499">
        <v>45607</v>
      </c>
      <c r="C3687" s="500" t="s">
        <v>173</v>
      </c>
      <c r="D3687" s="500" t="s">
        <v>760</v>
      </c>
      <c r="E3687" s="501">
        <v>7012630.5700000003</v>
      </c>
      <c r="F3687" s="502" t="s">
        <v>878</v>
      </c>
      <c r="G3687" s="100" t="s">
        <v>656</v>
      </c>
      <c r="H3687" s="100">
        <v>114650124</v>
      </c>
      <c r="I3687" s="525"/>
      <c r="K3687" s="548"/>
      <c r="L3687" s="548"/>
      <c r="M3687" s="548"/>
      <c r="N3687" s="552"/>
      <c r="Y3687" s="551"/>
    </row>
    <row r="3688" spans="1:25">
      <c r="A3688" s="499">
        <v>45604</v>
      </c>
      <c r="B3688" s="499">
        <v>45607</v>
      </c>
      <c r="C3688" s="500" t="s">
        <v>173</v>
      </c>
      <c r="D3688" s="500" t="s">
        <v>760</v>
      </c>
      <c r="E3688" s="501">
        <v>241446966.21000001</v>
      </c>
      <c r="F3688" s="502" t="s">
        <v>878</v>
      </c>
      <c r="G3688" s="100" t="s">
        <v>687</v>
      </c>
      <c r="H3688" s="100">
        <v>114650212</v>
      </c>
      <c r="I3688" s="525"/>
      <c r="K3688" s="548"/>
      <c r="L3688" s="548"/>
      <c r="M3688" s="548"/>
      <c r="N3688" s="552"/>
      <c r="Y3688" s="551"/>
    </row>
    <row r="3689" spans="1:25">
      <c r="A3689" s="499">
        <v>45604</v>
      </c>
      <c r="B3689" s="499">
        <v>45607</v>
      </c>
      <c r="C3689" s="500" t="s">
        <v>173</v>
      </c>
      <c r="D3689" s="500" t="s">
        <v>760</v>
      </c>
      <c r="E3689" s="501">
        <v>38071195.07</v>
      </c>
      <c r="F3689" s="502" t="s">
        <v>878</v>
      </c>
      <c r="G3689" s="100" t="s">
        <v>686</v>
      </c>
      <c r="H3689" s="100">
        <v>114650295</v>
      </c>
      <c r="I3689" s="525"/>
      <c r="K3689" s="548"/>
      <c r="L3689" s="548"/>
      <c r="M3689" s="548"/>
      <c r="N3689" s="552"/>
      <c r="Y3689" s="551"/>
    </row>
    <row r="3690" spans="1:25">
      <c r="A3690" s="499">
        <v>45604</v>
      </c>
      <c r="B3690" s="499">
        <v>45604</v>
      </c>
      <c r="C3690" s="500" t="s">
        <v>173</v>
      </c>
      <c r="D3690" s="500" t="s">
        <v>763</v>
      </c>
      <c r="E3690" s="501">
        <v>-1292980452.29</v>
      </c>
      <c r="F3690" s="502" t="s">
        <v>878</v>
      </c>
      <c r="G3690" s="100" t="s">
        <v>682</v>
      </c>
      <c r="H3690" s="100"/>
      <c r="I3690" s="525"/>
      <c r="K3690" s="548"/>
      <c r="L3690" s="548"/>
      <c r="M3690" s="548"/>
      <c r="N3690" s="552"/>
      <c r="Y3690" s="551"/>
    </row>
    <row r="3691" spans="1:25">
      <c r="A3691" s="499">
        <v>45604</v>
      </c>
      <c r="B3691" s="499">
        <v>45604</v>
      </c>
      <c r="C3691" s="500" t="s">
        <v>173</v>
      </c>
      <c r="D3691" s="500" t="s">
        <v>763</v>
      </c>
      <c r="E3691" s="501">
        <v>-4142157560.3200002</v>
      </c>
      <c r="F3691" s="502" t="s">
        <v>878</v>
      </c>
      <c r="G3691" s="100" t="s">
        <v>686</v>
      </c>
      <c r="H3691" s="100"/>
      <c r="I3691" s="525"/>
      <c r="K3691" s="548"/>
      <c r="L3691" s="548"/>
      <c r="M3691" s="548"/>
      <c r="N3691" s="552"/>
      <c r="Y3691" s="551"/>
    </row>
    <row r="3692" spans="1:25">
      <c r="A3692" s="499">
        <v>45604</v>
      </c>
      <c r="B3692" s="499">
        <v>45604</v>
      </c>
      <c r="C3692" s="500" t="s">
        <v>173</v>
      </c>
      <c r="D3692" s="500" t="s">
        <v>763</v>
      </c>
      <c r="E3692" s="501">
        <v>-18013731.84</v>
      </c>
      <c r="F3692" s="502" t="s">
        <v>878</v>
      </c>
      <c r="G3692" s="100" t="s">
        <v>686</v>
      </c>
      <c r="H3692" s="100"/>
      <c r="I3692" s="525"/>
      <c r="K3692" s="548"/>
      <c r="L3692" s="548"/>
      <c r="M3692" s="548"/>
      <c r="N3692" s="552"/>
      <c r="Y3692" s="551"/>
    </row>
    <row r="3693" spans="1:25">
      <c r="A3693" s="499">
        <v>45604</v>
      </c>
      <c r="B3693" s="499">
        <v>45607</v>
      </c>
      <c r="C3693" s="500" t="s">
        <v>173</v>
      </c>
      <c r="D3693" s="500" t="s">
        <v>763</v>
      </c>
      <c r="E3693" s="501">
        <v>1294411527.29</v>
      </c>
      <c r="F3693" s="502" t="s">
        <v>878</v>
      </c>
      <c r="G3693" s="100">
        <v>114650270</v>
      </c>
      <c r="H3693" s="100">
        <v>114650270</v>
      </c>
      <c r="I3693" s="525"/>
      <c r="K3693" s="548"/>
      <c r="L3693" s="548"/>
      <c r="M3693" s="548"/>
      <c r="N3693" s="552"/>
      <c r="Q3693" s="539" t="s">
        <v>682</v>
      </c>
      <c r="Y3693" s="551"/>
    </row>
    <row r="3694" spans="1:25">
      <c r="A3694" s="499">
        <v>45604</v>
      </c>
      <c r="B3694" s="499">
        <v>45607</v>
      </c>
      <c r="C3694" s="500" t="s">
        <v>173</v>
      </c>
      <c r="D3694" s="500" t="s">
        <v>763</v>
      </c>
      <c r="E3694" s="501">
        <v>4146741910.1799998</v>
      </c>
      <c r="F3694" s="502" t="s">
        <v>878</v>
      </c>
      <c r="G3694" s="100">
        <v>114650273</v>
      </c>
      <c r="H3694" s="100">
        <v>114650273</v>
      </c>
      <c r="I3694" s="525"/>
      <c r="K3694" s="548"/>
      <c r="L3694" s="548"/>
      <c r="M3694" s="548"/>
      <c r="N3694" s="552"/>
      <c r="Q3694" s="539" t="s">
        <v>686</v>
      </c>
      <c r="Y3694" s="551"/>
    </row>
    <row r="3695" spans="1:25">
      <c r="A3695" s="499">
        <v>45604</v>
      </c>
      <c r="B3695" s="499">
        <v>45607</v>
      </c>
      <c r="C3695" s="500" t="s">
        <v>173</v>
      </c>
      <c r="D3695" s="500" t="s">
        <v>763</v>
      </c>
      <c r="E3695" s="501">
        <v>18033666.84</v>
      </c>
      <c r="F3695" s="502" t="s">
        <v>878</v>
      </c>
      <c r="G3695" s="100">
        <v>114650320</v>
      </c>
      <c r="H3695" s="100">
        <v>114650320</v>
      </c>
      <c r="I3695" s="525"/>
      <c r="K3695" s="548"/>
      <c r="L3695" s="548"/>
      <c r="M3695" s="548"/>
      <c r="N3695" s="552"/>
      <c r="Q3695" s="539" t="s">
        <v>686</v>
      </c>
      <c r="Y3695" s="551"/>
    </row>
    <row r="3696" spans="1:25">
      <c r="A3696" s="499">
        <v>45607</v>
      </c>
      <c r="B3696" s="499">
        <v>45607</v>
      </c>
      <c r="C3696" s="500" t="s">
        <v>173</v>
      </c>
      <c r="D3696" s="500" t="s">
        <v>761</v>
      </c>
      <c r="E3696" s="501">
        <v>-497306529.72000003</v>
      </c>
      <c r="F3696" s="502" t="s">
        <v>878</v>
      </c>
      <c r="G3696" s="100">
        <v>114667608</v>
      </c>
      <c r="H3696" s="530"/>
      <c r="I3696" s="525"/>
      <c r="K3696" s="548"/>
      <c r="L3696" s="548"/>
      <c r="M3696" s="548"/>
      <c r="N3696" s="552"/>
      <c r="Q3696" s="539" t="s">
        <v>676</v>
      </c>
      <c r="Y3696" s="551"/>
    </row>
    <row r="3697" spans="1:25">
      <c r="A3697" s="499">
        <v>45607</v>
      </c>
      <c r="B3697" s="499">
        <v>45607</v>
      </c>
      <c r="C3697" s="500" t="s">
        <v>173</v>
      </c>
      <c r="D3697" s="500" t="s">
        <v>761</v>
      </c>
      <c r="E3697" s="501">
        <v>-2000036.84</v>
      </c>
      <c r="F3697" s="502" t="s">
        <v>878</v>
      </c>
      <c r="G3697" s="100">
        <v>114667681</v>
      </c>
      <c r="H3697" s="530"/>
      <c r="I3697" s="525"/>
      <c r="K3697" s="548"/>
      <c r="L3697" s="548"/>
      <c r="M3697" s="548"/>
      <c r="N3697" s="552"/>
      <c r="Q3697" s="539" t="s">
        <v>633</v>
      </c>
      <c r="Y3697" s="551"/>
    </row>
    <row r="3698" spans="1:25">
      <c r="A3698" s="499">
        <v>45607</v>
      </c>
      <c r="B3698" s="499">
        <v>45608</v>
      </c>
      <c r="C3698" s="500" t="s">
        <v>173</v>
      </c>
      <c r="D3698" s="500" t="s">
        <v>761</v>
      </c>
      <c r="E3698" s="501">
        <v>497491864.72000003</v>
      </c>
      <c r="F3698" s="502" t="s">
        <v>878</v>
      </c>
      <c r="G3698" s="100">
        <v>114667608</v>
      </c>
      <c r="H3698" s="100">
        <v>114667608</v>
      </c>
      <c r="I3698" s="525"/>
      <c r="K3698" s="548"/>
      <c r="L3698" s="548"/>
      <c r="M3698" s="548"/>
      <c r="N3698" s="552"/>
      <c r="Q3698" s="539" t="s">
        <v>676</v>
      </c>
      <c r="Y3698" s="551"/>
    </row>
    <row r="3699" spans="1:25">
      <c r="A3699" s="499">
        <v>45607</v>
      </c>
      <c r="B3699" s="499">
        <v>45608</v>
      </c>
      <c r="C3699" s="500" t="s">
        <v>173</v>
      </c>
      <c r="D3699" s="500" t="s">
        <v>761</v>
      </c>
      <c r="E3699" s="501">
        <v>2000780.05</v>
      </c>
      <c r="F3699" s="502" t="s">
        <v>878</v>
      </c>
      <c r="G3699" s="100">
        <v>114667681</v>
      </c>
      <c r="H3699" s="100">
        <v>114667681</v>
      </c>
      <c r="I3699" s="525"/>
      <c r="K3699" s="548"/>
      <c r="L3699" s="548"/>
      <c r="M3699" s="548"/>
      <c r="N3699" s="552"/>
      <c r="Q3699" s="539" t="s">
        <v>633</v>
      </c>
      <c r="Y3699" s="551"/>
    </row>
    <row r="3700" spans="1:25">
      <c r="A3700" s="499">
        <v>45607</v>
      </c>
      <c r="B3700" s="499">
        <v>45607</v>
      </c>
      <c r="C3700" s="500" t="s">
        <v>173</v>
      </c>
      <c r="D3700" s="500" t="s">
        <v>759</v>
      </c>
      <c r="E3700" s="501">
        <v>-2001787274</v>
      </c>
      <c r="F3700" s="502" t="s">
        <v>878</v>
      </c>
      <c r="G3700" s="100">
        <v>114667346</v>
      </c>
      <c r="H3700" s="100"/>
      <c r="I3700" s="525"/>
      <c r="K3700" s="548"/>
      <c r="L3700" s="548"/>
      <c r="M3700" s="548"/>
      <c r="N3700" s="552"/>
      <c r="Q3700" s="539" t="s">
        <v>680</v>
      </c>
      <c r="Y3700" s="551"/>
    </row>
    <row r="3701" spans="1:25">
      <c r="A3701" s="499">
        <v>45607</v>
      </c>
      <c r="B3701" s="499">
        <v>45607</v>
      </c>
      <c r="C3701" s="500" t="s">
        <v>173</v>
      </c>
      <c r="D3701" s="500" t="s">
        <v>759</v>
      </c>
      <c r="E3701" s="501">
        <v>-3002680911</v>
      </c>
      <c r="F3701" s="502" t="s">
        <v>878</v>
      </c>
      <c r="G3701" s="100">
        <v>114667499</v>
      </c>
      <c r="H3701" s="100"/>
      <c r="I3701" s="525"/>
      <c r="K3701" s="548"/>
      <c r="L3701" s="548"/>
      <c r="M3701" s="548"/>
      <c r="N3701" s="552"/>
      <c r="Q3701" s="539" t="s">
        <v>680</v>
      </c>
      <c r="Y3701" s="551"/>
    </row>
    <row r="3702" spans="1:25">
      <c r="A3702" s="499">
        <v>45607</v>
      </c>
      <c r="B3702" s="499">
        <v>45607</v>
      </c>
      <c r="C3702" s="500" t="s">
        <v>173</v>
      </c>
      <c r="D3702" s="500" t="s">
        <v>759</v>
      </c>
      <c r="E3702" s="501">
        <v>-360186174</v>
      </c>
      <c r="F3702" s="502" t="s">
        <v>878</v>
      </c>
      <c r="G3702" s="100">
        <v>114669774</v>
      </c>
      <c r="H3702" s="100"/>
      <c r="I3702" s="525"/>
      <c r="K3702" s="548"/>
      <c r="L3702" s="548"/>
      <c r="M3702" s="548"/>
      <c r="N3702" s="552"/>
      <c r="Q3702" s="539" t="s">
        <v>604</v>
      </c>
      <c r="Y3702" s="551"/>
    </row>
    <row r="3703" spans="1:25">
      <c r="A3703" s="499">
        <v>45607</v>
      </c>
      <c r="B3703" s="499">
        <v>45607</v>
      </c>
      <c r="C3703" s="500" t="s">
        <v>173</v>
      </c>
      <c r="D3703" s="500" t="s">
        <v>759</v>
      </c>
      <c r="E3703" s="501">
        <v>-477265357.00999999</v>
      </c>
      <c r="F3703" s="502" t="s">
        <v>878</v>
      </c>
      <c r="G3703" s="100">
        <v>114669913</v>
      </c>
      <c r="H3703" s="100"/>
      <c r="I3703" s="525"/>
      <c r="K3703" s="548"/>
      <c r="L3703" s="548"/>
      <c r="M3703" s="548"/>
      <c r="N3703" s="552"/>
      <c r="Q3703" s="539" t="s">
        <v>687</v>
      </c>
      <c r="Y3703" s="551"/>
    </row>
    <row r="3704" spans="1:25">
      <c r="A3704" s="499">
        <v>45607</v>
      </c>
      <c r="B3704" s="499">
        <v>45607</v>
      </c>
      <c r="C3704" s="500" t="s">
        <v>173</v>
      </c>
      <c r="D3704" s="500" t="s">
        <v>759</v>
      </c>
      <c r="E3704" s="501">
        <v>-13004048.25</v>
      </c>
      <c r="F3704" s="502" t="s">
        <v>878</v>
      </c>
      <c r="G3704" s="100">
        <v>114676415</v>
      </c>
      <c r="H3704" s="100"/>
      <c r="I3704" s="525"/>
      <c r="K3704" s="548"/>
      <c r="L3704" s="548"/>
      <c r="M3704" s="548"/>
      <c r="N3704" s="552"/>
      <c r="Q3704" s="539" t="s">
        <v>682</v>
      </c>
      <c r="Y3704" s="551"/>
    </row>
    <row r="3705" spans="1:25">
      <c r="A3705" s="499">
        <v>45607</v>
      </c>
      <c r="B3705" s="499">
        <v>45608</v>
      </c>
      <c r="C3705" s="500" t="s">
        <v>173</v>
      </c>
      <c r="D3705" s="500" t="s">
        <v>759</v>
      </c>
      <c r="E3705" s="501">
        <v>2002533836.74</v>
      </c>
      <c r="F3705" s="502" t="s">
        <v>878</v>
      </c>
      <c r="G3705" s="100">
        <v>114667346</v>
      </c>
      <c r="H3705" s="100">
        <v>114667346</v>
      </c>
      <c r="I3705" s="525"/>
      <c r="K3705" s="548"/>
      <c r="L3705" s="548"/>
      <c r="M3705" s="548"/>
      <c r="N3705" s="552"/>
      <c r="Q3705" s="539" t="s">
        <v>680</v>
      </c>
      <c r="Y3705" s="551"/>
    </row>
    <row r="3706" spans="1:25">
      <c r="A3706" s="499">
        <v>45607</v>
      </c>
      <c r="B3706" s="499">
        <v>45614</v>
      </c>
      <c r="C3706" s="500" t="s">
        <v>173</v>
      </c>
      <c r="D3706" s="500" t="s">
        <v>759</v>
      </c>
      <c r="E3706" s="501">
        <v>3010634733.8000002</v>
      </c>
      <c r="F3706" s="502" t="s">
        <v>878</v>
      </c>
      <c r="G3706" s="100">
        <v>114667499</v>
      </c>
      <c r="H3706" s="100">
        <v>114667499</v>
      </c>
      <c r="I3706" s="525"/>
      <c r="K3706" s="548"/>
      <c r="L3706" s="548"/>
      <c r="M3706" s="548"/>
      <c r="N3706" s="552"/>
      <c r="Q3706" s="539" t="s">
        <v>680</v>
      </c>
      <c r="Y3706" s="551"/>
    </row>
    <row r="3707" spans="1:25">
      <c r="A3707" s="499">
        <v>45607</v>
      </c>
      <c r="B3707" s="499">
        <v>45614</v>
      </c>
      <c r="C3707" s="500" t="s">
        <v>173</v>
      </c>
      <c r="D3707" s="500" t="s">
        <v>759</v>
      </c>
      <c r="E3707" s="501">
        <v>361140273.72000003</v>
      </c>
      <c r="F3707" s="502" t="s">
        <v>878</v>
      </c>
      <c r="G3707" s="100">
        <v>114669774</v>
      </c>
      <c r="H3707" s="100">
        <v>114669774</v>
      </c>
      <c r="I3707" s="525"/>
      <c r="K3707" s="548"/>
      <c r="L3707" s="548"/>
      <c r="M3707" s="548"/>
      <c r="N3707" s="552"/>
      <c r="Q3707" s="539" t="s">
        <v>604</v>
      </c>
      <c r="Y3707" s="551"/>
    </row>
    <row r="3708" spans="1:25">
      <c r="A3708" s="499">
        <v>45607</v>
      </c>
      <c r="B3708" s="499">
        <v>45614</v>
      </c>
      <c r="C3708" s="500" t="s">
        <v>173</v>
      </c>
      <c r="D3708" s="500" t="s">
        <v>759</v>
      </c>
      <c r="E3708" s="501">
        <v>478529588.60000002</v>
      </c>
      <c r="F3708" s="502" t="s">
        <v>878</v>
      </c>
      <c r="G3708" s="100">
        <v>114669913</v>
      </c>
      <c r="H3708" s="100">
        <v>114669913</v>
      </c>
      <c r="I3708" s="525"/>
      <c r="K3708" s="548"/>
      <c r="L3708" s="548"/>
      <c r="M3708" s="548"/>
      <c r="N3708" s="552"/>
      <c r="Q3708" s="539" t="s">
        <v>687</v>
      </c>
      <c r="Y3708" s="551"/>
    </row>
    <row r="3709" spans="1:25">
      <c r="A3709" s="499">
        <v>45607</v>
      </c>
      <c r="B3709" s="499">
        <v>45614</v>
      </c>
      <c r="C3709" s="500" t="s">
        <v>173</v>
      </c>
      <c r="D3709" s="500" t="s">
        <v>759</v>
      </c>
      <c r="E3709" s="501">
        <v>13038370.41</v>
      </c>
      <c r="F3709" s="502" t="s">
        <v>878</v>
      </c>
      <c r="G3709" s="100">
        <v>114676415</v>
      </c>
      <c r="H3709" s="100">
        <v>114676415</v>
      </c>
      <c r="I3709" s="525"/>
      <c r="K3709" s="548"/>
      <c r="L3709" s="548"/>
      <c r="M3709" s="548"/>
      <c r="N3709" s="552"/>
      <c r="Q3709" s="539" t="s">
        <v>682</v>
      </c>
      <c r="Y3709" s="551"/>
    </row>
    <row r="3710" spans="1:25">
      <c r="A3710" s="499">
        <v>45607</v>
      </c>
      <c r="B3710" s="499">
        <v>45607</v>
      </c>
      <c r="C3710" s="500" t="s">
        <v>173</v>
      </c>
      <c r="D3710" s="500" t="s">
        <v>760</v>
      </c>
      <c r="E3710" s="501">
        <v>-358132124.83999997</v>
      </c>
      <c r="F3710" s="502" t="s">
        <v>878</v>
      </c>
      <c r="G3710" s="100">
        <v>114668109</v>
      </c>
      <c r="H3710" s="100"/>
      <c r="I3710" s="525"/>
      <c r="K3710" s="548"/>
      <c r="L3710" s="548"/>
      <c r="M3710" s="548"/>
      <c r="N3710" s="552"/>
      <c r="Q3710" s="539" t="s">
        <v>635</v>
      </c>
      <c r="Y3710" s="551"/>
    </row>
    <row r="3711" spans="1:25">
      <c r="A3711" s="499">
        <v>45607</v>
      </c>
      <c r="B3711" s="499">
        <v>45607</v>
      </c>
      <c r="C3711" s="500" t="s">
        <v>173</v>
      </c>
      <c r="D3711" s="500" t="s">
        <v>760</v>
      </c>
      <c r="E3711" s="501">
        <v>-260046884.53</v>
      </c>
      <c r="F3711" s="502" t="s">
        <v>878</v>
      </c>
      <c r="G3711" s="100">
        <v>114668355</v>
      </c>
      <c r="H3711" s="100"/>
      <c r="I3711" s="525"/>
      <c r="K3711" s="548"/>
      <c r="L3711" s="548"/>
      <c r="M3711" s="548"/>
      <c r="N3711" s="552"/>
      <c r="Q3711" s="539" t="s">
        <v>833</v>
      </c>
      <c r="Y3711" s="551"/>
    </row>
    <row r="3712" spans="1:25">
      <c r="A3712" s="499">
        <v>45607</v>
      </c>
      <c r="B3712" s="499">
        <v>45607</v>
      </c>
      <c r="C3712" s="500" t="s">
        <v>173</v>
      </c>
      <c r="D3712" s="500" t="s">
        <v>760</v>
      </c>
      <c r="E3712" s="501">
        <v>-275240826.85000002</v>
      </c>
      <c r="F3712" s="502" t="s">
        <v>878</v>
      </c>
      <c r="G3712" s="100">
        <v>114668398</v>
      </c>
      <c r="H3712" s="100"/>
      <c r="I3712" s="525"/>
      <c r="K3712" s="548"/>
      <c r="L3712" s="548"/>
      <c r="M3712" s="548"/>
      <c r="N3712" s="552"/>
      <c r="Q3712" s="539" t="s">
        <v>677</v>
      </c>
      <c r="Y3712" s="551"/>
    </row>
    <row r="3713" spans="1:25">
      <c r="A3713" s="499">
        <v>45607</v>
      </c>
      <c r="B3713" s="499">
        <v>45607</v>
      </c>
      <c r="C3713" s="500" t="s">
        <v>173</v>
      </c>
      <c r="D3713" s="500" t="s">
        <v>760</v>
      </c>
      <c r="E3713" s="501">
        <v>-240020418.74000001</v>
      </c>
      <c r="F3713" s="502" t="s">
        <v>878</v>
      </c>
      <c r="G3713" s="100">
        <v>114668764</v>
      </c>
      <c r="H3713" s="100"/>
      <c r="I3713" s="525"/>
      <c r="K3713" s="548"/>
      <c r="L3713" s="548"/>
      <c r="M3713" s="548"/>
      <c r="N3713" s="552"/>
      <c r="Q3713" s="539" t="s">
        <v>631</v>
      </c>
      <c r="Y3713" s="551"/>
    </row>
    <row r="3714" spans="1:25">
      <c r="A3714" s="499">
        <v>45607</v>
      </c>
      <c r="B3714" s="499">
        <v>45607</v>
      </c>
      <c r="C3714" s="500" t="s">
        <v>173</v>
      </c>
      <c r="D3714" s="500" t="s">
        <v>760</v>
      </c>
      <c r="E3714" s="501">
        <v>-124000194.04000001</v>
      </c>
      <c r="F3714" s="502" t="s">
        <v>878</v>
      </c>
      <c r="G3714" s="100">
        <v>114669077</v>
      </c>
      <c r="H3714" s="100"/>
      <c r="I3714" s="525"/>
      <c r="K3714" s="548"/>
      <c r="L3714" s="548"/>
      <c r="M3714" s="548"/>
      <c r="N3714" s="552"/>
      <c r="Q3714" s="539" t="s">
        <v>1013</v>
      </c>
      <c r="Y3714" s="551"/>
    </row>
    <row r="3715" spans="1:25">
      <c r="A3715" s="499">
        <v>45607</v>
      </c>
      <c r="B3715" s="499">
        <v>45607</v>
      </c>
      <c r="C3715" s="500" t="s">
        <v>173</v>
      </c>
      <c r="D3715" s="500" t="s">
        <v>760</v>
      </c>
      <c r="E3715" s="501">
        <v>-3002695.76</v>
      </c>
      <c r="F3715" s="502" t="s">
        <v>878</v>
      </c>
      <c r="G3715" s="100">
        <v>114669532</v>
      </c>
      <c r="H3715" s="100"/>
      <c r="I3715" s="525"/>
      <c r="K3715" s="548"/>
      <c r="L3715" s="548"/>
      <c r="M3715" s="548"/>
      <c r="N3715" s="552"/>
      <c r="Q3715" s="539" t="s">
        <v>674</v>
      </c>
      <c r="Y3715" s="551"/>
    </row>
    <row r="3716" spans="1:25">
      <c r="A3716" s="499">
        <v>45607</v>
      </c>
      <c r="B3716" s="499">
        <v>45607</v>
      </c>
      <c r="C3716" s="500" t="s">
        <v>173</v>
      </c>
      <c r="D3716" s="500" t="s">
        <v>760</v>
      </c>
      <c r="E3716" s="501">
        <v>-18003245.850000001</v>
      </c>
      <c r="F3716" s="502" t="s">
        <v>878</v>
      </c>
      <c r="G3716" s="100">
        <v>114670079</v>
      </c>
      <c r="H3716" s="100"/>
      <c r="I3716" s="525"/>
      <c r="K3716" s="548"/>
      <c r="L3716" s="548"/>
      <c r="M3716" s="548"/>
      <c r="N3716" s="552"/>
      <c r="Q3716" s="539" t="s">
        <v>833</v>
      </c>
      <c r="Y3716" s="551"/>
    </row>
    <row r="3717" spans="1:25">
      <c r="A3717" s="499">
        <v>45607</v>
      </c>
      <c r="B3717" s="499">
        <v>45607</v>
      </c>
      <c r="C3717" s="500" t="s">
        <v>173</v>
      </c>
      <c r="D3717" s="500" t="s">
        <v>760</v>
      </c>
      <c r="E3717" s="501">
        <v>-6003753.6799999997</v>
      </c>
      <c r="F3717" s="502" t="s">
        <v>878</v>
      </c>
      <c r="G3717" s="100">
        <v>114670082</v>
      </c>
      <c r="H3717" s="100"/>
      <c r="I3717" s="525"/>
      <c r="K3717" s="548"/>
      <c r="L3717" s="548"/>
      <c r="M3717" s="548"/>
      <c r="N3717" s="552"/>
      <c r="Q3717" s="539" t="s">
        <v>590</v>
      </c>
      <c r="Y3717" s="551"/>
    </row>
    <row r="3718" spans="1:25">
      <c r="A3718" s="499">
        <v>45607</v>
      </c>
      <c r="B3718" s="499">
        <v>45607</v>
      </c>
      <c r="C3718" s="500" t="s">
        <v>173</v>
      </c>
      <c r="D3718" s="500" t="s">
        <v>760</v>
      </c>
      <c r="E3718" s="501">
        <v>-5003600.4400000004</v>
      </c>
      <c r="F3718" s="502" t="s">
        <v>878</v>
      </c>
      <c r="G3718" s="100">
        <v>114670085</v>
      </c>
      <c r="H3718" s="100"/>
      <c r="I3718" s="525"/>
      <c r="K3718" s="548"/>
      <c r="L3718" s="548"/>
      <c r="M3718" s="548"/>
      <c r="N3718" s="552"/>
      <c r="Q3718" s="539" t="s">
        <v>648</v>
      </c>
      <c r="Y3718" s="551"/>
    </row>
    <row r="3719" spans="1:25">
      <c r="A3719" s="499">
        <v>45607</v>
      </c>
      <c r="B3719" s="499">
        <v>45608</v>
      </c>
      <c r="C3719" s="500" t="s">
        <v>173</v>
      </c>
      <c r="D3719" s="500" t="s">
        <v>760</v>
      </c>
      <c r="E3719" s="501">
        <v>358266178.77999997</v>
      </c>
      <c r="F3719" s="502" t="s">
        <v>878</v>
      </c>
      <c r="G3719" s="100">
        <v>114668109</v>
      </c>
      <c r="H3719" s="100">
        <v>114668109</v>
      </c>
      <c r="I3719" s="525"/>
      <c r="K3719" s="548"/>
      <c r="L3719" s="548"/>
      <c r="M3719" s="548"/>
      <c r="N3719" s="552"/>
      <c r="Q3719" s="539" t="s">
        <v>635</v>
      </c>
      <c r="Y3719" s="551"/>
    </row>
    <row r="3720" spans="1:25">
      <c r="A3720" s="499">
        <v>45607</v>
      </c>
      <c r="B3720" s="499">
        <v>45608</v>
      </c>
      <c r="C3720" s="500" t="s">
        <v>173</v>
      </c>
      <c r="D3720" s="500" t="s">
        <v>760</v>
      </c>
      <c r="E3720" s="501">
        <v>260144223.77000001</v>
      </c>
      <c r="F3720" s="502" t="s">
        <v>878</v>
      </c>
      <c r="G3720" s="100">
        <v>114668355</v>
      </c>
      <c r="H3720" s="100">
        <v>114668355</v>
      </c>
      <c r="I3720" s="525"/>
      <c r="K3720" s="548"/>
      <c r="L3720" s="548"/>
      <c r="M3720" s="548"/>
      <c r="N3720" s="552"/>
      <c r="Q3720" s="539" t="s">
        <v>833</v>
      </c>
      <c r="Y3720" s="551"/>
    </row>
    <row r="3721" spans="1:25">
      <c r="A3721" s="499">
        <v>45607</v>
      </c>
      <c r="B3721" s="499">
        <v>45608</v>
      </c>
      <c r="C3721" s="500" t="s">
        <v>173</v>
      </c>
      <c r="D3721" s="500" t="s">
        <v>760</v>
      </c>
      <c r="E3721" s="501">
        <v>275343853.39999998</v>
      </c>
      <c r="F3721" s="502" t="s">
        <v>878</v>
      </c>
      <c r="G3721" s="100">
        <v>114668398</v>
      </c>
      <c r="H3721" s="100">
        <v>114668398</v>
      </c>
      <c r="I3721" s="525"/>
      <c r="K3721" s="548"/>
      <c r="L3721" s="548"/>
      <c r="M3721" s="548"/>
      <c r="N3721" s="552"/>
      <c r="Q3721" s="539" t="s">
        <v>677</v>
      </c>
      <c r="Y3721" s="551"/>
    </row>
    <row r="3722" spans="1:25">
      <c r="A3722" s="499">
        <v>45607</v>
      </c>
      <c r="B3722" s="499">
        <v>45608</v>
      </c>
      <c r="C3722" s="500" t="s">
        <v>173</v>
      </c>
      <c r="D3722" s="500" t="s">
        <v>760</v>
      </c>
      <c r="E3722" s="501">
        <v>240110261.78999999</v>
      </c>
      <c r="F3722" s="502" t="s">
        <v>878</v>
      </c>
      <c r="G3722" s="100">
        <v>114668764</v>
      </c>
      <c r="H3722" s="100">
        <v>114668764</v>
      </c>
      <c r="I3722" s="525"/>
      <c r="K3722" s="548"/>
      <c r="L3722" s="548"/>
      <c r="M3722" s="548"/>
      <c r="N3722" s="552"/>
      <c r="Q3722" s="539" t="s">
        <v>631</v>
      </c>
      <c r="Y3722" s="551"/>
    </row>
    <row r="3723" spans="1:25">
      <c r="A3723" s="499">
        <v>45607</v>
      </c>
      <c r="B3723" s="499">
        <v>45608</v>
      </c>
      <c r="C3723" s="500" t="s">
        <v>173</v>
      </c>
      <c r="D3723" s="500" t="s">
        <v>760</v>
      </c>
      <c r="E3723" s="501">
        <v>124046609.06999999</v>
      </c>
      <c r="F3723" s="502" t="s">
        <v>878</v>
      </c>
      <c r="G3723" s="100">
        <v>114669077</v>
      </c>
      <c r="H3723" s="100">
        <v>114669077</v>
      </c>
      <c r="I3723" s="525"/>
      <c r="K3723" s="548"/>
      <c r="L3723" s="548"/>
      <c r="M3723" s="548"/>
      <c r="N3723" s="552"/>
      <c r="Q3723" s="539" t="s">
        <v>1013</v>
      </c>
      <c r="Y3723" s="551"/>
    </row>
    <row r="3724" spans="1:25">
      <c r="A3724" s="499">
        <v>45607</v>
      </c>
      <c r="B3724" s="499">
        <v>45608</v>
      </c>
      <c r="C3724" s="500" t="s">
        <v>173</v>
      </c>
      <c r="D3724" s="500" t="s">
        <v>760</v>
      </c>
      <c r="E3724" s="501">
        <v>3003819.71</v>
      </c>
      <c r="F3724" s="502" t="s">
        <v>878</v>
      </c>
      <c r="G3724" s="100">
        <v>114669532</v>
      </c>
      <c r="H3724" s="100">
        <v>114669532</v>
      </c>
      <c r="I3724" s="525"/>
      <c r="K3724" s="548"/>
      <c r="L3724" s="548"/>
      <c r="M3724" s="548"/>
      <c r="N3724" s="552"/>
      <c r="Q3724" s="539" t="s">
        <v>674</v>
      </c>
      <c r="Y3724" s="551"/>
    </row>
    <row r="3725" spans="1:25">
      <c r="A3725" s="499">
        <v>45607</v>
      </c>
      <c r="B3725" s="499">
        <v>45608</v>
      </c>
      <c r="C3725" s="500" t="s">
        <v>173</v>
      </c>
      <c r="D3725" s="500" t="s">
        <v>760</v>
      </c>
      <c r="E3725" s="501">
        <v>18009984.719999999</v>
      </c>
      <c r="F3725" s="502" t="s">
        <v>878</v>
      </c>
      <c r="G3725" s="100">
        <v>114670079</v>
      </c>
      <c r="H3725" s="100">
        <v>114670079</v>
      </c>
      <c r="I3725" s="525"/>
      <c r="K3725" s="548"/>
      <c r="L3725" s="548"/>
      <c r="M3725" s="548"/>
      <c r="N3725" s="552"/>
      <c r="Q3725" s="539" t="s">
        <v>833</v>
      </c>
      <c r="Y3725" s="551"/>
    </row>
    <row r="3726" spans="1:25">
      <c r="A3726" s="499">
        <v>45607</v>
      </c>
      <c r="B3726" s="499">
        <v>45608</v>
      </c>
      <c r="C3726" s="500" t="s">
        <v>173</v>
      </c>
      <c r="D3726" s="500" t="s">
        <v>760</v>
      </c>
      <c r="E3726" s="501">
        <v>6006000.9699999997</v>
      </c>
      <c r="F3726" s="502" t="s">
        <v>878</v>
      </c>
      <c r="G3726" s="100">
        <v>114670082</v>
      </c>
      <c r="H3726" s="100">
        <v>114670082</v>
      </c>
      <c r="I3726" s="525"/>
      <c r="K3726" s="548"/>
      <c r="L3726" s="548"/>
      <c r="M3726" s="548"/>
      <c r="N3726" s="552"/>
      <c r="Q3726" s="539" t="s">
        <v>590</v>
      </c>
      <c r="Y3726" s="551"/>
    </row>
    <row r="3727" spans="1:25">
      <c r="A3727" s="499">
        <v>45607</v>
      </c>
      <c r="B3727" s="499">
        <v>45608</v>
      </c>
      <c r="C3727" s="500" t="s">
        <v>173</v>
      </c>
      <c r="D3727" s="500" t="s">
        <v>760</v>
      </c>
      <c r="E3727" s="501">
        <v>5005473.3600000003</v>
      </c>
      <c r="F3727" s="502" t="s">
        <v>878</v>
      </c>
      <c r="G3727" s="100">
        <v>114670085</v>
      </c>
      <c r="H3727" s="100">
        <v>114670085</v>
      </c>
      <c r="I3727" s="525"/>
      <c r="K3727" s="548"/>
      <c r="L3727" s="548"/>
      <c r="M3727" s="548"/>
      <c r="N3727" s="552"/>
      <c r="Q3727" s="539" t="s">
        <v>648</v>
      </c>
      <c r="Y3727" s="551"/>
    </row>
    <row r="3728" spans="1:25">
      <c r="A3728" s="499">
        <v>45607</v>
      </c>
      <c r="B3728" s="499">
        <v>45607</v>
      </c>
      <c r="C3728" s="500" t="s">
        <v>173</v>
      </c>
      <c r="D3728" s="500" t="s">
        <v>763</v>
      </c>
      <c r="E3728" s="501">
        <v>-5436100127.8599997</v>
      </c>
      <c r="F3728" s="502" t="s">
        <v>878</v>
      </c>
      <c r="G3728" s="100">
        <v>114668639</v>
      </c>
      <c r="H3728" s="100"/>
      <c r="I3728" s="525"/>
      <c r="K3728" s="548"/>
      <c r="L3728" s="548"/>
      <c r="M3728" s="548"/>
      <c r="N3728" s="552"/>
      <c r="Q3728" s="539" t="s">
        <v>633</v>
      </c>
      <c r="Y3728" s="551"/>
    </row>
    <row r="3729" spans="1:25">
      <c r="A3729" s="499">
        <v>45607</v>
      </c>
      <c r="B3729" s="499">
        <v>45607</v>
      </c>
      <c r="C3729" s="500" t="s">
        <v>173</v>
      </c>
      <c r="D3729" s="500" t="s">
        <v>763</v>
      </c>
      <c r="E3729" s="501">
        <v>-23000423.649999999</v>
      </c>
      <c r="F3729" s="502" t="s">
        <v>878</v>
      </c>
      <c r="G3729" s="100">
        <v>114668654</v>
      </c>
      <c r="H3729" s="100"/>
      <c r="I3729" s="525"/>
      <c r="K3729" s="548"/>
      <c r="L3729" s="548"/>
      <c r="M3729" s="548"/>
      <c r="N3729" s="552"/>
      <c r="Q3729" s="539" t="s">
        <v>633</v>
      </c>
      <c r="Y3729" s="551"/>
    </row>
    <row r="3730" spans="1:25">
      <c r="A3730" s="499">
        <v>45607</v>
      </c>
      <c r="B3730" s="499">
        <v>45608</v>
      </c>
      <c r="C3730" s="500" t="s">
        <v>173</v>
      </c>
      <c r="D3730" s="500" t="s">
        <v>763</v>
      </c>
      <c r="E3730" s="501">
        <v>5438127525.8599997</v>
      </c>
      <c r="F3730" s="502" t="s">
        <v>878</v>
      </c>
      <c r="G3730" s="100">
        <v>114668639</v>
      </c>
      <c r="H3730" s="100">
        <v>114668639</v>
      </c>
      <c r="I3730" s="525"/>
      <c r="K3730" s="548"/>
      <c r="L3730" s="548"/>
      <c r="M3730" s="548"/>
      <c r="N3730" s="552"/>
      <c r="Q3730" s="539" t="s">
        <v>633</v>
      </c>
      <c r="Y3730" s="551"/>
    </row>
    <row r="3731" spans="1:25">
      <c r="A3731" s="499">
        <v>45607</v>
      </c>
      <c r="B3731" s="499">
        <v>45608</v>
      </c>
      <c r="C3731" s="500" t="s">
        <v>173</v>
      </c>
      <c r="D3731" s="500" t="s">
        <v>763</v>
      </c>
      <c r="E3731" s="501">
        <v>23009001.68</v>
      </c>
      <c r="F3731" s="502" t="s">
        <v>878</v>
      </c>
      <c r="G3731" s="100">
        <v>114668654</v>
      </c>
      <c r="H3731" s="100">
        <v>114668654</v>
      </c>
      <c r="I3731" s="525"/>
      <c r="K3731" s="548"/>
      <c r="L3731" s="548"/>
      <c r="M3731" s="548"/>
      <c r="N3731" s="552"/>
      <c r="Q3731" s="539" t="s">
        <v>633</v>
      </c>
      <c r="Y3731" s="551"/>
    </row>
    <row r="3732" spans="1:25">
      <c r="A3732" s="499">
        <v>45608</v>
      </c>
      <c r="B3732" s="499">
        <v>45608</v>
      </c>
      <c r="C3732" s="500" t="s">
        <v>173</v>
      </c>
      <c r="D3732" s="500" t="s">
        <v>762</v>
      </c>
      <c r="E3732" s="501">
        <v>-2862970138.96</v>
      </c>
      <c r="F3732" s="502" t="s">
        <v>878</v>
      </c>
      <c r="G3732" s="100">
        <v>114689149</v>
      </c>
      <c r="H3732" s="100"/>
      <c r="I3732" s="525" t="s">
        <v>689</v>
      </c>
      <c r="J3732" s="100"/>
      <c r="K3732" s="548"/>
      <c r="L3732" s="548"/>
      <c r="M3732" s="548"/>
      <c r="N3732" s="552"/>
      <c r="Y3732" s="551"/>
    </row>
    <row r="3733" spans="1:25">
      <c r="A3733" s="499">
        <v>45608</v>
      </c>
      <c r="B3733" s="499">
        <v>45608</v>
      </c>
      <c r="C3733" s="500" t="s">
        <v>173</v>
      </c>
      <c r="D3733" s="500" t="s">
        <v>762</v>
      </c>
      <c r="E3733" s="501">
        <v>-1124325960</v>
      </c>
      <c r="F3733" s="502" t="s">
        <v>878</v>
      </c>
      <c r="G3733" s="100">
        <v>114689160</v>
      </c>
      <c r="H3733" s="100"/>
      <c r="I3733" s="525" t="s">
        <v>685</v>
      </c>
      <c r="J3733" s="100"/>
      <c r="K3733" s="548"/>
      <c r="L3733" s="548"/>
      <c r="M3733" s="548"/>
      <c r="N3733" s="552"/>
      <c r="Y3733" s="551"/>
    </row>
    <row r="3734" spans="1:25">
      <c r="A3734" s="499">
        <v>45608</v>
      </c>
      <c r="B3734" s="499">
        <v>45608</v>
      </c>
      <c r="C3734" s="500" t="s">
        <v>173</v>
      </c>
      <c r="D3734" s="500" t="s">
        <v>762</v>
      </c>
      <c r="E3734" s="501">
        <v>-23022772.140000001</v>
      </c>
      <c r="F3734" s="502" t="s">
        <v>878</v>
      </c>
      <c r="G3734" s="100">
        <v>114696445</v>
      </c>
      <c r="H3734" s="100"/>
      <c r="I3734" s="525" t="s">
        <v>677</v>
      </c>
      <c r="J3734" s="100"/>
      <c r="K3734" s="548"/>
      <c r="L3734" s="548"/>
      <c r="M3734" s="548"/>
      <c r="N3734" s="552"/>
      <c r="Y3734" s="551"/>
    </row>
    <row r="3735" spans="1:25">
      <c r="A3735" s="499">
        <v>45608</v>
      </c>
      <c r="B3735" s="499">
        <v>45608</v>
      </c>
      <c r="C3735" s="500" t="s">
        <v>173</v>
      </c>
      <c r="D3735" s="500" t="s">
        <v>762</v>
      </c>
      <c r="E3735" s="501">
        <v>-1403061347.02</v>
      </c>
      <c r="F3735" s="502" t="s">
        <v>878</v>
      </c>
      <c r="G3735" s="100">
        <v>114695152</v>
      </c>
      <c r="H3735" s="100"/>
      <c r="I3735" s="525" t="s">
        <v>1013</v>
      </c>
      <c r="J3735" s="100"/>
      <c r="K3735" s="548"/>
      <c r="L3735" s="548"/>
      <c r="M3735" s="548"/>
      <c r="N3735" s="552"/>
      <c r="Y3735" s="551"/>
    </row>
    <row r="3736" spans="1:25">
      <c r="A3736" s="499">
        <v>45608</v>
      </c>
      <c r="B3736" s="499">
        <v>45608</v>
      </c>
      <c r="C3736" s="500" t="s">
        <v>173</v>
      </c>
      <c r="D3736" s="500" t="s">
        <v>762</v>
      </c>
      <c r="E3736" s="501">
        <v>-897517359.10000002</v>
      </c>
      <c r="F3736" s="502" t="s">
        <v>878</v>
      </c>
      <c r="G3736" s="100">
        <v>114691187</v>
      </c>
      <c r="H3736" s="530"/>
      <c r="I3736" s="525" t="s">
        <v>604</v>
      </c>
      <c r="J3736" s="100"/>
      <c r="K3736" s="548"/>
      <c r="L3736" s="548"/>
      <c r="M3736" s="548"/>
      <c r="N3736" s="552"/>
      <c r="Y3736" s="551"/>
    </row>
    <row r="3737" spans="1:25">
      <c r="A3737" s="499">
        <v>45608</v>
      </c>
      <c r="B3737" s="499">
        <v>45615</v>
      </c>
      <c r="C3737" s="500" t="s">
        <v>173</v>
      </c>
      <c r="D3737" s="500" t="s">
        <v>762</v>
      </c>
      <c r="E3737" s="501">
        <v>2870630539.6599998</v>
      </c>
      <c r="F3737" s="502" t="s">
        <v>878</v>
      </c>
      <c r="G3737" s="100">
        <v>114689149</v>
      </c>
      <c r="H3737" s="530">
        <v>114689149</v>
      </c>
      <c r="I3737" s="525" t="s">
        <v>689</v>
      </c>
      <c r="J3737" s="100"/>
      <c r="K3737" s="548"/>
      <c r="L3737" s="548"/>
      <c r="M3737" s="548"/>
      <c r="N3737" s="552"/>
      <c r="Y3737" s="551"/>
    </row>
    <row r="3738" spans="1:25">
      <c r="A3738" s="499">
        <v>45608</v>
      </c>
      <c r="B3738" s="499">
        <v>45615</v>
      </c>
      <c r="C3738" s="500" t="s">
        <v>173</v>
      </c>
      <c r="D3738" s="500" t="s">
        <v>762</v>
      </c>
      <c r="E3738" s="501">
        <v>1127334299.9300001</v>
      </c>
      <c r="F3738" s="502" t="s">
        <v>878</v>
      </c>
      <c r="G3738" s="100">
        <v>114689160</v>
      </c>
      <c r="H3738" s="530">
        <v>114689160</v>
      </c>
      <c r="I3738" s="525" t="s">
        <v>685</v>
      </c>
      <c r="J3738" s="100"/>
      <c r="K3738" s="548"/>
      <c r="L3738" s="548"/>
      <c r="M3738" s="548"/>
      <c r="N3738" s="552"/>
      <c r="Y3738" s="551"/>
    </row>
    <row r="3739" spans="1:25">
      <c r="A3739" s="499">
        <v>45608</v>
      </c>
      <c r="B3739" s="499">
        <v>45615</v>
      </c>
      <c r="C3739" s="500" t="s">
        <v>173</v>
      </c>
      <c r="D3739" s="500" t="s">
        <v>762</v>
      </c>
      <c r="E3739" s="501">
        <v>23082660.469999999</v>
      </c>
      <c r="F3739" s="502" t="s">
        <v>878</v>
      </c>
      <c r="G3739" s="100">
        <v>114696445</v>
      </c>
      <c r="H3739" s="530">
        <v>114696445</v>
      </c>
      <c r="I3739" s="525" t="s">
        <v>677</v>
      </c>
      <c r="J3739" s="100"/>
      <c r="K3739" s="548"/>
      <c r="L3739" s="548"/>
      <c r="M3739" s="548"/>
      <c r="N3739" s="552"/>
      <c r="Y3739" s="551"/>
    </row>
    <row r="3740" spans="1:25">
      <c r="A3740" s="499">
        <v>45608</v>
      </c>
      <c r="B3740" s="499">
        <v>45615</v>
      </c>
      <c r="C3740" s="500" t="s">
        <v>173</v>
      </c>
      <c r="D3740" s="500" t="s">
        <v>762</v>
      </c>
      <c r="E3740" s="501">
        <v>1406815494.5</v>
      </c>
      <c r="F3740" s="502" t="s">
        <v>878</v>
      </c>
      <c r="G3740" s="100">
        <v>114695152</v>
      </c>
      <c r="H3740" s="530">
        <v>114695152</v>
      </c>
      <c r="I3740" s="525" t="s">
        <v>1013</v>
      </c>
      <c r="J3740" s="100"/>
      <c r="K3740" s="548"/>
      <c r="L3740" s="548"/>
      <c r="M3740" s="548"/>
      <c r="N3740" s="552"/>
      <c r="Y3740" s="551"/>
    </row>
    <row r="3741" spans="1:25">
      <c r="A3741" s="499">
        <v>45608</v>
      </c>
      <c r="B3741" s="499">
        <v>45615</v>
      </c>
      <c r="C3741" s="500" t="s">
        <v>173</v>
      </c>
      <c r="D3741" s="500" t="s">
        <v>762</v>
      </c>
      <c r="E3741" s="501">
        <v>899918831.09000003</v>
      </c>
      <c r="F3741" s="502" t="s">
        <v>878</v>
      </c>
      <c r="G3741" s="100">
        <v>114691187</v>
      </c>
      <c r="H3741" s="530">
        <v>114691187</v>
      </c>
      <c r="I3741" s="525" t="s">
        <v>604</v>
      </c>
      <c r="J3741" s="100"/>
      <c r="K3741" s="548"/>
      <c r="L3741" s="548"/>
      <c r="M3741" s="548"/>
      <c r="N3741" s="552"/>
      <c r="Y3741" s="551"/>
    </row>
    <row r="3742" spans="1:25">
      <c r="A3742" s="499">
        <v>45608</v>
      </c>
      <c r="B3742" s="499">
        <v>45608</v>
      </c>
      <c r="C3742" s="500" t="s">
        <v>173</v>
      </c>
      <c r="D3742" s="500" t="s">
        <v>761</v>
      </c>
      <c r="E3742" s="501">
        <v>-1000236.48</v>
      </c>
      <c r="F3742" s="502" t="s">
        <v>878</v>
      </c>
      <c r="G3742" s="100">
        <v>114686270</v>
      </c>
      <c r="H3742" s="100"/>
      <c r="I3742" s="525" t="s">
        <v>598</v>
      </c>
      <c r="J3742" s="100"/>
      <c r="K3742" s="548"/>
      <c r="L3742" s="548"/>
      <c r="M3742" s="548"/>
      <c r="N3742" s="552"/>
      <c r="Y3742" s="551"/>
    </row>
    <row r="3743" spans="1:25">
      <c r="A3743" s="499">
        <v>45608</v>
      </c>
      <c r="B3743" s="499">
        <v>45608</v>
      </c>
      <c r="C3743" s="500" t="s">
        <v>173</v>
      </c>
      <c r="D3743" s="500" t="s">
        <v>761</v>
      </c>
      <c r="E3743" s="501">
        <v>-1000202.61</v>
      </c>
      <c r="F3743" s="502" t="s">
        <v>878</v>
      </c>
      <c r="G3743" s="100">
        <v>114686273</v>
      </c>
      <c r="H3743" s="100"/>
      <c r="I3743" s="525" t="s">
        <v>592</v>
      </c>
      <c r="J3743" s="100"/>
      <c r="K3743" s="548"/>
      <c r="L3743" s="548"/>
      <c r="M3743" s="548"/>
      <c r="N3743" s="552"/>
      <c r="Y3743" s="551"/>
    </row>
    <row r="3744" spans="1:25">
      <c r="A3744" s="499">
        <v>45608</v>
      </c>
      <c r="B3744" s="499">
        <v>45608</v>
      </c>
      <c r="C3744" s="500" t="s">
        <v>173</v>
      </c>
      <c r="D3744" s="500" t="s">
        <v>761</v>
      </c>
      <c r="E3744" s="501">
        <v>-1000766.64</v>
      </c>
      <c r="F3744" s="502" t="s">
        <v>878</v>
      </c>
      <c r="G3744" s="100">
        <v>114686276</v>
      </c>
      <c r="H3744" s="100"/>
      <c r="I3744" s="525" t="s">
        <v>695</v>
      </c>
      <c r="J3744" s="100"/>
      <c r="K3744" s="548"/>
      <c r="L3744" s="548"/>
      <c r="M3744" s="548"/>
      <c r="N3744" s="552"/>
      <c r="Y3744" s="551"/>
    </row>
    <row r="3745" spans="1:25">
      <c r="A3745" s="499">
        <v>45608</v>
      </c>
      <c r="B3745" s="499">
        <v>45608</v>
      </c>
      <c r="C3745" s="500" t="s">
        <v>173</v>
      </c>
      <c r="D3745" s="500" t="s">
        <v>761</v>
      </c>
      <c r="E3745" s="501">
        <v>-1000364.9</v>
      </c>
      <c r="F3745" s="502" t="s">
        <v>878</v>
      </c>
      <c r="G3745" s="100">
        <v>114686279</v>
      </c>
      <c r="H3745" s="100"/>
      <c r="I3745" s="525" t="s">
        <v>602</v>
      </c>
      <c r="J3745" s="100"/>
      <c r="K3745" s="548"/>
      <c r="L3745" s="548"/>
      <c r="M3745" s="548"/>
      <c r="N3745" s="552"/>
      <c r="Y3745" s="551"/>
    </row>
    <row r="3746" spans="1:25">
      <c r="A3746" s="499">
        <v>45608</v>
      </c>
      <c r="B3746" s="499">
        <v>45608</v>
      </c>
      <c r="C3746" s="500" t="s">
        <v>173</v>
      </c>
      <c r="D3746" s="500" t="s">
        <v>761</v>
      </c>
      <c r="E3746" s="501">
        <v>-1000202.61</v>
      </c>
      <c r="F3746" s="502" t="s">
        <v>878</v>
      </c>
      <c r="G3746" s="100">
        <v>114686282</v>
      </c>
      <c r="H3746" s="530"/>
      <c r="I3746" s="525" t="s">
        <v>592</v>
      </c>
      <c r="J3746" s="100"/>
      <c r="K3746" s="548"/>
      <c r="L3746" s="548"/>
      <c r="M3746" s="548"/>
      <c r="N3746" s="552"/>
      <c r="Y3746" s="551"/>
    </row>
    <row r="3747" spans="1:25">
      <c r="A3747" s="499">
        <v>45608</v>
      </c>
      <c r="B3747" s="499">
        <v>45608</v>
      </c>
      <c r="C3747" s="500" t="s">
        <v>173</v>
      </c>
      <c r="D3747" s="500" t="s">
        <v>761</v>
      </c>
      <c r="E3747" s="501">
        <v>-2002096.5</v>
      </c>
      <c r="F3747" s="502" t="s">
        <v>878</v>
      </c>
      <c r="G3747" s="100">
        <v>114686285</v>
      </c>
      <c r="H3747" s="530"/>
      <c r="I3747" s="525" t="s">
        <v>648</v>
      </c>
      <c r="J3747" s="100"/>
      <c r="K3747" s="548"/>
      <c r="L3747" s="548"/>
      <c r="M3747" s="548"/>
      <c r="N3747" s="552"/>
      <c r="Y3747" s="551"/>
    </row>
    <row r="3748" spans="1:25">
      <c r="A3748" s="499">
        <v>45608</v>
      </c>
      <c r="B3748" s="499">
        <v>45608</v>
      </c>
      <c r="C3748" s="500" t="s">
        <v>173</v>
      </c>
      <c r="D3748" s="500" t="s">
        <v>761</v>
      </c>
      <c r="E3748" s="501">
        <v>-2000803.06</v>
      </c>
      <c r="F3748" s="502" t="s">
        <v>878</v>
      </c>
      <c r="G3748" s="100">
        <v>114686288</v>
      </c>
      <c r="H3748" s="530"/>
      <c r="I3748" s="525" t="s">
        <v>550</v>
      </c>
      <c r="J3748" s="100"/>
      <c r="K3748" s="548"/>
      <c r="L3748" s="548"/>
      <c r="M3748" s="548"/>
      <c r="N3748" s="552"/>
      <c r="Y3748" s="551"/>
    </row>
    <row r="3749" spans="1:25">
      <c r="A3749" s="499">
        <v>45608</v>
      </c>
      <c r="B3749" s="499">
        <v>45608</v>
      </c>
      <c r="C3749" s="500" t="s">
        <v>173</v>
      </c>
      <c r="D3749" s="500" t="s">
        <v>761</v>
      </c>
      <c r="E3749" s="501">
        <v>-3002609.87</v>
      </c>
      <c r="F3749" s="502" t="s">
        <v>878</v>
      </c>
      <c r="G3749" s="100">
        <v>114686291</v>
      </c>
      <c r="H3749" s="530"/>
      <c r="I3749" s="525" t="s">
        <v>817</v>
      </c>
      <c r="J3749" s="100"/>
      <c r="K3749" s="548"/>
      <c r="L3749" s="548"/>
      <c r="M3749" s="548"/>
      <c r="N3749" s="552"/>
      <c r="Y3749" s="551"/>
    </row>
    <row r="3750" spans="1:25">
      <c r="A3750" s="499">
        <v>45608</v>
      </c>
      <c r="B3750" s="499">
        <v>45608</v>
      </c>
      <c r="C3750" s="500" t="s">
        <v>173</v>
      </c>
      <c r="D3750" s="500" t="s">
        <v>761</v>
      </c>
      <c r="E3750" s="501">
        <v>-4002307.06</v>
      </c>
      <c r="F3750" s="502" t="s">
        <v>878</v>
      </c>
      <c r="G3750" s="100">
        <v>114686294</v>
      </c>
      <c r="H3750" s="530"/>
      <c r="I3750" s="525" t="s">
        <v>604</v>
      </c>
      <c r="J3750" s="100"/>
      <c r="K3750" s="548"/>
      <c r="L3750" s="548"/>
      <c r="M3750" s="548"/>
      <c r="N3750" s="552"/>
      <c r="Y3750" s="551"/>
    </row>
    <row r="3751" spans="1:25">
      <c r="A3751" s="499">
        <v>45608</v>
      </c>
      <c r="B3751" s="499">
        <v>45608</v>
      </c>
      <c r="C3751" s="500" t="s">
        <v>173</v>
      </c>
      <c r="D3751" s="500" t="s">
        <v>761</v>
      </c>
      <c r="E3751" s="501">
        <v>-5003709.66</v>
      </c>
      <c r="F3751" s="502" t="s">
        <v>878</v>
      </c>
      <c r="G3751" s="100">
        <v>114686297</v>
      </c>
      <c r="H3751" s="530"/>
      <c r="I3751" s="525" t="s">
        <v>676</v>
      </c>
      <c r="J3751" s="100"/>
      <c r="K3751" s="548"/>
      <c r="L3751" s="548"/>
      <c r="M3751" s="548"/>
      <c r="N3751" s="552"/>
      <c r="Y3751" s="551"/>
    </row>
    <row r="3752" spans="1:25">
      <c r="A3752" s="499">
        <v>45608</v>
      </c>
      <c r="B3752" s="499">
        <v>45608</v>
      </c>
      <c r="C3752" s="500" t="s">
        <v>173</v>
      </c>
      <c r="D3752" s="500" t="s">
        <v>761</v>
      </c>
      <c r="E3752" s="501">
        <v>-6001369.2699999996</v>
      </c>
      <c r="F3752" s="502" t="s">
        <v>878</v>
      </c>
      <c r="G3752" s="100">
        <v>114686300</v>
      </c>
      <c r="H3752" s="530"/>
      <c r="I3752" s="525" t="s">
        <v>588</v>
      </c>
      <c r="J3752" s="100"/>
      <c r="K3752" s="548"/>
      <c r="L3752" s="548"/>
      <c r="M3752" s="548"/>
      <c r="N3752" s="552"/>
      <c r="Y3752" s="551"/>
    </row>
    <row r="3753" spans="1:25">
      <c r="A3753" s="499">
        <v>45608</v>
      </c>
      <c r="B3753" s="499">
        <v>45608</v>
      </c>
      <c r="C3753" s="500" t="s">
        <v>173</v>
      </c>
      <c r="D3753" s="500" t="s">
        <v>761</v>
      </c>
      <c r="E3753" s="501">
        <v>-6000499.4400000004</v>
      </c>
      <c r="F3753" s="502" t="s">
        <v>878</v>
      </c>
      <c r="G3753" s="100">
        <v>114686303</v>
      </c>
      <c r="H3753" s="530"/>
      <c r="I3753" s="525" t="s">
        <v>600</v>
      </c>
      <c r="J3753" s="100"/>
      <c r="K3753" s="548"/>
      <c r="L3753" s="548"/>
      <c r="M3753" s="548"/>
      <c r="N3753" s="552"/>
      <c r="Y3753" s="551"/>
    </row>
    <row r="3754" spans="1:25">
      <c r="A3754" s="499">
        <v>45608</v>
      </c>
      <c r="B3754" s="499">
        <v>45608</v>
      </c>
      <c r="C3754" s="500" t="s">
        <v>173</v>
      </c>
      <c r="D3754" s="500" t="s">
        <v>761</v>
      </c>
      <c r="E3754" s="501">
        <v>-6002409.1699999999</v>
      </c>
      <c r="F3754" s="502" t="s">
        <v>878</v>
      </c>
      <c r="G3754" s="100">
        <v>114686306</v>
      </c>
      <c r="H3754" s="530"/>
      <c r="I3754" s="525" t="s">
        <v>550</v>
      </c>
      <c r="J3754" s="100"/>
      <c r="K3754" s="548"/>
      <c r="L3754" s="548"/>
      <c r="M3754" s="548"/>
      <c r="N3754" s="552"/>
      <c r="Y3754" s="551"/>
    </row>
    <row r="3755" spans="1:25">
      <c r="A3755" s="499">
        <v>45608</v>
      </c>
      <c r="B3755" s="499">
        <v>45608</v>
      </c>
      <c r="C3755" s="500" t="s">
        <v>173</v>
      </c>
      <c r="D3755" s="500" t="s">
        <v>761</v>
      </c>
      <c r="E3755" s="501">
        <v>-6001215.6399999997</v>
      </c>
      <c r="F3755" s="502" t="s">
        <v>878</v>
      </c>
      <c r="G3755" s="100">
        <v>114686309</v>
      </c>
      <c r="H3755" s="530"/>
      <c r="I3755" s="525" t="s">
        <v>592</v>
      </c>
      <c r="J3755" s="100"/>
      <c r="K3755" s="548"/>
      <c r="L3755" s="548"/>
      <c r="M3755" s="548"/>
      <c r="N3755" s="552"/>
      <c r="Y3755" s="551"/>
    </row>
    <row r="3756" spans="1:25">
      <c r="A3756" s="499">
        <v>45608</v>
      </c>
      <c r="B3756" s="499">
        <v>45608</v>
      </c>
      <c r="C3756" s="500" t="s">
        <v>173</v>
      </c>
      <c r="D3756" s="500" t="s">
        <v>761</v>
      </c>
      <c r="E3756" s="501">
        <v>-7005193.5199999996</v>
      </c>
      <c r="F3756" s="502" t="s">
        <v>878</v>
      </c>
      <c r="G3756" s="100">
        <v>114686312</v>
      </c>
      <c r="H3756" s="530"/>
      <c r="I3756" s="525" t="s">
        <v>676</v>
      </c>
      <c r="J3756" s="100"/>
      <c r="K3756" s="548"/>
      <c r="L3756" s="548"/>
      <c r="M3756" s="548"/>
      <c r="N3756" s="552"/>
      <c r="Y3756" s="551"/>
    </row>
    <row r="3757" spans="1:25">
      <c r="A3757" s="499">
        <v>45608</v>
      </c>
      <c r="B3757" s="499">
        <v>45608</v>
      </c>
      <c r="C3757" s="500" t="s">
        <v>173</v>
      </c>
      <c r="D3757" s="500" t="s">
        <v>761</v>
      </c>
      <c r="E3757" s="501">
        <v>-7005366.4800000004</v>
      </c>
      <c r="F3757" s="502" t="s">
        <v>878</v>
      </c>
      <c r="G3757" s="100">
        <v>114686315</v>
      </c>
      <c r="H3757" s="530"/>
      <c r="I3757" s="525" t="s">
        <v>695</v>
      </c>
      <c r="J3757" s="100"/>
      <c r="K3757" s="548"/>
      <c r="L3757" s="548"/>
      <c r="M3757" s="548"/>
      <c r="N3757" s="552"/>
      <c r="Y3757" s="551"/>
    </row>
    <row r="3758" spans="1:25">
      <c r="A3758" s="499">
        <v>45608</v>
      </c>
      <c r="B3758" s="499">
        <v>45608</v>
      </c>
      <c r="C3758" s="500" t="s">
        <v>173</v>
      </c>
      <c r="D3758" s="500" t="s">
        <v>761</v>
      </c>
      <c r="E3758" s="501">
        <v>-7005193.5199999996</v>
      </c>
      <c r="F3758" s="502" t="s">
        <v>878</v>
      </c>
      <c r="G3758" s="100">
        <v>114686318</v>
      </c>
      <c r="H3758" s="530"/>
      <c r="I3758" s="525" t="s">
        <v>676</v>
      </c>
      <c r="J3758" s="100"/>
      <c r="K3758" s="548"/>
      <c r="L3758" s="548"/>
      <c r="M3758" s="548"/>
      <c r="N3758" s="552"/>
      <c r="Y3758" s="551"/>
    </row>
    <row r="3759" spans="1:25">
      <c r="A3759" s="499">
        <v>45608</v>
      </c>
      <c r="B3759" s="499">
        <v>45608</v>
      </c>
      <c r="C3759" s="500" t="s">
        <v>173</v>
      </c>
      <c r="D3759" s="500" t="s">
        <v>761</v>
      </c>
      <c r="E3759" s="501">
        <v>-8005648.0999999996</v>
      </c>
      <c r="F3759" s="502" t="s">
        <v>878</v>
      </c>
      <c r="G3759" s="100">
        <v>114686321</v>
      </c>
      <c r="H3759" s="530"/>
      <c r="I3759" s="525" t="s">
        <v>696</v>
      </c>
      <c r="J3759" s="100"/>
      <c r="K3759" s="548"/>
      <c r="L3759" s="548"/>
      <c r="M3759" s="548"/>
      <c r="N3759" s="552"/>
      <c r="Y3759" s="551"/>
    </row>
    <row r="3760" spans="1:25">
      <c r="A3760" s="499">
        <v>45608</v>
      </c>
      <c r="B3760" s="499">
        <v>45608</v>
      </c>
      <c r="C3760" s="500" t="s">
        <v>173</v>
      </c>
      <c r="D3760" s="500" t="s">
        <v>761</v>
      </c>
      <c r="E3760" s="501">
        <v>-9006354.1199999992</v>
      </c>
      <c r="F3760" s="502" t="s">
        <v>878</v>
      </c>
      <c r="G3760" s="100">
        <v>114686324</v>
      </c>
      <c r="H3760" s="530"/>
      <c r="I3760" s="525" t="s">
        <v>696</v>
      </c>
      <c r="J3760" s="100"/>
      <c r="K3760" s="548"/>
      <c r="L3760" s="548"/>
      <c r="M3760" s="548"/>
      <c r="N3760" s="552"/>
      <c r="Y3760" s="551"/>
    </row>
    <row r="3761" spans="1:25">
      <c r="A3761" s="499">
        <v>45608</v>
      </c>
      <c r="B3761" s="499">
        <v>45608</v>
      </c>
      <c r="C3761" s="500" t="s">
        <v>173</v>
      </c>
      <c r="D3761" s="500" t="s">
        <v>761</v>
      </c>
      <c r="E3761" s="501">
        <v>-9006354.1199999992</v>
      </c>
      <c r="F3761" s="502" t="s">
        <v>878</v>
      </c>
      <c r="G3761" s="100">
        <v>114686327</v>
      </c>
      <c r="H3761" s="530"/>
      <c r="I3761" s="525" t="s">
        <v>696</v>
      </c>
      <c r="J3761" s="100"/>
      <c r="K3761" s="548"/>
      <c r="L3761" s="548"/>
      <c r="M3761" s="548"/>
      <c r="N3761" s="552"/>
      <c r="Y3761" s="551"/>
    </row>
    <row r="3762" spans="1:25">
      <c r="A3762" s="499">
        <v>45608</v>
      </c>
      <c r="B3762" s="499">
        <v>45608</v>
      </c>
      <c r="C3762" s="500" t="s">
        <v>173</v>
      </c>
      <c r="D3762" s="500" t="s">
        <v>761</v>
      </c>
      <c r="E3762" s="501">
        <v>-9003613.75</v>
      </c>
      <c r="F3762" s="502" t="s">
        <v>878</v>
      </c>
      <c r="G3762" s="100">
        <v>114686330</v>
      </c>
      <c r="H3762" s="530"/>
      <c r="I3762" s="525" t="s">
        <v>550</v>
      </c>
      <c r="J3762" s="100"/>
      <c r="K3762" s="548"/>
      <c r="L3762" s="548"/>
      <c r="M3762" s="548"/>
      <c r="N3762" s="552"/>
      <c r="Y3762" s="551"/>
    </row>
    <row r="3763" spans="1:25">
      <c r="A3763" s="499">
        <v>45608</v>
      </c>
      <c r="B3763" s="499">
        <v>45608</v>
      </c>
      <c r="C3763" s="500" t="s">
        <v>173</v>
      </c>
      <c r="D3763" s="500" t="s">
        <v>761</v>
      </c>
      <c r="E3763" s="501">
        <v>-10009205.75</v>
      </c>
      <c r="F3763" s="502" t="s">
        <v>878</v>
      </c>
      <c r="G3763" s="100">
        <v>114686354</v>
      </c>
      <c r="H3763" s="530"/>
      <c r="I3763" s="525" t="s">
        <v>596</v>
      </c>
      <c r="J3763" s="100"/>
      <c r="K3763" s="548"/>
      <c r="L3763" s="548"/>
      <c r="M3763" s="548"/>
      <c r="N3763" s="552"/>
      <c r="Y3763" s="551"/>
    </row>
    <row r="3764" spans="1:25">
      <c r="A3764" s="499">
        <v>45608</v>
      </c>
      <c r="B3764" s="499">
        <v>45608</v>
      </c>
      <c r="C3764" s="500" t="s">
        <v>173</v>
      </c>
      <c r="D3764" s="500" t="s">
        <v>761</v>
      </c>
      <c r="E3764" s="501">
        <v>-10005767.66</v>
      </c>
      <c r="F3764" s="502" t="s">
        <v>878</v>
      </c>
      <c r="G3764" s="100">
        <v>114686357</v>
      </c>
      <c r="H3764" s="530"/>
      <c r="I3764" s="525" t="s">
        <v>604</v>
      </c>
      <c r="J3764" s="100"/>
      <c r="K3764" s="548"/>
      <c r="L3764" s="548"/>
      <c r="M3764" s="548"/>
      <c r="N3764" s="552"/>
      <c r="Y3764" s="551"/>
    </row>
    <row r="3765" spans="1:25">
      <c r="A3765" s="499">
        <v>45608</v>
      </c>
      <c r="B3765" s="499">
        <v>45608</v>
      </c>
      <c r="C3765" s="500" t="s">
        <v>173</v>
      </c>
      <c r="D3765" s="500" t="s">
        <v>761</v>
      </c>
      <c r="E3765" s="501">
        <v>-11001812.84</v>
      </c>
      <c r="F3765" s="502" t="s">
        <v>878</v>
      </c>
      <c r="G3765" s="100">
        <v>114686360</v>
      </c>
      <c r="H3765" s="530"/>
      <c r="I3765" s="525" t="s">
        <v>816</v>
      </c>
      <c r="J3765" s="100"/>
      <c r="K3765" s="548"/>
      <c r="L3765" s="548"/>
      <c r="M3765" s="548"/>
      <c r="N3765" s="552"/>
      <c r="Y3765" s="551"/>
    </row>
    <row r="3766" spans="1:25">
      <c r="A3766" s="499">
        <v>45608</v>
      </c>
      <c r="B3766" s="499">
        <v>45608</v>
      </c>
      <c r="C3766" s="500" t="s">
        <v>173</v>
      </c>
      <c r="D3766" s="500" t="s">
        <v>761</v>
      </c>
      <c r="E3766" s="501">
        <v>-13011673.35</v>
      </c>
      <c r="F3766" s="502" t="s">
        <v>878</v>
      </c>
      <c r="G3766" s="100">
        <v>114686363</v>
      </c>
      <c r="H3766" s="530"/>
      <c r="I3766" s="525" t="s">
        <v>525</v>
      </c>
      <c r="J3766" s="100"/>
      <c r="K3766" s="548"/>
      <c r="L3766" s="548"/>
      <c r="M3766" s="548"/>
      <c r="N3766" s="552"/>
      <c r="Y3766" s="551"/>
    </row>
    <row r="3767" spans="1:25">
      <c r="A3767" s="499">
        <v>45608</v>
      </c>
      <c r="B3767" s="499">
        <v>45608</v>
      </c>
      <c r="C3767" s="500" t="s">
        <v>173</v>
      </c>
      <c r="D3767" s="500" t="s">
        <v>761</v>
      </c>
      <c r="E3767" s="501">
        <v>-15002472.060000001</v>
      </c>
      <c r="F3767" s="502" t="s">
        <v>878</v>
      </c>
      <c r="G3767" s="100">
        <v>114686375</v>
      </c>
      <c r="H3767" s="530"/>
      <c r="I3767" s="525" t="s">
        <v>816</v>
      </c>
      <c r="J3767" s="100"/>
      <c r="K3767" s="548"/>
      <c r="L3767" s="548"/>
      <c r="M3767" s="548"/>
      <c r="N3767" s="552"/>
      <c r="Y3767" s="551"/>
    </row>
    <row r="3768" spans="1:25">
      <c r="A3768" s="499">
        <v>45608</v>
      </c>
      <c r="B3768" s="499">
        <v>45608</v>
      </c>
      <c r="C3768" s="500" t="s">
        <v>173</v>
      </c>
      <c r="D3768" s="500" t="s">
        <v>761</v>
      </c>
      <c r="E3768" s="501">
        <v>-15002472.060000001</v>
      </c>
      <c r="F3768" s="502" t="s">
        <v>878</v>
      </c>
      <c r="G3768" s="100">
        <v>114686378</v>
      </c>
      <c r="H3768" s="530"/>
      <c r="I3768" s="525" t="s">
        <v>816</v>
      </c>
      <c r="J3768" s="100"/>
      <c r="K3768" s="548"/>
      <c r="L3768" s="548"/>
      <c r="M3768" s="548"/>
      <c r="N3768" s="552"/>
      <c r="Y3768" s="551"/>
    </row>
    <row r="3769" spans="1:25">
      <c r="A3769" s="499">
        <v>45608</v>
      </c>
      <c r="B3769" s="499">
        <v>45608</v>
      </c>
      <c r="C3769" s="500" t="s">
        <v>173</v>
      </c>
      <c r="D3769" s="500" t="s">
        <v>761</v>
      </c>
      <c r="E3769" s="501">
        <v>-16011542.59</v>
      </c>
      <c r="F3769" s="502" t="s">
        <v>878</v>
      </c>
      <c r="G3769" s="100">
        <v>114686381</v>
      </c>
      <c r="H3769" s="530"/>
      <c r="I3769" s="525" t="s">
        <v>590</v>
      </c>
      <c r="J3769" s="100"/>
      <c r="K3769" s="548"/>
      <c r="L3769" s="548"/>
      <c r="M3769" s="548"/>
      <c r="N3769" s="552"/>
      <c r="Y3769" s="551"/>
    </row>
    <row r="3770" spans="1:25">
      <c r="A3770" s="499">
        <v>45608</v>
      </c>
      <c r="B3770" s="499">
        <v>45608</v>
      </c>
      <c r="C3770" s="500" t="s">
        <v>173</v>
      </c>
      <c r="D3770" s="500" t="s">
        <v>761</v>
      </c>
      <c r="E3770" s="501">
        <v>-16003251.279999999</v>
      </c>
      <c r="F3770" s="502" t="s">
        <v>878</v>
      </c>
      <c r="G3770" s="100">
        <v>114686384</v>
      </c>
      <c r="H3770" s="530"/>
      <c r="I3770" s="525" t="s">
        <v>824</v>
      </c>
      <c r="J3770" s="100"/>
      <c r="K3770" s="548"/>
      <c r="L3770" s="548"/>
      <c r="M3770" s="548"/>
      <c r="N3770" s="552"/>
      <c r="Y3770" s="551"/>
    </row>
    <row r="3771" spans="1:25">
      <c r="A3771" s="499">
        <v>45608</v>
      </c>
      <c r="B3771" s="499">
        <v>45608</v>
      </c>
      <c r="C3771" s="500" t="s">
        <v>173</v>
      </c>
      <c r="D3771" s="500" t="s">
        <v>761</v>
      </c>
      <c r="E3771" s="501">
        <v>-19014096.710000001</v>
      </c>
      <c r="F3771" s="502" t="s">
        <v>878</v>
      </c>
      <c r="G3771" s="100">
        <v>114686387</v>
      </c>
      <c r="H3771" s="530"/>
      <c r="I3771" s="525" t="s">
        <v>676</v>
      </c>
      <c r="J3771" s="100"/>
      <c r="K3771" s="548"/>
      <c r="L3771" s="548"/>
      <c r="M3771" s="548"/>
      <c r="N3771" s="552"/>
      <c r="Y3771" s="551"/>
    </row>
    <row r="3772" spans="1:25">
      <c r="A3772" s="499">
        <v>45608</v>
      </c>
      <c r="B3772" s="499">
        <v>45608</v>
      </c>
      <c r="C3772" s="500" t="s">
        <v>173</v>
      </c>
      <c r="D3772" s="500" t="s">
        <v>761</v>
      </c>
      <c r="E3772" s="501">
        <v>-20002293.600000001</v>
      </c>
      <c r="F3772" s="502" t="s">
        <v>878</v>
      </c>
      <c r="G3772" s="100">
        <v>114686400</v>
      </c>
      <c r="H3772" s="530"/>
      <c r="I3772" s="525" t="s">
        <v>690</v>
      </c>
      <c r="J3772" s="100"/>
      <c r="K3772" s="548"/>
      <c r="L3772" s="548"/>
      <c r="M3772" s="548"/>
      <c r="N3772" s="552"/>
      <c r="Y3772" s="551"/>
    </row>
    <row r="3773" spans="1:25">
      <c r="A3773" s="499">
        <v>45608</v>
      </c>
      <c r="B3773" s="499">
        <v>45608</v>
      </c>
      <c r="C3773" s="500" t="s">
        <v>173</v>
      </c>
      <c r="D3773" s="500" t="s">
        <v>761</v>
      </c>
      <c r="E3773" s="501">
        <v>-20014838.640000001</v>
      </c>
      <c r="F3773" s="502" t="s">
        <v>878</v>
      </c>
      <c r="G3773" s="100">
        <v>114686403</v>
      </c>
      <c r="H3773" s="530"/>
      <c r="I3773" s="525" t="s">
        <v>676</v>
      </c>
      <c r="J3773" s="100"/>
      <c r="K3773" s="548"/>
      <c r="L3773" s="548"/>
      <c r="M3773" s="548"/>
      <c r="N3773" s="552"/>
      <c r="Y3773" s="551"/>
    </row>
    <row r="3774" spans="1:25">
      <c r="A3774" s="499">
        <v>45608</v>
      </c>
      <c r="B3774" s="499">
        <v>45608</v>
      </c>
      <c r="C3774" s="500" t="s">
        <v>173</v>
      </c>
      <c r="D3774" s="500" t="s">
        <v>761</v>
      </c>
      <c r="E3774" s="501">
        <v>-20004564.239999998</v>
      </c>
      <c r="F3774" s="502" t="s">
        <v>878</v>
      </c>
      <c r="G3774" s="100">
        <v>114686406</v>
      </c>
      <c r="H3774" s="530"/>
      <c r="I3774" s="525" t="s">
        <v>588</v>
      </c>
      <c r="J3774" s="100"/>
      <c r="K3774" s="548"/>
      <c r="L3774" s="548"/>
      <c r="M3774" s="548"/>
      <c r="N3774" s="552"/>
      <c r="Y3774" s="551"/>
    </row>
    <row r="3775" spans="1:25">
      <c r="A3775" s="499">
        <v>45608</v>
      </c>
      <c r="B3775" s="499">
        <v>45608</v>
      </c>
      <c r="C3775" s="500" t="s">
        <v>173</v>
      </c>
      <c r="D3775" s="500" t="s">
        <v>761</v>
      </c>
      <c r="E3775" s="501">
        <v>-21002218.27</v>
      </c>
      <c r="F3775" s="502" t="s">
        <v>878</v>
      </c>
      <c r="G3775" s="100">
        <v>114686427</v>
      </c>
      <c r="H3775" s="530"/>
      <c r="I3775" s="525" t="s">
        <v>657</v>
      </c>
      <c r="J3775" s="100"/>
      <c r="K3775" s="548"/>
      <c r="L3775" s="548"/>
      <c r="M3775" s="548"/>
      <c r="N3775" s="552"/>
      <c r="Y3775" s="551"/>
    </row>
    <row r="3776" spans="1:25">
      <c r="A3776" s="499">
        <v>45608</v>
      </c>
      <c r="B3776" s="499">
        <v>45608</v>
      </c>
      <c r="C3776" s="500" t="s">
        <v>173</v>
      </c>
      <c r="D3776" s="500" t="s">
        <v>761</v>
      </c>
      <c r="E3776" s="501">
        <v>-23016238.300000001</v>
      </c>
      <c r="F3776" s="502" t="s">
        <v>878</v>
      </c>
      <c r="G3776" s="100">
        <v>114686430</v>
      </c>
      <c r="H3776" s="530"/>
      <c r="I3776" s="525" t="s">
        <v>696</v>
      </c>
      <c r="J3776" s="100"/>
      <c r="K3776" s="548"/>
      <c r="L3776" s="548"/>
      <c r="M3776" s="548"/>
      <c r="N3776" s="552"/>
      <c r="Y3776" s="551"/>
    </row>
    <row r="3777" spans="1:25">
      <c r="A3777" s="499">
        <v>45608</v>
      </c>
      <c r="B3777" s="499">
        <v>45608</v>
      </c>
      <c r="C3777" s="500" t="s">
        <v>173</v>
      </c>
      <c r="D3777" s="500" t="s">
        <v>761</v>
      </c>
      <c r="E3777" s="501">
        <v>-23019426.030000001</v>
      </c>
      <c r="F3777" s="502" t="s">
        <v>878</v>
      </c>
      <c r="G3777" s="100">
        <v>114686433</v>
      </c>
      <c r="H3777" s="530"/>
      <c r="I3777" s="525" t="s">
        <v>819</v>
      </c>
      <c r="J3777" s="100"/>
      <c r="K3777" s="548"/>
      <c r="L3777" s="548"/>
      <c r="M3777" s="548"/>
      <c r="N3777" s="552"/>
      <c r="Y3777" s="551"/>
    </row>
    <row r="3778" spans="1:25">
      <c r="A3778" s="499">
        <v>45608</v>
      </c>
      <c r="B3778" s="499">
        <v>45608</v>
      </c>
      <c r="C3778" s="500" t="s">
        <v>173</v>
      </c>
      <c r="D3778" s="500" t="s">
        <v>761</v>
      </c>
      <c r="E3778" s="501">
        <v>-23016592.48</v>
      </c>
      <c r="F3778" s="502" t="s">
        <v>878</v>
      </c>
      <c r="G3778" s="100">
        <v>114686436</v>
      </c>
      <c r="H3778" s="530"/>
      <c r="I3778" s="525" t="s">
        <v>590</v>
      </c>
      <c r="J3778" s="100"/>
      <c r="K3778" s="548"/>
      <c r="L3778" s="548"/>
      <c r="M3778" s="548"/>
      <c r="N3778" s="552"/>
      <c r="Y3778" s="551"/>
    </row>
    <row r="3779" spans="1:25">
      <c r="A3779" s="499">
        <v>45608</v>
      </c>
      <c r="B3779" s="499">
        <v>45608</v>
      </c>
      <c r="C3779" s="500" t="s">
        <v>173</v>
      </c>
      <c r="D3779" s="500" t="s">
        <v>761</v>
      </c>
      <c r="E3779" s="501">
        <v>-13001157.26</v>
      </c>
      <c r="F3779" s="502" t="s">
        <v>878</v>
      </c>
      <c r="G3779" s="100">
        <v>114686620</v>
      </c>
      <c r="H3779" s="530"/>
      <c r="I3779" s="525" t="s">
        <v>714</v>
      </c>
      <c r="J3779" s="100"/>
      <c r="K3779" s="548"/>
      <c r="L3779" s="548"/>
      <c r="M3779" s="548"/>
      <c r="N3779" s="552"/>
      <c r="Y3779" s="551"/>
    </row>
    <row r="3780" spans="1:25">
      <c r="A3780" s="499">
        <v>45608</v>
      </c>
      <c r="B3780" s="499">
        <v>45608</v>
      </c>
      <c r="C3780" s="500" t="s">
        <v>173</v>
      </c>
      <c r="D3780" s="500" t="s">
        <v>761</v>
      </c>
      <c r="E3780" s="501">
        <v>-22019168.949999999</v>
      </c>
      <c r="F3780" s="502" t="s">
        <v>878</v>
      </c>
      <c r="G3780" s="100">
        <v>114686628</v>
      </c>
      <c r="H3780" s="530"/>
      <c r="I3780" s="525" t="s">
        <v>681</v>
      </c>
      <c r="J3780" s="100"/>
      <c r="K3780" s="548"/>
      <c r="L3780" s="548"/>
      <c r="M3780" s="548"/>
      <c r="N3780" s="552"/>
      <c r="Y3780" s="551"/>
    </row>
    <row r="3781" spans="1:25">
      <c r="A3781" s="499">
        <v>45608</v>
      </c>
      <c r="B3781" s="499">
        <v>45608</v>
      </c>
      <c r="C3781" s="500" t="s">
        <v>173</v>
      </c>
      <c r="D3781" s="500" t="s">
        <v>761</v>
      </c>
      <c r="E3781" s="501">
        <v>-23020260.100000001</v>
      </c>
      <c r="F3781" s="502" t="s">
        <v>878</v>
      </c>
      <c r="G3781" s="100">
        <v>114686636</v>
      </c>
      <c r="H3781" s="530"/>
      <c r="I3781" s="525" t="s">
        <v>692</v>
      </c>
      <c r="J3781" s="100"/>
      <c r="K3781" s="548"/>
      <c r="L3781" s="548"/>
      <c r="M3781" s="548"/>
      <c r="N3781" s="552"/>
      <c r="Y3781" s="551"/>
    </row>
    <row r="3782" spans="1:25">
      <c r="A3782" s="499">
        <v>45608</v>
      </c>
      <c r="B3782" s="499">
        <v>45608</v>
      </c>
      <c r="C3782" s="500" t="s">
        <v>173</v>
      </c>
      <c r="D3782" s="500" t="s">
        <v>761</v>
      </c>
      <c r="E3782" s="501">
        <v>-32018431.739999998</v>
      </c>
      <c r="F3782" s="502" t="s">
        <v>878</v>
      </c>
      <c r="G3782" s="100">
        <v>114686640</v>
      </c>
      <c r="H3782" s="530"/>
      <c r="I3782" s="525" t="s">
        <v>713</v>
      </c>
      <c r="J3782" s="100"/>
      <c r="K3782" s="548"/>
      <c r="L3782" s="548"/>
      <c r="M3782" s="548"/>
      <c r="N3782" s="552"/>
      <c r="Y3782" s="551"/>
    </row>
    <row r="3783" spans="1:25">
      <c r="A3783" s="499">
        <v>45608</v>
      </c>
      <c r="B3783" s="499">
        <v>45608</v>
      </c>
      <c r="C3783" s="500" t="s">
        <v>173</v>
      </c>
      <c r="D3783" s="500" t="s">
        <v>761</v>
      </c>
      <c r="E3783" s="501">
        <v>-31008990</v>
      </c>
      <c r="F3783" s="502" t="s">
        <v>878</v>
      </c>
      <c r="G3783" s="100">
        <v>114686645</v>
      </c>
      <c r="H3783" s="530"/>
      <c r="I3783" s="525" t="s">
        <v>685</v>
      </c>
      <c r="J3783" s="100"/>
      <c r="K3783" s="548"/>
      <c r="L3783" s="548"/>
      <c r="M3783" s="548"/>
      <c r="N3783" s="552"/>
      <c r="Y3783" s="551"/>
    </row>
    <row r="3784" spans="1:25">
      <c r="A3784" s="499">
        <v>45608</v>
      </c>
      <c r="B3784" s="499">
        <v>45609</v>
      </c>
      <c r="C3784" s="500" t="s">
        <v>173</v>
      </c>
      <c r="D3784" s="500" t="s">
        <v>761</v>
      </c>
      <c r="E3784" s="501">
        <v>1000616.35</v>
      </c>
      <c r="F3784" s="502" t="s">
        <v>878</v>
      </c>
      <c r="G3784" s="100">
        <v>114686270</v>
      </c>
      <c r="H3784" s="530">
        <v>114686270</v>
      </c>
      <c r="I3784" s="525" t="s">
        <v>598</v>
      </c>
      <c r="J3784" s="100"/>
      <c r="K3784" s="548"/>
      <c r="L3784" s="548"/>
      <c r="M3784" s="548"/>
      <c r="N3784" s="552"/>
      <c r="Y3784" s="551"/>
    </row>
    <row r="3785" spans="1:25">
      <c r="A3785" s="499">
        <v>45608</v>
      </c>
      <c r="B3785" s="499">
        <v>45609</v>
      </c>
      <c r="C3785" s="500" t="s">
        <v>173</v>
      </c>
      <c r="D3785" s="500" t="s">
        <v>761</v>
      </c>
      <c r="E3785" s="501">
        <v>1000582.47</v>
      </c>
      <c r="F3785" s="502" t="s">
        <v>878</v>
      </c>
      <c r="G3785" s="100">
        <v>114686273</v>
      </c>
      <c r="H3785" s="530">
        <v>114686273</v>
      </c>
      <c r="I3785" s="525" t="s">
        <v>592</v>
      </c>
      <c r="J3785" s="100"/>
      <c r="K3785" s="548"/>
      <c r="L3785" s="548"/>
      <c r="M3785" s="548"/>
      <c r="N3785" s="552"/>
      <c r="Y3785" s="551"/>
    </row>
    <row r="3786" spans="1:25">
      <c r="A3786" s="499">
        <v>45608</v>
      </c>
      <c r="B3786" s="499">
        <v>45609</v>
      </c>
      <c r="C3786" s="500" t="s">
        <v>173</v>
      </c>
      <c r="D3786" s="500" t="s">
        <v>761</v>
      </c>
      <c r="E3786" s="501">
        <v>1001146.71</v>
      </c>
      <c r="F3786" s="502" t="s">
        <v>878</v>
      </c>
      <c r="G3786" s="100">
        <v>114686276</v>
      </c>
      <c r="H3786" s="530">
        <v>114686276</v>
      </c>
      <c r="I3786" s="525" t="s">
        <v>695</v>
      </c>
      <c r="J3786" s="100"/>
      <c r="K3786" s="548"/>
      <c r="L3786" s="548"/>
      <c r="M3786" s="548"/>
      <c r="N3786" s="552"/>
      <c r="Y3786" s="551"/>
    </row>
    <row r="3787" spans="1:25">
      <c r="A3787" s="499">
        <v>45608</v>
      </c>
      <c r="B3787" s="499">
        <v>45609</v>
      </c>
      <c r="C3787" s="500" t="s">
        <v>173</v>
      </c>
      <c r="D3787" s="500" t="s">
        <v>761</v>
      </c>
      <c r="E3787" s="501">
        <v>1000744.82</v>
      </c>
      <c r="F3787" s="502" t="s">
        <v>878</v>
      </c>
      <c r="G3787" s="100">
        <v>114686279</v>
      </c>
      <c r="H3787" s="530">
        <v>114686279</v>
      </c>
      <c r="I3787" s="525" t="s">
        <v>602</v>
      </c>
      <c r="J3787" s="100"/>
      <c r="K3787" s="548"/>
      <c r="L3787" s="548"/>
      <c r="M3787" s="548"/>
      <c r="N3787" s="552"/>
      <c r="Y3787" s="551"/>
    </row>
    <row r="3788" spans="1:25">
      <c r="A3788" s="499">
        <v>45608</v>
      </c>
      <c r="B3788" s="499">
        <v>45609</v>
      </c>
      <c r="C3788" s="500" t="s">
        <v>173</v>
      </c>
      <c r="D3788" s="500" t="s">
        <v>761</v>
      </c>
      <c r="E3788" s="501">
        <v>1000582.47</v>
      </c>
      <c r="F3788" s="502" t="s">
        <v>878</v>
      </c>
      <c r="G3788" s="100">
        <v>114686282</v>
      </c>
      <c r="H3788" s="530">
        <v>114686282</v>
      </c>
      <c r="I3788" s="525" t="s">
        <v>592</v>
      </c>
      <c r="J3788" s="100"/>
      <c r="K3788" s="548"/>
      <c r="L3788" s="548"/>
      <c r="M3788" s="548"/>
      <c r="N3788" s="552"/>
      <c r="Y3788" s="551"/>
    </row>
    <row r="3789" spans="1:25">
      <c r="A3789" s="499">
        <v>45608</v>
      </c>
      <c r="B3789" s="499">
        <v>45609</v>
      </c>
      <c r="C3789" s="500" t="s">
        <v>173</v>
      </c>
      <c r="D3789" s="500" t="s">
        <v>761</v>
      </c>
      <c r="E3789" s="501">
        <v>2002856.86</v>
      </c>
      <c r="F3789" s="502" t="s">
        <v>878</v>
      </c>
      <c r="G3789" s="100">
        <v>114686285</v>
      </c>
      <c r="H3789" s="530">
        <v>114686285</v>
      </c>
      <c r="I3789" s="525" t="s">
        <v>648</v>
      </c>
      <c r="J3789" s="100"/>
      <c r="K3789" s="548"/>
      <c r="L3789" s="548"/>
      <c r="M3789" s="548"/>
      <c r="N3789" s="552"/>
      <c r="Y3789" s="551"/>
    </row>
    <row r="3790" spans="1:25">
      <c r="A3790" s="499">
        <v>45608</v>
      </c>
      <c r="B3790" s="499">
        <v>45609</v>
      </c>
      <c r="C3790" s="500" t="s">
        <v>173</v>
      </c>
      <c r="D3790" s="500" t="s">
        <v>761</v>
      </c>
      <c r="E3790" s="501">
        <v>2001562.93</v>
      </c>
      <c r="F3790" s="502" t="s">
        <v>878</v>
      </c>
      <c r="G3790" s="100">
        <v>114686288</v>
      </c>
      <c r="H3790" s="530">
        <v>114686288</v>
      </c>
      <c r="I3790" s="525" t="s">
        <v>550</v>
      </c>
      <c r="J3790" s="100"/>
      <c r="K3790" s="548"/>
      <c r="L3790" s="548"/>
      <c r="M3790" s="548"/>
      <c r="N3790" s="552"/>
      <c r="Y3790" s="551"/>
    </row>
    <row r="3791" spans="1:25">
      <c r="A3791" s="499">
        <v>45608</v>
      </c>
      <c r="B3791" s="499">
        <v>45609</v>
      </c>
      <c r="C3791" s="500" t="s">
        <v>173</v>
      </c>
      <c r="D3791" s="500" t="s">
        <v>761</v>
      </c>
      <c r="E3791" s="501">
        <v>3003750.21</v>
      </c>
      <c r="F3791" s="502" t="s">
        <v>878</v>
      </c>
      <c r="G3791" s="100">
        <v>114686291</v>
      </c>
      <c r="H3791" s="530">
        <v>114686291</v>
      </c>
      <c r="I3791" s="525" t="s">
        <v>817</v>
      </c>
      <c r="J3791" s="100"/>
      <c r="K3791" s="548"/>
      <c r="L3791" s="548"/>
      <c r="M3791" s="548"/>
      <c r="N3791" s="552"/>
      <c r="Y3791" s="551"/>
    </row>
    <row r="3792" spans="1:25">
      <c r="A3792" s="499">
        <v>45608</v>
      </c>
      <c r="B3792" s="499">
        <v>45609</v>
      </c>
      <c r="C3792" s="500" t="s">
        <v>173</v>
      </c>
      <c r="D3792" s="500" t="s">
        <v>761</v>
      </c>
      <c r="E3792" s="501">
        <v>4003827.06</v>
      </c>
      <c r="F3792" s="502" t="s">
        <v>878</v>
      </c>
      <c r="G3792" s="100">
        <v>114686294</v>
      </c>
      <c r="H3792" s="530">
        <v>114686294</v>
      </c>
      <c r="I3792" s="525" t="s">
        <v>604</v>
      </c>
      <c r="J3792" s="100"/>
      <c r="K3792" s="548"/>
      <c r="L3792" s="548"/>
      <c r="M3792" s="548"/>
      <c r="N3792" s="552"/>
      <c r="Y3792" s="551"/>
    </row>
    <row r="3793" spans="1:25">
      <c r="A3793" s="499">
        <v>45608</v>
      </c>
      <c r="B3793" s="499">
        <v>45609</v>
      </c>
      <c r="C3793" s="500" t="s">
        <v>173</v>
      </c>
      <c r="D3793" s="500" t="s">
        <v>761</v>
      </c>
      <c r="E3793" s="501">
        <v>5005609.9800000004</v>
      </c>
      <c r="F3793" s="502" t="s">
        <v>878</v>
      </c>
      <c r="G3793" s="100">
        <v>114686297</v>
      </c>
      <c r="H3793" s="530">
        <v>114686297</v>
      </c>
      <c r="I3793" s="525" t="s">
        <v>676</v>
      </c>
      <c r="J3793" s="100"/>
      <c r="K3793" s="548"/>
      <c r="L3793" s="548"/>
      <c r="M3793" s="548"/>
      <c r="N3793" s="552"/>
      <c r="Y3793" s="551"/>
    </row>
    <row r="3794" spans="1:25">
      <c r="A3794" s="499">
        <v>45608</v>
      </c>
      <c r="B3794" s="499">
        <v>45609</v>
      </c>
      <c r="C3794" s="500" t="s">
        <v>173</v>
      </c>
      <c r="D3794" s="500" t="s">
        <v>761</v>
      </c>
      <c r="E3794" s="501">
        <v>6003648.4800000004</v>
      </c>
      <c r="F3794" s="502" t="s">
        <v>878</v>
      </c>
      <c r="G3794" s="100">
        <v>114686300</v>
      </c>
      <c r="H3794" s="530">
        <v>114686300</v>
      </c>
      <c r="I3794" s="525" t="s">
        <v>588</v>
      </c>
      <c r="J3794" s="100"/>
      <c r="K3794" s="548"/>
      <c r="L3794" s="548"/>
      <c r="M3794" s="548"/>
      <c r="N3794" s="552"/>
      <c r="Y3794" s="551"/>
    </row>
    <row r="3795" spans="1:25">
      <c r="A3795" s="499">
        <v>45608</v>
      </c>
      <c r="B3795" s="499">
        <v>45609</v>
      </c>
      <c r="C3795" s="500" t="s">
        <v>173</v>
      </c>
      <c r="D3795" s="500" t="s">
        <v>761</v>
      </c>
      <c r="E3795" s="501">
        <v>6002778.3200000003</v>
      </c>
      <c r="F3795" s="502" t="s">
        <v>878</v>
      </c>
      <c r="G3795" s="100">
        <v>114686303</v>
      </c>
      <c r="H3795" s="530">
        <v>114686303</v>
      </c>
      <c r="I3795" s="525" t="s">
        <v>600</v>
      </c>
      <c r="J3795" s="100"/>
      <c r="K3795" s="548"/>
      <c r="L3795" s="548"/>
      <c r="M3795" s="548"/>
      <c r="N3795" s="552"/>
      <c r="Y3795" s="551"/>
    </row>
    <row r="3796" spans="1:25">
      <c r="A3796" s="499">
        <v>45608</v>
      </c>
      <c r="B3796" s="499">
        <v>45609</v>
      </c>
      <c r="C3796" s="500" t="s">
        <v>173</v>
      </c>
      <c r="D3796" s="500" t="s">
        <v>761</v>
      </c>
      <c r="E3796" s="501">
        <v>6004688.7699999996</v>
      </c>
      <c r="F3796" s="502" t="s">
        <v>878</v>
      </c>
      <c r="G3796" s="100">
        <v>114686306</v>
      </c>
      <c r="H3796" s="530">
        <v>114686306</v>
      </c>
      <c r="I3796" s="525" t="s">
        <v>550</v>
      </c>
      <c r="J3796" s="100"/>
      <c r="K3796" s="548"/>
      <c r="L3796" s="548"/>
      <c r="M3796" s="548"/>
      <c r="N3796" s="552"/>
      <c r="Y3796" s="551"/>
    </row>
    <row r="3797" spans="1:25">
      <c r="A3797" s="499">
        <v>45608</v>
      </c>
      <c r="B3797" s="499">
        <v>45609</v>
      </c>
      <c r="C3797" s="500" t="s">
        <v>173</v>
      </c>
      <c r="D3797" s="500" t="s">
        <v>761</v>
      </c>
      <c r="E3797" s="501">
        <v>6003494.79</v>
      </c>
      <c r="F3797" s="502" t="s">
        <v>878</v>
      </c>
      <c r="G3797" s="100">
        <v>114686309</v>
      </c>
      <c r="H3797" s="530">
        <v>114686309</v>
      </c>
      <c r="I3797" s="525" t="s">
        <v>592</v>
      </c>
      <c r="J3797" s="100"/>
      <c r="K3797" s="548"/>
      <c r="L3797" s="548"/>
      <c r="M3797" s="548"/>
      <c r="N3797" s="552"/>
      <c r="Y3797" s="551"/>
    </row>
    <row r="3798" spans="1:25">
      <c r="A3798" s="499">
        <v>45608</v>
      </c>
      <c r="B3798" s="499">
        <v>45609</v>
      </c>
      <c r="C3798" s="500" t="s">
        <v>173</v>
      </c>
      <c r="D3798" s="500" t="s">
        <v>761</v>
      </c>
      <c r="E3798" s="501">
        <v>7007853.96</v>
      </c>
      <c r="F3798" s="502" t="s">
        <v>878</v>
      </c>
      <c r="G3798" s="100">
        <v>114686312</v>
      </c>
      <c r="H3798" s="530">
        <v>114686312</v>
      </c>
      <c r="I3798" s="525" t="s">
        <v>676</v>
      </c>
      <c r="J3798" s="100"/>
      <c r="K3798" s="548"/>
      <c r="L3798" s="548"/>
      <c r="M3798" s="548"/>
      <c r="N3798" s="552"/>
      <c r="Y3798" s="551"/>
    </row>
    <row r="3799" spans="1:25">
      <c r="A3799" s="499">
        <v>45608</v>
      </c>
      <c r="B3799" s="499">
        <v>45609</v>
      </c>
      <c r="C3799" s="500" t="s">
        <v>173</v>
      </c>
      <c r="D3799" s="500" t="s">
        <v>761</v>
      </c>
      <c r="E3799" s="501">
        <v>7008026.9900000002</v>
      </c>
      <c r="F3799" s="502" t="s">
        <v>878</v>
      </c>
      <c r="G3799" s="100">
        <v>114686315</v>
      </c>
      <c r="H3799" s="530">
        <v>114686315</v>
      </c>
      <c r="I3799" s="525" t="s">
        <v>695</v>
      </c>
      <c r="J3799" s="100"/>
      <c r="K3799" s="548"/>
      <c r="L3799" s="548"/>
      <c r="M3799" s="548"/>
      <c r="N3799" s="552"/>
      <c r="Y3799" s="551"/>
    </row>
    <row r="3800" spans="1:25">
      <c r="A3800" s="499">
        <v>45608</v>
      </c>
      <c r="B3800" s="499">
        <v>45609</v>
      </c>
      <c r="C3800" s="500" t="s">
        <v>173</v>
      </c>
      <c r="D3800" s="500" t="s">
        <v>761</v>
      </c>
      <c r="E3800" s="501">
        <v>7007853.96</v>
      </c>
      <c r="F3800" s="502" t="s">
        <v>878</v>
      </c>
      <c r="G3800" s="100">
        <v>114686318</v>
      </c>
      <c r="H3800" s="530">
        <v>114686318</v>
      </c>
      <c r="I3800" s="525" t="s">
        <v>676</v>
      </c>
      <c r="J3800" s="100"/>
      <c r="K3800" s="548"/>
      <c r="L3800" s="548"/>
      <c r="M3800" s="548"/>
      <c r="N3800" s="552"/>
      <c r="Y3800" s="551"/>
    </row>
    <row r="3801" spans="1:25">
      <c r="A3801" s="499">
        <v>45608</v>
      </c>
      <c r="B3801" s="499">
        <v>45609</v>
      </c>
      <c r="C3801" s="500" t="s">
        <v>173</v>
      </c>
      <c r="D3801" s="500" t="s">
        <v>761</v>
      </c>
      <c r="E3801" s="501">
        <v>8008688.5</v>
      </c>
      <c r="F3801" s="502" t="s">
        <v>878</v>
      </c>
      <c r="G3801" s="100">
        <v>114686321</v>
      </c>
      <c r="H3801" s="530">
        <v>114686321</v>
      </c>
      <c r="I3801" s="525" t="s">
        <v>696</v>
      </c>
      <c r="J3801" s="100"/>
      <c r="K3801" s="548"/>
      <c r="L3801" s="548"/>
      <c r="M3801" s="548"/>
      <c r="N3801" s="552"/>
      <c r="Y3801" s="551"/>
    </row>
    <row r="3802" spans="1:25">
      <c r="A3802" s="499">
        <v>45608</v>
      </c>
      <c r="B3802" s="499">
        <v>45609</v>
      </c>
      <c r="C3802" s="500" t="s">
        <v>173</v>
      </c>
      <c r="D3802" s="500" t="s">
        <v>761</v>
      </c>
      <c r="E3802" s="501">
        <v>9009774.5700000003</v>
      </c>
      <c r="F3802" s="502" t="s">
        <v>878</v>
      </c>
      <c r="G3802" s="100">
        <v>114686324</v>
      </c>
      <c r="H3802" s="530">
        <v>114686324</v>
      </c>
      <c r="I3802" s="525" t="s">
        <v>696</v>
      </c>
      <c r="J3802" s="100"/>
      <c r="K3802" s="548"/>
      <c r="L3802" s="548"/>
      <c r="M3802" s="548"/>
      <c r="N3802" s="552"/>
      <c r="Y3802" s="551"/>
    </row>
    <row r="3803" spans="1:25">
      <c r="A3803" s="499">
        <v>45608</v>
      </c>
      <c r="B3803" s="499">
        <v>45609</v>
      </c>
      <c r="C3803" s="500" t="s">
        <v>173</v>
      </c>
      <c r="D3803" s="500" t="s">
        <v>761</v>
      </c>
      <c r="E3803" s="501">
        <v>9009774.5700000003</v>
      </c>
      <c r="F3803" s="502" t="s">
        <v>878</v>
      </c>
      <c r="G3803" s="100">
        <v>114686327</v>
      </c>
      <c r="H3803" s="530">
        <v>114686327</v>
      </c>
      <c r="I3803" s="525" t="s">
        <v>696</v>
      </c>
      <c r="J3803" s="100"/>
      <c r="K3803" s="548"/>
      <c r="L3803" s="548"/>
      <c r="M3803" s="548"/>
      <c r="N3803" s="552"/>
      <c r="Y3803" s="551"/>
    </row>
    <row r="3804" spans="1:25">
      <c r="A3804" s="499">
        <v>45608</v>
      </c>
      <c r="B3804" s="499">
        <v>45609</v>
      </c>
      <c r="C3804" s="500" t="s">
        <v>173</v>
      </c>
      <c r="D3804" s="500" t="s">
        <v>761</v>
      </c>
      <c r="E3804" s="501">
        <v>9007033.1600000001</v>
      </c>
      <c r="F3804" s="502" t="s">
        <v>878</v>
      </c>
      <c r="G3804" s="100">
        <v>114686330</v>
      </c>
      <c r="H3804" s="530">
        <v>114686330</v>
      </c>
      <c r="I3804" s="525" t="s">
        <v>550</v>
      </c>
      <c r="J3804" s="100"/>
      <c r="K3804" s="548"/>
      <c r="L3804" s="548"/>
      <c r="M3804" s="548"/>
      <c r="N3804" s="552"/>
      <c r="Y3804" s="551"/>
    </row>
    <row r="3805" spans="1:25">
      <c r="A3805" s="499">
        <v>45608</v>
      </c>
      <c r="B3805" s="499">
        <v>45609</v>
      </c>
      <c r="C3805" s="500" t="s">
        <v>173</v>
      </c>
      <c r="D3805" s="500" t="s">
        <v>761</v>
      </c>
      <c r="E3805" s="501">
        <v>10013007.060000001</v>
      </c>
      <c r="F3805" s="502" t="s">
        <v>878</v>
      </c>
      <c r="G3805" s="100">
        <v>114686354</v>
      </c>
      <c r="H3805" s="530">
        <v>114686354</v>
      </c>
      <c r="I3805" s="525" t="s">
        <v>596</v>
      </c>
      <c r="J3805" s="100"/>
      <c r="K3805" s="548"/>
      <c r="L3805" s="548"/>
      <c r="M3805" s="548"/>
      <c r="N3805" s="552"/>
      <c r="Y3805" s="551"/>
    </row>
    <row r="3806" spans="1:25">
      <c r="A3806" s="499">
        <v>45608</v>
      </c>
      <c r="B3806" s="499">
        <v>45609</v>
      </c>
      <c r="C3806" s="500" t="s">
        <v>173</v>
      </c>
      <c r="D3806" s="500" t="s">
        <v>761</v>
      </c>
      <c r="E3806" s="501">
        <v>10009567.66</v>
      </c>
      <c r="F3806" s="502" t="s">
        <v>878</v>
      </c>
      <c r="G3806" s="100">
        <v>114686357</v>
      </c>
      <c r="H3806" s="530">
        <v>114686357</v>
      </c>
      <c r="I3806" s="525" t="s">
        <v>604</v>
      </c>
      <c r="J3806" s="100"/>
      <c r="K3806" s="548"/>
      <c r="L3806" s="548"/>
      <c r="M3806" s="548"/>
      <c r="N3806" s="552"/>
      <c r="Y3806" s="551"/>
    </row>
    <row r="3807" spans="1:25">
      <c r="A3807" s="499">
        <v>45608</v>
      </c>
      <c r="B3807" s="499">
        <v>45609</v>
      </c>
      <c r="C3807" s="500" t="s">
        <v>173</v>
      </c>
      <c r="D3807" s="500" t="s">
        <v>761</v>
      </c>
      <c r="E3807" s="501">
        <v>11005991.119999999</v>
      </c>
      <c r="F3807" s="502" t="s">
        <v>878</v>
      </c>
      <c r="G3807" s="100">
        <v>114686360</v>
      </c>
      <c r="H3807" s="530">
        <v>114686360</v>
      </c>
      <c r="I3807" s="525" t="s">
        <v>816</v>
      </c>
      <c r="J3807" s="100"/>
      <c r="K3807" s="548"/>
      <c r="L3807" s="548"/>
      <c r="M3807" s="548"/>
      <c r="N3807" s="552"/>
      <c r="Y3807" s="551"/>
    </row>
    <row r="3808" spans="1:25">
      <c r="A3808" s="499">
        <v>45608</v>
      </c>
      <c r="B3808" s="499">
        <v>45609</v>
      </c>
      <c r="C3808" s="500" t="s">
        <v>173</v>
      </c>
      <c r="D3808" s="500" t="s">
        <v>761</v>
      </c>
      <c r="E3808" s="501">
        <v>13016614.939999999</v>
      </c>
      <c r="F3808" s="502" t="s">
        <v>878</v>
      </c>
      <c r="G3808" s="100">
        <v>114686363</v>
      </c>
      <c r="H3808" s="530">
        <v>114686363</v>
      </c>
      <c r="I3808" s="525" t="s">
        <v>525</v>
      </c>
      <c r="J3808" s="100"/>
      <c r="K3808" s="548"/>
      <c r="L3808" s="548"/>
      <c r="M3808" s="548"/>
      <c r="N3808" s="552"/>
      <c r="Y3808" s="551"/>
    </row>
    <row r="3809" spans="1:25">
      <c r="A3809" s="499">
        <v>45608</v>
      </c>
      <c r="B3809" s="499">
        <v>45609</v>
      </c>
      <c r="C3809" s="500" t="s">
        <v>173</v>
      </c>
      <c r="D3809" s="500" t="s">
        <v>761</v>
      </c>
      <c r="E3809" s="501">
        <v>15008169.720000001</v>
      </c>
      <c r="F3809" s="502" t="s">
        <v>878</v>
      </c>
      <c r="G3809" s="100">
        <v>114686375</v>
      </c>
      <c r="H3809" s="530">
        <v>114686375</v>
      </c>
      <c r="I3809" s="525" t="s">
        <v>816</v>
      </c>
      <c r="J3809" s="100"/>
      <c r="K3809" s="548"/>
      <c r="L3809" s="548"/>
      <c r="M3809" s="548"/>
      <c r="N3809" s="552"/>
      <c r="Y3809" s="551"/>
    </row>
    <row r="3810" spans="1:25">
      <c r="A3810" s="499">
        <v>45608</v>
      </c>
      <c r="B3810" s="499">
        <v>45609</v>
      </c>
      <c r="C3810" s="500" t="s">
        <v>173</v>
      </c>
      <c r="D3810" s="500" t="s">
        <v>761</v>
      </c>
      <c r="E3810" s="501">
        <v>15008169.720000001</v>
      </c>
      <c r="F3810" s="502" t="s">
        <v>878</v>
      </c>
      <c r="G3810" s="100">
        <v>114686378</v>
      </c>
      <c r="H3810" s="530">
        <v>114686378</v>
      </c>
      <c r="I3810" s="525" t="s">
        <v>816</v>
      </c>
      <c r="J3810" s="100"/>
      <c r="K3810" s="548"/>
      <c r="L3810" s="548"/>
      <c r="M3810" s="548"/>
      <c r="N3810" s="552"/>
      <c r="Y3810" s="551"/>
    </row>
    <row r="3811" spans="1:25">
      <c r="A3811" s="499">
        <v>45608</v>
      </c>
      <c r="B3811" s="499">
        <v>45609</v>
      </c>
      <c r="C3811" s="500" t="s">
        <v>173</v>
      </c>
      <c r="D3811" s="500" t="s">
        <v>761</v>
      </c>
      <c r="E3811" s="501">
        <v>16017623.48</v>
      </c>
      <c r="F3811" s="502" t="s">
        <v>878</v>
      </c>
      <c r="G3811" s="100">
        <v>114686381</v>
      </c>
      <c r="H3811" s="530">
        <v>114686381</v>
      </c>
      <c r="I3811" s="525" t="s">
        <v>590</v>
      </c>
      <c r="J3811" s="100"/>
      <c r="K3811" s="548"/>
      <c r="L3811" s="548"/>
      <c r="M3811" s="548"/>
      <c r="N3811" s="552"/>
      <c r="Y3811" s="551"/>
    </row>
    <row r="3812" spans="1:25">
      <c r="A3812" s="499">
        <v>45608</v>
      </c>
      <c r="B3812" s="499">
        <v>45609</v>
      </c>
      <c r="C3812" s="500" t="s">
        <v>173</v>
      </c>
      <c r="D3812" s="500" t="s">
        <v>761</v>
      </c>
      <c r="E3812" s="501">
        <v>16009329.02</v>
      </c>
      <c r="F3812" s="502" t="s">
        <v>878</v>
      </c>
      <c r="G3812" s="100">
        <v>114686384</v>
      </c>
      <c r="H3812" s="530">
        <v>114686384</v>
      </c>
      <c r="I3812" s="525" t="s">
        <v>824</v>
      </c>
      <c r="J3812" s="100"/>
      <c r="K3812" s="548"/>
      <c r="L3812" s="548"/>
      <c r="M3812" s="548"/>
      <c r="N3812" s="552"/>
      <c r="Y3812" s="551"/>
    </row>
    <row r="3813" spans="1:25">
      <c r="A3813" s="499">
        <v>45608</v>
      </c>
      <c r="B3813" s="499">
        <v>45609</v>
      </c>
      <c r="C3813" s="500" t="s">
        <v>173</v>
      </c>
      <c r="D3813" s="500" t="s">
        <v>761</v>
      </c>
      <c r="E3813" s="501">
        <v>19021317.91</v>
      </c>
      <c r="F3813" s="502" t="s">
        <v>878</v>
      </c>
      <c r="G3813" s="100">
        <v>114686387</v>
      </c>
      <c r="H3813" s="530">
        <v>114686387</v>
      </c>
      <c r="I3813" s="525" t="s">
        <v>676</v>
      </c>
      <c r="J3813" s="100"/>
      <c r="K3813" s="548"/>
      <c r="L3813" s="548"/>
      <c r="M3813" s="548"/>
      <c r="N3813" s="552"/>
      <c r="Y3813" s="551"/>
    </row>
    <row r="3814" spans="1:25">
      <c r="A3814" s="499">
        <v>45608</v>
      </c>
      <c r="B3814" s="499">
        <v>45609</v>
      </c>
      <c r="C3814" s="500" t="s">
        <v>173</v>
      </c>
      <c r="D3814" s="500" t="s">
        <v>761</v>
      </c>
      <c r="E3814" s="501">
        <v>20009890.100000001</v>
      </c>
      <c r="F3814" s="502" t="s">
        <v>878</v>
      </c>
      <c r="G3814" s="100">
        <v>114686400</v>
      </c>
      <c r="H3814" s="530">
        <v>114686400</v>
      </c>
      <c r="I3814" s="525" t="s">
        <v>690</v>
      </c>
      <c r="J3814" s="100"/>
      <c r="K3814" s="548"/>
      <c r="L3814" s="548"/>
      <c r="M3814" s="548"/>
      <c r="N3814" s="552"/>
      <c r="Y3814" s="551"/>
    </row>
    <row r="3815" spans="1:25">
      <c r="A3815" s="499">
        <v>45608</v>
      </c>
      <c r="B3815" s="499">
        <v>45609</v>
      </c>
      <c r="C3815" s="500" t="s">
        <v>173</v>
      </c>
      <c r="D3815" s="500" t="s">
        <v>761</v>
      </c>
      <c r="E3815" s="501">
        <v>20022439.899999999</v>
      </c>
      <c r="F3815" s="502" t="s">
        <v>878</v>
      </c>
      <c r="G3815" s="100">
        <v>114686403</v>
      </c>
      <c r="H3815" s="530">
        <v>114686403</v>
      </c>
      <c r="I3815" s="525" t="s">
        <v>676</v>
      </c>
      <c r="J3815" s="100"/>
      <c r="K3815" s="548"/>
      <c r="L3815" s="548"/>
      <c r="M3815" s="548"/>
      <c r="N3815" s="552"/>
      <c r="Y3815" s="551"/>
    </row>
    <row r="3816" spans="1:25">
      <c r="A3816" s="499">
        <v>45608</v>
      </c>
      <c r="B3816" s="499">
        <v>45609</v>
      </c>
      <c r="C3816" s="500" t="s">
        <v>173</v>
      </c>
      <c r="D3816" s="500" t="s">
        <v>761</v>
      </c>
      <c r="E3816" s="501">
        <v>20012161.600000001</v>
      </c>
      <c r="F3816" s="502" t="s">
        <v>878</v>
      </c>
      <c r="G3816" s="100">
        <v>114686406</v>
      </c>
      <c r="H3816" s="530">
        <v>114686406</v>
      </c>
      <c r="I3816" s="525" t="s">
        <v>588</v>
      </c>
      <c r="J3816" s="100"/>
      <c r="K3816" s="548"/>
      <c r="L3816" s="548"/>
      <c r="M3816" s="548"/>
      <c r="N3816" s="552"/>
      <c r="Y3816" s="551"/>
    </row>
    <row r="3817" spans="1:25">
      <c r="A3817" s="499">
        <v>45608</v>
      </c>
      <c r="B3817" s="499">
        <v>45609</v>
      </c>
      <c r="C3817" s="500" t="s">
        <v>173</v>
      </c>
      <c r="D3817" s="500" t="s">
        <v>761</v>
      </c>
      <c r="E3817" s="501">
        <v>21010194.52</v>
      </c>
      <c r="F3817" s="502" t="s">
        <v>878</v>
      </c>
      <c r="G3817" s="100">
        <v>114686427</v>
      </c>
      <c r="H3817" s="530">
        <v>114686427</v>
      </c>
      <c r="I3817" s="525" t="s">
        <v>657</v>
      </c>
      <c r="J3817" s="100"/>
      <c r="K3817" s="548"/>
      <c r="L3817" s="548"/>
      <c r="M3817" s="548"/>
      <c r="N3817" s="552"/>
      <c r="Y3817" s="551"/>
    </row>
    <row r="3818" spans="1:25">
      <c r="A3818" s="499">
        <v>45608</v>
      </c>
      <c r="B3818" s="499">
        <v>45609</v>
      </c>
      <c r="C3818" s="500" t="s">
        <v>173</v>
      </c>
      <c r="D3818" s="500" t="s">
        <v>761</v>
      </c>
      <c r="E3818" s="501">
        <v>23024979.440000001</v>
      </c>
      <c r="F3818" s="502" t="s">
        <v>878</v>
      </c>
      <c r="G3818" s="100">
        <v>114686430</v>
      </c>
      <c r="H3818" s="530">
        <v>114686430</v>
      </c>
      <c r="I3818" s="525" t="s">
        <v>696</v>
      </c>
      <c r="J3818" s="100"/>
      <c r="K3818" s="548"/>
      <c r="L3818" s="548"/>
      <c r="M3818" s="548"/>
      <c r="N3818" s="552"/>
      <c r="Y3818" s="551"/>
    </row>
    <row r="3819" spans="1:25">
      <c r="A3819" s="499">
        <v>45608</v>
      </c>
      <c r="B3819" s="499">
        <v>45609</v>
      </c>
      <c r="C3819" s="500" t="s">
        <v>173</v>
      </c>
      <c r="D3819" s="500" t="s">
        <v>761</v>
      </c>
      <c r="E3819" s="501">
        <v>23028168.379999999</v>
      </c>
      <c r="F3819" s="502" t="s">
        <v>878</v>
      </c>
      <c r="G3819" s="100">
        <v>114686433</v>
      </c>
      <c r="H3819" s="530">
        <v>114686433</v>
      </c>
      <c r="I3819" s="525" t="s">
        <v>819</v>
      </c>
      <c r="J3819" s="100"/>
      <c r="K3819" s="548"/>
      <c r="L3819" s="548"/>
      <c r="M3819" s="548"/>
      <c r="N3819" s="552"/>
      <c r="Y3819" s="551"/>
    </row>
    <row r="3820" spans="1:25">
      <c r="A3820" s="499">
        <v>45608</v>
      </c>
      <c r="B3820" s="499">
        <v>45609</v>
      </c>
      <c r="C3820" s="500" t="s">
        <v>173</v>
      </c>
      <c r="D3820" s="500" t="s">
        <v>761</v>
      </c>
      <c r="E3820" s="501">
        <v>23025333.75</v>
      </c>
      <c r="F3820" s="502" t="s">
        <v>878</v>
      </c>
      <c r="G3820" s="100">
        <v>114686436</v>
      </c>
      <c r="H3820" s="530">
        <v>114686436</v>
      </c>
      <c r="I3820" s="525" t="s">
        <v>590</v>
      </c>
      <c r="J3820" s="100"/>
      <c r="K3820" s="548"/>
      <c r="L3820" s="548"/>
      <c r="M3820" s="548"/>
      <c r="N3820" s="552"/>
      <c r="Y3820" s="551"/>
    </row>
    <row r="3821" spans="1:25">
      <c r="A3821" s="499">
        <v>45608</v>
      </c>
      <c r="B3821" s="499">
        <v>45609</v>
      </c>
      <c r="C3821" s="500" t="s">
        <v>173</v>
      </c>
      <c r="D3821" s="500" t="s">
        <v>761</v>
      </c>
      <c r="E3821" s="501">
        <v>13006094.859999999</v>
      </c>
      <c r="F3821" s="502" t="s">
        <v>878</v>
      </c>
      <c r="G3821" s="100">
        <v>114686620</v>
      </c>
      <c r="H3821" s="530">
        <v>114686620</v>
      </c>
      <c r="I3821" s="525" t="s">
        <v>714</v>
      </c>
      <c r="J3821" s="100"/>
      <c r="K3821" s="548"/>
      <c r="L3821" s="548"/>
      <c r="M3821" s="548"/>
      <c r="N3821" s="552"/>
      <c r="Y3821" s="551"/>
    </row>
    <row r="3822" spans="1:25">
      <c r="A3822" s="499">
        <v>45608</v>
      </c>
      <c r="B3822" s="499">
        <v>45609</v>
      </c>
      <c r="C3822" s="500" t="s">
        <v>173</v>
      </c>
      <c r="D3822" s="500" t="s">
        <v>761</v>
      </c>
      <c r="E3822" s="501">
        <v>22027531.420000002</v>
      </c>
      <c r="F3822" s="502" t="s">
        <v>878</v>
      </c>
      <c r="G3822" s="100">
        <v>114686628</v>
      </c>
      <c r="H3822" s="530">
        <v>114686628</v>
      </c>
      <c r="I3822" s="525" t="s">
        <v>681</v>
      </c>
      <c r="J3822" s="100"/>
      <c r="K3822" s="548"/>
      <c r="L3822" s="548"/>
      <c r="M3822" s="548"/>
      <c r="N3822" s="552"/>
      <c r="Y3822" s="551"/>
    </row>
    <row r="3823" spans="1:25">
      <c r="A3823" s="499">
        <v>45608</v>
      </c>
      <c r="B3823" s="499">
        <v>45609</v>
      </c>
      <c r="C3823" s="500" t="s">
        <v>173</v>
      </c>
      <c r="D3823" s="500" t="s">
        <v>761</v>
      </c>
      <c r="E3823" s="501">
        <v>23029002.77</v>
      </c>
      <c r="F3823" s="502" t="s">
        <v>878</v>
      </c>
      <c r="G3823" s="100">
        <v>114686636</v>
      </c>
      <c r="H3823" s="530">
        <v>114686636</v>
      </c>
      <c r="I3823" s="525" t="s">
        <v>692</v>
      </c>
      <c r="J3823" s="100"/>
      <c r="K3823" s="548"/>
      <c r="L3823" s="548"/>
      <c r="M3823" s="548"/>
      <c r="N3823" s="552"/>
      <c r="Y3823" s="551"/>
    </row>
    <row r="3824" spans="1:25">
      <c r="A3824" s="499">
        <v>45608</v>
      </c>
      <c r="B3824" s="499">
        <v>45609</v>
      </c>
      <c r="C3824" s="500" t="s">
        <v>173</v>
      </c>
      <c r="D3824" s="500" t="s">
        <v>761</v>
      </c>
      <c r="E3824" s="501">
        <v>32030591.75</v>
      </c>
      <c r="F3824" s="502" t="s">
        <v>878</v>
      </c>
      <c r="G3824" s="100">
        <v>114686640</v>
      </c>
      <c r="H3824" s="530">
        <v>114686640</v>
      </c>
      <c r="I3824" s="525" t="s">
        <v>713</v>
      </c>
      <c r="J3824" s="100"/>
      <c r="K3824" s="548"/>
      <c r="L3824" s="548"/>
      <c r="M3824" s="548"/>
      <c r="N3824" s="552"/>
      <c r="Y3824" s="551"/>
    </row>
    <row r="3825" spans="1:25">
      <c r="A3825" s="499">
        <v>45608</v>
      </c>
      <c r="B3825" s="499">
        <v>45609</v>
      </c>
      <c r="C3825" s="500" t="s">
        <v>173</v>
      </c>
      <c r="D3825" s="500" t="s">
        <v>761</v>
      </c>
      <c r="E3825" s="501">
        <v>31020766.640000001</v>
      </c>
      <c r="F3825" s="502" t="s">
        <v>878</v>
      </c>
      <c r="G3825" s="100">
        <v>114686645</v>
      </c>
      <c r="H3825" s="530">
        <v>114686645</v>
      </c>
      <c r="I3825" s="525" t="s">
        <v>685</v>
      </c>
      <c r="J3825" s="100"/>
      <c r="K3825" s="548"/>
      <c r="L3825" s="548"/>
      <c r="M3825" s="548"/>
      <c r="N3825" s="552"/>
      <c r="Y3825" s="551"/>
    </row>
    <row r="3826" spans="1:25">
      <c r="A3826" s="499">
        <v>45608</v>
      </c>
      <c r="B3826" s="499">
        <v>45608</v>
      </c>
      <c r="C3826" s="500" t="s">
        <v>173</v>
      </c>
      <c r="D3826" s="500" t="s">
        <v>759</v>
      </c>
      <c r="E3826" s="501">
        <v>-533527719.56999999</v>
      </c>
      <c r="F3826" s="502" t="s">
        <v>878</v>
      </c>
      <c r="G3826" s="100">
        <v>114688998</v>
      </c>
      <c r="H3826" s="530"/>
      <c r="I3826" s="525" t="s">
        <v>677</v>
      </c>
      <c r="J3826" s="100"/>
      <c r="K3826" s="548"/>
      <c r="L3826" s="548"/>
      <c r="M3826" s="548"/>
      <c r="N3826" s="552"/>
      <c r="Y3826" s="551"/>
    </row>
    <row r="3827" spans="1:25">
      <c r="A3827" s="499">
        <v>45608</v>
      </c>
      <c r="B3827" s="499">
        <v>45608</v>
      </c>
      <c r="C3827" s="500" t="s">
        <v>173</v>
      </c>
      <c r="D3827" s="500" t="s">
        <v>759</v>
      </c>
      <c r="E3827" s="501">
        <v>-1461296007.3699999</v>
      </c>
      <c r="F3827" s="502" t="s">
        <v>878</v>
      </c>
      <c r="G3827" s="100">
        <v>114689003</v>
      </c>
      <c r="H3827" s="530"/>
      <c r="I3827" s="525" t="s">
        <v>592</v>
      </c>
      <c r="J3827" s="100"/>
      <c r="K3827" s="548"/>
      <c r="L3827" s="548"/>
      <c r="M3827" s="548"/>
      <c r="N3827" s="552"/>
      <c r="Y3827" s="551"/>
    </row>
    <row r="3828" spans="1:25">
      <c r="A3828" s="499">
        <v>45608</v>
      </c>
      <c r="B3828" s="499">
        <v>45608</v>
      </c>
      <c r="C3828" s="500" t="s">
        <v>173</v>
      </c>
      <c r="D3828" s="500" t="s">
        <v>759</v>
      </c>
      <c r="E3828" s="501">
        <v>-8005771.2999999998</v>
      </c>
      <c r="F3828" s="502" t="s">
        <v>878</v>
      </c>
      <c r="G3828" s="100">
        <v>114690949</v>
      </c>
      <c r="H3828" s="530"/>
      <c r="I3828" s="525" t="s">
        <v>590</v>
      </c>
      <c r="J3828" s="100"/>
      <c r="K3828" s="548"/>
      <c r="L3828" s="548"/>
      <c r="M3828" s="548"/>
      <c r="N3828" s="552"/>
      <c r="Y3828" s="551"/>
    </row>
    <row r="3829" spans="1:25">
      <c r="A3829" s="499">
        <v>45608</v>
      </c>
      <c r="B3829" s="499">
        <v>45609</v>
      </c>
      <c r="C3829" s="500" t="s">
        <v>173</v>
      </c>
      <c r="D3829" s="500" t="s">
        <v>759</v>
      </c>
      <c r="E3829" s="501">
        <v>533731072.35000002</v>
      </c>
      <c r="F3829" s="502" t="s">
        <v>878</v>
      </c>
      <c r="G3829" s="100">
        <v>114688998</v>
      </c>
      <c r="H3829" s="530">
        <v>114688998</v>
      </c>
      <c r="I3829" s="525" t="s">
        <v>677</v>
      </c>
      <c r="J3829" s="100"/>
      <c r="K3829" s="548"/>
      <c r="L3829" s="548"/>
      <c r="M3829" s="548"/>
      <c r="N3829" s="552"/>
      <c r="Y3829" s="551"/>
    </row>
    <row r="3830" spans="1:25">
      <c r="A3830" s="499">
        <v>45608</v>
      </c>
      <c r="B3830" s="499">
        <v>45609</v>
      </c>
      <c r="C3830" s="500" t="s">
        <v>173</v>
      </c>
      <c r="D3830" s="500" t="s">
        <v>759</v>
      </c>
      <c r="E3830" s="501">
        <v>1461852976.75</v>
      </c>
      <c r="F3830" s="502" t="s">
        <v>878</v>
      </c>
      <c r="G3830" s="100">
        <v>114689003</v>
      </c>
      <c r="H3830" s="530">
        <v>114689003</v>
      </c>
      <c r="I3830" s="525" t="s">
        <v>592</v>
      </c>
      <c r="J3830" s="100"/>
      <c r="K3830" s="548"/>
      <c r="L3830" s="548"/>
      <c r="M3830" s="548"/>
      <c r="N3830" s="552"/>
      <c r="Y3830" s="551"/>
    </row>
    <row r="3831" spans="1:25">
      <c r="A3831" s="499">
        <v>45608</v>
      </c>
      <c r="B3831" s="499">
        <v>45609</v>
      </c>
      <c r="C3831" s="500" t="s">
        <v>173</v>
      </c>
      <c r="D3831" s="500" t="s">
        <v>759</v>
      </c>
      <c r="E3831" s="501">
        <v>8008783.4800000004</v>
      </c>
      <c r="F3831" s="502" t="s">
        <v>878</v>
      </c>
      <c r="G3831" s="100">
        <v>114690949</v>
      </c>
      <c r="H3831" s="530">
        <v>114690949</v>
      </c>
      <c r="I3831" s="525" t="s">
        <v>590</v>
      </c>
      <c r="J3831" s="100"/>
      <c r="K3831" s="548"/>
      <c r="L3831" s="548"/>
      <c r="M3831" s="548"/>
      <c r="N3831" s="552"/>
      <c r="Y3831" s="551"/>
    </row>
    <row r="3832" spans="1:25">
      <c r="A3832" s="499">
        <v>45608</v>
      </c>
      <c r="B3832" s="499">
        <v>45608</v>
      </c>
      <c r="C3832" s="500" t="s">
        <v>173</v>
      </c>
      <c r="D3832" s="500" t="s">
        <v>760</v>
      </c>
      <c r="E3832" s="501">
        <v>-754575065.24000001</v>
      </c>
      <c r="F3832" s="502" t="s">
        <v>878</v>
      </c>
      <c r="G3832" s="100">
        <v>114688145</v>
      </c>
      <c r="H3832" s="530"/>
      <c r="I3832" s="525" t="s">
        <v>658</v>
      </c>
      <c r="J3832" s="100"/>
      <c r="K3832" s="548"/>
      <c r="L3832" s="548"/>
      <c r="M3832" s="548"/>
      <c r="N3832" s="552"/>
      <c r="Y3832" s="551"/>
    </row>
    <row r="3833" spans="1:25">
      <c r="A3833" s="499">
        <v>45608</v>
      </c>
      <c r="B3833" s="499">
        <v>45608</v>
      </c>
      <c r="C3833" s="500" t="s">
        <v>173</v>
      </c>
      <c r="D3833" s="500" t="s">
        <v>760</v>
      </c>
      <c r="E3833" s="501">
        <v>-496019582.07999998</v>
      </c>
      <c r="F3833" s="502" t="s">
        <v>878</v>
      </c>
      <c r="G3833" s="100">
        <v>114688380</v>
      </c>
      <c r="H3833" s="530"/>
      <c r="I3833" s="525" t="s">
        <v>635</v>
      </c>
      <c r="J3833" s="100"/>
      <c r="K3833" s="548"/>
      <c r="L3833" s="548"/>
      <c r="M3833" s="548"/>
      <c r="N3833" s="552"/>
      <c r="Y3833" s="551"/>
    </row>
    <row r="3834" spans="1:25">
      <c r="A3834" s="499">
        <v>45608</v>
      </c>
      <c r="B3834" s="499">
        <v>45608</v>
      </c>
      <c r="C3834" s="500" t="s">
        <v>173</v>
      </c>
      <c r="D3834" s="500" t="s">
        <v>760</v>
      </c>
      <c r="E3834" s="501">
        <v>-39013833.460000001</v>
      </c>
      <c r="F3834" s="502" t="s">
        <v>878</v>
      </c>
      <c r="G3834" s="100">
        <v>114688557</v>
      </c>
      <c r="H3834" s="530"/>
      <c r="I3834" s="525" t="s">
        <v>682</v>
      </c>
      <c r="J3834" s="100"/>
      <c r="K3834" s="548"/>
      <c r="L3834" s="548"/>
      <c r="M3834" s="548"/>
      <c r="N3834" s="552"/>
      <c r="Y3834" s="551"/>
    </row>
    <row r="3835" spans="1:25">
      <c r="A3835" s="499">
        <v>45608</v>
      </c>
      <c r="B3835" s="499">
        <v>45609</v>
      </c>
      <c r="C3835" s="500" t="s">
        <v>173</v>
      </c>
      <c r="D3835" s="500" t="s">
        <v>760</v>
      </c>
      <c r="E3835" s="501">
        <v>754861636.76999998</v>
      </c>
      <c r="F3835" s="502" t="s">
        <v>878</v>
      </c>
      <c r="G3835" s="100">
        <v>114688145</v>
      </c>
      <c r="H3835" s="530">
        <v>114688145</v>
      </c>
      <c r="I3835" s="525" t="s">
        <v>658</v>
      </c>
      <c r="J3835" s="100"/>
      <c r="K3835" s="548"/>
      <c r="L3835" s="548"/>
      <c r="M3835" s="548"/>
      <c r="N3835" s="552"/>
      <c r="Y3835" s="551"/>
    </row>
    <row r="3836" spans="1:25">
      <c r="A3836" s="499">
        <v>45608</v>
      </c>
      <c r="B3836" s="499">
        <v>45609</v>
      </c>
      <c r="C3836" s="500" t="s">
        <v>173</v>
      </c>
      <c r="D3836" s="500" t="s">
        <v>760</v>
      </c>
      <c r="E3836" s="501">
        <v>496207959.75</v>
      </c>
      <c r="F3836" s="502" t="s">
        <v>878</v>
      </c>
      <c r="G3836" s="100">
        <v>114688380</v>
      </c>
      <c r="H3836" s="530">
        <v>114688380</v>
      </c>
      <c r="I3836" s="525" t="s">
        <v>635</v>
      </c>
      <c r="J3836" s="100"/>
      <c r="K3836" s="548"/>
      <c r="L3836" s="548"/>
      <c r="M3836" s="548"/>
      <c r="N3836" s="552"/>
      <c r="Y3836" s="551"/>
    </row>
    <row r="3837" spans="1:25">
      <c r="A3837" s="499">
        <v>45608</v>
      </c>
      <c r="B3837" s="499">
        <v>45609</v>
      </c>
      <c r="C3837" s="500" t="s">
        <v>173</v>
      </c>
      <c r="D3837" s="500" t="s">
        <v>760</v>
      </c>
      <c r="E3837" s="501">
        <v>39028650.079999998</v>
      </c>
      <c r="F3837" s="502" t="s">
        <v>878</v>
      </c>
      <c r="G3837" s="100">
        <v>114688557</v>
      </c>
      <c r="H3837" s="530">
        <v>114688557</v>
      </c>
      <c r="I3837" s="525" t="s">
        <v>682</v>
      </c>
      <c r="J3837" s="100"/>
      <c r="K3837" s="548"/>
      <c r="L3837" s="548"/>
      <c r="M3837" s="548"/>
      <c r="N3837" s="552"/>
      <c r="Y3837" s="551"/>
    </row>
    <row r="3838" spans="1:25">
      <c r="A3838" s="499">
        <v>45608</v>
      </c>
      <c r="B3838" s="499">
        <v>45608</v>
      </c>
      <c r="C3838" s="500" t="s">
        <v>173</v>
      </c>
      <c r="D3838" s="500" t="s">
        <v>763</v>
      </c>
      <c r="E3838" s="501">
        <v>-2106506169.5999999</v>
      </c>
      <c r="F3838" s="502" t="s">
        <v>878</v>
      </c>
      <c r="G3838" s="100">
        <v>114687602</v>
      </c>
      <c r="H3838" s="530"/>
      <c r="I3838" s="525" t="s">
        <v>800</v>
      </c>
      <c r="J3838" s="100"/>
      <c r="K3838" s="548"/>
      <c r="L3838" s="548"/>
      <c r="M3838" s="548"/>
      <c r="N3838" s="552"/>
      <c r="Y3838" s="551"/>
    </row>
    <row r="3839" spans="1:25">
      <c r="A3839" s="499">
        <v>45608</v>
      </c>
      <c r="B3839" s="499">
        <v>45608</v>
      </c>
      <c r="C3839" s="500" t="s">
        <v>173</v>
      </c>
      <c r="D3839" s="500" t="s">
        <v>763</v>
      </c>
      <c r="E3839" s="501">
        <v>-2000757456</v>
      </c>
      <c r="F3839" s="502" t="s">
        <v>878</v>
      </c>
      <c r="G3839" s="100">
        <v>114687605</v>
      </c>
      <c r="H3839" s="530"/>
      <c r="I3839" s="525" t="s">
        <v>686</v>
      </c>
      <c r="J3839" s="100"/>
      <c r="K3839" s="548"/>
      <c r="L3839" s="548"/>
      <c r="M3839" s="548"/>
      <c r="N3839" s="552"/>
      <c r="Y3839" s="551"/>
    </row>
    <row r="3840" spans="1:25">
      <c r="A3840" s="499">
        <v>45608</v>
      </c>
      <c r="B3840" s="499">
        <v>45608</v>
      </c>
      <c r="C3840" s="500" t="s">
        <v>173</v>
      </c>
      <c r="D3840" s="500" t="s">
        <v>763</v>
      </c>
      <c r="E3840" s="501">
        <v>-1334319793.97</v>
      </c>
      <c r="F3840" s="502" t="s">
        <v>878</v>
      </c>
      <c r="G3840" s="100">
        <v>114687608</v>
      </c>
      <c r="H3840" s="530"/>
      <c r="I3840" s="525" t="s">
        <v>677</v>
      </c>
      <c r="J3840" s="100"/>
      <c r="K3840" s="548"/>
      <c r="L3840" s="548"/>
      <c r="M3840" s="548"/>
      <c r="N3840" s="552"/>
      <c r="Y3840" s="551"/>
    </row>
    <row r="3841" spans="1:25">
      <c r="A3841" s="499">
        <v>45608</v>
      </c>
      <c r="B3841" s="499">
        <v>45608</v>
      </c>
      <c r="C3841" s="500" t="s">
        <v>173</v>
      </c>
      <c r="D3841" s="500" t="s">
        <v>763</v>
      </c>
      <c r="E3841" s="501">
        <v>-20019801.859999999</v>
      </c>
      <c r="F3841" s="502" t="s">
        <v>878</v>
      </c>
      <c r="G3841" s="100">
        <v>114687639</v>
      </c>
      <c r="H3841" s="530"/>
      <c r="I3841" s="525" t="s">
        <v>677</v>
      </c>
      <c r="J3841" s="100"/>
      <c r="K3841" s="548"/>
      <c r="L3841" s="548"/>
      <c r="M3841" s="548"/>
      <c r="N3841" s="552"/>
      <c r="Y3841" s="551"/>
    </row>
    <row r="3842" spans="1:25">
      <c r="A3842" s="499">
        <v>45608</v>
      </c>
      <c r="B3842" s="499">
        <v>45609</v>
      </c>
      <c r="C3842" s="500" t="s">
        <v>173</v>
      </c>
      <c r="D3842" s="500" t="s">
        <v>763</v>
      </c>
      <c r="E3842" s="501">
        <v>2107295251.8499999</v>
      </c>
      <c r="F3842" s="502" t="s">
        <v>878</v>
      </c>
      <c r="G3842" s="100">
        <v>114687602</v>
      </c>
      <c r="H3842" s="530">
        <v>114687602</v>
      </c>
      <c r="I3842" s="525" t="s">
        <v>800</v>
      </c>
      <c r="J3842" s="100"/>
      <c r="K3842" s="548"/>
      <c r="L3842" s="548"/>
      <c r="M3842" s="548"/>
      <c r="N3842" s="552"/>
      <c r="Y3842" s="551"/>
    </row>
    <row r="3843" spans="1:25">
      <c r="A3843" s="499">
        <v>45608</v>
      </c>
      <c r="B3843" s="499">
        <v>45609</v>
      </c>
      <c r="C3843" s="500" t="s">
        <v>173</v>
      </c>
      <c r="D3843" s="500" t="s">
        <v>763</v>
      </c>
      <c r="E3843" s="501">
        <v>2001506920.0599999</v>
      </c>
      <c r="F3843" s="502" t="s">
        <v>878</v>
      </c>
      <c r="G3843" s="100">
        <v>114687605</v>
      </c>
      <c r="H3843" s="530">
        <v>114687605</v>
      </c>
      <c r="I3843" s="525" t="s">
        <v>686</v>
      </c>
      <c r="J3843" s="100"/>
      <c r="K3843" s="548"/>
      <c r="L3843" s="548"/>
      <c r="M3843" s="548"/>
      <c r="N3843" s="552"/>
      <c r="Y3843" s="551"/>
    </row>
    <row r="3844" spans="1:25">
      <c r="A3844" s="499">
        <v>45608</v>
      </c>
      <c r="B3844" s="499">
        <v>45609</v>
      </c>
      <c r="C3844" s="500" t="s">
        <v>173</v>
      </c>
      <c r="D3844" s="500" t="s">
        <v>763</v>
      </c>
      <c r="E3844" s="501">
        <v>1334819267.05</v>
      </c>
      <c r="F3844" s="502" t="s">
        <v>878</v>
      </c>
      <c r="G3844" s="100">
        <v>114687608</v>
      </c>
      <c r="H3844" s="530">
        <v>114687608</v>
      </c>
      <c r="I3844" s="525" t="s">
        <v>677</v>
      </c>
      <c r="J3844" s="100"/>
      <c r="K3844" s="548"/>
      <c r="L3844" s="548"/>
      <c r="M3844" s="548"/>
      <c r="N3844" s="552"/>
      <c r="Y3844" s="551"/>
    </row>
    <row r="3845" spans="1:25">
      <c r="A3845" s="499">
        <v>45608</v>
      </c>
      <c r="B3845" s="499">
        <v>45609</v>
      </c>
      <c r="C3845" s="500" t="s">
        <v>173</v>
      </c>
      <c r="D3845" s="500" t="s">
        <v>763</v>
      </c>
      <c r="E3845" s="501">
        <v>20027295.829999998</v>
      </c>
      <c r="F3845" s="502" t="s">
        <v>878</v>
      </c>
      <c r="G3845" s="100">
        <v>114687639</v>
      </c>
      <c r="H3845" s="530">
        <v>114687639</v>
      </c>
      <c r="I3845" s="525" t="s">
        <v>677</v>
      </c>
      <c r="J3845" s="100"/>
      <c r="K3845" s="548"/>
      <c r="L3845" s="548"/>
      <c r="M3845" s="548"/>
      <c r="N3845" s="552"/>
      <c r="Y3845" s="551"/>
    </row>
    <row r="3846" spans="1:25">
      <c r="A3846" s="499">
        <v>45609</v>
      </c>
      <c r="B3846" s="499">
        <v>45609</v>
      </c>
      <c r="C3846" s="500" t="s">
        <v>173</v>
      </c>
      <c r="D3846" s="500" t="s">
        <v>761</v>
      </c>
      <c r="E3846" s="501">
        <v>-498028299.14999998</v>
      </c>
      <c r="F3846" s="502" t="s">
        <v>878</v>
      </c>
      <c r="G3846" s="100">
        <v>114707182</v>
      </c>
      <c r="H3846" s="530"/>
      <c r="I3846" s="525" t="s">
        <v>646</v>
      </c>
      <c r="J3846" s="100"/>
      <c r="K3846" s="548"/>
      <c r="L3846" s="548"/>
      <c r="M3846" s="548"/>
      <c r="N3846" s="552"/>
      <c r="Y3846" s="551"/>
    </row>
    <row r="3847" spans="1:25">
      <c r="A3847" s="499">
        <v>45609</v>
      </c>
      <c r="B3847" s="499">
        <v>45609</v>
      </c>
      <c r="C3847" s="500" t="s">
        <v>173</v>
      </c>
      <c r="D3847" s="500" t="s">
        <v>761</v>
      </c>
      <c r="E3847" s="501">
        <v>-3001891.55</v>
      </c>
      <c r="F3847" s="502" t="s">
        <v>878</v>
      </c>
      <c r="G3847" s="100">
        <v>114708238</v>
      </c>
      <c r="H3847" s="530"/>
      <c r="I3847" s="525" t="s">
        <v>689</v>
      </c>
      <c r="J3847" s="100"/>
      <c r="K3847" s="548"/>
      <c r="L3847" s="548"/>
      <c r="M3847" s="548"/>
      <c r="N3847" s="552"/>
      <c r="Y3847" s="551"/>
    </row>
    <row r="3848" spans="1:25">
      <c r="A3848" s="499">
        <v>45609</v>
      </c>
      <c r="B3848" s="499">
        <v>45609</v>
      </c>
      <c r="C3848" s="500" t="s">
        <v>173</v>
      </c>
      <c r="D3848" s="500" t="s">
        <v>761</v>
      </c>
      <c r="E3848" s="501">
        <v>-99074028.340000004</v>
      </c>
      <c r="F3848" s="502" t="s">
        <v>878</v>
      </c>
      <c r="G3848" s="100">
        <v>114708754</v>
      </c>
      <c r="H3848" s="530"/>
      <c r="I3848" s="525" t="s">
        <v>823</v>
      </c>
      <c r="J3848" s="100"/>
      <c r="K3848" s="548"/>
      <c r="L3848" s="548"/>
      <c r="M3848" s="548"/>
      <c r="N3848" s="552"/>
      <c r="Y3848" s="551"/>
    </row>
    <row r="3849" spans="1:25">
      <c r="A3849" s="499">
        <v>45609</v>
      </c>
      <c r="B3849" s="499">
        <v>45609</v>
      </c>
      <c r="C3849" s="500" t="s">
        <v>173</v>
      </c>
      <c r="D3849" s="500" t="s">
        <v>761</v>
      </c>
      <c r="E3849" s="501">
        <v>-430078190.33999997</v>
      </c>
      <c r="F3849" s="502" t="s">
        <v>878</v>
      </c>
      <c r="G3849" s="100">
        <v>114708790</v>
      </c>
      <c r="H3849" s="530"/>
      <c r="I3849" s="525" t="s">
        <v>819</v>
      </c>
      <c r="J3849" s="100"/>
      <c r="K3849" s="548"/>
      <c r="L3849" s="548"/>
      <c r="M3849" s="548"/>
      <c r="N3849" s="552"/>
      <c r="Y3849" s="551"/>
    </row>
    <row r="3850" spans="1:25">
      <c r="A3850" s="499">
        <v>45609</v>
      </c>
      <c r="B3850" s="499">
        <v>45609</v>
      </c>
      <c r="C3850" s="500" t="s">
        <v>173</v>
      </c>
      <c r="D3850" s="500" t="s">
        <v>761</v>
      </c>
      <c r="E3850" s="501">
        <v>-360149535</v>
      </c>
      <c r="F3850" s="502" t="s">
        <v>878</v>
      </c>
      <c r="G3850" s="100">
        <v>114708793</v>
      </c>
      <c r="H3850" s="530"/>
      <c r="I3850" s="525" t="s">
        <v>676</v>
      </c>
      <c r="J3850" s="100"/>
      <c r="K3850" s="548"/>
      <c r="L3850" s="548"/>
      <c r="M3850" s="548"/>
      <c r="N3850" s="552"/>
      <c r="Y3850" s="551"/>
    </row>
    <row r="3851" spans="1:25">
      <c r="A3851" s="499">
        <v>45609</v>
      </c>
      <c r="B3851" s="499">
        <v>45609</v>
      </c>
      <c r="C3851" s="500" t="s">
        <v>173</v>
      </c>
      <c r="D3851" s="500" t="s">
        <v>761</v>
      </c>
      <c r="E3851" s="501">
        <v>-3000210.87</v>
      </c>
      <c r="F3851" s="502" t="s">
        <v>878</v>
      </c>
      <c r="G3851" s="100">
        <v>114708970</v>
      </c>
      <c r="H3851" s="530"/>
      <c r="I3851" s="525" t="s">
        <v>1018</v>
      </c>
      <c r="J3851" s="100"/>
      <c r="K3851" s="548"/>
      <c r="L3851" s="548"/>
      <c r="M3851" s="548"/>
      <c r="N3851" s="552">
        <v>-1</v>
      </c>
      <c r="Y3851" s="551"/>
    </row>
    <row r="3852" spans="1:25">
      <c r="A3852" s="499">
        <v>45609</v>
      </c>
      <c r="B3852" s="499">
        <v>45610</v>
      </c>
      <c r="C3852" s="500" t="s">
        <v>173</v>
      </c>
      <c r="D3852" s="500" t="s">
        <v>761</v>
      </c>
      <c r="E3852" s="501">
        <v>498216080.31</v>
      </c>
      <c r="F3852" s="502" t="s">
        <v>878</v>
      </c>
      <c r="G3852" s="100">
        <v>114707182</v>
      </c>
      <c r="H3852" s="100">
        <v>114707182</v>
      </c>
      <c r="I3852" s="525" t="s">
        <v>646</v>
      </c>
      <c r="J3852" s="100"/>
      <c r="K3852" s="548"/>
      <c r="L3852" s="548"/>
      <c r="M3852" s="548"/>
      <c r="N3852" s="552"/>
      <c r="Y3852" s="551"/>
    </row>
    <row r="3853" spans="1:25">
      <c r="A3853" s="499">
        <v>45609</v>
      </c>
      <c r="B3853" s="499">
        <v>45610</v>
      </c>
      <c r="C3853" s="500" t="s">
        <v>173</v>
      </c>
      <c r="D3853" s="500" t="s">
        <v>761</v>
      </c>
      <c r="E3853" s="501">
        <v>3003023.41</v>
      </c>
      <c r="F3853" s="502" t="s">
        <v>878</v>
      </c>
      <c r="G3853" s="100">
        <v>114708238</v>
      </c>
      <c r="H3853" s="100">
        <v>114708238</v>
      </c>
      <c r="I3853" s="525" t="s">
        <v>689</v>
      </c>
      <c r="J3853" s="100"/>
      <c r="K3853" s="548"/>
      <c r="L3853" s="548"/>
      <c r="M3853" s="548"/>
      <c r="N3853" s="552"/>
      <c r="Y3853" s="551"/>
    </row>
    <row r="3854" spans="1:25">
      <c r="A3854" s="499">
        <v>45609</v>
      </c>
      <c r="B3854" s="499">
        <v>45616</v>
      </c>
      <c r="C3854" s="500" t="s">
        <v>173</v>
      </c>
      <c r="D3854" s="500" t="s">
        <v>761</v>
      </c>
      <c r="E3854" s="501">
        <v>99339119.040000007</v>
      </c>
      <c r="F3854" s="502" t="s">
        <v>878</v>
      </c>
      <c r="G3854" s="100">
        <v>114708754</v>
      </c>
      <c r="H3854" s="100">
        <v>114708754</v>
      </c>
      <c r="I3854" s="525" t="s">
        <v>823</v>
      </c>
      <c r="J3854" s="100"/>
      <c r="K3854" s="548"/>
      <c r="L3854" s="548"/>
      <c r="M3854" s="548"/>
      <c r="N3854" s="552"/>
      <c r="Y3854" s="551"/>
    </row>
    <row r="3855" spans="1:25">
      <c r="A3855" s="499">
        <v>45609</v>
      </c>
      <c r="B3855" s="499">
        <v>45616</v>
      </c>
      <c r="C3855" s="500" t="s">
        <v>173</v>
      </c>
      <c r="D3855" s="500" t="s">
        <v>761</v>
      </c>
      <c r="E3855" s="501">
        <v>431228943.26999998</v>
      </c>
      <c r="F3855" s="502" t="s">
        <v>878</v>
      </c>
      <c r="G3855" s="100">
        <v>114708790</v>
      </c>
      <c r="H3855" s="100">
        <v>114708790</v>
      </c>
      <c r="I3855" s="525" t="s">
        <v>819</v>
      </c>
      <c r="J3855" s="100"/>
      <c r="K3855" s="548"/>
      <c r="L3855" s="548"/>
      <c r="M3855" s="548"/>
      <c r="N3855" s="552"/>
      <c r="Y3855" s="551"/>
    </row>
    <row r="3856" spans="1:25">
      <c r="A3856" s="499">
        <v>45609</v>
      </c>
      <c r="B3856" s="499">
        <v>45616</v>
      </c>
      <c r="C3856" s="500" t="s">
        <v>173</v>
      </c>
      <c r="D3856" s="500" t="s">
        <v>761</v>
      </c>
      <c r="E3856" s="501">
        <v>361113181.00999999</v>
      </c>
      <c r="F3856" s="502" t="s">
        <v>878</v>
      </c>
      <c r="G3856" s="100">
        <v>114708793</v>
      </c>
      <c r="H3856" s="100">
        <v>114708793</v>
      </c>
      <c r="I3856" s="525" t="s">
        <v>676</v>
      </c>
      <c r="J3856" s="100"/>
      <c r="K3856" s="548"/>
      <c r="L3856" s="548"/>
      <c r="M3856" s="548"/>
      <c r="N3856" s="552"/>
      <c r="Y3856" s="551"/>
    </row>
    <row r="3857" spans="1:25">
      <c r="A3857" s="499">
        <v>45609</v>
      </c>
      <c r="B3857" s="499">
        <v>45616</v>
      </c>
      <c r="C3857" s="500" t="s">
        <v>173</v>
      </c>
      <c r="D3857" s="500" t="s">
        <v>761</v>
      </c>
      <c r="E3857" s="501">
        <v>3008176.11</v>
      </c>
      <c r="F3857" s="502" t="s">
        <v>878</v>
      </c>
      <c r="G3857" s="100">
        <v>114708970</v>
      </c>
      <c r="H3857" s="100">
        <v>114708970</v>
      </c>
      <c r="I3857" s="525" t="s">
        <v>1018</v>
      </c>
      <c r="J3857" s="100"/>
      <c r="K3857" s="548"/>
      <c r="L3857" s="548"/>
      <c r="M3857" s="548"/>
      <c r="N3857" s="552"/>
      <c r="Y3857" s="551"/>
    </row>
    <row r="3858" spans="1:25">
      <c r="A3858" s="499">
        <v>45609</v>
      </c>
      <c r="B3858" s="499">
        <v>45609</v>
      </c>
      <c r="C3858" s="500" t="s">
        <v>173</v>
      </c>
      <c r="D3858" s="500" t="s">
        <v>759</v>
      </c>
      <c r="E3858" s="501">
        <v>-1995170080.9300001</v>
      </c>
      <c r="F3858" s="502" t="s">
        <v>878</v>
      </c>
      <c r="G3858" s="100">
        <v>114708561</v>
      </c>
      <c r="H3858" s="530"/>
      <c r="I3858" s="525"/>
      <c r="K3858" s="548"/>
      <c r="L3858" s="548"/>
      <c r="M3858" s="548"/>
      <c r="N3858" s="552"/>
      <c r="Y3858" s="551"/>
    </row>
    <row r="3859" spans="1:25">
      <c r="A3859" s="499">
        <v>45609</v>
      </c>
      <c r="B3859" s="499">
        <v>45609</v>
      </c>
      <c r="C3859" s="500" t="s">
        <v>173</v>
      </c>
      <c r="D3859" s="500" t="s">
        <v>759</v>
      </c>
      <c r="E3859" s="501">
        <v>-8008605.7199999997</v>
      </c>
      <c r="F3859" s="502" t="s">
        <v>878</v>
      </c>
      <c r="G3859" s="100">
        <v>114713169</v>
      </c>
      <c r="H3859" s="530"/>
      <c r="I3859" s="525"/>
      <c r="K3859" s="548"/>
      <c r="L3859" s="548"/>
      <c r="M3859" s="548"/>
      <c r="N3859" s="552"/>
      <c r="Y3859" s="551"/>
    </row>
    <row r="3860" spans="1:25">
      <c r="A3860" s="499">
        <v>45609</v>
      </c>
      <c r="B3860" s="499">
        <v>45610</v>
      </c>
      <c r="C3860" s="500" t="s">
        <v>173</v>
      </c>
      <c r="D3860" s="500" t="s">
        <v>759</v>
      </c>
      <c r="E3860" s="501">
        <v>1995924533.24</v>
      </c>
      <c r="F3860" s="502" t="s">
        <v>878</v>
      </c>
      <c r="G3860" s="100">
        <v>114708561</v>
      </c>
      <c r="H3860" s="530">
        <v>114708561</v>
      </c>
      <c r="I3860" s="525"/>
      <c r="K3860" s="548"/>
      <c r="L3860" s="548"/>
      <c r="M3860" s="548"/>
      <c r="N3860" s="552"/>
      <c r="Y3860" s="551"/>
    </row>
    <row r="3861" spans="1:25">
      <c r="A3861" s="499">
        <v>45609</v>
      </c>
      <c r="B3861" s="499">
        <v>45610</v>
      </c>
      <c r="C3861" s="500" t="s">
        <v>173</v>
      </c>
      <c r="D3861" s="500" t="s">
        <v>759</v>
      </c>
      <c r="E3861" s="501">
        <v>8011592.5800000001</v>
      </c>
      <c r="F3861" s="502" t="s">
        <v>878</v>
      </c>
      <c r="G3861" s="100">
        <v>114713169</v>
      </c>
      <c r="H3861" s="530">
        <v>114713169</v>
      </c>
      <c r="I3861" s="525"/>
      <c r="K3861" s="548"/>
      <c r="L3861" s="548"/>
      <c r="M3861" s="548"/>
      <c r="N3861" s="552"/>
      <c r="Y3861" s="551"/>
    </row>
    <row r="3862" spans="1:25" ht="15">
      <c r="A3862" s="499">
        <v>45609</v>
      </c>
      <c r="B3862" s="507">
        <v>45609</v>
      </c>
      <c r="C3862" s="500" t="s">
        <v>173</v>
      </c>
      <c r="D3862" s="500" t="s">
        <v>760</v>
      </c>
      <c r="E3862" s="501">
        <v>-1260107419.54</v>
      </c>
      <c r="F3862" s="502" t="s">
        <v>878</v>
      </c>
      <c r="G3862" s="100">
        <v>114708570</v>
      </c>
      <c r="H3862" s="530"/>
      <c r="I3862" s="525" t="s">
        <v>633</v>
      </c>
      <c r="J3862" s="532"/>
      <c r="K3862" s="548"/>
      <c r="L3862" s="548"/>
      <c r="M3862" s="548"/>
      <c r="N3862" s="552"/>
      <c r="Y3862" s="551"/>
    </row>
    <row r="3863" spans="1:25" ht="15">
      <c r="A3863" s="499">
        <v>45609</v>
      </c>
      <c r="B3863" s="507">
        <v>45609</v>
      </c>
      <c r="C3863" s="500" t="s">
        <v>173</v>
      </c>
      <c r="D3863" s="500" t="s">
        <v>760</v>
      </c>
      <c r="E3863" s="501">
        <v>-29023174.420000002</v>
      </c>
      <c r="F3863" s="502" t="s">
        <v>878</v>
      </c>
      <c r="G3863" s="100">
        <v>114710828</v>
      </c>
      <c r="H3863" s="530"/>
      <c r="I3863" s="525" t="s">
        <v>686</v>
      </c>
      <c r="J3863" s="532"/>
      <c r="K3863" s="548"/>
      <c r="L3863" s="548"/>
      <c r="M3863" s="548"/>
      <c r="N3863" s="552"/>
      <c r="Y3863" s="551"/>
    </row>
    <row r="3864" spans="1:25" ht="15">
      <c r="A3864" s="499">
        <v>45609</v>
      </c>
      <c r="B3864" s="507">
        <v>45610</v>
      </c>
      <c r="C3864" s="500" t="s">
        <v>173</v>
      </c>
      <c r="D3864" s="500" t="s">
        <v>760</v>
      </c>
      <c r="E3864" s="501">
        <v>1260583919</v>
      </c>
      <c r="F3864" s="502" t="s">
        <v>878</v>
      </c>
      <c r="G3864" s="100">
        <v>114708570</v>
      </c>
      <c r="H3864" s="532">
        <v>114708570</v>
      </c>
      <c r="I3864" s="525" t="s">
        <v>633</v>
      </c>
      <c r="J3864" s="532"/>
      <c r="K3864" s="548"/>
      <c r="L3864" s="548"/>
      <c r="M3864" s="548"/>
      <c r="N3864" s="552"/>
      <c r="Y3864" s="551"/>
    </row>
    <row r="3865" spans="1:25" ht="15">
      <c r="A3865" s="499">
        <v>45609</v>
      </c>
      <c r="B3865" s="507">
        <v>45610</v>
      </c>
      <c r="C3865" s="500" t="s">
        <v>173</v>
      </c>
      <c r="D3865" s="500" t="s">
        <v>760</v>
      </c>
      <c r="E3865" s="501">
        <v>29034228.52</v>
      </c>
      <c r="F3865" s="502" t="s">
        <v>878</v>
      </c>
      <c r="G3865" s="100">
        <v>114710828</v>
      </c>
      <c r="H3865" s="532">
        <v>114710828</v>
      </c>
      <c r="I3865" s="525" t="s">
        <v>686</v>
      </c>
      <c r="J3865" s="532"/>
      <c r="K3865" s="548"/>
      <c r="L3865" s="548"/>
      <c r="M3865" s="548"/>
      <c r="N3865" s="552"/>
      <c r="Y3865" s="551"/>
    </row>
    <row r="3866" spans="1:25" ht="15">
      <c r="A3866" s="499">
        <v>45609</v>
      </c>
      <c r="B3866" s="507">
        <v>45609</v>
      </c>
      <c r="C3866" s="500" t="s">
        <v>173</v>
      </c>
      <c r="D3866" s="452" t="s">
        <v>764</v>
      </c>
      <c r="E3866" s="501">
        <v>-2988210029.5100002</v>
      </c>
      <c r="F3866" s="502" t="s">
        <v>878</v>
      </c>
      <c r="G3866" s="100">
        <v>114707361</v>
      </c>
      <c r="H3866" s="530"/>
      <c r="I3866" s="525"/>
      <c r="K3866" s="548"/>
      <c r="L3866" s="548"/>
      <c r="M3866" s="548"/>
      <c r="N3866" s="552"/>
      <c r="Y3866" s="551"/>
    </row>
    <row r="3867" spans="1:25" ht="15">
      <c r="A3867" s="499">
        <v>45609</v>
      </c>
      <c r="B3867" s="507">
        <v>45609</v>
      </c>
      <c r="C3867" s="500" t="s">
        <v>173</v>
      </c>
      <c r="D3867" s="452" t="s">
        <v>764</v>
      </c>
      <c r="E3867" s="501">
        <v>-12008973.130000001</v>
      </c>
      <c r="F3867" s="502" t="s">
        <v>878</v>
      </c>
      <c r="G3867" s="100">
        <v>114708739</v>
      </c>
      <c r="H3867" s="530"/>
      <c r="I3867" s="525"/>
      <c r="K3867" s="548"/>
      <c r="L3867" s="548"/>
      <c r="M3867" s="548"/>
      <c r="N3867" s="552"/>
      <c r="Y3867" s="551"/>
    </row>
    <row r="3868" spans="1:25" ht="15">
      <c r="A3868" s="499">
        <v>45609</v>
      </c>
      <c r="B3868" s="507">
        <v>45616</v>
      </c>
      <c r="C3868" s="500" t="s">
        <v>173</v>
      </c>
      <c r="D3868" s="452" t="s">
        <v>764</v>
      </c>
      <c r="E3868" s="501">
        <v>2996182671.8400002</v>
      </c>
      <c r="F3868" s="502" t="s">
        <v>878</v>
      </c>
      <c r="G3868" s="100">
        <v>114707361</v>
      </c>
      <c r="H3868" s="100">
        <v>114707361</v>
      </c>
      <c r="I3868" s="525"/>
      <c r="K3868" s="548"/>
      <c r="L3868" s="548"/>
      <c r="M3868" s="548"/>
      <c r="N3868" s="552"/>
      <c r="Y3868" s="551"/>
    </row>
    <row r="3869" spans="1:25" ht="15">
      <c r="A3869" s="499">
        <v>45609</v>
      </c>
      <c r="B3869" s="507">
        <v>45616</v>
      </c>
      <c r="C3869" s="500" t="s">
        <v>173</v>
      </c>
      <c r="D3869" s="452" t="s">
        <v>764</v>
      </c>
      <c r="E3869" s="501">
        <v>12041013.460000001</v>
      </c>
      <c r="F3869" s="502" t="s">
        <v>878</v>
      </c>
      <c r="G3869" s="100">
        <v>114708739</v>
      </c>
      <c r="H3869" s="100">
        <v>114708739</v>
      </c>
      <c r="I3869" s="525"/>
      <c r="K3869" s="548"/>
      <c r="L3869" s="548"/>
      <c r="M3869" s="548"/>
      <c r="N3869" s="552"/>
      <c r="Y3869" s="551"/>
    </row>
    <row r="3870" spans="1:25" ht="15">
      <c r="A3870" s="499">
        <v>45609</v>
      </c>
      <c r="B3870" s="499">
        <v>45609</v>
      </c>
      <c r="C3870" s="500" t="s">
        <v>173</v>
      </c>
      <c r="D3870" s="452" t="s">
        <v>763</v>
      </c>
      <c r="E3870" s="501">
        <v>-2535069370.2800002</v>
      </c>
      <c r="F3870" s="502" t="s">
        <v>878</v>
      </c>
      <c r="G3870" s="100">
        <v>114707032</v>
      </c>
      <c r="H3870" s="530"/>
      <c r="I3870" s="525"/>
      <c r="K3870" s="548"/>
      <c r="L3870" s="548"/>
      <c r="M3870" s="548"/>
      <c r="N3870" s="552"/>
      <c r="Y3870" s="551"/>
    </row>
    <row r="3871" spans="1:25" ht="15">
      <c r="A3871" s="499">
        <v>45609</v>
      </c>
      <c r="B3871" s="499">
        <v>45609</v>
      </c>
      <c r="C3871" s="500" t="s">
        <v>173</v>
      </c>
      <c r="D3871" s="452" t="s">
        <v>763</v>
      </c>
      <c r="E3871" s="501">
        <v>-2906190396.3800001</v>
      </c>
      <c r="F3871" s="502" t="s">
        <v>878</v>
      </c>
      <c r="G3871" s="100">
        <v>114707035</v>
      </c>
      <c r="H3871" s="530"/>
      <c r="I3871" s="525"/>
      <c r="K3871" s="548"/>
      <c r="L3871" s="548"/>
      <c r="M3871" s="548"/>
      <c r="N3871" s="552"/>
      <c r="Y3871" s="551"/>
    </row>
    <row r="3872" spans="1:25" ht="15">
      <c r="A3872" s="499">
        <v>45609</v>
      </c>
      <c r="B3872" s="499">
        <v>45609</v>
      </c>
      <c r="C3872" s="500" t="s">
        <v>173</v>
      </c>
      <c r="D3872" s="452" t="s">
        <v>763</v>
      </c>
      <c r="E3872" s="501">
        <v>-22009015.050000001</v>
      </c>
      <c r="F3872" s="502" t="s">
        <v>878</v>
      </c>
      <c r="G3872" s="100">
        <v>114707059</v>
      </c>
      <c r="H3872" s="530"/>
      <c r="I3872" s="525"/>
      <c r="K3872" s="548"/>
      <c r="L3872" s="548"/>
      <c r="M3872" s="548"/>
      <c r="N3872" s="552"/>
      <c r="Y3872" s="551"/>
    </row>
    <row r="3873" spans="1:25" ht="15">
      <c r="A3873" s="499">
        <v>45609</v>
      </c>
      <c r="B3873" s="499">
        <v>45610</v>
      </c>
      <c r="C3873" s="500" t="s">
        <v>173</v>
      </c>
      <c r="D3873" s="452" t="s">
        <v>763</v>
      </c>
      <c r="E3873" s="501">
        <v>2536014861.1100001</v>
      </c>
      <c r="F3873" s="502" t="s">
        <v>878</v>
      </c>
      <c r="G3873" s="100">
        <v>114707032</v>
      </c>
      <c r="H3873" s="530">
        <v>114707032</v>
      </c>
      <c r="I3873" s="525"/>
      <c r="K3873" s="548"/>
      <c r="L3873" s="548"/>
      <c r="M3873" s="548"/>
      <c r="N3873" s="552"/>
      <c r="Y3873" s="551"/>
    </row>
    <row r="3874" spans="1:25" ht="15">
      <c r="A3874" s="499">
        <v>45609</v>
      </c>
      <c r="B3874" s="499">
        <v>45610</v>
      </c>
      <c r="C3874" s="500" t="s">
        <v>173</v>
      </c>
      <c r="D3874" s="452" t="s">
        <v>763</v>
      </c>
      <c r="E3874" s="501">
        <v>2907274270.4099998</v>
      </c>
      <c r="F3874" s="502" t="s">
        <v>878</v>
      </c>
      <c r="G3874" s="100">
        <v>114707035</v>
      </c>
      <c r="H3874" s="530">
        <v>114707035</v>
      </c>
      <c r="I3874" s="525"/>
      <c r="K3874" s="548"/>
      <c r="L3874" s="548"/>
      <c r="M3874" s="548"/>
      <c r="N3874" s="552"/>
      <c r="Y3874" s="551"/>
    </row>
    <row r="3875" spans="1:25" ht="15">
      <c r="A3875" s="499">
        <v>45609</v>
      </c>
      <c r="B3875" s="499">
        <v>45610</v>
      </c>
      <c r="C3875" s="500" t="s">
        <v>173</v>
      </c>
      <c r="D3875" s="452" t="s">
        <v>763</v>
      </c>
      <c r="E3875" s="501">
        <v>22017223.390000001</v>
      </c>
      <c r="F3875" s="502" t="s">
        <v>878</v>
      </c>
      <c r="G3875" s="100">
        <v>114707059</v>
      </c>
      <c r="H3875" s="530">
        <v>114707059</v>
      </c>
      <c r="I3875" s="525"/>
      <c r="K3875" s="548"/>
      <c r="L3875" s="548"/>
      <c r="M3875" s="548"/>
      <c r="N3875" s="552"/>
      <c r="Y3875" s="551"/>
    </row>
    <row r="3876" spans="1:25" ht="15">
      <c r="A3876" s="499">
        <v>45610</v>
      </c>
      <c r="B3876" s="499">
        <v>45610</v>
      </c>
      <c r="C3876" s="500" t="s">
        <v>173</v>
      </c>
      <c r="D3876" s="452" t="s">
        <v>761</v>
      </c>
      <c r="E3876" s="501">
        <v>-101066061.88</v>
      </c>
      <c r="F3876" s="502" t="s">
        <v>878</v>
      </c>
      <c r="G3876" s="100">
        <v>114727083</v>
      </c>
      <c r="H3876" s="530"/>
      <c r="I3876" s="525"/>
      <c r="K3876" s="548"/>
      <c r="L3876" s="548"/>
      <c r="M3876" s="548"/>
      <c r="N3876" s="552"/>
      <c r="Y3876" s="551"/>
    </row>
    <row r="3877" spans="1:25" ht="15">
      <c r="A3877" s="499">
        <v>45610</v>
      </c>
      <c r="B3877" s="499">
        <v>45610</v>
      </c>
      <c r="C3877" s="500" t="s">
        <v>173</v>
      </c>
      <c r="D3877" s="452" t="s">
        <v>761</v>
      </c>
      <c r="E3877" s="501">
        <v>-178025483.90000001</v>
      </c>
      <c r="F3877" s="502" t="s">
        <v>878</v>
      </c>
      <c r="G3877" s="100">
        <v>114727086</v>
      </c>
      <c r="H3877" s="530"/>
      <c r="I3877" s="525"/>
      <c r="K3877" s="548"/>
      <c r="L3877" s="548"/>
      <c r="M3877" s="548"/>
      <c r="N3877" s="552"/>
      <c r="Y3877" s="551"/>
    </row>
    <row r="3878" spans="1:25" ht="15">
      <c r="A3878" s="499">
        <v>45610</v>
      </c>
      <c r="B3878" s="499">
        <v>45610</v>
      </c>
      <c r="C3878" s="500" t="s">
        <v>173</v>
      </c>
      <c r="D3878" s="452" t="s">
        <v>761</v>
      </c>
      <c r="E3878" s="501">
        <v>-215116592.34999999</v>
      </c>
      <c r="F3878" s="502" t="s">
        <v>878</v>
      </c>
      <c r="G3878" s="100">
        <v>114727089</v>
      </c>
      <c r="H3878" s="530"/>
      <c r="I3878" s="525"/>
      <c r="K3878" s="548"/>
      <c r="L3878" s="548"/>
      <c r="M3878" s="548"/>
      <c r="N3878" s="552"/>
      <c r="Y3878" s="551"/>
    </row>
    <row r="3879" spans="1:25" ht="15">
      <c r="A3879" s="499">
        <v>45610</v>
      </c>
      <c r="B3879" s="499">
        <v>45610</v>
      </c>
      <c r="C3879" s="500" t="s">
        <v>173</v>
      </c>
      <c r="D3879" s="452" t="s">
        <v>761</v>
      </c>
      <c r="E3879" s="501">
        <v>-4000323.26</v>
      </c>
      <c r="F3879" s="502" t="s">
        <v>878</v>
      </c>
      <c r="G3879" s="100">
        <v>114727570</v>
      </c>
      <c r="H3879" s="530"/>
      <c r="I3879" s="525"/>
      <c r="K3879" s="548"/>
      <c r="L3879" s="548"/>
      <c r="M3879" s="548"/>
      <c r="N3879" s="552"/>
      <c r="Y3879" s="551"/>
    </row>
    <row r="3880" spans="1:25" ht="15">
      <c r="A3880" s="499">
        <v>45610</v>
      </c>
      <c r="B3880" s="499">
        <v>45610</v>
      </c>
      <c r="C3880" s="500" t="s">
        <v>173</v>
      </c>
      <c r="D3880" s="452" t="s">
        <v>761</v>
      </c>
      <c r="E3880" s="501">
        <v>-1507805027.3399999</v>
      </c>
      <c r="F3880" s="502" t="s">
        <v>878</v>
      </c>
      <c r="G3880" s="100">
        <v>114727634</v>
      </c>
      <c r="H3880" s="530"/>
      <c r="I3880" s="525"/>
      <c r="K3880" s="548"/>
      <c r="L3880" s="548"/>
      <c r="M3880" s="548"/>
      <c r="N3880" s="552"/>
      <c r="Y3880" s="551"/>
    </row>
    <row r="3881" spans="1:25" ht="15">
      <c r="A3881" s="499">
        <v>45610</v>
      </c>
      <c r="B3881" s="499">
        <v>45610</v>
      </c>
      <c r="C3881" s="500" t="s">
        <v>173</v>
      </c>
      <c r="D3881" s="452" t="s">
        <v>761</v>
      </c>
      <c r="E3881" s="501">
        <v>-7006806.0199999996</v>
      </c>
      <c r="F3881" s="502" t="s">
        <v>878</v>
      </c>
      <c r="G3881" s="100">
        <v>114728314</v>
      </c>
      <c r="H3881" s="530"/>
      <c r="I3881" s="525"/>
      <c r="K3881" s="548"/>
      <c r="L3881" s="548"/>
      <c r="M3881" s="548"/>
      <c r="N3881" s="552"/>
      <c r="Y3881" s="551"/>
    </row>
    <row r="3882" spans="1:25" ht="15">
      <c r="A3882" s="499">
        <v>45610</v>
      </c>
      <c r="B3882" s="499">
        <v>45611</v>
      </c>
      <c r="C3882" s="500" t="s">
        <v>173</v>
      </c>
      <c r="D3882" s="452" t="s">
        <v>761</v>
      </c>
      <c r="E3882" s="501">
        <v>101104168.76000001</v>
      </c>
      <c r="F3882" s="502" t="s">
        <v>878</v>
      </c>
      <c r="G3882" s="100">
        <v>114727083</v>
      </c>
      <c r="H3882" s="530">
        <v>114727083</v>
      </c>
      <c r="I3882" s="525"/>
      <c r="K3882" s="548"/>
      <c r="L3882" s="548"/>
      <c r="M3882" s="548"/>
      <c r="N3882" s="552"/>
      <c r="Y3882" s="551"/>
    </row>
    <row r="3883" spans="1:25" ht="15">
      <c r="A3883" s="499">
        <v>45610</v>
      </c>
      <c r="B3883" s="499">
        <v>45611</v>
      </c>
      <c r="C3883" s="500" t="s">
        <v>173</v>
      </c>
      <c r="D3883" s="452" t="s">
        <v>761</v>
      </c>
      <c r="E3883" s="501">
        <v>178092608.25999999</v>
      </c>
      <c r="F3883" s="502" t="s">
        <v>878</v>
      </c>
      <c r="G3883" s="100">
        <v>114727086</v>
      </c>
      <c r="H3883" s="530">
        <v>114727086</v>
      </c>
      <c r="I3883" s="525"/>
      <c r="K3883" s="548"/>
      <c r="L3883" s="548"/>
      <c r="M3883" s="548"/>
      <c r="N3883" s="552"/>
      <c r="Y3883" s="551"/>
    </row>
    <row r="3884" spans="1:25" ht="15">
      <c r="A3884" s="499">
        <v>45610</v>
      </c>
      <c r="B3884" s="499">
        <v>45611</v>
      </c>
      <c r="C3884" s="500" t="s">
        <v>173</v>
      </c>
      <c r="D3884" s="452" t="s">
        <v>761</v>
      </c>
      <c r="E3884" s="501">
        <v>215197701.88</v>
      </c>
      <c r="F3884" s="502" t="s">
        <v>878</v>
      </c>
      <c r="G3884" s="100">
        <v>114727089</v>
      </c>
      <c r="H3884" s="530">
        <v>114727089</v>
      </c>
      <c r="I3884" s="525"/>
      <c r="K3884" s="548"/>
      <c r="L3884" s="548"/>
      <c r="M3884" s="548"/>
      <c r="N3884" s="552"/>
      <c r="Y3884" s="551"/>
    </row>
    <row r="3885" spans="1:25" ht="15">
      <c r="A3885" s="499">
        <v>45610</v>
      </c>
      <c r="B3885" s="499">
        <v>45611</v>
      </c>
      <c r="C3885" s="500" t="s">
        <v>173</v>
      </c>
      <c r="D3885" s="452" t="s">
        <v>761</v>
      </c>
      <c r="E3885" s="501">
        <v>4001831.58</v>
      </c>
      <c r="F3885" s="502" t="s">
        <v>878</v>
      </c>
      <c r="G3885" s="100">
        <v>114727570</v>
      </c>
      <c r="H3885" s="530">
        <v>114727570</v>
      </c>
      <c r="I3885" s="525"/>
      <c r="K3885" s="548"/>
      <c r="L3885" s="548"/>
      <c r="M3885" s="548"/>
      <c r="N3885" s="552"/>
      <c r="Y3885" s="551"/>
    </row>
    <row r="3886" spans="1:25" ht="15">
      <c r="A3886" s="499">
        <v>45610</v>
      </c>
      <c r="B3886" s="499">
        <v>45617</v>
      </c>
      <c r="C3886" s="500" t="s">
        <v>173</v>
      </c>
      <c r="D3886" s="452" t="s">
        <v>761</v>
      </c>
      <c r="E3886" s="501">
        <v>1511842319.49</v>
      </c>
      <c r="F3886" s="502" t="s">
        <v>878</v>
      </c>
      <c r="G3886" s="100">
        <v>114727634</v>
      </c>
      <c r="H3886" s="530">
        <v>114727634</v>
      </c>
      <c r="I3886" s="525"/>
      <c r="K3886" s="548"/>
      <c r="L3886" s="548"/>
      <c r="M3886" s="548"/>
      <c r="N3886" s="552"/>
      <c r="Y3886" s="551"/>
    </row>
    <row r="3887" spans="1:25" ht="15">
      <c r="A3887" s="499">
        <v>45610</v>
      </c>
      <c r="B3887" s="499">
        <v>45611</v>
      </c>
      <c r="C3887" s="500" t="s">
        <v>173</v>
      </c>
      <c r="D3887" s="452" t="s">
        <v>761</v>
      </c>
      <c r="E3887" s="501">
        <v>7009449.8600000003</v>
      </c>
      <c r="F3887" s="502" t="s">
        <v>878</v>
      </c>
      <c r="G3887" s="100">
        <v>114728314</v>
      </c>
      <c r="H3887" s="530">
        <v>114728314</v>
      </c>
      <c r="I3887" s="525"/>
      <c r="K3887" s="548"/>
      <c r="L3887" s="548"/>
      <c r="M3887" s="548"/>
      <c r="N3887" s="552"/>
      <c r="Y3887" s="551"/>
    </row>
    <row r="3888" spans="1:25" ht="15">
      <c r="A3888" s="499">
        <v>45610</v>
      </c>
      <c r="B3888" s="499">
        <v>45610</v>
      </c>
      <c r="C3888" s="500" t="s">
        <v>173</v>
      </c>
      <c r="D3888" s="452" t="s">
        <v>759</v>
      </c>
      <c r="E3888" s="501">
        <v>-1996874098.3</v>
      </c>
      <c r="F3888" s="502" t="s">
        <v>878</v>
      </c>
      <c r="G3888" s="100">
        <v>114730186</v>
      </c>
      <c r="H3888" s="530"/>
      <c r="I3888" s="525"/>
      <c r="K3888" s="548"/>
      <c r="L3888" s="548"/>
      <c r="M3888" s="548"/>
      <c r="N3888" s="552"/>
      <c r="Y3888" s="551"/>
    </row>
    <row r="3889" spans="1:25" ht="15">
      <c r="A3889" s="499">
        <v>45610</v>
      </c>
      <c r="B3889" s="499">
        <v>45610</v>
      </c>
      <c r="C3889" s="500" t="s">
        <v>173</v>
      </c>
      <c r="D3889" s="452" t="s">
        <v>759</v>
      </c>
      <c r="E3889" s="501">
        <v>-7000812.2800000003</v>
      </c>
      <c r="F3889" s="502" t="s">
        <v>878</v>
      </c>
      <c r="G3889" s="100">
        <v>114733598</v>
      </c>
      <c r="H3889" s="530"/>
      <c r="I3889" s="525"/>
      <c r="K3889" s="548"/>
      <c r="L3889" s="548"/>
      <c r="M3889" s="548"/>
      <c r="N3889" s="552"/>
      <c r="Y3889" s="551"/>
    </row>
    <row r="3890" spans="1:25" ht="15">
      <c r="A3890" s="499">
        <v>45610</v>
      </c>
      <c r="B3890" s="499">
        <v>45611</v>
      </c>
      <c r="C3890" s="500" t="s">
        <v>173</v>
      </c>
      <c r="D3890" s="452" t="s">
        <v>759</v>
      </c>
      <c r="E3890" s="501">
        <v>1997635201.95</v>
      </c>
      <c r="F3890" s="502" t="s">
        <v>878</v>
      </c>
      <c r="G3890" s="100">
        <v>114730186</v>
      </c>
      <c r="H3890" s="530">
        <v>114730186</v>
      </c>
      <c r="I3890" s="525"/>
      <c r="K3890" s="548"/>
      <c r="L3890" s="548"/>
      <c r="M3890" s="548"/>
      <c r="N3890" s="552"/>
      <c r="Y3890" s="551"/>
    </row>
    <row r="3891" spans="1:25" ht="15">
      <c r="A3891" s="499">
        <v>45610</v>
      </c>
      <c r="B3891" s="499">
        <v>45611</v>
      </c>
      <c r="C3891" s="500" t="s">
        <v>173</v>
      </c>
      <c r="D3891" s="452" t="s">
        <v>759</v>
      </c>
      <c r="E3891" s="501">
        <v>7003432.7999999998</v>
      </c>
      <c r="F3891" s="502" t="s">
        <v>878</v>
      </c>
      <c r="G3891" s="100">
        <v>114733598</v>
      </c>
      <c r="H3891" s="530">
        <v>114733598</v>
      </c>
      <c r="I3891" s="525"/>
      <c r="K3891" s="548"/>
      <c r="L3891" s="548"/>
      <c r="M3891" s="548"/>
      <c r="N3891" s="552"/>
      <c r="Y3891" s="551"/>
    </row>
    <row r="3892" spans="1:25">
      <c r="A3892" s="499">
        <v>45610</v>
      </c>
      <c r="B3892" s="499">
        <v>45610</v>
      </c>
      <c r="C3892" s="500" t="s">
        <v>173</v>
      </c>
      <c r="D3892" s="500" t="s">
        <v>760</v>
      </c>
      <c r="E3892" s="501">
        <v>-1260101827.53</v>
      </c>
      <c r="F3892" s="502" t="s">
        <v>878</v>
      </c>
      <c r="G3892" s="100">
        <v>114727585</v>
      </c>
      <c r="H3892" s="530"/>
      <c r="I3892" s="525"/>
      <c r="K3892" s="548"/>
      <c r="L3892" s="548"/>
      <c r="M3892" s="548"/>
      <c r="N3892" s="552"/>
      <c r="Y3892" s="551"/>
    </row>
    <row r="3893" spans="1:25">
      <c r="A3893" s="499">
        <v>45610</v>
      </c>
      <c r="B3893" s="499">
        <v>45610</v>
      </c>
      <c r="C3893" s="500" t="s">
        <v>173</v>
      </c>
      <c r="D3893" s="500" t="s">
        <v>760</v>
      </c>
      <c r="E3893" s="501">
        <v>-29023565.859999999</v>
      </c>
      <c r="F3893" s="502" t="s">
        <v>878</v>
      </c>
      <c r="G3893" s="100">
        <v>114728868</v>
      </c>
      <c r="H3893" s="530"/>
      <c r="I3893" s="525"/>
      <c r="K3893" s="548"/>
      <c r="L3893" s="548"/>
      <c r="M3893" s="548"/>
      <c r="N3893" s="552"/>
      <c r="Y3893" s="551"/>
    </row>
    <row r="3894" spans="1:25">
      <c r="A3894" s="499">
        <v>45610</v>
      </c>
      <c r="B3894" s="499">
        <v>45611</v>
      </c>
      <c r="C3894" s="500" t="s">
        <v>173</v>
      </c>
      <c r="D3894" s="500" t="s">
        <v>760</v>
      </c>
      <c r="E3894" s="501">
        <v>1260582112.24</v>
      </c>
      <c r="F3894" s="502" t="s">
        <v>878</v>
      </c>
      <c r="G3894" s="100">
        <v>114727585</v>
      </c>
      <c r="H3894" s="100">
        <v>114727585</v>
      </c>
      <c r="I3894" s="525"/>
      <c r="K3894" s="548"/>
      <c r="L3894" s="548"/>
      <c r="M3894" s="548"/>
      <c r="N3894" s="552"/>
      <c r="Y3894" s="551"/>
    </row>
    <row r="3895" spans="1:25">
      <c r="A3895" s="499">
        <v>45610</v>
      </c>
      <c r="B3895" s="499">
        <v>45611</v>
      </c>
      <c r="C3895" s="500" t="s">
        <v>173</v>
      </c>
      <c r="D3895" s="500" t="s">
        <v>760</v>
      </c>
      <c r="E3895" s="501">
        <v>29034525.27</v>
      </c>
      <c r="F3895" s="502" t="s">
        <v>878</v>
      </c>
      <c r="G3895" s="100">
        <v>114728868</v>
      </c>
      <c r="H3895" s="100">
        <v>114728868</v>
      </c>
      <c r="I3895" s="525"/>
      <c r="K3895" s="548"/>
      <c r="L3895" s="548"/>
      <c r="M3895" s="548"/>
      <c r="N3895" s="552"/>
      <c r="Y3895" s="551"/>
    </row>
    <row r="3896" spans="1:25">
      <c r="A3896" s="499">
        <v>45610</v>
      </c>
      <c r="B3896" s="499">
        <v>45610</v>
      </c>
      <c r="C3896" s="500" t="s">
        <v>173</v>
      </c>
      <c r="D3896" s="500" t="s">
        <v>763</v>
      </c>
      <c r="E3896" s="501">
        <v>-1312115760.3800001</v>
      </c>
      <c r="F3896" s="502" t="s">
        <v>878</v>
      </c>
      <c r="G3896" s="100">
        <v>114727483</v>
      </c>
      <c r="H3896" s="530"/>
      <c r="I3896" s="525"/>
      <c r="K3896" s="548"/>
      <c r="L3896" s="548"/>
      <c r="M3896" s="548"/>
      <c r="N3896" s="552"/>
      <c r="Y3896" s="551"/>
    </row>
    <row r="3897" spans="1:25">
      <c r="A3897" s="499">
        <v>45610</v>
      </c>
      <c r="B3897" s="499">
        <v>45610</v>
      </c>
      <c r="C3897" s="500" t="s">
        <v>173</v>
      </c>
      <c r="D3897" s="500" t="s">
        <v>763</v>
      </c>
      <c r="E3897" s="501">
        <v>-4130479245.1999998</v>
      </c>
      <c r="F3897" s="502" t="s">
        <v>878</v>
      </c>
      <c r="G3897" s="100">
        <v>114727486</v>
      </c>
      <c r="H3897" s="530"/>
      <c r="I3897" s="525"/>
      <c r="K3897" s="548"/>
      <c r="L3897" s="548"/>
      <c r="M3897" s="548"/>
      <c r="N3897" s="552"/>
      <c r="Y3897" s="551"/>
    </row>
    <row r="3898" spans="1:25">
      <c r="A3898" s="499">
        <v>45610</v>
      </c>
      <c r="B3898" s="499">
        <v>45610</v>
      </c>
      <c r="C3898" s="500" t="s">
        <v>173</v>
      </c>
      <c r="D3898" s="500" t="s">
        <v>763</v>
      </c>
      <c r="E3898" s="501">
        <v>-23015909.379999999</v>
      </c>
      <c r="F3898" s="502" t="s">
        <v>878</v>
      </c>
      <c r="G3898" s="100">
        <v>114727513</v>
      </c>
      <c r="H3898" s="530"/>
      <c r="I3898" s="525"/>
      <c r="K3898" s="548"/>
      <c r="L3898" s="548"/>
      <c r="M3898" s="548"/>
      <c r="N3898" s="552"/>
      <c r="Y3898" s="551"/>
    </row>
    <row r="3899" spans="1:25">
      <c r="A3899" s="499">
        <v>45610</v>
      </c>
      <c r="B3899" s="499">
        <v>45611</v>
      </c>
      <c r="C3899" s="500" t="s">
        <v>173</v>
      </c>
      <c r="D3899" s="500" t="s">
        <v>763</v>
      </c>
      <c r="E3899" s="501">
        <v>1312609080.0599999</v>
      </c>
      <c r="F3899" s="502" t="s">
        <v>878</v>
      </c>
      <c r="G3899" s="100">
        <v>114727483</v>
      </c>
      <c r="H3899" s="530">
        <v>114727483</v>
      </c>
      <c r="I3899" s="525"/>
      <c r="K3899" s="548"/>
      <c r="L3899" s="548"/>
      <c r="M3899" s="548"/>
      <c r="N3899" s="552"/>
      <c r="Y3899" s="551"/>
    </row>
    <row r="3900" spans="1:25">
      <c r="A3900" s="499">
        <v>45610</v>
      </c>
      <c r="B3900" s="499">
        <v>45611</v>
      </c>
      <c r="C3900" s="500" t="s">
        <v>173</v>
      </c>
      <c r="D3900" s="500" t="s">
        <v>763</v>
      </c>
      <c r="E3900" s="501">
        <v>4132032124.8299999</v>
      </c>
      <c r="F3900" s="502" t="s">
        <v>878</v>
      </c>
      <c r="G3900" s="100">
        <v>114727486</v>
      </c>
      <c r="H3900" s="530">
        <v>114727486</v>
      </c>
      <c r="I3900" s="525"/>
      <c r="K3900" s="548"/>
      <c r="L3900" s="548"/>
      <c r="M3900" s="548"/>
      <c r="N3900" s="552"/>
      <c r="Y3900" s="551"/>
    </row>
    <row r="3901" spans="1:25">
      <c r="A3901" s="499">
        <v>45610</v>
      </c>
      <c r="B3901" s="499">
        <v>45611</v>
      </c>
      <c r="C3901" s="500" t="s">
        <v>173</v>
      </c>
      <c r="D3901" s="500" t="s">
        <v>763</v>
      </c>
      <c r="E3901" s="501">
        <v>23024568.640000001</v>
      </c>
      <c r="F3901" s="502" t="s">
        <v>878</v>
      </c>
      <c r="G3901" s="100">
        <v>114727513</v>
      </c>
      <c r="H3901" s="530">
        <v>114727513</v>
      </c>
      <c r="I3901" s="525"/>
      <c r="K3901" s="548"/>
      <c r="L3901" s="548"/>
      <c r="M3901" s="548"/>
      <c r="N3901" s="552"/>
      <c r="Y3901" s="551"/>
    </row>
    <row r="3902" spans="1:25" ht="15">
      <c r="A3902" s="499">
        <v>45611</v>
      </c>
      <c r="B3902" s="499">
        <v>45611</v>
      </c>
      <c r="C3902" s="500" t="s">
        <v>173</v>
      </c>
      <c r="D3902" s="452" t="s">
        <v>761</v>
      </c>
      <c r="E3902" s="501">
        <v>-504022970</v>
      </c>
      <c r="F3902" s="502" t="s">
        <v>878</v>
      </c>
      <c r="G3902" s="100">
        <v>114749342</v>
      </c>
      <c r="H3902" s="530"/>
      <c r="I3902" s="525"/>
      <c r="K3902" s="548"/>
      <c r="L3902" s="548"/>
      <c r="M3902" s="548"/>
      <c r="N3902" s="552"/>
      <c r="Y3902" s="551"/>
    </row>
    <row r="3903" spans="1:25" ht="15">
      <c r="A3903" s="499">
        <v>45611</v>
      </c>
      <c r="B3903" s="499">
        <v>45611</v>
      </c>
      <c r="C3903" s="500" t="s">
        <v>173</v>
      </c>
      <c r="D3903" s="452" t="s">
        <v>761</v>
      </c>
      <c r="E3903" s="501">
        <v>-2000269.08</v>
      </c>
      <c r="F3903" s="502" t="s">
        <v>878</v>
      </c>
      <c r="G3903" s="100">
        <v>114750266</v>
      </c>
      <c r="H3903" s="530"/>
      <c r="I3903" s="525"/>
      <c r="K3903" s="548"/>
      <c r="L3903" s="548"/>
      <c r="M3903" s="548"/>
      <c r="N3903" s="552"/>
      <c r="Y3903" s="551"/>
    </row>
    <row r="3904" spans="1:25" ht="15">
      <c r="A3904" s="499">
        <v>45611</v>
      </c>
      <c r="B3904" s="499">
        <v>45614</v>
      </c>
      <c r="C3904" s="500" t="s">
        <v>173</v>
      </c>
      <c r="D3904" s="452" t="s">
        <v>761</v>
      </c>
      <c r="E3904" s="501">
        <v>504588963.00999999</v>
      </c>
      <c r="F3904" s="502" t="s">
        <v>878</v>
      </c>
      <c r="G3904" s="100">
        <v>114749342</v>
      </c>
      <c r="H3904" s="100">
        <v>114749342</v>
      </c>
      <c r="I3904" s="525"/>
      <c r="K3904" s="548"/>
      <c r="L3904" s="548"/>
      <c r="M3904" s="548"/>
      <c r="N3904" s="552"/>
      <c r="Y3904" s="551"/>
    </row>
    <row r="3905" spans="1:25" ht="15">
      <c r="A3905" s="499">
        <v>45611</v>
      </c>
      <c r="B3905" s="499">
        <v>45614</v>
      </c>
      <c r="C3905" s="500" t="s">
        <v>173</v>
      </c>
      <c r="D3905" s="452" t="s">
        <v>761</v>
      </c>
      <c r="E3905" s="501">
        <v>2002515.3</v>
      </c>
      <c r="F3905" s="502" t="s">
        <v>878</v>
      </c>
      <c r="G3905" s="100">
        <v>114750266</v>
      </c>
      <c r="H3905" s="100">
        <v>114750266</v>
      </c>
      <c r="I3905" s="525"/>
      <c r="K3905" s="548"/>
      <c r="L3905" s="548"/>
      <c r="M3905" s="548"/>
      <c r="N3905" s="552"/>
      <c r="Y3905" s="551"/>
    </row>
    <row r="3906" spans="1:25" ht="15">
      <c r="A3906" s="499">
        <v>45611</v>
      </c>
      <c r="B3906" s="499">
        <v>45611</v>
      </c>
      <c r="C3906" s="500" t="s">
        <v>173</v>
      </c>
      <c r="D3906" s="452" t="s">
        <v>763</v>
      </c>
      <c r="E3906" s="501">
        <v>-451369010</v>
      </c>
      <c r="F3906" s="502" t="s">
        <v>878</v>
      </c>
      <c r="G3906" s="100">
        <v>114747606</v>
      </c>
      <c r="H3906" s="530"/>
      <c r="I3906" s="525"/>
      <c r="K3906" s="548"/>
      <c r="L3906" s="548"/>
      <c r="M3906" s="548"/>
      <c r="N3906" s="552"/>
      <c r="Y3906" s="551"/>
    </row>
    <row r="3907" spans="1:25" ht="15">
      <c r="A3907" s="499">
        <v>45611</v>
      </c>
      <c r="B3907" s="499">
        <v>45611</v>
      </c>
      <c r="C3907" s="500" t="s">
        <v>173</v>
      </c>
      <c r="D3907" s="452" t="s">
        <v>763</v>
      </c>
      <c r="E3907" s="501">
        <v>-96008057.859999999</v>
      </c>
      <c r="F3907" s="502" t="s">
        <v>878</v>
      </c>
      <c r="G3907" s="100">
        <v>114747609</v>
      </c>
      <c r="H3907" s="530"/>
      <c r="I3907" s="525"/>
      <c r="K3907" s="548"/>
      <c r="L3907" s="548"/>
      <c r="M3907" s="548"/>
      <c r="N3907" s="552"/>
      <c r="Y3907" s="551"/>
    </row>
    <row r="3908" spans="1:25" ht="15">
      <c r="A3908" s="499">
        <v>45611</v>
      </c>
      <c r="B3908" s="499">
        <v>45611</v>
      </c>
      <c r="C3908" s="500" t="s">
        <v>173</v>
      </c>
      <c r="D3908" s="452" t="s">
        <v>763</v>
      </c>
      <c r="E3908" s="501">
        <v>-112125634.31999999</v>
      </c>
      <c r="F3908" s="502" t="s">
        <v>878</v>
      </c>
      <c r="G3908" s="100">
        <v>114747612</v>
      </c>
      <c r="H3908" s="530"/>
      <c r="I3908" s="525"/>
      <c r="K3908" s="548"/>
      <c r="L3908" s="548"/>
      <c r="M3908" s="548"/>
      <c r="N3908" s="552"/>
      <c r="Y3908" s="551"/>
    </row>
    <row r="3909" spans="1:25" ht="15">
      <c r="A3909" s="499">
        <v>45611</v>
      </c>
      <c r="B3909" s="499">
        <v>45611</v>
      </c>
      <c r="C3909" s="500" t="s">
        <v>173</v>
      </c>
      <c r="D3909" s="452" t="s">
        <v>763</v>
      </c>
      <c r="E3909" s="501">
        <v>-17016171.489999998</v>
      </c>
      <c r="F3909" s="502" t="s">
        <v>878</v>
      </c>
      <c r="G3909" s="100">
        <v>114747615</v>
      </c>
      <c r="H3909" s="530"/>
      <c r="I3909" s="525"/>
      <c r="K3909" s="548"/>
      <c r="L3909" s="548"/>
      <c r="M3909" s="548"/>
      <c r="N3909" s="552"/>
      <c r="Y3909" s="551"/>
    </row>
    <row r="3910" spans="1:25" ht="15">
      <c r="A3910" s="499">
        <v>45611</v>
      </c>
      <c r="B3910" s="499">
        <v>45611</v>
      </c>
      <c r="C3910" s="500" t="s">
        <v>173</v>
      </c>
      <c r="D3910" s="452" t="s">
        <v>763</v>
      </c>
      <c r="E3910" s="501">
        <v>-2717473233.48</v>
      </c>
      <c r="F3910" s="502" t="s">
        <v>878</v>
      </c>
      <c r="G3910" s="100">
        <v>114747618</v>
      </c>
      <c r="H3910" s="530"/>
      <c r="I3910" s="525"/>
      <c r="K3910" s="548"/>
      <c r="L3910" s="548"/>
      <c r="M3910" s="548"/>
      <c r="N3910" s="552"/>
      <c r="Y3910" s="551"/>
    </row>
    <row r="3911" spans="1:25" ht="15">
      <c r="A3911" s="499">
        <v>45611</v>
      </c>
      <c r="B3911" s="499">
        <v>45611</v>
      </c>
      <c r="C3911" s="500" t="s">
        <v>173</v>
      </c>
      <c r="D3911" s="452" t="s">
        <v>763</v>
      </c>
      <c r="E3911" s="501">
        <v>-2052616589.0599999</v>
      </c>
      <c r="F3911" s="502" t="s">
        <v>878</v>
      </c>
      <c r="G3911" s="100">
        <v>114747621</v>
      </c>
      <c r="H3911" s="530"/>
      <c r="I3911" s="525"/>
      <c r="K3911" s="548"/>
      <c r="L3911" s="548"/>
      <c r="M3911" s="548"/>
      <c r="N3911" s="552"/>
      <c r="Y3911" s="551"/>
    </row>
    <row r="3912" spans="1:25" ht="15">
      <c r="A3912" s="499">
        <v>45611</v>
      </c>
      <c r="B3912" s="499">
        <v>45611</v>
      </c>
      <c r="C3912" s="500" t="s">
        <v>173</v>
      </c>
      <c r="D3912" s="452" t="s">
        <v>763</v>
      </c>
      <c r="E3912" s="501">
        <v>-21006310.120000001</v>
      </c>
      <c r="F3912" s="502" t="s">
        <v>878</v>
      </c>
      <c r="G3912" s="100">
        <v>114747658</v>
      </c>
      <c r="H3912" s="530"/>
      <c r="I3912" s="525"/>
      <c r="K3912" s="548"/>
      <c r="L3912" s="548"/>
      <c r="M3912" s="548"/>
      <c r="N3912" s="552"/>
      <c r="Y3912" s="551"/>
    </row>
    <row r="3913" spans="1:25" ht="15">
      <c r="A3913" s="499">
        <v>45611</v>
      </c>
      <c r="B3913" s="499">
        <v>45614</v>
      </c>
      <c r="C3913" s="500" t="s">
        <v>173</v>
      </c>
      <c r="D3913" s="452" t="s">
        <v>763</v>
      </c>
      <c r="E3913" s="501">
        <v>451872915.39999998</v>
      </c>
      <c r="F3913" s="502" t="s">
        <v>878</v>
      </c>
      <c r="G3913" s="100">
        <v>114747606</v>
      </c>
      <c r="H3913" s="530">
        <v>114747606</v>
      </c>
      <c r="I3913" s="525"/>
      <c r="K3913" s="548"/>
      <c r="L3913" s="548"/>
      <c r="M3913" s="548"/>
      <c r="N3913" s="552"/>
      <c r="Y3913" s="551"/>
    </row>
    <row r="3914" spans="1:25" ht="15">
      <c r="A3914" s="499">
        <v>45611</v>
      </c>
      <c r="B3914" s="499">
        <v>45614</v>
      </c>
      <c r="C3914" s="500" t="s">
        <v>173</v>
      </c>
      <c r="D3914" s="452" t="s">
        <v>763</v>
      </c>
      <c r="E3914" s="501">
        <v>96115240.629999995</v>
      </c>
      <c r="F3914" s="502" t="s">
        <v>878</v>
      </c>
      <c r="G3914" s="100">
        <v>114747609</v>
      </c>
      <c r="H3914" s="530">
        <v>114747609</v>
      </c>
      <c r="I3914" s="525"/>
      <c r="K3914" s="548"/>
      <c r="L3914" s="548"/>
      <c r="M3914" s="548"/>
      <c r="N3914" s="552"/>
      <c r="Y3914" s="551"/>
    </row>
    <row r="3915" spans="1:25" ht="15">
      <c r="A3915" s="499">
        <v>45611</v>
      </c>
      <c r="B3915" s="499">
        <v>45614</v>
      </c>
      <c r="C3915" s="500" t="s">
        <v>173</v>
      </c>
      <c r="D3915" s="452" t="s">
        <v>763</v>
      </c>
      <c r="E3915" s="501">
        <v>112250810.64</v>
      </c>
      <c r="F3915" s="502" t="s">
        <v>878</v>
      </c>
      <c r="G3915" s="100">
        <v>114747612</v>
      </c>
      <c r="H3915" s="530">
        <v>114747612</v>
      </c>
      <c r="I3915" s="525"/>
      <c r="K3915" s="548"/>
      <c r="L3915" s="548"/>
      <c r="M3915" s="548"/>
      <c r="N3915" s="552"/>
      <c r="Y3915" s="551"/>
    </row>
    <row r="3916" spans="1:25" ht="15">
      <c r="A3916" s="499">
        <v>45611</v>
      </c>
      <c r="B3916" s="499">
        <v>45614</v>
      </c>
      <c r="C3916" s="500" t="s">
        <v>173</v>
      </c>
      <c r="D3916" s="452" t="s">
        <v>763</v>
      </c>
      <c r="E3916" s="501">
        <v>17035168.23</v>
      </c>
      <c r="F3916" s="502" t="s">
        <v>878</v>
      </c>
      <c r="G3916" s="100">
        <v>114747615</v>
      </c>
      <c r="H3916" s="530">
        <v>114747615</v>
      </c>
      <c r="I3916" s="525"/>
      <c r="K3916" s="548"/>
      <c r="L3916" s="548"/>
      <c r="M3916" s="548"/>
      <c r="N3916" s="552"/>
      <c r="Y3916" s="551"/>
    </row>
    <row r="3917" spans="1:25" ht="15">
      <c r="A3917" s="499">
        <v>45611</v>
      </c>
      <c r="B3917" s="499">
        <v>45614</v>
      </c>
      <c r="C3917" s="500" t="s">
        <v>173</v>
      </c>
      <c r="D3917" s="452" t="s">
        <v>763</v>
      </c>
      <c r="E3917" s="501">
        <v>2720507002.7800002</v>
      </c>
      <c r="F3917" s="502" t="s">
        <v>878</v>
      </c>
      <c r="G3917" s="100">
        <v>114747618</v>
      </c>
      <c r="H3917" s="530">
        <v>114747618</v>
      </c>
      <c r="I3917" s="525"/>
      <c r="K3917" s="548"/>
      <c r="L3917" s="548"/>
      <c r="M3917" s="548"/>
      <c r="N3917" s="552"/>
      <c r="Y3917" s="551"/>
    </row>
    <row r="3918" spans="1:25" ht="15">
      <c r="A3918" s="499">
        <v>45611</v>
      </c>
      <c r="B3918" s="499">
        <v>45614</v>
      </c>
      <c r="C3918" s="500" t="s">
        <v>173</v>
      </c>
      <c r="D3918" s="452" t="s">
        <v>763</v>
      </c>
      <c r="E3918" s="501">
        <v>2054908116.76</v>
      </c>
      <c r="F3918" s="502" t="s">
        <v>878</v>
      </c>
      <c r="G3918" s="100">
        <v>114747621</v>
      </c>
      <c r="H3918" s="530">
        <v>114747621</v>
      </c>
      <c r="I3918" s="525"/>
      <c r="K3918" s="548"/>
      <c r="L3918" s="548"/>
      <c r="M3918" s="548"/>
      <c r="N3918" s="552"/>
      <c r="Y3918" s="551"/>
    </row>
    <row r="3919" spans="1:25" ht="15">
      <c r="A3919" s="499">
        <v>45611</v>
      </c>
      <c r="B3919" s="499">
        <v>45614</v>
      </c>
      <c r="C3919" s="500" t="s">
        <v>173</v>
      </c>
      <c r="D3919" s="452" t="s">
        <v>763</v>
      </c>
      <c r="E3919" s="501">
        <v>21029761.43</v>
      </c>
      <c r="F3919" s="502" t="s">
        <v>878</v>
      </c>
      <c r="G3919" s="100">
        <v>114747658</v>
      </c>
      <c r="H3919" s="530">
        <v>114747658</v>
      </c>
      <c r="I3919" s="525"/>
      <c r="K3919" s="548"/>
      <c r="L3919" s="548"/>
      <c r="M3919" s="548"/>
      <c r="N3919" s="552"/>
      <c r="Y3919" s="551"/>
    </row>
    <row r="3920" spans="1:25" ht="15">
      <c r="A3920" s="499">
        <v>45611</v>
      </c>
      <c r="B3920" s="499">
        <v>45611</v>
      </c>
      <c r="C3920" s="500" t="s">
        <v>173</v>
      </c>
      <c r="D3920" s="452" t="s">
        <v>760</v>
      </c>
      <c r="E3920" s="501">
        <v>-1260422503.2</v>
      </c>
      <c r="F3920" s="502" t="s">
        <v>878</v>
      </c>
      <c r="G3920" s="100">
        <v>114746344</v>
      </c>
      <c r="H3920" s="530"/>
      <c r="I3920" s="525"/>
      <c r="K3920" s="548"/>
      <c r="L3920" s="548"/>
      <c r="M3920" s="548"/>
      <c r="N3920" s="552"/>
      <c r="Y3920" s="551"/>
    </row>
    <row r="3921" spans="1:25" ht="15">
      <c r="A3921" s="499">
        <v>45611</v>
      </c>
      <c r="B3921" s="499">
        <v>45611</v>
      </c>
      <c r="C3921" s="500" t="s">
        <v>173</v>
      </c>
      <c r="D3921" s="452" t="s">
        <v>760</v>
      </c>
      <c r="E3921" s="501">
        <v>-32001947.140000001</v>
      </c>
      <c r="F3921" s="502" t="s">
        <v>878</v>
      </c>
      <c r="G3921" s="100">
        <v>114747808</v>
      </c>
      <c r="H3921" s="530"/>
      <c r="I3921" s="525"/>
      <c r="K3921" s="548"/>
      <c r="L3921" s="548"/>
      <c r="M3921" s="548"/>
      <c r="N3921" s="552"/>
      <c r="Y3921" s="551"/>
    </row>
    <row r="3922" spans="1:25" ht="15">
      <c r="A3922" s="499">
        <v>45611</v>
      </c>
      <c r="B3922" s="499">
        <v>45614</v>
      </c>
      <c r="C3922" s="500" t="s">
        <v>173</v>
      </c>
      <c r="D3922" s="452" t="s">
        <v>760</v>
      </c>
      <c r="E3922" s="501">
        <v>1261848216.6800001</v>
      </c>
      <c r="F3922" s="502" t="s">
        <v>878</v>
      </c>
      <c r="G3922" s="100">
        <v>114746344</v>
      </c>
      <c r="H3922" s="100">
        <v>114746344</v>
      </c>
      <c r="I3922" s="525"/>
      <c r="K3922" s="548"/>
      <c r="L3922" s="548"/>
      <c r="M3922" s="548"/>
      <c r="N3922" s="552"/>
      <c r="Y3922" s="551"/>
    </row>
    <row r="3923" spans="1:25" ht="15">
      <c r="A3923" s="499">
        <v>45611</v>
      </c>
      <c r="B3923" s="499">
        <v>45614</v>
      </c>
      <c r="C3923" s="500" t="s">
        <v>173</v>
      </c>
      <c r="D3923" s="452" t="s">
        <v>760</v>
      </c>
      <c r="E3923" s="501">
        <v>32037883.75</v>
      </c>
      <c r="F3923" s="502" t="s">
        <v>878</v>
      </c>
      <c r="G3923" s="100">
        <v>114747808</v>
      </c>
      <c r="H3923" s="100">
        <v>114747808</v>
      </c>
      <c r="I3923" s="525"/>
      <c r="K3923" s="548"/>
      <c r="L3923" s="548"/>
      <c r="M3923" s="548"/>
      <c r="N3923" s="552"/>
      <c r="Y3923" s="551"/>
    </row>
    <row r="3924" spans="1:25" ht="15">
      <c r="A3924" s="499">
        <v>45611</v>
      </c>
      <c r="B3924" s="499">
        <v>45611</v>
      </c>
      <c r="C3924" s="500" t="s">
        <v>173</v>
      </c>
      <c r="D3924" s="452" t="s">
        <v>759</v>
      </c>
      <c r="E3924" s="501">
        <v>-1997121513.46</v>
      </c>
      <c r="F3924" s="502" t="s">
        <v>878</v>
      </c>
      <c r="G3924" s="100">
        <v>114751929</v>
      </c>
      <c r="H3924" s="530"/>
      <c r="I3924" s="525"/>
      <c r="K3924" s="548"/>
      <c r="L3924" s="548"/>
      <c r="M3924" s="548"/>
      <c r="N3924" s="552"/>
      <c r="Y3924" s="551"/>
    </row>
    <row r="3925" spans="1:25" ht="15">
      <c r="A3925" s="499">
        <v>45611</v>
      </c>
      <c r="B3925" s="499">
        <v>45611</v>
      </c>
      <c r="C3925" s="500" t="s">
        <v>173</v>
      </c>
      <c r="D3925" s="452" t="s">
        <v>759</v>
      </c>
      <c r="E3925" s="501">
        <v>-8000783.0300000003</v>
      </c>
      <c r="F3925" s="502" t="s">
        <v>878</v>
      </c>
      <c r="G3925" s="100">
        <v>114755930</v>
      </c>
      <c r="H3925" s="530"/>
      <c r="I3925" s="525"/>
      <c r="K3925" s="548"/>
      <c r="L3925" s="548"/>
      <c r="M3925" s="548"/>
      <c r="N3925" s="552"/>
      <c r="Y3925" s="551"/>
    </row>
    <row r="3926" spans="1:25" ht="15">
      <c r="A3926" s="499">
        <v>45611</v>
      </c>
      <c r="B3926" s="499">
        <v>45614</v>
      </c>
      <c r="C3926" s="500" t="s">
        <v>173</v>
      </c>
      <c r="D3926" s="452" t="s">
        <v>759</v>
      </c>
      <c r="E3926" s="501">
        <v>1999380552.55</v>
      </c>
      <c r="F3926" s="502" t="s">
        <v>878</v>
      </c>
      <c r="G3926" s="100">
        <v>114751929</v>
      </c>
      <c r="H3926" s="100">
        <v>114751929</v>
      </c>
      <c r="I3926" s="525"/>
      <c r="K3926" s="548"/>
      <c r="L3926" s="548"/>
      <c r="M3926" s="548"/>
      <c r="N3926" s="552"/>
      <c r="Y3926" s="551"/>
    </row>
    <row r="3927" spans="1:25" ht="15">
      <c r="A3927" s="499">
        <v>45611</v>
      </c>
      <c r="B3927" s="499">
        <v>45614</v>
      </c>
      <c r="C3927" s="500" t="s">
        <v>173</v>
      </c>
      <c r="D3927" s="452" t="s">
        <v>759</v>
      </c>
      <c r="E3927" s="501">
        <v>8009374.0300000003</v>
      </c>
      <c r="F3927" s="502" t="s">
        <v>878</v>
      </c>
      <c r="G3927" s="100">
        <v>114755930</v>
      </c>
      <c r="H3927" s="100">
        <v>114755930</v>
      </c>
      <c r="I3927" s="525"/>
      <c r="K3927" s="548"/>
      <c r="L3927" s="548"/>
      <c r="M3927" s="548"/>
      <c r="N3927" s="552"/>
      <c r="Y3927" s="551"/>
    </row>
    <row r="3928" spans="1:25" ht="15">
      <c r="A3928" s="499">
        <v>45614</v>
      </c>
      <c r="B3928" s="499">
        <v>45614</v>
      </c>
      <c r="C3928" s="500" t="s">
        <v>173</v>
      </c>
      <c r="D3928" s="452" t="s">
        <v>761</v>
      </c>
      <c r="E3928" s="501">
        <v>-504113610.26999998</v>
      </c>
      <c r="F3928" s="502" t="s">
        <v>878</v>
      </c>
      <c r="G3928" s="100">
        <v>114764700</v>
      </c>
      <c r="H3928" s="530"/>
      <c r="I3928" s="525"/>
      <c r="K3928" s="548"/>
      <c r="L3928" s="548"/>
      <c r="M3928" s="548"/>
      <c r="N3928" s="552"/>
      <c r="Y3928" s="551"/>
    </row>
    <row r="3929" spans="1:25" ht="15">
      <c r="A3929" s="499">
        <v>45614</v>
      </c>
      <c r="B3929" s="499">
        <v>45614</v>
      </c>
      <c r="C3929" s="500" t="s">
        <v>173</v>
      </c>
      <c r="D3929" s="452" t="s">
        <v>761</v>
      </c>
      <c r="E3929" s="501">
        <v>-2000450.83</v>
      </c>
      <c r="F3929" s="502" t="s">
        <v>878</v>
      </c>
      <c r="G3929" s="100">
        <v>114766497</v>
      </c>
      <c r="H3929" s="530"/>
      <c r="I3929" s="525"/>
      <c r="K3929" s="548"/>
      <c r="L3929" s="548"/>
      <c r="M3929" s="548"/>
      <c r="N3929" s="552"/>
      <c r="Y3929" s="551"/>
    </row>
    <row r="3930" spans="1:25" ht="15">
      <c r="A3930" s="499">
        <v>45614</v>
      </c>
      <c r="B3930" s="499">
        <v>45615</v>
      </c>
      <c r="C3930" s="500" t="s">
        <v>173</v>
      </c>
      <c r="D3930" s="452" t="s">
        <v>761</v>
      </c>
      <c r="E3930" s="501">
        <v>504302859.48000002</v>
      </c>
      <c r="F3930" s="502" t="s">
        <v>878</v>
      </c>
      <c r="G3930" s="100">
        <v>114764700</v>
      </c>
      <c r="H3930" s="530">
        <v>114764700</v>
      </c>
      <c r="I3930" s="525"/>
      <c r="K3930" s="548"/>
      <c r="L3930" s="548"/>
      <c r="M3930" s="548"/>
      <c r="N3930" s="552"/>
      <c r="Y3930" s="551"/>
    </row>
    <row r="3931" spans="1:25" ht="15">
      <c r="A3931" s="499">
        <v>45614</v>
      </c>
      <c r="B3931" s="499">
        <v>45615</v>
      </c>
      <c r="C3931" s="500" t="s">
        <v>173</v>
      </c>
      <c r="D3931" s="452" t="s">
        <v>761</v>
      </c>
      <c r="E3931" s="501">
        <v>2001199.63</v>
      </c>
      <c r="F3931" s="502" t="s">
        <v>878</v>
      </c>
      <c r="G3931" s="100">
        <v>114766497</v>
      </c>
      <c r="H3931" s="530">
        <v>114766497</v>
      </c>
      <c r="I3931" s="525"/>
      <c r="K3931" s="548"/>
      <c r="L3931" s="548"/>
      <c r="M3931" s="548"/>
      <c r="N3931" s="552"/>
      <c r="Y3931" s="551"/>
    </row>
    <row r="3932" spans="1:25" ht="15">
      <c r="A3932" s="499">
        <v>45614</v>
      </c>
      <c r="B3932" s="499">
        <v>45614</v>
      </c>
      <c r="C3932" s="500" t="s">
        <v>173</v>
      </c>
      <c r="D3932" s="452" t="s">
        <v>759</v>
      </c>
      <c r="E3932" s="501">
        <v>-1992449031.0599999</v>
      </c>
      <c r="F3932" s="502" t="s">
        <v>878</v>
      </c>
      <c r="G3932" s="100">
        <v>114764694</v>
      </c>
      <c r="H3932" s="530"/>
      <c r="I3932" s="525"/>
      <c r="K3932" s="548"/>
      <c r="L3932" s="548"/>
      <c r="M3932" s="548"/>
      <c r="N3932" s="552"/>
      <c r="Y3932" s="551"/>
    </row>
    <row r="3933" spans="1:25" ht="15">
      <c r="A3933" s="499">
        <v>45614</v>
      </c>
      <c r="B3933" s="499">
        <v>45614</v>
      </c>
      <c r="C3933" s="500" t="s">
        <v>173</v>
      </c>
      <c r="D3933" s="452" t="s">
        <v>759</v>
      </c>
      <c r="E3933" s="501">
        <v>-7003472.8799999999</v>
      </c>
      <c r="F3933" s="502" t="s">
        <v>878</v>
      </c>
      <c r="G3933" s="100">
        <v>114764731</v>
      </c>
      <c r="H3933" s="530"/>
      <c r="I3933" s="525"/>
      <c r="K3933" s="548"/>
      <c r="L3933" s="548"/>
      <c r="M3933" s="548"/>
      <c r="N3933" s="552"/>
      <c r="Y3933" s="551"/>
    </row>
    <row r="3934" spans="1:25" ht="15">
      <c r="A3934" s="499">
        <v>45614</v>
      </c>
      <c r="B3934" s="499">
        <v>45614</v>
      </c>
      <c r="C3934" s="500" t="s">
        <v>173</v>
      </c>
      <c r="D3934" s="452" t="s">
        <v>759</v>
      </c>
      <c r="E3934" s="501">
        <v>-3858479800.5599999</v>
      </c>
      <c r="F3934" s="502" t="s">
        <v>878</v>
      </c>
      <c r="G3934" s="100">
        <v>114764770</v>
      </c>
      <c r="H3934" s="530"/>
      <c r="I3934" s="525"/>
      <c r="K3934" s="548"/>
      <c r="L3934" s="548"/>
      <c r="M3934" s="548"/>
      <c r="N3934" s="552"/>
      <c r="Y3934" s="551"/>
    </row>
    <row r="3935" spans="1:25" ht="15">
      <c r="A3935" s="499">
        <v>45614</v>
      </c>
      <c r="B3935" s="499">
        <v>45614</v>
      </c>
      <c r="C3935" s="500" t="s">
        <v>173</v>
      </c>
      <c r="D3935" s="452" t="s">
        <v>759</v>
      </c>
      <c r="E3935" s="501">
        <v>-12010832.060000001</v>
      </c>
      <c r="F3935" s="502" t="s">
        <v>878</v>
      </c>
      <c r="G3935" s="100">
        <v>114764813</v>
      </c>
      <c r="H3935" s="530"/>
      <c r="I3935" s="525"/>
      <c r="K3935" s="548"/>
      <c r="L3935" s="548"/>
      <c r="M3935" s="548"/>
      <c r="N3935" s="552"/>
      <c r="Y3935" s="551"/>
    </row>
    <row r="3936" spans="1:25" ht="15">
      <c r="A3936" s="499">
        <v>45614</v>
      </c>
      <c r="B3936" s="499">
        <v>45615</v>
      </c>
      <c r="C3936" s="500" t="s">
        <v>173</v>
      </c>
      <c r="D3936" s="452" t="s">
        <v>759</v>
      </c>
      <c r="E3936" s="501">
        <v>1993195382.8699999</v>
      </c>
      <c r="F3936" s="502" t="s">
        <v>878</v>
      </c>
      <c r="G3936" s="100">
        <v>114764694</v>
      </c>
      <c r="H3936" s="530">
        <v>114764694</v>
      </c>
      <c r="I3936" s="525"/>
      <c r="K3936" s="548"/>
      <c r="L3936" s="548"/>
      <c r="M3936" s="548"/>
      <c r="N3936" s="552"/>
      <c r="Y3936" s="551"/>
    </row>
    <row r="3937" spans="1:25" ht="15">
      <c r="A3937" s="499">
        <v>45614</v>
      </c>
      <c r="B3937" s="499">
        <v>45615</v>
      </c>
      <c r="C3937" s="500" t="s">
        <v>173</v>
      </c>
      <c r="D3937" s="452" t="s">
        <v>759</v>
      </c>
      <c r="E3937" s="501">
        <v>7006103.9699999997</v>
      </c>
      <c r="F3937" s="502" t="s">
        <v>878</v>
      </c>
      <c r="G3937" s="100">
        <v>114764731</v>
      </c>
      <c r="H3937" s="530">
        <v>114764731</v>
      </c>
      <c r="I3937" s="525"/>
      <c r="K3937" s="548"/>
      <c r="L3937" s="548"/>
      <c r="M3937" s="548"/>
      <c r="N3937" s="552"/>
      <c r="Y3937" s="551"/>
    </row>
    <row r="3938" spans="1:25" ht="15">
      <c r="A3938" s="499">
        <v>45614</v>
      </c>
      <c r="B3938" s="499">
        <v>45621</v>
      </c>
      <c r="C3938" s="500" t="s">
        <v>173</v>
      </c>
      <c r="D3938" s="452" t="s">
        <v>759</v>
      </c>
      <c r="E3938" s="501">
        <v>3868663730.8800001</v>
      </c>
      <c r="F3938" s="502" t="s">
        <v>878</v>
      </c>
      <c r="G3938" s="100">
        <v>114764770</v>
      </c>
      <c r="H3938" s="530">
        <v>114764770</v>
      </c>
      <c r="I3938" s="525"/>
      <c r="K3938" s="548"/>
      <c r="L3938" s="548"/>
      <c r="M3938" s="548"/>
      <c r="N3938" s="552"/>
      <c r="Y3938" s="551"/>
    </row>
    <row r="3939" spans="1:25" ht="15">
      <c r="A3939" s="499">
        <v>45614</v>
      </c>
      <c r="B3939" s="499">
        <v>45621</v>
      </c>
      <c r="C3939" s="500" t="s">
        <v>173</v>
      </c>
      <c r="D3939" s="452" t="s">
        <v>759</v>
      </c>
      <c r="E3939" s="501">
        <v>12042533.01</v>
      </c>
      <c r="F3939" s="502" t="s">
        <v>878</v>
      </c>
      <c r="G3939" s="100">
        <v>114764813</v>
      </c>
      <c r="H3939" s="530">
        <v>114764813</v>
      </c>
      <c r="I3939" s="525"/>
      <c r="K3939" s="548"/>
      <c r="L3939" s="548"/>
      <c r="M3939" s="548"/>
      <c r="N3939" s="552"/>
      <c r="Y3939" s="551"/>
    </row>
    <row r="3940" spans="1:25" ht="15">
      <c r="A3940" s="499">
        <v>45614</v>
      </c>
      <c r="B3940" s="499">
        <v>45614</v>
      </c>
      <c r="C3940" s="500" t="s">
        <v>173</v>
      </c>
      <c r="D3940" s="452" t="s">
        <v>760</v>
      </c>
      <c r="E3940" s="501">
        <v>-561369068.44000006</v>
      </c>
      <c r="F3940" s="502" t="s">
        <v>878</v>
      </c>
      <c r="G3940" s="100">
        <v>114765726</v>
      </c>
      <c r="H3940" s="530"/>
      <c r="I3940" s="525"/>
      <c r="K3940" s="548"/>
      <c r="L3940" s="548"/>
      <c r="M3940" s="548"/>
      <c r="N3940" s="552"/>
      <c r="Y3940" s="551"/>
    </row>
    <row r="3941" spans="1:25" ht="15">
      <c r="A3941" s="499">
        <v>45614</v>
      </c>
      <c r="B3941" s="499">
        <v>45614</v>
      </c>
      <c r="C3941" s="500" t="s">
        <v>173</v>
      </c>
      <c r="D3941" s="452" t="s">
        <v>760</v>
      </c>
      <c r="E3941" s="501">
        <v>-699161877.77999997</v>
      </c>
      <c r="F3941" s="502" t="s">
        <v>878</v>
      </c>
      <c r="G3941" s="100">
        <v>114765729</v>
      </c>
      <c r="H3941" s="530"/>
      <c r="I3941" s="525"/>
      <c r="K3941" s="548"/>
      <c r="L3941" s="548"/>
      <c r="M3941" s="548"/>
      <c r="N3941" s="552"/>
      <c r="Y3941" s="551"/>
    </row>
    <row r="3942" spans="1:25" ht="15">
      <c r="A3942" s="499">
        <v>45614</v>
      </c>
      <c r="B3942" s="499">
        <v>45614</v>
      </c>
      <c r="C3942" s="500" t="s">
        <v>173</v>
      </c>
      <c r="D3942" s="452" t="s">
        <v>760</v>
      </c>
      <c r="E3942" s="501">
        <v>-33025246.449999999</v>
      </c>
      <c r="F3942" s="502" t="s">
        <v>878</v>
      </c>
      <c r="G3942" s="100">
        <v>114765855</v>
      </c>
      <c r="H3942" s="530"/>
      <c r="I3942" s="525"/>
      <c r="K3942" s="548"/>
      <c r="L3942" s="548"/>
      <c r="M3942" s="548"/>
      <c r="N3942" s="552"/>
      <c r="Y3942" s="551"/>
    </row>
    <row r="3943" spans="1:25" ht="15">
      <c r="A3943" s="499">
        <v>45614</v>
      </c>
      <c r="B3943" s="499">
        <v>45615</v>
      </c>
      <c r="C3943" s="500" t="s">
        <v>173</v>
      </c>
      <c r="D3943" s="452" t="s">
        <v>760</v>
      </c>
      <c r="E3943" s="501">
        <v>561579972.96000004</v>
      </c>
      <c r="F3943" s="502" t="s">
        <v>878</v>
      </c>
      <c r="G3943" s="100">
        <v>114765726</v>
      </c>
      <c r="H3943" s="530">
        <v>114765726</v>
      </c>
      <c r="I3943" s="525"/>
      <c r="K3943" s="548"/>
      <c r="L3943" s="548"/>
      <c r="M3943" s="548"/>
      <c r="N3943" s="552"/>
      <c r="Y3943" s="551"/>
    </row>
    <row r="3944" spans="1:25" ht="15">
      <c r="A3944" s="499">
        <v>45614</v>
      </c>
      <c r="B3944" s="499">
        <v>45615</v>
      </c>
      <c r="C3944" s="500" t="s">
        <v>173</v>
      </c>
      <c r="D3944" s="452" t="s">
        <v>760</v>
      </c>
      <c r="E3944" s="501">
        <v>699424550.61000001</v>
      </c>
      <c r="F3944" s="502" t="s">
        <v>878</v>
      </c>
      <c r="G3944" s="100">
        <v>114765729</v>
      </c>
      <c r="H3944" s="530">
        <v>114765729</v>
      </c>
      <c r="I3944" s="525"/>
      <c r="K3944" s="548"/>
      <c r="L3944" s="548"/>
      <c r="M3944" s="548"/>
      <c r="N3944" s="552"/>
      <c r="Y3944" s="551"/>
    </row>
    <row r="3945" spans="1:25" ht="15">
      <c r="A3945" s="499">
        <v>45614</v>
      </c>
      <c r="B3945" s="499">
        <v>45615</v>
      </c>
      <c r="C3945" s="500" t="s">
        <v>173</v>
      </c>
      <c r="D3945" s="452" t="s">
        <v>760</v>
      </c>
      <c r="E3945" s="501">
        <v>33037626.59</v>
      </c>
      <c r="F3945" s="502" t="s">
        <v>878</v>
      </c>
      <c r="G3945" s="100">
        <v>114765855</v>
      </c>
      <c r="H3945" s="530">
        <v>114765855</v>
      </c>
      <c r="I3945" s="525"/>
      <c r="K3945" s="548"/>
      <c r="L3945" s="548"/>
      <c r="M3945" s="548"/>
      <c r="N3945" s="552"/>
      <c r="Y3945" s="551"/>
    </row>
    <row r="3946" spans="1:25" ht="15">
      <c r="A3946" s="499">
        <v>45614</v>
      </c>
      <c r="B3946" s="499">
        <v>45614</v>
      </c>
      <c r="C3946" s="500" t="s">
        <v>173</v>
      </c>
      <c r="D3946" s="452" t="s">
        <v>763</v>
      </c>
      <c r="E3946" s="501">
        <v>-5453704381.7399998</v>
      </c>
      <c r="F3946" s="502" t="s">
        <v>878</v>
      </c>
      <c r="G3946" s="100">
        <v>114764988</v>
      </c>
      <c r="H3946" s="530"/>
      <c r="I3946" s="525"/>
      <c r="K3946" s="548"/>
      <c r="L3946" s="548"/>
      <c r="M3946" s="548"/>
      <c r="N3946" s="552"/>
      <c r="Y3946" s="551"/>
    </row>
    <row r="3947" spans="1:25" ht="15">
      <c r="A3947" s="499">
        <v>45614</v>
      </c>
      <c r="B3947" s="499">
        <v>45614</v>
      </c>
      <c r="C3947" s="500" t="s">
        <v>173</v>
      </c>
      <c r="D3947" s="452" t="s">
        <v>763</v>
      </c>
      <c r="E3947" s="501">
        <v>-20009922.52</v>
      </c>
      <c r="F3947" s="502" t="s">
        <v>878</v>
      </c>
      <c r="G3947" s="100">
        <v>114765002</v>
      </c>
      <c r="H3947" s="530"/>
      <c r="I3947" s="525"/>
      <c r="K3947" s="548"/>
      <c r="L3947" s="548"/>
      <c r="M3947" s="548"/>
      <c r="N3947" s="552"/>
      <c r="Y3947" s="551"/>
    </row>
    <row r="3948" spans="1:25" ht="15">
      <c r="A3948" s="499">
        <v>45614</v>
      </c>
      <c r="B3948" s="499">
        <v>45615</v>
      </c>
      <c r="C3948" s="500" t="s">
        <v>173</v>
      </c>
      <c r="D3948" s="452" t="s">
        <v>763</v>
      </c>
      <c r="E3948" s="501">
        <v>5455753246.0900002</v>
      </c>
      <c r="F3948" s="502" t="s">
        <v>878</v>
      </c>
      <c r="G3948" s="100">
        <v>114764988</v>
      </c>
      <c r="H3948" s="100">
        <v>114764988</v>
      </c>
      <c r="I3948" s="525"/>
      <c r="K3948" s="548"/>
      <c r="L3948" s="548"/>
      <c r="M3948" s="548"/>
      <c r="N3948" s="552"/>
      <c r="Y3948" s="551"/>
    </row>
    <row r="3949" spans="1:25" ht="15">
      <c r="A3949" s="499">
        <v>45614</v>
      </c>
      <c r="B3949" s="499">
        <v>45615</v>
      </c>
      <c r="C3949" s="500" t="s">
        <v>173</v>
      </c>
      <c r="D3949" s="452" t="s">
        <v>763</v>
      </c>
      <c r="E3949" s="501">
        <v>20017439.91</v>
      </c>
      <c r="F3949" s="502" t="s">
        <v>878</v>
      </c>
      <c r="G3949" s="100">
        <v>114765002</v>
      </c>
      <c r="H3949" s="100">
        <v>114765002</v>
      </c>
      <c r="I3949" s="525"/>
      <c r="K3949" s="548"/>
      <c r="L3949" s="548"/>
      <c r="M3949" s="548"/>
      <c r="N3949" s="552"/>
      <c r="Y3949" s="551"/>
    </row>
    <row r="3950" spans="1:25" ht="15">
      <c r="A3950" s="499">
        <v>45615</v>
      </c>
      <c r="B3950" s="499">
        <v>45615</v>
      </c>
      <c r="C3950" s="500" t="s">
        <v>173</v>
      </c>
      <c r="D3950" s="452" t="s">
        <v>762</v>
      </c>
      <c r="E3950" s="501">
        <v>-1429306858.48</v>
      </c>
      <c r="F3950" s="502" t="s">
        <v>878</v>
      </c>
      <c r="G3950" s="100">
        <v>114785236</v>
      </c>
      <c r="H3950" s="530"/>
      <c r="I3950" s="525"/>
      <c r="K3950" s="548"/>
      <c r="L3950" s="548"/>
      <c r="M3950" s="548"/>
      <c r="N3950" s="552"/>
      <c r="Y3950" s="551"/>
    </row>
    <row r="3951" spans="1:25" ht="15">
      <c r="A3951" s="499">
        <v>45615</v>
      </c>
      <c r="B3951" s="499">
        <v>45615</v>
      </c>
      <c r="C3951" s="500" t="s">
        <v>173</v>
      </c>
      <c r="D3951" s="452" t="s">
        <v>762</v>
      </c>
      <c r="E3951" s="501">
        <v>-4000683557.5500002</v>
      </c>
      <c r="F3951" s="502" t="s">
        <v>878</v>
      </c>
      <c r="G3951" s="100">
        <v>114785233</v>
      </c>
      <c r="H3951" s="530"/>
      <c r="I3951" s="525"/>
      <c r="K3951" s="548"/>
      <c r="L3951" s="548"/>
      <c r="M3951" s="548"/>
      <c r="N3951" s="552"/>
      <c r="Y3951" s="551"/>
    </row>
    <row r="3952" spans="1:25" ht="15">
      <c r="A3952" s="499">
        <v>45615</v>
      </c>
      <c r="B3952" s="499">
        <v>45615</v>
      </c>
      <c r="C3952" s="500" t="s">
        <v>173</v>
      </c>
      <c r="D3952" s="452" t="s">
        <v>762</v>
      </c>
      <c r="E3952" s="501">
        <v>-114068182.94</v>
      </c>
      <c r="F3952" s="502" t="s">
        <v>878</v>
      </c>
      <c r="G3952" s="100">
        <v>114786068</v>
      </c>
      <c r="H3952" s="530"/>
      <c r="I3952" s="525"/>
      <c r="K3952" s="548"/>
      <c r="L3952" s="548"/>
      <c r="M3952" s="548"/>
      <c r="N3952" s="552"/>
      <c r="Y3952" s="551"/>
    </row>
    <row r="3953" spans="1:25" ht="15">
      <c r="A3953" s="499">
        <v>45615</v>
      </c>
      <c r="B3953" s="499">
        <v>45615</v>
      </c>
      <c r="C3953" s="500" t="s">
        <v>173</v>
      </c>
      <c r="D3953" s="452" t="s">
        <v>762</v>
      </c>
      <c r="E3953" s="501">
        <v>-782804591.20000005</v>
      </c>
      <c r="F3953" s="502" t="s">
        <v>878</v>
      </c>
      <c r="G3953" s="100">
        <v>114785230</v>
      </c>
      <c r="H3953" s="530"/>
      <c r="I3953" s="525"/>
      <c r="K3953" s="548"/>
      <c r="L3953" s="548"/>
      <c r="M3953" s="548"/>
      <c r="N3953" s="552"/>
      <c r="Y3953" s="551"/>
    </row>
    <row r="3954" spans="1:25" ht="15">
      <c r="A3954" s="499">
        <v>45615</v>
      </c>
      <c r="B3954" s="499">
        <v>45616</v>
      </c>
      <c r="C3954" s="500" t="s">
        <v>173</v>
      </c>
      <c r="D3954" s="452" t="s">
        <v>762</v>
      </c>
      <c r="E3954" s="501">
        <v>1429829406.8199999</v>
      </c>
      <c r="F3954" s="502" t="s">
        <v>878</v>
      </c>
      <c r="G3954" s="100">
        <v>114785236</v>
      </c>
      <c r="H3954" s="530">
        <v>114785236</v>
      </c>
      <c r="I3954" s="525"/>
      <c r="K3954" s="548"/>
      <c r="L3954" s="548"/>
      <c r="M3954" s="548"/>
      <c r="N3954" s="552"/>
      <c r="Y3954" s="551"/>
    </row>
    <row r="3955" spans="1:25" ht="15">
      <c r="A3955" s="499">
        <v>45615</v>
      </c>
      <c r="B3955" s="499">
        <v>45616</v>
      </c>
      <c r="C3955" s="500" t="s">
        <v>173</v>
      </c>
      <c r="D3955" s="452" t="s">
        <v>762</v>
      </c>
      <c r="E3955" s="501">
        <v>4002146200.9000001</v>
      </c>
      <c r="F3955" s="502" t="s">
        <v>878</v>
      </c>
      <c r="G3955" s="100">
        <v>114785233</v>
      </c>
      <c r="H3955" s="530">
        <v>114785233</v>
      </c>
      <c r="I3955" s="525"/>
      <c r="K3955" s="548"/>
      <c r="L3955" s="548"/>
      <c r="M3955" s="548"/>
      <c r="N3955" s="552"/>
      <c r="Y3955" s="551"/>
    </row>
    <row r="3956" spans="1:25" ht="15">
      <c r="A3956" s="499">
        <v>45615</v>
      </c>
      <c r="B3956" s="499">
        <v>45616</v>
      </c>
      <c r="C3956" s="500" t="s">
        <v>173</v>
      </c>
      <c r="D3956" s="452" t="s">
        <v>762</v>
      </c>
      <c r="E3956" s="501">
        <v>114109945.61</v>
      </c>
      <c r="F3956" s="502" t="s">
        <v>878</v>
      </c>
      <c r="G3956" s="100">
        <v>114786068</v>
      </c>
      <c r="H3956" s="530">
        <v>114786068</v>
      </c>
      <c r="I3956" s="525"/>
      <c r="K3956" s="548"/>
      <c r="L3956" s="548"/>
      <c r="M3956" s="548"/>
      <c r="N3956" s="552"/>
      <c r="Y3956" s="551"/>
    </row>
    <row r="3957" spans="1:25" ht="15">
      <c r="A3957" s="499">
        <v>45615</v>
      </c>
      <c r="B3957" s="499">
        <v>45616</v>
      </c>
      <c r="C3957" s="500" t="s">
        <v>173</v>
      </c>
      <c r="D3957" s="452" t="s">
        <v>762</v>
      </c>
      <c r="E3957" s="501">
        <v>783091191.78999996</v>
      </c>
      <c r="F3957" s="502" t="s">
        <v>878</v>
      </c>
      <c r="G3957" s="100">
        <v>114785230</v>
      </c>
      <c r="H3957" s="530">
        <v>114785230</v>
      </c>
      <c r="I3957" s="525"/>
      <c r="K3957" s="548"/>
      <c r="L3957" s="548"/>
      <c r="M3957" s="548"/>
      <c r="N3957" s="552"/>
      <c r="Y3957" s="551"/>
    </row>
    <row r="3958" spans="1:25" ht="15">
      <c r="A3958" s="499">
        <v>45615</v>
      </c>
      <c r="B3958" s="499">
        <v>45615</v>
      </c>
      <c r="C3958" s="500" t="s">
        <v>173</v>
      </c>
      <c r="D3958" s="452" t="s">
        <v>761</v>
      </c>
      <c r="E3958" s="501">
        <v>-505338968.63</v>
      </c>
      <c r="F3958" s="502" t="s">
        <v>878</v>
      </c>
      <c r="G3958" s="100">
        <v>114784598</v>
      </c>
      <c r="H3958" s="530"/>
      <c r="I3958" s="525"/>
      <c r="K3958" s="548"/>
      <c r="L3958" s="548"/>
      <c r="M3958" s="548"/>
      <c r="N3958" s="552"/>
      <c r="Y3958" s="551"/>
    </row>
    <row r="3959" spans="1:25" ht="15">
      <c r="A3959" s="499">
        <v>45615</v>
      </c>
      <c r="B3959" s="499">
        <v>45615</v>
      </c>
      <c r="C3959" s="500" t="s">
        <v>173</v>
      </c>
      <c r="D3959" s="452" t="s">
        <v>761</v>
      </c>
      <c r="E3959" s="501">
        <v>-1000915.17</v>
      </c>
      <c r="F3959" s="502" t="s">
        <v>878</v>
      </c>
      <c r="G3959" s="100">
        <v>114784792</v>
      </c>
      <c r="H3959" s="530"/>
      <c r="I3959" s="525"/>
      <c r="K3959" s="548"/>
      <c r="L3959" s="548"/>
      <c r="M3959" s="548"/>
      <c r="N3959" s="552"/>
      <c r="Y3959" s="551"/>
    </row>
    <row r="3960" spans="1:25" ht="15">
      <c r="A3960" s="499">
        <v>45615</v>
      </c>
      <c r="B3960" s="499">
        <v>45616</v>
      </c>
      <c r="C3960" s="500" t="s">
        <v>173</v>
      </c>
      <c r="D3960" s="452" t="s">
        <v>761</v>
      </c>
      <c r="E3960" s="501">
        <v>505525364.14999998</v>
      </c>
      <c r="F3960" s="502" t="s">
        <v>878</v>
      </c>
      <c r="G3960" s="100">
        <v>114784598</v>
      </c>
      <c r="H3960" s="100">
        <v>114784598</v>
      </c>
      <c r="I3960" s="525"/>
      <c r="K3960" s="548"/>
      <c r="L3960" s="548"/>
      <c r="M3960" s="548"/>
      <c r="N3960" s="552"/>
      <c r="Y3960" s="551"/>
    </row>
    <row r="3961" spans="1:25" ht="15">
      <c r="A3961" s="499">
        <v>45615</v>
      </c>
      <c r="B3961" s="499">
        <v>45616</v>
      </c>
      <c r="C3961" s="500" t="s">
        <v>173</v>
      </c>
      <c r="D3961" s="452" t="s">
        <v>761</v>
      </c>
      <c r="E3961" s="501">
        <v>1001280.82</v>
      </c>
      <c r="F3961" s="502" t="s">
        <v>878</v>
      </c>
      <c r="G3961" s="100">
        <v>114784792</v>
      </c>
      <c r="H3961" s="100">
        <v>114784792</v>
      </c>
      <c r="I3961" s="525"/>
      <c r="K3961" s="548"/>
      <c r="L3961" s="548"/>
      <c r="M3961" s="548"/>
      <c r="N3961" s="552"/>
      <c r="Y3961" s="551"/>
    </row>
    <row r="3962" spans="1:25" ht="15">
      <c r="A3962" s="499">
        <v>45615</v>
      </c>
      <c r="B3962" s="499">
        <v>45617</v>
      </c>
      <c r="C3962" s="500" t="s">
        <v>173</v>
      </c>
      <c r="D3962" s="452" t="s">
        <v>761</v>
      </c>
      <c r="E3962" s="501">
        <v>-203936448.59</v>
      </c>
      <c r="F3962" s="502" t="s">
        <v>906</v>
      </c>
      <c r="G3962" s="100" t="s">
        <v>722</v>
      </c>
      <c r="H3962" s="575"/>
      <c r="I3962" s="525" t="s">
        <v>721</v>
      </c>
      <c r="K3962" s="548">
        <v>114792400</v>
      </c>
      <c r="L3962" s="549">
        <v>69.099599999999995</v>
      </c>
      <c r="M3962" s="549">
        <f>E3962*(-1)/(N3962*O3962)*100</f>
        <v>71.790155555086201</v>
      </c>
      <c r="N3962" s="549">
        <v>284073</v>
      </c>
      <c r="O3962" s="539">
        <v>1000</v>
      </c>
      <c r="T3962" s="549">
        <v>13.2</v>
      </c>
      <c r="U3962" s="538">
        <v>0</v>
      </c>
      <c r="V3962" s="538">
        <v>20393.64</v>
      </c>
      <c r="W3962" s="550">
        <f>VLOOKUP(G3962,Справочник!A:C,3,0)</f>
        <v>8.3500000000000005E-2</v>
      </c>
      <c r="X3962" s="539" t="str">
        <f>VLOOKUP(G3962,Справочник!A:G,7,0)</f>
        <v>Министерство финансов Республики Казахстан</v>
      </c>
      <c r="Y3962" s="551">
        <f>VLOOKUP(G3962,Справочник!A:B,2,0)</f>
        <v>50976</v>
      </c>
    </row>
    <row r="3963" spans="1:25" ht="15">
      <c r="A3963" s="499">
        <v>45615</v>
      </c>
      <c r="B3963" s="499">
        <v>45615</v>
      </c>
      <c r="C3963" s="500" t="s">
        <v>173</v>
      </c>
      <c r="D3963" s="452" t="s">
        <v>759</v>
      </c>
      <c r="E3963" s="501">
        <v>-1993823012.6600001</v>
      </c>
      <c r="F3963" s="502" t="s">
        <v>878</v>
      </c>
      <c r="G3963" s="100">
        <v>114784104</v>
      </c>
      <c r="H3963" s="530"/>
      <c r="I3963" s="525"/>
      <c r="K3963" s="548"/>
      <c r="L3963" s="548"/>
      <c r="M3963" s="548"/>
      <c r="N3963" s="552"/>
      <c r="Y3963" s="551"/>
    </row>
    <row r="3964" spans="1:25" ht="15">
      <c r="A3964" s="499">
        <v>45615</v>
      </c>
      <c r="B3964" s="499">
        <v>45615</v>
      </c>
      <c r="C3964" s="500" t="s">
        <v>173</v>
      </c>
      <c r="D3964" s="452" t="s">
        <v>759</v>
      </c>
      <c r="E3964" s="501">
        <v>-7006769.2400000002</v>
      </c>
      <c r="F3964" s="502" t="s">
        <v>878</v>
      </c>
      <c r="G3964" s="100">
        <v>114784146</v>
      </c>
      <c r="H3964" s="530"/>
      <c r="I3964" s="525"/>
      <c r="K3964" s="548"/>
      <c r="L3964" s="548"/>
      <c r="M3964" s="548"/>
      <c r="N3964" s="552"/>
      <c r="Y3964" s="551"/>
    </row>
    <row r="3965" spans="1:25" ht="15">
      <c r="A3965" s="499">
        <v>45615</v>
      </c>
      <c r="B3965" s="499">
        <v>45616</v>
      </c>
      <c r="C3965" s="500" t="s">
        <v>173</v>
      </c>
      <c r="D3965" s="452" t="s">
        <v>759</v>
      </c>
      <c r="E3965" s="501">
        <v>1994563886.78</v>
      </c>
      <c r="F3965" s="502" t="s">
        <v>878</v>
      </c>
      <c r="G3965" s="100">
        <v>114784104</v>
      </c>
      <c r="H3965" s="100">
        <v>114784104</v>
      </c>
      <c r="I3965" s="525"/>
      <c r="K3965" s="548"/>
      <c r="L3965" s="548"/>
      <c r="M3965" s="548"/>
      <c r="N3965" s="552"/>
      <c r="Y3965" s="551"/>
    </row>
    <row r="3966" spans="1:25" ht="15">
      <c r="A3966" s="499">
        <v>45615</v>
      </c>
      <c r="B3966" s="499">
        <v>45616</v>
      </c>
      <c r="C3966" s="500" t="s">
        <v>173</v>
      </c>
      <c r="D3966" s="452" t="s">
        <v>759</v>
      </c>
      <c r="E3966" s="501">
        <v>7009355.6799999997</v>
      </c>
      <c r="F3966" s="502" t="s">
        <v>878</v>
      </c>
      <c r="G3966" s="100">
        <v>114784146</v>
      </c>
      <c r="H3966" s="100">
        <v>114784146</v>
      </c>
      <c r="I3966" s="525"/>
      <c r="K3966" s="548"/>
      <c r="L3966" s="548"/>
      <c r="M3966" s="548"/>
      <c r="N3966" s="552"/>
      <c r="Y3966" s="551"/>
    </row>
    <row r="3967" spans="1:25" ht="15">
      <c r="A3967" s="499">
        <v>45615</v>
      </c>
      <c r="B3967" s="499">
        <v>45615</v>
      </c>
      <c r="C3967" s="500" t="s">
        <v>173</v>
      </c>
      <c r="D3967" s="452" t="s">
        <v>760</v>
      </c>
      <c r="E3967" s="501">
        <v>-1260845743.5</v>
      </c>
      <c r="F3967" s="502" t="s">
        <v>878</v>
      </c>
      <c r="G3967" s="100">
        <v>114784601</v>
      </c>
      <c r="H3967" s="530"/>
      <c r="I3967" s="525"/>
      <c r="K3967" s="548"/>
      <c r="L3967" s="548"/>
      <c r="M3967" s="548"/>
      <c r="N3967" s="552"/>
      <c r="Y3967" s="551"/>
    </row>
    <row r="3968" spans="1:25" ht="15">
      <c r="A3968" s="499">
        <v>45615</v>
      </c>
      <c r="B3968" s="499">
        <v>45615</v>
      </c>
      <c r="C3968" s="500" t="s">
        <v>173</v>
      </c>
      <c r="D3968" s="452" t="s">
        <v>760</v>
      </c>
      <c r="E3968" s="501">
        <v>-33022150.43</v>
      </c>
      <c r="F3968" s="502" t="s">
        <v>878</v>
      </c>
      <c r="G3968" s="100">
        <v>114784720</v>
      </c>
      <c r="H3968" s="530"/>
      <c r="I3968" s="525"/>
      <c r="K3968" s="548"/>
      <c r="L3968" s="548"/>
      <c r="M3968" s="548"/>
      <c r="N3968" s="552"/>
      <c r="Y3968" s="551"/>
    </row>
    <row r="3969" spans="1:25" ht="15">
      <c r="A3969" s="499">
        <v>45615</v>
      </c>
      <c r="B3969" s="499">
        <v>45616</v>
      </c>
      <c r="C3969" s="500" t="s">
        <v>173</v>
      </c>
      <c r="D3969" s="452" t="s">
        <v>760</v>
      </c>
      <c r="E3969" s="501">
        <v>1261310809.55</v>
      </c>
      <c r="F3969" s="502" t="s">
        <v>878</v>
      </c>
      <c r="G3969" s="100">
        <v>114784601</v>
      </c>
      <c r="H3969" s="530">
        <v>114784601</v>
      </c>
      <c r="I3969" s="525"/>
      <c r="K3969" s="548"/>
      <c r="L3969" s="548"/>
      <c r="M3969" s="548"/>
      <c r="N3969" s="552"/>
      <c r="Y3969" s="551"/>
    </row>
    <row r="3970" spans="1:25" ht="15">
      <c r="A3970" s="499">
        <v>45615</v>
      </c>
      <c r="B3970" s="499">
        <v>45616</v>
      </c>
      <c r="C3970" s="500" t="s">
        <v>173</v>
      </c>
      <c r="D3970" s="452" t="s">
        <v>760</v>
      </c>
      <c r="E3970" s="501">
        <v>33034330.73</v>
      </c>
      <c r="F3970" s="502" t="s">
        <v>878</v>
      </c>
      <c r="G3970" s="100">
        <v>114784720</v>
      </c>
      <c r="H3970" s="530">
        <v>114784720</v>
      </c>
      <c r="I3970" s="525"/>
      <c r="K3970" s="548"/>
      <c r="L3970" s="548"/>
      <c r="M3970" s="548"/>
      <c r="N3970" s="552"/>
      <c r="Y3970" s="551"/>
    </row>
    <row r="3971" spans="1:25" ht="15">
      <c r="A3971" s="499">
        <v>45615</v>
      </c>
      <c r="B3971" s="499">
        <v>45615</v>
      </c>
      <c r="C3971" s="500" t="s">
        <v>173</v>
      </c>
      <c r="D3971" s="452" t="s">
        <v>763</v>
      </c>
      <c r="E3971" s="501">
        <v>-4504118251.5</v>
      </c>
      <c r="F3971" s="502" t="s">
        <v>878</v>
      </c>
      <c r="G3971" s="100">
        <v>114784012</v>
      </c>
      <c r="H3971" s="530"/>
      <c r="I3971" s="525"/>
      <c r="K3971" s="548"/>
      <c r="L3971" s="548"/>
      <c r="M3971" s="548"/>
      <c r="N3971" s="552"/>
      <c r="Y3971" s="551"/>
    </row>
    <row r="3972" spans="1:25" ht="15">
      <c r="A3972" s="499">
        <v>45615</v>
      </c>
      <c r="B3972" s="499">
        <v>45615</v>
      </c>
      <c r="C3972" s="500" t="s">
        <v>173</v>
      </c>
      <c r="D3972" s="452" t="s">
        <v>763</v>
      </c>
      <c r="E3972" s="501">
        <v>-953437571.86000001</v>
      </c>
      <c r="F3972" s="502" t="s">
        <v>878</v>
      </c>
      <c r="G3972" s="100">
        <v>114784015</v>
      </c>
      <c r="H3972" s="530"/>
      <c r="I3972" s="525"/>
      <c r="K3972" s="548"/>
      <c r="L3972" s="548"/>
      <c r="M3972" s="548"/>
      <c r="N3972" s="552"/>
      <c r="Y3972" s="551"/>
    </row>
    <row r="3973" spans="1:25" ht="15">
      <c r="A3973" s="499">
        <v>45615</v>
      </c>
      <c r="B3973" s="499">
        <v>45615</v>
      </c>
      <c r="C3973" s="500" t="s">
        <v>173</v>
      </c>
      <c r="D3973" s="452" t="s">
        <v>763</v>
      </c>
      <c r="E3973" s="501">
        <v>-18017406.609999999</v>
      </c>
      <c r="F3973" s="502" t="s">
        <v>878</v>
      </c>
      <c r="G3973" s="100">
        <v>114784054</v>
      </c>
      <c r="H3973" s="530"/>
      <c r="I3973" s="525"/>
      <c r="K3973" s="548"/>
      <c r="L3973" s="548"/>
      <c r="M3973" s="548"/>
      <c r="N3973" s="552"/>
      <c r="Y3973" s="551"/>
    </row>
    <row r="3974" spans="1:25" ht="15">
      <c r="A3974" s="499">
        <v>45615</v>
      </c>
      <c r="B3974" s="499">
        <v>45616</v>
      </c>
      <c r="C3974" s="500" t="s">
        <v>173</v>
      </c>
      <c r="D3974" s="452" t="s">
        <v>763</v>
      </c>
      <c r="E3974" s="501">
        <v>4505780898.7600002</v>
      </c>
      <c r="F3974" s="502" t="s">
        <v>878</v>
      </c>
      <c r="G3974" s="100">
        <v>114784012</v>
      </c>
      <c r="H3974" s="530">
        <v>114784012</v>
      </c>
      <c r="I3974" s="525"/>
      <c r="K3974" s="548"/>
      <c r="L3974" s="548"/>
      <c r="M3974" s="548"/>
      <c r="N3974" s="552"/>
      <c r="Y3974" s="551"/>
    </row>
    <row r="3975" spans="1:25" ht="15">
      <c r="A3975" s="499">
        <v>45615</v>
      </c>
      <c r="B3975" s="499">
        <v>45616</v>
      </c>
      <c r="C3975" s="500" t="s">
        <v>173</v>
      </c>
      <c r="D3975" s="452" t="s">
        <v>763</v>
      </c>
      <c r="E3975" s="501">
        <v>953789510.14999998</v>
      </c>
      <c r="F3975" s="502" t="s">
        <v>878</v>
      </c>
      <c r="G3975" s="100">
        <v>114784015</v>
      </c>
      <c r="H3975" s="530">
        <v>114784015</v>
      </c>
      <c r="I3975" s="525"/>
      <c r="K3975" s="548"/>
      <c r="L3975" s="548"/>
      <c r="M3975" s="548"/>
      <c r="N3975" s="552"/>
      <c r="Y3975" s="551"/>
    </row>
    <row r="3976" spans="1:25" ht="15">
      <c r="A3976" s="499">
        <v>45615</v>
      </c>
      <c r="B3976" s="499">
        <v>45616</v>
      </c>
      <c r="C3976" s="500" t="s">
        <v>173</v>
      </c>
      <c r="D3976" s="452" t="s">
        <v>763</v>
      </c>
      <c r="E3976" s="501">
        <v>18024057.350000001</v>
      </c>
      <c r="F3976" s="502" t="s">
        <v>878</v>
      </c>
      <c r="G3976" s="100">
        <v>114784054</v>
      </c>
      <c r="H3976" s="530">
        <v>114784054</v>
      </c>
      <c r="I3976" s="525"/>
      <c r="K3976" s="548"/>
      <c r="L3976" s="548"/>
      <c r="M3976" s="548"/>
      <c r="N3976" s="552"/>
      <c r="Y3976" s="551"/>
    </row>
    <row r="3977" spans="1:25">
      <c r="A3977" s="499">
        <v>45616</v>
      </c>
      <c r="B3977" s="499">
        <v>45616</v>
      </c>
      <c r="C3977" s="500" t="s">
        <v>173</v>
      </c>
      <c r="D3977" s="500" t="s">
        <v>762</v>
      </c>
      <c r="E3977" s="501">
        <v>-24006573.940000001</v>
      </c>
      <c r="F3977" s="502" t="s">
        <v>878</v>
      </c>
      <c r="G3977" s="100">
        <v>114802088</v>
      </c>
      <c r="H3977" s="530"/>
      <c r="I3977" s="525"/>
      <c r="K3977" s="548"/>
      <c r="L3977" s="548"/>
      <c r="M3977" s="548"/>
      <c r="N3977" s="552"/>
      <c r="Y3977" s="551"/>
    </row>
    <row r="3978" spans="1:25">
      <c r="A3978" s="499">
        <v>45616</v>
      </c>
      <c r="B3978" s="499">
        <v>45616</v>
      </c>
      <c r="C3978" s="500" t="s">
        <v>173</v>
      </c>
      <c r="D3978" s="500" t="s">
        <v>762</v>
      </c>
      <c r="E3978" s="501">
        <v>-6306653477.79</v>
      </c>
      <c r="F3978" s="502" t="s">
        <v>878</v>
      </c>
      <c r="G3978" s="100">
        <v>114802061</v>
      </c>
      <c r="H3978" s="530"/>
      <c r="I3978" s="525"/>
      <c r="K3978" s="548"/>
      <c r="L3978" s="548"/>
      <c r="M3978" s="548"/>
      <c r="N3978" s="552"/>
      <c r="Y3978" s="551"/>
    </row>
    <row r="3979" spans="1:25">
      <c r="A3979" s="499">
        <v>45616</v>
      </c>
      <c r="B3979" s="499">
        <f>A3979+7</f>
        <v>45623</v>
      </c>
      <c r="C3979" s="500" t="s">
        <v>173</v>
      </c>
      <c r="D3979" s="500" t="s">
        <v>762</v>
      </c>
      <c r="E3979" s="501">
        <v>24069844.18</v>
      </c>
      <c r="F3979" s="502" t="s">
        <v>878</v>
      </c>
      <c r="G3979" s="100">
        <v>114802088</v>
      </c>
      <c r="H3979" s="530">
        <v>114802088</v>
      </c>
      <c r="I3979" s="525"/>
      <c r="K3979" s="548"/>
      <c r="L3979" s="548"/>
      <c r="M3979" s="548"/>
      <c r="N3979" s="552"/>
      <c r="Y3979" s="551"/>
    </row>
    <row r="3980" spans="1:25">
      <c r="A3980" s="499">
        <v>45616</v>
      </c>
      <c r="B3980" s="499">
        <f>A3980+7</f>
        <v>45623</v>
      </c>
      <c r="C3980" s="500" t="s">
        <v>173</v>
      </c>
      <c r="D3980" s="500" t="s">
        <v>762</v>
      </c>
      <c r="E3980" s="501">
        <v>6323238718.5500002</v>
      </c>
      <c r="F3980" s="502" t="s">
        <v>878</v>
      </c>
      <c r="G3980" s="100">
        <v>114802061</v>
      </c>
      <c r="H3980" s="530">
        <v>114802061</v>
      </c>
      <c r="I3980" s="525"/>
      <c r="K3980" s="548"/>
      <c r="L3980" s="548"/>
      <c r="M3980" s="548"/>
      <c r="N3980" s="552"/>
      <c r="Y3980" s="551"/>
    </row>
    <row r="3981" spans="1:25">
      <c r="A3981" s="499">
        <v>45616</v>
      </c>
      <c r="B3981" s="499">
        <v>45616</v>
      </c>
      <c r="C3981" s="500" t="s">
        <v>173</v>
      </c>
      <c r="D3981" s="500" t="s">
        <v>761</v>
      </c>
      <c r="E3981" s="501">
        <v>-92031146.310000002</v>
      </c>
      <c r="F3981" s="502" t="s">
        <v>878</v>
      </c>
      <c r="G3981" s="100">
        <v>114801137</v>
      </c>
      <c r="H3981" s="530"/>
      <c r="I3981" s="525"/>
      <c r="K3981" s="548"/>
      <c r="L3981" s="548"/>
      <c r="M3981" s="548"/>
      <c r="N3981" s="552"/>
      <c r="Y3981" s="551"/>
    </row>
    <row r="3982" spans="1:25">
      <c r="A3982" s="499">
        <v>45616</v>
      </c>
      <c r="B3982" s="499">
        <v>45616</v>
      </c>
      <c r="C3982" s="500" t="s">
        <v>173</v>
      </c>
      <c r="D3982" s="500" t="s">
        <v>761</v>
      </c>
      <c r="E3982" s="501">
        <v>-698013490.94000006</v>
      </c>
      <c r="F3982" s="502" t="s">
        <v>878</v>
      </c>
      <c r="G3982" s="100">
        <v>114801844</v>
      </c>
      <c r="H3982" s="530"/>
      <c r="I3982" s="525"/>
      <c r="K3982" s="548"/>
      <c r="L3982" s="548"/>
      <c r="M3982" s="548"/>
      <c r="N3982" s="552"/>
      <c r="Y3982" s="551"/>
    </row>
    <row r="3983" spans="1:25">
      <c r="A3983" s="499">
        <v>45616</v>
      </c>
      <c r="B3983" s="499">
        <v>45616</v>
      </c>
      <c r="C3983" s="500" t="s">
        <v>173</v>
      </c>
      <c r="D3983" s="500" t="s">
        <v>761</v>
      </c>
      <c r="E3983" s="501">
        <v>-3000057.98</v>
      </c>
      <c r="F3983" s="502" t="s">
        <v>878</v>
      </c>
      <c r="G3983" s="100">
        <v>114801879</v>
      </c>
      <c r="H3983" s="530"/>
      <c r="I3983" s="525"/>
      <c r="K3983" s="548"/>
      <c r="L3983" s="548"/>
      <c r="M3983" s="548"/>
      <c r="N3983" s="552"/>
      <c r="Y3983" s="551"/>
    </row>
    <row r="3984" spans="1:25">
      <c r="A3984" s="499">
        <v>45616</v>
      </c>
      <c r="B3984" s="499">
        <v>45616</v>
      </c>
      <c r="C3984" s="500" t="s">
        <v>173</v>
      </c>
      <c r="D3984" s="500" t="s">
        <v>761</v>
      </c>
      <c r="E3984" s="501">
        <v>-606043046</v>
      </c>
      <c r="F3984" s="502" t="s">
        <v>878</v>
      </c>
      <c r="G3984" s="100">
        <v>114802491</v>
      </c>
      <c r="H3984" s="530"/>
      <c r="I3984" s="525"/>
      <c r="K3984" s="548"/>
      <c r="L3984" s="548"/>
      <c r="M3984" s="548"/>
      <c r="N3984" s="552">
        <v>-1</v>
      </c>
      <c r="Y3984" s="551"/>
    </row>
    <row r="3985" spans="1:25">
      <c r="A3985" s="499">
        <v>45616</v>
      </c>
      <c r="B3985" s="499">
        <v>45616</v>
      </c>
      <c r="C3985" s="500" t="s">
        <v>173</v>
      </c>
      <c r="D3985" s="500" t="s">
        <v>761</v>
      </c>
      <c r="E3985" s="501">
        <v>-2000454</v>
      </c>
      <c r="F3985" s="502" t="s">
        <v>878</v>
      </c>
      <c r="G3985" s="100">
        <v>114802703</v>
      </c>
      <c r="H3985" s="530"/>
      <c r="I3985" s="525"/>
      <c r="K3985" s="548"/>
      <c r="L3985" s="548"/>
      <c r="M3985" s="548"/>
      <c r="N3985" s="552"/>
      <c r="Y3985" s="551"/>
    </row>
    <row r="3986" spans="1:25">
      <c r="A3986" s="499">
        <v>45616</v>
      </c>
      <c r="B3986" s="499">
        <v>45623</v>
      </c>
      <c r="C3986" s="500" t="s">
        <v>173</v>
      </c>
      <c r="D3986" s="500" t="s">
        <v>761</v>
      </c>
      <c r="E3986" s="501">
        <v>92276512.409999996</v>
      </c>
      <c r="F3986" s="502" t="s">
        <v>878</v>
      </c>
      <c r="G3986" s="100">
        <v>114801137</v>
      </c>
      <c r="H3986" s="100">
        <v>114801137</v>
      </c>
      <c r="I3986" s="525"/>
      <c r="K3986" s="548"/>
      <c r="L3986" s="548"/>
      <c r="M3986" s="548"/>
      <c r="N3986" s="552"/>
      <c r="Y3986" s="551"/>
    </row>
    <row r="3987" spans="1:25">
      <c r="A3987" s="499">
        <v>45616</v>
      </c>
      <c r="B3987" s="499">
        <v>45617</v>
      </c>
      <c r="C3987" s="500" t="s">
        <v>173</v>
      </c>
      <c r="D3987" s="500" t="s">
        <v>761</v>
      </c>
      <c r="E3987" s="501">
        <v>698273813.74000001</v>
      </c>
      <c r="F3987" s="502" t="s">
        <v>878</v>
      </c>
      <c r="G3987" s="100">
        <v>114801844</v>
      </c>
      <c r="H3987" s="100">
        <v>114801844</v>
      </c>
      <c r="I3987" s="525"/>
      <c r="K3987" s="548"/>
      <c r="L3987" s="548"/>
      <c r="M3987" s="548"/>
      <c r="N3987" s="552"/>
      <c r="Y3987" s="551"/>
    </row>
    <row r="3988" spans="1:25">
      <c r="A3988" s="499">
        <v>45616</v>
      </c>
      <c r="B3988" s="499">
        <v>45617</v>
      </c>
      <c r="C3988" s="500" t="s">
        <v>173</v>
      </c>
      <c r="D3988" s="500" t="s">
        <v>761</v>
      </c>
      <c r="E3988" s="501">
        <v>3001176.85</v>
      </c>
      <c r="F3988" s="502" t="s">
        <v>878</v>
      </c>
      <c r="G3988" s="100">
        <v>114801879</v>
      </c>
      <c r="H3988" s="100">
        <v>114801879</v>
      </c>
      <c r="I3988" s="525"/>
      <c r="K3988" s="548"/>
      <c r="L3988" s="548"/>
      <c r="M3988" s="548"/>
      <c r="N3988" s="552"/>
      <c r="Y3988" s="551"/>
    </row>
    <row r="3989" spans="1:25">
      <c r="A3989" s="499">
        <v>45616</v>
      </c>
      <c r="B3989" s="499">
        <v>45623</v>
      </c>
      <c r="C3989" s="500" t="s">
        <v>173</v>
      </c>
      <c r="D3989" s="500" t="s">
        <v>761</v>
      </c>
      <c r="E3989" s="501">
        <v>607653034.12</v>
      </c>
      <c r="F3989" s="502" t="s">
        <v>878</v>
      </c>
      <c r="G3989" s="100">
        <v>114802491</v>
      </c>
      <c r="H3989" s="100">
        <v>114802491</v>
      </c>
      <c r="I3989" s="525"/>
      <c r="K3989" s="548"/>
      <c r="L3989" s="548"/>
      <c r="M3989" s="548"/>
      <c r="N3989" s="552"/>
      <c r="Y3989" s="551"/>
    </row>
    <row r="3990" spans="1:25">
      <c r="A3990" s="499">
        <v>45616</v>
      </c>
      <c r="B3990" s="499">
        <v>45623</v>
      </c>
      <c r="C3990" s="500" t="s">
        <v>173</v>
      </c>
      <c r="D3990" s="500" t="s">
        <v>761</v>
      </c>
      <c r="E3990" s="501">
        <v>2005733.96</v>
      </c>
      <c r="F3990" s="502" t="s">
        <v>878</v>
      </c>
      <c r="G3990" s="100">
        <v>114802703</v>
      </c>
      <c r="H3990" s="100">
        <v>114802703</v>
      </c>
      <c r="I3990" s="525"/>
      <c r="K3990" s="548"/>
      <c r="L3990" s="548"/>
      <c r="M3990" s="548"/>
      <c r="N3990" s="552"/>
      <c r="Y3990" s="551"/>
    </row>
    <row r="3991" spans="1:25">
      <c r="A3991" s="499">
        <v>45616</v>
      </c>
      <c r="B3991" s="499">
        <v>45616</v>
      </c>
      <c r="C3991" s="500" t="s">
        <v>173</v>
      </c>
      <c r="D3991" s="500" t="s">
        <v>759</v>
      </c>
      <c r="E3991" s="501">
        <v>-694134144.64999998</v>
      </c>
      <c r="F3991" s="502" t="s">
        <v>878</v>
      </c>
      <c r="G3991" s="100">
        <v>114804174</v>
      </c>
      <c r="H3991" s="530"/>
      <c r="I3991" s="525"/>
      <c r="K3991" s="548"/>
      <c r="L3991" s="548"/>
      <c r="M3991" s="548"/>
      <c r="N3991" s="552"/>
      <c r="Y3991" s="551"/>
    </row>
    <row r="3992" spans="1:25">
      <c r="A3992" s="499">
        <v>45616</v>
      </c>
      <c r="B3992" s="499">
        <v>45616</v>
      </c>
      <c r="C3992" s="500" t="s">
        <v>173</v>
      </c>
      <c r="D3992" s="500" t="s">
        <v>759</v>
      </c>
      <c r="E3992" s="501">
        <v>-1299008600.55</v>
      </c>
      <c r="F3992" s="502" t="s">
        <v>878</v>
      </c>
      <c r="G3992" s="100">
        <v>114804177</v>
      </c>
      <c r="H3992" s="530"/>
      <c r="I3992" s="525"/>
      <c r="K3992" s="548"/>
      <c r="L3992" s="548"/>
      <c r="M3992" s="548"/>
      <c r="N3992" s="552"/>
      <c r="Y3992" s="551"/>
    </row>
    <row r="3993" spans="1:25">
      <c r="A3993" s="499">
        <v>45616</v>
      </c>
      <c r="B3993" s="499">
        <v>45616</v>
      </c>
      <c r="C3993" s="500" t="s">
        <v>173</v>
      </c>
      <c r="D3993" s="500" t="s">
        <v>759</v>
      </c>
      <c r="E3993" s="501">
        <v>-8000052.9699999997</v>
      </c>
      <c r="F3993" s="502" t="s">
        <v>878</v>
      </c>
      <c r="G3993" s="100">
        <v>114804185</v>
      </c>
      <c r="H3993" s="530"/>
      <c r="I3993" s="525"/>
      <c r="K3993" s="548"/>
      <c r="L3993" s="548"/>
      <c r="M3993" s="548"/>
      <c r="N3993" s="552"/>
      <c r="Y3993" s="551"/>
    </row>
    <row r="3994" spans="1:25">
      <c r="A3994" s="499">
        <v>45616</v>
      </c>
      <c r="B3994" s="499">
        <v>45617</v>
      </c>
      <c r="C3994" s="500" t="s">
        <v>173</v>
      </c>
      <c r="D3994" s="500" t="s">
        <v>759</v>
      </c>
      <c r="E3994" s="501">
        <v>694387334.82000005</v>
      </c>
      <c r="F3994" s="502" t="s">
        <v>878</v>
      </c>
      <c r="G3994" s="100">
        <v>114804174</v>
      </c>
      <c r="H3994" s="530">
        <v>114804174</v>
      </c>
      <c r="I3994" s="525"/>
      <c r="K3994" s="548"/>
      <c r="L3994" s="548"/>
      <c r="M3994" s="548"/>
      <c r="N3994" s="552"/>
      <c r="Y3994" s="551"/>
    </row>
    <row r="3995" spans="1:25">
      <c r="A3995" s="499">
        <v>45616</v>
      </c>
      <c r="B3995" s="499">
        <v>45617</v>
      </c>
      <c r="C3995" s="500" t="s">
        <v>173</v>
      </c>
      <c r="D3995" s="500" t="s">
        <v>759</v>
      </c>
      <c r="E3995" s="501">
        <v>1299482419.26</v>
      </c>
      <c r="F3995" s="502" t="s">
        <v>878</v>
      </c>
      <c r="G3995" s="100">
        <v>114804177</v>
      </c>
      <c r="H3995" s="530">
        <v>114804177</v>
      </c>
      <c r="I3995" s="525"/>
      <c r="K3995" s="548"/>
      <c r="L3995" s="548"/>
      <c r="M3995" s="548"/>
      <c r="N3995" s="552"/>
      <c r="Y3995" s="551"/>
    </row>
    <row r="3996" spans="1:25">
      <c r="A3996" s="499">
        <v>45616</v>
      </c>
      <c r="B3996" s="499">
        <v>45617</v>
      </c>
      <c r="C3996" s="500" t="s">
        <v>173</v>
      </c>
      <c r="D3996" s="500" t="s">
        <v>759</v>
      </c>
      <c r="E3996" s="501">
        <v>8002971.0199999996</v>
      </c>
      <c r="F3996" s="502" t="s">
        <v>878</v>
      </c>
      <c r="G3996" s="100">
        <v>114804185</v>
      </c>
      <c r="H3996" s="530">
        <v>114804185</v>
      </c>
      <c r="I3996" s="525"/>
      <c r="K3996" s="548"/>
      <c r="L3996" s="548"/>
      <c r="M3996" s="548"/>
      <c r="N3996" s="552"/>
      <c r="Y3996" s="551"/>
    </row>
    <row r="3997" spans="1:25">
      <c r="A3997" s="499">
        <v>45616</v>
      </c>
      <c r="B3997" s="499">
        <v>45616</v>
      </c>
      <c r="C3997" s="500" t="s">
        <v>173</v>
      </c>
      <c r="D3997" s="500" t="s">
        <v>760</v>
      </c>
      <c r="E3997" s="501">
        <v>-1265516676.5999999</v>
      </c>
      <c r="F3997" s="502" t="s">
        <v>878</v>
      </c>
      <c r="G3997" s="100">
        <v>114801858</v>
      </c>
      <c r="H3997" s="530"/>
      <c r="I3997" s="525"/>
      <c r="K3997" s="548"/>
      <c r="L3997" s="548"/>
      <c r="M3997" s="548"/>
      <c r="N3997" s="552"/>
      <c r="Y3997" s="551"/>
    </row>
    <row r="3998" spans="1:25">
      <c r="A3998" s="499">
        <v>45616</v>
      </c>
      <c r="B3998" s="499">
        <v>45616</v>
      </c>
      <c r="C3998" s="500" t="s">
        <v>173</v>
      </c>
      <c r="D3998" s="500" t="s">
        <v>760</v>
      </c>
      <c r="E3998" s="501">
        <v>-28000541.18</v>
      </c>
      <c r="F3998" s="502" t="s">
        <v>878</v>
      </c>
      <c r="G3998" s="100">
        <v>114801882</v>
      </c>
      <c r="H3998" s="530"/>
      <c r="I3998" s="525"/>
      <c r="K3998" s="548"/>
      <c r="L3998" s="548"/>
      <c r="M3998" s="548"/>
      <c r="N3998" s="552"/>
      <c r="Y3998" s="551"/>
    </row>
    <row r="3999" spans="1:25">
      <c r="A3999" s="499">
        <v>45616</v>
      </c>
      <c r="B3999" s="499">
        <v>45617</v>
      </c>
      <c r="C3999" s="500" t="s">
        <v>173</v>
      </c>
      <c r="D3999" s="500" t="s">
        <v>760</v>
      </c>
      <c r="E3999" s="501">
        <v>1265988648.6199999</v>
      </c>
      <c r="F3999" s="502" t="s">
        <v>878</v>
      </c>
      <c r="G3999" s="100">
        <v>114801858</v>
      </c>
      <c r="H3999" s="530">
        <v>114801858</v>
      </c>
      <c r="I3999" s="525"/>
      <c r="K3999" s="548"/>
      <c r="L3999" s="548"/>
      <c r="M3999" s="548"/>
      <c r="N3999" s="552"/>
      <c r="Y3999" s="551"/>
    </row>
    <row r="4000" spans="1:25">
      <c r="A4000" s="499">
        <v>45616</v>
      </c>
      <c r="B4000" s="499">
        <v>45617</v>
      </c>
      <c r="C4000" s="500" t="s">
        <v>173</v>
      </c>
      <c r="D4000" s="500" t="s">
        <v>760</v>
      </c>
      <c r="E4000" s="501">
        <v>28010983.93</v>
      </c>
      <c r="F4000" s="502" t="s">
        <v>878</v>
      </c>
      <c r="G4000" s="100">
        <v>114801882</v>
      </c>
      <c r="H4000" s="530">
        <v>114801882</v>
      </c>
      <c r="I4000" s="525"/>
      <c r="K4000" s="548"/>
      <c r="L4000" s="548"/>
      <c r="M4000" s="548"/>
      <c r="N4000" s="552"/>
      <c r="Y4000" s="551"/>
    </row>
    <row r="4001" spans="1:25">
      <c r="A4001" s="499">
        <v>45616</v>
      </c>
      <c r="B4001" s="499">
        <v>45616</v>
      </c>
      <c r="C4001" s="500" t="s">
        <v>173</v>
      </c>
      <c r="D4001" s="500" t="s">
        <v>764</v>
      </c>
      <c r="E4001" s="501">
        <v>-878062366.97000003</v>
      </c>
      <c r="F4001" s="502" t="s">
        <v>878</v>
      </c>
      <c r="G4001" s="100">
        <v>114802494</v>
      </c>
      <c r="H4001" s="530"/>
      <c r="I4001" s="525"/>
      <c r="K4001" s="548"/>
      <c r="L4001" s="548"/>
      <c r="M4001" s="548"/>
      <c r="N4001" s="552"/>
      <c r="Y4001" s="551"/>
    </row>
    <row r="4002" spans="1:25">
      <c r="A4002" s="499">
        <v>45616</v>
      </c>
      <c r="B4002" s="499">
        <v>45616</v>
      </c>
      <c r="C4002" s="500" t="s">
        <v>173</v>
      </c>
      <c r="D4002" s="500" t="s">
        <v>764</v>
      </c>
      <c r="E4002" s="501">
        <v>-2117032661.0799999</v>
      </c>
      <c r="F4002" s="502" t="s">
        <v>878</v>
      </c>
      <c r="G4002" s="100">
        <v>114802628</v>
      </c>
      <c r="H4002" s="530"/>
      <c r="I4002" s="525"/>
      <c r="K4002" s="548"/>
      <c r="L4002" s="548"/>
      <c r="M4002" s="548"/>
      <c r="N4002" s="552"/>
      <c r="Y4002" s="551"/>
    </row>
    <row r="4003" spans="1:25">
      <c r="A4003" s="499">
        <v>45616</v>
      </c>
      <c r="B4003" s="499">
        <v>45616</v>
      </c>
      <c r="C4003" s="500" t="s">
        <v>173</v>
      </c>
      <c r="D4003" s="500" t="s">
        <v>764</v>
      </c>
      <c r="E4003" s="501">
        <v>-13009651.199999999</v>
      </c>
      <c r="F4003" s="502" t="s">
        <v>878</v>
      </c>
      <c r="G4003" s="100">
        <v>114803131</v>
      </c>
      <c r="H4003" s="530"/>
      <c r="I4003" s="525"/>
      <c r="K4003" s="548"/>
      <c r="L4003" s="548"/>
      <c r="M4003" s="548"/>
      <c r="N4003" s="552"/>
      <c r="Y4003" s="551"/>
    </row>
    <row r="4004" spans="1:25">
      <c r="A4004" s="499">
        <v>45616</v>
      </c>
      <c r="B4004" s="499">
        <v>45623</v>
      </c>
      <c r="C4004" s="500" t="s">
        <v>173</v>
      </c>
      <c r="D4004" s="500" t="s">
        <v>764</v>
      </c>
      <c r="E4004" s="501">
        <v>880396669.38</v>
      </c>
      <c r="F4004" s="502" t="s">
        <v>878</v>
      </c>
      <c r="G4004" s="100">
        <v>114802494</v>
      </c>
      <c r="H4004" s="530">
        <v>114802494</v>
      </c>
      <c r="I4004" s="525"/>
      <c r="K4004" s="548"/>
      <c r="L4004" s="548"/>
      <c r="M4004" s="548"/>
      <c r="N4004" s="552"/>
      <c r="Y4004" s="551"/>
    </row>
    <row r="4005" spans="1:25">
      <c r="A4005" s="499">
        <v>45616</v>
      </c>
      <c r="B4005" s="499">
        <v>45623</v>
      </c>
      <c r="C4005" s="500" t="s">
        <v>173</v>
      </c>
      <c r="D4005" s="500" t="s">
        <v>764</v>
      </c>
      <c r="E4005" s="501">
        <v>2122660728.78</v>
      </c>
      <c r="F4005" s="502" t="s">
        <v>878</v>
      </c>
      <c r="G4005" s="100">
        <v>114802628</v>
      </c>
      <c r="H4005" s="530">
        <v>114802628</v>
      </c>
      <c r="I4005" s="525"/>
      <c r="K4005" s="548"/>
      <c r="L4005" s="548"/>
      <c r="M4005" s="548"/>
      <c r="N4005" s="552"/>
      <c r="Y4005" s="551"/>
    </row>
    <row r="4006" spans="1:25">
      <c r="A4006" s="499">
        <v>45616</v>
      </c>
      <c r="B4006" s="499">
        <v>45623</v>
      </c>
      <c r="C4006" s="500" t="s">
        <v>173</v>
      </c>
      <c r="D4006" s="500" t="s">
        <v>764</v>
      </c>
      <c r="E4006" s="501">
        <v>13044236.970000001</v>
      </c>
      <c r="F4006" s="502" t="s">
        <v>878</v>
      </c>
      <c r="G4006" s="100">
        <v>114803131</v>
      </c>
      <c r="H4006" s="530">
        <v>114803131</v>
      </c>
      <c r="I4006" s="525"/>
      <c r="K4006" s="548"/>
      <c r="L4006" s="548"/>
      <c r="M4006" s="548"/>
      <c r="N4006" s="552"/>
      <c r="Y4006" s="551"/>
    </row>
    <row r="4007" spans="1:25">
      <c r="A4007" s="499">
        <v>45616</v>
      </c>
      <c r="B4007" s="499">
        <v>45616</v>
      </c>
      <c r="C4007" s="500" t="s">
        <v>173</v>
      </c>
      <c r="D4007" s="500" t="s">
        <v>763</v>
      </c>
      <c r="E4007" s="501">
        <v>-3001009986</v>
      </c>
      <c r="F4007" s="502" t="s">
        <v>878</v>
      </c>
      <c r="G4007" s="100">
        <v>114801251</v>
      </c>
      <c r="H4007" s="530"/>
      <c r="I4007" s="525"/>
      <c r="K4007" s="548"/>
      <c r="L4007" s="548"/>
      <c r="M4007" s="548"/>
      <c r="N4007" s="552"/>
      <c r="Y4007" s="551"/>
    </row>
    <row r="4008" spans="1:25">
      <c r="A4008" s="499">
        <v>45616</v>
      </c>
      <c r="B4008" s="499">
        <v>45616</v>
      </c>
      <c r="C4008" s="500" t="s">
        <v>173</v>
      </c>
      <c r="D4008" s="500" t="s">
        <v>763</v>
      </c>
      <c r="E4008" s="501">
        <v>-2455826505.21</v>
      </c>
      <c r="F4008" s="502" t="s">
        <v>878</v>
      </c>
      <c r="G4008" s="100">
        <v>114801254</v>
      </c>
      <c r="H4008" s="530"/>
      <c r="I4008" s="525"/>
      <c r="K4008" s="548"/>
      <c r="L4008" s="548"/>
      <c r="M4008" s="548"/>
      <c r="N4008" s="552"/>
      <c r="Y4008" s="551"/>
    </row>
    <row r="4009" spans="1:25">
      <c r="A4009" s="499">
        <v>45616</v>
      </c>
      <c r="B4009" s="499">
        <v>45616</v>
      </c>
      <c r="C4009" s="500" t="s">
        <v>173</v>
      </c>
      <c r="D4009" s="500" t="s">
        <v>763</v>
      </c>
      <c r="E4009" s="501">
        <v>-21016147.82</v>
      </c>
      <c r="F4009" s="502" t="s">
        <v>878</v>
      </c>
      <c r="G4009" s="100">
        <v>114801265</v>
      </c>
      <c r="H4009" s="530"/>
      <c r="I4009" s="525"/>
      <c r="K4009" s="548"/>
      <c r="L4009" s="548"/>
      <c r="M4009" s="548"/>
      <c r="N4009" s="552"/>
      <c r="Y4009" s="551"/>
    </row>
    <row r="4010" spans="1:25">
      <c r="A4010" s="499">
        <v>45616</v>
      </c>
      <c r="B4010" s="499">
        <v>45617</v>
      </c>
      <c r="C4010" s="500" t="s">
        <v>173</v>
      </c>
      <c r="D4010" s="500" t="s">
        <v>763</v>
      </c>
      <c r="E4010" s="501">
        <v>3002121023.8499999</v>
      </c>
      <c r="F4010" s="502" t="s">
        <v>878</v>
      </c>
      <c r="G4010" s="100">
        <v>114801251</v>
      </c>
      <c r="H4010" s="100">
        <v>114801251</v>
      </c>
      <c r="I4010" s="525"/>
      <c r="K4010" s="548"/>
      <c r="L4010" s="548"/>
      <c r="M4010" s="548"/>
      <c r="N4010" s="552"/>
      <c r="Y4010" s="551"/>
    </row>
    <row r="4011" spans="1:25">
      <c r="A4011" s="499">
        <v>45616</v>
      </c>
      <c r="B4011" s="499">
        <v>45617</v>
      </c>
      <c r="C4011" s="500" t="s">
        <v>173</v>
      </c>
      <c r="D4011" s="500" t="s">
        <v>763</v>
      </c>
      <c r="E4011" s="501">
        <v>2456735697.8099999</v>
      </c>
      <c r="F4011" s="502" t="s">
        <v>878</v>
      </c>
      <c r="G4011" s="100">
        <v>114801254</v>
      </c>
      <c r="H4011" s="100">
        <v>114801254</v>
      </c>
      <c r="I4011" s="525"/>
      <c r="K4011" s="548"/>
      <c r="L4011" s="548"/>
      <c r="M4011" s="548"/>
      <c r="N4011" s="552"/>
      <c r="Y4011" s="551"/>
    </row>
    <row r="4012" spans="1:25">
      <c r="A4012" s="499">
        <v>45616</v>
      </c>
      <c r="B4012" s="499">
        <v>45617</v>
      </c>
      <c r="C4012" s="500" t="s">
        <v>173</v>
      </c>
      <c r="D4012" s="500" t="s">
        <v>763</v>
      </c>
      <c r="E4012" s="501">
        <v>21023928.449999999</v>
      </c>
      <c r="F4012" s="502" t="s">
        <v>878</v>
      </c>
      <c r="G4012" s="100">
        <v>114801265</v>
      </c>
      <c r="H4012" s="100">
        <v>114801265</v>
      </c>
      <c r="I4012" s="525"/>
      <c r="K4012" s="548"/>
      <c r="L4012" s="548"/>
      <c r="M4012" s="548"/>
      <c r="N4012" s="552"/>
      <c r="Y4012" s="551"/>
    </row>
    <row r="4013" spans="1:25">
      <c r="A4013" s="499">
        <v>45617</v>
      </c>
      <c r="B4013" s="499">
        <v>45617</v>
      </c>
      <c r="C4013" s="500" t="s">
        <v>173</v>
      </c>
      <c r="D4013" s="500" t="s">
        <v>761</v>
      </c>
      <c r="E4013" s="501">
        <v>-438117029.22000003</v>
      </c>
      <c r="F4013" s="502" t="s">
        <v>878</v>
      </c>
      <c r="G4013" s="100">
        <v>114819093</v>
      </c>
      <c r="H4013" s="530"/>
      <c r="I4013" s="525"/>
      <c r="K4013" s="548"/>
      <c r="L4013" s="548"/>
      <c r="M4013" s="548"/>
      <c r="N4013" s="552"/>
      <c r="Y4013" s="551"/>
    </row>
    <row r="4014" spans="1:25">
      <c r="A4014" s="499">
        <v>45617</v>
      </c>
      <c r="B4014" s="499">
        <v>45617</v>
      </c>
      <c r="C4014" s="500" t="s">
        <v>173</v>
      </c>
      <c r="D4014" s="500" t="s">
        <v>761</v>
      </c>
      <c r="E4014" s="501">
        <v>-69000884.519999996</v>
      </c>
      <c r="F4014" s="502" t="s">
        <v>878</v>
      </c>
      <c r="G4014" s="100">
        <v>114819121</v>
      </c>
      <c r="H4014" s="530"/>
      <c r="I4014" s="525"/>
      <c r="K4014" s="548"/>
      <c r="L4014" s="548"/>
      <c r="M4014" s="548"/>
      <c r="N4014" s="552"/>
      <c r="Y4014" s="551"/>
    </row>
    <row r="4015" spans="1:25">
      <c r="A4015" s="499">
        <v>45617</v>
      </c>
      <c r="B4015" s="499">
        <v>45617</v>
      </c>
      <c r="C4015" s="500" t="s">
        <v>173</v>
      </c>
      <c r="D4015" s="500" t="s">
        <v>761</v>
      </c>
      <c r="E4015" s="501">
        <v>-11006166.560000001</v>
      </c>
      <c r="F4015" s="502" t="s">
        <v>878</v>
      </c>
      <c r="G4015" s="100">
        <v>114819161</v>
      </c>
      <c r="H4015" s="530"/>
      <c r="I4015" s="525"/>
      <c r="K4015" s="548"/>
      <c r="L4015" s="548"/>
      <c r="M4015" s="548"/>
      <c r="N4015" s="552"/>
      <c r="Y4015" s="551"/>
    </row>
    <row r="4016" spans="1:25">
      <c r="A4016" s="499">
        <v>45617</v>
      </c>
      <c r="B4016" s="499">
        <v>45617</v>
      </c>
      <c r="C4016" s="500" t="s">
        <v>173</v>
      </c>
      <c r="D4016" s="500" t="s">
        <v>761</v>
      </c>
      <c r="E4016" s="501">
        <v>-30019897.23</v>
      </c>
      <c r="F4016" s="502" t="s">
        <v>878</v>
      </c>
      <c r="G4016" s="100">
        <v>114819164</v>
      </c>
      <c r="H4016" s="530"/>
      <c r="I4016" s="525"/>
      <c r="K4016" s="548"/>
      <c r="L4016" s="548"/>
      <c r="M4016" s="548"/>
      <c r="N4016" s="552"/>
      <c r="Y4016" s="551"/>
    </row>
    <row r="4017" spans="1:25">
      <c r="A4017" s="499">
        <v>45617</v>
      </c>
      <c r="B4017" s="499">
        <v>45617</v>
      </c>
      <c r="C4017" s="500" t="s">
        <v>173</v>
      </c>
      <c r="D4017" s="500" t="s">
        <v>761</v>
      </c>
      <c r="E4017" s="501">
        <v>-30008702.43</v>
      </c>
      <c r="F4017" s="502" t="s">
        <v>878</v>
      </c>
      <c r="G4017" s="100">
        <v>114819167</v>
      </c>
      <c r="H4017" s="530"/>
      <c r="I4017" s="525"/>
      <c r="K4017" s="548"/>
      <c r="L4017" s="548"/>
      <c r="M4017" s="548"/>
      <c r="N4017" s="552"/>
      <c r="Y4017" s="551"/>
    </row>
    <row r="4018" spans="1:25">
      <c r="A4018" s="499">
        <v>45617</v>
      </c>
      <c r="B4018" s="499">
        <v>45617</v>
      </c>
      <c r="C4018" s="500" t="s">
        <v>173</v>
      </c>
      <c r="D4018" s="500" t="s">
        <v>761</v>
      </c>
      <c r="E4018" s="501">
        <v>-35006912.539999999</v>
      </c>
      <c r="F4018" s="502" t="s">
        <v>878</v>
      </c>
      <c r="G4018" s="100">
        <v>114819170</v>
      </c>
      <c r="H4018" s="530"/>
      <c r="I4018" s="525"/>
      <c r="K4018" s="548"/>
      <c r="L4018" s="548"/>
      <c r="M4018" s="548"/>
      <c r="N4018" s="552"/>
      <c r="Q4018" s="539">
        <v>-1</v>
      </c>
      <c r="Y4018" s="551"/>
    </row>
    <row r="4019" spans="1:25">
      <c r="A4019" s="499">
        <v>45617</v>
      </c>
      <c r="B4019" s="499">
        <v>45617</v>
      </c>
      <c r="C4019" s="500" t="s">
        <v>173</v>
      </c>
      <c r="D4019" s="500" t="s">
        <v>761</v>
      </c>
      <c r="E4019" s="501">
        <v>-43030374.68</v>
      </c>
      <c r="F4019" s="502" t="s">
        <v>878</v>
      </c>
      <c r="G4019" s="100">
        <v>114819173</v>
      </c>
      <c r="H4019" s="530"/>
      <c r="I4019" s="525"/>
      <c r="K4019" s="548"/>
      <c r="L4019" s="548"/>
      <c r="M4019" s="548"/>
      <c r="N4019" s="552"/>
      <c r="Y4019" s="551"/>
    </row>
    <row r="4020" spans="1:25">
      <c r="A4020" s="499">
        <v>45617</v>
      </c>
      <c r="B4020" s="499">
        <v>45617</v>
      </c>
      <c r="C4020" s="500" t="s">
        <v>173</v>
      </c>
      <c r="D4020" s="500" t="s">
        <v>761</v>
      </c>
      <c r="E4020" s="501">
        <v>-52005071.979999997</v>
      </c>
      <c r="F4020" s="502" t="s">
        <v>878</v>
      </c>
      <c r="G4020" s="100">
        <v>114819176</v>
      </c>
      <c r="H4020" s="530"/>
      <c r="I4020" s="525"/>
      <c r="K4020" s="548"/>
      <c r="L4020" s="548"/>
      <c r="M4020" s="548"/>
      <c r="N4020" s="552"/>
      <c r="Y4020" s="551"/>
    </row>
    <row r="4021" spans="1:25">
      <c r="A4021" s="499">
        <v>45617</v>
      </c>
      <c r="B4021" s="499">
        <v>45617</v>
      </c>
      <c r="C4021" s="500" t="s">
        <v>173</v>
      </c>
      <c r="D4021" s="500" t="s">
        <v>761</v>
      </c>
      <c r="E4021" s="501">
        <v>-161003171.69999999</v>
      </c>
      <c r="F4021" s="502" t="s">
        <v>878</v>
      </c>
      <c r="G4021" s="100">
        <v>114819179</v>
      </c>
      <c r="H4021" s="530"/>
      <c r="I4021" s="525"/>
      <c r="K4021" s="548"/>
      <c r="L4021" s="548"/>
      <c r="M4021" s="548"/>
      <c r="N4021" s="552"/>
      <c r="Y4021" s="551"/>
    </row>
    <row r="4022" spans="1:25">
      <c r="A4022" s="499">
        <v>45617</v>
      </c>
      <c r="B4022" s="499">
        <v>45617</v>
      </c>
      <c r="C4022" s="500" t="s">
        <v>173</v>
      </c>
      <c r="D4022" s="500" t="s">
        <v>761</v>
      </c>
      <c r="E4022" s="501">
        <v>-227205723.06</v>
      </c>
      <c r="F4022" s="502" t="s">
        <v>878</v>
      </c>
      <c r="G4022" s="100">
        <v>114819182</v>
      </c>
      <c r="H4022" s="530"/>
      <c r="I4022" s="525"/>
      <c r="K4022" s="548"/>
      <c r="L4022" s="548"/>
      <c r="M4022" s="548"/>
      <c r="N4022" s="552"/>
      <c r="Y4022" s="551"/>
    </row>
    <row r="4023" spans="1:25">
      <c r="A4023" s="499">
        <v>45617</v>
      </c>
      <c r="B4023" s="499">
        <v>45617</v>
      </c>
      <c r="C4023" s="500" t="s">
        <v>173</v>
      </c>
      <c r="D4023" s="500" t="s">
        <v>761</v>
      </c>
      <c r="E4023" s="501">
        <v>-361058185.98000002</v>
      </c>
      <c r="F4023" s="502" t="s">
        <v>878</v>
      </c>
      <c r="G4023" s="100">
        <v>114819193</v>
      </c>
      <c r="H4023" s="530"/>
      <c r="I4023" s="525"/>
      <c r="K4023" s="548"/>
      <c r="L4023" s="548"/>
      <c r="M4023" s="548"/>
      <c r="N4023" s="552"/>
      <c r="Y4023" s="551"/>
    </row>
    <row r="4024" spans="1:25">
      <c r="A4024" s="499">
        <v>45617</v>
      </c>
      <c r="B4024" s="499">
        <v>45617</v>
      </c>
      <c r="C4024" s="500" t="s">
        <v>173</v>
      </c>
      <c r="D4024" s="500" t="s">
        <v>761</v>
      </c>
      <c r="E4024" s="501">
        <v>-393301296.58999997</v>
      </c>
      <c r="F4024" s="502" t="s">
        <v>878</v>
      </c>
      <c r="G4024" s="100">
        <v>114819196</v>
      </c>
      <c r="H4024" s="530"/>
      <c r="I4024" s="525"/>
      <c r="K4024" s="548"/>
      <c r="L4024" s="548"/>
      <c r="M4024" s="548"/>
      <c r="N4024" s="552"/>
      <c r="Y4024" s="551"/>
    </row>
    <row r="4025" spans="1:25">
      <c r="A4025" s="499">
        <v>45617</v>
      </c>
      <c r="B4025" s="499">
        <v>45617</v>
      </c>
      <c r="C4025" s="500" t="s">
        <v>173</v>
      </c>
      <c r="D4025" s="500" t="s">
        <v>761</v>
      </c>
      <c r="E4025" s="501">
        <v>-122046616.2</v>
      </c>
      <c r="F4025" s="502" t="s">
        <v>878</v>
      </c>
      <c r="G4025" s="100">
        <v>114819421</v>
      </c>
      <c r="H4025" s="530"/>
      <c r="I4025" s="525"/>
      <c r="K4025" s="548"/>
      <c r="L4025" s="548"/>
      <c r="M4025" s="548"/>
      <c r="N4025" s="552"/>
      <c r="Y4025" s="551"/>
    </row>
    <row r="4026" spans="1:25">
      <c r="A4026" s="499">
        <v>45617</v>
      </c>
      <c r="B4026" s="499">
        <v>45617</v>
      </c>
      <c r="C4026" s="500" t="s">
        <v>173</v>
      </c>
      <c r="D4026" s="500" t="s">
        <v>761</v>
      </c>
      <c r="E4026" s="501">
        <v>-29018928.760000002</v>
      </c>
      <c r="F4026" s="502" t="s">
        <v>878</v>
      </c>
      <c r="G4026" s="100">
        <v>114819521</v>
      </c>
      <c r="H4026" s="530"/>
      <c r="I4026" s="525"/>
      <c r="K4026" s="548"/>
      <c r="L4026" s="548"/>
      <c r="M4026" s="548"/>
      <c r="N4026" s="552"/>
      <c r="Y4026" s="551"/>
    </row>
    <row r="4027" spans="1:25">
      <c r="A4027" s="499">
        <v>45617</v>
      </c>
      <c r="B4027" s="499">
        <v>45617</v>
      </c>
      <c r="C4027" s="500" t="s">
        <v>173</v>
      </c>
      <c r="D4027" s="500" t="s">
        <v>761</v>
      </c>
      <c r="E4027" s="501">
        <v>-8001994.8499999996</v>
      </c>
      <c r="F4027" s="502" t="s">
        <v>878</v>
      </c>
      <c r="G4027" s="100">
        <v>114820893</v>
      </c>
      <c r="H4027" s="530"/>
      <c r="I4027" s="525"/>
      <c r="K4027" s="548"/>
      <c r="L4027" s="548"/>
      <c r="M4027" s="548"/>
      <c r="N4027" s="552"/>
      <c r="Y4027" s="551"/>
    </row>
    <row r="4028" spans="1:25">
      <c r="A4028" s="499">
        <v>45617</v>
      </c>
      <c r="B4028" s="499">
        <v>45618</v>
      </c>
      <c r="C4028" s="500" t="s">
        <v>173</v>
      </c>
      <c r="D4028" s="500" t="s">
        <v>761</v>
      </c>
      <c r="E4028" s="501">
        <v>438282101.18000001</v>
      </c>
      <c r="F4028" s="502" t="s">
        <v>878</v>
      </c>
      <c r="G4028" s="100">
        <v>114819093</v>
      </c>
      <c r="H4028" s="100">
        <v>114819093</v>
      </c>
      <c r="I4028" s="525"/>
      <c r="K4028" s="548"/>
      <c r="L4028" s="548"/>
      <c r="M4028" s="548"/>
      <c r="N4028" s="552"/>
      <c r="Y4028" s="551"/>
    </row>
    <row r="4029" spans="1:25">
      <c r="A4029" s="499">
        <v>45617</v>
      </c>
      <c r="B4029" s="499">
        <v>45618</v>
      </c>
      <c r="C4029" s="500" t="s">
        <v>173</v>
      </c>
      <c r="D4029" s="500" t="s">
        <v>761</v>
      </c>
      <c r="E4029" s="501">
        <v>69026882.390000001</v>
      </c>
      <c r="F4029" s="502" t="s">
        <v>878</v>
      </c>
      <c r="G4029" s="100">
        <v>114819121</v>
      </c>
      <c r="H4029" s="100">
        <v>114819121</v>
      </c>
      <c r="I4029" s="525"/>
      <c r="K4029" s="548"/>
      <c r="L4029" s="548"/>
      <c r="M4029" s="548"/>
      <c r="N4029" s="552"/>
      <c r="Y4029" s="551"/>
    </row>
    <row r="4030" spans="1:25">
      <c r="A4030" s="499">
        <v>45617</v>
      </c>
      <c r="B4030" s="499">
        <v>45624</v>
      </c>
      <c r="C4030" s="500" t="s">
        <v>173</v>
      </c>
      <c r="D4030" s="500" t="s">
        <v>761</v>
      </c>
      <c r="E4030" s="501">
        <v>11035426.119999999</v>
      </c>
      <c r="F4030" s="502" t="s">
        <v>878</v>
      </c>
      <c r="G4030" s="100">
        <v>114819161</v>
      </c>
      <c r="H4030" s="100">
        <v>114819161</v>
      </c>
      <c r="I4030" s="525"/>
      <c r="K4030" s="548"/>
      <c r="L4030" s="548"/>
      <c r="M4030" s="548"/>
      <c r="N4030" s="552"/>
      <c r="Y4030" s="551"/>
    </row>
    <row r="4031" spans="1:25">
      <c r="A4031" s="499">
        <v>45617</v>
      </c>
      <c r="B4031" s="499">
        <v>45624</v>
      </c>
      <c r="C4031" s="500" t="s">
        <v>173</v>
      </c>
      <c r="D4031" s="500" t="s">
        <v>761</v>
      </c>
      <c r="E4031" s="501">
        <v>30099704.219999999</v>
      </c>
      <c r="F4031" s="502" t="s">
        <v>878</v>
      </c>
      <c r="G4031" s="100">
        <v>114819164</v>
      </c>
      <c r="H4031" s="100">
        <v>114819164</v>
      </c>
      <c r="I4031" s="525"/>
      <c r="K4031" s="548"/>
      <c r="L4031" s="548"/>
      <c r="M4031" s="548"/>
      <c r="N4031" s="552"/>
      <c r="Y4031" s="551"/>
    </row>
    <row r="4032" spans="1:25">
      <c r="A4032" s="499">
        <v>45617</v>
      </c>
      <c r="B4032" s="499">
        <v>45624</v>
      </c>
      <c r="C4032" s="500" t="s">
        <v>173</v>
      </c>
      <c r="D4032" s="500" t="s">
        <v>761</v>
      </c>
      <c r="E4032" s="501">
        <v>30088479.66</v>
      </c>
      <c r="F4032" s="502" t="s">
        <v>878</v>
      </c>
      <c r="G4032" s="100">
        <v>114819167</v>
      </c>
      <c r="H4032" s="100">
        <v>114819167</v>
      </c>
      <c r="I4032" s="525"/>
      <c r="K4032" s="548"/>
      <c r="L4032" s="548"/>
      <c r="M4032" s="548"/>
      <c r="N4032" s="552"/>
      <c r="Y4032" s="551"/>
    </row>
    <row r="4033" spans="1:25">
      <c r="A4033" s="499">
        <v>45617</v>
      </c>
      <c r="B4033" s="499">
        <v>45624</v>
      </c>
      <c r="C4033" s="500" t="s">
        <v>173</v>
      </c>
      <c r="D4033" s="500" t="s">
        <v>761</v>
      </c>
      <c r="E4033" s="501">
        <v>35099977.359999999</v>
      </c>
      <c r="F4033" s="502" t="s">
        <v>878</v>
      </c>
      <c r="G4033" s="100">
        <v>114819170</v>
      </c>
      <c r="H4033" s="100">
        <v>114819170</v>
      </c>
      <c r="I4033" s="525"/>
      <c r="K4033" s="548"/>
      <c r="L4033" s="548"/>
      <c r="M4033" s="548"/>
      <c r="N4033" s="552"/>
      <c r="Y4033" s="551"/>
    </row>
    <row r="4034" spans="1:25">
      <c r="A4034" s="499">
        <v>45617</v>
      </c>
      <c r="B4034" s="499">
        <v>45624</v>
      </c>
      <c r="C4034" s="500" t="s">
        <v>173</v>
      </c>
      <c r="D4034" s="500" t="s">
        <v>761</v>
      </c>
      <c r="E4034" s="501">
        <v>43144769.640000001</v>
      </c>
      <c r="F4034" s="502" t="s">
        <v>878</v>
      </c>
      <c r="G4034" s="100">
        <v>114819173</v>
      </c>
      <c r="H4034" s="100">
        <v>114819173</v>
      </c>
      <c r="I4034" s="525"/>
      <c r="K4034" s="548"/>
      <c r="L4034" s="548"/>
      <c r="M4034" s="548"/>
      <c r="N4034" s="552"/>
      <c r="Y4034" s="551"/>
    </row>
    <row r="4035" spans="1:25">
      <c r="A4035" s="499">
        <v>45617</v>
      </c>
      <c r="B4035" s="499">
        <v>45624</v>
      </c>
      <c r="C4035" s="500" t="s">
        <v>173</v>
      </c>
      <c r="D4035" s="500" t="s">
        <v>761</v>
      </c>
      <c r="E4035" s="501">
        <v>52143325.899999999</v>
      </c>
      <c r="F4035" s="502" t="s">
        <v>878</v>
      </c>
      <c r="G4035" s="100">
        <v>114819176</v>
      </c>
      <c r="H4035" s="100">
        <v>114819176</v>
      </c>
      <c r="I4035" s="525"/>
      <c r="K4035" s="548"/>
      <c r="L4035" s="548"/>
      <c r="M4035" s="548"/>
      <c r="N4035" s="552"/>
      <c r="Y4035" s="551"/>
    </row>
    <row r="4036" spans="1:25">
      <c r="A4036" s="499">
        <v>45617</v>
      </c>
      <c r="B4036" s="499">
        <v>45624</v>
      </c>
      <c r="C4036" s="500" t="s">
        <v>173</v>
      </c>
      <c r="D4036" s="500" t="s">
        <v>761</v>
      </c>
      <c r="E4036" s="501">
        <v>161431193.78999999</v>
      </c>
      <c r="F4036" s="502" t="s">
        <v>878</v>
      </c>
      <c r="G4036" s="100">
        <v>114819179</v>
      </c>
      <c r="H4036" s="100">
        <v>114819179</v>
      </c>
      <c r="I4036" s="525"/>
      <c r="K4036" s="548"/>
      <c r="L4036" s="548"/>
      <c r="M4036" s="548"/>
      <c r="N4036" s="552"/>
      <c r="Y4036" s="551"/>
    </row>
    <row r="4037" spans="1:25">
      <c r="A4037" s="499">
        <v>45617</v>
      </c>
      <c r="B4037" s="499">
        <v>45624</v>
      </c>
      <c r="C4037" s="500" t="s">
        <v>173</v>
      </c>
      <c r="D4037" s="500" t="s">
        <v>761</v>
      </c>
      <c r="E4037" s="501">
        <v>227809742.65000001</v>
      </c>
      <c r="F4037" s="502" t="s">
        <v>878</v>
      </c>
      <c r="G4037" s="100">
        <v>114819182</v>
      </c>
      <c r="H4037" s="100">
        <v>114819182</v>
      </c>
      <c r="I4037" s="525"/>
      <c r="K4037" s="548"/>
      <c r="L4037" s="548"/>
      <c r="M4037" s="548"/>
      <c r="N4037" s="552"/>
      <c r="Y4037" s="551"/>
    </row>
    <row r="4038" spans="1:25">
      <c r="A4038" s="499">
        <v>45617</v>
      </c>
      <c r="B4038" s="499">
        <v>45624</v>
      </c>
      <c r="C4038" s="500" t="s">
        <v>173</v>
      </c>
      <c r="D4038" s="500" t="s">
        <v>761</v>
      </c>
      <c r="E4038" s="501">
        <v>362018048.31999999</v>
      </c>
      <c r="F4038" s="502" t="s">
        <v>878</v>
      </c>
      <c r="G4038" s="100">
        <v>114819193</v>
      </c>
      <c r="H4038" s="100">
        <v>114819193</v>
      </c>
      <c r="I4038" s="525"/>
      <c r="K4038" s="548"/>
      <c r="L4038" s="548"/>
      <c r="M4038" s="548"/>
      <c r="N4038" s="552"/>
      <c r="Y4038" s="551"/>
    </row>
    <row r="4039" spans="1:25">
      <c r="A4039" s="499">
        <v>45617</v>
      </c>
      <c r="B4039" s="499">
        <v>45624</v>
      </c>
      <c r="C4039" s="500" t="s">
        <v>173</v>
      </c>
      <c r="D4039" s="500" t="s">
        <v>761</v>
      </c>
      <c r="E4039" s="501">
        <v>394346876.26999998</v>
      </c>
      <c r="F4039" s="502" t="s">
        <v>878</v>
      </c>
      <c r="G4039" s="100">
        <v>114819196</v>
      </c>
      <c r="H4039" s="100">
        <v>114819196</v>
      </c>
      <c r="I4039" s="525"/>
      <c r="K4039" s="548"/>
      <c r="L4039" s="548"/>
      <c r="M4039" s="548"/>
      <c r="N4039" s="552"/>
      <c r="Y4039" s="551"/>
    </row>
    <row r="4040" spans="1:25">
      <c r="A4040" s="499">
        <v>45617</v>
      </c>
      <c r="B4040" s="499">
        <v>45624</v>
      </c>
      <c r="C4040" s="500" t="s">
        <v>173</v>
      </c>
      <c r="D4040" s="500" t="s">
        <v>761</v>
      </c>
      <c r="E4040" s="501">
        <v>122371073.45999999</v>
      </c>
      <c r="F4040" s="502" t="s">
        <v>878</v>
      </c>
      <c r="G4040" s="100">
        <v>114819421</v>
      </c>
      <c r="H4040" s="100">
        <v>114819421</v>
      </c>
      <c r="I4040" s="525"/>
      <c r="K4040" s="548"/>
      <c r="L4040" s="548"/>
      <c r="M4040" s="548"/>
      <c r="N4040" s="552"/>
      <c r="Y4040" s="551"/>
    </row>
    <row r="4041" spans="1:25">
      <c r="A4041" s="499">
        <v>45617</v>
      </c>
      <c r="B4041" s="499">
        <v>45624</v>
      </c>
      <c r="C4041" s="500" t="s">
        <v>173</v>
      </c>
      <c r="D4041" s="500" t="s">
        <v>761</v>
      </c>
      <c r="E4041" s="501">
        <v>29096074.710000001</v>
      </c>
      <c r="F4041" s="502" t="s">
        <v>878</v>
      </c>
      <c r="G4041" s="100">
        <v>114819521</v>
      </c>
      <c r="H4041" s="100">
        <v>114819521</v>
      </c>
      <c r="I4041" s="525"/>
      <c r="K4041" s="548"/>
      <c r="L4041" s="548"/>
      <c r="M4041" s="548"/>
      <c r="N4041" s="552"/>
      <c r="Y4041" s="551"/>
    </row>
    <row r="4042" spans="1:25">
      <c r="A4042" s="499">
        <v>45617</v>
      </c>
      <c r="B4042" s="499">
        <v>45618</v>
      </c>
      <c r="C4042" s="500" t="s">
        <v>173</v>
      </c>
      <c r="D4042" s="500" t="s">
        <v>761</v>
      </c>
      <c r="E4042" s="501">
        <v>8004990.1299999999</v>
      </c>
      <c r="F4042" s="502" t="s">
        <v>878</v>
      </c>
      <c r="G4042" s="100">
        <v>114820893</v>
      </c>
      <c r="H4042" s="100">
        <v>114820893</v>
      </c>
      <c r="I4042" s="525"/>
      <c r="K4042" s="548"/>
      <c r="L4042" s="548"/>
      <c r="M4042" s="548"/>
      <c r="N4042" s="552"/>
      <c r="Y4042" s="551"/>
    </row>
    <row r="4043" spans="1:25">
      <c r="A4043" s="499">
        <v>45617</v>
      </c>
      <c r="B4043" s="499">
        <v>45617</v>
      </c>
      <c r="C4043" s="500" t="s">
        <v>173</v>
      </c>
      <c r="D4043" s="500" t="s">
        <v>759</v>
      </c>
      <c r="E4043" s="501">
        <v>-273058392.41000003</v>
      </c>
      <c r="F4043" s="502" t="s">
        <v>878</v>
      </c>
      <c r="G4043" s="100">
        <v>114822048</v>
      </c>
      <c r="H4043" s="530"/>
      <c r="I4043" s="525"/>
      <c r="K4043" s="548"/>
      <c r="L4043" s="548"/>
      <c r="M4043" s="548"/>
      <c r="N4043" s="552"/>
      <c r="Y4043" s="551"/>
    </row>
    <row r="4044" spans="1:25">
      <c r="A4044" s="499">
        <v>45617</v>
      </c>
      <c r="B4044" s="499">
        <v>45617</v>
      </c>
      <c r="C4044" s="500" t="s">
        <v>173</v>
      </c>
      <c r="D4044" s="500" t="s">
        <v>759</v>
      </c>
      <c r="E4044" s="501">
        <v>-1010216030.52</v>
      </c>
      <c r="F4044" s="502" t="s">
        <v>878</v>
      </c>
      <c r="G4044" s="100">
        <v>114822057</v>
      </c>
      <c r="H4044" s="530"/>
      <c r="I4044" s="525"/>
      <c r="K4044" s="548"/>
      <c r="L4044" s="548"/>
      <c r="M4044" s="548"/>
      <c r="N4044" s="552"/>
      <c r="Y4044" s="551"/>
    </row>
    <row r="4045" spans="1:25">
      <c r="A4045" s="499">
        <v>45617</v>
      </c>
      <c r="B4045" s="499">
        <v>45617</v>
      </c>
      <c r="C4045" s="500" t="s">
        <v>173</v>
      </c>
      <c r="D4045" s="500" t="s">
        <v>759</v>
      </c>
      <c r="E4045" s="501">
        <v>-15011298.029999999</v>
      </c>
      <c r="F4045" s="502" t="s">
        <v>878</v>
      </c>
      <c r="G4045" s="100">
        <v>114822061</v>
      </c>
      <c r="H4045" s="530"/>
      <c r="I4045" s="525"/>
      <c r="K4045" s="548"/>
      <c r="L4045" s="548"/>
      <c r="M4045" s="548"/>
      <c r="N4045" s="552"/>
      <c r="Y4045" s="551"/>
    </row>
    <row r="4046" spans="1:25">
      <c r="A4046" s="499">
        <v>45617</v>
      </c>
      <c r="B4046" s="499">
        <v>45617</v>
      </c>
      <c r="C4046" s="500" t="s">
        <v>173</v>
      </c>
      <c r="D4046" s="500" t="s">
        <v>759</v>
      </c>
      <c r="E4046" s="501">
        <v>-23003355.870000001</v>
      </c>
      <c r="F4046" s="502" t="s">
        <v>878</v>
      </c>
      <c r="G4046" s="100">
        <v>114822270</v>
      </c>
      <c r="H4046" s="530"/>
      <c r="I4046" s="525"/>
      <c r="K4046" s="548"/>
      <c r="L4046" s="548"/>
      <c r="M4046" s="548"/>
      <c r="N4046" s="552"/>
      <c r="Y4046" s="551"/>
    </row>
    <row r="4047" spans="1:25">
      <c r="A4047" s="499">
        <v>45617</v>
      </c>
      <c r="B4047" s="499">
        <v>45617</v>
      </c>
      <c r="C4047" s="500" t="s">
        <v>173</v>
      </c>
      <c r="D4047" s="500" t="s">
        <v>759</v>
      </c>
      <c r="E4047" s="501">
        <v>-75010943.040000007</v>
      </c>
      <c r="F4047" s="502" t="s">
        <v>878</v>
      </c>
      <c r="G4047" s="100">
        <v>114822273</v>
      </c>
      <c r="H4047" s="530"/>
      <c r="I4047" s="525"/>
      <c r="K4047" s="548"/>
      <c r="L4047" s="548"/>
      <c r="M4047" s="548"/>
      <c r="N4047" s="552"/>
      <c r="Y4047" s="551"/>
    </row>
    <row r="4048" spans="1:25">
      <c r="A4048" s="499">
        <v>45617</v>
      </c>
      <c r="B4048" s="499">
        <v>45617</v>
      </c>
      <c r="C4048" s="500" t="s">
        <v>173</v>
      </c>
      <c r="D4048" s="500" t="s">
        <v>759</v>
      </c>
      <c r="E4048" s="501">
        <v>-116057271.81</v>
      </c>
      <c r="F4048" s="502" t="s">
        <v>878</v>
      </c>
      <c r="G4048" s="100">
        <v>114822277</v>
      </c>
      <c r="H4048" s="530"/>
      <c r="I4048" s="525"/>
      <c r="K4048" s="548"/>
      <c r="L4048" s="548"/>
      <c r="M4048" s="548"/>
      <c r="N4048" s="552"/>
      <c r="Y4048" s="551"/>
    </row>
    <row r="4049" spans="1:25">
      <c r="A4049" s="499">
        <v>45617</v>
      </c>
      <c r="B4049" s="499">
        <v>45617</v>
      </c>
      <c r="C4049" s="500" t="s">
        <v>173</v>
      </c>
      <c r="D4049" s="500" t="s">
        <v>759</v>
      </c>
      <c r="E4049" s="501">
        <v>-293144660.69</v>
      </c>
      <c r="F4049" s="502" t="s">
        <v>878</v>
      </c>
      <c r="G4049" s="100">
        <v>114822286</v>
      </c>
      <c r="H4049" s="530"/>
      <c r="I4049" s="525"/>
      <c r="K4049" s="548"/>
      <c r="L4049" s="548"/>
      <c r="M4049" s="548"/>
      <c r="N4049" s="552"/>
      <c r="Y4049" s="551"/>
    </row>
    <row r="4050" spans="1:25">
      <c r="A4050" s="499">
        <v>45617</v>
      </c>
      <c r="B4050" s="499">
        <v>45617</v>
      </c>
      <c r="C4050" s="500" t="s">
        <v>173</v>
      </c>
      <c r="D4050" s="500" t="s">
        <v>759</v>
      </c>
      <c r="E4050" s="501">
        <v>-196013915.18000001</v>
      </c>
      <c r="F4050" s="502" t="s">
        <v>878</v>
      </c>
      <c r="G4050" s="100">
        <v>114822850</v>
      </c>
      <c r="H4050" s="530"/>
      <c r="I4050" s="525"/>
      <c r="K4050" s="548"/>
      <c r="L4050" s="548"/>
      <c r="M4050" s="548"/>
      <c r="N4050" s="552"/>
      <c r="Y4050" s="551"/>
    </row>
    <row r="4051" spans="1:25">
      <c r="A4051" s="499">
        <v>45617</v>
      </c>
      <c r="B4051" s="499">
        <v>45618</v>
      </c>
      <c r="C4051" s="500" t="s">
        <v>173</v>
      </c>
      <c r="D4051" s="500" t="s">
        <v>759</v>
      </c>
      <c r="E4051" s="501">
        <v>273160602.79000002</v>
      </c>
      <c r="F4051" s="502" t="s">
        <v>878</v>
      </c>
      <c r="G4051" s="100">
        <v>114822048</v>
      </c>
      <c r="H4051" s="530">
        <v>114822048</v>
      </c>
      <c r="I4051" s="525"/>
      <c r="K4051" s="548"/>
      <c r="L4051" s="548"/>
      <c r="M4051" s="548"/>
      <c r="N4051" s="552"/>
      <c r="Y4051" s="551"/>
    </row>
    <row r="4052" spans="1:25">
      <c r="A4052" s="499">
        <v>45617</v>
      </c>
      <c r="B4052" s="499">
        <v>45618</v>
      </c>
      <c r="C4052" s="500" t="s">
        <v>173</v>
      </c>
      <c r="D4052" s="500" t="s">
        <v>759</v>
      </c>
      <c r="E4052" s="501">
        <v>1010594171.49</v>
      </c>
      <c r="F4052" s="502" t="s">
        <v>878</v>
      </c>
      <c r="G4052" s="100">
        <v>114822057</v>
      </c>
      <c r="H4052" s="530">
        <v>114822057</v>
      </c>
      <c r="I4052" s="525"/>
      <c r="K4052" s="548"/>
      <c r="L4052" s="548"/>
      <c r="M4052" s="548"/>
      <c r="N4052" s="552"/>
      <c r="Y4052" s="551"/>
    </row>
    <row r="4053" spans="1:25">
      <c r="A4053" s="499">
        <v>45617</v>
      </c>
      <c r="B4053" s="499">
        <v>45618</v>
      </c>
      <c r="C4053" s="500" t="s">
        <v>173</v>
      </c>
      <c r="D4053" s="500" t="s">
        <v>759</v>
      </c>
      <c r="E4053" s="501">
        <v>15016917.01</v>
      </c>
      <c r="F4053" s="502" t="s">
        <v>878</v>
      </c>
      <c r="G4053" s="100">
        <v>114822061</v>
      </c>
      <c r="H4053" s="530">
        <v>114822061</v>
      </c>
      <c r="I4053" s="525"/>
      <c r="K4053" s="548"/>
      <c r="L4053" s="548"/>
      <c r="M4053" s="548"/>
      <c r="N4053" s="552"/>
      <c r="Y4053" s="551"/>
    </row>
    <row r="4054" spans="1:25">
      <c r="A4054" s="499">
        <v>45617</v>
      </c>
      <c r="B4054" s="499">
        <v>45618</v>
      </c>
      <c r="C4054" s="500" t="s">
        <v>173</v>
      </c>
      <c r="D4054" s="500" t="s">
        <v>759</v>
      </c>
      <c r="E4054" s="501">
        <v>23011966.420000002</v>
      </c>
      <c r="F4054" s="502" t="s">
        <v>878</v>
      </c>
      <c r="G4054" s="100">
        <v>114822270</v>
      </c>
      <c r="H4054" s="530">
        <v>114822270</v>
      </c>
      <c r="I4054" s="525"/>
      <c r="K4054" s="548"/>
      <c r="L4054" s="548"/>
      <c r="M4054" s="548"/>
      <c r="N4054" s="552"/>
      <c r="Y4054" s="551"/>
    </row>
    <row r="4055" spans="1:25">
      <c r="A4055" s="499">
        <v>45617</v>
      </c>
      <c r="B4055" s="499">
        <v>45618</v>
      </c>
      <c r="C4055" s="500" t="s">
        <v>173</v>
      </c>
      <c r="D4055" s="500" t="s">
        <v>759</v>
      </c>
      <c r="E4055" s="501">
        <v>75039020.909999996</v>
      </c>
      <c r="F4055" s="502" t="s">
        <v>878</v>
      </c>
      <c r="G4055" s="100">
        <v>114822273</v>
      </c>
      <c r="H4055" s="530">
        <v>114822273</v>
      </c>
      <c r="I4055" s="525"/>
      <c r="K4055" s="548"/>
      <c r="L4055" s="548"/>
      <c r="M4055" s="548"/>
      <c r="N4055" s="552"/>
      <c r="Y4055" s="551"/>
    </row>
    <row r="4056" spans="1:25">
      <c r="A4056" s="499">
        <v>45617</v>
      </c>
      <c r="B4056" s="499">
        <v>45618</v>
      </c>
      <c r="C4056" s="500" t="s">
        <v>173</v>
      </c>
      <c r="D4056" s="500" t="s">
        <v>759</v>
      </c>
      <c r="E4056" s="501">
        <v>116100714.01000001</v>
      </c>
      <c r="F4056" s="502" t="s">
        <v>878</v>
      </c>
      <c r="G4056" s="100">
        <v>114822277</v>
      </c>
      <c r="H4056" s="530">
        <v>114822277</v>
      </c>
      <c r="I4056" s="525"/>
      <c r="K4056" s="548"/>
      <c r="L4056" s="548"/>
      <c r="M4056" s="548"/>
      <c r="N4056" s="552"/>
      <c r="Y4056" s="551"/>
    </row>
    <row r="4057" spans="1:25">
      <c r="A4057" s="499">
        <v>45617</v>
      </c>
      <c r="B4057" s="499">
        <v>45618</v>
      </c>
      <c r="C4057" s="500" t="s">
        <v>173</v>
      </c>
      <c r="D4057" s="500" t="s">
        <v>759</v>
      </c>
      <c r="E4057" s="501">
        <v>293254389.69999999</v>
      </c>
      <c r="F4057" s="502" t="s">
        <v>878</v>
      </c>
      <c r="G4057" s="100">
        <v>114822286</v>
      </c>
      <c r="H4057" s="530">
        <v>114822286</v>
      </c>
      <c r="I4057" s="525"/>
      <c r="K4057" s="548"/>
      <c r="L4057" s="548"/>
      <c r="M4057" s="548"/>
      <c r="N4057" s="552"/>
      <c r="Y4057" s="551"/>
    </row>
    <row r="4058" spans="1:25">
      <c r="A4058" s="499">
        <v>45617</v>
      </c>
      <c r="B4058" s="499">
        <v>45618</v>
      </c>
      <c r="C4058" s="500" t="s">
        <v>173</v>
      </c>
      <c r="D4058" s="500" t="s">
        <v>759</v>
      </c>
      <c r="E4058" s="501">
        <v>196087129.06</v>
      </c>
      <c r="F4058" s="502" t="s">
        <v>878</v>
      </c>
      <c r="G4058" s="100">
        <v>114822850</v>
      </c>
      <c r="H4058" s="530">
        <v>114822850</v>
      </c>
      <c r="I4058" s="525"/>
      <c r="K4058" s="548"/>
      <c r="L4058" s="548"/>
      <c r="M4058" s="548"/>
      <c r="N4058" s="552"/>
      <c r="Y4058" s="551"/>
    </row>
    <row r="4059" spans="1:25">
      <c r="A4059" s="499">
        <v>45617</v>
      </c>
      <c r="B4059" s="499">
        <v>45617</v>
      </c>
      <c r="C4059" s="500" t="s">
        <v>173</v>
      </c>
      <c r="D4059" s="500" t="s">
        <v>760</v>
      </c>
      <c r="E4059" s="501">
        <v>-1260016152.1900001</v>
      </c>
      <c r="F4059" s="502" t="s">
        <v>878</v>
      </c>
      <c r="G4059" s="100">
        <v>114819124</v>
      </c>
      <c r="H4059" s="530"/>
      <c r="I4059" s="525"/>
      <c r="K4059" s="548"/>
      <c r="L4059" s="548"/>
      <c r="M4059" s="548"/>
      <c r="N4059" s="552"/>
      <c r="Q4059" s="539">
        <v>-1</v>
      </c>
      <c r="Y4059" s="551"/>
    </row>
    <row r="4060" spans="1:25">
      <c r="A4060" s="499">
        <v>45617</v>
      </c>
      <c r="B4060" s="499">
        <v>45617</v>
      </c>
      <c r="C4060" s="500" t="s">
        <v>173</v>
      </c>
      <c r="D4060" s="500" t="s">
        <v>760</v>
      </c>
      <c r="E4060" s="501">
        <v>-33009405.280000001</v>
      </c>
      <c r="F4060" s="502" t="s">
        <v>878</v>
      </c>
      <c r="G4060" s="100">
        <v>114821300</v>
      </c>
      <c r="H4060" s="530"/>
      <c r="I4060" s="525"/>
      <c r="K4060" s="548"/>
      <c r="L4060" s="548"/>
      <c r="M4060" s="548"/>
      <c r="N4060" s="552"/>
      <c r="Y4060" s="551"/>
    </row>
    <row r="4061" spans="1:25">
      <c r="A4061" s="499">
        <v>45617</v>
      </c>
      <c r="B4061" s="499">
        <v>45618</v>
      </c>
      <c r="C4061" s="500" t="s">
        <v>173</v>
      </c>
      <c r="D4061" s="500" t="s">
        <v>760</v>
      </c>
      <c r="E4061" s="501">
        <v>1260490895.98</v>
      </c>
      <c r="F4061" s="502" t="s">
        <v>878</v>
      </c>
      <c r="G4061" s="100">
        <v>114819124</v>
      </c>
      <c r="H4061" s="100">
        <v>114819124</v>
      </c>
      <c r="I4061" s="525"/>
      <c r="K4061" s="548"/>
      <c r="L4061" s="548"/>
      <c r="M4061" s="548"/>
      <c r="N4061" s="552"/>
      <c r="Y4061" s="551"/>
    </row>
    <row r="4062" spans="1:25">
      <c r="A4062" s="499">
        <v>45617</v>
      </c>
      <c r="B4062" s="499">
        <v>45618</v>
      </c>
      <c r="C4062" s="500" t="s">
        <v>173</v>
      </c>
      <c r="D4062" s="500" t="s">
        <v>760</v>
      </c>
      <c r="E4062" s="501">
        <v>33021761.260000002</v>
      </c>
      <c r="F4062" s="502" t="s">
        <v>878</v>
      </c>
      <c r="G4062" s="100">
        <v>114821300</v>
      </c>
      <c r="H4062" s="100">
        <v>114821300</v>
      </c>
      <c r="I4062" s="525"/>
      <c r="K4062" s="548"/>
      <c r="L4062" s="548"/>
      <c r="M4062" s="548"/>
      <c r="N4062" s="552"/>
      <c r="Y4062" s="551"/>
    </row>
    <row r="4063" spans="1:25">
      <c r="A4063" s="499">
        <v>45617</v>
      </c>
      <c r="B4063" s="499">
        <v>45617</v>
      </c>
      <c r="C4063" s="500" t="s">
        <v>173</v>
      </c>
      <c r="D4063" s="500" t="s">
        <v>763</v>
      </c>
      <c r="E4063" s="501">
        <v>-3910050123.0700002</v>
      </c>
      <c r="F4063" s="502" t="s">
        <v>878</v>
      </c>
      <c r="G4063" s="100">
        <v>114819411</v>
      </c>
      <c r="H4063" s="530"/>
      <c r="I4063" s="525"/>
      <c r="K4063" s="548"/>
      <c r="L4063" s="548"/>
      <c r="M4063" s="548"/>
      <c r="N4063" s="552"/>
      <c r="Y4063" s="551"/>
    </row>
    <row r="4064" spans="1:25">
      <c r="A4064" s="499">
        <v>45617</v>
      </c>
      <c r="B4064" s="499">
        <v>45617</v>
      </c>
      <c r="C4064" s="500" t="s">
        <v>173</v>
      </c>
      <c r="D4064" s="500" t="s">
        <v>763</v>
      </c>
      <c r="E4064" s="501">
        <v>-1548269205.21</v>
      </c>
      <c r="F4064" s="502" t="s">
        <v>878</v>
      </c>
      <c r="G4064" s="100">
        <v>114819414</v>
      </c>
      <c r="H4064" s="530"/>
      <c r="I4064" s="525"/>
      <c r="K4064" s="548"/>
      <c r="L4064" s="548"/>
      <c r="M4064" s="548"/>
      <c r="N4064" s="552"/>
      <c r="Y4064" s="551"/>
    </row>
    <row r="4065" spans="1:25">
      <c r="A4065" s="499">
        <v>45617</v>
      </c>
      <c r="B4065" s="499">
        <v>45617</v>
      </c>
      <c r="C4065" s="500" t="s">
        <v>173</v>
      </c>
      <c r="D4065" s="500" t="s">
        <v>763</v>
      </c>
      <c r="E4065" s="501">
        <v>-21017229.030000001</v>
      </c>
      <c r="F4065" s="502" t="s">
        <v>878</v>
      </c>
      <c r="G4065" s="100">
        <v>114819434</v>
      </c>
      <c r="H4065" s="530"/>
      <c r="I4065" s="525"/>
      <c r="K4065" s="548"/>
      <c r="L4065" s="548"/>
      <c r="M4065" s="548"/>
      <c r="N4065" s="552"/>
      <c r="Y4065" s="551"/>
    </row>
    <row r="4066" spans="1:25">
      <c r="A4066" s="499">
        <v>45617</v>
      </c>
      <c r="B4066" s="499">
        <v>45618</v>
      </c>
      <c r="C4066" s="500" t="s">
        <v>173</v>
      </c>
      <c r="D4066" s="500" t="s">
        <v>763</v>
      </c>
      <c r="E4066" s="501">
        <v>3911519062.6700001</v>
      </c>
      <c r="F4066" s="502" t="s">
        <v>878</v>
      </c>
      <c r="G4066" s="100">
        <v>114819411</v>
      </c>
      <c r="H4066" s="100">
        <v>114819411</v>
      </c>
      <c r="I4066" s="525"/>
      <c r="K4066" s="548"/>
      <c r="L4066" s="548"/>
      <c r="M4066" s="548"/>
      <c r="N4066" s="552"/>
      <c r="Y4066" s="551"/>
    </row>
    <row r="4067" spans="1:25">
      <c r="A4067" s="499">
        <v>45617</v>
      </c>
      <c r="B4067" s="499">
        <v>45618</v>
      </c>
      <c r="C4067" s="500" t="s">
        <v>173</v>
      </c>
      <c r="D4067" s="500" t="s">
        <v>763</v>
      </c>
      <c r="E4067" s="501">
        <v>1548849594.6500001</v>
      </c>
      <c r="F4067" s="502" t="s">
        <v>878</v>
      </c>
      <c r="G4067" s="100">
        <v>114819414</v>
      </c>
      <c r="H4067" s="100">
        <v>114819414</v>
      </c>
      <c r="I4067" s="525"/>
      <c r="K4067" s="548"/>
      <c r="L4067" s="548"/>
      <c r="M4067" s="548"/>
      <c r="N4067" s="552"/>
      <c r="Y4067" s="551"/>
    </row>
    <row r="4068" spans="1:25">
      <c r="A4068" s="499">
        <v>45617</v>
      </c>
      <c r="B4068" s="499">
        <v>45618</v>
      </c>
      <c r="C4068" s="500" t="s">
        <v>173</v>
      </c>
      <c r="D4068" s="500" t="s">
        <v>763</v>
      </c>
      <c r="E4068" s="501">
        <v>21025107.620000001</v>
      </c>
      <c r="F4068" s="502" t="s">
        <v>878</v>
      </c>
      <c r="G4068" s="100">
        <v>114819434</v>
      </c>
      <c r="H4068" s="100">
        <v>114819434</v>
      </c>
      <c r="I4068" s="525"/>
      <c r="K4068" s="548"/>
      <c r="L4068" s="548"/>
      <c r="M4068" s="548"/>
      <c r="N4068" s="552"/>
      <c r="Y4068" s="551"/>
    </row>
    <row r="4069" spans="1:25">
      <c r="A4069" s="499">
        <v>45618</v>
      </c>
      <c r="B4069" s="499">
        <v>45618</v>
      </c>
      <c r="C4069" s="500" t="s">
        <v>173</v>
      </c>
      <c r="D4069" s="500" t="s">
        <v>761</v>
      </c>
      <c r="E4069" s="501">
        <v>-513233394.99000001</v>
      </c>
      <c r="F4069" s="502" t="s">
        <v>878</v>
      </c>
      <c r="G4069" s="100">
        <v>114836465</v>
      </c>
      <c r="H4069" s="530"/>
      <c r="I4069" s="525"/>
      <c r="K4069" s="548"/>
      <c r="L4069" s="548"/>
      <c r="M4069" s="548"/>
      <c r="N4069" s="552"/>
      <c r="Y4069" s="551"/>
    </row>
    <row r="4070" spans="1:25">
      <c r="A4070" s="499">
        <v>45618</v>
      </c>
      <c r="B4070" s="499">
        <v>45618</v>
      </c>
      <c r="C4070" s="500" t="s">
        <v>173</v>
      </c>
      <c r="D4070" s="500" t="s">
        <v>761</v>
      </c>
      <c r="E4070" s="501">
        <v>-2000485.5</v>
      </c>
      <c r="F4070" s="502" t="s">
        <v>878</v>
      </c>
      <c r="G4070" s="100">
        <v>114836722</v>
      </c>
      <c r="H4070" s="530"/>
      <c r="I4070" s="525"/>
      <c r="K4070" s="548"/>
      <c r="L4070" s="548"/>
      <c r="M4070" s="548"/>
      <c r="N4070" s="552"/>
      <c r="Y4070" s="551"/>
    </row>
    <row r="4071" spans="1:25">
      <c r="A4071" s="499">
        <v>45618</v>
      </c>
      <c r="B4071" s="499">
        <v>45621</v>
      </c>
      <c r="C4071" s="500" t="s">
        <v>173</v>
      </c>
      <c r="D4071" s="500" t="s">
        <v>761</v>
      </c>
      <c r="E4071" s="501">
        <v>513813517</v>
      </c>
      <c r="F4071" s="502" t="s">
        <v>878</v>
      </c>
      <c r="G4071" s="100">
        <v>114836465</v>
      </c>
      <c r="H4071" s="530">
        <v>114836465</v>
      </c>
      <c r="I4071" s="525"/>
      <c r="K4071" s="548"/>
      <c r="L4071" s="548"/>
      <c r="M4071" s="548"/>
      <c r="N4071" s="552"/>
      <c r="Y4071" s="551"/>
    </row>
    <row r="4072" spans="1:25">
      <c r="A4072" s="499">
        <v>45618</v>
      </c>
      <c r="B4072" s="499">
        <v>45621</v>
      </c>
      <c r="C4072" s="500" t="s">
        <v>173</v>
      </c>
      <c r="D4072" s="500" t="s">
        <v>761</v>
      </c>
      <c r="E4072" s="501">
        <v>2002740.28</v>
      </c>
      <c r="F4072" s="502" t="s">
        <v>878</v>
      </c>
      <c r="G4072" s="100">
        <v>114836722</v>
      </c>
      <c r="H4072" s="530">
        <v>114836722</v>
      </c>
      <c r="I4072" s="525"/>
      <c r="K4072" s="548"/>
      <c r="L4072" s="548"/>
      <c r="M4072" s="548"/>
      <c r="N4072" s="552"/>
      <c r="Y4072" s="551"/>
    </row>
    <row r="4073" spans="1:25">
      <c r="A4073" s="499">
        <v>45618</v>
      </c>
      <c r="B4073" s="499">
        <v>45618</v>
      </c>
      <c r="C4073" s="500" t="s">
        <v>173</v>
      </c>
      <c r="D4073" s="500" t="s">
        <v>759</v>
      </c>
      <c r="E4073" s="501">
        <v>-1345326498.75</v>
      </c>
      <c r="F4073" s="502" t="s">
        <v>878</v>
      </c>
      <c r="G4073" s="100">
        <v>114836725</v>
      </c>
      <c r="H4073" s="530"/>
      <c r="I4073" s="525"/>
      <c r="K4073" s="548"/>
      <c r="L4073" s="548"/>
      <c r="M4073" s="548"/>
      <c r="N4073" s="552"/>
      <c r="Y4073" s="551"/>
    </row>
    <row r="4074" spans="1:25">
      <c r="A4074" s="499">
        <v>45618</v>
      </c>
      <c r="B4074" s="499">
        <v>45618</v>
      </c>
      <c r="C4074" s="500" t="s">
        <v>173</v>
      </c>
      <c r="D4074" s="500" t="s">
        <v>759</v>
      </c>
      <c r="E4074" s="501">
        <v>-650337893.39999998</v>
      </c>
      <c r="F4074" s="502" t="s">
        <v>878</v>
      </c>
      <c r="G4074" s="100">
        <v>114836728</v>
      </c>
      <c r="H4074" s="530"/>
      <c r="I4074" s="525"/>
      <c r="K4074" s="548"/>
      <c r="L4074" s="548"/>
      <c r="M4074" s="548"/>
      <c r="N4074" s="552"/>
      <c r="Y4074" s="551"/>
    </row>
    <row r="4075" spans="1:25">
      <c r="A4075" s="499">
        <v>45618</v>
      </c>
      <c r="B4075" s="499">
        <v>45618</v>
      </c>
      <c r="C4075" s="500" t="s">
        <v>173</v>
      </c>
      <c r="D4075" s="500" t="s">
        <v>759</v>
      </c>
      <c r="E4075" s="501">
        <v>-7003638.8499999996</v>
      </c>
      <c r="F4075" s="502" t="s">
        <v>878</v>
      </c>
      <c r="G4075" s="100">
        <v>114836740</v>
      </c>
      <c r="H4075" s="530"/>
      <c r="I4075" s="525"/>
      <c r="K4075" s="548"/>
      <c r="L4075" s="548"/>
      <c r="M4075" s="548"/>
      <c r="N4075" s="552"/>
      <c r="Y4075" s="551"/>
    </row>
    <row r="4076" spans="1:25">
      <c r="A4076" s="499">
        <v>45618</v>
      </c>
      <c r="B4076" s="499">
        <v>45621</v>
      </c>
      <c r="C4076" s="500" t="s">
        <v>173</v>
      </c>
      <c r="D4076" s="500" t="s">
        <v>759</v>
      </c>
      <c r="E4076" s="501">
        <v>1346842836.0999999</v>
      </c>
      <c r="F4076" s="502" t="s">
        <v>878</v>
      </c>
      <c r="G4076" s="100">
        <v>114836725</v>
      </c>
      <c r="H4076" s="530">
        <v>114836725</v>
      </c>
      <c r="I4076" s="525"/>
      <c r="K4076" s="548"/>
      <c r="L4076" s="548"/>
      <c r="M4076" s="548"/>
      <c r="N4076" s="552"/>
      <c r="Y4076" s="551"/>
    </row>
    <row r="4077" spans="1:25">
      <c r="A4077" s="499">
        <v>45618</v>
      </c>
      <c r="B4077" s="499">
        <v>45621</v>
      </c>
      <c r="C4077" s="500" t="s">
        <v>173</v>
      </c>
      <c r="D4077" s="500" t="s">
        <v>759</v>
      </c>
      <c r="E4077" s="501">
        <v>651070888.16999996</v>
      </c>
      <c r="F4077" s="502" t="s">
        <v>878</v>
      </c>
      <c r="G4077" s="100">
        <v>114836728</v>
      </c>
      <c r="H4077" s="530">
        <v>114836728</v>
      </c>
      <c r="I4077" s="525"/>
      <c r="K4077" s="548"/>
      <c r="L4077" s="548"/>
      <c r="M4077" s="548"/>
      <c r="N4077" s="552"/>
      <c r="Y4077" s="551"/>
    </row>
    <row r="4078" spans="1:25">
      <c r="A4078" s="499">
        <v>45618</v>
      </c>
      <c r="B4078" s="499">
        <v>45621</v>
      </c>
      <c r="C4078" s="500" t="s">
        <v>173</v>
      </c>
      <c r="D4078" s="500" t="s">
        <v>759</v>
      </c>
      <c r="E4078" s="501">
        <v>7011532.6399999997</v>
      </c>
      <c r="F4078" s="502" t="s">
        <v>878</v>
      </c>
      <c r="G4078" s="100">
        <v>114836740</v>
      </c>
      <c r="H4078" s="530">
        <v>114836740</v>
      </c>
      <c r="I4078" s="525"/>
      <c r="K4078" s="548"/>
      <c r="L4078" s="548"/>
      <c r="M4078" s="548"/>
      <c r="N4078" s="552"/>
      <c r="Y4078" s="551"/>
    </row>
    <row r="4079" spans="1:25">
      <c r="A4079" s="499">
        <v>45618</v>
      </c>
      <c r="B4079" s="499">
        <v>45618</v>
      </c>
      <c r="C4079" s="500" t="s">
        <v>173</v>
      </c>
      <c r="D4079" s="500" t="s">
        <v>760</v>
      </c>
      <c r="E4079" s="501">
        <v>-192087352.50999999</v>
      </c>
      <c r="F4079" s="502" t="s">
        <v>878</v>
      </c>
      <c r="G4079" s="100">
        <v>114836474</v>
      </c>
      <c r="H4079" s="530"/>
      <c r="I4079" s="525"/>
      <c r="K4079" s="548"/>
      <c r="L4079" s="548"/>
      <c r="M4079" s="548"/>
      <c r="N4079" s="552"/>
      <c r="Y4079" s="551"/>
    </row>
    <row r="4080" spans="1:25">
      <c r="A4080" s="499">
        <v>45618</v>
      </c>
      <c r="B4080" s="499">
        <v>45618</v>
      </c>
      <c r="C4080" s="500" t="s">
        <v>173</v>
      </c>
      <c r="D4080" s="500" t="s">
        <v>760</v>
      </c>
      <c r="E4080" s="501">
        <v>-1001025.7</v>
      </c>
      <c r="F4080" s="502" t="s">
        <v>878</v>
      </c>
      <c r="G4080" s="100">
        <v>114836477</v>
      </c>
      <c r="H4080" s="530"/>
      <c r="I4080" s="525"/>
      <c r="K4080" s="548"/>
      <c r="L4080" s="548"/>
      <c r="M4080" s="548"/>
      <c r="N4080" s="552"/>
      <c r="Y4080" s="551"/>
    </row>
    <row r="4081" spans="1:25">
      <c r="A4081" s="499">
        <v>45618</v>
      </c>
      <c r="B4081" s="499">
        <v>45618</v>
      </c>
      <c r="C4081" s="500" t="s">
        <v>173</v>
      </c>
      <c r="D4081" s="500" t="s">
        <v>760</v>
      </c>
      <c r="E4081" s="501">
        <v>-1000336.7</v>
      </c>
      <c r="F4081" s="502" t="s">
        <v>878</v>
      </c>
      <c r="G4081" s="100">
        <v>114836480</v>
      </c>
      <c r="H4081" s="530"/>
      <c r="I4081" s="525"/>
      <c r="K4081" s="548"/>
      <c r="L4081" s="548"/>
      <c r="M4081" s="548"/>
      <c r="N4081" s="552"/>
      <c r="Y4081" s="551"/>
    </row>
    <row r="4082" spans="1:25">
      <c r="A4082" s="499">
        <v>45618</v>
      </c>
      <c r="B4082" s="499">
        <v>45618</v>
      </c>
      <c r="C4082" s="500" t="s">
        <v>173</v>
      </c>
      <c r="D4082" s="500" t="s">
        <v>760</v>
      </c>
      <c r="E4082" s="501">
        <v>-1000197.12</v>
      </c>
      <c r="F4082" s="502" t="s">
        <v>878</v>
      </c>
      <c r="G4082" s="100">
        <v>114836483</v>
      </c>
      <c r="H4082" s="530"/>
      <c r="I4082" s="525"/>
      <c r="K4082" s="548"/>
      <c r="L4082" s="548"/>
      <c r="M4082" s="548"/>
      <c r="N4082" s="552"/>
      <c r="Y4082" s="551"/>
    </row>
    <row r="4083" spans="1:25">
      <c r="A4083" s="499">
        <v>45618</v>
      </c>
      <c r="B4083" s="499">
        <v>45618</v>
      </c>
      <c r="C4083" s="500" t="s">
        <v>173</v>
      </c>
      <c r="D4083" s="500" t="s">
        <v>760</v>
      </c>
      <c r="E4083" s="501">
        <v>-1000388.48</v>
      </c>
      <c r="F4083" s="502" t="s">
        <v>878</v>
      </c>
      <c r="G4083" s="100">
        <v>114836486</v>
      </c>
      <c r="H4083" s="530"/>
      <c r="I4083" s="525"/>
      <c r="K4083" s="548"/>
      <c r="L4083" s="548"/>
      <c r="M4083" s="548"/>
      <c r="N4083" s="552"/>
      <c r="Y4083" s="551"/>
    </row>
    <row r="4084" spans="1:25">
      <c r="A4084" s="499">
        <v>45618</v>
      </c>
      <c r="B4084" s="499">
        <v>45618</v>
      </c>
      <c r="C4084" s="500" t="s">
        <v>173</v>
      </c>
      <c r="D4084" s="500" t="s">
        <v>760</v>
      </c>
      <c r="E4084" s="501">
        <v>-1000803.23</v>
      </c>
      <c r="F4084" s="502" t="s">
        <v>878</v>
      </c>
      <c r="G4084" s="100">
        <v>114836489</v>
      </c>
      <c r="H4084" s="530"/>
      <c r="I4084" s="525"/>
      <c r="K4084" s="548"/>
      <c r="L4084" s="548"/>
      <c r="M4084" s="548"/>
      <c r="N4084" s="552"/>
      <c r="Y4084" s="551"/>
    </row>
    <row r="4085" spans="1:25">
      <c r="A4085" s="499">
        <v>45618</v>
      </c>
      <c r="B4085" s="499">
        <v>45618</v>
      </c>
      <c r="C4085" s="500" t="s">
        <v>173</v>
      </c>
      <c r="D4085" s="500" t="s">
        <v>760</v>
      </c>
      <c r="E4085" s="501">
        <v>-1000308.07</v>
      </c>
      <c r="F4085" s="502" t="s">
        <v>878</v>
      </c>
      <c r="G4085" s="100">
        <v>114836492</v>
      </c>
      <c r="H4085" s="530"/>
      <c r="I4085" s="525"/>
      <c r="K4085" s="548"/>
      <c r="L4085" s="548"/>
      <c r="M4085" s="548"/>
      <c r="N4085" s="552"/>
      <c r="Y4085" s="551"/>
    </row>
    <row r="4086" spans="1:25">
      <c r="A4086" s="499">
        <v>45618</v>
      </c>
      <c r="B4086" s="499">
        <v>45618</v>
      </c>
      <c r="C4086" s="500" t="s">
        <v>173</v>
      </c>
      <c r="D4086" s="500" t="s">
        <v>760</v>
      </c>
      <c r="E4086" s="501">
        <v>-1000336.7</v>
      </c>
      <c r="F4086" s="502" t="s">
        <v>878</v>
      </c>
      <c r="G4086" s="100">
        <v>114836495</v>
      </c>
      <c r="H4086" s="530"/>
      <c r="I4086" s="525"/>
      <c r="K4086" s="548"/>
      <c r="L4086" s="548"/>
      <c r="M4086" s="548"/>
      <c r="N4086" s="552"/>
      <c r="Y4086" s="551"/>
    </row>
    <row r="4087" spans="1:25">
      <c r="A4087" s="499">
        <v>45618</v>
      </c>
      <c r="B4087" s="499">
        <v>45618</v>
      </c>
      <c r="C4087" s="500" t="s">
        <v>173</v>
      </c>
      <c r="D4087" s="500" t="s">
        <v>760</v>
      </c>
      <c r="E4087" s="501">
        <v>-2001463.04</v>
      </c>
      <c r="F4087" s="502" t="s">
        <v>878</v>
      </c>
      <c r="G4087" s="100">
        <v>114836498</v>
      </c>
      <c r="H4087" s="530"/>
      <c r="I4087" s="525"/>
      <c r="K4087" s="548"/>
      <c r="L4087" s="548"/>
      <c r="M4087" s="548"/>
      <c r="N4087" s="552"/>
      <c r="Y4087" s="551"/>
    </row>
    <row r="4088" spans="1:25">
      <c r="A4088" s="499">
        <v>45618</v>
      </c>
      <c r="B4088" s="499">
        <v>45618</v>
      </c>
      <c r="C4088" s="500" t="s">
        <v>173</v>
      </c>
      <c r="D4088" s="500" t="s">
        <v>760</v>
      </c>
      <c r="E4088" s="501">
        <v>-2001573.84</v>
      </c>
      <c r="F4088" s="502" t="s">
        <v>878</v>
      </c>
      <c r="G4088" s="100">
        <v>114836501</v>
      </c>
      <c r="H4088" s="530"/>
      <c r="I4088" s="525"/>
      <c r="K4088" s="548"/>
      <c r="L4088" s="548"/>
      <c r="M4088" s="548"/>
      <c r="N4088" s="552"/>
      <c r="Y4088" s="551"/>
    </row>
    <row r="4089" spans="1:25">
      <c r="A4089" s="499">
        <v>45618</v>
      </c>
      <c r="B4089" s="499">
        <v>45618</v>
      </c>
      <c r="C4089" s="500" t="s">
        <v>173</v>
      </c>
      <c r="D4089" s="500" t="s">
        <v>760</v>
      </c>
      <c r="E4089" s="501">
        <v>-2001346.05</v>
      </c>
      <c r="F4089" s="502" t="s">
        <v>878</v>
      </c>
      <c r="G4089" s="100">
        <v>114836504</v>
      </c>
      <c r="H4089" s="530"/>
      <c r="I4089" s="525"/>
      <c r="K4089" s="548"/>
      <c r="L4089" s="548"/>
      <c r="M4089" s="548"/>
      <c r="N4089" s="552"/>
      <c r="Y4089" s="551"/>
    </row>
    <row r="4090" spans="1:25">
      <c r="A4090" s="499">
        <v>45618</v>
      </c>
      <c r="B4090" s="499">
        <v>45618</v>
      </c>
      <c r="C4090" s="500" t="s">
        <v>173</v>
      </c>
      <c r="D4090" s="500" t="s">
        <v>760</v>
      </c>
      <c r="E4090" s="501">
        <v>-3002612.58</v>
      </c>
      <c r="F4090" s="502" t="s">
        <v>878</v>
      </c>
      <c r="G4090" s="100">
        <v>114836507</v>
      </c>
      <c r="H4090" s="530"/>
      <c r="I4090" s="525"/>
      <c r="K4090" s="548"/>
      <c r="L4090" s="548"/>
      <c r="M4090" s="548"/>
      <c r="N4090" s="552"/>
      <c r="Y4090" s="551"/>
    </row>
    <row r="4091" spans="1:25">
      <c r="A4091" s="499">
        <v>45618</v>
      </c>
      <c r="B4091" s="499">
        <v>45618</v>
      </c>
      <c r="C4091" s="500" t="s">
        <v>173</v>
      </c>
      <c r="D4091" s="500" t="s">
        <v>760</v>
      </c>
      <c r="E4091" s="501">
        <v>-4002464.44</v>
      </c>
      <c r="F4091" s="502" t="s">
        <v>878</v>
      </c>
      <c r="G4091" s="100">
        <v>114836510</v>
      </c>
      <c r="H4091" s="530"/>
      <c r="I4091" s="525"/>
      <c r="K4091" s="548"/>
      <c r="L4091" s="548"/>
      <c r="M4091" s="548"/>
      <c r="N4091" s="552"/>
      <c r="Y4091" s="551"/>
    </row>
    <row r="4092" spans="1:25">
      <c r="A4092" s="499">
        <v>45618</v>
      </c>
      <c r="B4092" s="499">
        <v>45618</v>
      </c>
      <c r="C4092" s="500" t="s">
        <v>173</v>
      </c>
      <c r="D4092" s="500" t="s">
        <v>760</v>
      </c>
      <c r="E4092" s="501">
        <v>-5000985.5999999996</v>
      </c>
      <c r="F4092" s="502" t="s">
        <v>878</v>
      </c>
      <c r="G4092" s="100">
        <v>114836513</v>
      </c>
      <c r="H4092" s="530"/>
      <c r="I4092" s="525"/>
      <c r="K4092" s="548"/>
      <c r="L4092" s="548"/>
      <c r="M4092" s="548"/>
      <c r="N4092" s="552"/>
      <c r="Y4092" s="551"/>
    </row>
    <row r="4093" spans="1:25">
      <c r="A4093" s="499">
        <v>45618</v>
      </c>
      <c r="B4093" s="499">
        <v>45618</v>
      </c>
      <c r="C4093" s="500" t="s">
        <v>173</v>
      </c>
      <c r="D4093" s="500" t="s">
        <v>760</v>
      </c>
      <c r="E4093" s="501">
        <v>-6005477.3899999997</v>
      </c>
      <c r="F4093" s="502" t="s">
        <v>878</v>
      </c>
      <c r="G4093" s="100">
        <v>114836516</v>
      </c>
      <c r="H4093" s="530"/>
      <c r="I4093" s="525"/>
      <c r="K4093" s="548"/>
      <c r="L4093" s="548"/>
      <c r="M4093" s="548"/>
      <c r="N4093" s="552"/>
      <c r="Y4093" s="551"/>
    </row>
    <row r="4094" spans="1:25">
      <c r="A4094" s="499">
        <v>45618</v>
      </c>
      <c r="B4094" s="499">
        <v>45618</v>
      </c>
      <c r="C4094" s="500" t="s">
        <v>173</v>
      </c>
      <c r="D4094" s="500" t="s">
        <v>760</v>
      </c>
      <c r="E4094" s="501">
        <v>-6000310.2699999996</v>
      </c>
      <c r="F4094" s="502" t="s">
        <v>878</v>
      </c>
      <c r="G4094" s="100">
        <v>114836519</v>
      </c>
      <c r="H4094" s="530"/>
      <c r="I4094" s="525"/>
      <c r="K4094" s="548"/>
      <c r="L4094" s="548"/>
      <c r="M4094" s="548"/>
      <c r="N4094" s="552"/>
      <c r="Y4094" s="551"/>
    </row>
    <row r="4095" spans="1:25">
      <c r="A4095" s="499">
        <v>45618</v>
      </c>
      <c r="B4095" s="499">
        <v>45618</v>
      </c>
      <c r="C4095" s="500" t="s">
        <v>173</v>
      </c>
      <c r="D4095" s="500" t="s">
        <v>760</v>
      </c>
      <c r="E4095" s="501">
        <v>-6001848.4000000004</v>
      </c>
      <c r="F4095" s="502" t="s">
        <v>878</v>
      </c>
      <c r="G4095" s="100">
        <v>114836522</v>
      </c>
      <c r="H4095" s="530"/>
      <c r="I4095" s="525"/>
      <c r="K4095" s="548"/>
      <c r="L4095" s="548"/>
      <c r="M4095" s="548"/>
      <c r="N4095" s="552"/>
      <c r="Y4095" s="551"/>
    </row>
    <row r="4096" spans="1:25">
      <c r="A4096" s="499">
        <v>45618</v>
      </c>
      <c r="B4096" s="499">
        <v>45618</v>
      </c>
      <c r="C4096" s="500" t="s">
        <v>173</v>
      </c>
      <c r="D4096" s="500" t="s">
        <v>760</v>
      </c>
      <c r="E4096" s="501">
        <v>-7001379.8399999999</v>
      </c>
      <c r="F4096" s="502" t="s">
        <v>878</v>
      </c>
      <c r="G4096" s="100">
        <v>114836525</v>
      </c>
      <c r="H4096" s="530"/>
      <c r="I4096" s="525"/>
      <c r="K4096" s="548"/>
      <c r="L4096" s="548"/>
      <c r="M4096" s="548"/>
      <c r="N4096" s="552"/>
      <c r="Y4096" s="551"/>
    </row>
    <row r="4097" spans="1:25">
      <c r="A4097" s="499">
        <v>45618</v>
      </c>
      <c r="B4097" s="499">
        <v>45618</v>
      </c>
      <c r="C4097" s="500" t="s">
        <v>173</v>
      </c>
      <c r="D4097" s="500" t="s">
        <v>760</v>
      </c>
      <c r="E4097" s="501">
        <v>-7005622.6200000001</v>
      </c>
      <c r="F4097" s="502" t="s">
        <v>878</v>
      </c>
      <c r="G4097" s="100">
        <v>114836528</v>
      </c>
      <c r="H4097" s="530"/>
      <c r="I4097" s="525"/>
      <c r="K4097" s="548"/>
      <c r="L4097" s="548"/>
      <c r="M4097" s="548"/>
      <c r="N4097" s="552"/>
      <c r="Y4097" s="551"/>
    </row>
    <row r="4098" spans="1:25">
      <c r="A4098" s="499">
        <v>45618</v>
      </c>
      <c r="B4098" s="499">
        <v>45618</v>
      </c>
      <c r="C4098" s="500" t="s">
        <v>173</v>
      </c>
      <c r="D4098" s="500" t="s">
        <v>760</v>
      </c>
      <c r="E4098" s="501">
        <v>-8003107.8399999999</v>
      </c>
      <c r="F4098" s="502" t="s">
        <v>878</v>
      </c>
      <c r="G4098" s="100">
        <v>114836531</v>
      </c>
      <c r="H4098" s="530"/>
      <c r="I4098" s="525"/>
      <c r="K4098" s="548"/>
      <c r="L4098" s="548"/>
      <c r="M4098" s="548"/>
      <c r="N4098" s="552"/>
      <c r="Y4098" s="551"/>
    </row>
    <row r="4099" spans="1:25">
      <c r="A4099" s="499">
        <v>45618</v>
      </c>
      <c r="B4099" s="499">
        <v>45618</v>
      </c>
      <c r="C4099" s="500" t="s">
        <v>173</v>
      </c>
      <c r="D4099" s="500" t="s">
        <v>760</v>
      </c>
      <c r="E4099" s="501">
        <v>-9003496.3200000003</v>
      </c>
      <c r="F4099" s="502" t="s">
        <v>878</v>
      </c>
      <c r="G4099" s="100">
        <v>114836534</v>
      </c>
      <c r="H4099" s="530"/>
      <c r="I4099" s="525"/>
      <c r="K4099" s="548"/>
      <c r="L4099" s="548"/>
      <c r="M4099" s="548"/>
      <c r="N4099" s="552"/>
      <c r="Y4099" s="551"/>
    </row>
    <row r="4100" spans="1:25">
      <c r="A4100" s="499">
        <v>45618</v>
      </c>
      <c r="B4100" s="499">
        <v>45618</v>
      </c>
      <c r="C4100" s="500" t="s">
        <v>173</v>
      </c>
      <c r="D4100" s="500" t="s">
        <v>760</v>
      </c>
      <c r="E4100" s="501">
        <v>-9002772.5899999999</v>
      </c>
      <c r="F4100" s="502" t="s">
        <v>878</v>
      </c>
      <c r="G4100" s="100">
        <v>114836537</v>
      </c>
      <c r="H4100" s="530"/>
      <c r="I4100" s="525"/>
      <c r="K4100" s="548"/>
      <c r="L4100" s="548"/>
      <c r="M4100" s="548"/>
      <c r="N4100" s="552"/>
      <c r="Y4100" s="551"/>
    </row>
    <row r="4101" spans="1:25">
      <c r="A4101" s="499">
        <v>45618</v>
      </c>
      <c r="B4101" s="499">
        <v>45618</v>
      </c>
      <c r="C4101" s="500" t="s">
        <v>173</v>
      </c>
      <c r="D4101" s="500" t="s">
        <v>760</v>
      </c>
      <c r="E4101" s="501">
        <v>-10006773.76</v>
      </c>
      <c r="F4101" s="502" t="s">
        <v>878</v>
      </c>
      <c r="G4101" s="100">
        <v>114836540</v>
      </c>
      <c r="H4101" s="530"/>
      <c r="I4101" s="525"/>
      <c r="K4101" s="548"/>
      <c r="L4101" s="548"/>
      <c r="M4101" s="548"/>
      <c r="N4101" s="552"/>
      <c r="Y4101" s="551"/>
    </row>
    <row r="4102" spans="1:25">
      <c r="A4102" s="499">
        <v>45618</v>
      </c>
      <c r="B4102" s="499">
        <v>45618</v>
      </c>
      <c r="C4102" s="500" t="s">
        <v>173</v>
      </c>
      <c r="D4102" s="500" t="s">
        <v>760</v>
      </c>
      <c r="E4102" s="501">
        <v>-10006161.1</v>
      </c>
      <c r="F4102" s="502" t="s">
        <v>878</v>
      </c>
      <c r="G4102" s="100">
        <v>114836543</v>
      </c>
      <c r="H4102" s="530"/>
      <c r="I4102" s="525"/>
      <c r="K4102" s="548"/>
      <c r="L4102" s="548"/>
      <c r="M4102" s="548"/>
      <c r="N4102" s="552"/>
      <c r="Y4102" s="551"/>
    </row>
    <row r="4103" spans="1:25">
      <c r="A4103" s="499">
        <v>45618</v>
      </c>
      <c r="B4103" s="499">
        <v>45618</v>
      </c>
      <c r="C4103" s="500" t="s">
        <v>173</v>
      </c>
      <c r="D4103" s="500" t="s">
        <v>760</v>
      </c>
      <c r="E4103" s="501">
        <v>-11002194.380000001</v>
      </c>
      <c r="F4103" s="502" t="s">
        <v>878</v>
      </c>
      <c r="G4103" s="100">
        <v>114836546</v>
      </c>
      <c r="H4103" s="530"/>
      <c r="I4103" s="525"/>
      <c r="K4103" s="548"/>
      <c r="L4103" s="548"/>
      <c r="M4103" s="548"/>
      <c r="N4103" s="552"/>
      <c r="Y4103" s="551"/>
    </row>
    <row r="4104" spans="1:25">
      <c r="A4104" s="499">
        <v>45618</v>
      </c>
      <c r="B4104" s="499">
        <v>45618</v>
      </c>
      <c r="C4104" s="500" t="s">
        <v>173</v>
      </c>
      <c r="D4104" s="500" t="s">
        <v>760</v>
      </c>
      <c r="E4104" s="501">
        <v>-13010316.23</v>
      </c>
      <c r="F4104" s="502" t="s">
        <v>878</v>
      </c>
      <c r="G4104" s="100">
        <v>114836549</v>
      </c>
      <c r="H4104" s="530"/>
      <c r="I4104" s="525"/>
      <c r="K4104" s="548"/>
      <c r="L4104" s="548"/>
      <c r="M4104" s="548"/>
      <c r="N4104" s="552"/>
      <c r="Y4104" s="551"/>
    </row>
    <row r="4105" spans="1:25">
      <c r="A4105" s="499">
        <v>45618</v>
      </c>
      <c r="B4105" s="499">
        <v>45618</v>
      </c>
      <c r="C4105" s="500" t="s">
        <v>173</v>
      </c>
      <c r="D4105" s="500" t="s">
        <v>760</v>
      </c>
      <c r="E4105" s="501">
        <v>-15002992.34</v>
      </c>
      <c r="F4105" s="502" t="s">
        <v>878</v>
      </c>
      <c r="G4105" s="100">
        <v>114836552</v>
      </c>
      <c r="H4105" s="530"/>
      <c r="I4105" s="525"/>
      <c r="K4105" s="548"/>
      <c r="L4105" s="548"/>
      <c r="M4105" s="548"/>
      <c r="N4105" s="552"/>
      <c r="Y4105" s="551"/>
    </row>
    <row r="4106" spans="1:25">
      <c r="A4106" s="499">
        <v>45618</v>
      </c>
      <c r="B4106" s="499">
        <v>45618</v>
      </c>
      <c r="C4106" s="500" t="s">
        <v>173</v>
      </c>
      <c r="D4106" s="500" t="s">
        <v>760</v>
      </c>
      <c r="E4106" s="501">
        <v>-15002992.34</v>
      </c>
      <c r="F4106" s="502" t="s">
        <v>878</v>
      </c>
      <c r="G4106" s="100">
        <v>114836555</v>
      </c>
      <c r="H4106" s="530"/>
      <c r="I4106" s="525"/>
      <c r="K4106" s="548"/>
      <c r="L4106" s="548"/>
      <c r="M4106" s="548"/>
      <c r="N4106" s="552"/>
      <c r="Y4106" s="551"/>
    </row>
    <row r="4107" spans="1:25">
      <c r="A4107" s="499">
        <v>45618</v>
      </c>
      <c r="B4107" s="499">
        <v>45618</v>
      </c>
      <c r="C4107" s="500" t="s">
        <v>173</v>
      </c>
      <c r="D4107" s="500" t="s">
        <v>760</v>
      </c>
      <c r="E4107" s="501">
        <v>-16004364.800000001</v>
      </c>
      <c r="F4107" s="502" t="s">
        <v>878</v>
      </c>
      <c r="G4107" s="100">
        <v>114836558</v>
      </c>
      <c r="H4107" s="530"/>
      <c r="I4107" s="525"/>
      <c r="K4107" s="548"/>
      <c r="L4107" s="548"/>
      <c r="M4107" s="548"/>
      <c r="N4107" s="552"/>
      <c r="Y4107" s="551"/>
    </row>
    <row r="4108" spans="1:25">
      <c r="A4108" s="499">
        <v>45618</v>
      </c>
      <c r="B4108" s="499">
        <v>45618</v>
      </c>
      <c r="C4108" s="500" t="s">
        <v>173</v>
      </c>
      <c r="D4108" s="500" t="s">
        <v>760</v>
      </c>
      <c r="E4108" s="501">
        <v>-19003745.280000001</v>
      </c>
      <c r="F4108" s="502" t="s">
        <v>878</v>
      </c>
      <c r="G4108" s="100">
        <v>114836561</v>
      </c>
      <c r="H4108" s="530"/>
      <c r="I4108" s="525"/>
      <c r="K4108" s="548"/>
      <c r="L4108" s="548"/>
      <c r="M4108" s="548"/>
      <c r="N4108" s="552"/>
      <c r="Y4108" s="551"/>
    </row>
    <row r="4109" spans="1:25">
      <c r="A4109" s="499">
        <v>45618</v>
      </c>
      <c r="B4109" s="499">
        <v>45618</v>
      </c>
      <c r="C4109" s="500" t="s">
        <v>173</v>
      </c>
      <c r="D4109" s="500" t="s">
        <v>760</v>
      </c>
      <c r="E4109" s="501">
        <v>-19017002.719999999</v>
      </c>
      <c r="F4109" s="502" t="s">
        <v>878</v>
      </c>
      <c r="G4109" s="100">
        <v>114836564</v>
      </c>
      <c r="H4109" s="530"/>
      <c r="I4109" s="525"/>
      <c r="K4109" s="548"/>
      <c r="L4109" s="548"/>
      <c r="M4109" s="548"/>
      <c r="N4109" s="552"/>
      <c r="Y4109" s="551"/>
    </row>
    <row r="4110" spans="1:25">
      <c r="A4110" s="499">
        <v>45618</v>
      </c>
      <c r="B4110" s="499">
        <v>45618</v>
      </c>
      <c r="C4110" s="500" t="s">
        <v>173</v>
      </c>
      <c r="D4110" s="500" t="s">
        <v>760</v>
      </c>
      <c r="E4110" s="501">
        <v>-20017021.399999999</v>
      </c>
      <c r="F4110" s="502" t="s">
        <v>878</v>
      </c>
      <c r="G4110" s="100">
        <v>114836567</v>
      </c>
      <c r="H4110" s="530"/>
      <c r="I4110" s="525"/>
      <c r="K4110" s="548"/>
      <c r="L4110" s="548"/>
      <c r="M4110" s="548"/>
      <c r="N4110" s="552"/>
      <c r="Y4110" s="551"/>
    </row>
    <row r="4111" spans="1:25">
      <c r="A4111" s="499">
        <v>45618</v>
      </c>
      <c r="B4111" s="499">
        <v>45618</v>
      </c>
      <c r="C4111" s="500" t="s">
        <v>173</v>
      </c>
      <c r="D4111" s="500" t="s">
        <v>760</v>
      </c>
      <c r="E4111" s="501">
        <v>-20003942.399999999</v>
      </c>
      <c r="F4111" s="502" t="s">
        <v>878</v>
      </c>
      <c r="G4111" s="100">
        <v>114836570</v>
      </c>
      <c r="H4111" s="530"/>
      <c r="I4111" s="525"/>
      <c r="K4111" s="548"/>
      <c r="L4111" s="548"/>
      <c r="M4111" s="548"/>
      <c r="N4111" s="552"/>
      <c r="Y4111" s="551"/>
    </row>
    <row r="4112" spans="1:25">
      <c r="A4112" s="499">
        <v>45618</v>
      </c>
      <c r="B4112" s="499">
        <v>45618</v>
      </c>
      <c r="C4112" s="500" t="s">
        <v>173</v>
      </c>
      <c r="D4112" s="500" t="s">
        <v>760</v>
      </c>
      <c r="E4112" s="501">
        <v>-20018257.960000001</v>
      </c>
      <c r="F4112" s="502" t="s">
        <v>878</v>
      </c>
      <c r="G4112" s="100">
        <v>114836573</v>
      </c>
      <c r="H4112" s="530"/>
      <c r="I4112" s="525"/>
      <c r="K4112" s="548"/>
      <c r="L4112" s="548"/>
      <c r="M4112" s="548"/>
      <c r="N4112" s="552"/>
      <c r="Y4112" s="551"/>
    </row>
    <row r="4113" spans="1:25">
      <c r="A4113" s="499">
        <v>45618</v>
      </c>
      <c r="B4113" s="499">
        <v>45618</v>
      </c>
      <c r="C4113" s="500" t="s">
        <v>173</v>
      </c>
      <c r="D4113" s="500" t="s">
        <v>760</v>
      </c>
      <c r="E4113" s="501">
        <v>-20006734</v>
      </c>
      <c r="F4113" s="502" t="s">
        <v>878</v>
      </c>
      <c r="G4113" s="100">
        <v>114836576</v>
      </c>
      <c r="H4113" s="530"/>
      <c r="I4113" s="525"/>
      <c r="K4113" s="548"/>
      <c r="L4113" s="548"/>
      <c r="M4113" s="548"/>
      <c r="N4113" s="552"/>
      <c r="Y4113" s="551"/>
    </row>
    <row r="4114" spans="1:25">
      <c r="A4114" s="499">
        <v>45618</v>
      </c>
      <c r="B4114" s="499">
        <v>45618</v>
      </c>
      <c r="C4114" s="500" t="s">
        <v>173</v>
      </c>
      <c r="D4114" s="500" t="s">
        <v>760</v>
      </c>
      <c r="E4114" s="501">
        <v>-21004864.649999999</v>
      </c>
      <c r="F4114" s="502" t="s">
        <v>878</v>
      </c>
      <c r="G4114" s="100">
        <v>114836579</v>
      </c>
      <c r="H4114" s="530"/>
      <c r="I4114" s="525"/>
      <c r="K4114" s="548"/>
      <c r="L4114" s="548"/>
      <c r="M4114" s="548"/>
      <c r="N4114" s="552"/>
      <c r="Y4114" s="551"/>
    </row>
    <row r="4115" spans="1:25">
      <c r="A4115" s="499">
        <v>45618</v>
      </c>
      <c r="B4115" s="499">
        <v>45618</v>
      </c>
      <c r="C4115" s="500" t="s">
        <v>173</v>
      </c>
      <c r="D4115" s="500" t="s">
        <v>760</v>
      </c>
      <c r="E4115" s="501">
        <v>-23008935.039999999</v>
      </c>
      <c r="F4115" s="502" t="s">
        <v>878</v>
      </c>
      <c r="G4115" s="100">
        <v>114836582</v>
      </c>
      <c r="H4115" s="530"/>
      <c r="I4115" s="525"/>
      <c r="K4115" s="548"/>
      <c r="L4115" s="548"/>
      <c r="M4115" s="548"/>
      <c r="N4115" s="552"/>
      <c r="Y4115" s="551"/>
    </row>
    <row r="4116" spans="1:25">
      <c r="A4116" s="499">
        <v>45618</v>
      </c>
      <c r="B4116" s="499">
        <v>45618</v>
      </c>
      <c r="C4116" s="500" t="s">
        <v>173</v>
      </c>
      <c r="D4116" s="500" t="s">
        <v>760</v>
      </c>
      <c r="E4116" s="501">
        <v>-23015479.579999998</v>
      </c>
      <c r="F4116" s="502" t="s">
        <v>878</v>
      </c>
      <c r="G4116" s="100">
        <v>114836585</v>
      </c>
      <c r="H4116" s="530"/>
      <c r="I4116" s="525"/>
      <c r="K4116" s="548"/>
      <c r="L4116" s="548"/>
      <c r="M4116" s="548"/>
      <c r="N4116" s="552"/>
      <c r="Y4116" s="551"/>
    </row>
    <row r="4117" spans="1:25">
      <c r="A4117" s="499">
        <v>45618</v>
      </c>
      <c r="B4117" s="499">
        <v>45618</v>
      </c>
      <c r="C4117" s="500" t="s">
        <v>173</v>
      </c>
      <c r="D4117" s="500" t="s">
        <v>760</v>
      </c>
      <c r="E4117" s="501">
        <v>-25022981.399999999</v>
      </c>
      <c r="F4117" s="502" t="s">
        <v>878</v>
      </c>
      <c r="G4117" s="100">
        <v>114836588</v>
      </c>
      <c r="H4117" s="530"/>
      <c r="I4117" s="525"/>
      <c r="K4117" s="548"/>
      <c r="L4117" s="548"/>
      <c r="M4117" s="548"/>
      <c r="N4117" s="552"/>
      <c r="Y4117" s="551"/>
    </row>
    <row r="4118" spans="1:25">
      <c r="A4118" s="499">
        <v>45618</v>
      </c>
      <c r="B4118" s="499">
        <v>45618</v>
      </c>
      <c r="C4118" s="500" t="s">
        <v>173</v>
      </c>
      <c r="D4118" s="500" t="s">
        <v>760</v>
      </c>
      <c r="E4118" s="501">
        <v>-26005408.649999999</v>
      </c>
      <c r="F4118" s="502" t="s">
        <v>878</v>
      </c>
      <c r="G4118" s="100">
        <v>114836591</v>
      </c>
      <c r="H4118" s="530"/>
      <c r="I4118" s="525"/>
      <c r="K4118" s="548"/>
      <c r="L4118" s="548"/>
      <c r="M4118" s="548"/>
      <c r="N4118" s="552"/>
      <c r="Y4118" s="551"/>
    </row>
    <row r="4119" spans="1:25">
      <c r="A4119" s="499">
        <v>45618</v>
      </c>
      <c r="B4119" s="499">
        <v>45618</v>
      </c>
      <c r="C4119" s="500" t="s">
        <v>173</v>
      </c>
      <c r="D4119" s="500" t="s">
        <v>760</v>
      </c>
      <c r="E4119" s="501">
        <v>-27007365.600000001</v>
      </c>
      <c r="F4119" s="502" t="s">
        <v>878</v>
      </c>
      <c r="G4119" s="100">
        <v>114836594</v>
      </c>
      <c r="H4119" s="530"/>
      <c r="I4119" s="525"/>
      <c r="K4119" s="548"/>
      <c r="L4119" s="548"/>
      <c r="M4119" s="548"/>
      <c r="N4119" s="552"/>
      <c r="Y4119" s="551"/>
    </row>
    <row r="4120" spans="1:25">
      <c r="A4120" s="499">
        <v>45618</v>
      </c>
      <c r="B4120" s="499">
        <v>45618</v>
      </c>
      <c r="C4120" s="500" t="s">
        <v>173</v>
      </c>
      <c r="D4120" s="500" t="s">
        <v>760</v>
      </c>
      <c r="E4120" s="501">
        <v>-31027741.280000001</v>
      </c>
      <c r="F4120" s="502" t="s">
        <v>878</v>
      </c>
      <c r="G4120" s="100">
        <v>114836597</v>
      </c>
      <c r="H4120" s="530"/>
      <c r="I4120" s="525"/>
      <c r="K4120" s="548"/>
      <c r="L4120" s="548"/>
      <c r="M4120" s="548"/>
      <c r="N4120" s="552"/>
      <c r="Y4120" s="551"/>
    </row>
    <row r="4121" spans="1:25">
      <c r="A4121" s="499">
        <v>45618</v>
      </c>
      <c r="B4121" s="499">
        <v>45618</v>
      </c>
      <c r="C4121" s="500" t="s">
        <v>173</v>
      </c>
      <c r="D4121" s="500" t="s">
        <v>760</v>
      </c>
      <c r="E4121" s="501">
        <v>-35015378.159999996</v>
      </c>
      <c r="F4121" s="502" t="s">
        <v>878</v>
      </c>
      <c r="G4121" s="100">
        <v>114836600</v>
      </c>
      <c r="H4121" s="530"/>
      <c r="I4121" s="525"/>
      <c r="K4121" s="548"/>
      <c r="L4121" s="548"/>
      <c r="M4121" s="548"/>
      <c r="N4121" s="552"/>
      <c r="Y4121" s="551"/>
    </row>
    <row r="4122" spans="1:25">
      <c r="A4122" s="499">
        <v>45618</v>
      </c>
      <c r="B4122" s="499">
        <v>45618</v>
      </c>
      <c r="C4122" s="500" t="s">
        <v>173</v>
      </c>
      <c r="D4122" s="500" t="s">
        <v>760</v>
      </c>
      <c r="E4122" s="501">
        <v>-39014900.219999999</v>
      </c>
      <c r="F4122" s="502" t="s">
        <v>878</v>
      </c>
      <c r="G4122" s="100">
        <v>114836603</v>
      </c>
      <c r="H4122" s="530"/>
      <c r="I4122" s="525"/>
      <c r="K4122" s="548"/>
      <c r="L4122" s="548"/>
      <c r="M4122" s="548"/>
      <c r="N4122" s="552"/>
      <c r="Y4122" s="551"/>
    </row>
    <row r="4123" spans="1:25">
      <c r="A4123" s="499">
        <v>45618</v>
      </c>
      <c r="B4123" s="499">
        <v>45618</v>
      </c>
      <c r="C4123" s="500" t="s">
        <v>173</v>
      </c>
      <c r="D4123" s="500" t="s">
        <v>760</v>
      </c>
      <c r="E4123" s="501">
        <v>-41012630.700000003</v>
      </c>
      <c r="F4123" s="502" t="s">
        <v>878</v>
      </c>
      <c r="G4123" s="100">
        <v>114836606</v>
      </c>
      <c r="H4123" s="530"/>
      <c r="I4123" s="525"/>
      <c r="K4123" s="548"/>
      <c r="L4123" s="548"/>
      <c r="M4123" s="548"/>
      <c r="N4123" s="552"/>
      <c r="Y4123" s="551"/>
    </row>
    <row r="4124" spans="1:25">
      <c r="A4124" s="499">
        <v>45618</v>
      </c>
      <c r="B4124" s="499">
        <v>45618</v>
      </c>
      <c r="C4124" s="500" t="s">
        <v>173</v>
      </c>
      <c r="D4124" s="500" t="s">
        <v>760</v>
      </c>
      <c r="E4124" s="501">
        <v>-42036576.119999997</v>
      </c>
      <c r="F4124" s="502" t="s">
        <v>878</v>
      </c>
      <c r="G4124" s="100">
        <v>114836609</v>
      </c>
      <c r="H4124" s="530"/>
      <c r="I4124" s="525"/>
      <c r="K4124" s="548"/>
      <c r="L4124" s="548"/>
      <c r="M4124" s="548"/>
      <c r="N4124" s="552"/>
      <c r="Y4124" s="551"/>
    </row>
    <row r="4125" spans="1:25">
      <c r="A4125" s="499">
        <v>45618</v>
      </c>
      <c r="B4125" s="499">
        <v>45618</v>
      </c>
      <c r="C4125" s="500" t="s">
        <v>173</v>
      </c>
      <c r="D4125" s="500" t="s">
        <v>760</v>
      </c>
      <c r="E4125" s="501">
        <v>-46002378.75</v>
      </c>
      <c r="F4125" s="502" t="s">
        <v>878</v>
      </c>
      <c r="G4125" s="100">
        <v>114836612</v>
      </c>
      <c r="H4125" s="530"/>
      <c r="I4125" s="525"/>
      <c r="K4125" s="548"/>
      <c r="L4125" s="548"/>
      <c r="M4125" s="548"/>
      <c r="N4125" s="552"/>
      <c r="Y4125" s="551"/>
    </row>
    <row r="4126" spans="1:25">
      <c r="A4126" s="499">
        <v>45618</v>
      </c>
      <c r="B4126" s="499">
        <v>45618</v>
      </c>
      <c r="C4126" s="500" t="s">
        <v>173</v>
      </c>
      <c r="D4126" s="500" t="s">
        <v>760</v>
      </c>
      <c r="E4126" s="501">
        <v>-48043819.100000001</v>
      </c>
      <c r="F4126" s="502" t="s">
        <v>878</v>
      </c>
      <c r="G4126" s="100">
        <v>114836615</v>
      </c>
      <c r="H4126" s="530"/>
      <c r="I4126" s="525"/>
      <c r="K4126" s="548"/>
      <c r="L4126" s="548"/>
      <c r="M4126" s="548"/>
      <c r="N4126" s="552"/>
      <c r="Y4126" s="551"/>
    </row>
    <row r="4127" spans="1:25">
      <c r="A4127" s="499">
        <v>45618</v>
      </c>
      <c r="B4127" s="499">
        <v>45618</v>
      </c>
      <c r="C4127" s="500" t="s">
        <v>173</v>
      </c>
      <c r="D4127" s="500" t="s">
        <v>760</v>
      </c>
      <c r="E4127" s="501">
        <v>-49030189.390000001</v>
      </c>
      <c r="F4127" s="502" t="s">
        <v>878</v>
      </c>
      <c r="G4127" s="100">
        <v>114836618</v>
      </c>
      <c r="H4127" s="530"/>
      <c r="I4127" s="525"/>
      <c r="K4127" s="548"/>
      <c r="L4127" s="548"/>
      <c r="M4127" s="548"/>
      <c r="N4127" s="552"/>
      <c r="Y4127" s="551"/>
    </row>
    <row r="4128" spans="1:25">
      <c r="A4128" s="499">
        <v>45618</v>
      </c>
      <c r="B4128" s="499">
        <v>45618</v>
      </c>
      <c r="C4128" s="500" t="s">
        <v>173</v>
      </c>
      <c r="D4128" s="500" t="s">
        <v>760</v>
      </c>
      <c r="E4128" s="501">
        <v>-53045106.710000001</v>
      </c>
      <c r="F4128" s="502" t="s">
        <v>878</v>
      </c>
      <c r="G4128" s="100">
        <v>114836621</v>
      </c>
      <c r="H4128" s="530"/>
      <c r="I4128" s="525"/>
      <c r="K4128" s="548"/>
      <c r="L4128" s="548"/>
      <c r="M4128" s="548"/>
      <c r="N4128" s="552"/>
      <c r="Y4128" s="551"/>
    </row>
    <row r="4129" spans="1:25">
      <c r="A4129" s="499">
        <v>45618</v>
      </c>
      <c r="B4129" s="499">
        <v>45618</v>
      </c>
      <c r="C4129" s="500" t="s">
        <v>173</v>
      </c>
      <c r="D4129" s="500" t="s">
        <v>760</v>
      </c>
      <c r="E4129" s="501">
        <v>-62056993.869999997</v>
      </c>
      <c r="F4129" s="502" t="s">
        <v>878</v>
      </c>
      <c r="G4129" s="100">
        <v>114836624</v>
      </c>
      <c r="H4129" s="530"/>
      <c r="I4129" s="525"/>
      <c r="K4129" s="548"/>
      <c r="L4129" s="548"/>
      <c r="M4129" s="548"/>
      <c r="N4129" s="552"/>
      <c r="Y4129" s="551"/>
    </row>
    <row r="4130" spans="1:25">
      <c r="A4130" s="499">
        <v>45618</v>
      </c>
      <c r="B4130" s="499">
        <v>45618</v>
      </c>
      <c r="C4130" s="500" t="s">
        <v>173</v>
      </c>
      <c r="D4130" s="500" t="s">
        <v>760</v>
      </c>
      <c r="E4130" s="501">
        <v>-64043073.600000001</v>
      </c>
      <c r="F4130" s="502" t="s">
        <v>878</v>
      </c>
      <c r="G4130" s="100">
        <v>114836627</v>
      </c>
      <c r="H4130" s="530"/>
      <c r="I4130" s="525"/>
      <c r="K4130" s="548"/>
      <c r="L4130" s="548"/>
      <c r="M4130" s="548"/>
      <c r="N4130" s="552"/>
      <c r="Y4130" s="551"/>
    </row>
    <row r="4131" spans="1:25">
      <c r="A4131" s="499">
        <v>45618</v>
      </c>
      <c r="B4131" s="499">
        <v>45618</v>
      </c>
      <c r="C4131" s="500" t="s">
        <v>173</v>
      </c>
      <c r="D4131" s="500" t="s">
        <v>760</v>
      </c>
      <c r="E4131" s="501">
        <v>-64050362.880000003</v>
      </c>
      <c r="F4131" s="502" t="s">
        <v>878</v>
      </c>
      <c r="G4131" s="100">
        <v>114836630</v>
      </c>
      <c r="H4131" s="530"/>
      <c r="I4131" s="525"/>
      <c r="K4131" s="548"/>
      <c r="L4131" s="548"/>
      <c r="M4131" s="548"/>
      <c r="N4131" s="552"/>
      <c r="Y4131" s="551"/>
    </row>
    <row r="4132" spans="1:25">
      <c r="A4132" s="499">
        <v>45618</v>
      </c>
      <c r="B4132" s="499">
        <v>45618</v>
      </c>
      <c r="C4132" s="500" t="s">
        <v>173</v>
      </c>
      <c r="D4132" s="500" t="s">
        <v>760</v>
      </c>
      <c r="E4132" s="501">
        <v>-58036207.310000002</v>
      </c>
      <c r="F4132" s="502" t="s">
        <v>878</v>
      </c>
      <c r="G4132" s="100">
        <v>114836633</v>
      </c>
      <c r="H4132" s="530"/>
      <c r="I4132" s="525"/>
      <c r="K4132" s="548"/>
      <c r="L4132" s="548"/>
      <c r="M4132" s="548"/>
      <c r="N4132" s="552"/>
      <c r="Y4132" s="551"/>
    </row>
    <row r="4133" spans="1:25">
      <c r="A4133" s="499">
        <v>45618</v>
      </c>
      <c r="B4133" s="499">
        <v>45618</v>
      </c>
      <c r="C4133" s="500" t="s">
        <v>173</v>
      </c>
      <c r="D4133" s="500" t="s">
        <v>760</v>
      </c>
      <c r="E4133" s="501">
        <v>-32005448.5</v>
      </c>
      <c r="F4133" s="502" t="s">
        <v>878</v>
      </c>
      <c r="G4133" s="100">
        <v>114837038</v>
      </c>
      <c r="H4133" s="530"/>
      <c r="I4133" s="525"/>
      <c r="K4133" s="548"/>
      <c r="L4133" s="548"/>
      <c r="M4133" s="548"/>
      <c r="N4133" s="552"/>
      <c r="Y4133" s="551"/>
    </row>
    <row r="4134" spans="1:25">
      <c r="A4134" s="499">
        <v>45618</v>
      </c>
      <c r="B4134" s="499">
        <v>45621</v>
      </c>
      <c r="C4134" s="500" t="s">
        <v>173</v>
      </c>
      <c r="D4134" s="500" t="s">
        <v>760</v>
      </c>
      <c r="E4134" s="501">
        <v>192304474.19999999</v>
      </c>
      <c r="F4134" s="502" t="s">
        <v>878</v>
      </c>
      <c r="G4134" s="100">
        <v>114836474</v>
      </c>
      <c r="H4134" s="100">
        <v>114836474</v>
      </c>
      <c r="I4134" s="525"/>
      <c r="K4134" s="548"/>
      <c r="L4134" s="548"/>
      <c r="M4134" s="548"/>
      <c r="N4134" s="552"/>
      <c r="Y4134" s="551"/>
    </row>
    <row r="4135" spans="1:25">
      <c r="A4135" s="499">
        <v>45618</v>
      </c>
      <c r="B4135" s="499">
        <v>45621</v>
      </c>
      <c r="C4135" s="500" t="s">
        <v>173</v>
      </c>
      <c r="D4135" s="500" t="s">
        <v>760</v>
      </c>
      <c r="E4135" s="501">
        <v>1002157.19</v>
      </c>
      <c r="F4135" s="502" t="s">
        <v>878</v>
      </c>
      <c r="G4135" s="100">
        <v>114836477</v>
      </c>
      <c r="H4135" s="100">
        <v>114836477</v>
      </c>
      <c r="I4135" s="525"/>
      <c r="K4135" s="548"/>
      <c r="L4135" s="548"/>
      <c r="M4135" s="548"/>
      <c r="N4135" s="552"/>
      <c r="Y4135" s="551"/>
    </row>
    <row r="4136" spans="1:25">
      <c r="A4136" s="499">
        <v>45618</v>
      </c>
      <c r="B4136" s="499">
        <v>45621</v>
      </c>
      <c r="C4136" s="500" t="s">
        <v>173</v>
      </c>
      <c r="D4136" s="500" t="s">
        <v>760</v>
      </c>
      <c r="E4136" s="501">
        <v>1001467.41</v>
      </c>
      <c r="F4136" s="502" t="s">
        <v>878</v>
      </c>
      <c r="G4136" s="100">
        <v>114836480</v>
      </c>
      <c r="H4136" s="100">
        <v>114836480</v>
      </c>
      <c r="I4136" s="525"/>
      <c r="K4136" s="548"/>
      <c r="L4136" s="548"/>
      <c r="M4136" s="548"/>
      <c r="N4136" s="552"/>
      <c r="Y4136" s="551"/>
    </row>
    <row r="4137" spans="1:25">
      <c r="A4137" s="499">
        <v>45618</v>
      </c>
      <c r="B4137" s="499">
        <v>45621</v>
      </c>
      <c r="C4137" s="500" t="s">
        <v>173</v>
      </c>
      <c r="D4137" s="500" t="s">
        <v>760</v>
      </c>
      <c r="E4137" s="501">
        <v>1001327.67</v>
      </c>
      <c r="F4137" s="502" t="s">
        <v>878</v>
      </c>
      <c r="G4137" s="100">
        <v>114836483</v>
      </c>
      <c r="H4137" s="100">
        <v>114836483</v>
      </c>
      <c r="I4137" s="525"/>
      <c r="K4137" s="548"/>
      <c r="L4137" s="548"/>
      <c r="M4137" s="548"/>
      <c r="N4137" s="552"/>
      <c r="Y4137" s="551"/>
    </row>
    <row r="4138" spans="1:25">
      <c r="A4138" s="499">
        <v>45618</v>
      </c>
      <c r="B4138" s="499">
        <v>45621</v>
      </c>
      <c r="C4138" s="500" t="s">
        <v>173</v>
      </c>
      <c r="D4138" s="500" t="s">
        <v>760</v>
      </c>
      <c r="E4138" s="501">
        <v>1001519.25</v>
      </c>
      <c r="F4138" s="502" t="s">
        <v>878</v>
      </c>
      <c r="G4138" s="100">
        <v>114836486</v>
      </c>
      <c r="H4138" s="100">
        <v>114836486</v>
      </c>
      <c r="I4138" s="525"/>
      <c r="K4138" s="548"/>
      <c r="L4138" s="548"/>
      <c r="M4138" s="548"/>
      <c r="N4138" s="552"/>
      <c r="Y4138" s="551"/>
    </row>
    <row r="4139" spans="1:25">
      <c r="A4139" s="499">
        <v>45618</v>
      </c>
      <c r="B4139" s="499">
        <v>45621</v>
      </c>
      <c r="C4139" s="500" t="s">
        <v>173</v>
      </c>
      <c r="D4139" s="500" t="s">
        <v>760</v>
      </c>
      <c r="E4139" s="501">
        <v>1001934.47</v>
      </c>
      <c r="F4139" s="502" t="s">
        <v>878</v>
      </c>
      <c r="G4139" s="100">
        <v>114836489</v>
      </c>
      <c r="H4139" s="100">
        <v>114836489</v>
      </c>
      <c r="I4139" s="525"/>
      <c r="K4139" s="548"/>
      <c r="L4139" s="548"/>
      <c r="M4139" s="548"/>
      <c r="N4139" s="552"/>
      <c r="Y4139" s="551"/>
    </row>
    <row r="4140" spans="1:25">
      <c r="A4140" s="499">
        <v>45618</v>
      </c>
      <c r="B4140" s="499">
        <v>45621</v>
      </c>
      <c r="C4140" s="500" t="s">
        <v>173</v>
      </c>
      <c r="D4140" s="500" t="s">
        <v>760</v>
      </c>
      <c r="E4140" s="501">
        <v>1001438.75</v>
      </c>
      <c r="F4140" s="502" t="s">
        <v>878</v>
      </c>
      <c r="G4140" s="100">
        <v>114836492</v>
      </c>
      <c r="H4140" s="100">
        <v>114836492</v>
      </c>
      <c r="I4140" s="525"/>
      <c r="K4140" s="548"/>
      <c r="L4140" s="548"/>
      <c r="M4140" s="548"/>
      <c r="N4140" s="552"/>
      <c r="Y4140" s="551"/>
    </row>
    <row r="4141" spans="1:25">
      <c r="A4141" s="499">
        <v>45618</v>
      </c>
      <c r="B4141" s="499">
        <v>45621</v>
      </c>
      <c r="C4141" s="500" t="s">
        <v>173</v>
      </c>
      <c r="D4141" s="500" t="s">
        <v>760</v>
      </c>
      <c r="E4141" s="501">
        <v>1001467.41</v>
      </c>
      <c r="F4141" s="502" t="s">
        <v>878</v>
      </c>
      <c r="G4141" s="100">
        <v>114836495</v>
      </c>
      <c r="H4141" s="100">
        <v>114836495</v>
      </c>
      <c r="I4141" s="525"/>
      <c r="K4141" s="548"/>
      <c r="L4141" s="548"/>
      <c r="M4141" s="548"/>
      <c r="N4141" s="552"/>
      <c r="Y4141" s="551"/>
    </row>
    <row r="4142" spans="1:25">
      <c r="A4142" s="499">
        <v>45618</v>
      </c>
      <c r="B4142" s="499">
        <v>45621</v>
      </c>
      <c r="C4142" s="500" t="s">
        <v>173</v>
      </c>
      <c r="D4142" s="500" t="s">
        <v>760</v>
      </c>
      <c r="E4142" s="501">
        <v>2003725.35</v>
      </c>
      <c r="F4142" s="502" t="s">
        <v>878</v>
      </c>
      <c r="G4142" s="100">
        <v>114836498</v>
      </c>
      <c r="H4142" s="100">
        <v>114836498</v>
      </c>
      <c r="I4142" s="525"/>
      <c r="K4142" s="548"/>
      <c r="L4142" s="548"/>
      <c r="M4142" s="548"/>
      <c r="N4142" s="552"/>
      <c r="Y4142" s="551"/>
    </row>
    <row r="4143" spans="1:25">
      <c r="A4143" s="499">
        <v>45618</v>
      </c>
      <c r="B4143" s="499">
        <v>45621</v>
      </c>
      <c r="C4143" s="500" t="s">
        <v>173</v>
      </c>
      <c r="D4143" s="500" t="s">
        <v>760</v>
      </c>
      <c r="E4143" s="501">
        <v>2003836.27</v>
      </c>
      <c r="F4143" s="502" t="s">
        <v>878</v>
      </c>
      <c r="G4143" s="100">
        <v>114836501</v>
      </c>
      <c r="H4143" s="100">
        <v>114836501</v>
      </c>
      <c r="I4143" s="525"/>
      <c r="K4143" s="548"/>
      <c r="L4143" s="548"/>
      <c r="M4143" s="548"/>
      <c r="N4143" s="552"/>
      <c r="Y4143" s="551"/>
    </row>
    <row r="4144" spans="1:25">
      <c r="A4144" s="499">
        <v>45618</v>
      </c>
      <c r="B4144" s="499">
        <v>45621</v>
      </c>
      <c r="C4144" s="500" t="s">
        <v>173</v>
      </c>
      <c r="D4144" s="500" t="s">
        <v>760</v>
      </c>
      <c r="E4144" s="501">
        <v>2003608.23</v>
      </c>
      <c r="F4144" s="502" t="s">
        <v>878</v>
      </c>
      <c r="G4144" s="100">
        <v>114836504</v>
      </c>
      <c r="H4144" s="100">
        <v>114836504</v>
      </c>
      <c r="I4144" s="525"/>
      <c r="K4144" s="548"/>
      <c r="L4144" s="548"/>
      <c r="M4144" s="548"/>
      <c r="N4144" s="552"/>
      <c r="Y4144" s="551"/>
    </row>
    <row r="4145" spans="1:25">
      <c r="A4145" s="499">
        <v>45618</v>
      </c>
      <c r="B4145" s="499">
        <v>45621</v>
      </c>
      <c r="C4145" s="500" t="s">
        <v>173</v>
      </c>
      <c r="D4145" s="500" t="s">
        <v>760</v>
      </c>
      <c r="E4145" s="501">
        <v>3006006.52</v>
      </c>
      <c r="F4145" s="502" t="s">
        <v>878</v>
      </c>
      <c r="G4145" s="100">
        <v>114836507</v>
      </c>
      <c r="H4145" s="100">
        <v>114836507</v>
      </c>
      <c r="I4145" s="525"/>
      <c r="K4145" s="548"/>
      <c r="L4145" s="548"/>
      <c r="M4145" s="548"/>
      <c r="N4145" s="552"/>
      <c r="Y4145" s="551"/>
    </row>
    <row r="4146" spans="1:25">
      <c r="A4146" s="499">
        <v>45618</v>
      </c>
      <c r="B4146" s="499">
        <v>45621</v>
      </c>
      <c r="C4146" s="500" t="s">
        <v>173</v>
      </c>
      <c r="D4146" s="500" t="s">
        <v>760</v>
      </c>
      <c r="E4146" s="501">
        <v>4006988.54</v>
      </c>
      <c r="F4146" s="502" t="s">
        <v>878</v>
      </c>
      <c r="G4146" s="100">
        <v>114836510</v>
      </c>
      <c r="H4146" s="100">
        <v>114836510</v>
      </c>
      <c r="I4146" s="525"/>
      <c r="K4146" s="548"/>
      <c r="L4146" s="548"/>
      <c r="M4146" s="548"/>
      <c r="N4146" s="552"/>
      <c r="Y4146" s="551"/>
    </row>
    <row r="4147" spans="1:25">
      <c r="A4147" s="499">
        <v>45618</v>
      </c>
      <c r="B4147" s="499">
        <v>45621</v>
      </c>
      <c r="C4147" s="500" t="s">
        <v>173</v>
      </c>
      <c r="D4147" s="500" t="s">
        <v>760</v>
      </c>
      <c r="E4147" s="501">
        <v>5006638.3499999996</v>
      </c>
      <c r="F4147" s="502" t="s">
        <v>878</v>
      </c>
      <c r="G4147" s="100">
        <v>114836513</v>
      </c>
      <c r="H4147" s="100">
        <v>114836513</v>
      </c>
      <c r="I4147" s="525"/>
      <c r="K4147" s="548"/>
      <c r="L4147" s="548"/>
      <c r="M4147" s="548"/>
      <c r="N4147" s="552"/>
      <c r="Y4147" s="551"/>
    </row>
    <row r="4148" spans="1:25">
      <c r="A4148" s="499">
        <v>45618</v>
      </c>
      <c r="B4148" s="499">
        <v>45621</v>
      </c>
      <c r="C4148" s="500" t="s">
        <v>173</v>
      </c>
      <c r="D4148" s="500" t="s">
        <v>760</v>
      </c>
      <c r="E4148" s="501">
        <v>6012265.5499999998</v>
      </c>
      <c r="F4148" s="502" t="s">
        <v>878</v>
      </c>
      <c r="G4148" s="100">
        <v>114836516</v>
      </c>
      <c r="H4148" s="100">
        <v>114836516</v>
      </c>
      <c r="I4148" s="525"/>
      <c r="K4148" s="548"/>
      <c r="L4148" s="548"/>
      <c r="M4148" s="548"/>
      <c r="N4148" s="552"/>
      <c r="Y4148" s="551"/>
    </row>
    <row r="4149" spans="1:25">
      <c r="A4149" s="499">
        <v>45618</v>
      </c>
      <c r="B4149" s="499">
        <v>45621</v>
      </c>
      <c r="C4149" s="500" t="s">
        <v>173</v>
      </c>
      <c r="D4149" s="500" t="s">
        <v>760</v>
      </c>
      <c r="E4149" s="501">
        <v>6007092.5899999999</v>
      </c>
      <c r="F4149" s="502" t="s">
        <v>878</v>
      </c>
      <c r="G4149" s="100">
        <v>114836519</v>
      </c>
      <c r="H4149" s="100">
        <v>114836519</v>
      </c>
      <c r="I4149" s="525"/>
      <c r="K4149" s="548"/>
      <c r="L4149" s="548"/>
      <c r="M4149" s="548"/>
      <c r="N4149" s="552"/>
      <c r="Y4149" s="551"/>
    </row>
    <row r="4150" spans="1:25">
      <c r="A4150" s="499">
        <v>45618</v>
      </c>
      <c r="B4150" s="499">
        <v>45621</v>
      </c>
      <c r="C4150" s="500" t="s">
        <v>173</v>
      </c>
      <c r="D4150" s="500" t="s">
        <v>760</v>
      </c>
      <c r="E4150" s="501">
        <v>6008632.46</v>
      </c>
      <c r="F4150" s="502" t="s">
        <v>878</v>
      </c>
      <c r="G4150" s="100">
        <v>114836522</v>
      </c>
      <c r="H4150" s="100">
        <v>114836522</v>
      </c>
      <c r="I4150" s="525"/>
      <c r="K4150" s="548"/>
      <c r="L4150" s="548"/>
      <c r="M4150" s="548"/>
      <c r="N4150" s="552"/>
      <c r="Y4150" s="551"/>
    </row>
    <row r="4151" spans="1:25">
      <c r="A4151" s="499">
        <v>45618</v>
      </c>
      <c r="B4151" s="499">
        <v>45621</v>
      </c>
      <c r="C4151" s="500" t="s">
        <v>173</v>
      </c>
      <c r="D4151" s="500" t="s">
        <v>760</v>
      </c>
      <c r="E4151" s="501">
        <v>7009293.6900000004</v>
      </c>
      <c r="F4151" s="502" t="s">
        <v>878</v>
      </c>
      <c r="G4151" s="100">
        <v>114836525</v>
      </c>
      <c r="H4151" s="100">
        <v>114836525</v>
      </c>
      <c r="I4151" s="525"/>
      <c r="K4151" s="548"/>
      <c r="L4151" s="548"/>
      <c r="M4151" s="548"/>
      <c r="N4151" s="552"/>
      <c r="Y4151" s="551"/>
    </row>
    <row r="4152" spans="1:25">
      <c r="A4152" s="499">
        <v>45618</v>
      </c>
      <c r="B4152" s="499">
        <v>45621</v>
      </c>
      <c r="C4152" s="500" t="s">
        <v>173</v>
      </c>
      <c r="D4152" s="500" t="s">
        <v>760</v>
      </c>
      <c r="E4152" s="501">
        <v>7013541.2699999996</v>
      </c>
      <c r="F4152" s="502" t="s">
        <v>878</v>
      </c>
      <c r="G4152" s="100">
        <v>114836528</v>
      </c>
      <c r="H4152" s="100">
        <v>114836528</v>
      </c>
      <c r="I4152" s="525"/>
      <c r="K4152" s="548"/>
      <c r="L4152" s="548"/>
      <c r="M4152" s="548"/>
      <c r="N4152" s="552"/>
      <c r="Y4152" s="551"/>
    </row>
    <row r="4153" spans="1:25">
      <c r="A4153" s="499">
        <v>45618</v>
      </c>
      <c r="B4153" s="499">
        <v>45621</v>
      </c>
      <c r="C4153" s="500" t="s">
        <v>173</v>
      </c>
      <c r="D4153" s="500" t="s">
        <v>760</v>
      </c>
      <c r="E4153" s="501">
        <v>8012153.9800000004</v>
      </c>
      <c r="F4153" s="502" t="s">
        <v>878</v>
      </c>
      <c r="G4153" s="100">
        <v>114836531</v>
      </c>
      <c r="H4153" s="100">
        <v>114836531</v>
      </c>
      <c r="I4153" s="525"/>
      <c r="K4153" s="548"/>
      <c r="L4153" s="548"/>
      <c r="M4153" s="548"/>
      <c r="N4153" s="552"/>
      <c r="Y4153" s="551"/>
    </row>
    <row r="4154" spans="1:25">
      <c r="A4154" s="499">
        <v>45618</v>
      </c>
      <c r="B4154" s="499">
        <v>45621</v>
      </c>
      <c r="C4154" s="500" t="s">
        <v>173</v>
      </c>
      <c r="D4154" s="500" t="s">
        <v>760</v>
      </c>
      <c r="E4154" s="501">
        <v>9013673.2200000007</v>
      </c>
      <c r="F4154" s="502" t="s">
        <v>878</v>
      </c>
      <c r="G4154" s="100">
        <v>114836534</v>
      </c>
      <c r="H4154" s="100">
        <v>114836534</v>
      </c>
      <c r="I4154" s="525"/>
      <c r="K4154" s="548"/>
      <c r="L4154" s="548"/>
      <c r="M4154" s="548"/>
      <c r="N4154" s="552"/>
      <c r="Y4154" s="551"/>
    </row>
    <row r="4155" spans="1:25">
      <c r="A4155" s="499">
        <v>45618</v>
      </c>
      <c r="B4155" s="499">
        <v>45621</v>
      </c>
      <c r="C4155" s="500" t="s">
        <v>173</v>
      </c>
      <c r="D4155" s="500" t="s">
        <v>760</v>
      </c>
      <c r="E4155" s="501">
        <v>9012948.6699999999</v>
      </c>
      <c r="F4155" s="502" t="s">
        <v>878</v>
      </c>
      <c r="G4155" s="100">
        <v>114836537</v>
      </c>
      <c r="H4155" s="100">
        <v>114836537</v>
      </c>
      <c r="I4155" s="525"/>
      <c r="K4155" s="548"/>
      <c r="L4155" s="548"/>
      <c r="M4155" s="548"/>
      <c r="N4155" s="552"/>
      <c r="Y4155" s="551"/>
    </row>
    <row r="4156" spans="1:25">
      <c r="A4156" s="499">
        <v>45618</v>
      </c>
      <c r="B4156" s="499">
        <v>45621</v>
      </c>
      <c r="C4156" s="500" t="s">
        <v>173</v>
      </c>
      <c r="D4156" s="500" t="s">
        <v>760</v>
      </c>
      <c r="E4156" s="501">
        <v>10018084.699999999</v>
      </c>
      <c r="F4156" s="502" t="s">
        <v>878</v>
      </c>
      <c r="G4156" s="100">
        <v>114836540</v>
      </c>
      <c r="H4156" s="100">
        <v>114836540</v>
      </c>
      <c r="I4156" s="525"/>
      <c r="K4156" s="548"/>
      <c r="L4156" s="548"/>
      <c r="M4156" s="548"/>
      <c r="N4156" s="552"/>
      <c r="Y4156" s="551"/>
    </row>
    <row r="4157" spans="1:25">
      <c r="A4157" s="499">
        <v>45618</v>
      </c>
      <c r="B4157" s="499">
        <v>45621</v>
      </c>
      <c r="C4157" s="500" t="s">
        <v>173</v>
      </c>
      <c r="D4157" s="500" t="s">
        <v>760</v>
      </c>
      <c r="E4157" s="501">
        <v>10017471.34</v>
      </c>
      <c r="F4157" s="502" t="s">
        <v>878</v>
      </c>
      <c r="G4157" s="100">
        <v>114836543</v>
      </c>
      <c r="H4157" s="100">
        <v>114836543</v>
      </c>
      <c r="I4157" s="525"/>
      <c r="K4157" s="548"/>
      <c r="L4157" s="548"/>
      <c r="M4157" s="548"/>
      <c r="N4157" s="552"/>
      <c r="Y4157" s="551"/>
    </row>
    <row r="4158" spans="1:25">
      <c r="A4158" s="499">
        <v>45618</v>
      </c>
      <c r="B4158" s="499">
        <v>45621</v>
      </c>
      <c r="C4158" s="500" t="s">
        <v>173</v>
      </c>
      <c r="D4158" s="500" t="s">
        <v>760</v>
      </c>
      <c r="E4158" s="501">
        <v>11014630.470000001</v>
      </c>
      <c r="F4158" s="502" t="s">
        <v>878</v>
      </c>
      <c r="G4158" s="100">
        <v>114836546</v>
      </c>
      <c r="H4158" s="100">
        <v>114836546</v>
      </c>
      <c r="I4158" s="525"/>
      <c r="K4158" s="548"/>
      <c r="L4158" s="548"/>
      <c r="M4158" s="548"/>
      <c r="N4158" s="552"/>
      <c r="Y4158" s="551"/>
    </row>
    <row r="4159" spans="1:25">
      <c r="A4159" s="499">
        <v>45618</v>
      </c>
      <c r="B4159" s="499">
        <v>45621</v>
      </c>
      <c r="C4159" s="500" t="s">
        <v>173</v>
      </c>
      <c r="D4159" s="500" t="s">
        <v>760</v>
      </c>
      <c r="E4159" s="501">
        <v>13025022.15</v>
      </c>
      <c r="F4159" s="502" t="s">
        <v>878</v>
      </c>
      <c r="G4159" s="100">
        <v>114836549</v>
      </c>
      <c r="H4159" s="100">
        <v>114836549</v>
      </c>
      <c r="I4159" s="525"/>
      <c r="K4159" s="548"/>
      <c r="L4159" s="548"/>
      <c r="M4159" s="548"/>
      <c r="N4159" s="552"/>
      <c r="Y4159" s="551"/>
    </row>
    <row r="4160" spans="1:25">
      <c r="A4160" s="499">
        <v>45618</v>
      </c>
      <c r="B4160" s="499">
        <v>45621</v>
      </c>
      <c r="C4160" s="500" t="s">
        <v>173</v>
      </c>
      <c r="D4160" s="500" t="s">
        <v>760</v>
      </c>
      <c r="E4160" s="501">
        <v>15019950.640000001</v>
      </c>
      <c r="F4160" s="502" t="s">
        <v>878</v>
      </c>
      <c r="G4160" s="100">
        <v>114836552</v>
      </c>
      <c r="H4160" s="100">
        <v>114836552</v>
      </c>
      <c r="I4160" s="525"/>
      <c r="K4160" s="548"/>
      <c r="L4160" s="548"/>
      <c r="M4160" s="548"/>
      <c r="N4160" s="552"/>
      <c r="Y4160" s="551"/>
    </row>
    <row r="4161" spans="1:25">
      <c r="A4161" s="499">
        <v>45618</v>
      </c>
      <c r="B4161" s="499">
        <v>45621</v>
      </c>
      <c r="C4161" s="500" t="s">
        <v>173</v>
      </c>
      <c r="D4161" s="500" t="s">
        <v>760</v>
      </c>
      <c r="E4161" s="501">
        <v>15019950.640000001</v>
      </c>
      <c r="F4161" s="502" t="s">
        <v>878</v>
      </c>
      <c r="G4161" s="100">
        <v>114836555</v>
      </c>
      <c r="H4161" s="100">
        <v>114836555</v>
      </c>
      <c r="I4161" s="525"/>
      <c r="K4161" s="548"/>
      <c r="L4161" s="548"/>
      <c r="M4161" s="548"/>
      <c r="N4161" s="552"/>
      <c r="Y4161" s="551"/>
    </row>
    <row r="4162" spans="1:25">
      <c r="A4162" s="499">
        <v>45618</v>
      </c>
      <c r="B4162" s="499">
        <v>45621</v>
      </c>
      <c r="C4162" s="500" t="s">
        <v>173</v>
      </c>
      <c r="D4162" s="500" t="s">
        <v>760</v>
      </c>
      <c r="E4162" s="501">
        <v>16022454.98</v>
      </c>
      <c r="F4162" s="502" t="s">
        <v>878</v>
      </c>
      <c r="G4162" s="100">
        <v>114836558</v>
      </c>
      <c r="H4162" s="100">
        <v>114836558</v>
      </c>
      <c r="I4162" s="525"/>
      <c r="K4162" s="548"/>
      <c r="L4162" s="548"/>
      <c r="M4162" s="548"/>
      <c r="N4162" s="552"/>
      <c r="Y4162" s="551"/>
    </row>
    <row r="4163" spans="1:25">
      <c r="A4163" s="499">
        <v>45618</v>
      </c>
      <c r="B4163" s="499">
        <v>45621</v>
      </c>
      <c r="C4163" s="500" t="s">
        <v>173</v>
      </c>
      <c r="D4163" s="500" t="s">
        <v>760</v>
      </c>
      <c r="E4163" s="501">
        <v>19025225.739999998</v>
      </c>
      <c r="F4163" s="502" t="s">
        <v>878</v>
      </c>
      <c r="G4163" s="100">
        <v>114836561</v>
      </c>
      <c r="H4163" s="100">
        <v>114836561</v>
      </c>
      <c r="I4163" s="525"/>
      <c r="K4163" s="548"/>
      <c r="L4163" s="548"/>
      <c r="M4163" s="548"/>
      <c r="N4163" s="552"/>
      <c r="Y4163" s="551"/>
    </row>
    <row r="4164" spans="1:25">
      <c r="A4164" s="499">
        <v>45618</v>
      </c>
      <c r="B4164" s="499">
        <v>45621</v>
      </c>
      <c r="C4164" s="500" t="s">
        <v>173</v>
      </c>
      <c r="D4164" s="500" t="s">
        <v>760</v>
      </c>
      <c r="E4164" s="501">
        <v>19038498.170000002</v>
      </c>
      <c r="F4164" s="502" t="s">
        <v>878</v>
      </c>
      <c r="G4164" s="100">
        <v>114836564</v>
      </c>
      <c r="H4164" s="100">
        <v>114836564</v>
      </c>
      <c r="I4164" s="525"/>
      <c r="K4164" s="548"/>
      <c r="L4164" s="548"/>
      <c r="M4164" s="548"/>
      <c r="N4164" s="552"/>
      <c r="Y4164" s="551"/>
    </row>
    <row r="4165" spans="1:25">
      <c r="A4165" s="499">
        <v>45618</v>
      </c>
      <c r="B4165" s="499">
        <v>45621</v>
      </c>
      <c r="C4165" s="500" t="s">
        <v>173</v>
      </c>
      <c r="D4165" s="500" t="s">
        <v>760</v>
      </c>
      <c r="E4165" s="501">
        <v>20039647.199999999</v>
      </c>
      <c r="F4165" s="502" t="s">
        <v>878</v>
      </c>
      <c r="G4165" s="100">
        <v>114836567</v>
      </c>
      <c r="H4165" s="100">
        <v>114836567</v>
      </c>
      <c r="I4165" s="525"/>
      <c r="K4165" s="548"/>
      <c r="L4165" s="548"/>
      <c r="M4165" s="548"/>
      <c r="N4165" s="552"/>
      <c r="Y4165" s="551"/>
    </row>
    <row r="4166" spans="1:25">
      <c r="A4166" s="499">
        <v>45618</v>
      </c>
      <c r="B4166" s="499">
        <v>45621</v>
      </c>
      <c r="C4166" s="500" t="s">
        <v>173</v>
      </c>
      <c r="D4166" s="500" t="s">
        <v>760</v>
      </c>
      <c r="E4166" s="501">
        <v>20026553.41</v>
      </c>
      <c r="F4166" s="502" t="s">
        <v>878</v>
      </c>
      <c r="G4166" s="100">
        <v>114836570</v>
      </c>
      <c r="H4166" s="100">
        <v>114836570</v>
      </c>
      <c r="I4166" s="525"/>
      <c r="K4166" s="548"/>
      <c r="L4166" s="548"/>
      <c r="M4166" s="548"/>
      <c r="N4166" s="552"/>
      <c r="Y4166" s="551"/>
    </row>
    <row r="4167" spans="1:25">
      <c r="A4167" s="499">
        <v>45618</v>
      </c>
      <c r="B4167" s="499">
        <v>45621</v>
      </c>
      <c r="C4167" s="500" t="s">
        <v>173</v>
      </c>
      <c r="D4167" s="500" t="s">
        <v>760</v>
      </c>
      <c r="E4167" s="501">
        <v>20040885.149999999</v>
      </c>
      <c r="F4167" s="502" t="s">
        <v>878</v>
      </c>
      <c r="G4167" s="100">
        <v>114836573</v>
      </c>
      <c r="H4167" s="100">
        <v>114836573</v>
      </c>
      <c r="I4167" s="525"/>
      <c r="K4167" s="548"/>
      <c r="L4167" s="548"/>
      <c r="M4167" s="548"/>
      <c r="N4167" s="552"/>
      <c r="Y4167" s="551"/>
    </row>
    <row r="4168" spans="1:25">
      <c r="A4168" s="499">
        <v>45618</v>
      </c>
      <c r="B4168" s="499">
        <v>45621</v>
      </c>
      <c r="C4168" s="500" t="s">
        <v>173</v>
      </c>
      <c r="D4168" s="500" t="s">
        <v>760</v>
      </c>
      <c r="E4168" s="501">
        <v>20029348.170000002</v>
      </c>
      <c r="F4168" s="502" t="s">
        <v>878</v>
      </c>
      <c r="G4168" s="100">
        <v>114836576</v>
      </c>
      <c r="H4168" s="100">
        <v>114836576</v>
      </c>
      <c r="I4168" s="525"/>
      <c r="K4168" s="548"/>
      <c r="L4168" s="548"/>
      <c r="M4168" s="548"/>
      <c r="N4168" s="552"/>
      <c r="Y4168" s="551"/>
    </row>
    <row r="4169" spans="1:25">
      <c r="A4169" s="499">
        <v>45618</v>
      </c>
      <c r="B4169" s="499">
        <v>45621</v>
      </c>
      <c r="C4169" s="500" t="s">
        <v>173</v>
      </c>
      <c r="D4169" s="500" t="s">
        <v>760</v>
      </c>
      <c r="E4169" s="501">
        <v>21028607.030000001</v>
      </c>
      <c r="F4169" s="502" t="s">
        <v>878</v>
      </c>
      <c r="G4169" s="100">
        <v>114836579</v>
      </c>
      <c r="H4169" s="100">
        <v>114836579</v>
      </c>
      <c r="I4169" s="525"/>
      <c r="K4169" s="548"/>
      <c r="L4169" s="548"/>
      <c r="M4169" s="548"/>
      <c r="N4169" s="552"/>
      <c r="Y4169" s="551"/>
    </row>
    <row r="4170" spans="1:25">
      <c r="A4170" s="499">
        <v>45618</v>
      </c>
      <c r="B4170" s="499">
        <v>45621</v>
      </c>
      <c r="C4170" s="500" t="s">
        <v>173</v>
      </c>
      <c r="D4170" s="500" t="s">
        <v>760</v>
      </c>
      <c r="E4170" s="501">
        <v>23034942.68</v>
      </c>
      <c r="F4170" s="502" t="s">
        <v>878</v>
      </c>
      <c r="G4170" s="100">
        <v>114836582</v>
      </c>
      <c r="H4170" s="100">
        <v>114836582</v>
      </c>
      <c r="I4170" s="525"/>
      <c r="K4170" s="548"/>
      <c r="L4170" s="548"/>
      <c r="M4170" s="548"/>
      <c r="N4170" s="552"/>
      <c r="Y4170" s="551"/>
    </row>
    <row r="4171" spans="1:25">
      <c r="A4171" s="499">
        <v>45618</v>
      </c>
      <c r="B4171" s="499">
        <v>45621</v>
      </c>
      <c r="C4171" s="500" t="s">
        <v>173</v>
      </c>
      <c r="D4171" s="500" t="s">
        <v>760</v>
      </c>
      <c r="E4171" s="501">
        <v>23041494.620000001</v>
      </c>
      <c r="F4171" s="502" t="s">
        <v>878</v>
      </c>
      <c r="G4171" s="100">
        <v>114836585</v>
      </c>
      <c r="H4171" s="100">
        <v>114836585</v>
      </c>
      <c r="I4171" s="525"/>
      <c r="K4171" s="548"/>
      <c r="L4171" s="548"/>
      <c r="M4171" s="548"/>
      <c r="N4171" s="552"/>
      <c r="Y4171" s="551"/>
    </row>
    <row r="4172" spans="1:25">
      <c r="A4172" s="499">
        <v>45618</v>
      </c>
      <c r="B4172" s="499">
        <v>45621</v>
      </c>
      <c r="C4172" s="500" t="s">
        <v>173</v>
      </c>
      <c r="D4172" s="500" t="s">
        <v>760</v>
      </c>
      <c r="E4172" s="501">
        <v>25051265.57</v>
      </c>
      <c r="F4172" s="502" t="s">
        <v>878</v>
      </c>
      <c r="G4172" s="100">
        <v>114836588</v>
      </c>
      <c r="H4172" s="100">
        <v>114836588</v>
      </c>
      <c r="I4172" s="525"/>
      <c r="K4172" s="548"/>
      <c r="L4172" s="548"/>
      <c r="M4172" s="548"/>
      <c r="N4172" s="552"/>
      <c r="Y4172" s="551"/>
    </row>
    <row r="4173" spans="1:25">
      <c r="A4173" s="499">
        <v>45618</v>
      </c>
      <c r="B4173" s="499">
        <v>45621</v>
      </c>
      <c r="C4173" s="500" t="s">
        <v>173</v>
      </c>
      <c r="D4173" s="500" t="s">
        <v>760</v>
      </c>
      <c r="E4173" s="501">
        <v>26034803.289999999</v>
      </c>
      <c r="F4173" s="502" t="s">
        <v>878</v>
      </c>
      <c r="G4173" s="100">
        <v>114836591</v>
      </c>
      <c r="H4173" s="100">
        <v>114836591</v>
      </c>
      <c r="I4173" s="525"/>
      <c r="K4173" s="548"/>
      <c r="L4173" s="548"/>
      <c r="M4173" s="548"/>
      <c r="N4173" s="552"/>
      <c r="Y4173" s="551"/>
    </row>
    <row r="4174" spans="1:25">
      <c r="A4174" s="499">
        <v>45618</v>
      </c>
      <c r="B4174" s="499">
        <v>45621</v>
      </c>
      <c r="C4174" s="500" t="s">
        <v>173</v>
      </c>
      <c r="D4174" s="500" t="s">
        <v>760</v>
      </c>
      <c r="E4174" s="501">
        <v>27037892.780000001</v>
      </c>
      <c r="F4174" s="502" t="s">
        <v>878</v>
      </c>
      <c r="G4174" s="100">
        <v>114836594</v>
      </c>
      <c r="H4174" s="100">
        <v>114836594</v>
      </c>
      <c r="I4174" s="525"/>
      <c r="K4174" s="548"/>
      <c r="L4174" s="548"/>
      <c r="M4174" s="548"/>
      <c r="N4174" s="552"/>
      <c r="Y4174" s="551"/>
    </row>
    <row r="4175" spans="1:25">
      <c r="A4175" s="499">
        <v>45618</v>
      </c>
      <c r="B4175" s="499">
        <v>45621</v>
      </c>
      <c r="C4175" s="500" t="s">
        <v>173</v>
      </c>
      <c r="D4175" s="500" t="s">
        <v>760</v>
      </c>
      <c r="E4175" s="501">
        <v>31062812.800000001</v>
      </c>
      <c r="F4175" s="502" t="s">
        <v>878</v>
      </c>
      <c r="G4175" s="100">
        <v>114836597</v>
      </c>
      <c r="H4175" s="100">
        <v>114836597</v>
      </c>
      <c r="I4175" s="525"/>
      <c r="K4175" s="548"/>
      <c r="L4175" s="548"/>
      <c r="M4175" s="548"/>
      <c r="N4175" s="552"/>
      <c r="Y4175" s="551"/>
    </row>
    <row r="4176" spans="1:25">
      <c r="A4176" s="499">
        <v>45618</v>
      </c>
      <c r="B4176" s="499">
        <v>45621</v>
      </c>
      <c r="C4176" s="500" t="s">
        <v>173</v>
      </c>
      <c r="D4176" s="500" t="s">
        <v>760</v>
      </c>
      <c r="E4176" s="501">
        <v>35054957.020000003</v>
      </c>
      <c r="F4176" s="502" t="s">
        <v>878</v>
      </c>
      <c r="G4176" s="100">
        <v>114836600</v>
      </c>
      <c r="H4176" s="100">
        <v>114836600</v>
      </c>
      <c r="I4176" s="525"/>
      <c r="K4176" s="548"/>
      <c r="L4176" s="548"/>
      <c r="M4176" s="548"/>
      <c r="N4176" s="552"/>
      <c r="Y4176" s="551"/>
    </row>
    <row r="4177" spans="1:25">
      <c r="A4177" s="499">
        <v>45618</v>
      </c>
      <c r="B4177" s="499">
        <v>45621</v>
      </c>
      <c r="C4177" s="500" t="s">
        <v>173</v>
      </c>
      <c r="D4177" s="500" t="s">
        <v>760</v>
      </c>
      <c r="E4177" s="501">
        <v>39058999.850000001</v>
      </c>
      <c r="F4177" s="502" t="s">
        <v>878</v>
      </c>
      <c r="G4177" s="100">
        <v>114836603</v>
      </c>
      <c r="H4177" s="100">
        <v>114836603</v>
      </c>
      <c r="I4177" s="525"/>
      <c r="K4177" s="548"/>
      <c r="L4177" s="548"/>
      <c r="M4177" s="548"/>
      <c r="N4177" s="552"/>
      <c r="Y4177" s="551"/>
    </row>
    <row r="4178" spans="1:25">
      <c r="A4178" s="499">
        <v>45618</v>
      </c>
      <c r="B4178" s="499">
        <v>45621</v>
      </c>
      <c r="C4178" s="500" t="s">
        <v>173</v>
      </c>
      <c r="D4178" s="500" t="s">
        <v>760</v>
      </c>
      <c r="E4178" s="501">
        <v>41058988.420000002</v>
      </c>
      <c r="F4178" s="502" t="s">
        <v>878</v>
      </c>
      <c r="G4178" s="100">
        <v>114836606</v>
      </c>
      <c r="H4178" s="100">
        <v>114836606</v>
      </c>
      <c r="I4178" s="525"/>
      <c r="K4178" s="548"/>
      <c r="L4178" s="548"/>
      <c r="M4178" s="548"/>
      <c r="N4178" s="552"/>
      <c r="Y4178" s="551"/>
    </row>
    <row r="4179" spans="1:25">
      <c r="A4179" s="499">
        <v>45618</v>
      </c>
      <c r="B4179" s="499">
        <v>45621</v>
      </c>
      <c r="C4179" s="500" t="s">
        <v>173</v>
      </c>
      <c r="D4179" s="500" t="s">
        <v>760</v>
      </c>
      <c r="E4179" s="501">
        <v>42084091.229999997</v>
      </c>
      <c r="F4179" s="502" t="s">
        <v>878</v>
      </c>
      <c r="G4179" s="100">
        <v>114836609</v>
      </c>
      <c r="H4179" s="100">
        <v>114836609</v>
      </c>
      <c r="I4179" s="525"/>
      <c r="K4179" s="548"/>
      <c r="L4179" s="548"/>
      <c r="M4179" s="548"/>
      <c r="N4179" s="552"/>
      <c r="Y4179" s="551"/>
    </row>
    <row r="4180" spans="1:25">
      <c r="A4180" s="499">
        <v>45618</v>
      </c>
      <c r="B4180" s="499">
        <v>45621</v>
      </c>
      <c r="C4180" s="500" t="s">
        <v>173</v>
      </c>
      <c r="D4180" s="500" t="s">
        <v>760</v>
      </c>
      <c r="E4180" s="501">
        <v>46054376.520000003</v>
      </c>
      <c r="F4180" s="502" t="s">
        <v>878</v>
      </c>
      <c r="G4180" s="100">
        <v>114836612</v>
      </c>
      <c r="H4180" s="100">
        <v>114836612</v>
      </c>
      <c r="I4180" s="525"/>
      <c r="K4180" s="548"/>
      <c r="L4180" s="548"/>
      <c r="M4180" s="548"/>
      <c r="N4180" s="552"/>
      <c r="Y4180" s="551"/>
    </row>
    <row r="4181" spans="1:25">
      <c r="A4181" s="499">
        <v>45618</v>
      </c>
      <c r="B4181" s="499">
        <v>45621</v>
      </c>
      <c r="C4181" s="500" t="s">
        <v>173</v>
      </c>
      <c r="D4181" s="500" t="s">
        <v>760</v>
      </c>
      <c r="E4181" s="501">
        <v>48098124.369999997</v>
      </c>
      <c r="F4181" s="502" t="s">
        <v>878</v>
      </c>
      <c r="G4181" s="100">
        <v>114836615</v>
      </c>
      <c r="H4181" s="100">
        <v>114836615</v>
      </c>
      <c r="I4181" s="525"/>
      <c r="K4181" s="548"/>
      <c r="L4181" s="548"/>
      <c r="M4181" s="548"/>
      <c r="N4181" s="552"/>
      <c r="Y4181" s="551"/>
    </row>
    <row r="4182" spans="1:25">
      <c r="A4182" s="499">
        <v>45618</v>
      </c>
      <c r="B4182" s="499">
        <v>45621</v>
      </c>
      <c r="C4182" s="500" t="s">
        <v>173</v>
      </c>
      <c r="D4182" s="500" t="s">
        <v>760</v>
      </c>
      <c r="E4182" s="501">
        <v>49085609.579999998</v>
      </c>
      <c r="F4182" s="502" t="s">
        <v>878</v>
      </c>
      <c r="G4182" s="100">
        <v>114836618</v>
      </c>
      <c r="H4182" s="100">
        <v>114836618</v>
      </c>
      <c r="I4182" s="525"/>
      <c r="K4182" s="548"/>
      <c r="L4182" s="548"/>
      <c r="M4182" s="548"/>
      <c r="N4182" s="552"/>
      <c r="Y4182" s="551"/>
    </row>
    <row r="4183" spans="1:25">
      <c r="A4183" s="499">
        <v>45618</v>
      </c>
      <c r="B4183" s="499">
        <v>45621</v>
      </c>
      <c r="C4183" s="500" t="s">
        <v>173</v>
      </c>
      <c r="D4183" s="500" t="s">
        <v>760</v>
      </c>
      <c r="E4183" s="501">
        <v>53105065.07</v>
      </c>
      <c r="F4183" s="502" t="s">
        <v>878</v>
      </c>
      <c r="G4183" s="100">
        <v>114836621</v>
      </c>
      <c r="H4183" s="100">
        <v>114836621</v>
      </c>
      <c r="I4183" s="525"/>
      <c r="K4183" s="548"/>
      <c r="L4183" s="548"/>
      <c r="M4183" s="548"/>
      <c r="N4183" s="552"/>
      <c r="Q4183" s="539">
        <v>-1</v>
      </c>
      <c r="Y4183" s="551"/>
    </row>
    <row r="4184" spans="1:25">
      <c r="A4184" s="499">
        <v>45618</v>
      </c>
      <c r="B4184" s="499">
        <v>45621</v>
      </c>
      <c r="C4184" s="500" t="s">
        <v>173</v>
      </c>
      <c r="D4184" s="500" t="s">
        <v>760</v>
      </c>
      <c r="E4184" s="501">
        <v>62127138.619999997</v>
      </c>
      <c r="F4184" s="502" t="s">
        <v>878</v>
      </c>
      <c r="G4184" s="100">
        <v>114836624</v>
      </c>
      <c r="H4184" s="100">
        <v>114836624</v>
      </c>
      <c r="I4184" s="525"/>
      <c r="K4184" s="548"/>
      <c r="L4184" s="548"/>
      <c r="M4184" s="548"/>
      <c r="N4184" s="552"/>
      <c r="Y4184" s="551"/>
    </row>
    <row r="4185" spans="1:25">
      <c r="A4185" s="499">
        <v>45618</v>
      </c>
      <c r="B4185" s="499">
        <v>45621</v>
      </c>
      <c r="C4185" s="500" t="s">
        <v>173</v>
      </c>
      <c r="D4185" s="500" t="s">
        <v>760</v>
      </c>
      <c r="E4185" s="501">
        <v>64115463.270000003</v>
      </c>
      <c r="F4185" s="502" t="s">
        <v>878</v>
      </c>
      <c r="G4185" s="100">
        <v>114836627</v>
      </c>
      <c r="H4185" s="100">
        <v>114836627</v>
      </c>
      <c r="I4185" s="525"/>
      <c r="K4185" s="548"/>
      <c r="L4185" s="548"/>
      <c r="M4185" s="548"/>
      <c r="N4185" s="552"/>
      <c r="Y4185" s="551"/>
    </row>
    <row r="4186" spans="1:25">
      <c r="A4186" s="499">
        <v>45618</v>
      </c>
      <c r="B4186" s="499">
        <v>45621</v>
      </c>
      <c r="C4186" s="500" t="s">
        <v>173</v>
      </c>
      <c r="D4186" s="500" t="s">
        <v>760</v>
      </c>
      <c r="E4186" s="501">
        <v>64122760.789999999</v>
      </c>
      <c r="F4186" s="502" t="s">
        <v>878</v>
      </c>
      <c r="G4186" s="100">
        <v>114836630</v>
      </c>
      <c r="H4186" s="100">
        <v>114836630</v>
      </c>
      <c r="I4186" s="525"/>
      <c r="K4186" s="548"/>
      <c r="L4186" s="548"/>
      <c r="M4186" s="548"/>
      <c r="N4186" s="552"/>
      <c r="Y4186" s="551"/>
    </row>
    <row r="4187" spans="1:25">
      <c r="A4187" s="499">
        <v>45618</v>
      </c>
      <c r="B4187" s="499">
        <v>45621</v>
      </c>
      <c r="C4187" s="500" t="s">
        <v>173</v>
      </c>
      <c r="D4187" s="500" t="s">
        <v>760</v>
      </c>
      <c r="E4187" s="501">
        <v>58101807.25</v>
      </c>
      <c r="F4187" s="502" t="s">
        <v>878</v>
      </c>
      <c r="G4187" s="100">
        <v>114836633</v>
      </c>
      <c r="H4187" s="100">
        <v>114836633</v>
      </c>
      <c r="I4187" s="525"/>
      <c r="K4187" s="548"/>
      <c r="L4187" s="548"/>
      <c r="M4187" s="548"/>
      <c r="N4187" s="552"/>
      <c r="Y4187" s="551"/>
    </row>
    <row r="4188" spans="1:25">
      <c r="A4188" s="499">
        <v>45618</v>
      </c>
      <c r="B4188" s="499">
        <v>45621</v>
      </c>
      <c r="C4188" s="500" t="s">
        <v>173</v>
      </c>
      <c r="D4188" s="500" t="s">
        <v>760</v>
      </c>
      <c r="E4188" s="501">
        <v>32041782.289999999</v>
      </c>
      <c r="F4188" s="502" t="s">
        <v>878</v>
      </c>
      <c r="G4188" s="100">
        <v>114837038</v>
      </c>
      <c r="H4188" s="100">
        <v>114837038</v>
      </c>
      <c r="I4188" s="525"/>
      <c r="K4188" s="548"/>
      <c r="L4188" s="548"/>
      <c r="M4188" s="548"/>
      <c r="N4188" s="552"/>
      <c r="Y4188" s="551"/>
    </row>
    <row r="4189" spans="1:25">
      <c r="A4189" s="499">
        <v>45618</v>
      </c>
      <c r="B4189" s="499">
        <v>45618</v>
      </c>
      <c r="C4189" s="500" t="s">
        <v>173</v>
      </c>
      <c r="D4189" s="500" t="s">
        <v>763</v>
      </c>
      <c r="E4189" s="501">
        <v>-1432285668.25</v>
      </c>
      <c r="F4189" s="502" t="s">
        <v>878</v>
      </c>
      <c r="G4189" s="100">
        <v>114836359</v>
      </c>
      <c r="H4189" s="530"/>
      <c r="I4189" s="525"/>
      <c r="K4189" s="548"/>
      <c r="L4189" s="548"/>
      <c r="M4189" s="548"/>
      <c r="N4189" s="552"/>
      <c r="Y4189" s="551"/>
    </row>
    <row r="4190" spans="1:25">
      <c r="A4190" s="499">
        <v>45618</v>
      </c>
      <c r="B4190" s="499">
        <v>45618</v>
      </c>
      <c r="C4190" s="500" t="s">
        <v>173</v>
      </c>
      <c r="D4190" s="500" t="s">
        <v>763</v>
      </c>
      <c r="E4190" s="501">
        <v>-4027003244.1500001</v>
      </c>
      <c r="F4190" s="502" t="s">
        <v>878</v>
      </c>
      <c r="G4190" s="100">
        <v>114836362</v>
      </c>
      <c r="H4190" s="530"/>
      <c r="I4190" s="525"/>
      <c r="K4190" s="548"/>
      <c r="L4190" s="548"/>
      <c r="M4190" s="548"/>
      <c r="N4190" s="552"/>
      <c r="Y4190" s="551"/>
    </row>
    <row r="4191" spans="1:25">
      <c r="A4191" s="499">
        <v>45618</v>
      </c>
      <c r="B4191" s="499">
        <v>45618</v>
      </c>
      <c r="C4191" s="500" t="s">
        <v>173</v>
      </c>
      <c r="D4191" s="500" t="s">
        <v>763</v>
      </c>
      <c r="E4191" s="501">
        <v>-22000017.719999999</v>
      </c>
      <c r="F4191" s="502" t="s">
        <v>878</v>
      </c>
      <c r="G4191" s="100">
        <v>114836677</v>
      </c>
      <c r="H4191" s="530"/>
      <c r="I4191" s="525"/>
      <c r="K4191" s="548"/>
      <c r="L4191" s="548"/>
      <c r="M4191" s="548"/>
      <c r="N4191" s="552"/>
      <c r="Y4191" s="551"/>
    </row>
    <row r="4192" spans="1:25">
      <c r="A4192" s="499">
        <v>45618</v>
      </c>
      <c r="B4192" s="499">
        <v>45621</v>
      </c>
      <c r="C4192" s="500" t="s">
        <v>173</v>
      </c>
      <c r="D4192" s="500" t="s">
        <v>763</v>
      </c>
      <c r="E4192" s="501">
        <v>1433899924.6400001</v>
      </c>
      <c r="F4192" s="502" t="s">
        <v>878</v>
      </c>
      <c r="G4192" s="100">
        <v>114836359</v>
      </c>
      <c r="H4192" s="100">
        <v>114836359</v>
      </c>
      <c r="I4192" s="525"/>
      <c r="K4192" s="548"/>
      <c r="L4192" s="548"/>
      <c r="M4192" s="548"/>
      <c r="N4192" s="552"/>
      <c r="Y4192" s="551"/>
    </row>
    <row r="4193" spans="1:25">
      <c r="A4193" s="499">
        <v>45618</v>
      </c>
      <c r="B4193" s="499">
        <v>45621</v>
      </c>
      <c r="C4193" s="500" t="s">
        <v>173</v>
      </c>
      <c r="D4193" s="500" t="s">
        <v>763</v>
      </c>
      <c r="E4193" s="501">
        <v>4031541874.8600001</v>
      </c>
      <c r="F4193" s="502" t="s">
        <v>878</v>
      </c>
      <c r="G4193" s="100">
        <v>114836362</v>
      </c>
      <c r="H4193" s="100">
        <v>114836362</v>
      </c>
      <c r="I4193" s="525"/>
      <c r="K4193" s="548"/>
      <c r="L4193" s="548"/>
      <c r="M4193" s="548"/>
      <c r="N4193" s="552"/>
      <c r="Y4193" s="551"/>
    </row>
    <row r="4194" spans="1:25">
      <c r="A4194" s="499">
        <v>45618</v>
      </c>
      <c r="B4194" s="499">
        <v>45621</v>
      </c>
      <c r="C4194" s="500" t="s">
        <v>173</v>
      </c>
      <c r="D4194" s="500" t="s">
        <v>763</v>
      </c>
      <c r="E4194" s="501">
        <v>22024812.82</v>
      </c>
      <c r="F4194" s="502" t="s">
        <v>878</v>
      </c>
      <c r="G4194" s="100">
        <v>114836677</v>
      </c>
      <c r="H4194" s="100">
        <v>114836677</v>
      </c>
      <c r="I4194" s="525"/>
      <c r="K4194" s="548"/>
      <c r="L4194" s="548"/>
      <c r="M4194" s="548"/>
      <c r="N4194" s="552"/>
      <c r="Y4194" s="551"/>
    </row>
    <row r="4195" spans="1:25">
      <c r="A4195" s="499">
        <v>45621</v>
      </c>
      <c r="B4195" s="499">
        <v>45621</v>
      </c>
      <c r="C4195" s="500" t="s">
        <v>173</v>
      </c>
      <c r="D4195" s="500" t="s">
        <v>761</v>
      </c>
      <c r="E4195" s="501">
        <v>-500004171</v>
      </c>
      <c r="F4195" s="502" t="s">
        <v>878</v>
      </c>
      <c r="G4195" s="100">
        <v>114852160</v>
      </c>
      <c r="H4195" s="530"/>
      <c r="I4195" s="525"/>
      <c r="K4195" s="548"/>
      <c r="L4195" s="548"/>
      <c r="M4195" s="548"/>
      <c r="N4195" s="552"/>
      <c r="Y4195" s="551"/>
    </row>
    <row r="4196" spans="1:25">
      <c r="A4196" s="499">
        <v>45621</v>
      </c>
      <c r="B4196" s="499">
        <v>45621</v>
      </c>
      <c r="C4196" s="500" t="s">
        <v>173</v>
      </c>
      <c r="D4196" s="500" t="s">
        <v>761</v>
      </c>
      <c r="E4196" s="501">
        <v>-16013172.58</v>
      </c>
      <c r="F4196" s="502" t="s">
        <v>878</v>
      </c>
      <c r="G4196" s="100">
        <v>114854786</v>
      </c>
      <c r="H4196" s="530"/>
      <c r="I4196" s="525"/>
      <c r="K4196" s="548"/>
      <c r="L4196" s="548"/>
      <c r="M4196" s="548"/>
      <c r="N4196" s="552"/>
      <c r="Y4196" s="551"/>
    </row>
    <row r="4197" spans="1:25">
      <c r="A4197" s="499">
        <v>45621</v>
      </c>
      <c r="B4197" s="499">
        <v>45622</v>
      </c>
      <c r="C4197" s="500" t="s">
        <v>173</v>
      </c>
      <c r="D4197" s="500" t="s">
        <v>761</v>
      </c>
      <c r="E4197" s="501">
        <v>500195429.43000001</v>
      </c>
      <c r="F4197" s="502" t="s">
        <v>878</v>
      </c>
      <c r="G4197" s="100">
        <v>114852160</v>
      </c>
      <c r="H4197" s="530">
        <v>114852160</v>
      </c>
      <c r="I4197" s="525"/>
      <c r="K4197" s="548"/>
      <c r="L4197" s="548"/>
      <c r="M4197" s="548"/>
      <c r="N4197" s="552"/>
      <c r="Y4197" s="551"/>
    </row>
    <row r="4198" spans="1:25">
      <c r="A4198" s="499">
        <v>45621</v>
      </c>
      <c r="B4198" s="499">
        <v>45622</v>
      </c>
      <c r="C4198" s="500" t="s">
        <v>173</v>
      </c>
      <c r="D4198" s="500" t="s">
        <v>761</v>
      </c>
      <c r="E4198" s="501">
        <v>16019223.550000001</v>
      </c>
      <c r="F4198" s="502" t="s">
        <v>878</v>
      </c>
      <c r="G4198" s="100">
        <v>114854786</v>
      </c>
      <c r="H4198" s="530">
        <v>114854786</v>
      </c>
      <c r="I4198" s="525"/>
      <c r="K4198" s="548"/>
      <c r="L4198" s="548"/>
      <c r="M4198" s="548"/>
      <c r="N4198" s="552"/>
      <c r="Y4198" s="551"/>
    </row>
    <row r="4199" spans="1:25">
      <c r="A4199" s="499">
        <v>45621</v>
      </c>
      <c r="B4199" s="499">
        <v>45621</v>
      </c>
      <c r="C4199" s="500" t="s">
        <v>173</v>
      </c>
      <c r="D4199" s="500" t="s">
        <v>759</v>
      </c>
      <c r="E4199" s="501">
        <v>-2575936793.4299998</v>
      </c>
      <c r="F4199" s="502" t="s">
        <v>878</v>
      </c>
      <c r="G4199" s="100">
        <v>114854659</v>
      </c>
      <c r="H4199" s="530"/>
      <c r="I4199" s="525"/>
      <c r="K4199" s="548"/>
      <c r="L4199" s="548"/>
      <c r="M4199" s="548"/>
      <c r="N4199" s="552"/>
      <c r="Y4199" s="551"/>
    </row>
    <row r="4200" spans="1:25">
      <c r="A4200" s="499">
        <v>45621</v>
      </c>
      <c r="B4200" s="499">
        <v>45621</v>
      </c>
      <c r="C4200" s="500" t="s">
        <v>173</v>
      </c>
      <c r="D4200" s="500" t="s">
        <v>759</v>
      </c>
      <c r="E4200" s="501">
        <v>-3016839250.2600002</v>
      </c>
      <c r="F4200" s="502" t="s">
        <v>878</v>
      </c>
      <c r="G4200" s="100">
        <v>114854734</v>
      </c>
      <c r="H4200" s="530"/>
      <c r="I4200" s="525"/>
      <c r="K4200" s="548"/>
      <c r="L4200" s="548"/>
      <c r="M4200" s="548"/>
      <c r="N4200" s="552"/>
      <c r="Y4200" s="551"/>
    </row>
    <row r="4201" spans="1:25">
      <c r="A4201" s="499">
        <v>45621</v>
      </c>
      <c r="B4201" s="499">
        <v>45621</v>
      </c>
      <c r="C4201" s="500" t="s">
        <v>173</v>
      </c>
      <c r="D4201" s="500" t="s">
        <v>759</v>
      </c>
      <c r="E4201" s="501">
        <v>-66002153.829999998</v>
      </c>
      <c r="F4201" s="502" t="s">
        <v>878</v>
      </c>
      <c r="G4201" s="100">
        <v>114855350</v>
      </c>
      <c r="H4201" s="530"/>
      <c r="I4201" s="525"/>
      <c r="K4201" s="548"/>
      <c r="L4201" s="548"/>
      <c r="M4201" s="548"/>
      <c r="N4201" s="552"/>
      <c r="Y4201" s="551"/>
    </row>
    <row r="4202" spans="1:25">
      <c r="A4202" s="499">
        <v>45621</v>
      </c>
      <c r="B4202" s="499">
        <v>45621</v>
      </c>
      <c r="C4202" s="500" t="s">
        <v>173</v>
      </c>
      <c r="D4202" s="500" t="s">
        <v>759</v>
      </c>
      <c r="E4202" s="501">
        <v>-42013269.899999999</v>
      </c>
      <c r="F4202" s="502" t="s">
        <v>878</v>
      </c>
      <c r="G4202" s="100">
        <v>114855369</v>
      </c>
      <c r="H4202" s="530"/>
      <c r="I4202" s="525"/>
      <c r="K4202" s="548"/>
      <c r="L4202" s="548"/>
      <c r="M4202" s="548"/>
      <c r="N4202" s="552"/>
      <c r="Y4202" s="551"/>
    </row>
    <row r="4203" spans="1:25">
      <c r="A4203" s="499">
        <v>45621</v>
      </c>
      <c r="B4203" s="499">
        <v>45621</v>
      </c>
      <c r="C4203" s="500" t="s">
        <v>173</v>
      </c>
      <c r="D4203" s="500" t="s">
        <v>759</v>
      </c>
      <c r="E4203" s="501">
        <v>-98073739.609999999</v>
      </c>
      <c r="F4203" s="502" t="s">
        <v>878</v>
      </c>
      <c r="G4203" s="100">
        <v>114855394</v>
      </c>
      <c r="H4203" s="530"/>
      <c r="I4203" s="525"/>
      <c r="K4203" s="548"/>
      <c r="L4203" s="548"/>
      <c r="M4203" s="548"/>
      <c r="N4203" s="552"/>
      <c r="Y4203" s="551"/>
    </row>
    <row r="4204" spans="1:25">
      <c r="A4204" s="499">
        <v>45621</v>
      </c>
      <c r="B4204" s="499">
        <v>45621</v>
      </c>
      <c r="C4204" s="500" t="s">
        <v>173</v>
      </c>
      <c r="D4204" s="500" t="s">
        <v>759</v>
      </c>
      <c r="E4204" s="501">
        <v>-20011211</v>
      </c>
      <c r="F4204" s="502" t="s">
        <v>878</v>
      </c>
      <c r="G4204" s="100">
        <v>114857411</v>
      </c>
      <c r="H4204" s="530"/>
      <c r="I4204" s="525"/>
      <c r="K4204" s="548"/>
      <c r="L4204" s="548"/>
      <c r="M4204" s="548"/>
      <c r="N4204" s="552"/>
      <c r="Y4204" s="551"/>
    </row>
    <row r="4205" spans="1:25">
      <c r="A4205" s="499">
        <v>45621</v>
      </c>
      <c r="B4205" s="499">
        <v>45621</v>
      </c>
      <c r="C4205" s="500" t="s">
        <v>173</v>
      </c>
      <c r="D4205" s="500" t="s">
        <v>759</v>
      </c>
      <c r="E4205" s="501">
        <v>-14003916.07</v>
      </c>
      <c r="F4205" s="502" t="s">
        <v>878</v>
      </c>
      <c r="G4205" s="100">
        <v>114858069</v>
      </c>
      <c r="H4205" s="530"/>
      <c r="I4205" s="525"/>
      <c r="K4205" s="548"/>
      <c r="L4205" s="548"/>
      <c r="M4205" s="548"/>
      <c r="N4205" s="552"/>
      <c r="Y4205" s="551"/>
    </row>
    <row r="4206" spans="1:25">
      <c r="A4206" s="499">
        <v>45621</v>
      </c>
      <c r="B4206" s="499">
        <v>45621</v>
      </c>
      <c r="C4206" s="500" t="s">
        <v>173</v>
      </c>
      <c r="D4206" s="500" t="s">
        <v>759</v>
      </c>
      <c r="E4206" s="501">
        <v>-53026178.18</v>
      </c>
      <c r="F4206" s="502" t="s">
        <v>878</v>
      </c>
      <c r="G4206" s="100">
        <v>114858072</v>
      </c>
      <c r="H4206" s="530"/>
      <c r="I4206" s="525"/>
      <c r="K4206" s="548"/>
      <c r="L4206" s="548"/>
      <c r="M4206" s="548"/>
      <c r="N4206" s="552"/>
      <c r="Y4206" s="551"/>
    </row>
    <row r="4207" spans="1:25">
      <c r="A4207" s="499">
        <v>45621</v>
      </c>
      <c r="B4207" s="499">
        <v>45622</v>
      </c>
      <c r="C4207" s="500" t="s">
        <v>173</v>
      </c>
      <c r="D4207" s="500" t="s">
        <v>759</v>
      </c>
      <c r="E4207" s="501">
        <v>2576911567.3299999</v>
      </c>
      <c r="F4207" s="502" t="s">
        <v>878</v>
      </c>
      <c r="G4207" s="100">
        <v>114854659</v>
      </c>
      <c r="H4207" s="100">
        <v>114854659</v>
      </c>
      <c r="I4207" s="525"/>
      <c r="K4207" s="548"/>
      <c r="L4207" s="548"/>
      <c r="M4207" s="548"/>
      <c r="N4207" s="552"/>
      <c r="Y4207" s="551"/>
    </row>
    <row r="4208" spans="1:25">
      <c r="A4208" s="499">
        <v>45621</v>
      </c>
      <c r="B4208" s="499">
        <v>45622</v>
      </c>
      <c r="C4208" s="500" t="s">
        <v>173</v>
      </c>
      <c r="D4208" s="500" t="s">
        <v>759</v>
      </c>
      <c r="E4208" s="501">
        <v>3017980868.3899999</v>
      </c>
      <c r="F4208" s="502" t="s">
        <v>878</v>
      </c>
      <c r="G4208" s="100">
        <v>114854734</v>
      </c>
      <c r="H4208" s="100">
        <v>114854734</v>
      </c>
      <c r="I4208" s="525"/>
      <c r="K4208" s="548"/>
      <c r="L4208" s="548"/>
      <c r="M4208" s="548"/>
      <c r="N4208" s="552"/>
      <c r="Y4208" s="551"/>
    </row>
    <row r="4209" spans="1:25">
      <c r="A4209" s="499">
        <v>45621</v>
      </c>
      <c r="B4209" s="499">
        <v>45622</v>
      </c>
      <c r="C4209" s="500" t="s">
        <v>173</v>
      </c>
      <c r="D4209" s="500" t="s">
        <v>759</v>
      </c>
      <c r="E4209" s="501">
        <v>66027400.560000002</v>
      </c>
      <c r="F4209" s="502" t="s">
        <v>878</v>
      </c>
      <c r="G4209" s="100">
        <v>114855350</v>
      </c>
      <c r="H4209" s="100">
        <v>114855350</v>
      </c>
      <c r="I4209" s="525"/>
      <c r="K4209" s="548"/>
      <c r="L4209" s="548"/>
      <c r="M4209" s="548"/>
      <c r="N4209" s="552"/>
      <c r="Y4209" s="551"/>
    </row>
    <row r="4210" spans="1:25">
      <c r="A4210" s="499">
        <v>45621</v>
      </c>
      <c r="B4210" s="499">
        <v>45622</v>
      </c>
      <c r="C4210" s="500" t="s">
        <v>173</v>
      </c>
      <c r="D4210" s="500" t="s">
        <v>759</v>
      </c>
      <c r="E4210" s="501">
        <v>42029340.549999997</v>
      </c>
      <c r="F4210" s="502" t="s">
        <v>878</v>
      </c>
      <c r="G4210" s="100">
        <v>114855369</v>
      </c>
      <c r="H4210" s="100">
        <v>114855369</v>
      </c>
      <c r="I4210" s="525"/>
      <c r="K4210" s="548"/>
      <c r="L4210" s="548"/>
      <c r="M4210" s="548"/>
      <c r="N4210" s="552"/>
      <c r="Y4210" s="551"/>
    </row>
    <row r="4211" spans="1:25">
      <c r="A4211" s="499">
        <v>45621</v>
      </c>
      <c r="B4211" s="499">
        <v>45622</v>
      </c>
      <c r="C4211" s="500" t="s">
        <v>173</v>
      </c>
      <c r="D4211" s="500" t="s">
        <v>759</v>
      </c>
      <c r="E4211" s="501">
        <v>98111254.159999996</v>
      </c>
      <c r="F4211" s="502" t="s">
        <v>878</v>
      </c>
      <c r="G4211" s="100">
        <v>114855394</v>
      </c>
      <c r="H4211" s="100">
        <v>114855394</v>
      </c>
      <c r="I4211" s="525"/>
      <c r="K4211" s="548"/>
      <c r="L4211" s="548"/>
      <c r="M4211" s="548"/>
      <c r="N4211" s="552"/>
      <c r="Y4211" s="551"/>
    </row>
    <row r="4212" spans="1:25">
      <c r="A4212" s="499">
        <v>45621</v>
      </c>
      <c r="B4212" s="499">
        <v>45622</v>
      </c>
      <c r="C4212" s="500" t="s">
        <v>173</v>
      </c>
      <c r="D4212" s="500" t="s">
        <v>759</v>
      </c>
      <c r="E4212" s="501">
        <v>20018728.82</v>
      </c>
      <c r="F4212" s="502" t="s">
        <v>878</v>
      </c>
      <c r="G4212" s="100">
        <v>114857411</v>
      </c>
      <c r="H4212" s="100">
        <v>114857411</v>
      </c>
      <c r="I4212" s="525"/>
      <c r="K4212" s="548"/>
      <c r="L4212" s="548"/>
      <c r="M4212" s="548"/>
      <c r="N4212" s="552"/>
      <c r="Y4212" s="551"/>
    </row>
    <row r="4213" spans="1:25">
      <c r="A4213" s="499">
        <v>45621</v>
      </c>
      <c r="B4213" s="499">
        <v>45622</v>
      </c>
      <c r="C4213" s="500" t="s">
        <v>173</v>
      </c>
      <c r="D4213" s="500" t="s">
        <v>759</v>
      </c>
      <c r="E4213" s="501">
        <v>14009108.23</v>
      </c>
      <c r="F4213" s="502" t="s">
        <v>878</v>
      </c>
      <c r="G4213" s="100">
        <v>114858069</v>
      </c>
      <c r="H4213" s="100">
        <v>114858069</v>
      </c>
      <c r="I4213" s="525"/>
      <c r="K4213" s="548"/>
      <c r="L4213" s="548"/>
      <c r="M4213" s="548"/>
      <c r="N4213" s="552"/>
      <c r="Y4213" s="551"/>
    </row>
    <row r="4214" spans="1:25">
      <c r="A4214" s="499">
        <v>45621</v>
      </c>
      <c r="B4214" s="499">
        <v>45622</v>
      </c>
      <c r="C4214" s="500" t="s">
        <v>173</v>
      </c>
      <c r="D4214" s="500" t="s">
        <v>759</v>
      </c>
      <c r="E4214" s="501">
        <v>53045838.43</v>
      </c>
      <c r="F4214" s="502" t="s">
        <v>878</v>
      </c>
      <c r="G4214" s="100">
        <v>114858072</v>
      </c>
      <c r="H4214" s="100">
        <v>114858072</v>
      </c>
      <c r="I4214" s="525"/>
      <c r="K4214" s="548"/>
      <c r="L4214" s="548"/>
      <c r="M4214" s="548"/>
      <c r="N4214" s="552"/>
      <c r="Y4214" s="551"/>
    </row>
    <row r="4215" spans="1:25">
      <c r="A4215" s="499">
        <v>45621</v>
      </c>
      <c r="B4215" s="499">
        <v>45621</v>
      </c>
      <c r="C4215" s="500" t="s">
        <v>173</v>
      </c>
      <c r="D4215" s="500" t="s">
        <v>760</v>
      </c>
      <c r="E4215" s="501">
        <v>-716401353.79999995</v>
      </c>
      <c r="F4215" s="502" t="s">
        <v>878</v>
      </c>
      <c r="G4215" s="100">
        <v>114853738</v>
      </c>
      <c r="H4215" s="530"/>
      <c r="I4215" s="525"/>
      <c r="K4215" s="548"/>
      <c r="L4215" s="548"/>
      <c r="M4215" s="548"/>
      <c r="N4215" s="552"/>
      <c r="Y4215" s="551"/>
    </row>
    <row r="4216" spans="1:25">
      <c r="A4216" s="499">
        <v>45621</v>
      </c>
      <c r="B4216" s="499">
        <v>45621</v>
      </c>
      <c r="C4216" s="500" t="s">
        <v>173</v>
      </c>
      <c r="D4216" s="500" t="s">
        <v>760</v>
      </c>
      <c r="E4216" s="501">
        <v>-332121461.87</v>
      </c>
      <c r="F4216" s="502" t="s">
        <v>878</v>
      </c>
      <c r="G4216" s="100">
        <v>114853761</v>
      </c>
      <c r="H4216" s="530"/>
      <c r="I4216" s="525"/>
      <c r="K4216" s="548"/>
      <c r="L4216" s="548"/>
      <c r="M4216" s="548"/>
      <c r="N4216" s="552"/>
      <c r="Y4216" s="551"/>
    </row>
    <row r="4217" spans="1:25">
      <c r="A4217" s="499">
        <v>45621</v>
      </c>
      <c r="B4217" s="499">
        <v>45621</v>
      </c>
      <c r="C4217" s="500" t="s">
        <v>173</v>
      </c>
      <c r="D4217" s="500" t="s">
        <v>760</v>
      </c>
      <c r="E4217" s="501">
        <v>-212147762.94</v>
      </c>
      <c r="F4217" s="502" t="s">
        <v>878</v>
      </c>
      <c r="G4217" s="100">
        <v>114854805</v>
      </c>
      <c r="H4217" s="530"/>
      <c r="I4217" s="525"/>
      <c r="K4217" s="548"/>
      <c r="L4217" s="548"/>
      <c r="M4217" s="548"/>
      <c r="N4217" s="552"/>
      <c r="Y4217" s="551"/>
    </row>
    <row r="4218" spans="1:25">
      <c r="A4218" s="499">
        <v>45621</v>
      </c>
      <c r="B4218" s="499">
        <v>45621</v>
      </c>
      <c r="C4218" s="500" t="s">
        <v>173</v>
      </c>
      <c r="D4218" s="500" t="s">
        <v>760</v>
      </c>
      <c r="E4218" s="501">
        <v>-28021743.48</v>
      </c>
      <c r="F4218" s="502" t="s">
        <v>878</v>
      </c>
      <c r="G4218" s="100">
        <v>114861379</v>
      </c>
      <c r="H4218" s="530"/>
      <c r="I4218" s="525"/>
      <c r="K4218" s="548"/>
      <c r="L4218" s="548"/>
      <c r="M4218" s="548"/>
      <c r="N4218" s="552"/>
      <c r="Y4218" s="551"/>
    </row>
    <row r="4219" spans="1:25">
      <c r="A4219" s="499">
        <v>45621</v>
      </c>
      <c r="B4219" s="499">
        <v>45621</v>
      </c>
      <c r="C4219" s="500" t="s">
        <v>173</v>
      </c>
      <c r="D4219" s="500" t="s">
        <v>760</v>
      </c>
      <c r="E4219" s="501">
        <v>-5003882.7699999996</v>
      </c>
      <c r="F4219" s="502" t="s">
        <v>878</v>
      </c>
      <c r="G4219" s="100">
        <v>114863147</v>
      </c>
      <c r="H4219" s="530"/>
      <c r="I4219" s="525"/>
      <c r="K4219" s="548"/>
      <c r="L4219" s="548"/>
      <c r="M4219" s="548"/>
      <c r="N4219" s="552"/>
      <c r="Y4219" s="551"/>
    </row>
    <row r="4220" spans="1:25">
      <c r="A4220" s="499">
        <v>45621</v>
      </c>
      <c r="B4220" s="499">
        <v>45622</v>
      </c>
      <c r="C4220" s="500" t="s">
        <v>173</v>
      </c>
      <c r="D4220" s="500" t="s">
        <v>760</v>
      </c>
      <c r="E4220" s="501">
        <v>716673038.25</v>
      </c>
      <c r="F4220" s="502" t="s">
        <v>878</v>
      </c>
      <c r="G4220" s="100">
        <v>114853738</v>
      </c>
      <c r="H4220" s="530">
        <v>114853738</v>
      </c>
      <c r="I4220" s="525"/>
      <c r="K4220" s="548"/>
      <c r="L4220" s="548"/>
      <c r="M4220" s="548"/>
      <c r="N4220" s="552"/>
      <c r="Y4220" s="551"/>
    </row>
    <row r="4221" spans="1:25">
      <c r="A4221" s="499">
        <v>45621</v>
      </c>
      <c r="B4221" s="499">
        <v>45622</v>
      </c>
      <c r="C4221" s="500" t="s">
        <v>173</v>
      </c>
      <c r="D4221" s="500" t="s">
        <v>760</v>
      </c>
      <c r="E4221" s="501">
        <v>332247413.94</v>
      </c>
      <c r="F4221" s="502" t="s">
        <v>878</v>
      </c>
      <c r="G4221" s="100">
        <v>114853761</v>
      </c>
      <c r="H4221" s="530">
        <v>114853761</v>
      </c>
      <c r="I4221" s="525"/>
      <c r="K4221" s="548"/>
      <c r="L4221" s="548"/>
      <c r="M4221" s="548"/>
      <c r="N4221" s="552"/>
      <c r="Y4221" s="551"/>
    </row>
    <row r="4222" spans="1:25">
      <c r="A4222" s="499">
        <v>45621</v>
      </c>
      <c r="B4222" s="499">
        <v>45622</v>
      </c>
      <c r="C4222" s="500" t="s">
        <v>173</v>
      </c>
      <c r="D4222" s="500" t="s">
        <v>760</v>
      </c>
      <c r="E4222" s="501">
        <v>212228216.78999999</v>
      </c>
      <c r="F4222" s="502" t="s">
        <v>878</v>
      </c>
      <c r="G4222" s="100">
        <v>114854805</v>
      </c>
      <c r="H4222" s="530">
        <v>114854805</v>
      </c>
      <c r="I4222" s="525"/>
      <c r="K4222" s="548"/>
      <c r="L4222" s="548"/>
      <c r="M4222" s="548"/>
      <c r="N4222" s="552"/>
      <c r="Y4222" s="551"/>
    </row>
    <row r="4223" spans="1:25">
      <c r="A4223" s="499">
        <v>45621</v>
      </c>
      <c r="B4223" s="499">
        <v>45622</v>
      </c>
      <c r="C4223" s="500" t="s">
        <v>173</v>
      </c>
      <c r="D4223" s="500" t="s">
        <v>760</v>
      </c>
      <c r="E4223" s="501">
        <v>28031888.039999999</v>
      </c>
      <c r="F4223" s="502" t="s">
        <v>878</v>
      </c>
      <c r="G4223" s="100">
        <v>114861379</v>
      </c>
      <c r="H4223" s="530">
        <v>114861379</v>
      </c>
      <c r="I4223" s="525"/>
      <c r="K4223" s="548"/>
      <c r="L4223" s="548"/>
      <c r="M4223" s="548"/>
      <c r="N4223" s="552"/>
      <c r="Y4223" s="551"/>
    </row>
    <row r="4224" spans="1:25">
      <c r="A4224" s="499">
        <v>45621</v>
      </c>
      <c r="B4224" s="499">
        <v>45622</v>
      </c>
      <c r="C4224" s="500" t="s">
        <v>173</v>
      </c>
      <c r="D4224" s="500" t="s">
        <v>760</v>
      </c>
      <c r="E4224" s="501">
        <v>5005694.28</v>
      </c>
      <c r="F4224" s="502" t="s">
        <v>878</v>
      </c>
      <c r="G4224" s="100">
        <v>114863147</v>
      </c>
      <c r="H4224" s="530">
        <v>114863147</v>
      </c>
      <c r="I4224" s="525"/>
      <c r="K4224" s="548"/>
      <c r="L4224" s="548"/>
      <c r="M4224" s="548"/>
      <c r="N4224" s="552"/>
      <c r="Y4224" s="551"/>
    </row>
    <row r="4225" spans="1:25">
      <c r="A4225" s="499">
        <v>45621</v>
      </c>
      <c r="B4225" s="499">
        <v>45621</v>
      </c>
      <c r="C4225" s="500" t="s">
        <v>173</v>
      </c>
      <c r="D4225" s="500" t="s">
        <v>763</v>
      </c>
      <c r="E4225" s="501">
        <v>-5465354820.04</v>
      </c>
      <c r="F4225" s="502" t="s">
        <v>878</v>
      </c>
      <c r="G4225" s="100">
        <v>114852365</v>
      </c>
      <c r="H4225" s="530"/>
      <c r="I4225" s="525"/>
      <c r="K4225" s="548"/>
      <c r="L4225" s="548"/>
      <c r="M4225" s="548"/>
      <c r="N4225" s="552"/>
      <c r="Y4225" s="551"/>
    </row>
    <row r="4226" spans="1:25">
      <c r="A4226" s="499">
        <v>45621</v>
      </c>
      <c r="B4226" s="499">
        <v>45621</v>
      </c>
      <c r="C4226" s="500" t="s">
        <v>173</v>
      </c>
      <c r="D4226" s="500" t="s">
        <v>763</v>
      </c>
      <c r="E4226" s="501">
        <v>-22006250.399999999</v>
      </c>
      <c r="F4226" s="502" t="s">
        <v>878</v>
      </c>
      <c r="G4226" s="100">
        <v>114852380</v>
      </c>
      <c r="H4226" s="530"/>
      <c r="I4226" s="525"/>
      <c r="K4226" s="548"/>
      <c r="L4226" s="548"/>
      <c r="M4226" s="548"/>
      <c r="N4226" s="552"/>
      <c r="Y4226" s="551"/>
    </row>
    <row r="4227" spans="1:25">
      <c r="A4227" s="499">
        <v>45621</v>
      </c>
      <c r="B4227" s="499">
        <v>45622</v>
      </c>
      <c r="C4227" s="500" t="s">
        <v>173</v>
      </c>
      <c r="D4227" s="500" t="s">
        <v>763</v>
      </c>
      <c r="E4227" s="501">
        <v>5467415527.6000004</v>
      </c>
      <c r="F4227" s="502" t="s">
        <v>878</v>
      </c>
      <c r="G4227" s="100">
        <v>114852365</v>
      </c>
      <c r="H4227" s="100">
        <v>114852365</v>
      </c>
      <c r="I4227" s="525"/>
      <c r="K4227" s="548"/>
      <c r="L4227" s="548"/>
      <c r="M4227" s="548"/>
      <c r="N4227" s="552"/>
      <c r="Y4227" s="551"/>
    </row>
    <row r="4228" spans="1:25">
      <c r="A4228" s="499">
        <v>45621</v>
      </c>
      <c r="B4228" s="499">
        <v>45622</v>
      </c>
      <c r="C4228" s="500" t="s">
        <v>173</v>
      </c>
      <c r="D4228" s="500" t="s">
        <v>763</v>
      </c>
      <c r="E4228" s="501">
        <v>22014577.899999999</v>
      </c>
      <c r="F4228" s="502" t="s">
        <v>878</v>
      </c>
      <c r="G4228" s="100">
        <v>114852380</v>
      </c>
      <c r="H4228" s="100">
        <v>114852380</v>
      </c>
      <c r="I4228" s="525"/>
      <c r="K4228" s="548"/>
      <c r="L4228" s="548"/>
      <c r="M4228" s="548"/>
      <c r="N4228" s="552"/>
      <c r="Y4228" s="551"/>
    </row>
    <row r="4229" spans="1:25">
      <c r="A4229" s="499">
        <v>45622</v>
      </c>
      <c r="B4229" s="499">
        <v>45622</v>
      </c>
      <c r="C4229" s="500" t="s">
        <v>173</v>
      </c>
      <c r="D4229" s="500" t="s">
        <v>761</v>
      </c>
      <c r="E4229" s="501">
        <v>-450187030.75999999</v>
      </c>
      <c r="F4229" s="502" t="s">
        <v>878</v>
      </c>
      <c r="G4229" s="100">
        <v>114875996</v>
      </c>
      <c r="H4229" s="530"/>
      <c r="I4229" s="525"/>
      <c r="K4229" s="548"/>
      <c r="L4229" s="548"/>
      <c r="M4229" s="548"/>
      <c r="N4229" s="552"/>
      <c r="Y4229" s="551"/>
    </row>
    <row r="4230" spans="1:25">
      <c r="A4230" s="499">
        <v>45622</v>
      </c>
      <c r="B4230" s="499">
        <v>45622</v>
      </c>
      <c r="C4230" s="500" t="s">
        <v>173</v>
      </c>
      <c r="D4230" s="500" t="s">
        <v>761</v>
      </c>
      <c r="E4230" s="501">
        <v>-7002909.3700000001</v>
      </c>
      <c r="F4230" s="502" t="s">
        <v>878</v>
      </c>
      <c r="G4230" s="100">
        <v>114876194</v>
      </c>
      <c r="H4230" s="530"/>
      <c r="I4230" s="525"/>
      <c r="K4230" s="548"/>
      <c r="L4230" s="548"/>
      <c r="M4230" s="548"/>
      <c r="N4230" s="552"/>
      <c r="Q4230" s="539">
        <v>-1</v>
      </c>
      <c r="Y4230" s="551"/>
    </row>
    <row r="4231" spans="1:25">
      <c r="A4231" s="499">
        <v>45622</v>
      </c>
      <c r="B4231" s="499">
        <v>45622</v>
      </c>
      <c r="C4231" s="500" t="s">
        <v>173</v>
      </c>
      <c r="D4231" s="500" t="s">
        <v>761</v>
      </c>
      <c r="E4231" s="501">
        <v>-57019125.670000002</v>
      </c>
      <c r="F4231" s="502" t="s">
        <v>878</v>
      </c>
      <c r="G4231" s="100">
        <v>114876502</v>
      </c>
      <c r="H4231" s="530"/>
      <c r="I4231" s="525"/>
      <c r="K4231" s="548"/>
      <c r="L4231" s="548"/>
      <c r="M4231" s="548"/>
      <c r="N4231" s="552"/>
      <c r="Y4231" s="551"/>
    </row>
    <row r="4232" spans="1:25">
      <c r="A4232" s="499">
        <v>45622</v>
      </c>
      <c r="B4232" s="499">
        <v>45622</v>
      </c>
      <c r="C4232" s="500" t="s">
        <v>173</v>
      </c>
      <c r="D4232" s="500" t="s">
        <v>761</v>
      </c>
      <c r="E4232" s="501">
        <v>-2001404.62</v>
      </c>
      <c r="F4232" s="502" t="s">
        <v>878</v>
      </c>
      <c r="G4232" s="100">
        <v>114876648</v>
      </c>
      <c r="H4232" s="530"/>
      <c r="I4232" s="525"/>
      <c r="K4232" s="548"/>
      <c r="L4232" s="548"/>
      <c r="M4232" s="548"/>
      <c r="N4232" s="552"/>
      <c r="Y4232" s="551"/>
    </row>
    <row r="4233" spans="1:25">
      <c r="A4233" s="499">
        <v>45622</v>
      </c>
      <c r="B4233" s="499">
        <v>45623</v>
      </c>
      <c r="C4233" s="500" t="s">
        <v>173</v>
      </c>
      <c r="D4233" s="500" t="s">
        <v>761</v>
      </c>
      <c r="E4233" s="501">
        <v>450355543.38999999</v>
      </c>
      <c r="F4233" s="502" t="s">
        <v>878</v>
      </c>
      <c r="G4233" s="100">
        <v>114875996</v>
      </c>
      <c r="H4233" s="100">
        <v>114875996</v>
      </c>
      <c r="I4233" s="525"/>
      <c r="K4233" s="548"/>
      <c r="L4233" s="548"/>
      <c r="M4233" s="548"/>
      <c r="N4233" s="552"/>
      <c r="Y4233" s="551"/>
    </row>
    <row r="4234" spans="1:25">
      <c r="A4234" s="499">
        <v>45622</v>
      </c>
      <c r="B4234" s="499">
        <v>45623</v>
      </c>
      <c r="C4234" s="500" t="s">
        <v>173</v>
      </c>
      <c r="D4234" s="500" t="s">
        <v>761</v>
      </c>
      <c r="E4234" s="501">
        <v>7005530.6799999997</v>
      </c>
      <c r="F4234" s="502" t="s">
        <v>878</v>
      </c>
      <c r="G4234" s="100">
        <v>114876194</v>
      </c>
      <c r="H4234" s="100">
        <v>114876194</v>
      </c>
      <c r="I4234" s="525"/>
      <c r="K4234" s="548"/>
      <c r="L4234" s="548"/>
      <c r="M4234" s="548"/>
      <c r="N4234" s="552"/>
      <c r="Y4234" s="551"/>
    </row>
    <row r="4235" spans="1:25">
      <c r="A4235" s="499">
        <v>45622</v>
      </c>
      <c r="B4235" s="499">
        <v>45623</v>
      </c>
      <c r="C4235" s="500" t="s">
        <v>173</v>
      </c>
      <c r="D4235" s="500" t="s">
        <v>761</v>
      </c>
      <c r="E4235" s="501">
        <v>57040468.890000001</v>
      </c>
      <c r="F4235" s="502" t="s">
        <v>878</v>
      </c>
      <c r="G4235" s="100">
        <v>114876502</v>
      </c>
      <c r="H4235" s="100">
        <v>114876502</v>
      </c>
      <c r="I4235" s="525"/>
      <c r="K4235" s="548"/>
      <c r="L4235" s="548"/>
      <c r="M4235" s="548"/>
      <c r="N4235" s="552"/>
      <c r="Y4235" s="551"/>
    </row>
    <row r="4236" spans="1:25">
      <c r="A4236" s="499">
        <v>45622</v>
      </c>
      <c r="B4236" s="499">
        <v>45623</v>
      </c>
      <c r="C4236" s="500" t="s">
        <v>173</v>
      </c>
      <c r="D4236" s="500" t="s">
        <v>761</v>
      </c>
      <c r="E4236" s="501">
        <v>2002149.4</v>
      </c>
      <c r="F4236" s="502" t="s">
        <v>878</v>
      </c>
      <c r="G4236" s="100">
        <v>114876648</v>
      </c>
      <c r="H4236" s="100">
        <v>114876648</v>
      </c>
      <c r="I4236" s="525"/>
      <c r="K4236" s="548"/>
      <c r="L4236" s="548"/>
      <c r="M4236" s="548"/>
      <c r="N4236" s="552"/>
      <c r="Y4236" s="551"/>
    </row>
    <row r="4237" spans="1:25">
      <c r="A4237" s="499">
        <v>45622</v>
      </c>
      <c r="B4237" s="499">
        <v>45622</v>
      </c>
      <c r="C4237" s="500" t="s">
        <v>173</v>
      </c>
      <c r="D4237" s="500" t="s">
        <v>759</v>
      </c>
      <c r="E4237" s="501">
        <v>-2000001780</v>
      </c>
      <c r="F4237" s="502" t="s">
        <v>878</v>
      </c>
      <c r="G4237" s="100">
        <v>114874424</v>
      </c>
      <c r="H4237" s="530"/>
      <c r="I4237" s="525"/>
      <c r="K4237" s="548"/>
      <c r="L4237" s="548"/>
      <c r="M4237" s="548"/>
      <c r="N4237" s="552"/>
      <c r="Y4237" s="551"/>
    </row>
    <row r="4238" spans="1:25">
      <c r="A4238" s="499">
        <v>45622</v>
      </c>
      <c r="B4238" s="499">
        <v>45622</v>
      </c>
      <c r="C4238" s="500" t="s">
        <v>173</v>
      </c>
      <c r="D4238" s="500" t="s">
        <v>759</v>
      </c>
      <c r="E4238" s="501">
        <v>-3874028277.5</v>
      </c>
      <c r="F4238" s="502" t="s">
        <v>878</v>
      </c>
      <c r="G4238" s="100">
        <v>114874493</v>
      </c>
      <c r="H4238" s="530"/>
      <c r="I4238" s="525"/>
      <c r="K4238" s="548"/>
      <c r="L4238" s="548"/>
      <c r="M4238" s="548"/>
      <c r="N4238" s="552"/>
      <c r="Y4238" s="551"/>
    </row>
    <row r="4239" spans="1:25">
      <c r="A4239" s="499">
        <v>45622</v>
      </c>
      <c r="B4239" s="499">
        <v>45622</v>
      </c>
      <c r="C4239" s="500" t="s">
        <v>173</v>
      </c>
      <c r="D4239" s="500" t="s">
        <v>759</v>
      </c>
      <c r="E4239" s="501">
        <v>-14011714.08</v>
      </c>
      <c r="F4239" s="502" t="s">
        <v>878</v>
      </c>
      <c r="G4239" s="100">
        <v>114882123</v>
      </c>
      <c r="H4239" s="530"/>
      <c r="I4239" s="525"/>
      <c r="K4239" s="548"/>
      <c r="L4239" s="548"/>
      <c r="M4239" s="548"/>
      <c r="N4239" s="552"/>
      <c r="Y4239" s="551"/>
    </row>
    <row r="4240" spans="1:25">
      <c r="A4240" s="499">
        <v>45622</v>
      </c>
      <c r="B4240" s="499">
        <v>45623</v>
      </c>
      <c r="C4240" s="500" t="s">
        <v>173</v>
      </c>
      <c r="D4240" s="500" t="s">
        <v>759</v>
      </c>
      <c r="E4240" s="501">
        <v>2000755873.5699999</v>
      </c>
      <c r="F4240" s="502" t="s">
        <v>878</v>
      </c>
      <c r="G4240" s="100">
        <v>114874424</v>
      </c>
      <c r="H4240" s="100">
        <v>114874424</v>
      </c>
      <c r="I4240" s="525"/>
      <c r="K4240" s="548"/>
      <c r="L4240" s="548"/>
      <c r="M4240" s="548"/>
      <c r="N4240" s="552"/>
      <c r="Y4240" s="551"/>
    </row>
    <row r="4241" spans="1:25">
      <c r="A4241" s="499">
        <v>45622</v>
      </c>
      <c r="B4241" s="499">
        <v>45629</v>
      </c>
      <c r="C4241" s="500" t="s">
        <v>173</v>
      </c>
      <c r="D4241" s="500" t="s">
        <v>759</v>
      </c>
      <c r="E4241" s="501">
        <v>3884364311.96</v>
      </c>
      <c r="F4241" s="502" t="s">
        <v>878</v>
      </c>
      <c r="G4241" s="100">
        <v>114874493</v>
      </c>
      <c r="H4241" s="100">
        <v>114874493</v>
      </c>
      <c r="I4241" s="525"/>
      <c r="K4241" s="548"/>
      <c r="L4241" s="548"/>
      <c r="M4241" s="548"/>
      <c r="N4241" s="552"/>
      <c r="Y4241" s="551"/>
    </row>
    <row r="4242" spans="1:25">
      <c r="A4242" s="499">
        <v>45622</v>
      </c>
      <c r="B4242" s="499">
        <v>45629</v>
      </c>
      <c r="C4242" s="500" t="s">
        <v>173</v>
      </c>
      <c r="D4242" s="500" t="s">
        <v>759</v>
      </c>
      <c r="E4242" s="501">
        <v>14048427.83</v>
      </c>
      <c r="F4242" s="502" t="s">
        <v>878</v>
      </c>
      <c r="G4242" s="100">
        <v>114882123</v>
      </c>
      <c r="H4242" s="100">
        <v>114882123</v>
      </c>
      <c r="I4242" s="525"/>
      <c r="K4242" s="548"/>
      <c r="L4242" s="548"/>
      <c r="M4242" s="548"/>
      <c r="N4242" s="552"/>
      <c r="Y4242" s="551"/>
    </row>
    <row r="4243" spans="1:25">
      <c r="A4243" s="499">
        <v>45622</v>
      </c>
      <c r="B4243" s="499">
        <v>45622</v>
      </c>
      <c r="C4243" s="500" t="s">
        <v>173</v>
      </c>
      <c r="D4243" s="500" t="s">
        <v>760</v>
      </c>
      <c r="E4243" s="501">
        <v>-1260422777.8800001</v>
      </c>
      <c r="F4243" s="502" t="s">
        <v>878</v>
      </c>
      <c r="G4243" s="100">
        <v>114876505</v>
      </c>
      <c r="H4243" s="530"/>
      <c r="I4243" s="525"/>
      <c r="K4243" s="548"/>
      <c r="L4243" s="548"/>
      <c r="M4243" s="548"/>
      <c r="N4243" s="552"/>
      <c r="Y4243" s="551"/>
    </row>
    <row r="4244" spans="1:25">
      <c r="A4244" s="499">
        <v>45622</v>
      </c>
      <c r="B4244" s="499">
        <v>45622</v>
      </c>
      <c r="C4244" s="500" t="s">
        <v>173</v>
      </c>
      <c r="D4244" s="500" t="s">
        <v>760</v>
      </c>
      <c r="E4244" s="501">
        <v>-33002276.77</v>
      </c>
      <c r="F4244" s="502" t="s">
        <v>878</v>
      </c>
      <c r="G4244" s="100">
        <v>114876579</v>
      </c>
      <c r="H4244" s="530"/>
      <c r="I4244" s="525"/>
      <c r="K4244" s="548"/>
      <c r="L4244" s="548"/>
      <c r="M4244" s="548"/>
      <c r="N4244" s="552"/>
      <c r="Y4244" s="551"/>
    </row>
    <row r="4245" spans="1:25">
      <c r="A4245" s="499">
        <v>45622</v>
      </c>
      <c r="B4245" s="499">
        <v>45623</v>
      </c>
      <c r="C4245" s="500" t="s">
        <v>173</v>
      </c>
      <c r="D4245" s="500" t="s">
        <v>760</v>
      </c>
      <c r="E4245" s="501">
        <v>1260894575.48</v>
      </c>
      <c r="F4245" s="502" t="s">
        <v>878</v>
      </c>
      <c r="G4245" s="100">
        <v>114876505</v>
      </c>
      <c r="H4245" s="100">
        <v>114876505</v>
      </c>
      <c r="I4245" s="525"/>
      <c r="K4245" s="548"/>
      <c r="L4245" s="548"/>
      <c r="M4245" s="548"/>
      <c r="N4245" s="552"/>
      <c r="Y4245" s="551"/>
    </row>
    <row r="4246" spans="1:25">
      <c r="A4246" s="499">
        <v>45622</v>
      </c>
      <c r="B4246" s="499">
        <v>45623</v>
      </c>
      <c r="C4246" s="500" t="s">
        <v>173</v>
      </c>
      <c r="D4246" s="500" t="s">
        <v>760</v>
      </c>
      <c r="E4246" s="501">
        <v>33014611.960000001</v>
      </c>
      <c r="F4246" s="502" t="s">
        <v>878</v>
      </c>
      <c r="G4246" s="100">
        <v>114876579</v>
      </c>
      <c r="H4246" s="100">
        <v>114876579</v>
      </c>
      <c r="I4246" s="525"/>
      <c r="K4246" s="548"/>
      <c r="L4246" s="548"/>
      <c r="M4246" s="548"/>
      <c r="N4246" s="552"/>
      <c r="Y4246" s="551"/>
    </row>
    <row r="4247" spans="1:25">
      <c r="A4247" s="499">
        <v>45622</v>
      </c>
      <c r="B4247" s="499">
        <v>45622</v>
      </c>
      <c r="C4247" s="500" t="s">
        <v>173</v>
      </c>
      <c r="D4247" s="500" t="s">
        <v>763</v>
      </c>
      <c r="E4247" s="501">
        <v>-18008111.16</v>
      </c>
      <c r="F4247" s="502" t="s">
        <v>878</v>
      </c>
      <c r="G4247" s="100">
        <v>114876652</v>
      </c>
      <c r="H4247" s="100"/>
      <c r="I4247" s="525"/>
      <c r="K4247" s="548"/>
      <c r="L4247" s="548"/>
      <c r="M4247" s="548"/>
      <c r="N4247" s="552"/>
      <c r="Y4247" s="551"/>
    </row>
    <row r="4248" spans="1:25">
      <c r="A4248" s="499">
        <v>45622</v>
      </c>
      <c r="B4248" s="499">
        <v>45622</v>
      </c>
      <c r="C4248" s="500" t="s">
        <v>173</v>
      </c>
      <c r="D4248" s="500" t="s">
        <v>763</v>
      </c>
      <c r="E4248" s="501">
        <v>-468011712.17000002</v>
      </c>
      <c r="F4248" s="502" t="s">
        <v>878</v>
      </c>
      <c r="G4248" s="100">
        <v>114876653</v>
      </c>
      <c r="H4248" s="100"/>
      <c r="I4248" s="525"/>
      <c r="K4248" s="548"/>
      <c r="L4248" s="548"/>
      <c r="M4248" s="548"/>
      <c r="N4248" s="552"/>
      <c r="Y4248" s="551"/>
    </row>
    <row r="4249" spans="1:25">
      <c r="A4249" s="499">
        <v>45622</v>
      </c>
      <c r="B4249" s="499">
        <v>45622</v>
      </c>
      <c r="C4249" s="500" t="s">
        <v>173</v>
      </c>
      <c r="D4249" s="500" t="s">
        <v>763</v>
      </c>
      <c r="E4249" s="501">
        <v>-5003570460</v>
      </c>
      <c r="F4249" s="502" t="s">
        <v>878</v>
      </c>
      <c r="G4249" s="100">
        <v>114876654</v>
      </c>
      <c r="H4249" s="100"/>
      <c r="I4249" s="525"/>
      <c r="K4249" s="548"/>
      <c r="L4249" s="548"/>
      <c r="M4249" s="548"/>
      <c r="N4249" s="552"/>
      <c r="Y4249" s="551"/>
    </row>
    <row r="4250" spans="1:25">
      <c r="A4250" s="499">
        <v>45622</v>
      </c>
      <c r="B4250" s="499">
        <v>45623</v>
      </c>
      <c r="C4250" s="500" t="s">
        <v>173</v>
      </c>
      <c r="D4250" s="500" t="s">
        <v>763</v>
      </c>
      <c r="E4250" s="501">
        <v>18014802.940000001</v>
      </c>
      <c r="F4250" s="502" t="s">
        <v>878</v>
      </c>
      <c r="G4250" s="100">
        <v>114876652</v>
      </c>
      <c r="H4250" s="100">
        <v>114876652</v>
      </c>
      <c r="I4250" s="525"/>
      <c r="K4250" s="548"/>
      <c r="L4250" s="548"/>
      <c r="M4250" s="548"/>
      <c r="N4250" s="552"/>
      <c r="Y4250" s="551"/>
    </row>
    <row r="4251" spans="1:25">
      <c r="A4251" s="499">
        <v>45622</v>
      </c>
      <c r="B4251" s="499">
        <v>45623</v>
      </c>
      <c r="C4251" s="500" t="s">
        <v>173</v>
      </c>
      <c r="D4251" s="500" t="s">
        <v>763</v>
      </c>
      <c r="E4251" s="501">
        <v>468186257.51999998</v>
      </c>
      <c r="F4251" s="502" t="s">
        <v>878</v>
      </c>
      <c r="G4251" s="100">
        <v>114876653</v>
      </c>
      <c r="H4251" s="100">
        <v>114876653</v>
      </c>
      <c r="I4251" s="525"/>
      <c r="K4251" s="548"/>
      <c r="L4251" s="548"/>
      <c r="M4251" s="548"/>
      <c r="N4251" s="552"/>
      <c r="Y4251" s="551"/>
    </row>
    <row r="4252" spans="1:25">
      <c r="A4252" s="499">
        <v>45622</v>
      </c>
      <c r="B4252" s="499">
        <v>45623</v>
      </c>
      <c r="C4252" s="500" t="s">
        <v>173</v>
      </c>
      <c r="D4252" s="500" t="s">
        <v>763</v>
      </c>
      <c r="E4252" s="501">
        <v>5005436545.6999998</v>
      </c>
      <c r="F4252" s="502" t="s">
        <v>878</v>
      </c>
      <c r="G4252" s="100">
        <v>114876654</v>
      </c>
      <c r="H4252" s="100">
        <v>114876654</v>
      </c>
      <c r="I4252" s="525"/>
      <c r="K4252" s="548"/>
      <c r="L4252" s="548"/>
      <c r="M4252" s="548"/>
      <c r="N4252" s="552"/>
      <c r="Y4252" s="551"/>
    </row>
    <row r="4253" spans="1:25">
      <c r="A4253" s="499">
        <v>45623</v>
      </c>
      <c r="B4253" s="499">
        <v>45623</v>
      </c>
      <c r="C4253" s="500" t="s">
        <v>173</v>
      </c>
      <c r="D4253" s="500" t="s">
        <v>762</v>
      </c>
      <c r="E4253" s="501">
        <v>-3501110644.5</v>
      </c>
      <c r="F4253" s="502" t="s">
        <v>878</v>
      </c>
      <c r="G4253" s="100">
        <v>114896267</v>
      </c>
      <c r="H4253" s="100"/>
      <c r="I4253" s="525"/>
      <c r="K4253" s="548"/>
      <c r="L4253" s="548"/>
      <c r="M4253" s="548"/>
      <c r="N4253" s="552"/>
      <c r="Y4253" s="551"/>
    </row>
    <row r="4254" spans="1:25">
      <c r="A4254" s="499">
        <v>45623</v>
      </c>
      <c r="B4254" s="499">
        <v>45623</v>
      </c>
      <c r="C4254" s="500" t="s">
        <v>173</v>
      </c>
      <c r="D4254" s="500" t="s">
        <v>762</v>
      </c>
      <c r="E4254" s="501">
        <v>-2116764005.1800001</v>
      </c>
      <c r="F4254" s="502" t="s">
        <v>878</v>
      </c>
      <c r="G4254" s="100">
        <v>114896264</v>
      </c>
      <c r="H4254" s="530"/>
      <c r="I4254" s="525"/>
      <c r="K4254" s="548"/>
      <c r="L4254" s="548"/>
      <c r="M4254" s="548"/>
      <c r="N4254" s="552"/>
      <c r="Y4254" s="551"/>
    </row>
    <row r="4255" spans="1:25">
      <c r="A4255" s="499">
        <v>45623</v>
      </c>
      <c r="B4255" s="499">
        <v>45623</v>
      </c>
      <c r="C4255" s="500" t="s">
        <v>173</v>
      </c>
      <c r="D4255" s="500" t="s">
        <v>762</v>
      </c>
      <c r="E4255" s="501">
        <v>-58042816.640000001</v>
      </c>
      <c r="F4255" s="502" t="s">
        <v>878</v>
      </c>
      <c r="G4255" s="100">
        <v>114896261</v>
      </c>
      <c r="H4255" s="530"/>
      <c r="I4255" s="525"/>
      <c r="K4255" s="548"/>
      <c r="L4255" s="548"/>
      <c r="M4255" s="548"/>
      <c r="N4255" s="552"/>
      <c r="Y4255" s="551"/>
    </row>
    <row r="4256" spans="1:25">
      <c r="A4256" s="499">
        <v>45623</v>
      </c>
      <c r="B4256" s="499">
        <v>45623</v>
      </c>
      <c r="C4256" s="500" t="s">
        <v>173</v>
      </c>
      <c r="D4256" s="500" t="s">
        <v>762</v>
      </c>
      <c r="E4256" s="501">
        <v>-648283046.39999998</v>
      </c>
      <c r="F4256" s="502" t="s">
        <v>878</v>
      </c>
      <c r="G4256" s="100">
        <v>114896270</v>
      </c>
      <c r="H4256" s="530"/>
      <c r="I4256" s="525"/>
      <c r="K4256" s="548"/>
      <c r="L4256" s="548"/>
      <c r="M4256" s="548"/>
      <c r="N4256" s="552"/>
      <c r="Y4256" s="551"/>
    </row>
    <row r="4257" spans="1:25">
      <c r="A4257" s="499">
        <v>45623</v>
      </c>
      <c r="B4257" s="499">
        <v>45623</v>
      </c>
      <c r="C4257" s="500" t="s">
        <v>173</v>
      </c>
      <c r="D4257" s="500" t="s">
        <v>762</v>
      </c>
      <c r="E4257" s="501">
        <v>-22009609.600000001</v>
      </c>
      <c r="F4257" s="502" t="s">
        <v>878</v>
      </c>
      <c r="G4257" s="100">
        <v>114896293</v>
      </c>
      <c r="H4257" s="530"/>
      <c r="I4257" s="525"/>
      <c r="K4257" s="548"/>
      <c r="L4257" s="548"/>
      <c r="M4257" s="548"/>
      <c r="N4257" s="552"/>
      <c r="Y4257" s="551"/>
    </row>
    <row r="4258" spans="1:25">
      <c r="A4258" s="499">
        <v>45623</v>
      </c>
      <c r="B4258" s="499">
        <v>45624</v>
      </c>
      <c r="C4258" s="500" t="s">
        <v>173</v>
      </c>
      <c r="D4258" s="500" t="s">
        <v>762</v>
      </c>
      <c r="E4258" s="501">
        <v>3502402229.0900002</v>
      </c>
      <c r="F4258" s="502" t="s">
        <v>878</v>
      </c>
      <c r="G4258" s="100">
        <v>114896267</v>
      </c>
      <c r="H4258" s="100">
        <v>114896267</v>
      </c>
      <c r="I4258" s="525"/>
      <c r="K4258" s="548"/>
      <c r="L4258" s="548"/>
      <c r="M4258" s="548"/>
      <c r="N4258" s="552"/>
      <c r="Y4258" s="551"/>
    </row>
    <row r="4259" spans="1:25">
      <c r="A4259" s="499">
        <v>45623</v>
      </c>
      <c r="B4259" s="499">
        <v>45624</v>
      </c>
      <c r="C4259" s="500" t="s">
        <v>173</v>
      </c>
      <c r="D4259" s="500" t="s">
        <v>762</v>
      </c>
      <c r="E4259" s="501">
        <v>2117545386.0599999</v>
      </c>
      <c r="F4259" s="502" t="s">
        <v>878</v>
      </c>
      <c r="G4259" s="100">
        <v>114896264</v>
      </c>
      <c r="H4259" s="100">
        <v>114896264</v>
      </c>
      <c r="I4259" s="525"/>
      <c r="K4259" s="548"/>
      <c r="L4259" s="548"/>
      <c r="M4259" s="548"/>
      <c r="N4259" s="552"/>
      <c r="Y4259" s="551"/>
    </row>
    <row r="4260" spans="1:25">
      <c r="A4260" s="499">
        <v>45623</v>
      </c>
      <c r="B4260" s="499">
        <v>45624</v>
      </c>
      <c r="C4260" s="500" t="s">
        <v>173</v>
      </c>
      <c r="D4260" s="500" t="s">
        <v>762</v>
      </c>
      <c r="E4260" s="501">
        <v>58064305.170000002</v>
      </c>
      <c r="F4260" s="502" t="s">
        <v>878</v>
      </c>
      <c r="G4260" s="100">
        <v>114896261</v>
      </c>
      <c r="H4260" s="100">
        <v>114896261</v>
      </c>
      <c r="I4260" s="525"/>
      <c r="K4260" s="548"/>
      <c r="L4260" s="548"/>
      <c r="M4260" s="548"/>
      <c r="N4260" s="552"/>
      <c r="Y4260" s="551"/>
    </row>
    <row r="4261" spans="1:25">
      <c r="A4261" s="499">
        <v>45623</v>
      </c>
      <c r="B4261" s="499">
        <v>45624</v>
      </c>
      <c r="C4261" s="500" t="s">
        <v>173</v>
      </c>
      <c r="D4261" s="500" t="s">
        <v>762</v>
      </c>
      <c r="E4261" s="501">
        <v>648522170.74000001</v>
      </c>
      <c r="F4261" s="502" t="s">
        <v>878</v>
      </c>
      <c r="G4261" s="100">
        <v>114896270</v>
      </c>
      <c r="H4261" s="100">
        <v>114896270</v>
      </c>
      <c r="I4261" s="525"/>
      <c r="K4261" s="548"/>
      <c r="L4261" s="548"/>
      <c r="M4261" s="548"/>
      <c r="N4261" s="552"/>
      <c r="Y4261" s="551"/>
    </row>
    <row r="4262" spans="1:25">
      <c r="A4262" s="499">
        <v>45623</v>
      </c>
      <c r="B4262" s="499">
        <v>45624</v>
      </c>
      <c r="C4262" s="500" t="s">
        <v>173</v>
      </c>
      <c r="D4262" s="500" t="s">
        <v>762</v>
      </c>
      <c r="E4262" s="501">
        <v>22017728.02</v>
      </c>
      <c r="F4262" s="502" t="s">
        <v>878</v>
      </c>
      <c r="G4262" s="100">
        <v>114896293</v>
      </c>
      <c r="H4262" s="100">
        <v>114896293</v>
      </c>
      <c r="I4262" s="525"/>
      <c r="K4262" s="548"/>
      <c r="L4262" s="548"/>
      <c r="M4262" s="548"/>
      <c r="N4262" s="552"/>
      <c r="Y4262" s="551"/>
    </row>
    <row r="4263" spans="1:25">
      <c r="A4263" s="499">
        <v>45623</v>
      </c>
      <c r="B4263" s="499">
        <v>45623</v>
      </c>
      <c r="C4263" s="500" t="s">
        <v>173</v>
      </c>
      <c r="D4263" s="500" t="s">
        <v>761</v>
      </c>
      <c r="E4263" s="501">
        <v>-708104557.44000006</v>
      </c>
      <c r="F4263" s="502" t="s">
        <v>878</v>
      </c>
      <c r="G4263" s="100">
        <v>114891597</v>
      </c>
      <c r="H4263" s="530"/>
      <c r="I4263" s="525"/>
      <c r="K4263" s="548"/>
      <c r="L4263" s="548"/>
      <c r="M4263" s="548"/>
      <c r="N4263" s="552"/>
      <c r="Y4263" s="551"/>
    </row>
    <row r="4264" spans="1:25">
      <c r="A4264" s="499">
        <v>45623</v>
      </c>
      <c r="B4264" s="499">
        <v>45623</v>
      </c>
      <c r="C4264" s="500" t="s">
        <v>173</v>
      </c>
      <c r="D4264" s="500" t="s">
        <v>761</v>
      </c>
      <c r="E4264" s="501">
        <v>-1000482.86</v>
      </c>
      <c r="F4264" s="502" t="s">
        <v>878</v>
      </c>
      <c r="G4264" s="100">
        <v>114892654</v>
      </c>
      <c r="H4264" s="530"/>
      <c r="I4264" s="525"/>
      <c r="K4264" s="548"/>
      <c r="L4264" s="548"/>
      <c r="M4264" s="548"/>
      <c r="N4264" s="552"/>
      <c r="Y4264" s="551"/>
    </row>
    <row r="4265" spans="1:25">
      <c r="A4265" s="499">
        <v>45623</v>
      </c>
      <c r="B4265" s="499">
        <v>45623</v>
      </c>
      <c r="C4265" s="500" t="s">
        <v>173</v>
      </c>
      <c r="D4265" s="500" t="s">
        <v>761</v>
      </c>
      <c r="E4265" s="501">
        <v>-7003380.0199999996</v>
      </c>
      <c r="F4265" s="502" t="s">
        <v>878</v>
      </c>
      <c r="G4265" s="100">
        <v>114892657</v>
      </c>
      <c r="H4265" s="530"/>
      <c r="I4265" s="525"/>
      <c r="K4265" s="548"/>
      <c r="L4265" s="548"/>
      <c r="M4265" s="548"/>
      <c r="N4265" s="552"/>
      <c r="Y4265" s="551"/>
    </row>
    <row r="4266" spans="1:25">
      <c r="A4266" s="499">
        <v>45623</v>
      </c>
      <c r="B4266" s="499">
        <v>45623</v>
      </c>
      <c r="C4266" s="500" t="s">
        <v>173</v>
      </c>
      <c r="D4266" s="500" t="s">
        <v>761</v>
      </c>
      <c r="E4266" s="501">
        <v>-9004345.7400000002</v>
      </c>
      <c r="F4266" s="502" t="s">
        <v>878</v>
      </c>
      <c r="G4266" s="100">
        <v>114892660</v>
      </c>
      <c r="H4266" s="530"/>
      <c r="I4266" s="525"/>
      <c r="K4266" s="548"/>
      <c r="L4266" s="548"/>
      <c r="M4266" s="548"/>
      <c r="N4266" s="552"/>
      <c r="Y4266" s="551"/>
    </row>
    <row r="4267" spans="1:25">
      <c r="A4267" s="499">
        <v>45623</v>
      </c>
      <c r="B4267" s="499">
        <v>45623</v>
      </c>
      <c r="C4267" s="500" t="s">
        <v>173</v>
      </c>
      <c r="D4267" s="500" t="s">
        <v>761</v>
      </c>
      <c r="E4267" s="501">
        <v>-41019797.259999998</v>
      </c>
      <c r="F4267" s="502" t="s">
        <v>878</v>
      </c>
      <c r="G4267" s="100">
        <v>114892663</v>
      </c>
      <c r="H4267" s="530"/>
      <c r="I4267" s="525"/>
      <c r="K4267" s="548"/>
      <c r="L4267" s="548"/>
      <c r="M4267" s="548"/>
      <c r="N4267" s="552"/>
      <c r="Y4267" s="551"/>
    </row>
    <row r="4268" spans="1:25">
      <c r="A4268" s="499">
        <v>45623</v>
      </c>
      <c r="B4268" s="499">
        <v>45623</v>
      </c>
      <c r="C4268" s="500" t="s">
        <v>173</v>
      </c>
      <c r="D4268" s="500" t="s">
        <v>761</v>
      </c>
      <c r="E4268" s="501">
        <v>-450217287</v>
      </c>
      <c r="F4268" s="502" t="s">
        <v>878</v>
      </c>
      <c r="G4268" s="100">
        <v>114892666</v>
      </c>
      <c r="H4268" s="530"/>
      <c r="I4268" s="525"/>
      <c r="K4268" s="548"/>
      <c r="L4268" s="548"/>
      <c r="M4268" s="548"/>
      <c r="N4268" s="552"/>
      <c r="Y4268" s="551"/>
    </row>
    <row r="4269" spans="1:25">
      <c r="A4269" s="499">
        <v>45623</v>
      </c>
      <c r="B4269" s="499">
        <v>45623</v>
      </c>
      <c r="C4269" s="500" t="s">
        <v>173</v>
      </c>
      <c r="D4269" s="500" t="s">
        <v>761</v>
      </c>
      <c r="E4269" s="501">
        <v>-2000447.92</v>
      </c>
      <c r="F4269" s="502" t="s">
        <v>878</v>
      </c>
      <c r="G4269" s="100">
        <v>114892708</v>
      </c>
      <c r="H4269" s="530"/>
      <c r="I4269" s="525"/>
      <c r="K4269" s="548"/>
      <c r="L4269" s="548"/>
      <c r="M4269" s="548"/>
      <c r="N4269" s="552"/>
      <c r="Y4269" s="551"/>
    </row>
    <row r="4270" spans="1:25">
      <c r="A4270" s="499">
        <v>45623</v>
      </c>
      <c r="B4270" s="499">
        <v>45630</v>
      </c>
      <c r="C4270" s="500" t="s">
        <v>173</v>
      </c>
      <c r="D4270" s="500" t="s">
        <v>761</v>
      </c>
      <c r="E4270" s="501">
        <v>710000575.11000001</v>
      </c>
      <c r="F4270" s="502" t="s">
        <v>878</v>
      </c>
      <c r="G4270" s="100">
        <v>114891597</v>
      </c>
      <c r="H4270" s="100">
        <v>114891597</v>
      </c>
      <c r="I4270" s="525"/>
      <c r="K4270" s="548"/>
      <c r="L4270" s="548"/>
      <c r="M4270" s="548"/>
      <c r="N4270" s="552"/>
      <c r="Y4270" s="551"/>
    </row>
    <row r="4271" spans="1:25">
      <c r="A4271" s="499">
        <v>45623</v>
      </c>
      <c r="B4271" s="499">
        <v>45624</v>
      </c>
      <c r="C4271" s="500" t="s">
        <v>173</v>
      </c>
      <c r="D4271" s="500" t="s">
        <v>761</v>
      </c>
      <c r="E4271" s="501">
        <v>1000860.91</v>
      </c>
      <c r="F4271" s="502" t="s">
        <v>878</v>
      </c>
      <c r="G4271" s="100">
        <v>114892654</v>
      </c>
      <c r="H4271" s="100">
        <v>114892654</v>
      </c>
      <c r="I4271" s="525"/>
      <c r="K4271" s="548"/>
      <c r="L4271" s="548"/>
      <c r="M4271" s="548"/>
      <c r="N4271" s="552">
        <v>-1</v>
      </c>
      <c r="Y4271" s="551"/>
    </row>
    <row r="4272" spans="1:25">
      <c r="A4272" s="499">
        <v>45623</v>
      </c>
      <c r="B4272" s="499">
        <v>45624</v>
      </c>
      <c r="C4272" s="500" t="s">
        <v>173</v>
      </c>
      <c r="D4272" s="500" t="s">
        <v>761</v>
      </c>
      <c r="E4272" s="501">
        <v>7006026.3799999999</v>
      </c>
      <c r="F4272" s="502" t="s">
        <v>878</v>
      </c>
      <c r="G4272" s="100">
        <v>114892657</v>
      </c>
      <c r="H4272" s="100">
        <v>114892657</v>
      </c>
      <c r="I4272" s="525"/>
      <c r="K4272" s="548"/>
      <c r="L4272" s="548"/>
      <c r="M4272" s="548"/>
      <c r="N4272" s="552"/>
      <c r="Y4272" s="551"/>
    </row>
    <row r="4273" spans="1:25">
      <c r="A4273" s="499">
        <v>45623</v>
      </c>
      <c r="B4273" s="499">
        <v>45624</v>
      </c>
      <c r="C4273" s="500" t="s">
        <v>173</v>
      </c>
      <c r="D4273" s="500" t="s">
        <v>761</v>
      </c>
      <c r="E4273" s="501">
        <v>9007748.1999999993</v>
      </c>
      <c r="F4273" s="502" t="s">
        <v>878</v>
      </c>
      <c r="G4273" s="100">
        <v>114892660</v>
      </c>
      <c r="H4273" s="100">
        <v>114892660</v>
      </c>
      <c r="I4273" s="525"/>
      <c r="K4273" s="548"/>
      <c r="L4273" s="548"/>
      <c r="M4273" s="548"/>
      <c r="N4273" s="552"/>
      <c r="Y4273" s="551"/>
    </row>
    <row r="4274" spans="1:25">
      <c r="A4274" s="499">
        <v>45623</v>
      </c>
      <c r="B4274" s="499">
        <v>45624</v>
      </c>
      <c r="C4274" s="500" t="s">
        <v>173</v>
      </c>
      <c r="D4274" s="500" t="s">
        <v>761</v>
      </c>
      <c r="E4274" s="501">
        <v>41035297.359999999</v>
      </c>
      <c r="F4274" s="502" t="s">
        <v>878</v>
      </c>
      <c r="G4274" s="100">
        <v>114892663</v>
      </c>
      <c r="H4274" s="100">
        <v>114892663</v>
      </c>
      <c r="I4274" s="525"/>
      <c r="K4274" s="548"/>
      <c r="L4274" s="548"/>
      <c r="M4274" s="548"/>
      <c r="N4274" s="552"/>
      <c r="Y4274" s="551"/>
    </row>
    <row r="4275" spans="1:25">
      <c r="A4275" s="499">
        <v>45623</v>
      </c>
      <c r="B4275" s="499">
        <v>45624</v>
      </c>
      <c r="C4275" s="500" t="s">
        <v>173</v>
      </c>
      <c r="D4275" s="500" t="s">
        <v>761</v>
      </c>
      <c r="E4275" s="501">
        <v>450387410.08999997</v>
      </c>
      <c r="F4275" s="502" t="s">
        <v>878</v>
      </c>
      <c r="G4275" s="100">
        <v>114892666</v>
      </c>
      <c r="H4275" s="100">
        <v>114892666</v>
      </c>
      <c r="I4275" s="525"/>
      <c r="K4275" s="548"/>
      <c r="L4275" s="548"/>
      <c r="M4275" s="548"/>
      <c r="N4275" s="552"/>
      <c r="Y4275" s="551"/>
    </row>
    <row r="4276" spans="1:25">
      <c r="A4276" s="499">
        <v>45623</v>
      </c>
      <c r="B4276" s="499">
        <v>45624</v>
      </c>
      <c r="C4276" s="500" t="s">
        <v>173</v>
      </c>
      <c r="D4276" s="500" t="s">
        <v>761</v>
      </c>
      <c r="E4276" s="501">
        <v>2001196.72</v>
      </c>
      <c r="F4276" s="502" t="s">
        <v>878</v>
      </c>
      <c r="G4276" s="100">
        <v>114892708</v>
      </c>
      <c r="H4276" s="100">
        <v>114892708</v>
      </c>
      <c r="I4276" s="525"/>
      <c r="K4276" s="548"/>
      <c r="L4276" s="548"/>
      <c r="M4276" s="548"/>
      <c r="N4276" s="552"/>
      <c r="Y4276" s="551"/>
    </row>
    <row r="4277" spans="1:25">
      <c r="A4277" s="499">
        <v>45623</v>
      </c>
      <c r="B4277" s="499">
        <v>45623</v>
      </c>
      <c r="C4277" s="500" t="s">
        <v>173</v>
      </c>
      <c r="D4277" s="500" t="s">
        <v>759</v>
      </c>
      <c r="E4277" s="501">
        <v>-1992961857.1199999</v>
      </c>
      <c r="F4277" s="502" t="s">
        <v>878</v>
      </c>
      <c r="G4277" s="100">
        <v>114892678</v>
      </c>
      <c r="H4277" s="530"/>
      <c r="I4277" s="525"/>
      <c r="K4277" s="548"/>
      <c r="L4277" s="548"/>
      <c r="M4277" s="548"/>
      <c r="N4277" s="552"/>
      <c r="Y4277" s="551"/>
    </row>
    <row r="4278" spans="1:25">
      <c r="A4278" s="499">
        <v>45623</v>
      </c>
      <c r="B4278" s="499">
        <v>45623</v>
      </c>
      <c r="C4278" s="500" t="s">
        <v>173</v>
      </c>
      <c r="D4278" s="500" t="s">
        <v>759</v>
      </c>
      <c r="E4278" s="501">
        <v>-8001791.6900000004</v>
      </c>
      <c r="F4278" s="502" t="s">
        <v>878</v>
      </c>
      <c r="G4278" s="100">
        <v>114898577</v>
      </c>
      <c r="H4278" s="530"/>
      <c r="I4278" s="525"/>
      <c r="K4278" s="548"/>
      <c r="L4278" s="548"/>
      <c r="M4278" s="548"/>
      <c r="N4278" s="552"/>
      <c r="Y4278" s="551"/>
    </row>
    <row r="4279" spans="1:25">
      <c r="A4279" s="499">
        <v>45623</v>
      </c>
      <c r="B4279" s="499">
        <v>45624</v>
      </c>
      <c r="C4279" s="500" t="s">
        <v>173</v>
      </c>
      <c r="D4279" s="500" t="s">
        <v>759</v>
      </c>
      <c r="E4279" s="501">
        <v>1993715479.8599999</v>
      </c>
      <c r="F4279" s="502" t="s">
        <v>878</v>
      </c>
      <c r="G4279" s="100">
        <v>114892678</v>
      </c>
      <c r="H4279" s="100">
        <v>114892678</v>
      </c>
      <c r="I4279" s="525"/>
      <c r="K4279" s="548"/>
      <c r="L4279" s="548"/>
      <c r="M4279" s="548"/>
      <c r="N4279" s="552"/>
      <c r="Y4279" s="551"/>
    </row>
    <row r="4280" spans="1:25">
      <c r="A4280" s="499">
        <v>45623</v>
      </c>
      <c r="B4280" s="499">
        <v>45624</v>
      </c>
      <c r="C4280" s="500" t="s">
        <v>173</v>
      </c>
      <c r="D4280" s="500" t="s">
        <v>759</v>
      </c>
      <c r="E4280" s="501">
        <v>8004690.7000000002</v>
      </c>
      <c r="F4280" s="502" t="s">
        <v>878</v>
      </c>
      <c r="G4280" s="100">
        <v>114898577</v>
      </c>
      <c r="H4280" s="100">
        <v>114898577</v>
      </c>
      <c r="I4280" s="525"/>
      <c r="K4280" s="548"/>
      <c r="L4280" s="548"/>
      <c r="M4280" s="548"/>
      <c r="N4280" s="552"/>
      <c r="Y4280" s="551"/>
    </row>
    <row r="4281" spans="1:25">
      <c r="A4281" s="499">
        <v>45623</v>
      </c>
      <c r="B4281" s="499">
        <v>45623</v>
      </c>
      <c r="C4281" s="500" t="s">
        <v>173</v>
      </c>
      <c r="D4281" s="500" t="s">
        <v>760</v>
      </c>
      <c r="E4281" s="501">
        <v>-532256881.51999998</v>
      </c>
      <c r="F4281" s="502" t="s">
        <v>878</v>
      </c>
      <c r="G4281" s="100">
        <v>114892681</v>
      </c>
      <c r="H4281" s="530"/>
      <c r="I4281" s="525"/>
      <c r="K4281" s="548"/>
      <c r="L4281" s="548"/>
      <c r="M4281" s="548"/>
      <c r="N4281" s="552"/>
      <c r="Y4281" s="551"/>
    </row>
    <row r="4282" spans="1:25">
      <c r="A4282" s="499">
        <v>45623</v>
      </c>
      <c r="B4282" s="499">
        <v>45623</v>
      </c>
      <c r="C4282" s="500" t="s">
        <v>173</v>
      </c>
      <c r="D4282" s="500" t="s">
        <v>760</v>
      </c>
      <c r="E4282" s="501">
        <v>-341267896.75999999</v>
      </c>
      <c r="F4282" s="502" t="s">
        <v>878</v>
      </c>
      <c r="G4282" s="100">
        <v>114892930</v>
      </c>
      <c r="H4282" s="530"/>
      <c r="I4282" s="525"/>
      <c r="K4282" s="548"/>
      <c r="L4282" s="548"/>
      <c r="M4282" s="548"/>
      <c r="N4282" s="552"/>
      <c r="Y4282" s="551"/>
    </row>
    <row r="4283" spans="1:25">
      <c r="A4283" s="499">
        <v>45623</v>
      </c>
      <c r="B4283" s="499">
        <v>45623</v>
      </c>
      <c r="C4283" s="500" t="s">
        <v>173</v>
      </c>
      <c r="D4283" s="500" t="s">
        <v>760</v>
      </c>
      <c r="E4283" s="501">
        <v>-387337470.97000003</v>
      </c>
      <c r="F4283" s="502" t="s">
        <v>878</v>
      </c>
      <c r="G4283" s="100">
        <v>114892933</v>
      </c>
      <c r="H4283" s="530"/>
      <c r="I4283" s="525"/>
      <c r="K4283" s="548"/>
      <c r="L4283" s="548"/>
      <c r="M4283" s="548"/>
      <c r="N4283" s="552"/>
      <c r="Y4283" s="551"/>
    </row>
    <row r="4284" spans="1:25">
      <c r="A4284" s="499">
        <v>45623</v>
      </c>
      <c r="B4284" s="499">
        <v>45623</v>
      </c>
      <c r="C4284" s="500" t="s">
        <v>173</v>
      </c>
      <c r="D4284" s="500" t="s">
        <v>760</v>
      </c>
      <c r="E4284" s="501">
        <v>-32010068.09</v>
      </c>
      <c r="F4284" s="502" t="s">
        <v>878</v>
      </c>
      <c r="G4284" s="100">
        <v>114893636</v>
      </c>
      <c r="H4284" s="530"/>
      <c r="I4284" s="525"/>
      <c r="K4284" s="548"/>
      <c r="L4284" s="548"/>
      <c r="M4284" s="548"/>
      <c r="N4284" s="552"/>
      <c r="Y4284" s="551"/>
    </row>
    <row r="4285" spans="1:25">
      <c r="A4285" s="499">
        <v>45623</v>
      </c>
      <c r="B4285" s="499">
        <v>45624</v>
      </c>
      <c r="C4285" s="500" t="s">
        <v>173</v>
      </c>
      <c r="D4285" s="500" t="s">
        <v>760</v>
      </c>
      <c r="E4285" s="501">
        <v>532458294.20999998</v>
      </c>
      <c r="F4285" s="502" t="s">
        <v>878</v>
      </c>
      <c r="G4285" s="100">
        <v>114892681</v>
      </c>
      <c r="H4285" s="100">
        <v>114892681</v>
      </c>
      <c r="I4285" s="525"/>
      <c r="K4285" s="548"/>
      <c r="L4285" s="548"/>
      <c r="M4285" s="548"/>
      <c r="N4285" s="552"/>
      <c r="Y4285" s="551"/>
    </row>
    <row r="4286" spans="1:25">
      <c r="A4286" s="499">
        <v>45623</v>
      </c>
      <c r="B4286" s="499">
        <v>45624</v>
      </c>
      <c r="C4286" s="500" t="s">
        <v>173</v>
      </c>
      <c r="D4286" s="500" t="s">
        <v>760</v>
      </c>
      <c r="E4286" s="501">
        <v>341397036.81999999</v>
      </c>
      <c r="F4286" s="502" t="s">
        <v>878</v>
      </c>
      <c r="G4286" s="100">
        <v>114892930</v>
      </c>
      <c r="H4286" s="100">
        <v>114892930</v>
      </c>
      <c r="I4286" s="525"/>
      <c r="K4286" s="548"/>
      <c r="L4286" s="548"/>
      <c r="M4286" s="548"/>
      <c r="N4286" s="552"/>
      <c r="Y4286" s="551"/>
    </row>
    <row r="4287" spans="1:25">
      <c r="A4287" s="499">
        <v>45623</v>
      </c>
      <c r="B4287" s="499">
        <v>45624</v>
      </c>
      <c r="C4287" s="500" t="s">
        <v>173</v>
      </c>
      <c r="D4287" s="500" t="s">
        <v>760</v>
      </c>
      <c r="E4287" s="501">
        <v>387484044.33999997</v>
      </c>
      <c r="F4287" s="502" t="s">
        <v>878</v>
      </c>
      <c r="G4287" s="100">
        <v>114892933</v>
      </c>
      <c r="H4287" s="100">
        <v>114892933</v>
      </c>
      <c r="I4287" s="525"/>
      <c r="K4287" s="548"/>
      <c r="L4287" s="548"/>
      <c r="M4287" s="548"/>
      <c r="N4287" s="552"/>
      <c r="Y4287" s="551"/>
    </row>
    <row r="4288" spans="1:25">
      <c r="A4288" s="499">
        <v>45623</v>
      </c>
      <c r="B4288" s="499">
        <v>45624</v>
      </c>
      <c r="C4288" s="500" t="s">
        <v>173</v>
      </c>
      <c r="D4288" s="500" t="s">
        <v>760</v>
      </c>
      <c r="E4288" s="501">
        <v>32022137.460000001</v>
      </c>
      <c r="F4288" s="502" t="s">
        <v>878</v>
      </c>
      <c r="G4288" s="100">
        <v>114893636</v>
      </c>
      <c r="H4288" s="100">
        <v>114893636</v>
      </c>
      <c r="I4288" s="525"/>
      <c r="K4288" s="548"/>
      <c r="L4288" s="548"/>
      <c r="M4288" s="548"/>
      <c r="N4288" s="552"/>
      <c r="Y4288" s="551"/>
    </row>
    <row r="4289" spans="1:25">
      <c r="A4289" s="499">
        <v>45623</v>
      </c>
      <c r="B4289" s="499">
        <v>45623</v>
      </c>
      <c r="C4289" s="500" t="s">
        <v>173</v>
      </c>
      <c r="D4289" s="500" t="s">
        <v>763</v>
      </c>
      <c r="E4289" s="501">
        <v>-3627022579.0799999</v>
      </c>
      <c r="F4289" s="502" t="s">
        <v>878</v>
      </c>
      <c r="G4289" s="100">
        <v>114892084</v>
      </c>
      <c r="H4289" s="100"/>
      <c r="I4289" s="525"/>
      <c r="K4289" s="548"/>
      <c r="L4289" s="548"/>
      <c r="M4289" s="548"/>
      <c r="N4289" s="552"/>
      <c r="Y4289" s="551"/>
    </row>
    <row r="4290" spans="1:25">
      <c r="A4290" s="499">
        <v>45623</v>
      </c>
      <c r="B4290" s="499">
        <v>45623</v>
      </c>
      <c r="C4290" s="500" t="s">
        <v>173</v>
      </c>
      <c r="D4290" s="500" t="s">
        <v>763</v>
      </c>
      <c r="E4290" s="501">
        <v>-1846585785.6400001</v>
      </c>
      <c r="F4290" s="502" t="s">
        <v>878</v>
      </c>
      <c r="G4290" s="100">
        <v>114892087</v>
      </c>
      <c r="H4290" s="530"/>
      <c r="I4290" s="525"/>
      <c r="K4290" s="548"/>
      <c r="L4290" s="548"/>
      <c r="M4290" s="548"/>
      <c r="N4290" s="552"/>
      <c r="Y4290" s="551"/>
    </row>
    <row r="4291" spans="1:25">
      <c r="A4291" s="499">
        <v>45623</v>
      </c>
      <c r="B4291" s="499">
        <v>45623</v>
      </c>
      <c r="C4291" s="500" t="s">
        <v>173</v>
      </c>
      <c r="D4291" s="500" t="s">
        <v>763</v>
      </c>
      <c r="E4291" s="501">
        <v>-18017118.760000002</v>
      </c>
      <c r="F4291" s="502" t="s">
        <v>878</v>
      </c>
      <c r="G4291" s="100">
        <v>114892139</v>
      </c>
      <c r="H4291" s="530"/>
      <c r="I4291" s="525"/>
      <c r="K4291" s="548"/>
      <c r="L4291" s="548"/>
      <c r="M4291" s="548"/>
      <c r="N4291" s="552"/>
      <c r="Y4291" s="551"/>
    </row>
    <row r="4292" spans="1:25">
      <c r="A4292" s="499">
        <v>45623</v>
      </c>
      <c r="B4292" s="499">
        <v>45624</v>
      </c>
      <c r="C4292" s="500" t="s">
        <v>173</v>
      </c>
      <c r="D4292" s="500" t="s">
        <v>763</v>
      </c>
      <c r="E4292" s="501">
        <v>3628375359.4000001</v>
      </c>
      <c r="F4292" s="502" t="s">
        <v>878</v>
      </c>
      <c r="G4292" s="100">
        <v>114892084</v>
      </c>
      <c r="H4292" s="530">
        <v>114892084</v>
      </c>
      <c r="I4292" s="525"/>
      <c r="K4292" s="548"/>
      <c r="L4292" s="548"/>
      <c r="M4292" s="548"/>
      <c r="N4292" s="552"/>
      <c r="Y4292" s="551"/>
    </row>
    <row r="4293" spans="1:25">
      <c r="A4293" s="499">
        <v>45623</v>
      </c>
      <c r="B4293" s="499">
        <v>45624</v>
      </c>
      <c r="C4293" s="500" t="s">
        <v>173</v>
      </c>
      <c r="D4293" s="500" t="s">
        <v>763</v>
      </c>
      <c r="E4293" s="501">
        <v>1847274511.6800001</v>
      </c>
      <c r="F4293" s="502" t="s">
        <v>878</v>
      </c>
      <c r="G4293" s="100">
        <v>114892087</v>
      </c>
      <c r="H4293" s="530">
        <v>114892087</v>
      </c>
      <c r="I4293" s="525"/>
      <c r="K4293" s="548"/>
      <c r="L4293" s="548"/>
      <c r="M4293" s="548"/>
      <c r="N4293" s="552"/>
      <c r="Y4293" s="551"/>
    </row>
    <row r="4294" spans="1:25">
      <c r="A4294" s="499">
        <v>45623</v>
      </c>
      <c r="B4294" s="499">
        <v>45624</v>
      </c>
      <c r="C4294" s="500" t="s">
        <v>173</v>
      </c>
      <c r="D4294" s="500" t="s">
        <v>763</v>
      </c>
      <c r="E4294" s="501">
        <v>18023843.23</v>
      </c>
      <c r="F4294" s="502" t="s">
        <v>878</v>
      </c>
      <c r="G4294" s="100">
        <v>114892139</v>
      </c>
      <c r="H4294" s="530">
        <v>114892139</v>
      </c>
      <c r="I4294" s="525"/>
      <c r="K4294" s="548"/>
      <c r="L4294" s="548"/>
      <c r="M4294" s="548"/>
      <c r="N4294" s="552"/>
      <c r="Y4294" s="551"/>
    </row>
    <row r="4295" spans="1:25">
      <c r="A4295" s="499">
        <v>45623</v>
      </c>
      <c r="B4295" s="499">
        <v>45623</v>
      </c>
      <c r="C4295" s="500" t="s">
        <v>173</v>
      </c>
      <c r="D4295" s="500" t="s">
        <v>764</v>
      </c>
      <c r="E4295" s="501">
        <v>-2231184735.7199998</v>
      </c>
      <c r="F4295" s="502" t="s">
        <v>878</v>
      </c>
      <c r="G4295" s="100">
        <v>114894252</v>
      </c>
      <c r="H4295" s="530"/>
      <c r="I4295" s="525"/>
      <c r="K4295" s="548"/>
      <c r="L4295" s="548"/>
      <c r="M4295" s="548"/>
      <c r="N4295" s="552"/>
      <c r="Y4295" s="551"/>
    </row>
    <row r="4296" spans="1:25">
      <c r="A4296" s="499">
        <v>45623</v>
      </c>
      <c r="B4296" s="499">
        <v>45623</v>
      </c>
      <c r="C4296" s="500" t="s">
        <v>173</v>
      </c>
      <c r="D4296" s="500" t="s">
        <v>764</v>
      </c>
      <c r="E4296" s="501">
        <v>-773245293.76999998</v>
      </c>
      <c r="F4296" s="502" t="s">
        <v>878</v>
      </c>
      <c r="G4296" s="100">
        <v>114894279</v>
      </c>
      <c r="H4296" s="530"/>
      <c r="I4296" s="525"/>
      <c r="K4296" s="548"/>
      <c r="L4296" s="548"/>
      <c r="M4296" s="548"/>
      <c r="N4296" s="552"/>
      <c r="Y4296" s="551"/>
    </row>
    <row r="4297" spans="1:25">
      <c r="A4297" s="499">
        <v>45623</v>
      </c>
      <c r="B4297" s="499">
        <v>45623</v>
      </c>
      <c r="C4297" s="500" t="s">
        <v>173</v>
      </c>
      <c r="D4297" s="500" t="s">
        <v>764</v>
      </c>
      <c r="E4297" s="501">
        <v>-12004158.960000001</v>
      </c>
      <c r="F4297" s="502" t="s">
        <v>878</v>
      </c>
      <c r="G4297" s="100">
        <v>114894371</v>
      </c>
      <c r="H4297" s="530"/>
      <c r="I4297" s="525"/>
      <c r="K4297" s="548"/>
      <c r="L4297" s="548"/>
      <c r="M4297" s="548"/>
      <c r="N4297" s="552"/>
      <c r="Y4297" s="551"/>
    </row>
    <row r="4298" spans="1:25">
      <c r="A4298" s="499">
        <v>45623</v>
      </c>
      <c r="B4298" s="499">
        <v>45624</v>
      </c>
      <c r="C4298" s="500" t="s">
        <v>173</v>
      </c>
      <c r="D4298" s="500" t="s">
        <v>764</v>
      </c>
      <c r="E4298" s="501">
        <v>2232029050.1599998</v>
      </c>
      <c r="F4298" s="502" t="s">
        <v>878</v>
      </c>
      <c r="G4298" s="100">
        <v>114894252</v>
      </c>
      <c r="H4298" s="100">
        <v>114894252</v>
      </c>
      <c r="I4298" s="525"/>
      <c r="K4298" s="548"/>
      <c r="L4298" s="548"/>
      <c r="M4298" s="548"/>
      <c r="N4298" s="552"/>
      <c r="Y4298" s="551"/>
    </row>
    <row r="4299" spans="1:25">
      <c r="A4299" s="499">
        <v>45623</v>
      </c>
      <c r="B4299" s="499">
        <v>45624</v>
      </c>
      <c r="C4299" s="500" t="s">
        <v>173</v>
      </c>
      <c r="D4299" s="500" t="s">
        <v>764</v>
      </c>
      <c r="E4299" s="501">
        <v>773537901.62</v>
      </c>
      <c r="F4299" s="502" t="s">
        <v>878</v>
      </c>
      <c r="G4299" s="100">
        <v>114894279</v>
      </c>
      <c r="H4299" s="100">
        <v>114894279</v>
      </c>
      <c r="I4299" s="525"/>
      <c r="K4299" s="548"/>
      <c r="L4299" s="548"/>
      <c r="M4299" s="548"/>
      <c r="N4299" s="552"/>
      <c r="Y4299" s="551"/>
    </row>
    <row r="4300" spans="1:25">
      <c r="A4300" s="499">
        <v>45623</v>
      </c>
      <c r="B4300" s="499">
        <v>45624</v>
      </c>
      <c r="C4300" s="500" t="s">
        <v>173</v>
      </c>
      <c r="D4300" s="500" t="s">
        <v>764</v>
      </c>
      <c r="E4300" s="501">
        <v>12008701.550000001</v>
      </c>
      <c r="F4300" s="502" t="s">
        <v>878</v>
      </c>
      <c r="G4300" s="100">
        <v>114894371</v>
      </c>
      <c r="H4300" s="100">
        <v>114894371</v>
      </c>
      <c r="I4300" s="525"/>
      <c r="K4300" s="548"/>
      <c r="L4300" s="548"/>
      <c r="M4300" s="548"/>
      <c r="N4300" s="552"/>
      <c r="Y4300" s="551"/>
    </row>
    <row r="4301" spans="1:25">
      <c r="A4301" s="499">
        <v>45624</v>
      </c>
      <c r="B4301" s="499">
        <v>45624</v>
      </c>
      <c r="C4301" s="500" t="s">
        <v>173</v>
      </c>
      <c r="D4301" s="500" t="s">
        <v>762</v>
      </c>
      <c r="E4301" s="501">
        <v>-42026731.990000002</v>
      </c>
      <c r="F4301" s="502" t="s">
        <v>878</v>
      </c>
      <c r="G4301" s="100">
        <v>114914289</v>
      </c>
      <c r="H4301" s="530"/>
      <c r="I4301" s="525"/>
      <c r="K4301" s="548"/>
      <c r="L4301" s="548"/>
      <c r="M4301" s="548"/>
      <c r="N4301" s="552"/>
      <c r="Y4301" s="551"/>
    </row>
    <row r="4302" spans="1:25">
      <c r="A4302" s="499">
        <v>45624</v>
      </c>
      <c r="B4302" s="499">
        <v>45624</v>
      </c>
      <c r="C4302" s="500" t="s">
        <v>173</v>
      </c>
      <c r="D4302" s="500" t="s">
        <v>762</v>
      </c>
      <c r="E4302" s="501">
        <v>-4291729845.5599999</v>
      </c>
      <c r="F4302" s="502" t="s">
        <v>878</v>
      </c>
      <c r="G4302" s="100">
        <v>114914292</v>
      </c>
      <c r="H4302" s="530"/>
      <c r="I4302" s="525"/>
      <c r="K4302" s="548"/>
      <c r="L4302" s="548"/>
      <c r="M4302" s="548"/>
      <c r="N4302" s="552"/>
      <c r="Y4302" s="551"/>
    </row>
    <row r="4303" spans="1:25">
      <c r="A4303" s="499">
        <v>45624</v>
      </c>
      <c r="B4303" s="499">
        <v>45624</v>
      </c>
      <c r="C4303" s="500" t="s">
        <v>173</v>
      </c>
      <c r="D4303" s="500" t="s">
        <v>762</v>
      </c>
      <c r="E4303" s="501">
        <v>-14008910.66</v>
      </c>
      <c r="F4303" s="502" t="s">
        <v>878</v>
      </c>
      <c r="G4303" s="100">
        <v>114914319</v>
      </c>
      <c r="H4303" s="530"/>
      <c r="I4303" s="525"/>
      <c r="K4303" s="548"/>
      <c r="L4303" s="548"/>
      <c r="M4303" s="548"/>
      <c r="N4303" s="552"/>
      <c r="Y4303" s="551"/>
    </row>
    <row r="4304" spans="1:25">
      <c r="A4304" s="499">
        <v>45624</v>
      </c>
      <c r="B4304" s="499">
        <v>45631</v>
      </c>
      <c r="C4304" s="500" t="s">
        <v>173</v>
      </c>
      <c r="D4304" s="500" t="s">
        <v>762</v>
      </c>
      <c r="E4304" s="501">
        <v>42139263.390000001</v>
      </c>
      <c r="F4304" s="502" t="s">
        <v>878</v>
      </c>
      <c r="G4304" s="100">
        <v>114914289</v>
      </c>
      <c r="H4304" s="100">
        <v>114914289</v>
      </c>
      <c r="I4304" s="525"/>
      <c r="K4304" s="548"/>
      <c r="L4304" s="548"/>
      <c r="M4304" s="548"/>
      <c r="N4304" s="552"/>
      <c r="Y4304" s="551"/>
    </row>
    <row r="4305" spans="1:25">
      <c r="A4305" s="499">
        <v>45624</v>
      </c>
      <c r="B4305" s="499">
        <v>45631</v>
      </c>
      <c r="C4305" s="500" t="s">
        <v>173</v>
      </c>
      <c r="D4305" s="500" t="s">
        <v>762</v>
      </c>
      <c r="E4305" s="501">
        <v>4303221444.7200003</v>
      </c>
      <c r="F4305" s="502" t="s">
        <v>878</v>
      </c>
      <c r="G4305" s="100">
        <v>114914292</v>
      </c>
      <c r="H4305" s="100">
        <v>114914292</v>
      </c>
      <c r="I4305" s="525"/>
      <c r="K4305" s="548"/>
      <c r="L4305" s="548"/>
      <c r="M4305" s="548"/>
      <c r="N4305" s="552"/>
      <c r="Y4305" s="551"/>
    </row>
    <row r="4306" spans="1:25">
      <c r="A4306" s="499">
        <v>45624</v>
      </c>
      <c r="B4306" s="499">
        <v>45631</v>
      </c>
      <c r="C4306" s="500" t="s">
        <v>173</v>
      </c>
      <c r="D4306" s="500" t="s">
        <v>762</v>
      </c>
      <c r="E4306" s="501">
        <v>14046421.130000001</v>
      </c>
      <c r="F4306" s="502" t="s">
        <v>878</v>
      </c>
      <c r="G4306" s="100">
        <v>114914319</v>
      </c>
      <c r="H4306" s="100">
        <v>114914319</v>
      </c>
      <c r="I4306" s="525"/>
      <c r="K4306" s="548"/>
      <c r="L4306" s="548"/>
      <c r="M4306" s="548"/>
      <c r="N4306" s="552"/>
      <c r="Y4306" s="551"/>
    </row>
    <row r="4307" spans="1:25">
      <c r="A4307" s="499">
        <v>45624</v>
      </c>
      <c r="B4307" s="499">
        <v>45624</v>
      </c>
      <c r="C4307" s="500" t="s">
        <v>173</v>
      </c>
      <c r="D4307" s="500" t="s">
        <v>762</v>
      </c>
      <c r="E4307" s="501">
        <v>-2000000000</v>
      </c>
      <c r="F4307" s="502" t="s">
        <v>906</v>
      </c>
      <c r="G4307" s="100" t="s">
        <v>1027</v>
      </c>
      <c r="H4307" s="530"/>
      <c r="I4307" s="525" t="s">
        <v>1445</v>
      </c>
      <c r="K4307" s="548">
        <v>114914604</v>
      </c>
      <c r="L4307" s="549">
        <v>100</v>
      </c>
      <c r="M4307" s="549">
        <f>E4307*(-1)/(N4307*O4307)*100</f>
        <v>100</v>
      </c>
      <c r="N4307" s="549">
        <v>2000000</v>
      </c>
      <c r="O4307" s="539">
        <v>1000</v>
      </c>
      <c r="T4307" s="553">
        <v>13.89</v>
      </c>
      <c r="U4307" s="538">
        <v>0</v>
      </c>
      <c r="V4307" s="538">
        <v>0</v>
      </c>
      <c r="W4307" s="550">
        <f>VLOOKUP(G4307,Справочник!A:C,3,0)</f>
        <v>0.1389</v>
      </c>
      <c r="X4307" s="539" t="str">
        <f>VLOOKUP(G4307,Справочник!A:G,7,0)</f>
        <v>АО "Национальный управляющий холдинг "Байтерек"</v>
      </c>
      <c r="Y4307" s="551">
        <f>VLOOKUP(G4307,Справочник!A:B,2,0)</f>
        <v>46109</v>
      </c>
    </row>
    <row r="4308" spans="1:25">
      <c r="A4308" s="499">
        <v>45624</v>
      </c>
      <c r="B4308" s="499">
        <v>45624</v>
      </c>
      <c r="C4308" s="500" t="s">
        <v>173</v>
      </c>
      <c r="D4308" s="500" t="s">
        <v>761</v>
      </c>
      <c r="E4308" s="501">
        <v>-1200572755.2</v>
      </c>
      <c r="F4308" s="502" t="s">
        <v>878</v>
      </c>
      <c r="G4308" s="100">
        <v>114910021</v>
      </c>
      <c r="H4308" s="530"/>
      <c r="I4308" s="525"/>
      <c r="K4308" s="548"/>
      <c r="L4308" s="548"/>
      <c r="M4308" s="548"/>
      <c r="N4308" s="552"/>
      <c r="Y4308" s="551"/>
    </row>
    <row r="4309" spans="1:25">
      <c r="A4309" s="499">
        <v>45624</v>
      </c>
      <c r="B4309" s="499">
        <v>45624</v>
      </c>
      <c r="C4309" s="500" t="s">
        <v>173</v>
      </c>
      <c r="D4309" s="500" t="s">
        <v>761</v>
      </c>
      <c r="E4309" s="501">
        <v>-246101708.69999999</v>
      </c>
      <c r="F4309" s="502" t="s">
        <v>878</v>
      </c>
      <c r="G4309" s="100">
        <v>114911128</v>
      </c>
      <c r="H4309" s="530"/>
      <c r="I4309" s="525"/>
      <c r="K4309" s="548"/>
      <c r="L4309" s="548"/>
      <c r="M4309" s="548"/>
      <c r="N4309" s="552"/>
      <c r="Y4309" s="551"/>
    </row>
    <row r="4310" spans="1:25">
      <c r="A4310" s="499">
        <v>45624</v>
      </c>
      <c r="B4310" s="499">
        <v>45624</v>
      </c>
      <c r="C4310" s="500" t="s">
        <v>173</v>
      </c>
      <c r="D4310" s="500" t="s">
        <v>761</v>
      </c>
      <c r="E4310" s="501">
        <v>-256065512.44999999</v>
      </c>
      <c r="F4310" s="502" t="s">
        <v>878</v>
      </c>
      <c r="G4310" s="100">
        <v>114911131</v>
      </c>
      <c r="H4310" s="530"/>
      <c r="I4310" s="525"/>
      <c r="K4310" s="548"/>
      <c r="L4310" s="548"/>
      <c r="M4310" s="548"/>
      <c r="N4310" s="552"/>
      <c r="Y4310" s="551"/>
    </row>
    <row r="4311" spans="1:25">
      <c r="A4311" s="499">
        <v>45624</v>
      </c>
      <c r="B4311" s="499">
        <v>45624</v>
      </c>
      <c r="C4311" s="500" t="s">
        <v>173</v>
      </c>
      <c r="D4311" s="500" t="s">
        <v>761</v>
      </c>
      <c r="E4311" s="501">
        <v>-6004990.0899999999</v>
      </c>
      <c r="F4311" s="502" t="s">
        <v>878</v>
      </c>
      <c r="G4311" s="100">
        <v>114911898</v>
      </c>
      <c r="H4311" s="530"/>
      <c r="I4311" s="525"/>
      <c r="K4311" s="548"/>
      <c r="L4311" s="548"/>
      <c r="M4311" s="548"/>
      <c r="N4311" s="552"/>
      <c r="Y4311" s="551"/>
    </row>
    <row r="4312" spans="1:25">
      <c r="A4312" s="499">
        <v>45624</v>
      </c>
      <c r="B4312" s="499">
        <v>45631</v>
      </c>
      <c r="C4312" s="500" t="s">
        <v>173</v>
      </c>
      <c r="D4312" s="500" t="s">
        <v>761</v>
      </c>
      <c r="E4312" s="501">
        <v>1203833327.1099999</v>
      </c>
      <c r="F4312" s="502" t="s">
        <v>878</v>
      </c>
      <c r="G4312" s="100">
        <v>114910021</v>
      </c>
      <c r="H4312" s="530">
        <v>114910021</v>
      </c>
      <c r="I4312" s="525"/>
      <c r="K4312" s="548"/>
      <c r="L4312" s="548"/>
      <c r="M4312" s="548"/>
      <c r="N4312" s="552"/>
      <c r="Y4312" s="551"/>
    </row>
    <row r="4313" spans="1:25">
      <c r="A4313" s="499">
        <v>45624</v>
      </c>
      <c r="B4313" s="499">
        <v>45625</v>
      </c>
      <c r="C4313" s="500" t="s">
        <v>173</v>
      </c>
      <c r="D4313" s="500" t="s">
        <v>761</v>
      </c>
      <c r="E4313" s="501">
        <v>246195173.56</v>
      </c>
      <c r="F4313" s="502" t="s">
        <v>878</v>
      </c>
      <c r="G4313" s="100">
        <v>114911128</v>
      </c>
      <c r="H4313" s="530">
        <v>114911128</v>
      </c>
      <c r="I4313" s="525"/>
      <c r="K4313" s="548"/>
      <c r="L4313" s="548"/>
      <c r="M4313" s="548"/>
      <c r="N4313" s="552"/>
      <c r="Y4313" s="551"/>
    </row>
    <row r="4314" spans="1:25">
      <c r="A4314" s="499">
        <v>45624</v>
      </c>
      <c r="B4314" s="499">
        <v>45625</v>
      </c>
      <c r="C4314" s="500" t="s">
        <v>173</v>
      </c>
      <c r="D4314" s="500" t="s">
        <v>761</v>
      </c>
      <c r="E4314" s="501">
        <v>256162761.37</v>
      </c>
      <c r="F4314" s="502" t="s">
        <v>878</v>
      </c>
      <c r="G4314" s="100">
        <v>114911131</v>
      </c>
      <c r="H4314" s="530">
        <v>114911131</v>
      </c>
      <c r="I4314" s="525"/>
      <c r="K4314" s="548"/>
      <c r="L4314" s="548"/>
      <c r="M4314" s="548"/>
      <c r="N4314" s="552"/>
      <c r="Y4314" s="551"/>
    </row>
    <row r="4315" spans="1:25">
      <c r="A4315" s="499">
        <v>45624</v>
      </c>
      <c r="B4315" s="499">
        <v>45631</v>
      </c>
      <c r="C4315" s="500" t="s">
        <v>173</v>
      </c>
      <c r="D4315" s="500" t="s">
        <v>761</v>
      </c>
      <c r="E4315" s="501">
        <v>6021183.8700000001</v>
      </c>
      <c r="F4315" s="502" t="s">
        <v>878</v>
      </c>
      <c r="G4315" s="100">
        <v>114911898</v>
      </c>
      <c r="H4315" s="530">
        <v>114911898</v>
      </c>
      <c r="I4315" s="525"/>
      <c r="K4315" s="548"/>
      <c r="L4315" s="548"/>
      <c r="M4315" s="548"/>
      <c r="N4315" s="552"/>
      <c r="Y4315" s="551"/>
    </row>
    <row r="4316" spans="1:25">
      <c r="A4316" s="499">
        <v>45624</v>
      </c>
      <c r="B4316" s="499">
        <v>45624</v>
      </c>
      <c r="C4316" s="500" t="s">
        <v>173</v>
      </c>
      <c r="D4316" s="500" t="s">
        <v>761</v>
      </c>
      <c r="E4316" s="501">
        <v>-300000000</v>
      </c>
      <c r="F4316" s="502" t="s">
        <v>906</v>
      </c>
      <c r="G4316" s="100" t="s">
        <v>1027</v>
      </c>
      <c r="H4316" s="530"/>
      <c r="I4316" s="525" t="s">
        <v>1445</v>
      </c>
      <c r="K4316" s="548">
        <v>114914590</v>
      </c>
      <c r="L4316" s="549">
        <v>100</v>
      </c>
      <c r="M4316" s="549">
        <f>E4316*(-1)/(N4316*O4316)*100</f>
        <v>100</v>
      </c>
      <c r="N4316" s="549">
        <v>300000</v>
      </c>
      <c r="O4316" s="539">
        <f>VLOOKUP(G4316,Справочник!A:J,10,0)</f>
        <v>1000</v>
      </c>
      <c r="T4316" s="538">
        <v>13.89</v>
      </c>
      <c r="U4316" s="538">
        <v>0</v>
      </c>
      <c r="V4316" s="538">
        <v>0</v>
      </c>
      <c r="W4316" s="550">
        <f>VLOOKUP(G4316,Справочник!A:C,3,0)</f>
        <v>0.1389</v>
      </c>
      <c r="X4316" s="539" t="str">
        <f>VLOOKUP(G4316,Справочник!A:G,7,0)</f>
        <v>АО "Национальный управляющий холдинг "Байтерек"</v>
      </c>
      <c r="Y4316" s="551">
        <f>VLOOKUP(G4316,Справочник!A:B,2,0)</f>
        <v>46109</v>
      </c>
    </row>
    <row r="4317" spans="1:25">
      <c r="A4317" s="499">
        <v>45624</v>
      </c>
      <c r="B4317" s="499">
        <v>45624</v>
      </c>
      <c r="C4317" s="500" t="s">
        <v>173</v>
      </c>
      <c r="D4317" s="500" t="s">
        <v>759</v>
      </c>
      <c r="E4317" s="501">
        <v>-276087405.88999999</v>
      </c>
      <c r="F4317" s="502" t="s">
        <v>878</v>
      </c>
      <c r="G4317" s="100">
        <v>114911258</v>
      </c>
      <c r="H4317" s="530"/>
      <c r="I4317" s="525"/>
      <c r="K4317" s="548"/>
      <c r="L4317" s="548"/>
      <c r="M4317" s="548"/>
      <c r="N4317" s="552"/>
      <c r="Y4317" s="551"/>
    </row>
    <row r="4318" spans="1:25">
      <c r="A4318" s="499">
        <v>45624</v>
      </c>
      <c r="B4318" s="499">
        <v>45624</v>
      </c>
      <c r="C4318" s="500" t="s">
        <v>173</v>
      </c>
      <c r="D4318" s="500" t="s">
        <v>759</v>
      </c>
      <c r="E4318" s="501">
        <v>-1718001425.9400001</v>
      </c>
      <c r="F4318" s="502" t="s">
        <v>878</v>
      </c>
      <c r="G4318" s="100">
        <v>114911327</v>
      </c>
      <c r="H4318" s="530"/>
      <c r="I4318" s="525"/>
      <c r="K4318" s="548"/>
      <c r="L4318" s="548"/>
      <c r="M4318" s="548"/>
      <c r="N4318" s="552"/>
      <c r="Y4318" s="551"/>
    </row>
    <row r="4319" spans="1:25">
      <c r="A4319" s="499">
        <v>45624</v>
      </c>
      <c r="B4319" s="499">
        <v>45624</v>
      </c>
      <c r="C4319" s="500" t="s">
        <v>173</v>
      </c>
      <c r="D4319" s="500" t="s">
        <v>759</v>
      </c>
      <c r="E4319" s="501">
        <v>-8003389.4699999997</v>
      </c>
      <c r="F4319" s="502" t="s">
        <v>878</v>
      </c>
      <c r="G4319" s="100">
        <v>114915199</v>
      </c>
      <c r="H4319" s="530"/>
      <c r="I4319" s="525"/>
      <c r="K4319" s="548"/>
      <c r="L4319" s="548"/>
      <c r="M4319" s="548"/>
      <c r="N4319" s="552"/>
      <c r="Y4319" s="551"/>
    </row>
    <row r="4320" spans="1:25">
      <c r="A4320" s="499">
        <v>45624</v>
      </c>
      <c r="B4320" s="499">
        <v>45625</v>
      </c>
      <c r="C4320" s="500" t="s">
        <v>173</v>
      </c>
      <c r="D4320" s="500" t="s">
        <v>759</v>
      </c>
      <c r="E4320" s="501">
        <v>276192635.93000001</v>
      </c>
      <c r="F4320" s="502" t="s">
        <v>878</v>
      </c>
      <c r="G4320" s="100">
        <v>114911258</v>
      </c>
      <c r="H4320" s="100">
        <v>114911258</v>
      </c>
      <c r="I4320" s="525"/>
      <c r="K4320" s="548"/>
      <c r="L4320" s="548"/>
      <c r="M4320" s="548"/>
      <c r="N4320" s="552"/>
      <c r="Y4320" s="551"/>
    </row>
    <row r="4321" spans="1:25">
      <c r="A4321" s="499">
        <v>45624</v>
      </c>
      <c r="B4321" s="499">
        <v>45625</v>
      </c>
      <c r="C4321" s="500" t="s">
        <v>173</v>
      </c>
      <c r="D4321" s="500" t="s">
        <v>759</v>
      </c>
      <c r="E4321" s="501">
        <v>1718656237.96</v>
      </c>
      <c r="F4321" s="502" t="s">
        <v>878</v>
      </c>
      <c r="G4321" s="100">
        <v>114911327</v>
      </c>
      <c r="H4321" s="100">
        <v>114911327</v>
      </c>
      <c r="I4321" s="525"/>
      <c r="K4321" s="548"/>
      <c r="L4321" s="548"/>
      <c r="M4321" s="548"/>
      <c r="N4321" s="552"/>
      <c r="Y4321" s="551"/>
    </row>
    <row r="4322" spans="1:25">
      <c r="A4322" s="499">
        <v>45624</v>
      </c>
      <c r="B4322" s="499">
        <v>45625</v>
      </c>
      <c r="C4322" s="500" t="s">
        <v>173</v>
      </c>
      <c r="D4322" s="500" t="s">
        <v>759</v>
      </c>
      <c r="E4322" s="501">
        <v>8006418.0999999996</v>
      </c>
      <c r="F4322" s="502" t="s">
        <v>878</v>
      </c>
      <c r="G4322" s="100">
        <v>114915199</v>
      </c>
      <c r="H4322" s="100">
        <v>114915199</v>
      </c>
      <c r="I4322" s="525"/>
      <c r="K4322" s="548"/>
      <c r="L4322" s="548"/>
      <c r="M4322" s="548"/>
      <c r="N4322" s="552"/>
      <c r="Y4322" s="551"/>
    </row>
    <row r="4323" spans="1:25">
      <c r="A4323" s="499">
        <v>45624</v>
      </c>
      <c r="B4323" s="499">
        <v>45624</v>
      </c>
      <c r="C4323" s="500" t="s">
        <v>173</v>
      </c>
      <c r="D4323" s="500" t="s">
        <v>760</v>
      </c>
      <c r="E4323" s="501">
        <v>-297257969.44999999</v>
      </c>
      <c r="F4323" s="502" t="s">
        <v>878</v>
      </c>
      <c r="G4323" s="100">
        <v>114911181</v>
      </c>
      <c r="H4323" s="530"/>
      <c r="I4323" s="525"/>
      <c r="K4323" s="548"/>
      <c r="L4323" s="548"/>
      <c r="M4323" s="548"/>
      <c r="N4323" s="552"/>
      <c r="Y4323" s="551"/>
    </row>
    <row r="4324" spans="1:25">
      <c r="A4324" s="499">
        <v>45624</v>
      </c>
      <c r="B4324" s="499">
        <v>45625</v>
      </c>
      <c r="C4324" s="500" t="s">
        <v>173</v>
      </c>
      <c r="D4324" s="500" t="s">
        <v>760</v>
      </c>
      <c r="E4324" s="501">
        <v>297371511.44</v>
      </c>
      <c r="F4324" s="502" t="s">
        <v>878</v>
      </c>
      <c r="G4324" s="100">
        <v>114911181</v>
      </c>
      <c r="H4324" s="100">
        <v>114911181</v>
      </c>
      <c r="I4324" s="525"/>
      <c r="K4324" s="548"/>
      <c r="L4324" s="548"/>
      <c r="M4324" s="548"/>
      <c r="N4324" s="552"/>
      <c r="Y4324" s="551"/>
    </row>
    <row r="4325" spans="1:25">
      <c r="A4325" s="499">
        <v>45624</v>
      </c>
      <c r="B4325" s="499">
        <v>45624</v>
      </c>
      <c r="C4325" s="500" t="s">
        <v>173</v>
      </c>
      <c r="D4325" s="500" t="s">
        <v>760</v>
      </c>
      <c r="E4325" s="501">
        <v>-1000000000</v>
      </c>
      <c r="F4325" s="502" t="s">
        <v>906</v>
      </c>
      <c r="G4325" s="100" t="s">
        <v>1027</v>
      </c>
      <c r="H4325" s="530"/>
      <c r="I4325" s="525" t="s">
        <v>1445</v>
      </c>
      <c r="K4325" s="548">
        <v>114914586</v>
      </c>
      <c r="L4325" s="549">
        <v>100</v>
      </c>
      <c r="M4325" s="549">
        <f>-E4325/(N4325*O4325)*100</f>
        <v>100</v>
      </c>
      <c r="N4325" s="549">
        <v>1000000</v>
      </c>
      <c r="O4325" s="539">
        <v>1000</v>
      </c>
      <c r="P4325" s="539">
        <v>100</v>
      </c>
      <c r="T4325" s="538">
        <v>13.89</v>
      </c>
      <c r="U4325" s="538">
        <v>0</v>
      </c>
      <c r="V4325" s="538">
        <v>0</v>
      </c>
      <c r="W4325" s="550">
        <f>VLOOKUP(G4325,Справочник!A:C,3,0)</f>
        <v>0.1389</v>
      </c>
      <c r="X4325" s="539" t="str">
        <f>VLOOKUP(G4325,Справочник!A:G,7,0)</f>
        <v>АО "Национальный управляющий холдинг "Байтерек"</v>
      </c>
      <c r="Y4325" s="551">
        <f>VLOOKUP(G4325,Справочник!A:B,2,0)</f>
        <v>46109</v>
      </c>
    </row>
    <row r="4326" spans="1:25">
      <c r="A4326" s="499">
        <v>45624</v>
      </c>
      <c r="B4326" s="499">
        <v>45624</v>
      </c>
      <c r="C4326" s="500" t="s">
        <v>173</v>
      </c>
      <c r="D4326" s="500" t="s">
        <v>763</v>
      </c>
      <c r="E4326" s="501">
        <v>-4677484396.1999998</v>
      </c>
      <c r="F4326" s="502" t="s">
        <v>878</v>
      </c>
      <c r="G4326" s="100">
        <v>114910259</v>
      </c>
      <c r="H4326" s="530"/>
      <c r="I4326" s="525"/>
      <c r="K4326" s="548"/>
      <c r="L4326" s="548"/>
      <c r="M4326" s="548"/>
      <c r="N4326" s="552"/>
      <c r="Y4326" s="551"/>
    </row>
    <row r="4327" spans="1:25">
      <c r="A4327" s="499">
        <v>45624</v>
      </c>
      <c r="B4327" s="499">
        <v>45624</v>
      </c>
      <c r="C4327" s="500" t="s">
        <v>173</v>
      </c>
      <c r="D4327" s="500" t="s">
        <v>763</v>
      </c>
      <c r="E4327" s="501">
        <v>-16005079.199999999</v>
      </c>
      <c r="F4327" s="502" t="s">
        <v>878</v>
      </c>
      <c r="G4327" s="100">
        <v>114910302</v>
      </c>
      <c r="H4327" s="530"/>
      <c r="I4327" s="525"/>
      <c r="K4327" s="548"/>
      <c r="L4327" s="548"/>
      <c r="M4327" s="548"/>
      <c r="N4327" s="552"/>
      <c r="Y4327" s="551"/>
    </row>
    <row r="4328" spans="1:25">
      <c r="A4328" s="499">
        <v>45624</v>
      </c>
      <c r="B4328" s="499">
        <v>45624</v>
      </c>
      <c r="C4328" s="500" t="s">
        <v>173</v>
      </c>
      <c r="D4328" s="500" t="s">
        <v>763</v>
      </c>
      <c r="E4328" s="501">
        <v>-1000493.86</v>
      </c>
      <c r="F4328" s="502" t="s">
        <v>878</v>
      </c>
      <c r="G4328" s="100">
        <v>114910338</v>
      </c>
      <c r="H4328" s="530"/>
      <c r="I4328" s="525"/>
      <c r="K4328" s="548"/>
      <c r="L4328" s="548"/>
      <c r="M4328" s="548"/>
      <c r="N4328" s="552"/>
      <c r="Y4328" s="551"/>
    </row>
    <row r="4329" spans="1:25">
      <c r="A4329" s="499">
        <v>45624</v>
      </c>
      <c r="B4329" s="499">
        <v>45624</v>
      </c>
      <c r="C4329" s="500" t="s">
        <v>173</v>
      </c>
      <c r="D4329" s="500" t="s">
        <v>763</v>
      </c>
      <c r="E4329" s="501">
        <v>-89070829.760000005</v>
      </c>
      <c r="F4329" s="502" t="s">
        <v>878</v>
      </c>
      <c r="G4329" s="100">
        <v>114916507</v>
      </c>
      <c r="H4329" s="530"/>
      <c r="I4329" s="525"/>
      <c r="K4329" s="548"/>
      <c r="L4329" s="548"/>
      <c r="M4329" s="548"/>
      <c r="N4329" s="552"/>
      <c r="Y4329" s="551"/>
    </row>
    <row r="4330" spans="1:25">
      <c r="A4330" s="499">
        <v>45624</v>
      </c>
      <c r="B4330" s="499">
        <v>45624</v>
      </c>
      <c r="C4330" s="500" t="s">
        <v>173</v>
      </c>
      <c r="D4330" s="500" t="s">
        <v>763</v>
      </c>
      <c r="E4330" s="501">
        <v>-499317601.51999998</v>
      </c>
      <c r="F4330" s="502" t="s">
        <v>878</v>
      </c>
      <c r="G4330" s="100">
        <v>114916510</v>
      </c>
      <c r="H4330" s="530"/>
      <c r="I4330" s="525"/>
      <c r="K4330" s="548"/>
      <c r="L4330" s="548"/>
      <c r="M4330" s="548"/>
      <c r="N4330" s="552"/>
      <c r="Y4330" s="551"/>
    </row>
    <row r="4331" spans="1:25">
      <c r="A4331" s="499">
        <v>45624</v>
      </c>
      <c r="B4331" s="499">
        <v>45624</v>
      </c>
      <c r="C4331" s="500" t="s">
        <v>173</v>
      </c>
      <c r="D4331" s="500" t="s">
        <v>763</v>
      </c>
      <c r="E4331" s="501">
        <v>-208132387.00999999</v>
      </c>
      <c r="F4331" s="502" t="s">
        <v>878</v>
      </c>
      <c r="G4331" s="100">
        <v>114916513</v>
      </c>
      <c r="H4331" s="530"/>
      <c r="I4331" s="525"/>
      <c r="K4331" s="548"/>
      <c r="L4331" s="548"/>
      <c r="M4331" s="548"/>
      <c r="N4331" s="552"/>
      <c r="Y4331" s="551"/>
    </row>
    <row r="4332" spans="1:25">
      <c r="A4332" s="499">
        <v>45624</v>
      </c>
      <c r="B4332" s="499">
        <v>45624</v>
      </c>
      <c r="C4332" s="500" t="s">
        <v>173</v>
      </c>
      <c r="D4332" s="500" t="s">
        <v>763</v>
      </c>
      <c r="E4332" s="501">
        <v>-3001909.43</v>
      </c>
      <c r="F4332" s="502" t="s">
        <v>878</v>
      </c>
      <c r="G4332" s="100">
        <v>114916535</v>
      </c>
      <c r="H4332" s="530"/>
      <c r="I4332" s="525"/>
      <c r="K4332" s="548"/>
      <c r="L4332" s="548"/>
      <c r="M4332" s="548"/>
      <c r="N4332" s="552"/>
      <c r="Y4332" s="551"/>
    </row>
    <row r="4333" spans="1:25">
      <c r="A4333" s="499">
        <v>45624</v>
      </c>
      <c r="B4333" s="499">
        <v>45625</v>
      </c>
      <c r="C4333" s="500" t="s">
        <v>173</v>
      </c>
      <c r="D4333" s="500" t="s">
        <v>763</v>
      </c>
      <c r="E4333" s="501">
        <v>4679241647.8500004</v>
      </c>
      <c r="F4333" s="502" t="s">
        <v>878</v>
      </c>
      <c r="G4333" s="100">
        <v>114910259</v>
      </c>
      <c r="H4333" s="100">
        <v>114910259</v>
      </c>
      <c r="I4333" s="525"/>
      <c r="K4333" s="548"/>
      <c r="L4333" s="548"/>
      <c r="M4333" s="548"/>
      <c r="N4333" s="552"/>
      <c r="Y4333" s="551"/>
    </row>
    <row r="4334" spans="1:25">
      <c r="A4334" s="499">
        <v>45624</v>
      </c>
      <c r="B4334" s="499">
        <v>45625</v>
      </c>
      <c r="C4334" s="500" t="s">
        <v>173</v>
      </c>
      <c r="D4334" s="500" t="s">
        <v>763</v>
      </c>
      <c r="E4334" s="501">
        <v>16011092.039999999</v>
      </c>
      <c r="F4334" s="502" t="s">
        <v>878</v>
      </c>
      <c r="G4334" s="100">
        <v>114910302</v>
      </c>
      <c r="H4334" s="100">
        <v>114910302</v>
      </c>
      <c r="I4334" s="525"/>
      <c r="K4334" s="548"/>
      <c r="L4334" s="548"/>
      <c r="M4334" s="548"/>
      <c r="N4334" s="552"/>
      <c r="Y4334" s="551"/>
    </row>
    <row r="4335" spans="1:25">
      <c r="A4335" s="499">
        <v>45624</v>
      </c>
      <c r="B4335" s="499">
        <v>45625</v>
      </c>
      <c r="C4335" s="500" t="s">
        <v>173</v>
      </c>
      <c r="D4335" s="500" t="s">
        <v>763</v>
      </c>
      <c r="E4335" s="501">
        <v>1000869.74</v>
      </c>
      <c r="F4335" s="502" t="s">
        <v>878</v>
      </c>
      <c r="G4335" s="100">
        <v>114910338</v>
      </c>
      <c r="H4335" s="100">
        <v>114910338</v>
      </c>
      <c r="I4335" s="525"/>
      <c r="K4335" s="548"/>
      <c r="L4335" s="548"/>
      <c r="M4335" s="548"/>
      <c r="N4335" s="552"/>
      <c r="Y4335" s="551"/>
    </row>
    <row r="4336" spans="1:25">
      <c r="A4336" s="499">
        <v>45624</v>
      </c>
      <c r="B4336" s="499">
        <v>45625</v>
      </c>
      <c r="C4336" s="500" t="s">
        <v>173</v>
      </c>
      <c r="D4336" s="500" t="s">
        <v>763</v>
      </c>
      <c r="E4336" s="501">
        <v>89106117.379999995</v>
      </c>
      <c r="F4336" s="502" t="s">
        <v>878</v>
      </c>
      <c r="G4336" s="100">
        <v>114916507</v>
      </c>
      <c r="H4336" s="100">
        <v>114916507</v>
      </c>
      <c r="I4336" s="525"/>
      <c r="K4336" s="548"/>
      <c r="L4336" s="548"/>
      <c r="M4336" s="548"/>
      <c r="N4336" s="552"/>
      <c r="Y4336" s="551"/>
    </row>
    <row r="4337" spans="1:25">
      <c r="A4337" s="499">
        <v>45624</v>
      </c>
      <c r="B4337" s="499">
        <v>45625</v>
      </c>
      <c r="C4337" s="500" t="s">
        <v>173</v>
      </c>
      <c r="D4337" s="500" t="s">
        <v>763</v>
      </c>
      <c r="E4337" s="501">
        <v>499515418.60000002</v>
      </c>
      <c r="F4337" s="502" t="s">
        <v>878</v>
      </c>
      <c r="G4337" s="100">
        <v>114916510</v>
      </c>
      <c r="H4337" s="100">
        <v>114916510</v>
      </c>
      <c r="I4337" s="525"/>
      <c r="K4337" s="548"/>
      <c r="L4337" s="548"/>
      <c r="M4337" s="548"/>
      <c r="N4337" s="552"/>
      <c r="Y4337" s="551"/>
    </row>
    <row r="4338" spans="1:25">
      <c r="A4338" s="499">
        <v>45624</v>
      </c>
      <c r="B4338" s="499">
        <v>45625</v>
      </c>
      <c r="C4338" s="500" t="s">
        <v>173</v>
      </c>
      <c r="D4338" s="500" t="s">
        <v>763</v>
      </c>
      <c r="E4338" s="501">
        <v>208214843.83000001</v>
      </c>
      <c r="F4338" s="502" t="s">
        <v>878</v>
      </c>
      <c r="G4338" s="100">
        <v>114916513</v>
      </c>
      <c r="H4338" s="100">
        <v>114916513</v>
      </c>
      <c r="I4338" s="525"/>
      <c r="K4338" s="548"/>
      <c r="L4338" s="548"/>
      <c r="M4338" s="548"/>
      <c r="N4338" s="552"/>
      <c r="Y4338" s="551"/>
    </row>
    <row r="4339" spans="1:25">
      <c r="A4339" s="499">
        <v>45624</v>
      </c>
      <c r="B4339" s="499">
        <v>45625</v>
      </c>
      <c r="C4339" s="500" t="s">
        <v>173</v>
      </c>
      <c r="D4339" s="500" t="s">
        <v>763</v>
      </c>
      <c r="E4339" s="501">
        <v>3003098.71</v>
      </c>
      <c r="F4339" s="502" t="s">
        <v>878</v>
      </c>
      <c r="G4339" s="100">
        <v>114916535</v>
      </c>
      <c r="H4339" s="100">
        <v>114916535</v>
      </c>
      <c r="I4339" s="525"/>
      <c r="K4339" s="548"/>
      <c r="L4339" s="548"/>
      <c r="M4339" s="548"/>
      <c r="N4339" s="552"/>
      <c r="Y4339" s="551"/>
    </row>
    <row r="4340" spans="1:25">
      <c r="A4340" s="499">
        <v>45624</v>
      </c>
      <c r="B4340" s="499">
        <v>45624</v>
      </c>
      <c r="C4340" s="500" t="s">
        <v>173</v>
      </c>
      <c r="D4340" s="500" t="s">
        <v>764</v>
      </c>
      <c r="E4340" s="501">
        <v>-114000094.62</v>
      </c>
      <c r="F4340" s="502" t="s">
        <v>878</v>
      </c>
      <c r="G4340" s="100">
        <v>114911330</v>
      </c>
      <c r="H4340" s="530"/>
      <c r="I4340" s="525"/>
      <c r="K4340" s="548"/>
      <c r="L4340" s="548"/>
      <c r="M4340" s="548"/>
      <c r="N4340" s="552"/>
      <c r="Y4340" s="551"/>
    </row>
    <row r="4341" spans="1:25">
      <c r="A4341" s="499">
        <v>45624</v>
      </c>
      <c r="B4341" s="499">
        <v>45624</v>
      </c>
      <c r="C4341" s="500" t="s">
        <v>173</v>
      </c>
      <c r="D4341" s="500" t="s">
        <v>764</v>
      </c>
      <c r="E4341" s="501">
        <v>-1895125489.9300001</v>
      </c>
      <c r="F4341" s="502" t="s">
        <v>878</v>
      </c>
      <c r="G4341" s="100">
        <v>114911378</v>
      </c>
      <c r="H4341" s="530"/>
      <c r="I4341" s="525"/>
      <c r="K4341" s="548"/>
      <c r="L4341" s="548"/>
      <c r="M4341" s="548"/>
      <c r="N4341" s="552"/>
      <c r="Y4341" s="551"/>
    </row>
    <row r="4342" spans="1:25">
      <c r="A4342" s="499">
        <v>45624</v>
      </c>
      <c r="B4342" s="499">
        <v>45624</v>
      </c>
      <c r="C4342" s="500" t="s">
        <v>173</v>
      </c>
      <c r="D4342" s="500" t="s">
        <v>764</v>
      </c>
      <c r="E4342" s="501">
        <v>-8003389.4699999997</v>
      </c>
      <c r="F4342" s="502" t="s">
        <v>878</v>
      </c>
      <c r="G4342" s="100">
        <v>114914859</v>
      </c>
      <c r="H4342" s="530"/>
      <c r="I4342" s="525"/>
      <c r="K4342" s="548"/>
      <c r="L4342" s="548"/>
      <c r="M4342" s="548"/>
      <c r="N4342" s="552"/>
      <c r="Y4342" s="551"/>
    </row>
    <row r="4343" spans="1:25">
      <c r="A4343" s="499">
        <v>45624</v>
      </c>
      <c r="B4343" s="499">
        <v>45625</v>
      </c>
      <c r="C4343" s="500" t="s">
        <v>173</v>
      </c>
      <c r="D4343" s="500" t="s">
        <v>764</v>
      </c>
      <c r="E4343" s="501">
        <v>114043545.48</v>
      </c>
      <c r="F4343" s="502" t="s">
        <v>878</v>
      </c>
      <c r="G4343" s="100">
        <v>114911330</v>
      </c>
      <c r="H4343" s="100">
        <v>114911330</v>
      </c>
      <c r="I4343" s="525"/>
      <c r="K4343" s="548"/>
      <c r="L4343" s="548"/>
      <c r="M4343" s="548"/>
      <c r="N4343" s="552"/>
      <c r="Y4343" s="551"/>
    </row>
    <row r="4344" spans="1:25">
      <c r="A4344" s="499">
        <v>45624</v>
      </c>
      <c r="B4344" s="499">
        <v>45625</v>
      </c>
      <c r="C4344" s="500" t="s">
        <v>173</v>
      </c>
      <c r="D4344" s="500" t="s">
        <v>764</v>
      </c>
      <c r="E4344" s="501">
        <v>1895847812.3499999</v>
      </c>
      <c r="F4344" s="502" t="s">
        <v>878</v>
      </c>
      <c r="G4344" s="100">
        <v>114911378</v>
      </c>
      <c r="H4344" s="100">
        <v>114911378</v>
      </c>
      <c r="I4344" s="525"/>
      <c r="K4344" s="548"/>
      <c r="L4344" s="548"/>
      <c r="M4344" s="548"/>
      <c r="N4344" s="552"/>
      <c r="Y4344" s="551"/>
    </row>
    <row r="4345" spans="1:25">
      <c r="A4345" s="499">
        <v>45624</v>
      </c>
      <c r="B4345" s="499">
        <v>45625</v>
      </c>
      <c r="C4345" s="500" t="s">
        <v>173</v>
      </c>
      <c r="D4345" s="500" t="s">
        <v>764</v>
      </c>
      <c r="E4345" s="501">
        <v>8006418.0999999996</v>
      </c>
      <c r="F4345" s="502" t="s">
        <v>878</v>
      </c>
      <c r="G4345" s="100">
        <v>114914859</v>
      </c>
      <c r="H4345" s="100">
        <v>114914859</v>
      </c>
      <c r="I4345" s="525"/>
      <c r="K4345" s="548"/>
      <c r="L4345" s="548"/>
      <c r="M4345" s="548"/>
      <c r="N4345" s="552"/>
      <c r="Y4345" s="551"/>
    </row>
    <row r="4346" spans="1:25">
      <c r="A4346" s="499">
        <v>45624</v>
      </c>
      <c r="B4346" s="499">
        <v>45624</v>
      </c>
      <c r="C4346" s="500" t="s">
        <v>173</v>
      </c>
      <c r="D4346" s="500" t="s">
        <v>764</v>
      </c>
      <c r="E4346" s="501">
        <v>-500000000</v>
      </c>
      <c r="F4346" s="502" t="s">
        <v>906</v>
      </c>
      <c r="G4346" s="100" t="s">
        <v>1027</v>
      </c>
      <c r="H4346" s="530"/>
      <c r="I4346" s="525" t="s">
        <v>1445</v>
      </c>
      <c r="K4346" s="548">
        <v>114914579</v>
      </c>
      <c r="L4346" s="549">
        <v>100</v>
      </c>
      <c r="M4346" s="549">
        <f>E4346*(-1)/(N4346*O4346)*100</f>
        <v>100</v>
      </c>
      <c r="N4346" s="549">
        <v>500000</v>
      </c>
      <c r="O4346" s="539">
        <f>VLOOKUP(G4346,Справочник!A:J,10,0)</f>
        <v>1000</v>
      </c>
      <c r="T4346" s="553">
        <v>13.89</v>
      </c>
      <c r="U4346" s="538">
        <v>0</v>
      </c>
      <c r="V4346" s="538">
        <v>0</v>
      </c>
      <c r="W4346" s="550">
        <f>VLOOKUP(G4346,Справочник!A:C,3,0)</f>
        <v>0.1389</v>
      </c>
      <c r="X4346" s="539" t="str">
        <f>VLOOKUP(G4346,Справочник!A:G,7,0)</f>
        <v>АО "Национальный управляющий холдинг "Байтерек"</v>
      </c>
      <c r="Y4346" s="551">
        <f>VLOOKUP(G4346,Справочник!A:B,2,0)</f>
        <v>46109</v>
      </c>
    </row>
    <row r="4347" spans="1:25">
      <c r="A4347" s="499">
        <v>45624</v>
      </c>
      <c r="B4347" s="499">
        <v>45624</v>
      </c>
      <c r="C4347" s="500" t="s">
        <v>173</v>
      </c>
      <c r="D4347" s="500" t="s">
        <v>764</v>
      </c>
      <c r="E4347" s="501">
        <v>-500000000</v>
      </c>
      <c r="F4347" s="502" t="s">
        <v>906</v>
      </c>
      <c r="G4347" s="100" t="s">
        <v>1027</v>
      </c>
      <c r="H4347" s="530"/>
      <c r="I4347" s="525" t="s">
        <v>1445</v>
      </c>
      <c r="K4347" s="548">
        <v>114914594</v>
      </c>
      <c r="L4347" s="549">
        <v>100</v>
      </c>
      <c r="M4347" s="549">
        <f>E4347*(-1)/(N4347*O4347)*100</f>
        <v>100</v>
      </c>
      <c r="N4347" s="549">
        <v>500000</v>
      </c>
      <c r="O4347" s="539">
        <f>VLOOKUP(G4347,Справочник!A:J,10,0)</f>
        <v>1000</v>
      </c>
      <c r="T4347" s="553">
        <v>13.89</v>
      </c>
      <c r="U4347" s="538">
        <v>0</v>
      </c>
      <c r="V4347" s="538">
        <v>0</v>
      </c>
      <c r="W4347" s="550">
        <f>VLOOKUP(G4347,Справочник!A:C,3,0)</f>
        <v>0.1389</v>
      </c>
      <c r="X4347" s="539" t="str">
        <f>VLOOKUP(G4347,Справочник!A:G,7,0)</f>
        <v>АО "Национальный управляющий холдинг "Байтерек"</v>
      </c>
      <c r="Y4347" s="551">
        <f>VLOOKUP(G4347,Справочник!A:B,2,0)</f>
        <v>46109</v>
      </c>
    </row>
    <row r="4348" spans="1:25">
      <c r="A4348" s="499">
        <v>45625</v>
      </c>
      <c r="B4348" s="499">
        <v>45625</v>
      </c>
      <c r="C4348" s="500" t="s">
        <v>173</v>
      </c>
      <c r="D4348" s="500" t="s">
        <v>761</v>
      </c>
      <c r="E4348" s="501">
        <v>-500000176</v>
      </c>
      <c r="F4348" s="502" t="s">
        <v>878</v>
      </c>
      <c r="G4348" s="100">
        <v>114927306</v>
      </c>
      <c r="H4348" s="530"/>
      <c r="I4348" s="525"/>
      <c r="K4348" s="548"/>
      <c r="L4348" s="548"/>
      <c r="M4348" s="548"/>
      <c r="N4348" s="552"/>
      <c r="Y4348" s="551"/>
    </row>
    <row r="4349" spans="1:25">
      <c r="A4349" s="499">
        <v>45625</v>
      </c>
      <c r="B4349" s="499">
        <v>45625</v>
      </c>
      <c r="C4349" s="500" t="s">
        <v>173</v>
      </c>
      <c r="D4349" s="500" t="s">
        <v>761</v>
      </c>
      <c r="E4349" s="501">
        <v>-2000425.86</v>
      </c>
      <c r="F4349" s="502" t="s">
        <v>878</v>
      </c>
      <c r="G4349" s="100">
        <v>114927549</v>
      </c>
      <c r="H4349" s="530"/>
      <c r="I4349" s="525"/>
      <c r="K4349" s="548"/>
      <c r="L4349" s="548"/>
      <c r="M4349" s="548"/>
      <c r="N4349" s="552"/>
      <c r="Y4349" s="551"/>
    </row>
    <row r="4350" spans="1:25">
      <c r="A4350" s="499">
        <v>45625</v>
      </c>
      <c r="B4350" s="499">
        <v>45628</v>
      </c>
      <c r="C4350" s="500" t="s">
        <v>173</v>
      </c>
      <c r="D4350" s="500" t="s">
        <v>761</v>
      </c>
      <c r="E4350" s="501">
        <v>500621077.86000001</v>
      </c>
      <c r="F4350" s="502" t="s">
        <v>878</v>
      </c>
      <c r="G4350" s="100">
        <v>114927305</v>
      </c>
      <c r="H4350" s="100">
        <v>114927305</v>
      </c>
      <c r="I4350" s="525"/>
      <c r="K4350" s="548"/>
      <c r="L4350" s="548"/>
      <c r="M4350" s="548"/>
      <c r="N4350" s="552"/>
      <c r="Y4350" s="551"/>
    </row>
    <row r="4351" spans="1:25">
      <c r="A4351" s="499">
        <v>45625</v>
      </c>
      <c r="B4351" s="499">
        <v>45628</v>
      </c>
      <c r="C4351" s="500" t="s">
        <v>173</v>
      </c>
      <c r="D4351" s="500" t="s">
        <v>761</v>
      </c>
      <c r="E4351" s="501">
        <v>2002918.19</v>
      </c>
      <c r="F4351" s="502" t="s">
        <v>878</v>
      </c>
      <c r="G4351" s="100">
        <v>114927548</v>
      </c>
      <c r="H4351" s="100">
        <v>114927548</v>
      </c>
      <c r="I4351" s="525"/>
      <c r="K4351" s="548"/>
      <c r="L4351" s="548"/>
      <c r="M4351" s="548"/>
      <c r="N4351" s="552"/>
      <c r="Y4351" s="551"/>
    </row>
    <row r="4352" spans="1:25">
      <c r="A4352" s="499">
        <v>45625</v>
      </c>
      <c r="B4352" s="499">
        <v>45625</v>
      </c>
      <c r="C4352" s="500" t="s">
        <v>173</v>
      </c>
      <c r="D4352" s="500" t="s">
        <v>759</v>
      </c>
      <c r="E4352" s="501">
        <v>-8001703.4299999997</v>
      </c>
      <c r="F4352" s="502" t="s">
        <v>878</v>
      </c>
      <c r="G4352" s="100">
        <v>114929017</v>
      </c>
      <c r="H4352" s="100"/>
      <c r="I4352" s="525"/>
      <c r="K4352" s="548"/>
      <c r="L4352" s="548"/>
      <c r="M4352" s="548"/>
      <c r="N4352" s="552"/>
      <c r="Y4352" s="551"/>
    </row>
    <row r="4353" spans="1:25">
      <c r="A4353" s="499">
        <v>45625</v>
      </c>
      <c r="B4353" s="499">
        <v>45625</v>
      </c>
      <c r="C4353" s="500" t="s">
        <v>173</v>
      </c>
      <c r="D4353" s="500" t="s">
        <v>759</v>
      </c>
      <c r="E4353" s="501">
        <v>-1986176694.6199999</v>
      </c>
      <c r="F4353" s="502" t="s">
        <v>878</v>
      </c>
      <c r="G4353" s="100">
        <v>114929332</v>
      </c>
      <c r="H4353" s="100"/>
      <c r="I4353" s="525"/>
      <c r="K4353" s="548"/>
      <c r="L4353" s="548"/>
      <c r="M4353" s="548"/>
      <c r="N4353" s="552"/>
      <c r="Y4353" s="551"/>
    </row>
    <row r="4354" spans="1:25">
      <c r="A4354" s="499">
        <v>45625</v>
      </c>
      <c r="B4354" s="499">
        <v>45625</v>
      </c>
      <c r="C4354" s="500" t="s">
        <v>173</v>
      </c>
      <c r="D4354" s="500" t="s">
        <v>759</v>
      </c>
      <c r="E4354" s="501">
        <v>-8000029.5899999999</v>
      </c>
      <c r="F4354" s="502" t="s">
        <v>878</v>
      </c>
      <c r="G4354" s="100">
        <v>114931378</v>
      </c>
      <c r="H4354" s="530"/>
      <c r="I4354" s="525"/>
      <c r="K4354" s="548"/>
      <c r="L4354" s="548"/>
      <c r="M4354" s="548"/>
      <c r="N4354" s="552"/>
      <c r="Y4354" s="551"/>
    </row>
    <row r="4355" spans="1:25">
      <c r="A4355" s="499">
        <v>45625</v>
      </c>
      <c r="B4355" s="499">
        <v>45628</v>
      </c>
      <c r="C4355" s="500" t="s">
        <v>173</v>
      </c>
      <c r="D4355" s="500" t="s">
        <v>759</v>
      </c>
      <c r="E4355" s="501">
        <v>8011639.9699999997</v>
      </c>
      <c r="F4355" s="502" t="s">
        <v>878</v>
      </c>
      <c r="G4355" s="100">
        <v>114929018</v>
      </c>
      <c r="H4355" s="100">
        <v>114929018</v>
      </c>
      <c r="I4355" s="525"/>
      <c r="K4355" s="548"/>
      <c r="L4355" s="548"/>
      <c r="M4355" s="548"/>
      <c r="N4355" s="552"/>
      <c r="Y4355" s="551"/>
    </row>
    <row r="4356" spans="1:25">
      <c r="A4356" s="499">
        <v>45625</v>
      </c>
      <c r="B4356" s="499">
        <v>45628</v>
      </c>
      <c r="C4356" s="500" t="s">
        <v>173</v>
      </c>
      <c r="D4356" s="500" t="s">
        <v>759</v>
      </c>
      <c r="E4356" s="501">
        <v>1988618715.1500001</v>
      </c>
      <c r="F4356" s="502" t="s">
        <v>878</v>
      </c>
      <c r="G4356" s="100">
        <v>114929333</v>
      </c>
      <c r="H4356" s="100">
        <v>114929333</v>
      </c>
      <c r="I4356" s="525"/>
      <c r="K4356" s="548"/>
      <c r="L4356" s="548"/>
      <c r="M4356" s="548"/>
      <c r="N4356" s="552"/>
      <c r="Y4356" s="551"/>
    </row>
    <row r="4357" spans="1:25">
      <c r="A4357" s="499">
        <v>45625</v>
      </c>
      <c r="B4357" s="499">
        <v>45628</v>
      </c>
      <c r="C4357" s="500" t="s">
        <v>173</v>
      </c>
      <c r="D4357" s="500" t="s">
        <v>759</v>
      </c>
      <c r="E4357" s="501">
        <v>8009774.2800000003</v>
      </c>
      <c r="F4357" s="502" t="s">
        <v>878</v>
      </c>
      <c r="G4357" s="100">
        <v>114931379</v>
      </c>
      <c r="H4357" s="100">
        <v>114931379</v>
      </c>
      <c r="I4357" s="525"/>
      <c r="K4357" s="548"/>
      <c r="L4357" s="548"/>
      <c r="M4357" s="548"/>
      <c r="N4357" s="552"/>
      <c r="Y4357" s="551"/>
    </row>
    <row r="4358" spans="1:25">
      <c r="A4358" s="499">
        <v>45625</v>
      </c>
      <c r="B4358" s="499">
        <v>45625</v>
      </c>
      <c r="C4358" s="500" t="s">
        <v>173</v>
      </c>
      <c r="D4358" s="500" t="s">
        <v>763</v>
      </c>
      <c r="E4358" s="501">
        <v>-9001736.6500000004</v>
      </c>
      <c r="F4358" s="502" t="s">
        <v>878</v>
      </c>
      <c r="G4358" s="100">
        <v>114928159</v>
      </c>
      <c r="H4358" s="530"/>
      <c r="I4358" s="525"/>
      <c r="K4358" s="548"/>
      <c r="L4358" s="548"/>
      <c r="M4358" s="548"/>
      <c r="N4358" s="552"/>
      <c r="Y4358" s="551"/>
    </row>
    <row r="4359" spans="1:25">
      <c r="A4359" s="499">
        <v>45625</v>
      </c>
      <c r="B4359" s="499">
        <v>45625</v>
      </c>
      <c r="C4359" s="500" t="s">
        <v>173</v>
      </c>
      <c r="D4359" s="500" t="s">
        <v>763</v>
      </c>
      <c r="E4359" s="501">
        <v>-15002894.41</v>
      </c>
      <c r="F4359" s="502" t="s">
        <v>878</v>
      </c>
      <c r="G4359" s="100">
        <v>114928162</v>
      </c>
      <c r="H4359" s="530"/>
      <c r="I4359" s="525"/>
      <c r="K4359" s="548"/>
      <c r="L4359" s="548"/>
      <c r="M4359" s="548"/>
      <c r="N4359" s="552"/>
      <c r="Y4359" s="551"/>
    </row>
    <row r="4360" spans="1:25">
      <c r="A4360" s="499">
        <v>45625</v>
      </c>
      <c r="B4360" s="499">
        <v>45625</v>
      </c>
      <c r="C4360" s="500" t="s">
        <v>173</v>
      </c>
      <c r="D4360" s="500" t="s">
        <v>763</v>
      </c>
      <c r="E4360" s="501">
        <v>-5251809895.5</v>
      </c>
      <c r="F4360" s="502" t="s">
        <v>878</v>
      </c>
      <c r="G4360" s="100">
        <v>114928175</v>
      </c>
      <c r="H4360" s="530"/>
      <c r="I4360" s="525"/>
      <c r="K4360" s="548"/>
      <c r="L4360" s="548"/>
      <c r="M4360" s="548"/>
      <c r="N4360" s="552"/>
      <c r="Y4360" s="551"/>
    </row>
    <row r="4361" spans="1:25">
      <c r="A4361" s="499">
        <v>45625</v>
      </c>
      <c r="B4361" s="499">
        <v>45625</v>
      </c>
      <c r="C4361" s="500" t="s">
        <v>173</v>
      </c>
      <c r="D4361" s="500" t="s">
        <v>763</v>
      </c>
      <c r="E4361" s="501">
        <v>-200142115</v>
      </c>
      <c r="F4361" s="502" t="s">
        <v>878</v>
      </c>
      <c r="G4361" s="100">
        <v>114928188</v>
      </c>
      <c r="H4361" s="530"/>
      <c r="I4361" s="525"/>
      <c r="K4361" s="548"/>
      <c r="L4361" s="548"/>
      <c r="M4361" s="548"/>
      <c r="N4361" s="552"/>
      <c r="Y4361" s="551"/>
    </row>
    <row r="4362" spans="1:25">
      <c r="A4362" s="499">
        <v>45625</v>
      </c>
      <c r="B4362" s="499">
        <v>45625</v>
      </c>
      <c r="C4362" s="500" t="s">
        <v>173</v>
      </c>
      <c r="D4362" s="500" t="s">
        <v>763</v>
      </c>
      <c r="E4362" s="501">
        <v>-20014211.5</v>
      </c>
      <c r="F4362" s="502" t="s">
        <v>878</v>
      </c>
      <c r="G4362" s="100">
        <v>114928221</v>
      </c>
      <c r="H4362" s="530"/>
      <c r="I4362" s="525"/>
      <c r="K4362" s="548"/>
      <c r="L4362" s="548"/>
      <c r="M4362" s="548"/>
      <c r="N4362" s="552"/>
      <c r="Y4362" s="551"/>
    </row>
    <row r="4363" spans="1:25">
      <c r="A4363" s="499">
        <v>45625</v>
      </c>
      <c r="B4363" s="499">
        <v>45628</v>
      </c>
      <c r="C4363" s="500" t="s">
        <v>173</v>
      </c>
      <c r="D4363" s="500" t="s">
        <v>763</v>
      </c>
      <c r="E4363" s="501">
        <v>9012804.3599999994</v>
      </c>
      <c r="F4363" s="502" t="s">
        <v>878</v>
      </c>
      <c r="G4363" s="100">
        <v>114928158</v>
      </c>
      <c r="H4363" s="100">
        <v>114928158</v>
      </c>
      <c r="I4363" s="525"/>
      <c r="K4363" s="548"/>
      <c r="L4363" s="548"/>
      <c r="M4363" s="548"/>
      <c r="N4363" s="552"/>
      <c r="Y4363" s="551"/>
    </row>
    <row r="4364" spans="1:25">
      <c r="A4364" s="499">
        <v>45625</v>
      </c>
      <c r="B4364" s="499">
        <v>45628</v>
      </c>
      <c r="C4364" s="500" t="s">
        <v>173</v>
      </c>
      <c r="D4364" s="500" t="s">
        <v>763</v>
      </c>
      <c r="E4364" s="501">
        <v>15021340.59</v>
      </c>
      <c r="F4364" s="502" t="s">
        <v>878</v>
      </c>
      <c r="G4364" s="100">
        <v>114928161</v>
      </c>
      <c r="H4364" s="100">
        <v>114928161</v>
      </c>
      <c r="I4364" s="525"/>
      <c r="K4364" s="548"/>
      <c r="L4364" s="548"/>
      <c r="M4364" s="548"/>
      <c r="N4364" s="552"/>
      <c r="Y4364" s="551"/>
    </row>
    <row r="4365" spans="1:25">
      <c r="A4365" s="499">
        <v>45625</v>
      </c>
      <c r="B4365" s="499">
        <v>45628</v>
      </c>
      <c r="C4365" s="500" t="s">
        <v>173</v>
      </c>
      <c r="D4365" s="500" t="s">
        <v>763</v>
      </c>
      <c r="E4365" s="501">
        <v>5258267038.8100004</v>
      </c>
      <c r="F4365" s="502" t="s">
        <v>878</v>
      </c>
      <c r="G4365" s="100">
        <v>114928174</v>
      </c>
      <c r="H4365" s="100">
        <v>114928174</v>
      </c>
      <c r="I4365" s="525"/>
      <c r="K4365" s="548"/>
      <c r="L4365" s="548"/>
      <c r="M4365" s="548"/>
      <c r="N4365" s="552"/>
      <c r="Y4365" s="551"/>
    </row>
    <row r="4366" spans="1:25">
      <c r="A4366" s="499">
        <v>45625</v>
      </c>
      <c r="B4366" s="499">
        <v>45628</v>
      </c>
      <c r="C4366" s="500" t="s">
        <v>173</v>
      </c>
      <c r="D4366" s="500" t="s">
        <v>763</v>
      </c>
      <c r="E4366" s="501">
        <v>200388191.37</v>
      </c>
      <c r="F4366" s="502" t="s">
        <v>878</v>
      </c>
      <c r="G4366" s="100">
        <v>114928187</v>
      </c>
      <c r="H4366" s="100">
        <v>114928187</v>
      </c>
      <c r="I4366" s="525"/>
      <c r="K4366" s="548"/>
      <c r="L4366" s="548"/>
      <c r="M4366" s="548"/>
      <c r="N4366" s="552"/>
      <c r="Y4366" s="551"/>
    </row>
    <row r="4367" spans="1:25">
      <c r="A4367" s="499">
        <v>45625</v>
      </c>
      <c r="B4367" s="499">
        <v>45628</v>
      </c>
      <c r="C4367" s="500" t="s">
        <v>173</v>
      </c>
      <c r="D4367" s="500" t="s">
        <v>763</v>
      </c>
      <c r="E4367" s="501">
        <v>20038819.140000001</v>
      </c>
      <c r="F4367" s="502" t="s">
        <v>878</v>
      </c>
      <c r="G4367" s="100">
        <v>114928220</v>
      </c>
      <c r="H4367" s="100">
        <v>114928220</v>
      </c>
      <c r="I4367" s="525"/>
      <c r="K4367" s="548"/>
      <c r="L4367" s="548"/>
      <c r="M4367" s="548"/>
      <c r="N4367" s="552"/>
      <c r="Y4367" s="551"/>
    </row>
    <row r="4368" spans="1:25">
      <c r="A4368" s="499">
        <v>45625</v>
      </c>
      <c r="B4368" s="499">
        <v>45625</v>
      </c>
      <c r="C4368" s="500" t="s">
        <v>173</v>
      </c>
      <c r="D4368" s="500" t="s">
        <v>764</v>
      </c>
      <c r="E4368" s="501">
        <v>-2009178740.9300001</v>
      </c>
      <c r="F4368" s="502" t="s">
        <v>878</v>
      </c>
      <c r="G4368" s="100">
        <v>114928009</v>
      </c>
      <c r="H4368" s="530"/>
      <c r="I4368" s="525"/>
      <c r="K4368" s="548"/>
      <c r="L4368" s="548"/>
      <c r="M4368" s="548"/>
      <c r="N4368" s="552"/>
      <c r="Y4368" s="551"/>
    </row>
    <row r="4369" spans="1:25">
      <c r="A4369" s="499">
        <v>45625</v>
      </c>
      <c r="B4369" s="499">
        <v>45625</v>
      </c>
      <c r="C4369" s="500" t="s">
        <v>173</v>
      </c>
      <c r="D4369" s="500" t="s">
        <v>764</v>
      </c>
      <c r="E4369" s="501">
        <v>-8001145.54</v>
      </c>
      <c r="F4369" s="502" t="s">
        <v>878</v>
      </c>
      <c r="G4369" s="100">
        <v>114928755</v>
      </c>
      <c r="H4369" s="530"/>
      <c r="I4369" s="525"/>
      <c r="K4369" s="548"/>
      <c r="L4369" s="548"/>
      <c r="M4369" s="548"/>
      <c r="N4369" s="552"/>
      <c r="Y4369" s="551"/>
    </row>
    <row r="4370" spans="1:25">
      <c r="A4370" s="499">
        <v>45625</v>
      </c>
      <c r="B4370" s="499">
        <v>45628</v>
      </c>
      <c r="C4370" s="500" t="s">
        <v>173</v>
      </c>
      <c r="D4370" s="500" t="s">
        <v>764</v>
      </c>
      <c r="E4370" s="501">
        <v>2011681980.02</v>
      </c>
      <c r="F4370" s="502" t="s">
        <v>878</v>
      </c>
      <c r="G4370" s="100">
        <v>114928008</v>
      </c>
      <c r="H4370" s="100">
        <v>114928008</v>
      </c>
      <c r="I4370" s="525"/>
      <c r="K4370" s="548"/>
      <c r="L4370" s="548"/>
      <c r="M4370" s="548"/>
      <c r="N4370" s="552"/>
      <c r="Y4370" s="551"/>
    </row>
    <row r="4371" spans="1:25">
      <c r="A4371" s="499">
        <v>45625</v>
      </c>
      <c r="B4371" s="499">
        <v>45628</v>
      </c>
      <c r="C4371" s="500" t="s">
        <v>173</v>
      </c>
      <c r="D4371" s="500" t="s">
        <v>764</v>
      </c>
      <c r="E4371" s="501">
        <v>8010917.4299999997</v>
      </c>
      <c r="F4371" s="502" t="s">
        <v>878</v>
      </c>
      <c r="G4371" s="100">
        <v>114928754</v>
      </c>
      <c r="H4371" s="100">
        <v>114928754</v>
      </c>
      <c r="I4371" s="525"/>
      <c r="K4371" s="548"/>
      <c r="L4371" s="548"/>
      <c r="M4371" s="548"/>
      <c r="N4371" s="552"/>
      <c r="Y4371" s="551"/>
    </row>
    <row r="4372" spans="1:25">
      <c r="A4372" s="499">
        <v>45625</v>
      </c>
      <c r="B4372" s="499">
        <v>45625</v>
      </c>
      <c r="C4372" s="500" t="s">
        <v>173</v>
      </c>
      <c r="D4372" s="500" t="s">
        <v>760</v>
      </c>
      <c r="E4372" s="501">
        <v>-296079276.79000002</v>
      </c>
      <c r="F4372" s="502" t="s">
        <v>878</v>
      </c>
      <c r="G4372" s="100">
        <v>114928645</v>
      </c>
      <c r="H4372" s="530"/>
      <c r="I4372" s="525"/>
      <c r="K4372" s="548"/>
      <c r="L4372" s="548"/>
      <c r="M4372" s="548"/>
      <c r="N4372" s="552"/>
      <c r="Y4372" s="551"/>
    </row>
    <row r="4373" spans="1:25">
      <c r="A4373" s="499">
        <v>45625</v>
      </c>
      <c r="B4373" s="499">
        <v>45628</v>
      </c>
      <c r="C4373" s="500" t="s">
        <v>173</v>
      </c>
      <c r="D4373" s="500" t="s">
        <v>760</v>
      </c>
      <c r="E4373" s="501">
        <v>296443306.25999999</v>
      </c>
      <c r="F4373" s="502" t="s">
        <v>878</v>
      </c>
      <c r="G4373" s="100">
        <v>114928646</v>
      </c>
      <c r="H4373" s="100">
        <v>114928646</v>
      </c>
      <c r="I4373" s="525"/>
      <c r="K4373" s="548"/>
      <c r="L4373" s="548"/>
      <c r="M4373" s="548"/>
      <c r="N4373" s="552"/>
      <c r="Y4373" s="551"/>
    </row>
    <row r="4374" spans="1:25">
      <c r="A4374" s="499">
        <v>45628</v>
      </c>
      <c r="B4374" s="499">
        <v>45628</v>
      </c>
      <c r="C4374" s="500" t="s">
        <v>173</v>
      </c>
      <c r="D4374" s="500" t="s">
        <v>762</v>
      </c>
      <c r="E4374" s="501">
        <v>-199054612.75999999</v>
      </c>
      <c r="F4374" s="502" t="s">
        <v>878</v>
      </c>
      <c r="G4374" s="100">
        <v>114954397</v>
      </c>
      <c r="H4374" s="530"/>
      <c r="I4374" s="525"/>
      <c r="K4374" s="548"/>
      <c r="L4374" s="548"/>
      <c r="M4374" s="548"/>
      <c r="N4374" s="552"/>
      <c r="Y4374" s="551"/>
    </row>
    <row r="4375" spans="1:25">
      <c r="A4375" s="499">
        <v>45628</v>
      </c>
      <c r="B4375" s="499">
        <v>45629</v>
      </c>
      <c r="C4375" s="500" t="s">
        <v>173</v>
      </c>
      <c r="D4375" s="500" t="s">
        <v>762</v>
      </c>
      <c r="E4375" s="501">
        <v>199131297.72999999</v>
      </c>
      <c r="F4375" s="502" t="s">
        <v>878</v>
      </c>
      <c r="G4375" s="100">
        <v>114954397</v>
      </c>
      <c r="H4375" s="100">
        <v>114954397</v>
      </c>
      <c r="I4375" s="525"/>
      <c r="K4375" s="548"/>
      <c r="L4375" s="548"/>
      <c r="M4375" s="548"/>
      <c r="N4375" s="552"/>
      <c r="Y4375" s="551"/>
    </row>
    <row r="4376" spans="1:25">
      <c r="A4376" s="499">
        <v>45628</v>
      </c>
      <c r="B4376" s="499">
        <v>45628</v>
      </c>
      <c r="C4376" s="500" t="s">
        <v>173</v>
      </c>
      <c r="D4376" s="500" t="s">
        <v>762</v>
      </c>
      <c r="E4376" s="501">
        <v>200308666.66999999</v>
      </c>
      <c r="F4376" s="502" t="s">
        <v>912</v>
      </c>
      <c r="G4376" s="100" t="s">
        <v>1027</v>
      </c>
      <c r="H4376" s="530"/>
      <c r="I4376" s="525"/>
      <c r="K4376" s="548"/>
      <c r="L4376" s="548"/>
      <c r="M4376" s="548"/>
      <c r="N4376" s="552">
        <v>200000</v>
      </c>
      <c r="O4376" s="539">
        <v>1000</v>
      </c>
      <c r="W4376" s="550">
        <f>VLOOKUP(G4376,Справочник!A:C,3,0)</f>
        <v>0.1389</v>
      </c>
      <c r="X4376" s="539" t="str">
        <f>VLOOKUP(G4376,Справочник!A:G,7,0)</f>
        <v>АО "Национальный управляющий холдинг "Байтерек"</v>
      </c>
      <c r="Y4376" s="551">
        <f>VLOOKUP(G4376,Справочник!A:B,2,0)</f>
        <v>46109</v>
      </c>
    </row>
    <row r="4377" spans="1:25">
      <c r="A4377" s="499">
        <v>45628</v>
      </c>
      <c r="B4377" s="499">
        <v>45628</v>
      </c>
      <c r="C4377" s="500" t="s">
        <v>173</v>
      </c>
      <c r="D4377" s="500" t="s">
        <v>761</v>
      </c>
      <c r="E4377" s="501">
        <v>-501011865.02999997</v>
      </c>
      <c r="F4377" s="502" t="s">
        <v>878</v>
      </c>
      <c r="G4377" s="100">
        <v>114944406</v>
      </c>
      <c r="H4377" s="530"/>
      <c r="I4377" s="525"/>
      <c r="K4377" s="548"/>
      <c r="L4377" s="548"/>
      <c r="M4377" s="548"/>
      <c r="N4377" s="552"/>
      <c r="Y4377" s="551"/>
    </row>
    <row r="4378" spans="1:25">
      <c r="A4378" s="499">
        <v>45628</v>
      </c>
      <c r="B4378" s="499">
        <v>45628</v>
      </c>
      <c r="C4378" s="500" t="s">
        <v>173</v>
      </c>
      <c r="D4378" s="500" t="s">
        <v>761</v>
      </c>
      <c r="E4378" s="501">
        <v>-2000001.51</v>
      </c>
      <c r="F4378" s="502" t="s">
        <v>878</v>
      </c>
      <c r="G4378" s="100">
        <v>114945338</v>
      </c>
      <c r="H4378" s="530"/>
      <c r="I4378" s="525"/>
      <c r="K4378" s="548"/>
      <c r="L4378" s="548"/>
      <c r="M4378" s="548"/>
      <c r="N4378" s="552"/>
      <c r="Y4378" s="551"/>
    </row>
    <row r="4379" spans="1:25">
      <c r="A4379" s="499">
        <v>45628</v>
      </c>
      <c r="B4379" s="499">
        <v>45629</v>
      </c>
      <c r="C4379" s="500" t="s">
        <v>173</v>
      </c>
      <c r="D4379" s="500" t="s">
        <v>761</v>
      </c>
      <c r="E4379" s="501">
        <v>501216376.43000001</v>
      </c>
      <c r="F4379" s="502" t="s">
        <v>878</v>
      </c>
      <c r="G4379" s="100">
        <v>114944406</v>
      </c>
      <c r="H4379" s="100">
        <v>114944406</v>
      </c>
      <c r="I4379" s="525"/>
      <c r="K4379" s="548"/>
      <c r="L4379" s="548"/>
      <c r="M4379" s="548"/>
      <c r="N4379" s="552"/>
      <c r="Y4379" s="551"/>
    </row>
    <row r="4380" spans="1:25">
      <c r="A4380" s="499">
        <v>45628</v>
      </c>
      <c r="B4380" s="499">
        <v>45629</v>
      </c>
      <c r="C4380" s="500" t="s">
        <v>173</v>
      </c>
      <c r="D4380" s="500" t="s">
        <v>761</v>
      </c>
      <c r="E4380" s="501">
        <v>2000818.45</v>
      </c>
      <c r="F4380" s="502" t="s">
        <v>878</v>
      </c>
      <c r="G4380" s="100">
        <v>114945338</v>
      </c>
      <c r="H4380" s="100">
        <v>114945338</v>
      </c>
      <c r="I4380" s="525"/>
      <c r="K4380" s="548"/>
      <c r="L4380" s="548"/>
      <c r="M4380" s="548"/>
      <c r="N4380" s="552"/>
      <c r="Y4380" s="551"/>
    </row>
    <row r="4381" spans="1:25">
      <c r="A4381" s="499">
        <v>45628</v>
      </c>
      <c r="B4381" s="499">
        <v>45628</v>
      </c>
      <c r="C4381" s="500" t="s">
        <v>173</v>
      </c>
      <c r="D4381" s="500" t="s">
        <v>759</v>
      </c>
      <c r="E4381" s="501">
        <v>-309282950.68000001</v>
      </c>
      <c r="F4381" s="502" t="s">
        <v>878</v>
      </c>
      <c r="G4381" s="100">
        <v>114946467</v>
      </c>
      <c r="H4381" s="530"/>
      <c r="I4381" s="525"/>
      <c r="K4381" s="548"/>
      <c r="L4381" s="548"/>
      <c r="M4381" s="548"/>
      <c r="N4381" s="552"/>
      <c r="Y4381" s="551"/>
    </row>
    <row r="4382" spans="1:25">
      <c r="A4382" s="499">
        <v>45628</v>
      </c>
      <c r="B4382" s="499">
        <v>45628</v>
      </c>
      <c r="C4382" s="500" t="s">
        <v>173</v>
      </c>
      <c r="D4382" s="500" t="s">
        <v>759</v>
      </c>
      <c r="E4382" s="501">
        <v>-980194200.72000003</v>
      </c>
      <c r="F4382" s="502" t="s">
        <v>878</v>
      </c>
      <c r="G4382" s="100">
        <v>114946470</v>
      </c>
      <c r="H4382" s="530"/>
      <c r="I4382" s="525"/>
      <c r="K4382" s="548"/>
      <c r="L4382" s="548"/>
      <c r="M4382" s="548"/>
      <c r="N4382" s="552"/>
      <c r="Y4382" s="551"/>
    </row>
    <row r="4383" spans="1:25">
      <c r="A4383" s="499">
        <v>45628</v>
      </c>
      <c r="B4383" s="499">
        <v>45628</v>
      </c>
      <c r="C4383" s="500" t="s">
        <v>173</v>
      </c>
      <c r="D4383" s="500" t="s">
        <v>759</v>
      </c>
      <c r="E4383" s="501">
        <v>-707368247.30999994</v>
      </c>
      <c r="F4383" s="502" t="s">
        <v>878</v>
      </c>
      <c r="G4383" s="100">
        <v>114946473</v>
      </c>
      <c r="H4383" s="530"/>
      <c r="I4383" s="525"/>
      <c r="K4383" s="548"/>
      <c r="L4383" s="548"/>
      <c r="M4383" s="548"/>
      <c r="N4383" s="552"/>
      <c r="Y4383" s="551"/>
    </row>
    <row r="4384" spans="1:25">
      <c r="A4384" s="499">
        <v>45628</v>
      </c>
      <c r="B4384" s="499">
        <v>45628</v>
      </c>
      <c r="C4384" s="500" t="s">
        <v>173</v>
      </c>
      <c r="D4384" s="500" t="s">
        <v>759</v>
      </c>
      <c r="E4384" s="501">
        <v>-7001603.5700000003</v>
      </c>
      <c r="F4384" s="502" t="s">
        <v>878</v>
      </c>
      <c r="G4384" s="100">
        <v>114949558</v>
      </c>
      <c r="H4384" s="530"/>
      <c r="I4384" s="525"/>
      <c r="K4384" s="548"/>
      <c r="L4384" s="548"/>
      <c r="M4384" s="548"/>
      <c r="N4384" s="552"/>
      <c r="Y4384" s="551"/>
    </row>
    <row r="4385" spans="1:25">
      <c r="A4385" s="499">
        <v>45628</v>
      </c>
      <c r="B4385" s="499">
        <v>45629</v>
      </c>
      <c r="C4385" s="500" t="s">
        <v>173</v>
      </c>
      <c r="D4385" s="500" t="s">
        <v>759</v>
      </c>
      <c r="E4385" s="501">
        <v>309410550.18000001</v>
      </c>
      <c r="F4385" s="502" t="s">
        <v>878</v>
      </c>
      <c r="G4385" s="100">
        <v>114946467</v>
      </c>
      <c r="H4385" s="100">
        <v>114946467</v>
      </c>
      <c r="I4385" s="525"/>
      <c r="K4385" s="548"/>
      <c r="L4385" s="548"/>
      <c r="M4385" s="548"/>
      <c r="N4385" s="552"/>
      <c r="Y4385" s="551"/>
    </row>
    <row r="4386" spans="1:25">
      <c r="A4386" s="499">
        <v>45628</v>
      </c>
      <c r="B4386" s="499">
        <v>45629</v>
      </c>
      <c r="C4386" s="500" t="s">
        <v>173</v>
      </c>
      <c r="D4386" s="500" t="s">
        <v>759</v>
      </c>
      <c r="E4386" s="501">
        <v>980598595.10000002</v>
      </c>
      <c r="F4386" s="502" t="s">
        <v>878</v>
      </c>
      <c r="G4386" s="100">
        <v>114946470</v>
      </c>
      <c r="H4386" s="100">
        <v>114946470</v>
      </c>
      <c r="I4386" s="525"/>
      <c r="K4386" s="548"/>
      <c r="L4386" s="548"/>
      <c r="M4386" s="548"/>
      <c r="N4386" s="552"/>
      <c r="Y4386" s="551"/>
    </row>
    <row r="4387" spans="1:25">
      <c r="A4387" s="499">
        <v>45628</v>
      </c>
      <c r="B4387" s="499">
        <v>45629</v>
      </c>
      <c r="C4387" s="500" t="s">
        <v>173</v>
      </c>
      <c r="D4387" s="500" t="s">
        <v>759</v>
      </c>
      <c r="E4387" s="501">
        <v>707660083.10000002</v>
      </c>
      <c r="F4387" s="502" t="s">
        <v>878</v>
      </c>
      <c r="G4387" s="100">
        <v>114946473</v>
      </c>
      <c r="H4387" s="100">
        <v>114946473</v>
      </c>
      <c r="I4387" s="525"/>
      <c r="K4387" s="548"/>
      <c r="L4387" s="548"/>
      <c r="M4387" s="548"/>
      <c r="N4387" s="552"/>
      <c r="Y4387" s="551"/>
    </row>
    <row r="4388" spans="1:25">
      <c r="A4388" s="499">
        <v>45628</v>
      </c>
      <c r="B4388" s="499">
        <v>45629</v>
      </c>
      <c r="C4388" s="500" t="s">
        <v>173</v>
      </c>
      <c r="D4388" s="500" t="s">
        <v>759</v>
      </c>
      <c r="E4388" s="501">
        <v>7004467.3200000003</v>
      </c>
      <c r="F4388" s="502" t="s">
        <v>878</v>
      </c>
      <c r="G4388" s="100">
        <v>114949558</v>
      </c>
      <c r="H4388" s="100">
        <v>114949558</v>
      </c>
      <c r="I4388" s="525"/>
      <c r="K4388" s="548"/>
      <c r="L4388" s="548"/>
      <c r="M4388" s="548"/>
      <c r="N4388" s="552"/>
      <c r="Y4388" s="551"/>
    </row>
    <row r="4389" spans="1:25">
      <c r="A4389" s="499">
        <v>45628</v>
      </c>
      <c r="B4389" s="499">
        <v>45628</v>
      </c>
      <c r="C4389" s="500" t="s">
        <v>173</v>
      </c>
      <c r="D4389" s="500" t="s">
        <v>760</v>
      </c>
      <c r="E4389" s="501">
        <v>-295006986.39999998</v>
      </c>
      <c r="F4389" s="502" t="s">
        <v>878</v>
      </c>
      <c r="G4389" s="100">
        <v>114944388</v>
      </c>
      <c r="H4389" s="530"/>
      <c r="I4389" s="525"/>
      <c r="K4389" s="548"/>
      <c r="L4389" s="548"/>
      <c r="M4389" s="548"/>
      <c r="N4389" s="552"/>
      <c r="Y4389" s="551"/>
    </row>
    <row r="4390" spans="1:25">
      <c r="A4390" s="499">
        <v>45628</v>
      </c>
      <c r="B4390" s="499">
        <v>45629</v>
      </c>
      <c r="C4390" s="500" t="s">
        <v>173</v>
      </c>
      <c r="D4390" s="500" t="s">
        <v>760</v>
      </c>
      <c r="E4390" s="501">
        <v>295127084.87</v>
      </c>
      <c r="F4390" s="502" t="s">
        <v>878</v>
      </c>
      <c r="G4390" s="100">
        <v>114944388</v>
      </c>
      <c r="H4390" s="100">
        <v>114944388</v>
      </c>
      <c r="I4390" s="525"/>
      <c r="K4390" s="548"/>
      <c r="L4390" s="548"/>
      <c r="M4390" s="548"/>
      <c r="N4390" s="552"/>
      <c r="Y4390" s="551"/>
    </row>
    <row r="4391" spans="1:25">
      <c r="A4391" s="499">
        <v>45628</v>
      </c>
      <c r="B4391" s="499">
        <v>45628</v>
      </c>
      <c r="C4391" s="500" t="s">
        <v>173</v>
      </c>
      <c r="D4391" s="500" t="s">
        <v>764</v>
      </c>
      <c r="E4391" s="501">
        <v>-2012784768.53</v>
      </c>
      <c r="F4391" s="502" t="s">
        <v>878</v>
      </c>
      <c r="G4391" s="100">
        <v>114946609</v>
      </c>
      <c r="H4391" s="530"/>
      <c r="I4391" s="525"/>
      <c r="K4391" s="548"/>
      <c r="L4391" s="548"/>
      <c r="M4391" s="548"/>
      <c r="N4391" s="552"/>
      <c r="Y4391" s="551"/>
    </row>
    <row r="4392" spans="1:25">
      <c r="A4392" s="499">
        <v>45628</v>
      </c>
      <c r="B4392" s="499">
        <v>45628</v>
      </c>
      <c r="C4392" s="500" t="s">
        <v>173</v>
      </c>
      <c r="D4392" s="500" t="s">
        <v>764</v>
      </c>
      <c r="E4392" s="501">
        <v>-6000142.0999999996</v>
      </c>
      <c r="F4392" s="502" t="s">
        <v>878</v>
      </c>
      <c r="G4392" s="100">
        <v>114946938</v>
      </c>
      <c r="H4392" s="530"/>
      <c r="I4392" s="525"/>
      <c r="K4392" s="548"/>
      <c r="L4392" s="548"/>
      <c r="M4392" s="548"/>
      <c r="N4392" s="552"/>
      <c r="Y4392" s="551"/>
    </row>
    <row r="4393" spans="1:25">
      <c r="A4393" s="499">
        <v>45628</v>
      </c>
      <c r="B4393" s="499">
        <v>45635</v>
      </c>
      <c r="C4393" s="500" t="s">
        <v>173</v>
      </c>
      <c r="D4393" s="500" t="s">
        <v>764</v>
      </c>
      <c r="E4393" s="501">
        <v>2018559151.0599999</v>
      </c>
      <c r="F4393" s="502" t="s">
        <v>878</v>
      </c>
      <c r="G4393" s="100">
        <v>114946609</v>
      </c>
      <c r="H4393" s="100">
        <v>114946609</v>
      </c>
      <c r="I4393" s="525"/>
      <c r="K4393" s="548"/>
      <c r="L4393" s="548"/>
      <c r="M4393" s="548"/>
      <c r="N4393" s="552"/>
      <c r="Y4393" s="551"/>
    </row>
    <row r="4394" spans="1:25">
      <c r="A4394" s="499">
        <v>45628</v>
      </c>
      <c r="B4394" s="499">
        <v>45635</v>
      </c>
      <c r="C4394" s="500" t="s">
        <v>173</v>
      </c>
      <c r="D4394" s="500" t="s">
        <v>764</v>
      </c>
      <c r="E4394" s="501">
        <v>6017240.8700000001</v>
      </c>
      <c r="F4394" s="502" t="s">
        <v>878</v>
      </c>
      <c r="G4394" s="100">
        <v>114946938</v>
      </c>
      <c r="H4394" s="100">
        <v>114946938</v>
      </c>
      <c r="I4394" s="525"/>
      <c r="K4394" s="548"/>
      <c r="L4394" s="548"/>
      <c r="M4394" s="548"/>
      <c r="N4394" s="552"/>
      <c r="Y4394" s="551"/>
    </row>
    <row r="4395" spans="1:25">
      <c r="A4395" s="499">
        <v>45628</v>
      </c>
      <c r="B4395" s="499">
        <v>45628</v>
      </c>
      <c r="C4395" s="500" t="s">
        <v>173</v>
      </c>
      <c r="D4395" s="500" t="s">
        <v>763</v>
      </c>
      <c r="E4395" s="501">
        <v>-5484570032.9099998</v>
      </c>
      <c r="F4395" s="502" t="s">
        <v>878</v>
      </c>
      <c r="G4395" s="100">
        <v>114952969</v>
      </c>
      <c r="H4395" s="530"/>
      <c r="I4395" s="525"/>
      <c r="K4395" s="548"/>
      <c r="L4395" s="548"/>
      <c r="M4395" s="548"/>
      <c r="N4395" s="552"/>
      <c r="Y4395" s="551"/>
    </row>
    <row r="4396" spans="1:25">
      <c r="A4396" s="499">
        <v>45628</v>
      </c>
      <c r="B4396" s="499">
        <v>45628</v>
      </c>
      <c r="C4396" s="500" t="s">
        <v>173</v>
      </c>
      <c r="D4396" s="500" t="s">
        <v>763</v>
      </c>
      <c r="E4396" s="501">
        <v>-18011724.25</v>
      </c>
      <c r="F4396" s="502" t="s">
        <v>878</v>
      </c>
      <c r="G4396" s="100">
        <v>114952982</v>
      </c>
      <c r="H4396" s="530"/>
      <c r="I4396" s="525"/>
      <c r="K4396" s="548"/>
      <c r="L4396" s="548"/>
      <c r="M4396" s="548"/>
      <c r="N4396" s="552"/>
      <c r="Y4396" s="551"/>
    </row>
    <row r="4397" spans="1:25">
      <c r="A4397" s="499">
        <v>45628</v>
      </c>
      <c r="B4397" s="499">
        <v>45629</v>
      </c>
      <c r="C4397" s="500" t="s">
        <v>173</v>
      </c>
      <c r="D4397" s="500" t="s">
        <v>763</v>
      </c>
      <c r="E4397" s="501">
        <v>5486705418.7799997</v>
      </c>
      <c r="F4397" s="502" t="s">
        <v>878</v>
      </c>
      <c r="G4397" s="100">
        <v>114952969</v>
      </c>
      <c r="H4397" s="100">
        <v>114952969</v>
      </c>
      <c r="I4397" s="525"/>
      <c r="K4397" s="548"/>
      <c r="L4397" s="548"/>
      <c r="M4397" s="548"/>
      <c r="N4397" s="552"/>
      <c r="Y4397" s="551"/>
    </row>
    <row r="4398" spans="1:25">
      <c r="A4398" s="499">
        <v>45628</v>
      </c>
      <c r="B4398" s="499">
        <v>45629</v>
      </c>
      <c r="C4398" s="500" t="s">
        <v>173</v>
      </c>
      <c r="D4398" s="500" t="s">
        <v>763</v>
      </c>
      <c r="E4398" s="501">
        <v>18018737.010000002</v>
      </c>
      <c r="F4398" s="502" t="s">
        <v>878</v>
      </c>
      <c r="G4398" s="100">
        <v>114952982</v>
      </c>
      <c r="H4398" s="100">
        <v>114952982</v>
      </c>
      <c r="I4398" s="525"/>
      <c r="K4398" s="548"/>
      <c r="L4398" s="548"/>
      <c r="M4398" s="548"/>
      <c r="N4398" s="552"/>
      <c r="Y4398" s="551"/>
    </row>
    <row r="4399" spans="1:25">
      <c r="A4399" s="499">
        <v>45629</v>
      </c>
      <c r="B4399" s="499">
        <v>45629</v>
      </c>
      <c r="C4399" s="500" t="s">
        <v>173</v>
      </c>
      <c r="D4399" s="500" t="s">
        <v>762</v>
      </c>
      <c r="E4399" s="501">
        <v>-200212668.59999999</v>
      </c>
      <c r="F4399" s="502" t="s">
        <v>878</v>
      </c>
      <c r="G4399" s="100">
        <v>114966035</v>
      </c>
      <c r="H4399" s="530"/>
      <c r="I4399" s="525"/>
      <c r="K4399" s="548"/>
      <c r="L4399" s="548"/>
      <c r="M4399" s="548"/>
      <c r="N4399" s="552"/>
      <c r="Y4399" s="551"/>
    </row>
    <row r="4400" spans="1:25">
      <c r="A4400" s="499">
        <v>45629</v>
      </c>
      <c r="B4400" s="499">
        <v>45630</v>
      </c>
      <c r="C4400" s="500" t="s">
        <v>173</v>
      </c>
      <c r="D4400" s="500" t="s">
        <v>762</v>
      </c>
      <c r="E4400" s="501">
        <v>200292589.56</v>
      </c>
      <c r="F4400" s="502" t="s">
        <v>878</v>
      </c>
      <c r="G4400" s="100">
        <v>114966035</v>
      </c>
      <c r="H4400" s="100">
        <v>114966035</v>
      </c>
      <c r="I4400" s="525"/>
      <c r="K4400" s="548"/>
      <c r="L4400" s="548"/>
      <c r="M4400" s="548"/>
      <c r="N4400" s="552"/>
      <c r="Y4400" s="551"/>
    </row>
    <row r="4401" spans="1:25">
      <c r="A4401" s="499">
        <v>45629</v>
      </c>
      <c r="B4401" s="499">
        <v>45629</v>
      </c>
      <c r="C4401" s="500" t="s">
        <v>173</v>
      </c>
      <c r="D4401" s="500" t="s">
        <v>761</v>
      </c>
      <c r="E4401" s="501">
        <v>-497189315</v>
      </c>
      <c r="F4401" s="502" t="s">
        <v>878</v>
      </c>
      <c r="G4401" s="100">
        <v>114963520</v>
      </c>
      <c r="H4401" s="530"/>
      <c r="I4401" s="525"/>
      <c r="K4401" s="548"/>
      <c r="L4401" s="548"/>
      <c r="M4401" s="548"/>
      <c r="N4401" s="552"/>
      <c r="Y4401" s="551"/>
    </row>
    <row r="4402" spans="1:25">
      <c r="A4402" s="499">
        <v>45629</v>
      </c>
      <c r="B4402" s="499">
        <v>45629</v>
      </c>
      <c r="C4402" s="500" t="s">
        <v>173</v>
      </c>
      <c r="D4402" s="500" t="s">
        <v>761</v>
      </c>
      <c r="E4402" s="501">
        <v>-421321703.77999997</v>
      </c>
      <c r="F4402" s="502" t="s">
        <v>878</v>
      </c>
      <c r="G4402" s="100">
        <v>114963542</v>
      </c>
      <c r="H4402" s="530"/>
      <c r="I4402" s="525"/>
      <c r="K4402" s="548"/>
      <c r="L4402" s="548"/>
      <c r="M4402" s="548"/>
      <c r="N4402" s="552"/>
      <c r="Y4402" s="551"/>
    </row>
    <row r="4403" spans="1:25">
      <c r="A4403" s="499">
        <v>45629</v>
      </c>
      <c r="B4403" s="499">
        <v>45629</v>
      </c>
      <c r="C4403" s="500" t="s">
        <v>173</v>
      </c>
      <c r="D4403" s="500" t="s">
        <v>761</v>
      </c>
      <c r="E4403" s="501">
        <v>-3000739.5</v>
      </c>
      <c r="F4403" s="502" t="s">
        <v>878</v>
      </c>
      <c r="G4403" s="100">
        <v>114963789</v>
      </c>
      <c r="H4403" s="530"/>
      <c r="I4403" s="525"/>
      <c r="K4403" s="548"/>
      <c r="L4403" s="548"/>
      <c r="M4403" s="548"/>
      <c r="N4403" s="552"/>
      <c r="Y4403" s="551"/>
    </row>
    <row r="4404" spans="1:25">
      <c r="A4404" s="499">
        <v>45629</v>
      </c>
      <c r="B4404" s="499">
        <v>45630</v>
      </c>
      <c r="C4404" s="500" t="s">
        <v>173</v>
      </c>
      <c r="D4404" s="500" t="s">
        <v>761</v>
      </c>
      <c r="E4404" s="501">
        <v>497393081.11000001</v>
      </c>
      <c r="F4404" s="502" t="s">
        <v>878</v>
      </c>
      <c r="G4404" s="100">
        <v>114963520</v>
      </c>
      <c r="H4404" s="100">
        <v>114963520</v>
      </c>
      <c r="I4404" s="525"/>
      <c r="K4404" s="548"/>
      <c r="L4404" s="548"/>
      <c r="M4404" s="548"/>
      <c r="N4404" s="552"/>
      <c r="Y4404" s="551"/>
    </row>
    <row r="4405" spans="1:25">
      <c r="A4405" s="499">
        <v>45629</v>
      </c>
      <c r="B4405" s="499">
        <v>45636</v>
      </c>
      <c r="C4405" s="500" t="s">
        <v>173</v>
      </c>
      <c r="D4405" s="500" t="s">
        <v>761</v>
      </c>
      <c r="E4405" s="501">
        <v>422530413.58999997</v>
      </c>
      <c r="F4405" s="502" t="s">
        <v>878</v>
      </c>
      <c r="G4405" s="100">
        <v>114963542</v>
      </c>
      <c r="H4405" s="100">
        <v>114963542</v>
      </c>
      <c r="I4405" s="525"/>
      <c r="K4405" s="548"/>
      <c r="L4405" s="548"/>
      <c r="M4405" s="548"/>
      <c r="N4405" s="552"/>
      <c r="Y4405" s="551"/>
    </row>
    <row r="4406" spans="1:25">
      <c r="A4406" s="499">
        <v>45629</v>
      </c>
      <c r="B4406" s="499">
        <v>45630</v>
      </c>
      <c r="C4406" s="500" t="s">
        <v>173</v>
      </c>
      <c r="D4406" s="500" t="s">
        <v>761</v>
      </c>
      <c r="E4406" s="501">
        <v>3001969.31</v>
      </c>
      <c r="F4406" s="502" t="s">
        <v>878</v>
      </c>
      <c r="G4406" s="100">
        <v>114963789</v>
      </c>
      <c r="H4406" s="100">
        <v>114963789</v>
      </c>
      <c r="I4406" s="525"/>
      <c r="K4406" s="548"/>
      <c r="L4406" s="548"/>
      <c r="M4406" s="548"/>
      <c r="N4406" s="552"/>
      <c r="Y4406" s="551"/>
    </row>
    <row r="4407" spans="1:25">
      <c r="A4407" s="499">
        <v>45625</v>
      </c>
      <c r="B4407" s="499">
        <v>45629</v>
      </c>
      <c r="C4407" s="500" t="s">
        <v>173</v>
      </c>
      <c r="D4407" s="500" t="s">
        <v>761</v>
      </c>
      <c r="E4407" s="501">
        <v>203630729.40000001</v>
      </c>
      <c r="F4407" s="502" t="s">
        <v>912</v>
      </c>
      <c r="G4407" s="100" t="s">
        <v>95</v>
      </c>
      <c r="H4407" s="530"/>
      <c r="I4407" s="525"/>
      <c r="K4407" s="548"/>
      <c r="L4407" s="548"/>
      <c r="M4407" s="548"/>
      <c r="N4407" s="552">
        <v>202300</v>
      </c>
      <c r="O4407" s="539">
        <f>VLOOKUP(G4407,[5]Лист1!$B:$K,10,0)</f>
        <v>1000</v>
      </c>
      <c r="W4407" s="550">
        <f>VLOOKUP(G4407,Справочник!A:C,3,0)</f>
        <v>0.11</v>
      </c>
      <c r="X4407" s="539" t="str">
        <f>VLOOKUP(G4407,Справочник!A:G,7,0)</f>
        <v>Министерство финансов Республики Казахстан</v>
      </c>
      <c r="Y4407" s="551" t="str">
        <f>VLOOKUP(G4407,Справочник!A:B,2,0)</f>
        <v>31.03.2029</v>
      </c>
    </row>
    <row r="4408" spans="1:25">
      <c r="A4408" s="499">
        <v>45625</v>
      </c>
      <c r="B4408" s="499">
        <v>45629</v>
      </c>
      <c r="C4408" s="500" t="s">
        <v>173</v>
      </c>
      <c r="D4408" s="500" t="s">
        <v>761</v>
      </c>
      <c r="E4408" s="501">
        <v>214524437.5</v>
      </c>
      <c r="F4408" s="502" t="s">
        <v>912</v>
      </c>
      <c r="G4408" s="100" t="s">
        <v>448</v>
      </c>
      <c r="H4408" s="530"/>
      <c r="I4408" s="525"/>
      <c r="K4408" s="548"/>
      <c r="L4408" s="548"/>
      <c r="M4408" s="548"/>
      <c r="N4408" s="552">
        <v>225000</v>
      </c>
      <c r="O4408" s="539">
        <f>VLOOKUP(G4408,[5]Лист1!$B:$K,10,0)</f>
        <v>1000</v>
      </c>
      <c r="W4408" s="550">
        <f>VLOOKUP(G4408,Справочник!A:C,3,0)</f>
        <v>0.1055</v>
      </c>
      <c r="X4408" s="539" t="str">
        <f>VLOOKUP(G4408,Справочник!A:G,7,0)</f>
        <v>Министерство финансов Республики Казахстан</v>
      </c>
      <c r="Y4408" s="551">
        <f>VLOOKUP(G4408,Справочник!A:B,2,0)</f>
        <v>47327</v>
      </c>
    </row>
    <row r="4409" spans="1:25">
      <c r="A4409" s="499">
        <v>45629</v>
      </c>
      <c r="B4409" s="499">
        <v>45629</v>
      </c>
      <c r="C4409" s="500" t="s">
        <v>173</v>
      </c>
      <c r="D4409" s="500" t="s">
        <v>759</v>
      </c>
      <c r="E4409" s="501">
        <v>-3883246380.48</v>
      </c>
      <c r="F4409" s="502" t="s">
        <v>878</v>
      </c>
      <c r="G4409" s="100">
        <v>114964163</v>
      </c>
      <c r="H4409" s="530"/>
      <c r="I4409" s="525" t="s">
        <v>686</v>
      </c>
      <c r="J4409" s="100"/>
      <c r="K4409" s="548"/>
      <c r="L4409" s="548"/>
      <c r="M4409" s="548"/>
      <c r="N4409" s="552"/>
      <c r="Y4409" s="551"/>
    </row>
    <row r="4410" spans="1:25">
      <c r="A4410" s="499">
        <v>45629</v>
      </c>
      <c r="B4410" s="499">
        <v>45629</v>
      </c>
      <c r="C4410" s="500" t="s">
        <v>173</v>
      </c>
      <c r="D4410" s="500" t="s">
        <v>759</v>
      </c>
      <c r="E4410" s="501">
        <v>-665578035.28999996</v>
      </c>
      <c r="F4410" s="502" t="s">
        <v>878</v>
      </c>
      <c r="G4410" s="100">
        <v>114964201</v>
      </c>
      <c r="H4410" s="530"/>
      <c r="I4410" s="525" t="s">
        <v>695</v>
      </c>
      <c r="J4410" s="100"/>
      <c r="K4410" s="548"/>
      <c r="L4410" s="548"/>
      <c r="M4410" s="548"/>
      <c r="N4410" s="552"/>
      <c r="Y4410" s="551"/>
    </row>
    <row r="4411" spans="1:25">
      <c r="A4411" s="499">
        <v>45629</v>
      </c>
      <c r="B4411" s="499">
        <v>45629</v>
      </c>
      <c r="C4411" s="500" t="s">
        <v>173</v>
      </c>
      <c r="D4411" s="500" t="s">
        <v>759</v>
      </c>
      <c r="E4411" s="501">
        <v>-685615508.12</v>
      </c>
      <c r="F4411" s="502" t="s">
        <v>878</v>
      </c>
      <c r="G4411" s="100">
        <v>114964204</v>
      </c>
      <c r="H4411" s="530"/>
      <c r="I4411" s="525" t="s">
        <v>676</v>
      </c>
      <c r="J4411" s="100"/>
      <c r="K4411" s="548"/>
      <c r="L4411" s="548"/>
      <c r="M4411" s="548"/>
      <c r="N4411" s="552"/>
      <c r="Y4411" s="551"/>
    </row>
    <row r="4412" spans="1:25">
      <c r="A4412" s="499">
        <v>45629</v>
      </c>
      <c r="B4412" s="499">
        <v>45629</v>
      </c>
      <c r="C4412" s="500" t="s">
        <v>173</v>
      </c>
      <c r="D4412" s="500" t="s">
        <v>759</v>
      </c>
      <c r="E4412" s="501">
        <v>-650514009.60000002</v>
      </c>
      <c r="F4412" s="502" t="s">
        <v>878</v>
      </c>
      <c r="G4412" s="100">
        <v>114964207</v>
      </c>
      <c r="H4412" s="530"/>
      <c r="I4412" s="525" t="s">
        <v>705</v>
      </c>
      <c r="J4412" s="100"/>
      <c r="K4412" s="548"/>
      <c r="L4412" s="548"/>
      <c r="M4412" s="548"/>
      <c r="N4412" s="552"/>
      <c r="Y4412" s="551"/>
    </row>
    <row r="4413" spans="1:25">
      <c r="A4413" s="499">
        <v>45629</v>
      </c>
      <c r="B4413" s="499">
        <v>45629</v>
      </c>
      <c r="C4413" s="500" t="s">
        <v>173</v>
      </c>
      <c r="D4413" s="500" t="s">
        <v>759</v>
      </c>
      <c r="E4413" s="501">
        <v>-2000761.83</v>
      </c>
      <c r="F4413" s="502" t="s">
        <v>878</v>
      </c>
      <c r="G4413" s="100">
        <v>114965157</v>
      </c>
      <c r="H4413" s="530"/>
      <c r="I4413" s="525" t="s">
        <v>631</v>
      </c>
      <c r="J4413" s="100"/>
      <c r="K4413" s="548"/>
      <c r="L4413" s="548"/>
      <c r="M4413" s="548"/>
      <c r="N4413" s="552"/>
      <c r="Y4413" s="551"/>
    </row>
    <row r="4414" spans="1:25">
      <c r="A4414" s="499">
        <v>45629</v>
      </c>
      <c r="B4414" s="499">
        <v>45629</v>
      </c>
      <c r="C4414" s="500" t="s">
        <v>173</v>
      </c>
      <c r="D4414" s="500" t="s">
        <v>759</v>
      </c>
      <c r="E4414" s="501">
        <v>-17014223.829999998</v>
      </c>
      <c r="F4414" s="502" t="s">
        <v>878</v>
      </c>
      <c r="G4414" s="100">
        <v>114965405</v>
      </c>
      <c r="H4414" s="530"/>
      <c r="I4414" s="525" t="s">
        <v>686</v>
      </c>
      <c r="J4414" s="100"/>
      <c r="K4414" s="548"/>
      <c r="L4414" s="548"/>
      <c r="M4414" s="548"/>
      <c r="N4414" s="552"/>
      <c r="Y4414" s="551"/>
    </row>
    <row r="4415" spans="1:25">
      <c r="A4415" s="499">
        <v>45629</v>
      </c>
      <c r="B4415" s="499">
        <v>45636</v>
      </c>
      <c r="C4415" s="500" t="s">
        <v>173</v>
      </c>
      <c r="D4415" s="500" t="s">
        <v>759</v>
      </c>
      <c r="E4415" s="501">
        <v>3894461111.1500001</v>
      </c>
      <c r="F4415" s="502" t="s">
        <v>878</v>
      </c>
      <c r="G4415" s="100">
        <v>114964163</v>
      </c>
      <c r="H4415" s="100">
        <v>114964163</v>
      </c>
      <c r="I4415" s="525" t="s">
        <v>686</v>
      </c>
      <c r="J4415" s="100"/>
      <c r="K4415" s="548"/>
      <c r="L4415" s="548"/>
      <c r="M4415" s="548"/>
      <c r="N4415" s="552"/>
      <c r="Y4415" s="551"/>
    </row>
    <row r="4416" spans="1:25">
      <c r="A4416" s="499">
        <v>45629</v>
      </c>
      <c r="B4416" s="499">
        <v>45630</v>
      </c>
      <c r="C4416" s="500" t="s">
        <v>173</v>
      </c>
      <c r="D4416" s="500" t="s">
        <v>759</v>
      </c>
      <c r="E4416" s="501">
        <v>665850809.53999996</v>
      </c>
      <c r="F4416" s="502" t="s">
        <v>878</v>
      </c>
      <c r="G4416" s="100">
        <v>114964201</v>
      </c>
      <c r="H4416" s="100">
        <v>114964201</v>
      </c>
      <c r="I4416" s="525" t="s">
        <v>695</v>
      </c>
      <c r="J4416" s="100"/>
      <c r="K4416" s="548"/>
      <c r="L4416" s="548"/>
      <c r="M4416" s="548"/>
      <c r="N4416" s="552"/>
      <c r="Y4416" s="551"/>
    </row>
    <row r="4417" spans="1:25">
      <c r="A4417" s="499">
        <v>45629</v>
      </c>
      <c r="B4417" s="499">
        <v>45630</v>
      </c>
      <c r="C4417" s="500" t="s">
        <v>173</v>
      </c>
      <c r="D4417" s="500" t="s">
        <v>759</v>
      </c>
      <c r="E4417" s="501">
        <v>685896494.34000003</v>
      </c>
      <c r="F4417" s="502" t="s">
        <v>878</v>
      </c>
      <c r="G4417" s="100">
        <v>114964204</v>
      </c>
      <c r="H4417" s="100">
        <v>114964204</v>
      </c>
      <c r="I4417" s="525" t="s">
        <v>676</v>
      </c>
      <c r="J4417" s="100"/>
      <c r="K4417" s="548"/>
      <c r="L4417" s="548"/>
      <c r="M4417" s="548"/>
      <c r="N4417" s="552"/>
      <c r="Y4417" s="551"/>
    </row>
    <row r="4418" spans="1:25">
      <c r="A4418" s="499">
        <v>45629</v>
      </c>
      <c r="B4418" s="499">
        <v>45630</v>
      </c>
      <c r="C4418" s="500" t="s">
        <v>173</v>
      </c>
      <c r="D4418" s="500" t="s">
        <v>759</v>
      </c>
      <c r="E4418" s="501">
        <v>650780610.14999998</v>
      </c>
      <c r="F4418" s="502" t="s">
        <v>878</v>
      </c>
      <c r="G4418" s="100">
        <v>114964207</v>
      </c>
      <c r="H4418" s="100">
        <v>114964207</v>
      </c>
      <c r="I4418" s="525" t="s">
        <v>705</v>
      </c>
      <c r="J4418" s="100"/>
      <c r="K4418" s="548"/>
      <c r="L4418" s="548"/>
      <c r="M4418" s="548"/>
      <c r="N4418" s="552"/>
      <c r="Y4418" s="551"/>
    </row>
    <row r="4419" spans="1:25">
      <c r="A4419" s="499">
        <v>45629</v>
      </c>
      <c r="B4419" s="499">
        <v>45636</v>
      </c>
      <c r="C4419" s="500" t="s">
        <v>173</v>
      </c>
      <c r="D4419" s="500" t="s">
        <v>759</v>
      </c>
      <c r="E4419" s="501">
        <v>2006539.99</v>
      </c>
      <c r="F4419" s="502" t="s">
        <v>878</v>
      </c>
      <c r="G4419" s="100">
        <v>114965157</v>
      </c>
      <c r="H4419" s="100">
        <v>114965157</v>
      </c>
      <c r="I4419" s="525" t="s">
        <v>631</v>
      </c>
      <c r="J4419" s="100"/>
      <c r="K4419" s="548"/>
      <c r="L4419" s="548"/>
      <c r="M4419" s="548"/>
      <c r="N4419" s="552"/>
      <c r="Y4419" s="551"/>
    </row>
    <row r="4420" spans="1:25">
      <c r="A4420" s="499">
        <v>45629</v>
      </c>
      <c r="B4420" s="499">
        <v>45636</v>
      </c>
      <c r="C4420" s="500" t="s">
        <v>173</v>
      </c>
      <c r="D4420" s="500" t="s">
        <v>759</v>
      </c>
      <c r="E4420" s="501">
        <v>17063035.129999999</v>
      </c>
      <c r="F4420" s="502" t="s">
        <v>878</v>
      </c>
      <c r="G4420" s="100">
        <v>114965405</v>
      </c>
      <c r="H4420" s="100">
        <v>114965405</v>
      </c>
      <c r="I4420" s="525" t="s">
        <v>686</v>
      </c>
      <c r="J4420" s="100"/>
      <c r="K4420" s="548"/>
      <c r="L4420" s="548"/>
      <c r="M4420" s="548"/>
      <c r="N4420" s="552"/>
      <c r="Y4420" s="551"/>
    </row>
    <row r="4421" spans="1:25">
      <c r="A4421" s="499">
        <v>45629</v>
      </c>
      <c r="B4421" s="499">
        <v>45629</v>
      </c>
      <c r="C4421" s="500" t="s">
        <v>173</v>
      </c>
      <c r="D4421" s="500" t="s">
        <v>760</v>
      </c>
      <c r="E4421" s="501">
        <v>-293124638.68000001</v>
      </c>
      <c r="F4421" s="502" t="s">
        <v>878</v>
      </c>
      <c r="G4421" s="100">
        <v>114962868</v>
      </c>
      <c r="H4421" s="530"/>
      <c r="I4421" s="525" t="s">
        <v>709</v>
      </c>
      <c r="J4421" s="100"/>
      <c r="K4421" s="548"/>
      <c r="L4421" s="548"/>
      <c r="M4421" s="548"/>
      <c r="N4421" s="552"/>
      <c r="Y4421" s="551"/>
    </row>
    <row r="4422" spans="1:25">
      <c r="A4422" s="499">
        <v>45629</v>
      </c>
      <c r="B4422" s="499">
        <v>45630</v>
      </c>
      <c r="C4422" s="500" t="s">
        <v>173</v>
      </c>
      <c r="D4422" s="500" t="s">
        <v>760</v>
      </c>
      <c r="E4422" s="501">
        <v>293243969.24000001</v>
      </c>
      <c r="F4422" s="502" t="s">
        <v>878</v>
      </c>
      <c r="G4422" s="100">
        <v>114962868</v>
      </c>
      <c r="H4422" s="100">
        <v>114962868</v>
      </c>
      <c r="I4422" s="525" t="s">
        <v>709</v>
      </c>
      <c r="J4422" s="100"/>
      <c r="K4422" s="548"/>
      <c r="L4422" s="548"/>
      <c r="M4422" s="548"/>
      <c r="N4422" s="552"/>
      <c r="Y4422" s="551"/>
    </row>
    <row r="4423" spans="1:25">
      <c r="A4423" s="499">
        <v>45629</v>
      </c>
      <c r="B4423" s="499">
        <v>45629</v>
      </c>
      <c r="C4423" s="500" t="s">
        <v>173</v>
      </c>
      <c r="D4423" s="500" t="s">
        <v>763</v>
      </c>
      <c r="E4423" s="501">
        <v>-1360038468.98</v>
      </c>
      <c r="F4423" s="502" t="s">
        <v>878</v>
      </c>
      <c r="G4423" s="100">
        <v>114963412</v>
      </c>
      <c r="H4423" s="530"/>
      <c r="I4423" s="525" t="s">
        <v>682</v>
      </c>
      <c r="J4423" s="100"/>
      <c r="K4423" s="548"/>
      <c r="L4423" s="548"/>
      <c r="M4423" s="548"/>
      <c r="N4423" s="552"/>
      <c r="Y4423" s="551"/>
    </row>
    <row r="4424" spans="1:25">
      <c r="A4424" s="499">
        <v>45629</v>
      </c>
      <c r="B4424" s="499">
        <v>45629</v>
      </c>
      <c r="C4424" s="500" t="s">
        <v>173</v>
      </c>
      <c r="D4424" s="500" t="s">
        <v>763</v>
      </c>
      <c r="E4424" s="501">
        <v>-2552565426.25</v>
      </c>
      <c r="F4424" s="502" t="s">
        <v>878</v>
      </c>
      <c r="G4424" s="100">
        <v>114963415</v>
      </c>
      <c r="H4424" s="530"/>
      <c r="I4424" s="525" t="s">
        <v>677</v>
      </c>
      <c r="J4424" s="100"/>
      <c r="K4424" s="548"/>
      <c r="L4424" s="548"/>
      <c r="M4424" s="548"/>
      <c r="N4424" s="552"/>
      <c r="Y4424" s="551"/>
    </row>
    <row r="4425" spans="1:25">
      <c r="A4425" s="499">
        <v>45629</v>
      </c>
      <c r="B4425" s="499">
        <v>45629</v>
      </c>
      <c r="C4425" s="500" t="s">
        <v>173</v>
      </c>
      <c r="D4425" s="500" t="s">
        <v>763</v>
      </c>
      <c r="E4425" s="501">
        <v>-1572668709.9400001</v>
      </c>
      <c r="F4425" s="502" t="s">
        <v>878</v>
      </c>
      <c r="G4425" s="100">
        <v>114963418</v>
      </c>
      <c r="H4425" s="530"/>
      <c r="I4425" s="525" t="s">
        <v>709</v>
      </c>
      <c r="J4425" s="100"/>
      <c r="K4425" s="548"/>
      <c r="L4425" s="548"/>
      <c r="M4425" s="548"/>
      <c r="N4425" s="552"/>
      <c r="Y4425" s="551"/>
    </row>
    <row r="4426" spans="1:25">
      <c r="A4426" s="499">
        <v>45629</v>
      </c>
      <c r="B4426" s="499">
        <v>45629</v>
      </c>
      <c r="C4426" s="500" t="s">
        <v>173</v>
      </c>
      <c r="D4426" s="500" t="s">
        <v>763</v>
      </c>
      <c r="E4426" s="501">
        <v>-20008507.760000002</v>
      </c>
      <c r="F4426" s="502" t="s">
        <v>878</v>
      </c>
      <c r="G4426" s="100">
        <v>114963438</v>
      </c>
      <c r="H4426" s="530"/>
      <c r="I4426" s="525" t="s">
        <v>709</v>
      </c>
      <c r="J4426" s="100"/>
      <c r="K4426" s="548"/>
      <c r="L4426" s="548"/>
      <c r="M4426" s="548"/>
      <c r="N4426" s="552"/>
      <c r="Y4426" s="551"/>
    </row>
    <row r="4427" spans="1:25">
      <c r="A4427" s="499">
        <v>45629</v>
      </c>
      <c r="B4427" s="499">
        <v>45630</v>
      </c>
      <c r="C4427" s="500" t="s">
        <v>173</v>
      </c>
      <c r="D4427" s="500" t="s">
        <v>763</v>
      </c>
      <c r="E4427" s="501">
        <v>1360590306.45</v>
      </c>
      <c r="F4427" s="502" t="s">
        <v>878</v>
      </c>
      <c r="G4427" s="100">
        <v>114963412</v>
      </c>
      <c r="H4427" s="100">
        <v>114963412</v>
      </c>
      <c r="I4427" s="525" t="s">
        <v>682</v>
      </c>
      <c r="J4427" s="100"/>
      <c r="K4427" s="548"/>
      <c r="L4427" s="548"/>
      <c r="M4427" s="548"/>
      <c r="N4427" s="552"/>
      <c r="Y4427" s="551"/>
    </row>
    <row r="4428" spans="1:25">
      <c r="A4428" s="499">
        <v>45629</v>
      </c>
      <c r="B4428" s="499">
        <v>45630</v>
      </c>
      <c r="C4428" s="500" t="s">
        <v>173</v>
      </c>
      <c r="D4428" s="500" t="s">
        <v>763</v>
      </c>
      <c r="E4428" s="501">
        <v>2553601105.2600002</v>
      </c>
      <c r="F4428" s="502" t="s">
        <v>878</v>
      </c>
      <c r="G4428" s="100">
        <v>114963415</v>
      </c>
      <c r="H4428" s="100">
        <v>114963415</v>
      </c>
      <c r="I4428" s="525" t="s">
        <v>677</v>
      </c>
      <c r="J4428" s="100"/>
      <c r="K4428" s="548"/>
      <c r="L4428" s="548"/>
      <c r="M4428" s="548"/>
      <c r="N4428" s="552"/>
      <c r="Y4428" s="551"/>
    </row>
    <row r="4429" spans="1:25">
      <c r="A4429" s="499">
        <v>45629</v>
      </c>
      <c r="B4429" s="499">
        <v>45630</v>
      </c>
      <c r="C4429" s="500" t="s">
        <v>173</v>
      </c>
      <c r="D4429" s="500" t="s">
        <v>763</v>
      </c>
      <c r="E4429" s="501">
        <v>1573306805.23</v>
      </c>
      <c r="F4429" s="502" t="s">
        <v>878</v>
      </c>
      <c r="G4429" s="100">
        <v>114963418</v>
      </c>
      <c r="H4429" s="100">
        <v>114963418</v>
      </c>
      <c r="I4429" s="525" t="s">
        <v>709</v>
      </c>
      <c r="J4429" s="100"/>
      <c r="K4429" s="548"/>
      <c r="L4429" s="548"/>
      <c r="M4429" s="548"/>
      <c r="N4429" s="552"/>
      <c r="Y4429" s="551"/>
    </row>
    <row r="4430" spans="1:25">
      <c r="A4430" s="499">
        <v>45629</v>
      </c>
      <c r="B4430" s="499">
        <v>45630</v>
      </c>
      <c r="C4430" s="500" t="s">
        <v>173</v>
      </c>
      <c r="D4430" s="500" t="s">
        <v>763</v>
      </c>
      <c r="E4430" s="501">
        <v>20016626.02</v>
      </c>
      <c r="F4430" s="502" t="s">
        <v>878</v>
      </c>
      <c r="G4430" s="100">
        <v>114963438</v>
      </c>
      <c r="H4430" s="100">
        <v>114963438</v>
      </c>
      <c r="I4430" s="525" t="s">
        <v>709</v>
      </c>
      <c r="J4430" s="100"/>
      <c r="K4430" s="548"/>
      <c r="L4430" s="548"/>
      <c r="M4430" s="548"/>
      <c r="N4430" s="552"/>
      <c r="Y4430" s="551"/>
    </row>
    <row r="4431" spans="1:25">
      <c r="A4431" s="499">
        <v>45630</v>
      </c>
      <c r="B4431" s="499">
        <v>45630</v>
      </c>
      <c r="C4431" s="500" t="s">
        <v>173</v>
      </c>
      <c r="D4431" s="500" t="s">
        <v>762</v>
      </c>
      <c r="E4431" s="501">
        <v>-202045960.66</v>
      </c>
      <c r="F4431" s="502" t="s">
        <v>878</v>
      </c>
      <c r="G4431" s="100">
        <v>114983169</v>
      </c>
      <c r="H4431" s="530"/>
      <c r="I4431" s="525" t="s">
        <v>678</v>
      </c>
      <c r="J4431" s="100"/>
      <c r="K4431" s="548"/>
      <c r="L4431" s="548"/>
      <c r="M4431" s="548"/>
      <c r="N4431" s="552"/>
      <c r="Y4431" s="551"/>
    </row>
    <row r="4432" spans="1:25">
      <c r="A4432" s="499">
        <v>45630</v>
      </c>
      <c r="B4432" s="499">
        <v>45631</v>
      </c>
      <c r="C4432" s="500" t="s">
        <v>173</v>
      </c>
      <c r="D4432" s="500" t="s">
        <v>762</v>
      </c>
      <c r="E4432" s="501">
        <v>202126061.94999999</v>
      </c>
      <c r="F4432" s="502" t="s">
        <v>878</v>
      </c>
      <c r="G4432" s="100">
        <v>114983169</v>
      </c>
      <c r="H4432" s="100">
        <v>114983169</v>
      </c>
      <c r="I4432" s="525" t="s">
        <v>678</v>
      </c>
      <c r="J4432" s="100"/>
      <c r="K4432" s="548"/>
      <c r="L4432" s="548"/>
      <c r="M4432" s="548"/>
      <c r="N4432" s="552"/>
      <c r="Y4432" s="551"/>
    </row>
    <row r="4433" spans="1:25">
      <c r="A4433" s="499">
        <v>45630</v>
      </c>
      <c r="B4433" s="499">
        <v>45630</v>
      </c>
      <c r="C4433" s="500" t="s">
        <v>173</v>
      </c>
      <c r="D4433" s="500" t="s">
        <v>761</v>
      </c>
      <c r="E4433" s="501">
        <v>-707573950.38</v>
      </c>
      <c r="F4433" s="502" t="s">
        <v>878</v>
      </c>
      <c r="G4433" s="100">
        <v>114981690</v>
      </c>
      <c r="H4433" s="530"/>
      <c r="I4433" s="525" t="s">
        <v>686</v>
      </c>
      <c r="J4433" s="100"/>
      <c r="K4433" s="548"/>
      <c r="L4433" s="548"/>
      <c r="M4433" s="548"/>
      <c r="N4433" s="552"/>
      <c r="Y4433" s="551"/>
    </row>
    <row r="4434" spans="1:25">
      <c r="A4434" s="499">
        <v>45630</v>
      </c>
      <c r="B4434" s="499">
        <v>45630</v>
      </c>
      <c r="C4434" s="500" t="s">
        <v>173</v>
      </c>
      <c r="D4434" s="500" t="s">
        <v>761</v>
      </c>
      <c r="E4434" s="501">
        <v>-501439377</v>
      </c>
      <c r="F4434" s="502" t="s">
        <v>878</v>
      </c>
      <c r="G4434" s="100">
        <v>114983355</v>
      </c>
      <c r="H4434" s="530"/>
      <c r="I4434" s="525" t="s">
        <v>816</v>
      </c>
      <c r="J4434" s="100"/>
      <c r="K4434" s="548"/>
      <c r="L4434" s="548"/>
      <c r="M4434" s="548"/>
      <c r="N4434" s="552"/>
      <c r="Y4434" s="551"/>
    </row>
    <row r="4435" spans="1:25">
      <c r="A4435" s="499">
        <v>45630</v>
      </c>
      <c r="B4435" s="499">
        <v>45637</v>
      </c>
      <c r="C4435" s="500" t="s">
        <v>173</v>
      </c>
      <c r="D4435" s="500" t="s">
        <v>761</v>
      </c>
      <c r="E4435" s="501">
        <v>709603875.64999998</v>
      </c>
      <c r="F4435" s="502" t="s">
        <v>878</v>
      </c>
      <c r="G4435" s="100">
        <v>114981690</v>
      </c>
      <c r="H4435" s="100">
        <v>114981690</v>
      </c>
      <c r="I4435" s="525" t="s">
        <v>686</v>
      </c>
      <c r="J4435" s="100"/>
      <c r="K4435" s="548"/>
      <c r="L4435" s="548"/>
      <c r="M4435" s="548"/>
      <c r="N4435" s="552"/>
      <c r="Y4435" s="551"/>
    </row>
    <row r="4436" spans="1:25">
      <c r="A4436" s="499">
        <v>45630</v>
      </c>
      <c r="B4436" s="499">
        <v>45631</v>
      </c>
      <c r="C4436" s="500" t="s">
        <v>173</v>
      </c>
      <c r="D4436" s="500" t="s">
        <v>761</v>
      </c>
      <c r="E4436" s="501">
        <v>501639404.73000002</v>
      </c>
      <c r="F4436" s="502" t="s">
        <v>878</v>
      </c>
      <c r="G4436" s="100">
        <v>114983355</v>
      </c>
      <c r="H4436" s="100">
        <v>114983355</v>
      </c>
      <c r="I4436" s="525" t="s">
        <v>816</v>
      </c>
      <c r="J4436" s="100"/>
      <c r="K4436" s="548"/>
      <c r="L4436" s="548"/>
      <c r="M4436" s="548"/>
      <c r="N4436" s="552"/>
      <c r="Y4436" s="551"/>
    </row>
    <row r="4437" spans="1:25">
      <c r="A4437" s="499">
        <v>45630</v>
      </c>
      <c r="B4437" s="499">
        <v>45630</v>
      </c>
      <c r="C4437" s="500" t="s">
        <v>173</v>
      </c>
      <c r="D4437" s="500" t="s">
        <v>759</v>
      </c>
      <c r="E4437" s="501">
        <v>-929420047.35000002</v>
      </c>
      <c r="F4437" s="502" t="s">
        <v>878</v>
      </c>
      <c r="G4437" s="100">
        <v>114980971</v>
      </c>
      <c r="H4437" s="530"/>
      <c r="I4437" s="525" t="s">
        <v>682</v>
      </c>
      <c r="J4437" s="100"/>
      <c r="K4437" s="548"/>
      <c r="L4437" s="548"/>
      <c r="M4437" s="548"/>
      <c r="N4437" s="552"/>
      <c r="Y4437" s="551"/>
    </row>
    <row r="4438" spans="1:25">
      <c r="A4438" s="499">
        <v>45630</v>
      </c>
      <c r="B4438" s="499">
        <v>45630</v>
      </c>
      <c r="C4438" s="500" t="s">
        <v>173</v>
      </c>
      <c r="D4438" s="500" t="s">
        <v>759</v>
      </c>
      <c r="E4438" s="501">
        <v>-1065387921.99</v>
      </c>
      <c r="F4438" s="502" t="s">
        <v>878</v>
      </c>
      <c r="G4438" s="100">
        <v>114980984</v>
      </c>
      <c r="H4438" s="530"/>
      <c r="I4438" s="525" t="s">
        <v>693</v>
      </c>
      <c r="J4438" s="100"/>
      <c r="K4438" s="548"/>
      <c r="L4438" s="548"/>
      <c r="M4438" s="548"/>
      <c r="N4438" s="552"/>
      <c r="Y4438" s="551"/>
    </row>
    <row r="4439" spans="1:25">
      <c r="A4439" s="499">
        <v>45630</v>
      </c>
      <c r="B4439" s="499">
        <v>45630</v>
      </c>
      <c r="C4439" s="500" t="s">
        <v>173</v>
      </c>
      <c r="D4439" s="500" t="s">
        <v>759</v>
      </c>
      <c r="E4439" s="501">
        <v>-8003586.1600000001</v>
      </c>
      <c r="F4439" s="502" t="s">
        <v>878</v>
      </c>
      <c r="G4439" s="100">
        <v>114987968</v>
      </c>
      <c r="H4439" s="530"/>
      <c r="I4439" s="525" t="s">
        <v>590</v>
      </c>
      <c r="J4439" s="100"/>
      <c r="K4439" s="548"/>
      <c r="L4439" s="548"/>
      <c r="M4439" s="548"/>
      <c r="N4439" s="552"/>
      <c r="Y4439" s="551"/>
    </row>
    <row r="4440" spans="1:25">
      <c r="A4440" s="499">
        <v>45630</v>
      </c>
      <c r="B4440" s="499">
        <v>45631</v>
      </c>
      <c r="C4440" s="500" t="s">
        <v>173</v>
      </c>
      <c r="D4440" s="500" t="s">
        <v>759</v>
      </c>
      <c r="E4440" s="501">
        <v>929795878.40999997</v>
      </c>
      <c r="F4440" s="502" t="s">
        <v>878</v>
      </c>
      <c r="G4440" s="100">
        <v>114980971</v>
      </c>
      <c r="H4440" s="100">
        <v>114980971</v>
      </c>
      <c r="I4440" s="525" t="s">
        <v>682</v>
      </c>
      <c r="J4440" s="100"/>
      <c r="K4440" s="548"/>
      <c r="L4440" s="548"/>
      <c r="M4440" s="548"/>
      <c r="N4440" s="552"/>
      <c r="Y4440" s="551"/>
    </row>
    <row r="4441" spans="1:25">
      <c r="A4441" s="499">
        <v>45630</v>
      </c>
      <c r="B4441" s="499">
        <v>45631</v>
      </c>
      <c r="C4441" s="500" t="s">
        <v>173</v>
      </c>
      <c r="D4441" s="500" t="s">
        <v>759</v>
      </c>
      <c r="E4441" s="501">
        <v>1065818734.59</v>
      </c>
      <c r="F4441" s="502" t="s">
        <v>878</v>
      </c>
      <c r="G4441" s="100">
        <v>114980984</v>
      </c>
      <c r="H4441" s="100">
        <v>114980984</v>
      </c>
      <c r="I4441" s="525" t="s">
        <v>693</v>
      </c>
      <c r="J4441" s="100"/>
      <c r="K4441" s="548"/>
      <c r="L4441" s="548"/>
      <c r="M4441" s="548"/>
      <c r="N4441" s="552"/>
      <c r="Y4441" s="551"/>
    </row>
    <row r="4442" spans="1:25">
      <c r="A4442" s="499">
        <v>45630</v>
      </c>
      <c r="B4442" s="499">
        <v>45631</v>
      </c>
      <c r="C4442" s="500" t="s">
        <v>173</v>
      </c>
      <c r="D4442" s="500" t="s">
        <v>759</v>
      </c>
      <c r="E4442" s="501">
        <v>8006724.2000000002</v>
      </c>
      <c r="F4442" s="502" t="s">
        <v>878</v>
      </c>
      <c r="G4442" s="100">
        <v>114987968</v>
      </c>
      <c r="H4442" s="100">
        <v>114987968</v>
      </c>
      <c r="I4442" s="525" t="s">
        <v>590</v>
      </c>
      <c r="J4442" s="100"/>
      <c r="K4442" s="548"/>
      <c r="L4442" s="548"/>
      <c r="M4442" s="548"/>
      <c r="N4442" s="552"/>
      <c r="Y4442" s="551"/>
    </row>
    <row r="4443" spans="1:25">
      <c r="A4443" s="499">
        <v>45630</v>
      </c>
      <c r="B4443" s="499">
        <v>45630</v>
      </c>
      <c r="C4443" s="500" t="s">
        <v>173</v>
      </c>
      <c r="D4443" s="500" t="s">
        <v>760</v>
      </c>
      <c r="E4443" s="501">
        <v>-298095693.45999998</v>
      </c>
      <c r="F4443" s="502" t="s">
        <v>878</v>
      </c>
      <c r="G4443" s="100">
        <v>114983328</v>
      </c>
      <c r="H4443" s="530"/>
      <c r="I4443" s="525" t="s">
        <v>719</v>
      </c>
      <c r="J4443" s="100"/>
      <c r="K4443" s="548"/>
      <c r="L4443" s="548"/>
      <c r="M4443" s="548"/>
      <c r="N4443" s="552"/>
      <c r="Y4443" s="551"/>
    </row>
    <row r="4444" spans="1:25">
      <c r="A4444" s="499">
        <v>45630</v>
      </c>
      <c r="B4444" s="499">
        <v>45631</v>
      </c>
      <c r="C4444" s="500" t="s">
        <v>173</v>
      </c>
      <c r="D4444" s="500" t="s">
        <v>760</v>
      </c>
      <c r="E4444" s="501">
        <v>298214605.94999999</v>
      </c>
      <c r="F4444" s="502" t="s">
        <v>878</v>
      </c>
      <c r="G4444" s="100">
        <v>114983328</v>
      </c>
      <c r="H4444" s="100">
        <v>114983328</v>
      </c>
      <c r="I4444" s="525" t="s">
        <v>719</v>
      </c>
      <c r="J4444" s="100"/>
      <c r="K4444" s="548"/>
      <c r="L4444" s="548"/>
      <c r="M4444" s="548"/>
      <c r="N4444" s="552"/>
      <c r="Y4444" s="551"/>
    </row>
    <row r="4445" spans="1:25">
      <c r="A4445" s="499">
        <v>45630</v>
      </c>
      <c r="B4445" s="499">
        <v>45630</v>
      </c>
      <c r="C4445" s="500" t="s">
        <v>173</v>
      </c>
      <c r="D4445" s="500" t="s">
        <v>763</v>
      </c>
      <c r="E4445" s="501">
        <v>-5488173784.6599998</v>
      </c>
      <c r="F4445" s="502" t="s">
        <v>878</v>
      </c>
      <c r="G4445" s="100">
        <v>114981084</v>
      </c>
      <c r="H4445" s="530"/>
      <c r="I4445" s="525" t="s">
        <v>676</v>
      </c>
      <c r="J4445" s="100"/>
      <c r="K4445" s="548"/>
      <c r="L4445" s="548"/>
      <c r="M4445" s="548"/>
      <c r="N4445" s="552"/>
      <c r="Y4445" s="551"/>
    </row>
    <row r="4446" spans="1:25">
      <c r="A4446" s="499">
        <v>45630</v>
      </c>
      <c r="B4446" s="499">
        <v>45630</v>
      </c>
      <c r="C4446" s="500" t="s">
        <v>173</v>
      </c>
      <c r="D4446" s="500" t="s">
        <v>763</v>
      </c>
      <c r="E4446" s="501">
        <v>-19007034.129999999</v>
      </c>
      <c r="F4446" s="502" t="s">
        <v>878</v>
      </c>
      <c r="G4446" s="100">
        <v>114981154</v>
      </c>
      <c r="H4446" s="530"/>
      <c r="I4446" s="525" t="s">
        <v>633</v>
      </c>
      <c r="J4446" s="100"/>
      <c r="K4446" s="548"/>
      <c r="L4446" s="548"/>
      <c r="M4446" s="548"/>
      <c r="N4446" s="552"/>
      <c r="Y4446" s="551"/>
    </row>
    <row r="4447" spans="1:25">
      <c r="A4447" s="499">
        <v>45630</v>
      </c>
      <c r="B4447" s="499">
        <v>45631</v>
      </c>
      <c r="C4447" s="500" t="s">
        <v>173</v>
      </c>
      <c r="D4447" s="500" t="s">
        <v>763</v>
      </c>
      <c r="E4447" s="501">
        <v>5490387048.1899996</v>
      </c>
      <c r="F4447" s="502" t="s">
        <v>878</v>
      </c>
      <c r="G4447" s="100">
        <v>114981084</v>
      </c>
      <c r="H4447" s="100">
        <v>114981084</v>
      </c>
      <c r="I4447" s="525" t="s">
        <v>676</v>
      </c>
      <c r="J4447" s="100"/>
      <c r="K4447" s="548"/>
      <c r="L4447" s="548"/>
      <c r="M4447" s="548"/>
      <c r="N4447" s="552"/>
      <c r="Y4447" s="551"/>
    </row>
    <row r="4448" spans="1:25">
      <c r="A4448" s="499">
        <v>45630</v>
      </c>
      <c r="B4448" s="499">
        <v>45631</v>
      </c>
      <c r="C4448" s="500" t="s">
        <v>173</v>
      </c>
      <c r="D4448" s="500" t="s">
        <v>763</v>
      </c>
      <c r="E4448" s="501">
        <v>19014699.260000002</v>
      </c>
      <c r="F4448" s="502" t="s">
        <v>878</v>
      </c>
      <c r="G4448" s="100">
        <v>114981154</v>
      </c>
      <c r="H4448" s="100">
        <v>114981154</v>
      </c>
      <c r="I4448" s="525" t="s">
        <v>633</v>
      </c>
      <c r="J4448" s="100"/>
      <c r="K4448" s="548"/>
      <c r="L4448" s="548"/>
      <c r="M4448" s="548"/>
      <c r="N4448" s="552"/>
      <c r="Y4448" s="551"/>
    </row>
    <row r="4449" spans="1:25">
      <c r="A4449" s="499">
        <v>45631</v>
      </c>
      <c r="B4449" s="499">
        <v>45631</v>
      </c>
      <c r="C4449" s="500" t="s">
        <v>173</v>
      </c>
      <c r="D4449" s="500" t="s">
        <v>762</v>
      </c>
      <c r="E4449" s="501">
        <v>-17003978.539999999</v>
      </c>
      <c r="F4449" s="502" t="s">
        <v>878</v>
      </c>
      <c r="G4449" s="100">
        <v>115002652</v>
      </c>
      <c r="H4449" s="530"/>
      <c r="I4449" s="525" t="s">
        <v>684</v>
      </c>
      <c r="J4449" s="100"/>
      <c r="K4449" s="548"/>
      <c r="L4449" s="548"/>
      <c r="M4449" s="548"/>
      <c r="N4449" s="552"/>
      <c r="Y4449" s="551"/>
    </row>
    <row r="4450" spans="1:25">
      <c r="A4450" s="499">
        <v>45631</v>
      </c>
      <c r="B4450" s="499">
        <v>45631</v>
      </c>
      <c r="C4450" s="500" t="s">
        <v>173</v>
      </c>
      <c r="D4450" s="500" t="s">
        <v>762</v>
      </c>
      <c r="E4450" s="501">
        <v>-4543745184.3500004</v>
      </c>
      <c r="F4450" s="502" t="s">
        <v>878</v>
      </c>
      <c r="G4450" s="100">
        <v>115002307</v>
      </c>
      <c r="H4450" s="530"/>
      <c r="I4450" s="525" t="s">
        <v>674</v>
      </c>
      <c r="J4450" s="100"/>
      <c r="K4450" s="548"/>
      <c r="L4450" s="548"/>
      <c r="M4450" s="548"/>
      <c r="N4450" s="552"/>
      <c r="Y4450" s="551"/>
    </row>
    <row r="4451" spans="1:25">
      <c r="A4451" s="499">
        <v>45631</v>
      </c>
      <c r="B4451" s="499">
        <v>45632</v>
      </c>
      <c r="C4451" s="500" t="s">
        <v>173</v>
      </c>
      <c r="D4451" s="500" t="s">
        <v>762</v>
      </c>
      <c r="E4451" s="501">
        <v>17010668.859999999</v>
      </c>
      <c r="F4451" s="502" t="s">
        <v>878</v>
      </c>
      <c r="G4451" s="100">
        <v>115002652</v>
      </c>
      <c r="H4451" s="100">
        <v>115002652</v>
      </c>
      <c r="I4451" s="525" t="s">
        <v>684</v>
      </c>
      <c r="J4451" s="100"/>
      <c r="K4451" s="548"/>
      <c r="L4451" s="548"/>
      <c r="M4451" s="548"/>
      <c r="N4451" s="552"/>
      <c r="Y4451" s="551"/>
    </row>
    <row r="4452" spans="1:25">
      <c r="A4452" s="499">
        <v>45631</v>
      </c>
      <c r="B4452" s="499">
        <v>45632</v>
      </c>
      <c r="C4452" s="500" t="s">
        <v>173</v>
      </c>
      <c r="D4452" s="500" t="s">
        <v>762</v>
      </c>
      <c r="E4452" s="501">
        <v>4545532887.3699999</v>
      </c>
      <c r="F4452" s="502" t="s">
        <v>878</v>
      </c>
      <c r="G4452" s="100">
        <v>115002307</v>
      </c>
      <c r="H4452" s="100">
        <v>115002307</v>
      </c>
      <c r="I4452" s="525" t="s">
        <v>674</v>
      </c>
      <c r="J4452" s="100"/>
      <c r="K4452" s="548"/>
      <c r="L4452" s="548"/>
      <c r="M4452" s="548"/>
      <c r="N4452" s="552"/>
      <c r="Y4452" s="551"/>
    </row>
    <row r="4453" spans="1:25">
      <c r="A4453" s="499">
        <v>45631</v>
      </c>
      <c r="B4453" s="499">
        <v>45631</v>
      </c>
      <c r="C4453" s="500" t="s">
        <v>173</v>
      </c>
      <c r="D4453" s="500" t="s">
        <v>761</v>
      </c>
      <c r="E4453" s="501">
        <v>-205035639.66</v>
      </c>
      <c r="F4453" s="502" t="s">
        <v>878</v>
      </c>
      <c r="G4453" s="100" t="s">
        <v>1028</v>
      </c>
      <c r="H4453" s="530"/>
      <c r="I4453" s="525" t="s">
        <v>498</v>
      </c>
      <c r="J4453" s="533"/>
      <c r="K4453" s="548"/>
      <c r="L4453" s="548"/>
      <c r="M4453" s="548"/>
      <c r="N4453" s="552"/>
      <c r="Y4453" s="551"/>
    </row>
    <row r="4454" spans="1:25">
      <c r="A4454" s="499">
        <v>45631</v>
      </c>
      <c r="B4454" s="499">
        <v>45631</v>
      </c>
      <c r="C4454" s="500" t="s">
        <v>173</v>
      </c>
      <c r="D4454" s="500" t="s">
        <v>761</v>
      </c>
      <c r="E4454" s="501">
        <v>-293148657.64999998</v>
      </c>
      <c r="F4454" s="502" t="s">
        <v>878</v>
      </c>
      <c r="G4454" s="100" t="s">
        <v>1029</v>
      </c>
      <c r="H4454" s="530"/>
      <c r="I4454" s="525" t="s">
        <v>638</v>
      </c>
      <c r="J4454" s="533"/>
      <c r="K4454" s="548"/>
      <c r="L4454" s="548"/>
      <c r="M4454" s="548"/>
      <c r="N4454" s="552"/>
      <c r="Y4454" s="551"/>
    </row>
    <row r="4455" spans="1:25">
      <c r="A4455" s="499">
        <v>45631</v>
      </c>
      <c r="B4455" s="499">
        <v>45631</v>
      </c>
      <c r="C4455" s="500" t="s">
        <v>173</v>
      </c>
      <c r="D4455" s="500" t="s">
        <v>761</v>
      </c>
      <c r="E4455" s="501">
        <v>-358325697.66000003</v>
      </c>
      <c r="F4455" s="502" t="s">
        <v>878</v>
      </c>
      <c r="G4455" s="100" t="s">
        <v>1030</v>
      </c>
      <c r="H4455" s="530"/>
      <c r="I4455" s="525" t="s">
        <v>683</v>
      </c>
      <c r="J4455" s="533"/>
      <c r="K4455" s="548"/>
      <c r="L4455" s="548"/>
      <c r="M4455" s="548"/>
      <c r="N4455" s="552"/>
      <c r="Y4455" s="551"/>
    </row>
    <row r="4456" spans="1:25">
      <c r="A4456" s="499">
        <v>45631</v>
      </c>
      <c r="B4456" s="499">
        <v>45631</v>
      </c>
      <c r="C4456" s="500" t="s">
        <v>173</v>
      </c>
      <c r="D4456" s="500" t="s">
        <v>761</v>
      </c>
      <c r="E4456" s="501">
        <v>-850142978.15999997</v>
      </c>
      <c r="F4456" s="502" t="s">
        <v>878</v>
      </c>
      <c r="G4456" s="100" t="s">
        <v>1031</v>
      </c>
      <c r="H4456" s="530"/>
      <c r="I4456" s="525" t="s">
        <v>636</v>
      </c>
      <c r="J4456" s="533"/>
      <c r="K4456" s="548"/>
      <c r="L4456" s="548"/>
      <c r="M4456" s="548"/>
      <c r="N4456" s="552"/>
      <c r="Y4456" s="551"/>
    </row>
    <row r="4457" spans="1:25">
      <c r="A4457" s="499">
        <v>45631</v>
      </c>
      <c r="B4457" s="499">
        <v>45631</v>
      </c>
      <c r="C4457" s="500" t="s">
        <v>173</v>
      </c>
      <c r="D4457" s="500" t="s">
        <v>761</v>
      </c>
      <c r="E4457" s="501">
        <v>-6002116.5599999996</v>
      </c>
      <c r="F4457" s="502" t="s">
        <v>878</v>
      </c>
      <c r="G4457" s="100" t="s">
        <v>1032</v>
      </c>
      <c r="H4457" s="530"/>
      <c r="I4457" s="525" t="s">
        <v>82</v>
      </c>
      <c r="J4457" s="533"/>
      <c r="K4457" s="548"/>
      <c r="L4457" s="548"/>
      <c r="M4457" s="548"/>
      <c r="N4457" s="552"/>
      <c r="Y4457" s="551"/>
    </row>
    <row r="4458" spans="1:25">
      <c r="A4458" s="499">
        <v>45631</v>
      </c>
      <c r="B4458" s="499">
        <v>45632</v>
      </c>
      <c r="C4458" s="500" t="s">
        <v>173</v>
      </c>
      <c r="D4458" s="500" t="s">
        <v>761</v>
      </c>
      <c r="E4458" s="501">
        <v>205117990.03999999</v>
      </c>
      <c r="F4458" s="502" t="s">
        <v>878</v>
      </c>
      <c r="G4458" s="100" t="s">
        <v>1028</v>
      </c>
      <c r="H4458" s="573" t="s">
        <v>1028</v>
      </c>
      <c r="I4458" s="525" t="s">
        <v>498</v>
      </c>
      <c r="J4458" s="533"/>
      <c r="K4458" s="548"/>
      <c r="L4458" s="548"/>
      <c r="M4458" s="548"/>
      <c r="N4458" s="552"/>
      <c r="Y4458" s="551"/>
    </row>
    <row r="4459" spans="1:25">
      <c r="A4459" s="499">
        <v>45631</v>
      </c>
      <c r="B4459" s="499">
        <v>45632</v>
      </c>
      <c r="C4459" s="500" t="s">
        <v>173</v>
      </c>
      <c r="D4459" s="500" t="s">
        <v>761</v>
      </c>
      <c r="E4459" s="501">
        <v>293266397.68000001</v>
      </c>
      <c r="F4459" s="502" t="s">
        <v>878</v>
      </c>
      <c r="G4459" s="100" t="s">
        <v>1029</v>
      </c>
      <c r="H4459" s="573" t="s">
        <v>1029</v>
      </c>
      <c r="I4459" s="525" t="s">
        <v>638</v>
      </c>
      <c r="J4459" s="533"/>
      <c r="K4459" s="548"/>
      <c r="L4459" s="548"/>
      <c r="M4459" s="548"/>
      <c r="N4459" s="552"/>
      <c r="Y4459" s="551"/>
    </row>
    <row r="4460" spans="1:25">
      <c r="A4460" s="499">
        <v>45631</v>
      </c>
      <c r="B4460" s="499">
        <v>45638</v>
      </c>
      <c r="C4460" s="500" t="s">
        <v>173</v>
      </c>
      <c r="D4460" s="500" t="s">
        <v>761</v>
      </c>
      <c r="E4460" s="501">
        <v>359346828</v>
      </c>
      <c r="F4460" s="502" t="s">
        <v>878</v>
      </c>
      <c r="G4460" s="100" t="s">
        <v>1030</v>
      </c>
      <c r="H4460" s="573" t="s">
        <v>1030</v>
      </c>
      <c r="I4460" s="525" t="s">
        <v>683</v>
      </c>
      <c r="J4460" s="533"/>
      <c r="K4460" s="548"/>
      <c r="L4460" s="548"/>
      <c r="M4460" s="548"/>
      <c r="N4460" s="552"/>
      <c r="Y4460" s="551"/>
    </row>
    <row r="4461" spans="1:25">
      <c r="A4461" s="499">
        <v>45631</v>
      </c>
      <c r="B4461" s="499">
        <v>45638</v>
      </c>
      <c r="C4461" s="500" t="s">
        <v>173</v>
      </c>
      <c r="D4461" s="500" t="s">
        <v>761</v>
      </c>
      <c r="E4461" s="501">
        <v>852565653.37</v>
      </c>
      <c r="F4461" s="502" t="s">
        <v>878</v>
      </c>
      <c r="G4461" s="100" t="s">
        <v>1031</v>
      </c>
      <c r="H4461" s="573" t="s">
        <v>1031</v>
      </c>
      <c r="I4461" s="525" t="s">
        <v>636</v>
      </c>
      <c r="J4461" s="533"/>
      <c r="K4461" s="548"/>
      <c r="L4461" s="548"/>
      <c r="M4461" s="548"/>
      <c r="N4461" s="552"/>
      <c r="Y4461" s="551"/>
    </row>
    <row r="4462" spans="1:25">
      <c r="A4462" s="499">
        <v>45631</v>
      </c>
      <c r="B4462" s="499">
        <v>45638</v>
      </c>
      <c r="C4462" s="500" t="s">
        <v>173</v>
      </c>
      <c r="D4462" s="500" t="s">
        <v>761</v>
      </c>
      <c r="E4462" s="501">
        <v>6019220.9500000002</v>
      </c>
      <c r="F4462" s="502" t="s">
        <v>878</v>
      </c>
      <c r="G4462" s="100" t="s">
        <v>1032</v>
      </c>
      <c r="H4462" s="573" t="s">
        <v>1032</v>
      </c>
      <c r="I4462" s="525" t="s">
        <v>82</v>
      </c>
      <c r="J4462" s="533"/>
      <c r="K4462" s="548"/>
      <c r="L4462" s="548"/>
      <c r="M4462" s="548"/>
      <c r="N4462" s="552"/>
      <c r="Y4462" s="551"/>
    </row>
    <row r="4463" spans="1:25">
      <c r="A4463" s="499">
        <v>45631</v>
      </c>
      <c r="B4463" s="499">
        <v>45631</v>
      </c>
      <c r="C4463" s="500" t="s">
        <v>173</v>
      </c>
      <c r="D4463" s="500" t="s">
        <v>759</v>
      </c>
      <c r="E4463" s="501">
        <v>-1995144195.01</v>
      </c>
      <c r="F4463" s="502" t="s">
        <v>878</v>
      </c>
      <c r="G4463" s="100">
        <v>115003067</v>
      </c>
      <c r="H4463" s="530"/>
      <c r="I4463" s="525" t="s">
        <v>1018</v>
      </c>
      <c r="J4463" s="100"/>
      <c r="K4463" s="548"/>
      <c r="L4463" s="548"/>
      <c r="M4463" s="548"/>
      <c r="N4463" s="552"/>
      <c r="Y4463" s="551"/>
    </row>
    <row r="4464" spans="1:25">
      <c r="A4464" s="499">
        <v>45631</v>
      </c>
      <c r="B4464" s="499">
        <v>45631</v>
      </c>
      <c r="C4464" s="500" t="s">
        <v>173</v>
      </c>
      <c r="D4464" s="500" t="s">
        <v>759</v>
      </c>
      <c r="E4464" s="501">
        <v>-8000578.2300000004</v>
      </c>
      <c r="F4464" s="502" t="s">
        <v>878</v>
      </c>
      <c r="G4464" s="100">
        <v>115005223</v>
      </c>
      <c r="H4464" s="530"/>
      <c r="I4464" s="525" t="s">
        <v>1018</v>
      </c>
      <c r="J4464" s="100"/>
      <c r="K4464" s="548"/>
      <c r="L4464" s="548"/>
      <c r="M4464" s="548"/>
      <c r="N4464" s="552"/>
      <c r="Y4464" s="551"/>
    </row>
    <row r="4465" spans="1:25">
      <c r="A4465" s="499">
        <v>45631</v>
      </c>
      <c r="B4465" s="499">
        <v>45632</v>
      </c>
      <c r="C4465" s="500" t="s">
        <v>173</v>
      </c>
      <c r="D4465" s="500" t="s">
        <v>759</v>
      </c>
      <c r="E4465" s="501">
        <v>1995934615.54</v>
      </c>
      <c r="F4465" s="502" t="s">
        <v>878</v>
      </c>
      <c r="G4465" s="100">
        <v>115003067</v>
      </c>
      <c r="H4465" s="100">
        <v>115003067</v>
      </c>
      <c r="I4465" s="525" t="s">
        <v>1018</v>
      </c>
      <c r="J4465" s="100"/>
      <c r="K4465" s="548"/>
      <c r="L4465" s="548"/>
      <c r="M4465" s="548"/>
      <c r="N4465" s="552"/>
      <c r="Y4465" s="551"/>
    </row>
    <row r="4466" spans="1:25">
      <c r="A4466" s="499">
        <v>45631</v>
      </c>
      <c r="B4466" s="499">
        <v>45632</v>
      </c>
      <c r="C4466" s="500" t="s">
        <v>173</v>
      </c>
      <c r="D4466" s="500" t="s">
        <v>759</v>
      </c>
      <c r="E4466" s="501">
        <v>8003726.2199999997</v>
      </c>
      <c r="F4466" s="502" t="s">
        <v>878</v>
      </c>
      <c r="G4466" s="100">
        <v>115005223</v>
      </c>
      <c r="H4466" s="100">
        <v>115005223</v>
      </c>
      <c r="I4466" s="525" t="s">
        <v>1018</v>
      </c>
      <c r="J4466" s="100"/>
      <c r="K4466" s="548"/>
      <c r="L4466" s="548"/>
      <c r="M4466" s="548"/>
      <c r="N4466" s="552"/>
      <c r="Y4466" s="551"/>
    </row>
    <row r="4467" spans="1:25">
      <c r="A4467" s="499">
        <v>45631</v>
      </c>
      <c r="B4467" s="499">
        <v>45631</v>
      </c>
      <c r="C4467" s="500" t="s">
        <v>173</v>
      </c>
      <c r="D4467" s="500" t="s">
        <v>760</v>
      </c>
      <c r="E4467" s="501">
        <v>-296014652</v>
      </c>
      <c r="F4467" s="502" t="s">
        <v>878</v>
      </c>
      <c r="G4467" s="100">
        <v>115005716</v>
      </c>
      <c r="H4467" s="530"/>
      <c r="I4467" s="525" t="s">
        <v>633</v>
      </c>
      <c r="J4467" s="100"/>
      <c r="K4467" s="548"/>
      <c r="L4467" s="548"/>
      <c r="M4467" s="548"/>
      <c r="N4467" s="552"/>
      <c r="Y4467" s="551"/>
    </row>
    <row r="4468" spans="1:25">
      <c r="A4468" s="499">
        <v>45631</v>
      </c>
      <c r="B4468" s="499">
        <v>45632</v>
      </c>
      <c r="C4468" s="500" t="s">
        <v>173</v>
      </c>
      <c r="D4468" s="500" t="s">
        <v>760</v>
      </c>
      <c r="E4468" s="501">
        <v>296131844.69</v>
      </c>
      <c r="F4468" s="502" t="s">
        <v>878</v>
      </c>
      <c r="G4468" s="100">
        <v>115005716</v>
      </c>
      <c r="H4468" s="100">
        <v>115005716</v>
      </c>
      <c r="I4468" s="525" t="s">
        <v>633</v>
      </c>
      <c r="J4468" s="100"/>
      <c r="K4468" s="548"/>
      <c r="L4468" s="548"/>
      <c r="M4468" s="548"/>
      <c r="N4468" s="552"/>
      <c r="Y4468" s="551"/>
    </row>
    <row r="4469" spans="1:25">
      <c r="A4469" s="499">
        <v>45631</v>
      </c>
      <c r="B4469" s="499">
        <v>45631</v>
      </c>
      <c r="C4469" s="500" t="s">
        <v>173</v>
      </c>
      <c r="D4469" s="500" t="s">
        <v>763</v>
      </c>
      <c r="E4469" s="501">
        <v>-265134451.46000001</v>
      </c>
      <c r="F4469" s="502" t="s">
        <v>878</v>
      </c>
      <c r="G4469" s="100">
        <v>114999342</v>
      </c>
      <c r="H4469" s="530"/>
      <c r="I4469" s="525" t="s">
        <v>637</v>
      </c>
      <c r="J4469" s="100"/>
      <c r="K4469" s="548"/>
      <c r="L4469" s="548"/>
      <c r="M4469" s="548"/>
      <c r="N4469" s="552">
        <v>-1</v>
      </c>
      <c r="Y4469" s="551"/>
    </row>
    <row r="4470" spans="1:25">
      <c r="A4470" s="499">
        <v>45631</v>
      </c>
      <c r="B4470" s="499">
        <v>45631</v>
      </c>
      <c r="C4470" s="500" t="s">
        <v>173</v>
      </c>
      <c r="D4470" s="500" t="s">
        <v>763</v>
      </c>
      <c r="E4470" s="501">
        <v>-1022239180.7</v>
      </c>
      <c r="F4470" s="502" t="s">
        <v>878</v>
      </c>
      <c r="G4470" s="100">
        <v>114999729</v>
      </c>
      <c r="H4470" s="530"/>
      <c r="I4470" s="525" t="s">
        <v>684</v>
      </c>
      <c r="J4470" s="100"/>
      <c r="K4470" s="548"/>
      <c r="L4470" s="548"/>
      <c r="M4470" s="548"/>
      <c r="N4470" s="552"/>
      <c r="Y4470" s="551"/>
    </row>
    <row r="4471" spans="1:25">
      <c r="A4471" s="499">
        <v>45631</v>
      </c>
      <c r="B4471" s="499">
        <v>45631</v>
      </c>
      <c r="C4471" s="500" t="s">
        <v>173</v>
      </c>
      <c r="D4471" s="500" t="s">
        <v>763</v>
      </c>
      <c r="E4471" s="501">
        <v>-3000267.37</v>
      </c>
      <c r="F4471" s="502" t="s">
        <v>878</v>
      </c>
      <c r="G4471" s="100">
        <v>114999732</v>
      </c>
      <c r="H4471" s="530"/>
      <c r="I4471" s="525" t="s">
        <v>833</v>
      </c>
      <c r="J4471" s="100"/>
      <c r="K4471" s="548"/>
      <c r="L4471" s="548"/>
      <c r="M4471" s="548"/>
      <c r="N4471" s="552"/>
      <c r="Y4471" s="551"/>
    </row>
    <row r="4472" spans="1:25">
      <c r="A4472" s="499">
        <v>45631</v>
      </c>
      <c r="B4472" s="499">
        <v>45631</v>
      </c>
      <c r="C4472" s="500" t="s">
        <v>173</v>
      </c>
      <c r="D4472" s="500" t="s">
        <v>763</v>
      </c>
      <c r="E4472" s="501">
        <v>-59028268.859999999</v>
      </c>
      <c r="F4472" s="502" t="s">
        <v>878</v>
      </c>
      <c r="G4472" s="100">
        <v>114999735</v>
      </c>
      <c r="H4472" s="530"/>
      <c r="I4472" s="525" t="s">
        <v>1013</v>
      </c>
      <c r="J4472" s="100"/>
      <c r="K4472" s="548"/>
      <c r="L4472" s="548"/>
      <c r="M4472" s="548"/>
      <c r="N4472" s="552"/>
      <c r="Y4472" s="551"/>
    </row>
    <row r="4473" spans="1:25">
      <c r="A4473" s="499">
        <v>45631</v>
      </c>
      <c r="B4473" s="499">
        <v>45631</v>
      </c>
      <c r="C4473" s="500" t="s">
        <v>173</v>
      </c>
      <c r="D4473" s="500" t="s">
        <v>763</v>
      </c>
      <c r="E4473" s="501">
        <v>-41019644.460000001</v>
      </c>
      <c r="F4473" s="502" t="s">
        <v>878</v>
      </c>
      <c r="G4473" s="100">
        <v>114999738</v>
      </c>
      <c r="H4473" s="530"/>
      <c r="I4473" s="525" t="s">
        <v>1013</v>
      </c>
      <c r="J4473" s="100"/>
      <c r="K4473" s="548"/>
      <c r="L4473" s="548"/>
      <c r="M4473" s="548"/>
      <c r="N4473" s="552"/>
      <c r="Y4473" s="551"/>
    </row>
    <row r="4474" spans="1:25">
      <c r="A4474" s="499">
        <v>45631</v>
      </c>
      <c r="B4474" s="499">
        <v>45631</v>
      </c>
      <c r="C4474" s="500" t="s">
        <v>173</v>
      </c>
      <c r="D4474" s="500" t="s">
        <v>763</v>
      </c>
      <c r="E4474" s="501">
        <v>-5002395.67</v>
      </c>
      <c r="F4474" s="502" t="s">
        <v>878</v>
      </c>
      <c r="G4474" s="100">
        <v>114999741</v>
      </c>
      <c r="H4474" s="530"/>
      <c r="I4474" s="525" t="s">
        <v>1013</v>
      </c>
      <c r="J4474" s="100"/>
      <c r="K4474" s="548"/>
      <c r="L4474" s="548"/>
      <c r="M4474" s="548"/>
      <c r="N4474" s="552"/>
      <c r="Y4474" s="551"/>
    </row>
    <row r="4475" spans="1:25">
      <c r="A4475" s="499">
        <v>45631</v>
      </c>
      <c r="B4475" s="499">
        <v>45631</v>
      </c>
      <c r="C4475" s="500" t="s">
        <v>173</v>
      </c>
      <c r="D4475" s="500" t="s">
        <v>763</v>
      </c>
      <c r="E4475" s="501">
        <v>-1542401955.5699999</v>
      </c>
      <c r="F4475" s="502" t="s">
        <v>878</v>
      </c>
      <c r="G4475" s="100">
        <v>114999744</v>
      </c>
      <c r="H4475" s="530"/>
      <c r="I4475" s="525" t="s">
        <v>682</v>
      </c>
      <c r="J4475" s="100"/>
      <c r="K4475" s="548"/>
      <c r="L4475" s="548"/>
      <c r="M4475" s="548"/>
      <c r="N4475" s="552"/>
      <c r="Y4475" s="551"/>
    </row>
    <row r="4476" spans="1:25">
      <c r="A4476" s="499">
        <v>45631</v>
      </c>
      <c r="B4476" s="499">
        <v>45631</v>
      </c>
      <c r="C4476" s="500" t="s">
        <v>173</v>
      </c>
      <c r="D4476" s="500" t="s">
        <v>763</v>
      </c>
      <c r="E4476" s="501">
        <v>-991524655.22000003</v>
      </c>
      <c r="F4476" s="502" t="s">
        <v>878</v>
      </c>
      <c r="G4476" s="100">
        <v>114999747</v>
      </c>
      <c r="H4476" s="530"/>
      <c r="I4476" s="525" t="s">
        <v>686</v>
      </c>
      <c r="J4476" s="100"/>
      <c r="K4476" s="548"/>
      <c r="L4476" s="548"/>
      <c r="M4476" s="548"/>
      <c r="N4476" s="552"/>
      <c r="Y4476" s="551"/>
    </row>
    <row r="4477" spans="1:25">
      <c r="A4477" s="499">
        <v>45631</v>
      </c>
      <c r="B4477" s="499">
        <v>45631</v>
      </c>
      <c r="C4477" s="500" t="s">
        <v>173</v>
      </c>
      <c r="D4477" s="500" t="s">
        <v>763</v>
      </c>
      <c r="E4477" s="501">
        <v>-1559610800.6099999</v>
      </c>
      <c r="F4477" s="502" t="s">
        <v>878</v>
      </c>
      <c r="G4477" s="100">
        <v>114999750</v>
      </c>
      <c r="H4477" s="530"/>
      <c r="I4477" s="525" t="s">
        <v>631</v>
      </c>
      <c r="J4477" s="100"/>
      <c r="K4477" s="548"/>
      <c r="L4477" s="548"/>
      <c r="M4477" s="548"/>
      <c r="N4477" s="552"/>
      <c r="Y4477" s="551"/>
    </row>
    <row r="4478" spans="1:25">
      <c r="A4478" s="499">
        <v>45631</v>
      </c>
      <c r="B4478" s="499">
        <v>45631</v>
      </c>
      <c r="C4478" s="500" t="s">
        <v>173</v>
      </c>
      <c r="D4478" s="500" t="s">
        <v>763</v>
      </c>
      <c r="E4478" s="501">
        <v>-20018195.399999999</v>
      </c>
      <c r="F4478" s="502" t="s">
        <v>878</v>
      </c>
      <c r="G4478" s="100">
        <v>114999789</v>
      </c>
      <c r="H4478" s="530"/>
      <c r="I4478" s="525" t="s">
        <v>682</v>
      </c>
      <c r="J4478" s="100"/>
      <c r="K4478" s="548"/>
      <c r="L4478" s="548"/>
      <c r="M4478" s="548"/>
      <c r="N4478" s="552"/>
      <c r="Y4478" s="551"/>
    </row>
    <row r="4479" spans="1:25">
      <c r="A4479" s="499">
        <v>45631</v>
      </c>
      <c r="B4479" s="499">
        <v>45632</v>
      </c>
      <c r="C4479" s="500" t="s">
        <v>173</v>
      </c>
      <c r="D4479" s="500" t="s">
        <v>763</v>
      </c>
      <c r="E4479" s="501">
        <v>265240939.88999999</v>
      </c>
      <c r="F4479" s="502" t="s">
        <v>878</v>
      </c>
      <c r="G4479" s="100">
        <v>114999342</v>
      </c>
      <c r="H4479" s="100">
        <v>114999342</v>
      </c>
      <c r="I4479" s="525" t="s">
        <v>637</v>
      </c>
      <c r="J4479" s="100"/>
      <c r="K4479" s="548"/>
      <c r="L4479" s="548"/>
      <c r="M4479" s="548"/>
      <c r="N4479" s="552"/>
      <c r="Y4479" s="551"/>
    </row>
    <row r="4480" spans="1:25">
      <c r="A4480" s="499">
        <v>45631</v>
      </c>
      <c r="B4480" s="499">
        <v>45632</v>
      </c>
      <c r="C4480" s="500" t="s">
        <v>173</v>
      </c>
      <c r="D4480" s="500" t="s">
        <v>763</v>
      </c>
      <c r="E4480" s="501">
        <v>1022644473.4</v>
      </c>
      <c r="F4480" s="502" t="s">
        <v>878</v>
      </c>
      <c r="G4480" s="100">
        <v>114999729</v>
      </c>
      <c r="H4480" s="100">
        <v>114999729</v>
      </c>
      <c r="I4480" s="525" t="s">
        <v>684</v>
      </c>
      <c r="J4480" s="100"/>
      <c r="K4480" s="548"/>
      <c r="L4480" s="548"/>
      <c r="M4480" s="548"/>
      <c r="N4480" s="552"/>
      <c r="Y4480" s="551"/>
    </row>
    <row r="4481" spans="1:25">
      <c r="A4481" s="499">
        <v>45631</v>
      </c>
      <c r="B4481" s="499">
        <v>45632</v>
      </c>
      <c r="C4481" s="500" t="s">
        <v>173</v>
      </c>
      <c r="D4481" s="500" t="s">
        <v>763</v>
      </c>
      <c r="E4481" s="501">
        <v>3001456.86</v>
      </c>
      <c r="F4481" s="502" t="s">
        <v>878</v>
      </c>
      <c r="G4481" s="100">
        <v>114999732</v>
      </c>
      <c r="H4481" s="100">
        <v>114999732</v>
      </c>
      <c r="I4481" s="525" t="s">
        <v>833</v>
      </c>
      <c r="J4481" s="100"/>
      <c r="K4481" s="548"/>
      <c r="L4481" s="548"/>
      <c r="M4481" s="548"/>
      <c r="N4481" s="552"/>
      <c r="Y4481" s="551"/>
    </row>
    <row r="4482" spans="1:25">
      <c r="A4482" s="499">
        <v>45631</v>
      </c>
      <c r="B4482" s="499">
        <v>45632</v>
      </c>
      <c r="C4482" s="500" t="s">
        <v>173</v>
      </c>
      <c r="D4482" s="500" t="s">
        <v>763</v>
      </c>
      <c r="E4482" s="501">
        <v>59051671.310000002</v>
      </c>
      <c r="F4482" s="502" t="s">
        <v>878</v>
      </c>
      <c r="G4482" s="100">
        <v>114999735</v>
      </c>
      <c r="H4482" s="100">
        <v>114999735</v>
      </c>
      <c r="I4482" s="525" t="s">
        <v>1013</v>
      </c>
      <c r="J4482" s="100"/>
      <c r="K4482" s="548"/>
      <c r="L4482" s="548"/>
      <c r="M4482" s="548"/>
      <c r="N4482" s="552"/>
      <c r="Y4482" s="551"/>
    </row>
    <row r="4483" spans="1:25">
      <c r="A4483" s="499">
        <v>45631</v>
      </c>
      <c r="B4483" s="499">
        <v>45632</v>
      </c>
      <c r="C4483" s="500" t="s">
        <v>173</v>
      </c>
      <c r="D4483" s="500" t="s">
        <v>763</v>
      </c>
      <c r="E4483" s="501">
        <v>41035907.18</v>
      </c>
      <c r="F4483" s="502" t="s">
        <v>878</v>
      </c>
      <c r="G4483" s="100">
        <v>114999738</v>
      </c>
      <c r="H4483" s="100">
        <v>114999738</v>
      </c>
      <c r="I4483" s="525" t="s">
        <v>1013</v>
      </c>
      <c r="J4483" s="100"/>
      <c r="K4483" s="548"/>
      <c r="L4483" s="548"/>
      <c r="M4483" s="548"/>
      <c r="N4483" s="552"/>
      <c r="Y4483" s="551"/>
    </row>
    <row r="4484" spans="1:25">
      <c r="A4484" s="499">
        <v>45631</v>
      </c>
      <c r="B4484" s="499">
        <v>45632</v>
      </c>
      <c r="C4484" s="500" t="s">
        <v>173</v>
      </c>
      <c r="D4484" s="500" t="s">
        <v>763</v>
      </c>
      <c r="E4484" s="501">
        <v>5004378.93</v>
      </c>
      <c r="F4484" s="502" t="s">
        <v>878</v>
      </c>
      <c r="G4484" s="100">
        <v>114999741</v>
      </c>
      <c r="H4484" s="100">
        <v>114999741</v>
      </c>
      <c r="I4484" s="525" t="s">
        <v>1013</v>
      </c>
      <c r="J4484" s="100"/>
      <c r="K4484" s="548"/>
      <c r="L4484" s="548"/>
      <c r="M4484" s="548"/>
      <c r="N4484" s="552"/>
      <c r="Y4484" s="551"/>
    </row>
    <row r="4485" spans="1:25">
      <c r="A4485" s="499">
        <v>45631</v>
      </c>
      <c r="B4485" s="499">
        <v>45632</v>
      </c>
      <c r="C4485" s="500" t="s">
        <v>173</v>
      </c>
      <c r="D4485" s="500" t="s">
        <v>763</v>
      </c>
      <c r="E4485" s="501">
        <v>1543013442.0899999</v>
      </c>
      <c r="F4485" s="502" t="s">
        <v>878</v>
      </c>
      <c r="G4485" s="100">
        <v>114999744</v>
      </c>
      <c r="H4485" s="100">
        <v>114999744</v>
      </c>
      <c r="I4485" s="525" t="s">
        <v>682</v>
      </c>
      <c r="J4485" s="100"/>
      <c r="K4485" s="548"/>
      <c r="L4485" s="548"/>
      <c r="M4485" s="548"/>
      <c r="N4485" s="552"/>
      <c r="Y4485" s="551"/>
    </row>
    <row r="4486" spans="1:25">
      <c r="A4486" s="499">
        <v>45631</v>
      </c>
      <c r="B4486" s="499">
        <v>45632</v>
      </c>
      <c r="C4486" s="500" t="s">
        <v>173</v>
      </c>
      <c r="D4486" s="500" t="s">
        <v>763</v>
      </c>
      <c r="E4486" s="501">
        <v>991917743.26999998</v>
      </c>
      <c r="F4486" s="502" t="s">
        <v>878</v>
      </c>
      <c r="G4486" s="100">
        <v>114999747</v>
      </c>
      <c r="H4486" s="100">
        <v>114999747</v>
      </c>
      <c r="I4486" s="525" t="s">
        <v>686</v>
      </c>
      <c r="J4486" s="100"/>
      <c r="K4486" s="548"/>
      <c r="L4486" s="548"/>
      <c r="M4486" s="548"/>
      <c r="N4486" s="552"/>
      <c r="Y4486" s="551"/>
    </row>
    <row r="4487" spans="1:25">
      <c r="A4487" s="499">
        <v>45631</v>
      </c>
      <c r="B4487" s="499">
        <v>45632</v>
      </c>
      <c r="C4487" s="500" t="s">
        <v>173</v>
      </c>
      <c r="D4487" s="500" t="s">
        <v>763</v>
      </c>
      <c r="E4487" s="501">
        <v>1560229105.3299999</v>
      </c>
      <c r="F4487" s="502" t="s">
        <v>878</v>
      </c>
      <c r="G4487" s="100">
        <v>114999750</v>
      </c>
      <c r="H4487" s="100">
        <v>114999750</v>
      </c>
      <c r="I4487" s="525" t="s">
        <v>631</v>
      </c>
      <c r="J4487" s="100"/>
      <c r="K4487" s="548"/>
      <c r="L4487" s="548"/>
      <c r="M4487" s="548"/>
      <c r="N4487" s="552"/>
      <c r="Y4487" s="551"/>
    </row>
    <row r="4488" spans="1:25">
      <c r="A4488" s="499">
        <v>45631</v>
      </c>
      <c r="B4488" s="499">
        <v>45632</v>
      </c>
      <c r="C4488" s="500" t="s">
        <v>173</v>
      </c>
      <c r="D4488" s="500" t="s">
        <v>763</v>
      </c>
      <c r="E4488" s="501">
        <v>20026131.629999999</v>
      </c>
      <c r="F4488" s="502" t="s">
        <v>878</v>
      </c>
      <c r="G4488" s="100">
        <v>114999789</v>
      </c>
      <c r="H4488" s="100">
        <v>114999789</v>
      </c>
      <c r="I4488" s="525" t="s">
        <v>682</v>
      </c>
      <c r="J4488" s="100"/>
      <c r="K4488" s="548"/>
      <c r="L4488" s="548"/>
      <c r="M4488" s="548"/>
      <c r="N4488" s="552"/>
      <c r="Y4488" s="551"/>
    </row>
    <row r="4489" spans="1:25">
      <c r="A4489" s="499">
        <v>45632</v>
      </c>
      <c r="B4489" s="499">
        <v>45632</v>
      </c>
      <c r="C4489" s="500" t="s">
        <v>173</v>
      </c>
      <c r="D4489" s="500" t="s">
        <v>762</v>
      </c>
      <c r="E4489" s="501">
        <v>-4545335495.2299995</v>
      </c>
      <c r="F4489" s="502" t="s">
        <v>878</v>
      </c>
      <c r="G4489" s="100">
        <v>115020749</v>
      </c>
      <c r="H4489" s="530"/>
      <c r="I4489" s="525" t="s">
        <v>684</v>
      </c>
      <c r="J4489" s="100"/>
      <c r="K4489" s="548"/>
      <c r="L4489" s="548"/>
      <c r="M4489" s="548"/>
      <c r="N4489" s="552"/>
      <c r="Y4489" s="551"/>
    </row>
    <row r="4490" spans="1:25">
      <c r="A4490" s="499">
        <v>45632</v>
      </c>
      <c r="B4490" s="499">
        <v>45632</v>
      </c>
      <c r="C4490" s="500" t="s">
        <v>173</v>
      </c>
      <c r="D4490" s="500" t="s">
        <v>762</v>
      </c>
      <c r="E4490" s="501">
        <v>-19005584.16</v>
      </c>
      <c r="F4490" s="502" t="s">
        <v>878</v>
      </c>
      <c r="G4490" s="100">
        <v>115020852</v>
      </c>
      <c r="H4490" s="530"/>
      <c r="I4490" s="525" t="s">
        <v>684</v>
      </c>
      <c r="J4490" s="100"/>
      <c r="K4490" s="548"/>
      <c r="L4490" s="548"/>
      <c r="M4490" s="548"/>
      <c r="N4490" s="552"/>
      <c r="Y4490" s="551"/>
    </row>
    <row r="4491" spans="1:25">
      <c r="A4491" s="499">
        <v>45632</v>
      </c>
      <c r="B4491" s="499">
        <v>45635</v>
      </c>
      <c r="C4491" s="500" t="s">
        <v>173</v>
      </c>
      <c r="D4491" s="500" t="s">
        <v>762</v>
      </c>
      <c r="E4491" s="501">
        <v>4550812251.9300003</v>
      </c>
      <c r="F4491" s="502" t="s">
        <v>878</v>
      </c>
      <c r="G4491" s="100">
        <v>115020749</v>
      </c>
      <c r="H4491" s="100">
        <v>115020749</v>
      </c>
      <c r="I4491" s="525" t="s">
        <v>684</v>
      </c>
      <c r="J4491" s="100"/>
      <c r="K4491" s="548"/>
      <c r="L4491" s="548"/>
      <c r="M4491" s="548"/>
      <c r="N4491" s="552"/>
      <c r="Y4491" s="551"/>
    </row>
    <row r="4492" spans="1:25">
      <c r="A4492" s="499">
        <v>45632</v>
      </c>
      <c r="B4492" s="499">
        <v>45635</v>
      </c>
      <c r="C4492" s="500" t="s">
        <v>173</v>
      </c>
      <c r="D4492" s="500" t="s">
        <v>762</v>
      </c>
      <c r="E4492" s="501">
        <v>19028484.329999998</v>
      </c>
      <c r="F4492" s="502" t="s">
        <v>878</v>
      </c>
      <c r="G4492" s="100">
        <v>115020852</v>
      </c>
      <c r="H4492" s="100">
        <v>115020852</v>
      </c>
      <c r="I4492" s="525" t="s">
        <v>684</v>
      </c>
      <c r="J4492" s="100"/>
      <c r="K4492" s="548"/>
      <c r="L4492" s="548"/>
      <c r="M4492" s="548"/>
      <c r="N4492" s="552"/>
      <c r="Y4492" s="551"/>
    </row>
    <row r="4493" spans="1:25">
      <c r="A4493" s="499">
        <v>45632</v>
      </c>
      <c r="B4493" s="499">
        <v>45632</v>
      </c>
      <c r="C4493" s="500" t="s">
        <v>173</v>
      </c>
      <c r="D4493" s="500" t="s">
        <v>761</v>
      </c>
      <c r="E4493" s="501">
        <v>-496160304.72000003</v>
      </c>
      <c r="F4493" s="502" t="s">
        <v>878</v>
      </c>
      <c r="G4493" s="100">
        <v>115018321</v>
      </c>
      <c r="H4493" s="530"/>
      <c r="I4493" s="525" t="s">
        <v>682</v>
      </c>
      <c r="J4493" s="100"/>
      <c r="K4493" s="548"/>
      <c r="L4493" s="548"/>
      <c r="M4493" s="548"/>
      <c r="N4493" s="552"/>
      <c r="Y4493" s="551"/>
    </row>
    <row r="4494" spans="1:25">
      <c r="A4494" s="499">
        <v>45632</v>
      </c>
      <c r="B4494" s="499">
        <v>45632</v>
      </c>
      <c r="C4494" s="500" t="s">
        <v>173</v>
      </c>
      <c r="D4494" s="500" t="s">
        <v>761</v>
      </c>
      <c r="E4494" s="501">
        <v>-2001346.3</v>
      </c>
      <c r="F4494" s="502" t="s">
        <v>878</v>
      </c>
      <c r="G4494" s="100">
        <v>115019089</v>
      </c>
      <c r="H4494" s="530"/>
      <c r="I4494" s="525" t="s">
        <v>677</v>
      </c>
      <c r="J4494" s="100"/>
      <c r="K4494" s="548"/>
      <c r="L4494" s="548"/>
      <c r="M4494" s="548"/>
      <c r="N4494" s="552"/>
      <c r="Y4494" s="551"/>
    </row>
    <row r="4495" spans="1:25">
      <c r="A4495" s="499">
        <v>45632</v>
      </c>
      <c r="B4495" s="499">
        <v>45635</v>
      </c>
      <c r="C4495" s="500" t="s">
        <v>173</v>
      </c>
      <c r="D4495" s="500" t="s">
        <v>761</v>
      </c>
      <c r="E4495" s="501">
        <v>496758137.22000003</v>
      </c>
      <c r="F4495" s="502" t="s">
        <v>878</v>
      </c>
      <c r="G4495" s="100">
        <v>115018321</v>
      </c>
      <c r="H4495" s="100">
        <v>115018321</v>
      </c>
      <c r="I4495" s="525" t="s">
        <v>682</v>
      </c>
      <c r="J4495" s="100"/>
      <c r="K4495" s="548"/>
      <c r="L4495" s="548"/>
      <c r="M4495" s="548"/>
      <c r="N4495" s="552"/>
      <c r="Y4495" s="551"/>
    </row>
    <row r="4496" spans="1:25">
      <c r="A4496" s="499">
        <v>45632</v>
      </c>
      <c r="B4496" s="499">
        <v>45635</v>
      </c>
      <c r="C4496" s="500" t="s">
        <v>173</v>
      </c>
      <c r="D4496" s="500" t="s">
        <v>761</v>
      </c>
      <c r="E4496" s="501">
        <v>2003741.37</v>
      </c>
      <c r="F4496" s="502" t="s">
        <v>878</v>
      </c>
      <c r="G4496" s="100">
        <v>115019089</v>
      </c>
      <c r="H4496" s="100">
        <v>115019089</v>
      </c>
      <c r="I4496" s="525" t="s">
        <v>677</v>
      </c>
      <c r="J4496" s="100"/>
      <c r="K4496" s="548"/>
      <c r="L4496" s="548"/>
      <c r="M4496" s="548"/>
      <c r="N4496" s="552"/>
      <c r="Y4496" s="551"/>
    </row>
    <row r="4497" spans="1:25">
      <c r="A4497" s="499">
        <v>45632</v>
      </c>
      <c r="B4497" s="499">
        <v>45632</v>
      </c>
      <c r="C4497" s="500" t="s">
        <v>173</v>
      </c>
      <c r="D4497" s="500" t="s">
        <v>759</v>
      </c>
      <c r="E4497" s="501">
        <v>-1996000858.28</v>
      </c>
      <c r="F4497" s="502" t="s">
        <v>878</v>
      </c>
      <c r="G4497" s="100">
        <v>115018930</v>
      </c>
      <c r="H4497" s="530"/>
      <c r="I4497" s="525" t="s">
        <v>807</v>
      </c>
      <c r="J4497" s="100"/>
      <c r="K4497" s="548"/>
      <c r="L4497" s="548"/>
      <c r="M4497" s="548"/>
      <c r="N4497" s="552"/>
      <c r="Y4497" s="551"/>
    </row>
    <row r="4498" spans="1:25">
      <c r="A4498" s="499">
        <v>45632</v>
      </c>
      <c r="B4498" s="499">
        <v>45632</v>
      </c>
      <c r="C4498" s="500" t="s">
        <v>173</v>
      </c>
      <c r="D4498" s="500" t="s">
        <v>759</v>
      </c>
      <c r="E4498" s="501">
        <v>-8004462.3399999999</v>
      </c>
      <c r="F4498" s="502" t="s">
        <v>878</v>
      </c>
      <c r="G4498" s="100">
        <v>115020366</v>
      </c>
      <c r="H4498" s="530"/>
      <c r="I4498" s="525" t="s">
        <v>648</v>
      </c>
      <c r="J4498" s="100"/>
      <c r="K4498" s="548"/>
      <c r="L4498" s="548"/>
      <c r="M4498" s="548"/>
      <c r="N4498" s="552"/>
      <c r="Y4498" s="551"/>
    </row>
    <row r="4499" spans="1:25">
      <c r="A4499" s="499">
        <v>45632</v>
      </c>
      <c r="B4499" s="499">
        <v>45635</v>
      </c>
      <c r="C4499" s="500" t="s">
        <v>173</v>
      </c>
      <c r="D4499" s="500" t="s">
        <v>759</v>
      </c>
      <c r="E4499" s="501">
        <v>1998405875.71</v>
      </c>
      <c r="F4499" s="502" t="s">
        <v>878</v>
      </c>
      <c r="G4499" s="100">
        <v>115018930</v>
      </c>
      <c r="H4499" s="100">
        <v>115018930</v>
      </c>
      <c r="I4499" s="525" t="s">
        <v>807</v>
      </c>
      <c r="J4499" s="100"/>
      <c r="K4499" s="548"/>
      <c r="L4499" s="548"/>
      <c r="M4499" s="548"/>
      <c r="N4499" s="552"/>
      <c r="Y4499" s="551"/>
    </row>
    <row r="4500" spans="1:25">
      <c r="A4500" s="499">
        <v>45632</v>
      </c>
      <c r="B4500" s="499">
        <v>45635</v>
      </c>
      <c r="C4500" s="500" t="s">
        <v>173</v>
      </c>
      <c r="D4500" s="500" t="s">
        <v>759</v>
      </c>
      <c r="E4500" s="501">
        <v>8014172.6699999999</v>
      </c>
      <c r="F4500" s="502" t="s">
        <v>878</v>
      </c>
      <c r="G4500" s="100">
        <v>115020366</v>
      </c>
      <c r="H4500" s="100">
        <v>115020366</v>
      </c>
      <c r="I4500" s="525" t="s">
        <v>648</v>
      </c>
      <c r="J4500" s="100"/>
      <c r="K4500" s="548"/>
      <c r="L4500" s="548"/>
      <c r="M4500" s="548"/>
      <c r="N4500" s="552"/>
      <c r="Y4500" s="551"/>
    </row>
    <row r="4501" spans="1:25">
      <c r="A4501" s="499">
        <v>45632</v>
      </c>
      <c r="B4501" s="499">
        <v>45632</v>
      </c>
      <c r="C4501" s="500" t="s">
        <v>173</v>
      </c>
      <c r="D4501" s="500" t="s">
        <v>760</v>
      </c>
      <c r="E4501" s="501">
        <v>-294094720.92000002</v>
      </c>
      <c r="F4501" s="502" t="s">
        <v>878</v>
      </c>
      <c r="G4501" s="100">
        <v>115018816</v>
      </c>
      <c r="H4501" s="530"/>
      <c r="I4501" s="525" t="s">
        <v>687</v>
      </c>
      <c r="J4501" s="100"/>
      <c r="K4501" s="548"/>
      <c r="L4501" s="548"/>
      <c r="M4501" s="548"/>
      <c r="N4501" s="552"/>
      <c r="Y4501" s="551"/>
    </row>
    <row r="4502" spans="1:25">
      <c r="A4502" s="499">
        <v>45632</v>
      </c>
      <c r="B4502" s="499">
        <v>45635</v>
      </c>
      <c r="C4502" s="500" t="s">
        <v>173</v>
      </c>
      <c r="D4502" s="500" t="s">
        <v>760</v>
      </c>
      <c r="E4502" s="501">
        <v>294449078.54000002</v>
      </c>
      <c r="F4502" s="502" t="s">
        <v>878</v>
      </c>
      <c r="G4502" s="100">
        <v>115018816</v>
      </c>
      <c r="H4502" s="100">
        <v>115018816</v>
      </c>
      <c r="I4502" s="525" t="s">
        <v>687</v>
      </c>
      <c r="J4502" s="100"/>
      <c r="K4502" s="548"/>
      <c r="L4502" s="548"/>
      <c r="M4502" s="548"/>
      <c r="N4502" s="552"/>
      <c r="Y4502" s="551"/>
    </row>
    <row r="4503" spans="1:25">
      <c r="A4503" s="499">
        <v>45632</v>
      </c>
      <c r="B4503" s="499">
        <v>45632</v>
      </c>
      <c r="C4503" s="500" t="s">
        <v>173</v>
      </c>
      <c r="D4503" s="500" t="s">
        <v>763</v>
      </c>
      <c r="E4503" s="501">
        <v>-5208973359.2700005</v>
      </c>
      <c r="F4503" s="502" t="s">
        <v>878</v>
      </c>
      <c r="G4503" s="100">
        <v>115019043</v>
      </c>
      <c r="H4503" s="530"/>
      <c r="I4503" s="525" t="s">
        <v>823</v>
      </c>
      <c r="J4503" s="100"/>
      <c r="K4503" s="548"/>
      <c r="L4503" s="548"/>
      <c r="M4503" s="548"/>
      <c r="N4503" s="552"/>
      <c r="Y4503" s="551"/>
    </row>
    <row r="4504" spans="1:25">
      <c r="A4504" s="499">
        <v>45632</v>
      </c>
      <c r="B4504" s="499">
        <v>45632</v>
      </c>
      <c r="C4504" s="500" t="s">
        <v>173</v>
      </c>
      <c r="D4504" s="500" t="s">
        <v>763</v>
      </c>
      <c r="E4504" s="501">
        <v>-281103154.88</v>
      </c>
      <c r="F4504" s="502" t="s">
        <v>878</v>
      </c>
      <c r="G4504" s="100">
        <v>115019061</v>
      </c>
      <c r="H4504" s="530"/>
      <c r="I4504" s="525" t="s">
        <v>633</v>
      </c>
      <c r="J4504" s="100"/>
      <c r="K4504" s="548"/>
      <c r="L4504" s="548"/>
      <c r="M4504" s="548"/>
      <c r="N4504" s="552"/>
      <c r="Y4504" s="551"/>
    </row>
    <row r="4505" spans="1:25">
      <c r="A4505" s="499">
        <v>45632</v>
      </c>
      <c r="B4505" s="499">
        <v>45632</v>
      </c>
      <c r="C4505" s="500" t="s">
        <v>173</v>
      </c>
      <c r="D4505" s="500" t="s">
        <v>763</v>
      </c>
      <c r="E4505" s="501">
        <v>-21000015.09</v>
      </c>
      <c r="F4505" s="502" t="s">
        <v>878</v>
      </c>
      <c r="G4505" s="100">
        <v>115019231</v>
      </c>
      <c r="H4505" s="530"/>
      <c r="I4505" s="525" t="s">
        <v>646</v>
      </c>
      <c r="J4505" s="100"/>
      <c r="K4505" s="548"/>
      <c r="L4505" s="548"/>
      <c r="M4505" s="548"/>
      <c r="N4505" s="552"/>
      <c r="Y4505" s="551"/>
    </row>
    <row r="4506" spans="1:25">
      <c r="A4506" s="499">
        <v>45632</v>
      </c>
      <c r="B4506" s="499">
        <v>45632</v>
      </c>
      <c r="C4506" s="500" t="s">
        <v>173</v>
      </c>
      <c r="D4506" s="500" t="s">
        <v>763</v>
      </c>
      <c r="E4506" s="501">
        <v>-1000847.15</v>
      </c>
      <c r="F4506" s="502" t="s">
        <v>878</v>
      </c>
      <c r="G4506" s="100">
        <v>115019276</v>
      </c>
      <c r="H4506" s="530"/>
      <c r="I4506" s="525" t="s">
        <v>709</v>
      </c>
      <c r="J4506" s="100"/>
      <c r="K4506" s="548"/>
      <c r="L4506" s="548"/>
      <c r="M4506" s="548"/>
      <c r="N4506" s="552"/>
      <c r="Y4506" s="551"/>
    </row>
    <row r="4507" spans="1:25">
      <c r="A4507" s="499">
        <v>45632</v>
      </c>
      <c r="B4507" s="499">
        <v>45635</v>
      </c>
      <c r="C4507" s="500" t="s">
        <v>173</v>
      </c>
      <c r="D4507" s="500" t="s">
        <v>763</v>
      </c>
      <c r="E4507" s="501">
        <v>5215228396.9499998</v>
      </c>
      <c r="F4507" s="502" t="s">
        <v>878</v>
      </c>
      <c r="G4507" s="100">
        <v>115019043</v>
      </c>
      <c r="H4507" s="100">
        <v>115019043</v>
      </c>
      <c r="I4507" s="525" t="s">
        <v>823</v>
      </c>
      <c r="J4507" s="100"/>
      <c r="K4507" s="548"/>
      <c r="L4507" s="548"/>
      <c r="M4507" s="548"/>
      <c r="N4507" s="552"/>
      <c r="Y4507" s="551"/>
    </row>
    <row r="4508" spans="1:25">
      <c r="A4508" s="499">
        <v>45632</v>
      </c>
      <c r="B4508" s="499">
        <v>45635</v>
      </c>
      <c r="C4508" s="500" t="s">
        <v>173</v>
      </c>
      <c r="D4508" s="500" t="s">
        <v>763</v>
      </c>
      <c r="E4508" s="501">
        <v>281440709.07999998</v>
      </c>
      <c r="F4508" s="502" t="s">
        <v>878</v>
      </c>
      <c r="G4508" s="100">
        <v>115019061</v>
      </c>
      <c r="H4508" s="100">
        <v>115019061</v>
      </c>
      <c r="I4508" s="525" t="s">
        <v>633</v>
      </c>
      <c r="J4508" s="100"/>
      <c r="K4508" s="548"/>
      <c r="L4508" s="548"/>
      <c r="M4508" s="548"/>
      <c r="N4508" s="552"/>
      <c r="Y4508" s="551"/>
    </row>
    <row r="4509" spans="1:25">
      <c r="A4509" s="499">
        <v>45632</v>
      </c>
      <c r="B4509" s="499">
        <v>45635</v>
      </c>
      <c r="C4509" s="500" t="s">
        <v>173</v>
      </c>
      <c r="D4509" s="500" t="s">
        <v>763</v>
      </c>
      <c r="E4509" s="501">
        <v>21025232.32</v>
      </c>
      <c r="F4509" s="502" t="s">
        <v>878</v>
      </c>
      <c r="G4509" s="100">
        <v>115019231</v>
      </c>
      <c r="H4509" s="100">
        <v>115019231</v>
      </c>
      <c r="I4509" s="525" t="s">
        <v>646</v>
      </c>
      <c r="J4509" s="100"/>
      <c r="K4509" s="548"/>
      <c r="L4509" s="548"/>
      <c r="M4509" s="548"/>
      <c r="N4509" s="552"/>
      <c r="Y4509" s="551"/>
    </row>
    <row r="4510" spans="1:25">
      <c r="A4510" s="499">
        <v>45632</v>
      </c>
      <c r="B4510" s="499">
        <v>45635</v>
      </c>
      <c r="C4510" s="500" t="s">
        <v>173</v>
      </c>
      <c r="D4510" s="500" t="s">
        <v>763</v>
      </c>
      <c r="E4510" s="501">
        <v>1002044.97</v>
      </c>
      <c r="F4510" s="502" t="s">
        <v>878</v>
      </c>
      <c r="G4510" s="100">
        <v>115019276</v>
      </c>
      <c r="H4510" s="100">
        <v>115019276</v>
      </c>
      <c r="I4510" s="525" t="s">
        <v>709</v>
      </c>
      <c r="J4510" s="100"/>
      <c r="K4510" s="548"/>
      <c r="L4510" s="548"/>
      <c r="M4510" s="548"/>
      <c r="N4510" s="552"/>
      <c r="R4510" s="539">
        <v>-1</v>
      </c>
      <c r="Y4510" s="551"/>
    </row>
    <row r="4511" spans="1:25">
      <c r="A4511" s="499">
        <v>45635</v>
      </c>
      <c r="B4511" s="499">
        <v>45635</v>
      </c>
      <c r="C4511" s="500" t="s">
        <v>173</v>
      </c>
      <c r="D4511" s="500" t="s">
        <v>762</v>
      </c>
      <c r="E4511" s="501">
        <v>-20017580.879999999</v>
      </c>
      <c r="F4511" s="502" t="s">
        <v>878</v>
      </c>
      <c r="G4511" s="100">
        <v>115038247</v>
      </c>
      <c r="H4511" s="530"/>
      <c r="I4511" s="525" t="s">
        <v>689</v>
      </c>
      <c r="J4511" s="484"/>
      <c r="K4511" s="548"/>
      <c r="L4511" s="548"/>
      <c r="M4511" s="548"/>
      <c r="N4511" s="552"/>
      <c r="Y4511" s="551"/>
    </row>
    <row r="4512" spans="1:25">
      <c r="A4512" s="499">
        <v>45635</v>
      </c>
      <c r="B4512" s="499">
        <v>45635</v>
      </c>
      <c r="C4512" s="500" t="s">
        <v>173</v>
      </c>
      <c r="D4512" s="500" t="s">
        <v>762</v>
      </c>
      <c r="E4512" s="501">
        <v>-474177795.02999997</v>
      </c>
      <c r="F4512" s="502" t="s">
        <v>878</v>
      </c>
      <c r="G4512" s="100">
        <v>115038250</v>
      </c>
      <c r="H4512" s="530"/>
      <c r="I4512" s="525" t="s">
        <v>678</v>
      </c>
      <c r="J4512" s="484"/>
      <c r="K4512" s="548"/>
      <c r="L4512" s="548"/>
      <c r="M4512" s="548"/>
      <c r="N4512" s="552"/>
      <c r="Y4512" s="551"/>
    </row>
    <row r="4513" spans="1:25">
      <c r="A4513" s="499">
        <v>45635</v>
      </c>
      <c r="B4513" s="499">
        <v>45635</v>
      </c>
      <c r="C4513" s="500" t="s">
        <v>173</v>
      </c>
      <c r="D4513" s="500" t="s">
        <v>762</v>
      </c>
      <c r="E4513" s="501">
        <v>-474177795.02999997</v>
      </c>
      <c r="F4513" s="502" t="s">
        <v>878</v>
      </c>
      <c r="G4513" s="100">
        <v>115038253</v>
      </c>
      <c r="H4513" s="530"/>
      <c r="I4513" s="525" t="s">
        <v>678</v>
      </c>
      <c r="J4513" s="484"/>
      <c r="K4513" s="548"/>
      <c r="L4513" s="548"/>
      <c r="M4513" s="548"/>
      <c r="N4513" s="552"/>
      <c r="Y4513" s="551"/>
    </row>
    <row r="4514" spans="1:25">
      <c r="A4514" s="499">
        <v>45635</v>
      </c>
      <c r="B4514" s="499">
        <v>45635</v>
      </c>
      <c r="C4514" s="500" t="s">
        <v>173</v>
      </c>
      <c r="D4514" s="500" t="s">
        <v>762</v>
      </c>
      <c r="E4514" s="501">
        <v>-3388656031.9899998</v>
      </c>
      <c r="F4514" s="502" t="s">
        <v>878</v>
      </c>
      <c r="G4514" s="100">
        <v>115038313</v>
      </c>
      <c r="H4514" s="530"/>
      <c r="I4514" s="525" t="s">
        <v>677</v>
      </c>
      <c r="J4514" s="484"/>
      <c r="K4514" s="548"/>
      <c r="L4514" s="548"/>
      <c r="M4514" s="548"/>
      <c r="N4514" s="552"/>
      <c r="Y4514" s="551"/>
    </row>
    <row r="4515" spans="1:25">
      <c r="A4515" s="499">
        <v>45635</v>
      </c>
      <c r="B4515" s="499">
        <v>45635</v>
      </c>
      <c r="C4515" s="500" t="s">
        <v>173</v>
      </c>
      <c r="D4515" s="500" t="s">
        <v>762</v>
      </c>
      <c r="E4515" s="501">
        <v>-108044230.43000001</v>
      </c>
      <c r="F4515" s="502" t="s">
        <v>878</v>
      </c>
      <c r="G4515" s="100">
        <v>115038244</v>
      </c>
      <c r="H4515" s="530"/>
      <c r="I4515" s="525" t="s">
        <v>674</v>
      </c>
      <c r="J4515" s="484"/>
      <c r="K4515" s="548"/>
      <c r="L4515" s="548"/>
      <c r="M4515" s="548"/>
      <c r="N4515" s="552"/>
      <c r="Y4515" s="551"/>
    </row>
    <row r="4516" spans="1:25">
      <c r="A4516" s="499">
        <v>45635</v>
      </c>
      <c r="B4516" s="499">
        <v>45635</v>
      </c>
      <c r="C4516" s="500" t="s">
        <v>173</v>
      </c>
      <c r="D4516" s="500" t="s">
        <v>762</v>
      </c>
      <c r="E4516" s="501">
        <v>-86035477.75</v>
      </c>
      <c r="F4516" s="502" t="s">
        <v>878</v>
      </c>
      <c r="G4516" s="100">
        <v>115038241</v>
      </c>
      <c r="H4516" s="530"/>
      <c r="I4516" s="525" t="s">
        <v>653</v>
      </c>
      <c r="J4516" s="484"/>
      <c r="K4516" s="548"/>
      <c r="L4516" s="548"/>
      <c r="M4516" s="548"/>
      <c r="N4516" s="552"/>
      <c r="Y4516" s="551"/>
    </row>
    <row r="4517" spans="1:25">
      <c r="A4517" s="499">
        <v>45635</v>
      </c>
      <c r="B4517" s="499">
        <v>45635</v>
      </c>
      <c r="C4517" s="500" t="s">
        <v>173</v>
      </c>
      <c r="D4517" s="500" t="s">
        <v>762</v>
      </c>
      <c r="E4517" s="501">
        <v>-18011446.989999998</v>
      </c>
      <c r="F4517" s="502" t="s">
        <v>878</v>
      </c>
      <c r="G4517" s="100">
        <v>115038692</v>
      </c>
      <c r="H4517" s="530"/>
      <c r="I4517" s="525" t="s">
        <v>835</v>
      </c>
      <c r="J4517" s="484"/>
      <c r="K4517" s="548"/>
      <c r="L4517" s="548"/>
      <c r="M4517" s="548"/>
      <c r="N4517" s="552"/>
      <c r="Y4517" s="551"/>
    </row>
    <row r="4518" spans="1:25">
      <c r="A4518" s="499">
        <v>45635</v>
      </c>
      <c r="B4518" s="499">
        <v>45636</v>
      </c>
      <c r="C4518" s="500" t="s">
        <v>173</v>
      </c>
      <c r="D4518" s="500" t="s">
        <v>762</v>
      </c>
      <c r="E4518" s="501">
        <v>20025784.809999999</v>
      </c>
      <c r="F4518" s="502" t="s">
        <v>878</v>
      </c>
      <c r="G4518" s="100">
        <v>115038247</v>
      </c>
      <c r="H4518" s="484">
        <v>115038247</v>
      </c>
      <c r="I4518" s="525" t="s">
        <v>689</v>
      </c>
      <c r="J4518" s="484"/>
      <c r="K4518" s="548"/>
      <c r="L4518" s="548"/>
      <c r="M4518" s="548"/>
      <c r="N4518" s="552"/>
      <c r="Y4518" s="551"/>
    </row>
    <row r="4519" spans="1:25">
      <c r="A4519" s="499">
        <v>45635</v>
      </c>
      <c r="B4519" s="499">
        <v>45636</v>
      </c>
      <c r="C4519" s="500" t="s">
        <v>173</v>
      </c>
      <c r="D4519" s="500" t="s">
        <v>762</v>
      </c>
      <c r="E4519" s="501">
        <v>474372130.19</v>
      </c>
      <c r="F4519" s="502" t="s">
        <v>878</v>
      </c>
      <c r="G4519" s="100">
        <v>115038250</v>
      </c>
      <c r="H4519" s="484">
        <v>115038250</v>
      </c>
      <c r="I4519" s="525" t="s">
        <v>678</v>
      </c>
      <c r="J4519" s="484"/>
      <c r="K4519" s="548"/>
      <c r="L4519" s="548"/>
      <c r="M4519" s="548"/>
      <c r="N4519" s="552"/>
      <c r="Y4519" s="551"/>
    </row>
    <row r="4520" spans="1:25">
      <c r="A4520" s="499">
        <v>45635</v>
      </c>
      <c r="B4520" s="499">
        <v>45636</v>
      </c>
      <c r="C4520" s="500" t="s">
        <v>173</v>
      </c>
      <c r="D4520" s="500" t="s">
        <v>762</v>
      </c>
      <c r="E4520" s="501">
        <v>474372130.19</v>
      </c>
      <c r="F4520" s="502" t="s">
        <v>878</v>
      </c>
      <c r="G4520" s="100">
        <v>115038253</v>
      </c>
      <c r="H4520" s="484">
        <v>115038253</v>
      </c>
      <c r="I4520" s="525" t="s">
        <v>678</v>
      </c>
      <c r="J4520" s="484"/>
      <c r="K4520" s="548"/>
      <c r="L4520" s="548"/>
      <c r="M4520" s="548"/>
      <c r="N4520" s="552"/>
      <c r="Y4520" s="551"/>
    </row>
    <row r="4521" spans="1:25">
      <c r="A4521" s="499">
        <v>45635</v>
      </c>
      <c r="B4521" s="499">
        <v>45636</v>
      </c>
      <c r="C4521" s="500" t="s">
        <v>173</v>
      </c>
      <c r="D4521" s="500" t="s">
        <v>762</v>
      </c>
      <c r="E4521" s="501">
        <v>3390044825.4499998</v>
      </c>
      <c r="F4521" s="502" t="s">
        <v>878</v>
      </c>
      <c r="G4521" s="100">
        <v>115038313</v>
      </c>
      <c r="H4521" s="484">
        <v>115038313</v>
      </c>
      <c r="I4521" s="525" t="s">
        <v>677</v>
      </c>
      <c r="J4521" s="484"/>
      <c r="K4521" s="548"/>
      <c r="L4521" s="548"/>
      <c r="M4521" s="548"/>
      <c r="N4521" s="552"/>
      <c r="Y4521" s="551"/>
    </row>
    <row r="4522" spans="1:25">
      <c r="A4522" s="499">
        <v>45635</v>
      </c>
      <c r="B4522" s="499">
        <v>45636</v>
      </c>
      <c r="C4522" s="500" t="s">
        <v>173</v>
      </c>
      <c r="D4522" s="500" t="s">
        <v>762</v>
      </c>
      <c r="E4522" s="501">
        <v>108088510.84999999</v>
      </c>
      <c r="F4522" s="502" t="s">
        <v>878</v>
      </c>
      <c r="G4522" s="100">
        <v>115038244</v>
      </c>
      <c r="H4522" s="484">
        <v>115038244</v>
      </c>
      <c r="I4522" s="525" t="s">
        <v>674</v>
      </c>
      <c r="J4522" s="484"/>
      <c r="K4522" s="548"/>
      <c r="L4522" s="548"/>
      <c r="M4522" s="548"/>
      <c r="N4522" s="552"/>
      <c r="Y4522" s="551"/>
    </row>
    <row r="4523" spans="1:25">
      <c r="A4523" s="499">
        <v>45635</v>
      </c>
      <c r="B4523" s="499">
        <v>45636</v>
      </c>
      <c r="C4523" s="500" t="s">
        <v>173</v>
      </c>
      <c r="D4523" s="500" t="s">
        <v>762</v>
      </c>
      <c r="E4523" s="501">
        <v>86070738.189999998</v>
      </c>
      <c r="F4523" s="502" t="s">
        <v>878</v>
      </c>
      <c r="G4523" s="100">
        <v>115038241</v>
      </c>
      <c r="H4523" s="484">
        <v>115038241</v>
      </c>
      <c r="I4523" s="525" t="s">
        <v>653</v>
      </c>
      <c r="J4523" s="484"/>
      <c r="K4523" s="548"/>
      <c r="L4523" s="548"/>
      <c r="M4523" s="548"/>
      <c r="N4523" s="552"/>
      <c r="Y4523" s="551"/>
    </row>
    <row r="4524" spans="1:25">
      <c r="A4524" s="499">
        <v>45635</v>
      </c>
      <c r="B4524" s="499">
        <v>45636</v>
      </c>
      <c r="C4524" s="500" t="s">
        <v>173</v>
      </c>
      <c r="D4524" s="500" t="s">
        <v>762</v>
      </c>
      <c r="E4524" s="501">
        <v>18018828.73</v>
      </c>
      <c r="F4524" s="502" t="s">
        <v>878</v>
      </c>
      <c r="G4524" s="100">
        <v>115038692</v>
      </c>
      <c r="H4524" s="484">
        <v>115038692</v>
      </c>
      <c r="I4524" s="525" t="s">
        <v>835</v>
      </c>
      <c r="J4524" s="484"/>
      <c r="K4524" s="548"/>
      <c r="L4524" s="548"/>
      <c r="M4524" s="548"/>
      <c r="N4524" s="552"/>
      <c r="Y4524" s="551"/>
    </row>
    <row r="4525" spans="1:25">
      <c r="A4525" s="499">
        <v>45635</v>
      </c>
      <c r="B4525" s="499">
        <v>45635</v>
      </c>
      <c r="C4525" s="500" t="s">
        <v>173</v>
      </c>
      <c r="D4525" s="500" t="s">
        <v>761</v>
      </c>
      <c r="E4525" s="501">
        <v>-496223330.94</v>
      </c>
      <c r="F4525" s="502" t="s">
        <v>878</v>
      </c>
      <c r="G4525" s="100">
        <v>115036749</v>
      </c>
      <c r="H4525" s="530"/>
      <c r="I4525" s="525" t="s">
        <v>604</v>
      </c>
      <c r="J4525" s="100"/>
      <c r="K4525" s="548"/>
      <c r="L4525" s="548"/>
      <c r="M4525" s="548"/>
      <c r="N4525" s="552"/>
      <c r="Y4525" s="551"/>
    </row>
    <row r="4526" spans="1:25">
      <c r="A4526" s="499">
        <v>45635</v>
      </c>
      <c r="B4526" s="499">
        <v>45635</v>
      </c>
      <c r="C4526" s="500" t="s">
        <v>173</v>
      </c>
      <c r="D4526" s="500" t="s">
        <v>761</v>
      </c>
      <c r="E4526" s="501">
        <v>-3001832.06</v>
      </c>
      <c r="F4526" s="502" t="s">
        <v>878</v>
      </c>
      <c r="G4526" s="100">
        <v>115037413</v>
      </c>
      <c r="H4526" s="530"/>
      <c r="I4526" s="525" t="s">
        <v>693</v>
      </c>
      <c r="J4526" s="100"/>
      <c r="K4526" s="548"/>
      <c r="L4526" s="548"/>
      <c r="M4526" s="548"/>
      <c r="N4526" s="552"/>
      <c r="Y4526" s="551"/>
    </row>
    <row r="4527" spans="1:25">
      <c r="A4527" s="499">
        <v>45635</v>
      </c>
      <c r="B4527" s="499">
        <v>45636</v>
      </c>
      <c r="C4527" s="500" t="s">
        <v>173</v>
      </c>
      <c r="D4527" s="500" t="s">
        <v>761</v>
      </c>
      <c r="E4527" s="501">
        <v>496430090.66000003</v>
      </c>
      <c r="F4527" s="502" t="s">
        <v>878</v>
      </c>
      <c r="G4527" s="100">
        <v>115036749</v>
      </c>
      <c r="H4527" s="100">
        <v>115036749</v>
      </c>
      <c r="I4527" s="525" t="s">
        <v>604</v>
      </c>
      <c r="J4527" s="100"/>
      <c r="K4527" s="548"/>
      <c r="L4527" s="548"/>
      <c r="M4527" s="548"/>
      <c r="N4527" s="552"/>
      <c r="Y4527" s="551"/>
    </row>
    <row r="4528" spans="1:25">
      <c r="A4528" s="499">
        <v>45635</v>
      </c>
      <c r="B4528" s="499">
        <v>45636</v>
      </c>
      <c r="C4528" s="500" t="s">
        <v>173</v>
      </c>
      <c r="D4528" s="500" t="s">
        <v>761</v>
      </c>
      <c r="E4528" s="501">
        <v>3003082.82</v>
      </c>
      <c r="F4528" s="502" t="s">
        <v>878</v>
      </c>
      <c r="G4528" s="100">
        <v>115037413</v>
      </c>
      <c r="H4528" s="100">
        <v>115037413</v>
      </c>
      <c r="I4528" s="525" t="s">
        <v>693</v>
      </c>
      <c r="J4528" s="100"/>
      <c r="K4528" s="548"/>
      <c r="L4528" s="548"/>
      <c r="M4528" s="548"/>
      <c r="N4528" s="552"/>
      <c r="Y4528" s="551"/>
    </row>
    <row r="4529" spans="1:25">
      <c r="A4529" s="499">
        <v>45635</v>
      </c>
      <c r="B4529" s="499">
        <v>45635</v>
      </c>
      <c r="C4529" s="500" t="s">
        <v>173</v>
      </c>
      <c r="D4529" s="500" t="s">
        <v>759</v>
      </c>
      <c r="E4529" s="501">
        <v>-1999855194.95</v>
      </c>
      <c r="F4529" s="502" t="s">
        <v>878</v>
      </c>
      <c r="G4529" s="100">
        <v>115038321</v>
      </c>
      <c r="H4529" s="530"/>
      <c r="I4529" s="525" t="s">
        <v>821</v>
      </c>
      <c r="J4529" s="100"/>
      <c r="K4529" s="548"/>
      <c r="L4529" s="548"/>
      <c r="M4529" s="548"/>
      <c r="N4529" s="552"/>
      <c r="Y4529" s="551"/>
    </row>
    <row r="4530" spans="1:25">
      <c r="A4530" s="499">
        <v>45635</v>
      </c>
      <c r="B4530" s="499">
        <v>45635</v>
      </c>
      <c r="C4530" s="500" t="s">
        <v>173</v>
      </c>
      <c r="D4530" s="500" t="s">
        <v>759</v>
      </c>
      <c r="E4530" s="501">
        <v>-7002642.8600000003</v>
      </c>
      <c r="F4530" s="502" t="s">
        <v>878</v>
      </c>
      <c r="G4530" s="100">
        <v>115039716</v>
      </c>
      <c r="H4530" s="530"/>
      <c r="I4530" s="525" t="s">
        <v>1013</v>
      </c>
      <c r="J4530" s="100"/>
      <c r="K4530" s="548"/>
      <c r="L4530" s="548"/>
      <c r="M4530" s="548"/>
      <c r="N4530" s="552"/>
      <c r="Y4530" s="551"/>
    </row>
    <row r="4531" spans="1:25">
      <c r="A4531" s="499">
        <v>45635</v>
      </c>
      <c r="B4531" s="499">
        <v>45636</v>
      </c>
      <c r="C4531" s="500" t="s">
        <v>173</v>
      </c>
      <c r="D4531" s="500" t="s">
        <v>759</v>
      </c>
      <c r="E4531" s="501">
        <v>2000683003.8599999</v>
      </c>
      <c r="F4531" s="502" t="s">
        <v>878</v>
      </c>
      <c r="G4531" s="100">
        <v>115038321</v>
      </c>
      <c r="H4531" s="100">
        <v>115038321</v>
      </c>
      <c r="I4531" s="525" t="s">
        <v>821</v>
      </c>
      <c r="J4531" s="100"/>
      <c r="K4531" s="548"/>
      <c r="L4531" s="548"/>
      <c r="M4531" s="548"/>
      <c r="N4531" s="552"/>
      <c r="Y4531" s="551"/>
    </row>
    <row r="4532" spans="1:25">
      <c r="A4532" s="499">
        <v>45635</v>
      </c>
      <c r="B4532" s="499">
        <v>45636</v>
      </c>
      <c r="C4532" s="500" t="s">
        <v>173</v>
      </c>
      <c r="D4532" s="500" t="s">
        <v>759</v>
      </c>
      <c r="E4532" s="501">
        <v>7005507.0700000003</v>
      </c>
      <c r="F4532" s="502" t="s">
        <v>878</v>
      </c>
      <c r="G4532" s="100">
        <v>115039716</v>
      </c>
      <c r="H4532" s="100">
        <v>115039716</v>
      </c>
      <c r="I4532" s="525" t="s">
        <v>1013</v>
      </c>
      <c r="J4532" s="100"/>
      <c r="K4532" s="548"/>
      <c r="L4532" s="548"/>
      <c r="M4532" s="548"/>
      <c r="N4532" s="552"/>
      <c r="Y4532" s="551"/>
    </row>
    <row r="4533" spans="1:25">
      <c r="A4533" s="499">
        <v>45635</v>
      </c>
      <c r="B4533" s="499">
        <v>45635</v>
      </c>
      <c r="C4533" s="500" t="s">
        <v>173</v>
      </c>
      <c r="D4533" s="500" t="s">
        <v>760</v>
      </c>
      <c r="E4533" s="501">
        <v>-299277629.26999998</v>
      </c>
      <c r="F4533" s="502" t="s">
        <v>878</v>
      </c>
      <c r="G4533" s="100">
        <v>115038339</v>
      </c>
      <c r="H4533" s="530"/>
      <c r="I4533" s="525" t="s">
        <v>821</v>
      </c>
      <c r="J4533" s="100"/>
      <c r="K4533" s="548"/>
      <c r="L4533" s="548"/>
      <c r="M4533" s="548"/>
      <c r="N4533" s="552"/>
      <c r="Y4533" s="551"/>
    </row>
    <row r="4534" spans="1:25">
      <c r="A4534" s="499">
        <v>45635</v>
      </c>
      <c r="B4534" s="499">
        <v>45636</v>
      </c>
      <c r="C4534" s="500" t="s">
        <v>173</v>
      </c>
      <c r="D4534" s="500" t="s">
        <v>760</v>
      </c>
      <c r="E4534" s="501">
        <v>299401918.62</v>
      </c>
      <c r="F4534" s="502" t="s">
        <v>878</v>
      </c>
      <c r="G4534" s="100">
        <v>115038339</v>
      </c>
      <c r="H4534" s="100">
        <v>115038339</v>
      </c>
      <c r="I4534" s="525" t="s">
        <v>821</v>
      </c>
      <c r="J4534" s="100"/>
      <c r="K4534" s="548"/>
      <c r="L4534" s="548"/>
      <c r="M4534" s="548"/>
      <c r="N4534" s="552"/>
      <c r="Y4534" s="551"/>
    </row>
    <row r="4535" spans="1:25">
      <c r="A4535" s="499">
        <v>45635</v>
      </c>
      <c r="B4535" s="499">
        <v>45635</v>
      </c>
      <c r="C4535" s="500" t="s">
        <v>173</v>
      </c>
      <c r="D4535" s="500" t="s">
        <v>764</v>
      </c>
      <c r="E4535" s="501">
        <v>-2015173598.3</v>
      </c>
      <c r="F4535" s="502" t="s">
        <v>878</v>
      </c>
      <c r="G4535" s="100">
        <v>115036826</v>
      </c>
      <c r="H4535" s="530"/>
      <c r="I4535" s="525" t="s">
        <v>1018</v>
      </c>
      <c r="J4535" s="100"/>
      <c r="K4535" s="548"/>
      <c r="L4535" s="548"/>
      <c r="M4535" s="548"/>
      <c r="N4535" s="552"/>
      <c r="Y4535" s="551"/>
    </row>
    <row r="4536" spans="1:25">
      <c r="A4536" s="499">
        <v>45635</v>
      </c>
      <c r="B4536" s="499">
        <v>45635</v>
      </c>
      <c r="C4536" s="500" t="s">
        <v>173</v>
      </c>
      <c r="D4536" s="500" t="s">
        <v>764</v>
      </c>
      <c r="E4536" s="501">
        <v>-11001768.93</v>
      </c>
      <c r="F4536" s="502" t="s">
        <v>878</v>
      </c>
      <c r="G4536" s="100">
        <v>115036916</v>
      </c>
      <c r="H4536" s="530"/>
      <c r="I4536" s="525" t="s">
        <v>819</v>
      </c>
      <c r="J4536" s="100"/>
      <c r="K4536" s="548"/>
      <c r="L4536" s="548"/>
      <c r="M4536" s="548"/>
      <c r="N4536" s="552"/>
      <c r="Y4536" s="551"/>
    </row>
    <row r="4537" spans="1:25">
      <c r="A4537" s="499">
        <v>45635</v>
      </c>
      <c r="B4537" s="499">
        <v>45643</v>
      </c>
      <c r="C4537" s="500" t="s">
        <v>173</v>
      </c>
      <c r="D4537" s="500" t="s">
        <v>764</v>
      </c>
      <c r="E4537" s="501">
        <v>2021868819.8699999</v>
      </c>
      <c r="F4537" s="502" t="s">
        <v>878</v>
      </c>
      <c r="G4537" s="100">
        <v>115036826</v>
      </c>
      <c r="H4537" s="100">
        <v>115036826</v>
      </c>
      <c r="I4537" s="525" t="s">
        <v>1018</v>
      </c>
      <c r="J4537" s="100"/>
      <c r="K4537" s="548"/>
      <c r="L4537" s="548"/>
      <c r="M4537" s="548"/>
      <c r="N4537" s="552"/>
      <c r="Y4537" s="551"/>
    </row>
    <row r="4538" spans="1:25">
      <c r="A4538" s="499">
        <v>45635</v>
      </c>
      <c r="B4538" s="499">
        <v>45643</v>
      </c>
      <c r="C4538" s="500" t="s">
        <v>173</v>
      </c>
      <c r="D4538" s="500" t="s">
        <v>764</v>
      </c>
      <c r="E4538" s="501">
        <v>11038321.26</v>
      </c>
      <c r="F4538" s="502" t="s">
        <v>878</v>
      </c>
      <c r="G4538" s="100">
        <v>115036916</v>
      </c>
      <c r="H4538" s="100">
        <v>115036916</v>
      </c>
      <c r="I4538" s="525" t="s">
        <v>819</v>
      </c>
      <c r="J4538" s="100"/>
      <c r="K4538" s="548"/>
      <c r="L4538" s="548"/>
      <c r="M4538" s="548"/>
      <c r="N4538" s="552"/>
      <c r="Y4538" s="551"/>
    </row>
    <row r="4539" spans="1:25">
      <c r="A4539" s="499">
        <v>45635</v>
      </c>
      <c r="B4539" s="499">
        <v>45635</v>
      </c>
      <c r="C4539" s="500" t="s">
        <v>173</v>
      </c>
      <c r="D4539" s="500" t="s">
        <v>763</v>
      </c>
      <c r="E4539" s="501">
        <v>-3039368624.1599998</v>
      </c>
      <c r="F4539" s="502" t="s">
        <v>878</v>
      </c>
      <c r="G4539" s="100">
        <v>115037287</v>
      </c>
      <c r="H4539" s="530"/>
      <c r="I4539" s="525" t="s">
        <v>682</v>
      </c>
      <c r="J4539" s="100"/>
      <c r="K4539" s="548"/>
      <c r="L4539" s="548"/>
      <c r="M4539" s="548"/>
      <c r="N4539" s="552"/>
      <c r="Y4539" s="551"/>
    </row>
    <row r="4540" spans="1:25">
      <c r="A4540" s="499">
        <v>45635</v>
      </c>
      <c r="B4540" s="499">
        <v>45635</v>
      </c>
      <c r="C4540" s="500" t="s">
        <v>173</v>
      </c>
      <c r="D4540" s="500" t="s">
        <v>763</v>
      </c>
      <c r="E4540" s="501">
        <v>-2459215089.6900001</v>
      </c>
      <c r="F4540" s="502" t="s">
        <v>878</v>
      </c>
      <c r="G4540" s="100">
        <v>115037290</v>
      </c>
      <c r="H4540" s="530"/>
      <c r="I4540" s="525" t="s">
        <v>633</v>
      </c>
      <c r="J4540" s="100"/>
      <c r="K4540" s="548"/>
      <c r="L4540" s="548"/>
      <c r="M4540" s="548"/>
      <c r="N4540" s="552"/>
      <c r="Y4540" s="551"/>
    </row>
    <row r="4541" spans="1:25">
      <c r="A4541" s="499">
        <v>45635</v>
      </c>
      <c r="B4541" s="499">
        <v>45635</v>
      </c>
      <c r="C4541" s="500" t="s">
        <v>173</v>
      </c>
      <c r="D4541" s="500" t="s">
        <v>763</v>
      </c>
      <c r="E4541" s="501">
        <v>-20009886.82</v>
      </c>
      <c r="F4541" s="502" t="s">
        <v>878</v>
      </c>
      <c r="G4541" s="100">
        <v>115037314</v>
      </c>
      <c r="H4541" s="530"/>
      <c r="I4541" s="525" t="s">
        <v>633</v>
      </c>
      <c r="J4541" s="100"/>
      <c r="K4541" s="548"/>
      <c r="L4541" s="548"/>
      <c r="M4541" s="548"/>
      <c r="N4541" s="552"/>
      <c r="Y4541" s="551"/>
    </row>
    <row r="4542" spans="1:25">
      <c r="A4542" s="499">
        <v>45635</v>
      </c>
      <c r="B4542" s="499">
        <v>45636</v>
      </c>
      <c r="C4542" s="500" t="s">
        <v>173</v>
      </c>
      <c r="D4542" s="500" t="s">
        <v>763</v>
      </c>
      <c r="E4542" s="501">
        <v>3040610123.1999998</v>
      </c>
      <c r="F4542" s="502" t="s">
        <v>878</v>
      </c>
      <c r="G4542" s="100">
        <v>115037287</v>
      </c>
      <c r="H4542" s="100">
        <v>115037287</v>
      </c>
      <c r="I4542" s="525" t="s">
        <v>682</v>
      </c>
      <c r="J4542" s="100"/>
      <c r="K4542" s="548"/>
      <c r="L4542" s="548"/>
      <c r="M4542" s="548"/>
      <c r="N4542" s="552"/>
      <c r="Y4542" s="551"/>
    </row>
    <row r="4543" spans="1:25">
      <c r="A4543" s="499">
        <v>45635</v>
      </c>
      <c r="B4543" s="499">
        <v>45636</v>
      </c>
      <c r="C4543" s="500" t="s">
        <v>173</v>
      </c>
      <c r="D4543" s="500" t="s">
        <v>763</v>
      </c>
      <c r="E4543" s="501">
        <v>2460219605.1399999</v>
      </c>
      <c r="F4543" s="502" t="s">
        <v>878</v>
      </c>
      <c r="G4543" s="100">
        <v>115037290</v>
      </c>
      <c r="H4543" s="100">
        <v>115037290</v>
      </c>
      <c r="I4543" s="525" t="s">
        <v>633</v>
      </c>
      <c r="J4543" s="100"/>
      <c r="K4543" s="548"/>
      <c r="L4543" s="548"/>
      <c r="M4543" s="548"/>
      <c r="N4543" s="552"/>
      <c r="Y4543" s="551"/>
    </row>
    <row r="4544" spans="1:25">
      <c r="A4544" s="499">
        <v>45635</v>
      </c>
      <c r="B4544" s="499">
        <v>45636</v>
      </c>
      <c r="C4544" s="500" t="s">
        <v>173</v>
      </c>
      <c r="D4544" s="500" t="s">
        <v>763</v>
      </c>
      <c r="E4544" s="501">
        <v>20018060.260000002</v>
      </c>
      <c r="F4544" s="502" t="s">
        <v>878</v>
      </c>
      <c r="G4544" s="100">
        <v>115037314</v>
      </c>
      <c r="H4544" s="100">
        <v>115037314</v>
      </c>
      <c r="I4544" s="525" t="s">
        <v>633</v>
      </c>
      <c r="J4544" s="100"/>
      <c r="K4544" s="548"/>
      <c r="L4544" s="548"/>
      <c r="M4544" s="548"/>
      <c r="N4544" s="552"/>
      <c r="Y4544" s="551"/>
    </row>
    <row r="4545" spans="1:25">
      <c r="A4545" s="499">
        <v>45636</v>
      </c>
      <c r="B4545" s="499">
        <v>45636</v>
      </c>
      <c r="C4545" s="500" t="s">
        <v>173</v>
      </c>
      <c r="D4545" s="500" t="s">
        <v>762</v>
      </c>
      <c r="E4545" s="501">
        <v>-3102768114</v>
      </c>
      <c r="F4545" s="502" t="s">
        <v>878</v>
      </c>
      <c r="G4545" s="100">
        <v>115061204</v>
      </c>
      <c r="H4545" s="530"/>
      <c r="I4545" s="525" t="s">
        <v>682</v>
      </c>
      <c r="J4545" s="484"/>
      <c r="K4545" s="548"/>
      <c r="L4545" s="548"/>
      <c r="M4545" s="548"/>
      <c r="N4545" s="552"/>
      <c r="Y4545" s="551"/>
    </row>
    <row r="4546" spans="1:25">
      <c r="A4546" s="499">
        <v>45636</v>
      </c>
      <c r="B4546" s="499">
        <v>45636</v>
      </c>
      <c r="C4546" s="500" t="s">
        <v>173</v>
      </c>
      <c r="D4546" s="500" t="s">
        <v>762</v>
      </c>
      <c r="E4546" s="501">
        <v>-17012418.5</v>
      </c>
      <c r="F4546" s="502" t="s">
        <v>878</v>
      </c>
      <c r="G4546" s="100">
        <v>115064582</v>
      </c>
      <c r="H4546" s="530"/>
      <c r="I4546" s="525" t="s">
        <v>648</v>
      </c>
      <c r="J4546" s="484"/>
      <c r="K4546" s="548"/>
      <c r="L4546" s="548"/>
      <c r="M4546" s="548"/>
      <c r="N4546" s="552"/>
      <c r="Y4546" s="551"/>
    </row>
    <row r="4547" spans="1:25">
      <c r="A4547" s="499">
        <v>45636</v>
      </c>
      <c r="B4547" s="499">
        <v>45636</v>
      </c>
      <c r="C4547" s="500" t="s">
        <v>173</v>
      </c>
      <c r="D4547" s="500" t="s">
        <v>762</v>
      </c>
      <c r="E4547" s="501">
        <v>-1390082537.9200001</v>
      </c>
      <c r="F4547" s="502" t="s">
        <v>878</v>
      </c>
      <c r="G4547" s="100">
        <v>115061661</v>
      </c>
      <c r="H4547" s="530"/>
      <c r="I4547" s="525" t="s">
        <v>646</v>
      </c>
      <c r="J4547" s="484"/>
      <c r="K4547" s="548"/>
      <c r="L4547" s="548"/>
      <c r="M4547" s="548"/>
      <c r="N4547" s="552"/>
      <c r="Y4547" s="551"/>
    </row>
    <row r="4548" spans="1:25">
      <c r="A4548" s="499">
        <v>45636</v>
      </c>
      <c r="B4548" s="499">
        <v>45636</v>
      </c>
      <c r="C4548" s="500" t="s">
        <v>173</v>
      </c>
      <c r="D4548" s="500" t="s">
        <v>762</v>
      </c>
      <c r="E4548" s="501">
        <v>-60013976.329999998</v>
      </c>
      <c r="F4548" s="502" t="s">
        <v>878</v>
      </c>
      <c r="G4548" s="100">
        <v>115061065</v>
      </c>
      <c r="H4548" s="530"/>
      <c r="I4548" s="525" t="s">
        <v>573</v>
      </c>
      <c r="J4548" s="484"/>
      <c r="K4548" s="548"/>
      <c r="L4548" s="548"/>
      <c r="M4548" s="548"/>
      <c r="N4548" s="552"/>
      <c r="Y4548" s="551"/>
    </row>
    <row r="4549" spans="1:25">
      <c r="A4549" s="499">
        <v>45636</v>
      </c>
      <c r="B4549" s="499">
        <v>45637</v>
      </c>
      <c r="C4549" s="500" t="s">
        <v>173</v>
      </c>
      <c r="D4549" s="500" t="s">
        <v>762</v>
      </c>
      <c r="E4549" s="501">
        <v>3103988875.23</v>
      </c>
      <c r="F4549" s="502" t="s">
        <v>878</v>
      </c>
      <c r="G4549" s="100">
        <v>115061204</v>
      </c>
      <c r="H4549" s="484">
        <v>115061204</v>
      </c>
      <c r="I4549" s="525" t="s">
        <v>682</v>
      </c>
      <c r="J4549" s="484"/>
      <c r="K4549" s="548"/>
      <c r="L4549" s="548"/>
      <c r="M4549" s="548"/>
      <c r="N4549" s="552"/>
      <c r="Y4549" s="551"/>
    </row>
    <row r="4550" spans="1:25">
      <c r="A4550" s="499">
        <v>45636</v>
      </c>
      <c r="B4550" s="499">
        <v>45637</v>
      </c>
      <c r="C4550" s="500" t="s">
        <v>173</v>
      </c>
      <c r="D4550" s="500" t="s">
        <v>762</v>
      </c>
      <c r="E4550" s="501">
        <v>17019158.390000001</v>
      </c>
      <c r="F4550" s="502" t="s">
        <v>878</v>
      </c>
      <c r="G4550" s="100">
        <v>115064582</v>
      </c>
      <c r="H4550" s="484">
        <v>115064582</v>
      </c>
      <c r="I4550" s="525" t="s">
        <v>648</v>
      </c>
      <c r="J4550" s="484"/>
      <c r="K4550" s="548"/>
      <c r="L4550" s="548"/>
      <c r="M4550" s="548"/>
      <c r="N4550" s="552"/>
      <c r="Y4550" s="551"/>
    </row>
    <row r="4551" spans="1:25">
      <c r="A4551" s="499">
        <v>45636</v>
      </c>
      <c r="B4551" s="499">
        <v>45637</v>
      </c>
      <c r="C4551" s="500" t="s">
        <v>173</v>
      </c>
      <c r="D4551" s="500" t="s">
        <v>762</v>
      </c>
      <c r="E4551" s="501">
        <v>1390629455.6400001</v>
      </c>
      <c r="F4551" s="502" t="s">
        <v>878</v>
      </c>
      <c r="G4551" s="100">
        <v>115061661</v>
      </c>
      <c r="H4551" s="484">
        <v>115061661</v>
      </c>
      <c r="I4551" s="525" t="s">
        <v>646</v>
      </c>
      <c r="J4551" s="484"/>
      <c r="K4551" s="548"/>
      <c r="L4551" s="548"/>
      <c r="M4551" s="548"/>
      <c r="N4551" s="552"/>
      <c r="Y4551" s="551"/>
    </row>
    <row r="4552" spans="1:25">
      <c r="A4552" s="499">
        <v>45636</v>
      </c>
      <c r="B4552" s="499">
        <v>45637</v>
      </c>
      <c r="C4552" s="500" t="s">
        <v>173</v>
      </c>
      <c r="D4552" s="500" t="s">
        <v>762</v>
      </c>
      <c r="E4552" s="501">
        <v>60037588.390000001</v>
      </c>
      <c r="F4552" s="502" t="s">
        <v>878</v>
      </c>
      <c r="G4552" s="100">
        <v>115061065</v>
      </c>
      <c r="H4552" s="484">
        <v>115061065</v>
      </c>
      <c r="I4552" s="525" t="s">
        <v>573</v>
      </c>
      <c r="J4552" s="484"/>
      <c r="K4552" s="548"/>
      <c r="L4552" s="548"/>
      <c r="M4552" s="548"/>
      <c r="N4552" s="552"/>
      <c r="Y4552" s="551"/>
    </row>
    <row r="4553" spans="1:25">
      <c r="A4553" s="499">
        <v>45636</v>
      </c>
      <c r="B4553" s="499">
        <v>45636</v>
      </c>
      <c r="C4553" s="500" t="s">
        <v>173</v>
      </c>
      <c r="D4553" s="500" t="s">
        <v>761</v>
      </c>
      <c r="E4553" s="501">
        <v>-497182421.86000001</v>
      </c>
      <c r="F4553" s="502" t="s">
        <v>878</v>
      </c>
      <c r="G4553" s="100">
        <v>115055813</v>
      </c>
      <c r="H4553" s="530"/>
      <c r="I4553" s="525" t="s">
        <v>631</v>
      </c>
      <c r="J4553" s="484"/>
      <c r="K4553" s="548"/>
      <c r="L4553" s="548"/>
      <c r="M4553" s="548"/>
      <c r="N4553" s="552"/>
      <c r="Y4553" s="551"/>
    </row>
    <row r="4554" spans="1:25">
      <c r="A4554" s="499">
        <v>45636</v>
      </c>
      <c r="B4554" s="499">
        <v>45636</v>
      </c>
      <c r="C4554" s="500" t="s">
        <v>173</v>
      </c>
      <c r="D4554" s="500" t="s">
        <v>761</v>
      </c>
      <c r="E4554" s="501">
        <v>-2001626.86</v>
      </c>
      <c r="F4554" s="502" t="s">
        <v>878</v>
      </c>
      <c r="G4554" s="100">
        <v>115056149</v>
      </c>
      <c r="H4554" s="530"/>
      <c r="I4554" s="525" t="s">
        <v>676</v>
      </c>
      <c r="J4554" s="484"/>
      <c r="K4554" s="548"/>
      <c r="L4554" s="548"/>
      <c r="M4554" s="548"/>
      <c r="N4554" s="552"/>
      <c r="Y4554" s="551"/>
    </row>
    <row r="4555" spans="1:25">
      <c r="A4555" s="499">
        <v>45636</v>
      </c>
      <c r="B4555" s="499">
        <v>45636</v>
      </c>
      <c r="C4555" s="500" t="s">
        <v>173</v>
      </c>
      <c r="D4555" s="500" t="s">
        <v>761</v>
      </c>
      <c r="E4555" s="501">
        <v>-421375927.74000001</v>
      </c>
      <c r="F4555" s="502" t="s">
        <v>878</v>
      </c>
      <c r="G4555" s="100">
        <v>115058466</v>
      </c>
      <c r="H4555" s="530"/>
      <c r="I4555" s="525" t="s">
        <v>682</v>
      </c>
      <c r="J4555" s="484"/>
      <c r="K4555" s="548"/>
      <c r="L4555" s="548"/>
      <c r="M4555" s="548"/>
      <c r="N4555" s="552"/>
      <c r="Y4555" s="551"/>
    </row>
    <row r="4556" spans="1:25">
      <c r="A4556" s="499">
        <v>45636</v>
      </c>
      <c r="B4556" s="499">
        <v>45637</v>
      </c>
      <c r="C4556" s="500" t="s">
        <v>173</v>
      </c>
      <c r="D4556" s="500" t="s">
        <v>761</v>
      </c>
      <c r="E4556" s="501">
        <v>497386185.14999998</v>
      </c>
      <c r="F4556" s="502" t="s">
        <v>878</v>
      </c>
      <c r="G4556" s="100">
        <v>115055813</v>
      </c>
      <c r="H4556" s="100">
        <v>115055813</v>
      </c>
      <c r="I4556" s="525" t="s">
        <v>631</v>
      </c>
      <c r="J4556" s="484"/>
      <c r="K4556" s="548"/>
      <c r="L4556" s="548"/>
      <c r="M4556" s="548"/>
      <c r="N4556" s="552"/>
      <c r="Y4556" s="551"/>
    </row>
    <row r="4557" spans="1:25">
      <c r="A4557" s="499">
        <v>45636</v>
      </c>
      <c r="B4557" s="499">
        <v>45637</v>
      </c>
      <c r="C4557" s="500" t="s">
        <v>173</v>
      </c>
      <c r="D4557" s="500" t="s">
        <v>761</v>
      </c>
      <c r="E4557" s="501">
        <v>2002447.2</v>
      </c>
      <c r="F4557" s="502" t="s">
        <v>878</v>
      </c>
      <c r="G4557" s="100">
        <v>115056149</v>
      </c>
      <c r="H4557" s="100">
        <v>115056149</v>
      </c>
      <c r="I4557" s="525" t="s">
        <v>676</v>
      </c>
      <c r="J4557" s="484"/>
      <c r="K4557" s="548"/>
      <c r="L4557" s="548"/>
      <c r="M4557" s="548"/>
      <c r="N4557" s="552"/>
      <c r="Y4557" s="551"/>
    </row>
    <row r="4558" spans="1:25">
      <c r="A4558" s="499">
        <v>45636</v>
      </c>
      <c r="B4558" s="499">
        <v>45643</v>
      </c>
      <c r="C4558" s="500" t="s">
        <v>173</v>
      </c>
      <c r="D4558" s="500" t="s">
        <v>761</v>
      </c>
      <c r="E4558" s="501">
        <v>422592852.20999998</v>
      </c>
      <c r="F4558" s="502" t="s">
        <v>878</v>
      </c>
      <c r="G4558" s="100">
        <v>115058466</v>
      </c>
      <c r="H4558" s="100">
        <v>115058466</v>
      </c>
      <c r="I4558" s="525" t="s">
        <v>682</v>
      </c>
      <c r="J4558" s="484"/>
      <c r="K4558" s="548"/>
      <c r="L4558" s="548"/>
      <c r="M4558" s="548"/>
      <c r="N4558" s="552"/>
      <c r="Y4558" s="551"/>
    </row>
    <row r="4559" spans="1:25">
      <c r="A4559" s="499">
        <v>45636</v>
      </c>
      <c r="B4559" s="499">
        <v>45636</v>
      </c>
      <c r="C4559" s="500" t="s">
        <v>173</v>
      </c>
      <c r="D4559" s="500" t="s">
        <v>759</v>
      </c>
      <c r="E4559" s="501">
        <v>-3903482466</v>
      </c>
      <c r="F4559" s="502" t="s">
        <v>878</v>
      </c>
      <c r="G4559" s="100">
        <v>115056678</v>
      </c>
      <c r="H4559" s="530"/>
      <c r="I4559" s="525"/>
      <c r="K4559" s="548"/>
      <c r="L4559" s="548"/>
      <c r="M4559" s="548"/>
      <c r="N4559" s="552"/>
      <c r="Y4559" s="551"/>
    </row>
    <row r="4560" spans="1:25">
      <c r="A4560" s="499">
        <v>45636</v>
      </c>
      <c r="B4560" s="499">
        <v>45636</v>
      </c>
      <c r="C4560" s="500" t="s">
        <v>173</v>
      </c>
      <c r="D4560" s="500" t="s">
        <v>759</v>
      </c>
      <c r="E4560" s="501">
        <v>-1996888316.6099999</v>
      </c>
      <c r="F4560" s="502" t="s">
        <v>878</v>
      </c>
      <c r="G4560" s="100">
        <v>115056798</v>
      </c>
      <c r="H4560" s="530"/>
      <c r="I4560" s="525"/>
      <c r="K4560" s="548"/>
      <c r="L4560" s="548"/>
      <c r="M4560" s="548"/>
      <c r="N4560" s="552"/>
      <c r="Y4560" s="551"/>
    </row>
    <row r="4561" spans="1:25">
      <c r="A4561" s="499">
        <v>45636</v>
      </c>
      <c r="B4561" s="499">
        <v>45636</v>
      </c>
      <c r="C4561" s="500" t="s">
        <v>173</v>
      </c>
      <c r="D4561" s="500" t="s">
        <v>759</v>
      </c>
      <c r="E4561" s="501">
        <v>-3000760.16</v>
      </c>
      <c r="F4561" s="502" t="s">
        <v>878</v>
      </c>
      <c r="G4561" s="100">
        <v>115058173</v>
      </c>
      <c r="H4561" s="530"/>
      <c r="I4561" s="525"/>
      <c r="K4561" s="548"/>
      <c r="L4561" s="548"/>
      <c r="M4561" s="548"/>
      <c r="N4561" s="552"/>
      <c r="Y4561" s="551"/>
    </row>
    <row r="4562" spans="1:25">
      <c r="A4562" s="499">
        <v>45636</v>
      </c>
      <c r="B4562" s="499">
        <v>45636</v>
      </c>
      <c r="C4562" s="500" t="s">
        <v>173</v>
      </c>
      <c r="D4562" s="500" t="s">
        <v>759</v>
      </c>
      <c r="E4562" s="501">
        <v>-18016072.920000002</v>
      </c>
      <c r="F4562" s="502" t="s">
        <v>878</v>
      </c>
      <c r="G4562" s="100">
        <v>115058226</v>
      </c>
      <c r="H4562" s="530"/>
      <c r="I4562" s="525"/>
      <c r="K4562" s="548"/>
      <c r="L4562" s="548"/>
      <c r="M4562" s="548"/>
      <c r="N4562" s="552"/>
      <c r="Y4562" s="551"/>
    </row>
    <row r="4563" spans="1:25">
      <c r="A4563" s="499">
        <v>45636</v>
      </c>
      <c r="B4563" s="499">
        <v>45643</v>
      </c>
      <c r="C4563" s="500" t="s">
        <v>173</v>
      </c>
      <c r="D4563" s="500" t="s">
        <v>759</v>
      </c>
      <c r="E4563" s="501">
        <v>3914718309.6599998</v>
      </c>
      <c r="F4563" s="502" t="s">
        <v>878</v>
      </c>
      <c r="G4563" s="100">
        <v>115056678</v>
      </c>
      <c r="H4563" s="100">
        <v>115056678</v>
      </c>
      <c r="I4563" s="525" t="s">
        <v>682</v>
      </c>
      <c r="J4563" s="100"/>
      <c r="K4563" s="548"/>
      <c r="L4563" s="548"/>
      <c r="M4563" s="548"/>
      <c r="N4563" s="552"/>
      <c r="Y4563" s="551"/>
    </row>
    <row r="4564" spans="1:25">
      <c r="A4564" s="499">
        <v>45636</v>
      </c>
      <c r="B4564" s="499">
        <v>45637</v>
      </c>
      <c r="C4564" s="500" t="s">
        <v>173</v>
      </c>
      <c r="D4564" s="500" t="s">
        <v>759</v>
      </c>
      <c r="E4564" s="501">
        <v>1997706708.01</v>
      </c>
      <c r="F4564" s="502" t="s">
        <v>878</v>
      </c>
      <c r="G4564" s="100">
        <v>115056798</v>
      </c>
      <c r="H4564" s="100">
        <v>115056798</v>
      </c>
      <c r="I4564" s="525" t="s">
        <v>633</v>
      </c>
      <c r="J4564" s="100"/>
      <c r="K4564" s="548"/>
      <c r="L4564" s="548"/>
      <c r="M4564" s="548"/>
      <c r="N4564" s="552"/>
      <c r="Y4564" s="551"/>
    </row>
    <row r="4565" spans="1:25">
      <c r="A4565" s="499">
        <v>45636</v>
      </c>
      <c r="B4565" s="499">
        <v>45637</v>
      </c>
      <c r="C4565" s="500" t="s">
        <v>173</v>
      </c>
      <c r="D4565" s="500" t="s">
        <v>759</v>
      </c>
      <c r="E4565" s="501">
        <v>3001985.06</v>
      </c>
      <c r="F4565" s="502" t="s">
        <v>878</v>
      </c>
      <c r="G4565" s="100">
        <v>115058173</v>
      </c>
      <c r="H4565" s="100">
        <v>115058173</v>
      </c>
      <c r="I4565" s="525" t="s">
        <v>674</v>
      </c>
      <c r="J4565" s="100"/>
      <c r="K4565" s="548"/>
      <c r="L4565" s="548"/>
      <c r="M4565" s="548"/>
      <c r="N4565" s="552"/>
      <c r="Y4565" s="551"/>
    </row>
    <row r="4566" spans="1:25">
      <c r="A4566" s="499">
        <v>45636</v>
      </c>
      <c r="B4566" s="499">
        <v>45643</v>
      </c>
      <c r="C4566" s="500" t="s">
        <v>173</v>
      </c>
      <c r="D4566" s="500" t="s">
        <v>759</v>
      </c>
      <c r="E4566" s="501">
        <v>18067758.719999999</v>
      </c>
      <c r="F4566" s="502" t="s">
        <v>878</v>
      </c>
      <c r="G4566" s="100">
        <v>115058226</v>
      </c>
      <c r="H4566" s="100">
        <v>115058226</v>
      </c>
      <c r="I4566" s="525" t="s">
        <v>682</v>
      </c>
      <c r="J4566" s="100"/>
      <c r="K4566" s="548"/>
      <c r="L4566" s="548"/>
      <c r="M4566" s="548"/>
      <c r="N4566" s="552"/>
      <c r="Y4566" s="551"/>
    </row>
    <row r="4567" spans="1:25">
      <c r="A4567" s="499">
        <v>45636</v>
      </c>
      <c r="B4567" s="499">
        <v>45636</v>
      </c>
      <c r="C4567" s="500" t="s">
        <v>173</v>
      </c>
      <c r="D4567" s="500" t="s">
        <v>760</v>
      </c>
      <c r="E4567" s="501">
        <v>-298132624.42000002</v>
      </c>
      <c r="F4567" s="502" t="s">
        <v>878</v>
      </c>
      <c r="G4567" s="100">
        <v>115056807</v>
      </c>
      <c r="H4567" s="530"/>
      <c r="I4567" s="525" t="s">
        <v>633</v>
      </c>
      <c r="J4567" s="100"/>
      <c r="K4567" s="548"/>
      <c r="L4567" s="548"/>
      <c r="M4567" s="548"/>
      <c r="N4567" s="552"/>
      <c r="Y4567" s="551"/>
    </row>
    <row r="4568" spans="1:25">
      <c r="A4568" s="499">
        <v>45636</v>
      </c>
      <c r="B4568" s="499">
        <v>45637</v>
      </c>
      <c r="C4568" s="500" t="s">
        <v>173</v>
      </c>
      <c r="D4568" s="500" t="s">
        <v>760</v>
      </c>
      <c r="E4568" s="501">
        <v>298254809.92000002</v>
      </c>
      <c r="F4568" s="502" t="s">
        <v>878</v>
      </c>
      <c r="G4568" s="100">
        <v>115056807</v>
      </c>
      <c r="H4568" s="100">
        <v>115056807</v>
      </c>
      <c r="I4568" s="525" t="s">
        <v>633</v>
      </c>
      <c r="J4568" s="100"/>
      <c r="K4568" s="548"/>
      <c r="L4568" s="548"/>
      <c r="M4568" s="548"/>
      <c r="N4568" s="552"/>
      <c r="Y4568" s="551"/>
    </row>
    <row r="4569" spans="1:25">
      <c r="A4569" s="499">
        <v>45636</v>
      </c>
      <c r="B4569" s="499">
        <v>45636</v>
      </c>
      <c r="C4569" s="500" t="s">
        <v>173</v>
      </c>
      <c r="D4569" s="500" t="s">
        <v>763</v>
      </c>
      <c r="E4569" s="501">
        <v>-1268458351.8800001</v>
      </c>
      <c r="F4569" s="502" t="s">
        <v>878</v>
      </c>
      <c r="G4569" s="100">
        <v>115059899</v>
      </c>
      <c r="H4569" s="530"/>
      <c r="I4569" s="525" t="s">
        <v>835</v>
      </c>
      <c r="J4569" s="100"/>
      <c r="K4569" s="548"/>
      <c r="L4569" s="548"/>
      <c r="M4569" s="548"/>
      <c r="N4569" s="552"/>
      <c r="Y4569" s="551"/>
    </row>
    <row r="4570" spans="1:25">
      <c r="A4570" s="499">
        <v>45636</v>
      </c>
      <c r="B4570" s="499">
        <v>45636</v>
      </c>
      <c r="C4570" s="500" t="s">
        <v>173</v>
      </c>
      <c r="D4570" s="500" t="s">
        <v>763</v>
      </c>
      <c r="E4570" s="501">
        <v>-944116499.03999996</v>
      </c>
      <c r="F4570" s="502" t="s">
        <v>878</v>
      </c>
      <c r="G4570" s="100">
        <v>115059902</v>
      </c>
      <c r="H4570" s="530"/>
      <c r="I4570" s="525" t="s">
        <v>686</v>
      </c>
      <c r="J4570" s="100"/>
      <c r="K4570" s="548"/>
      <c r="L4570" s="548"/>
      <c r="M4570" s="548"/>
      <c r="N4570" s="552"/>
      <c r="Y4570" s="551"/>
    </row>
    <row r="4571" spans="1:25">
      <c r="A4571" s="499">
        <v>45636</v>
      </c>
      <c r="B4571" s="499">
        <v>45636</v>
      </c>
      <c r="C4571" s="500" t="s">
        <v>173</v>
      </c>
      <c r="D4571" s="500" t="s">
        <v>763</v>
      </c>
      <c r="E4571" s="501">
        <v>-2413512531.4299998</v>
      </c>
      <c r="F4571" s="502" t="s">
        <v>878</v>
      </c>
      <c r="G4571" s="100">
        <v>115059905</v>
      </c>
      <c r="H4571" s="530"/>
      <c r="I4571" s="525" t="s">
        <v>816</v>
      </c>
      <c r="J4571" s="100"/>
      <c r="K4571" s="548"/>
      <c r="L4571" s="548"/>
      <c r="M4571" s="548"/>
      <c r="N4571" s="552"/>
      <c r="Y4571" s="551"/>
    </row>
    <row r="4572" spans="1:25">
      <c r="A4572" s="499">
        <v>45636</v>
      </c>
      <c r="B4572" s="499">
        <v>45636</v>
      </c>
      <c r="C4572" s="500" t="s">
        <v>173</v>
      </c>
      <c r="D4572" s="500" t="s">
        <v>763</v>
      </c>
      <c r="E4572" s="501">
        <v>-876679972.22000003</v>
      </c>
      <c r="F4572" s="502" t="s">
        <v>878</v>
      </c>
      <c r="G4572" s="100">
        <v>115059908</v>
      </c>
      <c r="H4572" s="530"/>
      <c r="I4572" s="525" t="s">
        <v>827</v>
      </c>
      <c r="J4572" s="100"/>
      <c r="K4572" s="548"/>
      <c r="L4572" s="548"/>
      <c r="M4572" s="548"/>
      <c r="N4572" s="552"/>
      <c r="Y4572" s="551"/>
    </row>
    <row r="4573" spans="1:25">
      <c r="A4573" s="499">
        <v>45636</v>
      </c>
      <c r="B4573" s="499">
        <v>45636</v>
      </c>
      <c r="C4573" s="500" t="s">
        <v>173</v>
      </c>
      <c r="D4573" s="500" t="s">
        <v>763</v>
      </c>
      <c r="E4573" s="501">
        <v>-18013972.030000001</v>
      </c>
      <c r="F4573" s="502" t="s">
        <v>878</v>
      </c>
      <c r="G4573" s="100">
        <v>115059920</v>
      </c>
      <c r="H4573" s="530"/>
      <c r="I4573" s="525" t="s">
        <v>827</v>
      </c>
      <c r="J4573" s="100"/>
      <c r="K4573" s="548"/>
      <c r="L4573" s="548"/>
      <c r="M4573" s="548"/>
      <c r="N4573" s="552"/>
      <c r="Y4573" s="551"/>
    </row>
    <row r="4574" spans="1:25">
      <c r="A4574" s="499">
        <v>45636</v>
      </c>
      <c r="B4574" s="499">
        <v>45637</v>
      </c>
      <c r="C4574" s="500" t="s">
        <v>173</v>
      </c>
      <c r="D4574" s="500" t="s">
        <v>763</v>
      </c>
      <c r="E4574" s="501">
        <v>1268974746.1300001</v>
      </c>
      <c r="F4574" s="502" t="s">
        <v>878</v>
      </c>
      <c r="G4574" s="100">
        <v>115059899</v>
      </c>
      <c r="H4574" s="484">
        <v>115059899</v>
      </c>
      <c r="I4574" s="525" t="s">
        <v>835</v>
      </c>
      <c r="J4574" s="100"/>
      <c r="K4574" s="548"/>
      <c r="L4574" s="548"/>
      <c r="M4574" s="548"/>
      <c r="N4574" s="552"/>
      <c r="Y4574" s="551"/>
    </row>
    <row r="4575" spans="1:25">
      <c r="A4575" s="499">
        <v>45636</v>
      </c>
      <c r="B4575" s="499">
        <v>45637</v>
      </c>
      <c r="C4575" s="500" t="s">
        <v>173</v>
      </c>
      <c r="D4575" s="500" t="s">
        <v>763</v>
      </c>
      <c r="E4575" s="501">
        <v>944499872.25</v>
      </c>
      <c r="F4575" s="502" t="s">
        <v>878</v>
      </c>
      <c r="G4575" s="100">
        <v>115059902</v>
      </c>
      <c r="H4575" s="484">
        <v>115059902</v>
      </c>
      <c r="I4575" s="525" t="s">
        <v>686</v>
      </c>
      <c r="J4575" s="100"/>
      <c r="K4575" s="548"/>
      <c r="L4575" s="548"/>
      <c r="M4575" s="548"/>
      <c r="N4575" s="552"/>
      <c r="Y4575" s="551"/>
    </row>
    <row r="4576" spans="1:25">
      <c r="A4576" s="499">
        <v>45636</v>
      </c>
      <c r="B4576" s="499">
        <v>45637</v>
      </c>
      <c r="C4576" s="500" t="s">
        <v>173</v>
      </c>
      <c r="D4576" s="500" t="s">
        <v>763</v>
      </c>
      <c r="E4576" s="501">
        <v>2414492575.7800002</v>
      </c>
      <c r="F4576" s="502" t="s">
        <v>878</v>
      </c>
      <c r="G4576" s="100">
        <v>115059905</v>
      </c>
      <c r="H4576" s="484">
        <v>115059905</v>
      </c>
      <c r="I4576" s="525" t="s">
        <v>816</v>
      </c>
      <c r="J4576" s="100"/>
      <c r="K4576" s="548"/>
      <c r="L4576" s="548"/>
      <c r="M4576" s="548"/>
      <c r="N4576" s="552"/>
      <c r="Y4576" s="551"/>
    </row>
    <row r="4577" spans="1:25">
      <c r="A4577" s="499">
        <v>45636</v>
      </c>
      <c r="B4577" s="499">
        <v>45637</v>
      </c>
      <c r="C4577" s="500" t="s">
        <v>173</v>
      </c>
      <c r="D4577" s="500" t="s">
        <v>763</v>
      </c>
      <c r="E4577" s="501">
        <v>877035961.77999997</v>
      </c>
      <c r="F4577" s="502" t="s">
        <v>878</v>
      </c>
      <c r="G4577" s="100">
        <v>115059908</v>
      </c>
      <c r="H4577" s="484">
        <v>115059908</v>
      </c>
      <c r="I4577" s="525" t="s">
        <v>827</v>
      </c>
      <c r="J4577" s="100"/>
      <c r="K4577" s="548"/>
      <c r="L4577" s="548"/>
      <c r="M4577" s="548"/>
      <c r="N4577" s="552"/>
      <c r="Y4577" s="551"/>
    </row>
    <row r="4578" spans="1:25">
      <c r="A4578" s="499">
        <v>45636</v>
      </c>
      <c r="B4578" s="499">
        <v>45637</v>
      </c>
      <c r="C4578" s="500" t="s">
        <v>173</v>
      </c>
      <c r="D4578" s="500" t="s">
        <v>763</v>
      </c>
      <c r="E4578" s="501">
        <v>18021286.879999999</v>
      </c>
      <c r="F4578" s="502" t="s">
        <v>878</v>
      </c>
      <c r="G4578" s="100">
        <v>115059920</v>
      </c>
      <c r="H4578" s="484">
        <v>115059920</v>
      </c>
      <c r="I4578" s="525" t="s">
        <v>827</v>
      </c>
      <c r="J4578" s="100"/>
      <c r="K4578" s="548"/>
      <c r="L4578" s="548"/>
      <c r="M4578" s="548"/>
      <c r="N4578" s="552">
        <v>-1</v>
      </c>
      <c r="Y4578" s="551"/>
    </row>
    <row r="4579" spans="1:25">
      <c r="A4579" s="499">
        <v>45637</v>
      </c>
      <c r="B4579" s="499">
        <v>45637</v>
      </c>
      <c r="C4579" s="500" t="s">
        <v>173</v>
      </c>
      <c r="D4579" s="500" t="s">
        <v>762</v>
      </c>
      <c r="E4579" s="501">
        <v>-2704851668.0599999</v>
      </c>
      <c r="F4579" s="502" t="s">
        <v>878</v>
      </c>
      <c r="G4579" s="100">
        <v>115079418</v>
      </c>
      <c r="H4579" s="530"/>
      <c r="I4579" s="525" t="s">
        <v>678</v>
      </c>
      <c r="J4579" s="100"/>
      <c r="K4579" s="548"/>
      <c r="L4579" s="548"/>
      <c r="M4579" s="548"/>
      <c r="N4579" s="552"/>
      <c r="Y4579" s="551"/>
    </row>
    <row r="4580" spans="1:25">
      <c r="A4580" s="499">
        <v>45637</v>
      </c>
      <c r="B4580" s="499">
        <v>45637</v>
      </c>
      <c r="C4580" s="500" t="s">
        <v>173</v>
      </c>
      <c r="D4580" s="500" t="s">
        <v>762</v>
      </c>
      <c r="E4580" s="501">
        <v>-17005354.420000002</v>
      </c>
      <c r="F4580" s="502" t="s">
        <v>878</v>
      </c>
      <c r="G4580" s="100">
        <v>115079428</v>
      </c>
      <c r="H4580" s="530"/>
      <c r="I4580" s="525" t="s">
        <v>678</v>
      </c>
      <c r="J4580" s="100"/>
      <c r="K4580" s="548"/>
      <c r="L4580" s="548"/>
      <c r="M4580" s="548"/>
      <c r="N4580" s="552"/>
      <c r="Y4580" s="551"/>
    </row>
    <row r="4581" spans="1:25">
      <c r="A4581" s="499">
        <v>45637</v>
      </c>
      <c r="B4581" s="499">
        <v>45637</v>
      </c>
      <c r="C4581" s="500" t="s">
        <v>173</v>
      </c>
      <c r="D4581" s="500" t="s">
        <v>762</v>
      </c>
      <c r="E4581" s="501">
        <v>-1851457888.8</v>
      </c>
      <c r="F4581" s="502" t="s">
        <v>878</v>
      </c>
      <c r="G4581" s="100">
        <v>115079415</v>
      </c>
      <c r="H4581" s="530"/>
      <c r="I4581" s="525" t="s">
        <v>656</v>
      </c>
      <c r="J4581" s="100"/>
      <c r="K4581" s="548"/>
      <c r="L4581" s="548"/>
      <c r="M4581" s="548"/>
      <c r="N4581" s="552"/>
      <c r="Y4581" s="551"/>
    </row>
    <row r="4582" spans="1:25">
      <c r="A4582" s="499">
        <v>45637</v>
      </c>
      <c r="B4582" s="499">
        <v>45638</v>
      </c>
      <c r="C4582" s="500" t="s">
        <v>173</v>
      </c>
      <c r="D4582" s="500" t="s">
        <v>762</v>
      </c>
      <c r="E4582" s="501">
        <v>2705923269.6900001</v>
      </c>
      <c r="F4582" s="502" t="s">
        <v>878</v>
      </c>
      <c r="G4582" s="100">
        <v>115079418</v>
      </c>
      <c r="H4582" s="484">
        <v>115079418</v>
      </c>
      <c r="I4582" s="525" t="s">
        <v>678</v>
      </c>
      <c r="J4582" s="100"/>
      <c r="K4582" s="548"/>
      <c r="L4582" s="548"/>
      <c r="M4582" s="548"/>
      <c r="N4582" s="552"/>
      <c r="Y4582" s="551"/>
    </row>
    <row r="4583" spans="1:25">
      <c r="A4583" s="499">
        <v>45637</v>
      </c>
      <c r="B4583" s="499">
        <v>45638</v>
      </c>
      <c r="C4583" s="500" t="s">
        <v>173</v>
      </c>
      <c r="D4583" s="500" t="s">
        <v>762</v>
      </c>
      <c r="E4583" s="501">
        <v>17012091.559999999</v>
      </c>
      <c r="F4583" s="502" t="s">
        <v>878</v>
      </c>
      <c r="G4583" s="100">
        <v>115079428</v>
      </c>
      <c r="H4583" s="484">
        <v>115079428</v>
      </c>
      <c r="I4583" s="525" t="s">
        <v>678</v>
      </c>
      <c r="J4583" s="100"/>
      <c r="K4583" s="548"/>
      <c r="L4583" s="548"/>
      <c r="M4583" s="548"/>
      <c r="N4583" s="552"/>
      <c r="Y4583" s="551"/>
    </row>
    <row r="4584" spans="1:25">
      <c r="A4584" s="499">
        <v>45637</v>
      </c>
      <c r="B4584" s="499">
        <v>45638</v>
      </c>
      <c r="C4584" s="500" t="s">
        <v>173</v>
      </c>
      <c r="D4584" s="500" t="s">
        <v>762</v>
      </c>
      <c r="E4584" s="501">
        <v>1852191399.99</v>
      </c>
      <c r="F4584" s="502" t="s">
        <v>878</v>
      </c>
      <c r="G4584" s="100">
        <v>115079415</v>
      </c>
      <c r="H4584" s="484">
        <v>115079415</v>
      </c>
      <c r="I4584" s="525" t="s">
        <v>656</v>
      </c>
      <c r="J4584" s="100"/>
      <c r="K4584" s="548"/>
      <c r="L4584" s="548"/>
      <c r="M4584" s="548"/>
      <c r="N4584" s="552"/>
      <c r="Y4584" s="551"/>
    </row>
    <row r="4585" spans="1:25">
      <c r="A4585" s="499">
        <v>45637</v>
      </c>
      <c r="B4585" s="499">
        <v>45637</v>
      </c>
      <c r="C4585" s="500" t="s">
        <v>173</v>
      </c>
      <c r="D4585" s="500" t="s">
        <v>761</v>
      </c>
      <c r="E4585" s="501">
        <v>-498234129.89999998</v>
      </c>
      <c r="F4585" s="502" t="s">
        <v>878</v>
      </c>
      <c r="G4585" s="100">
        <v>115074198</v>
      </c>
      <c r="H4585" s="530"/>
      <c r="I4585" s="525" t="s">
        <v>631</v>
      </c>
      <c r="J4585" s="100"/>
      <c r="K4585" s="548"/>
      <c r="L4585" s="548"/>
      <c r="M4585" s="548"/>
      <c r="N4585" s="552"/>
      <c r="Y4585" s="551"/>
    </row>
    <row r="4586" spans="1:25">
      <c r="A4586" s="499">
        <v>45637</v>
      </c>
      <c r="B4586" s="499">
        <v>45637</v>
      </c>
      <c r="C4586" s="500" t="s">
        <v>173</v>
      </c>
      <c r="D4586" s="500" t="s">
        <v>761</v>
      </c>
      <c r="E4586" s="501">
        <v>-707718121.10000002</v>
      </c>
      <c r="F4586" s="502" t="s">
        <v>878</v>
      </c>
      <c r="G4586" s="100">
        <v>115074904</v>
      </c>
      <c r="H4586" s="530"/>
      <c r="I4586" s="525" t="s">
        <v>682</v>
      </c>
      <c r="J4586" s="100"/>
      <c r="K4586" s="548"/>
      <c r="L4586" s="548"/>
      <c r="M4586" s="548"/>
      <c r="N4586" s="552"/>
      <c r="Y4586" s="551"/>
    </row>
    <row r="4587" spans="1:25">
      <c r="A4587" s="499">
        <v>45637</v>
      </c>
      <c r="B4587" s="499">
        <v>45637</v>
      </c>
      <c r="C4587" s="500" t="s">
        <v>173</v>
      </c>
      <c r="D4587" s="500" t="s">
        <v>761</v>
      </c>
      <c r="E4587" s="501">
        <v>-4002860.16</v>
      </c>
      <c r="F4587" s="502" t="s">
        <v>878</v>
      </c>
      <c r="G4587" s="100">
        <v>115075086</v>
      </c>
      <c r="H4587" s="530"/>
      <c r="I4587" s="525" t="s">
        <v>717</v>
      </c>
      <c r="J4587" s="100"/>
      <c r="K4587" s="548"/>
      <c r="L4587" s="548"/>
      <c r="M4587" s="548"/>
      <c r="N4587" s="552"/>
      <c r="Y4587" s="551"/>
    </row>
    <row r="4588" spans="1:25">
      <c r="A4588" s="499">
        <v>45637</v>
      </c>
      <c r="B4588" s="499">
        <v>45638</v>
      </c>
      <c r="C4588" s="500" t="s">
        <v>173</v>
      </c>
      <c r="D4588" s="500" t="s">
        <v>761</v>
      </c>
      <c r="E4588" s="501">
        <v>498436282.30000001</v>
      </c>
      <c r="F4588" s="502" t="s">
        <v>878</v>
      </c>
      <c r="G4588" s="100">
        <v>115074198</v>
      </c>
      <c r="H4588" s="484">
        <v>115074198</v>
      </c>
      <c r="I4588" s="525" t="s">
        <v>631</v>
      </c>
      <c r="J4588" s="100"/>
      <c r="K4588" s="548"/>
      <c r="L4588" s="548"/>
      <c r="M4588" s="548"/>
      <c r="N4588" s="552"/>
      <c r="Y4588" s="551"/>
    </row>
    <row r="4589" spans="1:25">
      <c r="A4589" s="499">
        <v>45637</v>
      </c>
      <c r="B4589" s="499">
        <v>45644</v>
      </c>
      <c r="C4589" s="500" t="s">
        <v>173</v>
      </c>
      <c r="D4589" s="500" t="s">
        <v>761</v>
      </c>
      <c r="E4589" s="501">
        <v>709755227.79999995</v>
      </c>
      <c r="F4589" s="502" t="s">
        <v>878</v>
      </c>
      <c r="G4589" s="100">
        <v>115074904</v>
      </c>
      <c r="H4589" s="484">
        <v>115074904</v>
      </c>
      <c r="I4589" s="525" t="s">
        <v>682</v>
      </c>
      <c r="J4589" s="100"/>
      <c r="K4589" s="548"/>
      <c r="L4589" s="548"/>
      <c r="M4589" s="548"/>
      <c r="N4589" s="552"/>
      <c r="Y4589" s="551"/>
    </row>
    <row r="4590" spans="1:25">
      <c r="A4590" s="499">
        <v>45637</v>
      </c>
      <c r="B4590" s="499">
        <v>45644</v>
      </c>
      <c r="C4590" s="500" t="s">
        <v>173</v>
      </c>
      <c r="D4590" s="500" t="s">
        <v>761</v>
      </c>
      <c r="E4590" s="501">
        <v>4014344.54</v>
      </c>
      <c r="F4590" s="502" t="s">
        <v>878</v>
      </c>
      <c r="G4590" s="100">
        <v>115075086</v>
      </c>
      <c r="H4590" s="484">
        <v>115075086</v>
      </c>
      <c r="I4590" s="525" t="s">
        <v>717</v>
      </c>
      <c r="J4590" s="100"/>
      <c r="K4590" s="548"/>
      <c r="L4590" s="548"/>
      <c r="M4590" s="548"/>
      <c r="N4590" s="552"/>
      <c r="Y4590" s="551"/>
    </row>
    <row r="4591" spans="1:25">
      <c r="A4591" s="499">
        <v>45637</v>
      </c>
      <c r="B4591" s="499">
        <v>45637</v>
      </c>
      <c r="C4591" s="500" t="s">
        <v>173</v>
      </c>
      <c r="D4591" s="500" t="s">
        <v>759</v>
      </c>
      <c r="E4591" s="501">
        <v>-367274017.25</v>
      </c>
      <c r="F4591" s="502" t="s">
        <v>878</v>
      </c>
      <c r="G4591" s="100">
        <v>115074873</v>
      </c>
      <c r="H4591" s="530"/>
      <c r="I4591" s="525" t="s">
        <v>689</v>
      </c>
      <c r="J4591" s="100"/>
      <c r="K4591" s="548"/>
      <c r="L4591" s="548"/>
      <c r="M4591" s="548"/>
      <c r="N4591" s="552"/>
      <c r="Y4591" s="551"/>
    </row>
    <row r="4592" spans="1:25">
      <c r="A4592" s="499">
        <v>45637</v>
      </c>
      <c r="B4592" s="499">
        <v>45637</v>
      </c>
      <c r="C4592" s="500" t="s">
        <v>173</v>
      </c>
      <c r="D4592" s="500" t="s">
        <v>759</v>
      </c>
      <c r="E4592" s="501">
        <v>-1625342395.6300001</v>
      </c>
      <c r="F4592" s="502" t="s">
        <v>878</v>
      </c>
      <c r="G4592" s="100">
        <v>115074880</v>
      </c>
      <c r="H4592" s="530"/>
      <c r="I4592" s="525" t="s">
        <v>693</v>
      </c>
      <c r="J4592" s="100"/>
      <c r="K4592" s="548"/>
      <c r="L4592" s="548"/>
      <c r="M4592" s="548"/>
      <c r="N4592" s="552"/>
      <c r="Y4592" s="551"/>
    </row>
    <row r="4593" spans="1:25">
      <c r="A4593" s="499">
        <v>45637</v>
      </c>
      <c r="B4593" s="499">
        <v>45637</v>
      </c>
      <c r="C4593" s="500" t="s">
        <v>173</v>
      </c>
      <c r="D4593" s="500" t="s">
        <v>759</v>
      </c>
      <c r="E4593" s="501">
        <v>-8002414.8600000003</v>
      </c>
      <c r="F4593" s="502" t="s">
        <v>878</v>
      </c>
      <c r="G4593" s="100">
        <v>115076991</v>
      </c>
      <c r="H4593" s="530"/>
      <c r="I4593" s="525" t="s">
        <v>833</v>
      </c>
      <c r="J4593" s="100"/>
      <c r="K4593" s="548"/>
      <c r="L4593" s="548"/>
      <c r="M4593" s="548"/>
      <c r="N4593" s="552"/>
      <c r="Y4593" s="551"/>
    </row>
    <row r="4594" spans="1:25">
      <c r="A4594" s="499">
        <v>45637</v>
      </c>
      <c r="B4594" s="499">
        <v>45638</v>
      </c>
      <c r="C4594" s="500" t="s">
        <v>173</v>
      </c>
      <c r="D4594" s="500" t="s">
        <v>759</v>
      </c>
      <c r="E4594" s="501">
        <v>367424539.38999999</v>
      </c>
      <c r="F4594" s="502" t="s">
        <v>878</v>
      </c>
      <c r="G4594" s="100">
        <v>115074873</v>
      </c>
      <c r="H4594" s="100">
        <v>115074873</v>
      </c>
      <c r="I4594" s="525" t="s">
        <v>689</v>
      </c>
      <c r="J4594" s="100"/>
      <c r="K4594" s="548"/>
      <c r="L4594" s="548"/>
      <c r="M4594" s="548"/>
      <c r="N4594" s="552"/>
      <c r="Y4594" s="551"/>
    </row>
    <row r="4595" spans="1:25">
      <c r="A4595" s="499">
        <v>45637</v>
      </c>
      <c r="B4595" s="499">
        <v>45638</v>
      </c>
      <c r="C4595" s="500" t="s">
        <v>173</v>
      </c>
      <c r="D4595" s="500" t="s">
        <v>759</v>
      </c>
      <c r="E4595" s="501">
        <v>1626008519.5599999</v>
      </c>
      <c r="F4595" s="502" t="s">
        <v>878</v>
      </c>
      <c r="G4595" s="100">
        <v>115074880</v>
      </c>
      <c r="H4595" s="100">
        <v>115074880</v>
      </c>
      <c r="I4595" s="525" t="s">
        <v>693</v>
      </c>
      <c r="J4595" s="100"/>
      <c r="K4595" s="548"/>
      <c r="L4595" s="548"/>
      <c r="M4595" s="548"/>
      <c r="N4595" s="552"/>
      <c r="Y4595" s="551"/>
    </row>
    <row r="4596" spans="1:25">
      <c r="A4596" s="499">
        <v>45637</v>
      </c>
      <c r="B4596" s="499">
        <v>45638</v>
      </c>
      <c r="C4596" s="500" t="s">
        <v>173</v>
      </c>
      <c r="D4596" s="500" t="s">
        <v>759</v>
      </c>
      <c r="E4596" s="501">
        <v>8005639.9400000004</v>
      </c>
      <c r="F4596" s="502" t="s">
        <v>878</v>
      </c>
      <c r="G4596" s="100">
        <v>115076991</v>
      </c>
      <c r="H4596" s="100">
        <v>115076991</v>
      </c>
      <c r="I4596" s="525" t="s">
        <v>833</v>
      </c>
      <c r="J4596" s="100"/>
      <c r="K4596" s="548"/>
      <c r="L4596" s="548"/>
      <c r="M4596" s="548"/>
      <c r="N4596" s="552"/>
      <c r="Y4596" s="551"/>
    </row>
    <row r="4597" spans="1:25">
      <c r="A4597" s="499">
        <v>45637</v>
      </c>
      <c r="B4597" s="499">
        <v>45637</v>
      </c>
      <c r="C4597" s="500" t="s">
        <v>173</v>
      </c>
      <c r="D4597" s="500" t="s">
        <v>760</v>
      </c>
      <c r="E4597" s="501">
        <v>-65000009.359999999</v>
      </c>
      <c r="F4597" s="502" t="s">
        <v>878</v>
      </c>
      <c r="G4597" s="100">
        <v>115074222</v>
      </c>
      <c r="H4597" s="530"/>
      <c r="I4597" s="525" t="s">
        <v>807</v>
      </c>
      <c r="J4597" s="100"/>
      <c r="K4597" s="548"/>
      <c r="L4597" s="548"/>
      <c r="M4597" s="548"/>
      <c r="N4597" s="552"/>
      <c r="Y4597" s="551"/>
    </row>
    <row r="4598" spans="1:25">
      <c r="A4598" s="499">
        <v>45637</v>
      </c>
      <c r="B4598" s="499">
        <v>45637</v>
      </c>
      <c r="C4598" s="500" t="s">
        <v>173</v>
      </c>
      <c r="D4598" s="500" t="s">
        <v>760</v>
      </c>
      <c r="E4598" s="501">
        <v>-1000140.24</v>
      </c>
      <c r="F4598" s="502" t="s">
        <v>878</v>
      </c>
      <c r="G4598" s="100">
        <v>115074229</v>
      </c>
      <c r="H4598" s="530"/>
      <c r="I4598" s="525" t="s">
        <v>598</v>
      </c>
      <c r="J4598" s="100"/>
      <c r="K4598" s="548"/>
      <c r="L4598" s="548"/>
      <c r="M4598" s="548"/>
      <c r="N4598" s="552"/>
      <c r="Y4598" s="551"/>
    </row>
    <row r="4599" spans="1:25">
      <c r="A4599" s="499">
        <v>45637</v>
      </c>
      <c r="B4599" s="499">
        <v>45637</v>
      </c>
      <c r="C4599" s="500" t="s">
        <v>173</v>
      </c>
      <c r="D4599" s="500" t="s">
        <v>760</v>
      </c>
      <c r="E4599" s="501">
        <v>-1000000.76</v>
      </c>
      <c r="F4599" s="502" t="s">
        <v>878</v>
      </c>
      <c r="G4599" s="100">
        <v>115074232</v>
      </c>
      <c r="H4599" s="530"/>
      <c r="I4599" s="525" t="s">
        <v>592</v>
      </c>
      <c r="J4599" s="100"/>
      <c r="K4599" s="548"/>
      <c r="L4599" s="548"/>
      <c r="M4599" s="548"/>
      <c r="N4599" s="552"/>
      <c r="Y4599" s="551"/>
    </row>
    <row r="4600" spans="1:25">
      <c r="A4600" s="499">
        <v>45637</v>
      </c>
      <c r="B4600" s="499">
        <v>45637</v>
      </c>
      <c r="C4600" s="500" t="s">
        <v>173</v>
      </c>
      <c r="D4600" s="500" t="s">
        <v>760</v>
      </c>
      <c r="E4600" s="501">
        <v>-1000216.58</v>
      </c>
      <c r="F4600" s="502" t="s">
        <v>878</v>
      </c>
      <c r="G4600" s="100">
        <v>115074235</v>
      </c>
      <c r="H4600" s="530"/>
      <c r="I4600" s="525" t="s">
        <v>602</v>
      </c>
      <c r="J4600" s="100"/>
      <c r="K4600" s="548"/>
      <c r="L4600" s="548"/>
      <c r="M4600" s="548"/>
      <c r="N4600" s="552"/>
      <c r="Y4600" s="551"/>
    </row>
    <row r="4601" spans="1:25">
      <c r="A4601" s="499">
        <v>45637</v>
      </c>
      <c r="B4601" s="499">
        <v>45637</v>
      </c>
      <c r="C4601" s="500" t="s">
        <v>173</v>
      </c>
      <c r="D4601" s="500" t="s">
        <v>760</v>
      </c>
      <c r="E4601" s="501">
        <v>-1000000.76</v>
      </c>
      <c r="F4601" s="502" t="s">
        <v>878</v>
      </c>
      <c r="G4601" s="100">
        <v>115074238</v>
      </c>
      <c r="H4601" s="530"/>
      <c r="I4601" s="525" t="s">
        <v>592</v>
      </c>
      <c r="J4601" s="100"/>
      <c r="K4601" s="548"/>
      <c r="L4601" s="548"/>
      <c r="M4601" s="548"/>
      <c r="N4601" s="552"/>
      <c r="Y4601" s="551"/>
    </row>
    <row r="4602" spans="1:25">
      <c r="A4602" s="499">
        <v>45637</v>
      </c>
      <c r="B4602" s="499">
        <v>45637</v>
      </c>
      <c r="C4602" s="500" t="s">
        <v>173</v>
      </c>
      <c r="D4602" s="500" t="s">
        <v>760</v>
      </c>
      <c r="E4602" s="501">
        <v>-1000606.85</v>
      </c>
      <c r="F4602" s="502" t="s">
        <v>878</v>
      </c>
      <c r="G4602" s="100">
        <v>115074241</v>
      </c>
      <c r="H4602" s="530"/>
      <c r="I4602" s="525" t="s">
        <v>823</v>
      </c>
      <c r="J4602" s="100"/>
      <c r="K4602" s="548"/>
      <c r="L4602" s="548"/>
      <c r="M4602" s="548"/>
      <c r="N4602" s="552"/>
      <c r="Y4602" s="551"/>
    </row>
    <row r="4603" spans="1:25">
      <c r="A4603" s="499">
        <v>45637</v>
      </c>
      <c r="B4603" s="499">
        <v>45637</v>
      </c>
      <c r="C4603" s="500" t="s">
        <v>173</v>
      </c>
      <c r="D4603" s="500" t="s">
        <v>760</v>
      </c>
      <c r="E4603" s="501">
        <v>-2000005.96</v>
      </c>
      <c r="F4603" s="502" t="s">
        <v>878</v>
      </c>
      <c r="G4603" s="100">
        <v>115074244</v>
      </c>
      <c r="H4603" s="530"/>
      <c r="I4603" s="525" t="s">
        <v>648</v>
      </c>
      <c r="J4603" s="100"/>
      <c r="K4603" s="548"/>
      <c r="L4603" s="548"/>
      <c r="M4603" s="548"/>
      <c r="N4603" s="552"/>
      <c r="Y4603" s="551"/>
    </row>
    <row r="4604" spans="1:25">
      <c r="A4604" s="499">
        <v>45637</v>
      </c>
      <c r="B4604" s="499">
        <v>45637</v>
      </c>
      <c r="C4604" s="500" t="s">
        <v>173</v>
      </c>
      <c r="D4604" s="500" t="s">
        <v>760</v>
      </c>
      <c r="E4604" s="501">
        <v>-3001671.72</v>
      </c>
      <c r="F4604" s="502" t="s">
        <v>878</v>
      </c>
      <c r="G4604" s="100">
        <v>115074247</v>
      </c>
      <c r="H4604" s="530"/>
      <c r="I4604" s="525" t="s">
        <v>817</v>
      </c>
      <c r="J4604" s="100"/>
      <c r="K4604" s="548"/>
      <c r="L4604" s="548"/>
      <c r="M4604" s="548"/>
      <c r="N4604" s="552"/>
      <c r="Y4604" s="551"/>
    </row>
    <row r="4605" spans="1:25">
      <c r="A4605" s="499">
        <v>45637</v>
      </c>
      <c r="B4605" s="499">
        <v>45637</v>
      </c>
      <c r="C4605" s="500" t="s">
        <v>173</v>
      </c>
      <c r="D4605" s="500" t="s">
        <v>760</v>
      </c>
      <c r="E4605" s="501">
        <v>-3001993.31</v>
      </c>
      <c r="F4605" s="502" t="s">
        <v>878</v>
      </c>
      <c r="G4605" s="100">
        <v>115074250</v>
      </c>
      <c r="H4605" s="530"/>
      <c r="I4605" s="525" t="s">
        <v>588</v>
      </c>
      <c r="J4605" s="100"/>
      <c r="K4605" s="548"/>
      <c r="L4605" s="548"/>
      <c r="M4605" s="548"/>
      <c r="N4605" s="552"/>
      <c r="Y4605" s="551"/>
    </row>
    <row r="4606" spans="1:25">
      <c r="A4606" s="499">
        <v>45637</v>
      </c>
      <c r="B4606" s="499">
        <v>45637</v>
      </c>
      <c r="C4606" s="500" t="s">
        <v>173</v>
      </c>
      <c r="D4606" s="500" t="s">
        <v>760</v>
      </c>
      <c r="E4606" s="501">
        <v>-4002829.66</v>
      </c>
      <c r="F4606" s="502" t="s">
        <v>878</v>
      </c>
      <c r="G4606" s="100">
        <v>115074253</v>
      </c>
      <c r="H4606" s="530"/>
      <c r="I4606" s="525" t="s">
        <v>604</v>
      </c>
      <c r="J4606" s="100"/>
      <c r="K4606" s="548"/>
      <c r="L4606" s="548"/>
      <c r="M4606" s="548"/>
      <c r="N4606" s="552"/>
      <c r="Y4606" s="551"/>
    </row>
    <row r="4607" spans="1:25">
      <c r="A4607" s="499">
        <v>45637</v>
      </c>
      <c r="B4607" s="499">
        <v>45637</v>
      </c>
      <c r="C4607" s="500" t="s">
        <v>173</v>
      </c>
      <c r="D4607" s="500" t="s">
        <v>760</v>
      </c>
      <c r="E4607" s="501">
        <v>-4000003.03</v>
      </c>
      <c r="F4607" s="502" t="s">
        <v>878</v>
      </c>
      <c r="G4607" s="100">
        <v>115074256</v>
      </c>
      <c r="H4607" s="530"/>
      <c r="I4607" s="525" t="s">
        <v>592</v>
      </c>
      <c r="J4607" s="100"/>
      <c r="K4607" s="548"/>
      <c r="L4607" s="548"/>
      <c r="M4607" s="548"/>
      <c r="N4607" s="552"/>
      <c r="Y4607" s="551"/>
    </row>
    <row r="4608" spans="1:25">
      <c r="A4608" s="499">
        <v>45637</v>
      </c>
      <c r="B4608" s="499">
        <v>45637</v>
      </c>
      <c r="C4608" s="500" t="s">
        <v>173</v>
      </c>
      <c r="D4608" s="500" t="s">
        <v>760</v>
      </c>
      <c r="E4608" s="501">
        <v>-5001823.58</v>
      </c>
      <c r="F4608" s="502" t="s">
        <v>878</v>
      </c>
      <c r="G4608" s="100">
        <v>115074259</v>
      </c>
      <c r="H4608" s="530"/>
      <c r="I4608" s="525" t="s">
        <v>709</v>
      </c>
      <c r="J4608" s="100"/>
      <c r="K4608" s="548"/>
      <c r="L4608" s="548"/>
      <c r="M4608" s="548"/>
      <c r="N4608" s="552"/>
      <c r="Y4608" s="551"/>
    </row>
    <row r="4609" spans="1:25">
      <c r="A4609" s="499">
        <v>45637</v>
      </c>
      <c r="B4609" s="499">
        <v>45637</v>
      </c>
      <c r="C4609" s="500" t="s">
        <v>173</v>
      </c>
      <c r="D4609" s="500" t="s">
        <v>760</v>
      </c>
      <c r="E4609" s="501">
        <v>-5003091.21</v>
      </c>
      <c r="F4609" s="502" t="s">
        <v>878</v>
      </c>
      <c r="G4609" s="100">
        <v>115074262</v>
      </c>
      <c r="H4609" s="530"/>
      <c r="I4609" s="525" t="s">
        <v>676</v>
      </c>
      <c r="J4609" s="100"/>
      <c r="K4609" s="548"/>
      <c r="L4609" s="548"/>
      <c r="M4609" s="548"/>
      <c r="N4609" s="552"/>
      <c r="Y4609" s="551"/>
    </row>
    <row r="4610" spans="1:25">
      <c r="A4610" s="499">
        <v>45637</v>
      </c>
      <c r="B4610" s="499">
        <v>45637</v>
      </c>
      <c r="C4610" s="500" t="s">
        <v>173</v>
      </c>
      <c r="D4610" s="500" t="s">
        <v>760</v>
      </c>
      <c r="E4610" s="501">
        <v>-5000714.3899999997</v>
      </c>
      <c r="F4610" s="502" t="s">
        <v>878</v>
      </c>
      <c r="G4610" s="100">
        <v>115074265</v>
      </c>
      <c r="H4610" s="530"/>
      <c r="I4610" s="525" t="s">
        <v>550</v>
      </c>
      <c r="J4610" s="100"/>
      <c r="K4610" s="548"/>
      <c r="L4610" s="548"/>
      <c r="M4610" s="548"/>
      <c r="N4610" s="552"/>
      <c r="Y4610" s="551"/>
    </row>
    <row r="4611" spans="1:25">
      <c r="A4611" s="499">
        <v>45637</v>
      </c>
      <c r="B4611" s="499">
        <v>45637</v>
      </c>
      <c r="C4611" s="500" t="s">
        <v>173</v>
      </c>
      <c r="D4611" s="500" t="s">
        <v>760</v>
      </c>
      <c r="E4611" s="501">
        <v>-5000003.79</v>
      </c>
      <c r="F4611" s="502" t="s">
        <v>878</v>
      </c>
      <c r="G4611" s="100">
        <v>115074268</v>
      </c>
      <c r="H4611" s="530"/>
      <c r="I4611" s="525" t="s">
        <v>592</v>
      </c>
      <c r="J4611" s="100"/>
      <c r="K4611" s="548"/>
      <c r="L4611" s="548"/>
      <c r="M4611" s="548"/>
      <c r="N4611" s="552"/>
      <c r="Y4611" s="551"/>
    </row>
    <row r="4612" spans="1:25">
      <c r="A4612" s="499">
        <v>45637</v>
      </c>
      <c r="B4612" s="499">
        <v>45637</v>
      </c>
      <c r="C4612" s="500" t="s">
        <v>173</v>
      </c>
      <c r="D4612" s="500" t="s">
        <v>760</v>
      </c>
      <c r="E4612" s="501">
        <v>-5000482.74</v>
      </c>
      <c r="F4612" s="502" t="s">
        <v>878</v>
      </c>
      <c r="G4612" s="100">
        <v>115074271</v>
      </c>
      <c r="H4612" s="530"/>
      <c r="I4612" s="525" t="s">
        <v>816</v>
      </c>
      <c r="J4612" s="100"/>
      <c r="K4612" s="548"/>
      <c r="L4612" s="548"/>
      <c r="M4612" s="548"/>
      <c r="N4612" s="552"/>
      <c r="Y4612" s="551"/>
    </row>
    <row r="4613" spans="1:25">
      <c r="A4613" s="499">
        <v>45637</v>
      </c>
      <c r="B4613" s="499">
        <v>45637</v>
      </c>
      <c r="C4613" s="500" t="s">
        <v>173</v>
      </c>
      <c r="D4613" s="500" t="s">
        <v>760</v>
      </c>
      <c r="E4613" s="501">
        <v>-6003289.3099999996</v>
      </c>
      <c r="F4613" s="502" t="s">
        <v>878</v>
      </c>
      <c r="G4613" s="100">
        <v>115074274</v>
      </c>
      <c r="H4613" s="530"/>
      <c r="I4613" s="525" t="s">
        <v>600</v>
      </c>
      <c r="J4613" s="100"/>
      <c r="K4613" s="548"/>
      <c r="L4613" s="548"/>
      <c r="M4613" s="548"/>
      <c r="N4613" s="552"/>
      <c r="Y4613" s="551"/>
    </row>
    <row r="4614" spans="1:25">
      <c r="A4614" s="499">
        <v>45637</v>
      </c>
      <c r="B4614" s="499">
        <v>45637</v>
      </c>
      <c r="C4614" s="500" t="s">
        <v>173</v>
      </c>
      <c r="D4614" s="500" t="s">
        <v>760</v>
      </c>
      <c r="E4614" s="501">
        <v>-7001000.1399999997</v>
      </c>
      <c r="F4614" s="502" t="s">
        <v>878</v>
      </c>
      <c r="G4614" s="100">
        <v>115074277</v>
      </c>
      <c r="H4614" s="530"/>
      <c r="I4614" s="525" t="s">
        <v>550</v>
      </c>
      <c r="J4614" s="100"/>
      <c r="K4614" s="548"/>
      <c r="L4614" s="548"/>
      <c r="M4614" s="548"/>
      <c r="N4614" s="552"/>
      <c r="Y4614" s="551"/>
    </row>
    <row r="4615" spans="1:25">
      <c r="A4615" s="499">
        <v>45637</v>
      </c>
      <c r="B4615" s="499">
        <v>45637</v>
      </c>
      <c r="C4615" s="500" t="s">
        <v>173</v>
      </c>
      <c r="D4615" s="500" t="s">
        <v>760</v>
      </c>
      <c r="E4615" s="501">
        <v>-7004327.6900000004</v>
      </c>
      <c r="F4615" s="502" t="s">
        <v>878</v>
      </c>
      <c r="G4615" s="100">
        <v>115074280</v>
      </c>
      <c r="H4615" s="530"/>
      <c r="I4615" s="525" t="s">
        <v>676</v>
      </c>
      <c r="J4615" s="100"/>
      <c r="K4615" s="548"/>
      <c r="L4615" s="548"/>
      <c r="M4615" s="548"/>
      <c r="N4615" s="552"/>
      <c r="Y4615" s="551"/>
    </row>
    <row r="4616" spans="1:25">
      <c r="A4616" s="499">
        <v>45637</v>
      </c>
      <c r="B4616" s="499">
        <v>45637</v>
      </c>
      <c r="C4616" s="500" t="s">
        <v>173</v>
      </c>
      <c r="D4616" s="500" t="s">
        <v>760</v>
      </c>
      <c r="E4616" s="501">
        <v>-7004602.3300000001</v>
      </c>
      <c r="F4616" s="502" t="s">
        <v>878</v>
      </c>
      <c r="G4616" s="100">
        <v>115074283</v>
      </c>
      <c r="H4616" s="530"/>
      <c r="I4616" s="525" t="s">
        <v>695</v>
      </c>
      <c r="J4616" s="100"/>
      <c r="K4616" s="548"/>
      <c r="L4616" s="548"/>
      <c r="M4616" s="548"/>
      <c r="N4616" s="552"/>
      <c r="Y4616" s="551"/>
    </row>
    <row r="4617" spans="1:25">
      <c r="A4617" s="499">
        <v>45637</v>
      </c>
      <c r="B4617" s="499">
        <v>45637</v>
      </c>
      <c r="C4617" s="500" t="s">
        <v>173</v>
      </c>
      <c r="D4617" s="500" t="s">
        <v>760</v>
      </c>
      <c r="E4617" s="501">
        <v>-7004327.6900000004</v>
      </c>
      <c r="F4617" s="502" t="s">
        <v>878</v>
      </c>
      <c r="G4617" s="100">
        <v>115074286</v>
      </c>
      <c r="H4617" s="530"/>
      <c r="I4617" s="525" t="s">
        <v>676</v>
      </c>
      <c r="J4617" s="100"/>
      <c r="K4617" s="548"/>
      <c r="L4617" s="548"/>
      <c r="M4617" s="548"/>
      <c r="N4617" s="552"/>
      <c r="Y4617" s="551"/>
    </row>
    <row r="4618" spans="1:25">
      <c r="A4618" s="499">
        <v>45637</v>
      </c>
      <c r="B4618" s="499">
        <v>45637</v>
      </c>
      <c r="C4618" s="500" t="s">
        <v>173</v>
      </c>
      <c r="D4618" s="500" t="s">
        <v>760</v>
      </c>
      <c r="E4618" s="501">
        <v>-7006515.5999999996</v>
      </c>
      <c r="F4618" s="502" t="s">
        <v>878</v>
      </c>
      <c r="G4618" s="100">
        <v>115074289</v>
      </c>
      <c r="H4618" s="530"/>
      <c r="I4618" s="525" t="s">
        <v>821</v>
      </c>
      <c r="J4618" s="100"/>
      <c r="K4618" s="548"/>
      <c r="L4618" s="548"/>
      <c r="M4618" s="548"/>
      <c r="N4618" s="552"/>
      <c r="Y4618" s="551"/>
    </row>
    <row r="4619" spans="1:25">
      <c r="A4619" s="499">
        <v>45637</v>
      </c>
      <c r="B4619" s="499">
        <v>45637</v>
      </c>
      <c r="C4619" s="500" t="s">
        <v>173</v>
      </c>
      <c r="D4619" s="500" t="s">
        <v>760</v>
      </c>
      <c r="E4619" s="501">
        <v>-8002904.0599999996</v>
      </c>
      <c r="F4619" s="502" t="s">
        <v>878</v>
      </c>
      <c r="G4619" s="100">
        <v>115074292</v>
      </c>
      <c r="H4619" s="530"/>
      <c r="I4619" s="525" t="s">
        <v>696</v>
      </c>
      <c r="J4619" s="100"/>
      <c r="K4619" s="548"/>
      <c r="L4619" s="548"/>
      <c r="M4619" s="548"/>
      <c r="N4619" s="552"/>
      <c r="Y4619" s="551"/>
    </row>
    <row r="4620" spans="1:25">
      <c r="A4620" s="499">
        <v>45637</v>
      </c>
      <c r="B4620" s="499">
        <v>45637</v>
      </c>
      <c r="C4620" s="500" t="s">
        <v>173</v>
      </c>
      <c r="D4620" s="500" t="s">
        <v>760</v>
      </c>
      <c r="E4620" s="501">
        <v>-9003267.0700000003</v>
      </c>
      <c r="F4620" s="502" t="s">
        <v>878</v>
      </c>
      <c r="G4620" s="100">
        <v>115074295</v>
      </c>
      <c r="H4620" s="530"/>
      <c r="I4620" s="525" t="s">
        <v>696</v>
      </c>
      <c r="J4620" s="100"/>
      <c r="K4620" s="548"/>
      <c r="L4620" s="548"/>
      <c r="M4620" s="548"/>
      <c r="N4620" s="552"/>
      <c r="Y4620" s="551"/>
    </row>
    <row r="4621" spans="1:25">
      <c r="A4621" s="499">
        <v>45637</v>
      </c>
      <c r="B4621" s="499">
        <v>45637</v>
      </c>
      <c r="C4621" s="500" t="s">
        <v>173</v>
      </c>
      <c r="D4621" s="500" t="s">
        <v>760</v>
      </c>
      <c r="E4621" s="501">
        <v>-9003267.0700000003</v>
      </c>
      <c r="F4621" s="502" t="s">
        <v>878</v>
      </c>
      <c r="G4621" s="100">
        <v>115074298</v>
      </c>
      <c r="H4621" s="530"/>
      <c r="I4621" s="525" t="s">
        <v>696</v>
      </c>
      <c r="J4621" s="100"/>
      <c r="K4621" s="548"/>
      <c r="L4621" s="548"/>
      <c r="M4621" s="548"/>
      <c r="N4621" s="552"/>
      <c r="Y4621" s="551"/>
    </row>
    <row r="4622" spans="1:25">
      <c r="A4622" s="499">
        <v>45637</v>
      </c>
      <c r="B4622" s="499">
        <v>45637</v>
      </c>
      <c r="C4622" s="500" t="s">
        <v>173</v>
      </c>
      <c r="D4622" s="500" t="s">
        <v>760</v>
      </c>
      <c r="E4622" s="501">
        <v>-9001285.9000000004</v>
      </c>
      <c r="F4622" s="502" t="s">
        <v>878</v>
      </c>
      <c r="G4622" s="100">
        <v>115074301</v>
      </c>
      <c r="H4622" s="530"/>
      <c r="I4622" s="525" t="s">
        <v>550</v>
      </c>
      <c r="J4622" s="100"/>
      <c r="K4622" s="548"/>
      <c r="L4622" s="548"/>
      <c r="M4622" s="548"/>
      <c r="N4622" s="552"/>
      <c r="Y4622" s="551"/>
    </row>
    <row r="4623" spans="1:25">
      <c r="A4623" s="499">
        <v>45637</v>
      </c>
      <c r="B4623" s="499">
        <v>45637</v>
      </c>
      <c r="C4623" s="500" t="s">
        <v>173</v>
      </c>
      <c r="D4623" s="500" t="s">
        <v>760</v>
      </c>
      <c r="E4623" s="501">
        <v>-10004380.810000001</v>
      </c>
      <c r="F4623" s="502" t="s">
        <v>878</v>
      </c>
      <c r="G4623" s="100">
        <v>115074304</v>
      </c>
      <c r="H4623" s="530"/>
      <c r="I4623" s="525" t="s">
        <v>596</v>
      </c>
      <c r="J4623" s="100"/>
      <c r="K4623" s="548"/>
      <c r="L4623" s="548"/>
      <c r="M4623" s="548"/>
      <c r="N4623" s="552"/>
      <c r="Y4623" s="551"/>
    </row>
    <row r="4624" spans="1:25">
      <c r="A4624" s="499">
        <v>45637</v>
      </c>
      <c r="B4624" s="499">
        <v>45637</v>
      </c>
      <c r="C4624" s="500" t="s">
        <v>173</v>
      </c>
      <c r="D4624" s="500" t="s">
        <v>760</v>
      </c>
      <c r="E4624" s="501">
        <v>-10007074.140000001</v>
      </c>
      <c r="F4624" s="502" t="s">
        <v>878</v>
      </c>
      <c r="G4624" s="100">
        <v>115074307</v>
      </c>
      <c r="H4624" s="530"/>
      <c r="I4624" s="525" t="s">
        <v>604</v>
      </c>
      <c r="J4624" s="100"/>
      <c r="K4624" s="548"/>
      <c r="L4624" s="548"/>
      <c r="M4624" s="548"/>
      <c r="N4624" s="552"/>
      <c r="Y4624" s="551"/>
    </row>
    <row r="4625" spans="1:25">
      <c r="A4625" s="499">
        <v>45637</v>
      </c>
      <c r="B4625" s="499">
        <v>45637</v>
      </c>
      <c r="C4625" s="500" t="s">
        <v>173</v>
      </c>
      <c r="D4625" s="500" t="s">
        <v>760</v>
      </c>
      <c r="E4625" s="501">
        <v>-10000965.48</v>
      </c>
      <c r="F4625" s="502" t="s">
        <v>878</v>
      </c>
      <c r="G4625" s="100">
        <v>115074310</v>
      </c>
      <c r="H4625" s="530"/>
      <c r="I4625" s="525" t="s">
        <v>816</v>
      </c>
      <c r="J4625" s="100"/>
      <c r="K4625" s="548"/>
      <c r="L4625" s="548"/>
      <c r="M4625" s="548"/>
      <c r="N4625" s="552"/>
      <c r="Y4625" s="551"/>
    </row>
    <row r="4626" spans="1:25">
      <c r="A4626" s="499">
        <v>45637</v>
      </c>
      <c r="B4626" s="499">
        <v>45637</v>
      </c>
      <c r="C4626" s="500" t="s">
        <v>173</v>
      </c>
      <c r="D4626" s="500" t="s">
        <v>760</v>
      </c>
      <c r="E4626" s="501">
        <v>-12001714.529999999</v>
      </c>
      <c r="F4626" s="502" t="s">
        <v>878</v>
      </c>
      <c r="G4626" s="100">
        <v>115074313</v>
      </c>
      <c r="H4626" s="530"/>
      <c r="I4626" s="525" t="s">
        <v>550</v>
      </c>
      <c r="J4626" s="100"/>
      <c r="K4626" s="548"/>
      <c r="L4626" s="548"/>
      <c r="M4626" s="548"/>
      <c r="N4626" s="552"/>
      <c r="Y4626" s="551"/>
    </row>
    <row r="4627" spans="1:25">
      <c r="A4627" s="499">
        <v>45637</v>
      </c>
      <c r="B4627" s="499">
        <v>45637</v>
      </c>
      <c r="C4627" s="500" t="s">
        <v>173</v>
      </c>
      <c r="D4627" s="500" t="s">
        <v>760</v>
      </c>
      <c r="E4627" s="501">
        <v>-13002088.550000001</v>
      </c>
      <c r="F4627" s="502" t="s">
        <v>878</v>
      </c>
      <c r="G4627" s="100">
        <v>115074316</v>
      </c>
      <c r="H4627" s="530"/>
      <c r="I4627" s="525" t="s">
        <v>525</v>
      </c>
      <c r="J4627" s="100"/>
      <c r="K4627" s="548"/>
      <c r="L4627" s="548"/>
      <c r="M4627" s="548"/>
      <c r="N4627" s="552"/>
      <c r="Y4627" s="551"/>
    </row>
    <row r="4628" spans="1:25">
      <c r="A4628" s="499">
        <v>45637</v>
      </c>
      <c r="B4628" s="499">
        <v>45637</v>
      </c>
      <c r="C4628" s="500" t="s">
        <v>173</v>
      </c>
      <c r="D4628" s="500" t="s">
        <v>760</v>
      </c>
      <c r="E4628" s="501">
        <v>-14001351.67</v>
      </c>
      <c r="F4628" s="502" t="s">
        <v>878</v>
      </c>
      <c r="G4628" s="100">
        <v>115074319</v>
      </c>
      <c r="H4628" s="530"/>
      <c r="I4628" s="525" t="s">
        <v>816</v>
      </c>
      <c r="J4628" s="100"/>
      <c r="K4628" s="548"/>
      <c r="L4628" s="548"/>
      <c r="M4628" s="548"/>
      <c r="N4628" s="552"/>
      <c r="Y4628" s="551"/>
    </row>
    <row r="4629" spans="1:25">
      <c r="A4629" s="499">
        <v>45637</v>
      </c>
      <c r="B4629" s="499">
        <v>45637</v>
      </c>
      <c r="C4629" s="500" t="s">
        <v>173</v>
      </c>
      <c r="D4629" s="500" t="s">
        <v>760</v>
      </c>
      <c r="E4629" s="501">
        <v>-15003316.439999999</v>
      </c>
      <c r="F4629" s="502" t="s">
        <v>878</v>
      </c>
      <c r="G4629" s="100">
        <v>115074322</v>
      </c>
      <c r="H4629" s="530"/>
      <c r="I4629" s="525" t="s">
        <v>824</v>
      </c>
      <c r="J4629" s="100"/>
      <c r="K4629" s="548"/>
      <c r="L4629" s="548"/>
      <c r="M4629" s="548"/>
      <c r="N4629" s="552"/>
      <c r="Y4629" s="551"/>
    </row>
    <row r="4630" spans="1:25">
      <c r="A4630" s="499">
        <v>45637</v>
      </c>
      <c r="B4630" s="499">
        <v>45637</v>
      </c>
      <c r="C4630" s="500" t="s">
        <v>173</v>
      </c>
      <c r="D4630" s="500" t="s">
        <v>760</v>
      </c>
      <c r="E4630" s="501">
        <v>-15002661.060000001</v>
      </c>
      <c r="F4630" s="502" t="s">
        <v>878</v>
      </c>
      <c r="G4630" s="100">
        <v>115074325</v>
      </c>
      <c r="H4630" s="530"/>
      <c r="I4630" s="525" t="s">
        <v>819</v>
      </c>
      <c r="J4630" s="100"/>
      <c r="K4630" s="548"/>
      <c r="L4630" s="548"/>
      <c r="M4630" s="548"/>
      <c r="N4630" s="552"/>
      <c r="Y4630" s="551"/>
    </row>
    <row r="4631" spans="1:25">
      <c r="A4631" s="499">
        <v>45637</v>
      </c>
      <c r="B4631" s="499">
        <v>45637</v>
      </c>
      <c r="C4631" s="500" t="s">
        <v>173</v>
      </c>
      <c r="D4631" s="500" t="s">
        <v>760</v>
      </c>
      <c r="E4631" s="501">
        <v>-10006182.42</v>
      </c>
      <c r="F4631" s="502" t="s">
        <v>878</v>
      </c>
      <c r="G4631" s="100">
        <v>115074328</v>
      </c>
      <c r="H4631" s="530"/>
      <c r="I4631" s="525" t="s">
        <v>676</v>
      </c>
      <c r="J4631" s="100"/>
      <c r="K4631" s="548"/>
      <c r="L4631" s="548"/>
      <c r="M4631" s="548"/>
      <c r="N4631" s="552"/>
      <c r="Y4631" s="551"/>
    </row>
    <row r="4632" spans="1:25">
      <c r="A4632" s="499">
        <v>45637</v>
      </c>
      <c r="B4632" s="499">
        <v>45638</v>
      </c>
      <c r="C4632" s="500" t="s">
        <v>173</v>
      </c>
      <c r="D4632" s="500" t="s">
        <v>760</v>
      </c>
      <c r="E4632" s="501">
        <v>65026559.909999996</v>
      </c>
      <c r="F4632" s="502" t="s">
        <v>878</v>
      </c>
      <c r="G4632" s="100">
        <v>115074222</v>
      </c>
      <c r="H4632" s="100">
        <v>115074222</v>
      </c>
      <c r="I4632" s="525" t="s">
        <v>807</v>
      </c>
      <c r="J4632" s="100"/>
      <c r="K4632" s="548"/>
      <c r="L4632" s="548"/>
      <c r="M4632" s="548"/>
      <c r="N4632" s="552"/>
      <c r="Y4632" s="551"/>
    </row>
    <row r="4633" spans="1:25">
      <c r="A4633" s="499">
        <v>45637</v>
      </c>
      <c r="B4633" s="499">
        <v>45638</v>
      </c>
      <c r="C4633" s="500" t="s">
        <v>173</v>
      </c>
      <c r="D4633" s="500" t="s">
        <v>760</v>
      </c>
      <c r="E4633" s="501">
        <v>1000548.77</v>
      </c>
      <c r="F4633" s="502" t="s">
        <v>878</v>
      </c>
      <c r="G4633" s="100">
        <v>115074229</v>
      </c>
      <c r="H4633" s="100">
        <v>115074229</v>
      </c>
      <c r="I4633" s="525" t="s">
        <v>598</v>
      </c>
      <c r="J4633" s="100"/>
      <c r="K4633" s="548"/>
      <c r="L4633" s="548"/>
      <c r="M4633" s="548"/>
      <c r="N4633" s="552"/>
      <c r="Y4633" s="551"/>
    </row>
    <row r="4634" spans="1:25">
      <c r="A4634" s="499">
        <v>45637</v>
      </c>
      <c r="B4634" s="499">
        <v>45638</v>
      </c>
      <c r="C4634" s="500" t="s">
        <v>173</v>
      </c>
      <c r="D4634" s="500" t="s">
        <v>760</v>
      </c>
      <c r="E4634" s="501">
        <v>1000409.23</v>
      </c>
      <c r="F4634" s="502" t="s">
        <v>878</v>
      </c>
      <c r="G4634" s="100">
        <v>115074232</v>
      </c>
      <c r="H4634" s="100">
        <v>115074232</v>
      </c>
      <c r="I4634" s="525" t="s">
        <v>592</v>
      </c>
      <c r="J4634" s="100"/>
      <c r="K4634" s="548"/>
      <c r="L4634" s="548"/>
      <c r="M4634" s="548"/>
      <c r="N4634" s="552"/>
      <c r="Y4634" s="551"/>
    </row>
    <row r="4635" spans="1:25">
      <c r="A4635" s="499">
        <v>45637</v>
      </c>
      <c r="B4635" s="499">
        <v>45638</v>
      </c>
      <c r="C4635" s="500" t="s">
        <v>173</v>
      </c>
      <c r="D4635" s="500" t="s">
        <v>760</v>
      </c>
      <c r="E4635" s="501">
        <v>1000625.14</v>
      </c>
      <c r="F4635" s="502" t="s">
        <v>878</v>
      </c>
      <c r="G4635" s="100">
        <v>115074235</v>
      </c>
      <c r="H4635" s="100">
        <v>115074235</v>
      </c>
      <c r="I4635" s="525" t="s">
        <v>602</v>
      </c>
      <c r="J4635" s="100"/>
      <c r="K4635" s="548"/>
      <c r="L4635" s="548"/>
      <c r="M4635" s="548"/>
      <c r="N4635" s="552"/>
      <c r="Y4635" s="551"/>
    </row>
    <row r="4636" spans="1:25">
      <c r="A4636" s="499">
        <v>45637</v>
      </c>
      <c r="B4636" s="499">
        <v>45638</v>
      </c>
      <c r="C4636" s="500" t="s">
        <v>173</v>
      </c>
      <c r="D4636" s="500" t="s">
        <v>760</v>
      </c>
      <c r="E4636" s="501">
        <v>1000409.23</v>
      </c>
      <c r="F4636" s="502" t="s">
        <v>878</v>
      </c>
      <c r="G4636" s="100">
        <v>115074238</v>
      </c>
      <c r="H4636" s="100">
        <v>115074238</v>
      </c>
      <c r="I4636" s="525" t="s">
        <v>592</v>
      </c>
      <c r="J4636" s="100"/>
      <c r="K4636" s="548"/>
      <c r="L4636" s="548"/>
      <c r="M4636" s="548"/>
      <c r="N4636" s="552"/>
      <c r="Y4636" s="551"/>
    </row>
    <row r="4637" spans="1:25">
      <c r="A4637" s="499">
        <v>45637</v>
      </c>
      <c r="B4637" s="499">
        <v>45638</v>
      </c>
      <c r="C4637" s="500" t="s">
        <v>173</v>
      </c>
      <c r="D4637" s="500" t="s">
        <v>760</v>
      </c>
      <c r="E4637" s="501">
        <v>1001015.57</v>
      </c>
      <c r="F4637" s="502" t="s">
        <v>878</v>
      </c>
      <c r="G4637" s="100">
        <v>115074241</v>
      </c>
      <c r="H4637" s="100">
        <v>115074241</v>
      </c>
      <c r="I4637" s="525" t="s">
        <v>823</v>
      </c>
      <c r="J4637" s="100"/>
      <c r="K4637" s="548"/>
      <c r="L4637" s="548"/>
      <c r="M4637" s="548"/>
      <c r="N4637" s="552"/>
      <c r="Y4637" s="551"/>
    </row>
    <row r="4638" spans="1:25">
      <c r="A4638" s="499">
        <v>45637</v>
      </c>
      <c r="B4638" s="499">
        <v>45638</v>
      </c>
      <c r="C4638" s="500" t="s">
        <v>173</v>
      </c>
      <c r="D4638" s="500" t="s">
        <v>760</v>
      </c>
      <c r="E4638" s="501">
        <v>2000822.9</v>
      </c>
      <c r="F4638" s="502" t="s">
        <v>878</v>
      </c>
      <c r="G4638" s="100">
        <v>115074244</v>
      </c>
      <c r="H4638" s="100">
        <v>115074244</v>
      </c>
      <c r="I4638" s="525" t="s">
        <v>648</v>
      </c>
      <c r="J4638" s="100"/>
      <c r="K4638" s="548"/>
      <c r="L4638" s="548"/>
      <c r="M4638" s="548"/>
      <c r="N4638" s="552"/>
      <c r="Y4638" s="551"/>
    </row>
    <row r="4639" spans="1:25">
      <c r="A4639" s="499">
        <v>45637</v>
      </c>
      <c r="B4639" s="499">
        <v>45638</v>
      </c>
      <c r="C4639" s="500" t="s">
        <v>173</v>
      </c>
      <c r="D4639" s="500" t="s">
        <v>760</v>
      </c>
      <c r="E4639" s="501">
        <v>3002897.81</v>
      </c>
      <c r="F4639" s="502" t="s">
        <v>878</v>
      </c>
      <c r="G4639" s="100">
        <v>115074247</v>
      </c>
      <c r="H4639" s="100">
        <v>115074247</v>
      </c>
      <c r="I4639" s="525" t="s">
        <v>817</v>
      </c>
      <c r="J4639" s="100"/>
      <c r="K4639" s="548"/>
      <c r="L4639" s="548"/>
      <c r="M4639" s="548"/>
      <c r="N4639" s="552"/>
      <c r="Y4639" s="551"/>
    </row>
    <row r="4640" spans="1:25">
      <c r="A4640" s="499">
        <v>45637</v>
      </c>
      <c r="B4640" s="499">
        <v>45638</v>
      </c>
      <c r="C4640" s="500" t="s">
        <v>173</v>
      </c>
      <c r="D4640" s="500" t="s">
        <v>760</v>
      </c>
      <c r="E4640" s="501">
        <v>3003219.53</v>
      </c>
      <c r="F4640" s="502" t="s">
        <v>878</v>
      </c>
      <c r="G4640" s="100">
        <v>115074250</v>
      </c>
      <c r="H4640" s="100">
        <v>115074250</v>
      </c>
      <c r="I4640" s="525" t="s">
        <v>588</v>
      </c>
      <c r="J4640" s="100"/>
      <c r="K4640" s="548"/>
      <c r="L4640" s="548"/>
      <c r="M4640" s="548"/>
      <c r="N4640" s="552"/>
      <c r="Y4640" s="551"/>
    </row>
    <row r="4641" spans="1:25">
      <c r="A4641" s="499">
        <v>45637</v>
      </c>
      <c r="B4641" s="499">
        <v>45638</v>
      </c>
      <c r="C4641" s="500" t="s">
        <v>173</v>
      </c>
      <c r="D4641" s="500" t="s">
        <v>760</v>
      </c>
      <c r="E4641" s="501">
        <v>4004464.7</v>
      </c>
      <c r="F4641" s="502" t="s">
        <v>878</v>
      </c>
      <c r="G4641" s="100">
        <v>115074253</v>
      </c>
      <c r="H4641" s="100">
        <v>115074253</v>
      </c>
      <c r="I4641" s="525" t="s">
        <v>604</v>
      </c>
      <c r="J4641" s="100"/>
      <c r="K4641" s="548"/>
      <c r="L4641" s="548"/>
      <c r="M4641" s="548"/>
      <c r="N4641" s="552"/>
      <c r="Y4641" s="551"/>
    </row>
    <row r="4642" spans="1:25">
      <c r="A4642" s="499">
        <v>45637</v>
      </c>
      <c r="B4642" s="499">
        <v>45638</v>
      </c>
      <c r="C4642" s="500" t="s">
        <v>173</v>
      </c>
      <c r="D4642" s="500" t="s">
        <v>760</v>
      </c>
      <c r="E4642" s="501">
        <v>4001636.91</v>
      </c>
      <c r="F4642" s="502" t="s">
        <v>878</v>
      </c>
      <c r="G4642" s="100">
        <v>115074256</v>
      </c>
      <c r="H4642" s="100">
        <v>115074256</v>
      </c>
      <c r="I4642" s="525" t="s">
        <v>592</v>
      </c>
      <c r="J4642" s="100"/>
      <c r="K4642" s="548"/>
      <c r="L4642" s="548"/>
      <c r="M4642" s="548"/>
      <c r="N4642" s="552"/>
      <c r="Y4642" s="551"/>
    </row>
    <row r="4643" spans="1:25">
      <c r="A4643" s="499">
        <v>45637</v>
      </c>
      <c r="B4643" s="499">
        <v>45638</v>
      </c>
      <c r="C4643" s="500" t="s">
        <v>173</v>
      </c>
      <c r="D4643" s="500" t="s">
        <v>760</v>
      </c>
      <c r="E4643" s="501">
        <v>5003866.67</v>
      </c>
      <c r="F4643" s="502" t="s">
        <v>878</v>
      </c>
      <c r="G4643" s="100">
        <v>115074259</v>
      </c>
      <c r="H4643" s="100">
        <v>115074259</v>
      </c>
      <c r="I4643" s="525" t="s">
        <v>709</v>
      </c>
      <c r="J4643" s="100"/>
      <c r="K4643" s="548"/>
      <c r="L4643" s="548"/>
      <c r="M4643" s="548"/>
      <c r="N4643" s="552"/>
      <c r="Y4643" s="551"/>
    </row>
    <row r="4644" spans="1:25">
      <c r="A4644" s="499">
        <v>45637</v>
      </c>
      <c r="B4644" s="499">
        <v>45638</v>
      </c>
      <c r="C4644" s="500" t="s">
        <v>173</v>
      </c>
      <c r="D4644" s="500" t="s">
        <v>760</v>
      </c>
      <c r="E4644" s="501">
        <v>5005134.82</v>
      </c>
      <c r="F4644" s="502" t="s">
        <v>878</v>
      </c>
      <c r="G4644" s="100">
        <v>115074262</v>
      </c>
      <c r="H4644" s="100">
        <v>115074262</v>
      </c>
      <c r="I4644" s="525" t="s">
        <v>676</v>
      </c>
      <c r="J4644" s="100"/>
      <c r="K4644" s="548"/>
      <c r="L4644" s="548"/>
      <c r="M4644" s="548"/>
      <c r="N4644" s="552"/>
      <c r="Y4644" s="551"/>
    </row>
    <row r="4645" spans="1:25">
      <c r="A4645" s="499">
        <v>45637</v>
      </c>
      <c r="B4645" s="499">
        <v>45638</v>
      </c>
      <c r="C4645" s="500" t="s">
        <v>173</v>
      </c>
      <c r="D4645" s="500" t="s">
        <v>760</v>
      </c>
      <c r="E4645" s="501">
        <v>5002757.03</v>
      </c>
      <c r="F4645" s="502" t="s">
        <v>878</v>
      </c>
      <c r="G4645" s="100">
        <v>115074265</v>
      </c>
      <c r="H4645" s="100">
        <v>115074265</v>
      </c>
      <c r="I4645" s="525" t="s">
        <v>550</v>
      </c>
      <c r="J4645" s="100"/>
      <c r="K4645" s="548"/>
      <c r="L4645" s="548"/>
      <c r="M4645" s="548"/>
      <c r="N4645" s="552"/>
      <c r="Y4645" s="551"/>
    </row>
    <row r="4646" spans="1:25">
      <c r="A4646" s="499">
        <v>45637</v>
      </c>
      <c r="B4646" s="499">
        <v>45638</v>
      </c>
      <c r="C4646" s="500" t="s">
        <v>173</v>
      </c>
      <c r="D4646" s="500" t="s">
        <v>760</v>
      </c>
      <c r="E4646" s="501">
        <v>5002046.1399999997</v>
      </c>
      <c r="F4646" s="502" t="s">
        <v>878</v>
      </c>
      <c r="G4646" s="100">
        <v>115074268</v>
      </c>
      <c r="H4646" s="100">
        <v>115074268</v>
      </c>
      <c r="I4646" s="525" t="s">
        <v>592</v>
      </c>
      <c r="J4646" s="100"/>
      <c r="K4646" s="548"/>
      <c r="L4646" s="548"/>
      <c r="M4646" s="548"/>
      <c r="N4646" s="552"/>
      <c r="Y4646" s="551"/>
    </row>
    <row r="4647" spans="1:25">
      <c r="A4647" s="499">
        <v>45637</v>
      </c>
      <c r="B4647" s="499">
        <v>45638</v>
      </c>
      <c r="C4647" s="500" t="s">
        <v>173</v>
      </c>
      <c r="D4647" s="500" t="s">
        <v>760</v>
      </c>
      <c r="E4647" s="501">
        <v>5002525.29</v>
      </c>
      <c r="F4647" s="502" t="s">
        <v>878</v>
      </c>
      <c r="G4647" s="100">
        <v>115074271</v>
      </c>
      <c r="H4647" s="100">
        <v>115074271</v>
      </c>
      <c r="I4647" s="525" t="s">
        <v>816</v>
      </c>
      <c r="J4647" s="100"/>
      <c r="K4647" s="548"/>
      <c r="L4647" s="548"/>
      <c r="M4647" s="548"/>
      <c r="N4647" s="552"/>
      <c r="Y4647" s="551"/>
    </row>
    <row r="4648" spans="1:25">
      <c r="A4648" s="499">
        <v>45637</v>
      </c>
      <c r="B4648" s="499">
        <v>45638</v>
      </c>
      <c r="C4648" s="500" t="s">
        <v>173</v>
      </c>
      <c r="D4648" s="500" t="s">
        <v>760</v>
      </c>
      <c r="E4648" s="501">
        <v>6005741.4699999997</v>
      </c>
      <c r="F4648" s="502" t="s">
        <v>878</v>
      </c>
      <c r="G4648" s="100">
        <v>115074274</v>
      </c>
      <c r="H4648" s="100">
        <v>115074274</v>
      </c>
      <c r="I4648" s="525" t="s">
        <v>600</v>
      </c>
      <c r="J4648" s="100"/>
      <c r="K4648" s="548"/>
      <c r="L4648" s="548"/>
      <c r="M4648" s="548"/>
      <c r="N4648" s="552"/>
      <c r="Y4648" s="551"/>
    </row>
    <row r="4649" spans="1:25">
      <c r="A4649" s="499">
        <v>45637</v>
      </c>
      <c r="B4649" s="499">
        <v>45638</v>
      </c>
      <c r="C4649" s="500" t="s">
        <v>173</v>
      </c>
      <c r="D4649" s="500" t="s">
        <v>760</v>
      </c>
      <c r="E4649" s="501">
        <v>7003859.8399999999</v>
      </c>
      <c r="F4649" s="502" t="s">
        <v>878</v>
      </c>
      <c r="G4649" s="100">
        <v>115074277</v>
      </c>
      <c r="H4649" s="100">
        <v>115074277</v>
      </c>
      <c r="I4649" s="525" t="s">
        <v>550</v>
      </c>
      <c r="J4649" s="100"/>
      <c r="K4649" s="548"/>
      <c r="L4649" s="548"/>
      <c r="M4649" s="548"/>
      <c r="N4649" s="552"/>
      <c r="Y4649" s="551"/>
    </row>
    <row r="4650" spans="1:25">
      <c r="A4650" s="499">
        <v>45637</v>
      </c>
      <c r="B4650" s="499">
        <v>45638</v>
      </c>
      <c r="C4650" s="500" t="s">
        <v>173</v>
      </c>
      <c r="D4650" s="500" t="s">
        <v>760</v>
      </c>
      <c r="E4650" s="501">
        <v>7007188.75</v>
      </c>
      <c r="F4650" s="502" t="s">
        <v>878</v>
      </c>
      <c r="G4650" s="100">
        <v>115074280</v>
      </c>
      <c r="H4650" s="100">
        <v>115074280</v>
      </c>
      <c r="I4650" s="525" t="s">
        <v>676</v>
      </c>
      <c r="J4650" s="100"/>
      <c r="K4650" s="548"/>
      <c r="L4650" s="548"/>
      <c r="M4650" s="548"/>
      <c r="N4650" s="552"/>
      <c r="Y4650" s="551"/>
    </row>
    <row r="4651" spans="1:25">
      <c r="A4651" s="499">
        <v>45637</v>
      </c>
      <c r="B4651" s="499">
        <v>45638</v>
      </c>
      <c r="C4651" s="500" t="s">
        <v>173</v>
      </c>
      <c r="D4651" s="500" t="s">
        <v>760</v>
      </c>
      <c r="E4651" s="501">
        <v>7007463.5</v>
      </c>
      <c r="F4651" s="502" t="s">
        <v>878</v>
      </c>
      <c r="G4651" s="100">
        <v>115074283</v>
      </c>
      <c r="H4651" s="100">
        <v>115074283</v>
      </c>
      <c r="I4651" s="525" t="s">
        <v>695</v>
      </c>
      <c r="J4651" s="100"/>
      <c r="K4651" s="548"/>
      <c r="L4651" s="548"/>
      <c r="M4651" s="548"/>
      <c r="N4651" s="552"/>
      <c r="Y4651" s="551"/>
    </row>
    <row r="4652" spans="1:25">
      <c r="A4652" s="499">
        <v>45637</v>
      </c>
      <c r="B4652" s="499">
        <v>45638</v>
      </c>
      <c r="C4652" s="500" t="s">
        <v>173</v>
      </c>
      <c r="D4652" s="500" t="s">
        <v>760</v>
      </c>
      <c r="E4652" s="501">
        <v>7007188.75</v>
      </c>
      <c r="F4652" s="502" t="s">
        <v>878</v>
      </c>
      <c r="G4652" s="100">
        <v>115074286</v>
      </c>
      <c r="H4652" s="100">
        <v>115074286</v>
      </c>
      <c r="I4652" s="525" t="s">
        <v>676</v>
      </c>
      <c r="J4652" s="100"/>
      <c r="K4652" s="548"/>
      <c r="L4652" s="548"/>
      <c r="M4652" s="548"/>
      <c r="N4652" s="552"/>
      <c r="Y4652" s="551"/>
    </row>
    <row r="4653" spans="1:25">
      <c r="A4653" s="499">
        <v>45637</v>
      </c>
      <c r="B4653" s="499">
        <v>45638</v>
      </c>
      <c r="C4653" s="500" t="s">
        <v>173</v>
      </c>
      <c r="D4653" s="500" t="s">
        <v>760</v>
      </c>
      <c r="E4653" s="501">
        <v>7009377.5499999998</v>
      </c>
      <c r="F4653" s="502" t="s">
        <v>878</v>
      </c>
      <c r="G4653" s="100">
        <v>115074289</v>
      </c>
      <c r="H4653" s="100">
        <v>115074289</v>
      </c>
      <c r="I4653" s="525" t="s">
        <v>821</v>
      </c>
      <c r="J4653" s="100"/>
      <c r="K4653" s="548"/>
      <c r="L4653" s="548"/>
      <c r="M4653" s="548"/>
      <c r="N4653" s="552"/>
      <c r="Y4653" s="551"/>
    </row>
    <row r="4654" spans="1:25">
      <c r="A4654" s="499">
        <v>45637</v>
      </c>
      <c r="B4654" s="499">
        <v>45638</v>
      </c>
      <c r="C4654" s="500" t="s">
        <v>173</v>
      </c>
      <c r="D4654" s="500" t="s">
        <v>760</v>
      </c>
      <c r="E4654" s="501">
        <v>8006173.0099999998</v>
      </c>
      <c r="F4654" s="502" t="s">
        <v>878</v>
      </c>
      <c r="G4654" s="100">
        <v>115074292</v>
      </c>
      <c r="H4654" s="100">
        <v>115074292</v>
      </c>
      <c r="I4654" s="525" t="s">
        <v>696</v>
      </c>
      <c r="J4654" s="100"/>
      <c r="K4654" s="548"/>
      <c r="L4654" s="548"/>
      <c r="M4654" s="548"/>
      <c r="N4654" s="552"/>
      <c r="Y4654" s="551"/>
    </row>
    <row r="4655" spans="1:25">
      <c r="A4655" s="499">
        <v>45637</v>
      </c>
      <c r="B4655" s="499">
        <v>45638</v>
      </c>
      <c r="C4655" s="500" t="s">
        <v>173</v>
      </c>
      <c r="D4655" s="500" t="s">
        <v>760</v>
      </c>
      <c r="E4655" s="501">
        <v>9006944.6300000008</v>
      </c>
      <c r="F4655" s="502" t="s">
        <v>878</v>
      </c>
      <c r="G4655" s="100">
        <v>115074295</v>
      </c>
      <c r="H4655" s="100">
        <v>115074295</v>
      </c>
      <c r="I4655" s="525" t="s">
        <v>696</v>
      </c>
      <c r="J4655" s="100"/>
      <c r="K4655" s="548"/>
      <c r="L4655" s="548"/>
      <c r="M4655" s="548"/>
      <c r="N4655" s="552"/>
      <c r="Y4655" s="551"/>
    </row>
    <row r="4656" spans="1:25">
      <c r="A4656" s="499">
        <v>45637</v>
      </c>
      <c r="B4656" s="499">
        <v>45638</v>
      </c>
      <c r="C4656" s="500" t="s">
        <v>173</v>
      </c>
      <c r="D4656" s="500" t="s">
        <v>760</v>
      </c>
      <c r="E4656" s="501">
        <v>9006944.6300000008</v>
      </c>
      <c r="F4656" s="502" t="s">
        <v>878</v>
      </c>
      <c r="G4656" s="100">
        <v>115074298</v>
      </c>
      <c r="H4656" s="100">
        <v>115074298</v>
      </c>
      <c r="I4656" s="525" t="s">
        <v>696</v>
      </c>
      <c r="J4656" s="100"/>
      <c r="K4656" s="548"/>
      <c r="L4656" s="548"/>
      <c r="M4656" s="548"/>
      <c r="N4656" s="552"/>
      <c r="Y4656" s="551"/>
    </row>
    <row r="4657" spans="1:25">
      <c r="A4657" s="499">
        <v>45637</v>
      </c>
      <c r="B4657" s="499">
        <v>45638</v>
      </c>
      <c r="C4657" s="500" t="s">
        <v>173</v>
      </c>
      <c r="D4657" s="500" t="s">
        <v>760</v>
      </c>
      <c r="E4657" s="501">
        <v>9004962.6500000004</v>
      </c>
      <c r="F4657" s="502" t="s">
        <v>878</v>
      </c>
      <c r="G4657" s="100">
        <v>115074301</v>
      </c>
      <c r="H4657" s="100">
        <v>115074301</v>
      </c>
      <c r="I4657" s="525" t="s">
        <v>550</v>
      </c>
      <c r="J4657" s="100"/>
      <c r="K4657" s="548"/>
      <c r="L4657" s="548"/>
      <c r="M4657" s="548"/>
      <c r="N4657" s="552"/>
      <c r="Y4657" s="551"/>
    </row>
    <row r="4658" spans="1:25">
      <c r="A4658" s="499">
        <v>45637</v>
      </c>
      <c r="B4658" s="499">
        <v>45638</v>
      </c>
      <c r="C4658" s="500" t="s">
        <v>173</v>
      </c>
      <c r="D4658" s="500" t="s">
        <v>760</v>
      </c>
      <c r="E4658" s="501">
        <v>10008467.300000001</v>
      </c>
      <c r="F4658" s="502" t="s">
        <v>878</v>
      </c>
      <c r="G4658" s="100">
        <v>115074304</v>
      </c>
      <c r="H4658" s="100">
        <v>115074304</v>
      </c>
      <c r="I4658" s="525" t="s">
        <v>596</v>
      </c>
      <c r="J4658" s="100"/>
      <c r="K4658" s="548"/>
      <c r="L4658" s="548"/>
      <c r="M4658" s="548"/>
      <c r="N4658" s="552"/>
      <c r="Y4658" s="551"/>
    </row>
    <row r="4659" spans="1:25">
      <c r="A4659" s="499">
        <v>45637</v>
      </c>
      <c r="B4659" s="499">
        <v>45638</v>
      </c>
      <c r="C4659" s="500" t="s">
        <v>173</v>
      </c>
      <c r="D4659" s="500" t="s">
        <v>760</v>
      </c>
      <c r="E4659" s="501">
        <v>10011161.73</v>
      </c>
      <c r="F4659" s="502" t="s">
        <v>878</v>
      </c>
      <c r="G4659" s="100">
        <v>115074307</v>
      </c>
      <c r="H4659" s="100">
        <v>115074307</v>
      </c>
      <c r="I4659" s="525" t="s">
        <v>604</v>
      </c>
      <c r="J4659" s="100"/>
      <c r="K4659" s="548"/>
      <c r="L4659" s="548"/>
      <c r="M4659" s="548"/>
      <c r="N4659" s="552"/>
      <c r="Y4659" s="551"/>
    </row>
    <row r="4660" spans="1:25">
      <c r="A4660" s="499">
        <v>45637</v>
      </c>
      <c r="B4660" s="499">
        <v>45638</v>
      </c>
      <c r="C4660" s="500" t="s">
        <v>173</v>
      </c>
      <c r="D4660" s="500" t="s">
        <v>760</v>
      </c>
      <c r="E4660" s="501">
        <v>10005050.57</v>
      </c>
      <c r="F4660" s="502" t="s">
        <v>878</v>
      </c>
      <c r="G4660" s="100">
        <v>115074310</v>
      </c>
      <c r="H4660" s="100">
        <v>115074310</v>
      </c>
      <c r="I4660" s="525" t="s">
        <v>816</v>
      </c>
      <c r="J4660" s="100"/>
      <c r="K4660" s="548"/>
      <c r="L4660" s="548"/>
      <c r="M4660" s="548"/>
      <c r="N4660" s="552"/>
      <c r="Y4660" s="551"/>
    </row>
    <row r="4661" spans="1:25">
      <c r="A4661" s="499">
        <v>45637</v>
      </c>
      <c r="B4661" s="499">
        <v>45638</v>
      </c>
      <c r="C4661" s="500" t="s">
        <v>173</v>
      </c>
      <c r="D4661" s="500" t="s">
        <v>760</v>
      </c>
      <c r="E4661" s="501">
        <v>12006616.869999999</v>
      </c>
      <c r="F4661" s="502" t="s">
        <v>878</v>
      </c>
      <c r="G4661" s="100">
        <v>115074313</v>
      </c>
      <c r="H4661" s="100">
        <v>115074313</v>
      </c>
      <c r="I4661" s="525" t="s">
        <v>550</v>
      </c>
      <c r="J4661" s="100"/>
      <c r="K4661" s="548"/>
      <c r="L4661" s="548"/>
      <c r="M4661" s="548"/>
      <c r="N4661" s="552"/>
      <c r="Y4661" s="551"/>
    </row>
    <row r="4662" spans="1:25">
      <c r="A4662" s="499">
        <v>45637</v>
      </c>
      <c r="B4662" s="499">
        <v>45638</v>
      </c>
      <c r="C4662" s="500" t="s">
        <v>173</v>
      </c>
      <c r="D4662" s="500" t="s">
        <v>760</v>
      </c>
      <c r="E4662" s="501">
        <v>13007399.51</v>
      </c>
      <c r="F4662" s="502" t="s">
        <v>878</v>
      </c>
      <c r="G4662" s="100">
        <v>115074316</v>
      </c>
      <c r="H4662" s="100">
        <v>115074316</v>
      </c>
      <c r="I4662" s="525" t="s">
        <v>525</v>
      </c>
      <c r="J4662" s="100"/>
      <c r="K4662" s="548"/>
      <c r="L4662" s="548"/>
      <c r="M4662" s="548"/>
      <c r="N4662" s="552"/>
      <c r="Y4662" s="551"/>
    </row>
    <row r="4663" spans="1:25">
      <c r="A4663" s="499">
        <v>45637</v>
      </c>
      <c r="B4663" s="499">
        <v>45638</v>
      </c>
      <c r="C4663" s="500" t="s">
        <v>173</v>
      </c>
      <c r="D4663" s="500" t="s">
        <v>760</v>
      </c>
      <c r="E4663" s="501">
        <v>14007070.800000001</v>
      </c>
      <c r="F4663" s="502" t="s">
        <v>878</v>
      </c>
      <c r="G4663" s="100">
        <v>115074319</v>
      </c>
      <c r="H4663" s="100">
        <v>115074319</v>
      </c>
      <c r="I4663" s="525" t="s">
        <v>816</v>
      </c>
      <c r="J4663" s="100"/>
      <c r="K4663" s="548"/>
      <c r="L4663" s="548"/>
      <c r="M4663" s="548"/>
      <c r="N4663" s="552"/>
      <c r="Y4663" s="551"/>
    </row>
    <row r="4664" spans="1:25">
      <c r="A4664" s="499">
        <v>45637</v>
      </c>
      <c r="B4664" s="499">
        <v>45638</v>
      </c>
      <c r="C4664" s="500" t="s">
        <v>173</v>
      </c>
      <c r="D4664" s="500" t="s">
        <v>760</v>
      </c>
      <c r="E4664" s="501">
        <v>15009444.84</v>
      </c>
      <c r="F4664" s="502" t="s">
        <v>878</v>
      </c>
      <c r="G4664" s="100">
        <v>115074322</v>
      </c>
      <c r="H4664" s="100">
        <v>115074322</v>
      </c>
      <c r="I4664" s="525" t="s">
        <v>824</v>
      </c>
      <c r="J4664" s="100"/>
      <c r="K4664" s="548"/>
      <c r="L4664" s="548"/>
      <c r="M4664" s="548"/>
      <c r="N4664" s="552"/>
      <c r="Y4664" s="551"/>
    </row>
    <row r="4665" spans="1:25">
      <c r="A4665" s="499">
        <v>45637</v>
      </c>
      <c r="B4665" s="499">
        <v>45638</v>
      </c>
      <c r="C4665" s="500" t="s">
        <v>173</v>
      </c>
      <c r="D4665" s="500" t="s">
        <v>760</v>
      </c>
      <c r="E4665" s="501">
        <v>15008789.199999999</v>
      </c>
      <c r="F4665" s="502" t="s">
        <v>878</v>
      </c>
      <c r="G4665" s="100">
        <v>115074325</v>
      </c>
      <c r="H4665" s="100">
        <v>115074325</v>
      </c>
      <c r="I4665" s="525" t="s">
        <v>819</v>
      </c>
      <c r="J4665" s="100"/>
      <c r="K4665" s="548"/>
      <c r="L4665" s="548"/>
      <c r="M4665" s="548"/>
      <c r="N4665" s="552"/>
      <c r="Y4665" s="551"/>
    </row>
    <row r="4666" spans="1:25">
      <c r="A4666" s="499">
        <v>45637</v>
      </c>
      <c r="B4666" s="499">
        <v>45638</v>
      </c>
      <c r="C4666" s="500" t="s">
        <v>173</v>
      </c>
      <c r="D4666" s="500" t="s">
        <v>760</v>
      </c>
      <c r="E4666" s="501">
        <v>10010269.640000001</v>
      </c>
      <c r="F4666" s="502" t="s">
        <v>878</v>
      </c>
      <c r="G4666" s="100">
        <v>115074328</v>
      </c>
      <c r="H4666" s="100">
        <v>115074328</v>
      </c>
      <c r="I4666" s="525" t="s">
        <v>676</v>
      </c>
      <c r="J4666" s="100"/>
      <c r="K4666" s="548"/>
      <c r="L4666" s="548"/>
      <c r="M4666" s="548"/>
      <c r="N4666" s="552"/>
      <c r="Y4666" s="551"/>
    </row>
    <row r="4667" spans="1:25">
      <c r="A4667" s="499">
        <v>45637</v>
      </c>
      <c r="B4667" s="499">
        <v>45637</v>
      </c>
      <c r="C4667" s="500" t="s">
        <v>173</v>
      </c>
      <c r="D4667" s="500" t="s">
        <v>763</v>
      </c>
      <c r="E4667" s="501">
        <v>-2548397080.3200002</v>
      </c>
      <c r="F4667" s="502" t="s">
        <v>878</v>
      </c>
      <c r="G4667" s="100">
        <v>115076209</v>
      </c>
      <c r="H4667" s="530"/>
      <c r="I4667" s="525" t="s">
        <v>681</v>
      </c>
      <c r="J4667" s="100"/>
      <c r="K4667" s="548"/>
      <c r="L4667" s="548"/>
      <c r="M4667" s="548"/>
      <c r="N4667" s="552"/>
      <c r="Y4667" s="551"/>
    </row>
    <row r="4668" spans="1:25">
      <c r="A4668" s="499">
        <v>45637</v>
      </c>
      <c r="B4668" s="499">
        <v>45637</v>
      </c>
      <c r="C4668" s="500" t="s">
        <v>173</v>
      </c>
      <c r="D4668" s="500" t="s">
        <v>763</v>
      </c>
      <c r="E4668" s="501">
        <v>-2952665715.5599999</v>
      </c>
      <c r="F4668" s="502" t="s">
        <v>878</v>
      </c>
      <c r="G4668" s="100">
        <v>115076212</v>
      </c>
      <c r="H4668" s="530"/>
      <c r="I4668" s="525" t="s">
        <v>713</v>
      </c>
      <c r="J4668" s="100"/>
      <c r="K4668" s="548"/>
      <c r="L4668" s="548"/>
      <c r="M4668" s="548"/>
      <c r="N4668" s="552"/>
      <c r="Y4668" s="551"/>
    </row>
    <row r="4669" spans="1:25">
      <c r="A4669" s="499">
        <v>45637</v>
      </c>
      <c r="B4669" s="499">
        <v>45637</v>
      </c>
      <c r="C4669" s="500" t="s">
        <v>173</v>
      </c>
      <c r="D4669" s="500" t="s">
        <v>763</v>
      </c>
      <c r="E4669" s="501">
        <v>-22012418.079999998</v>
      </c>
      <c r="F4669" s="502" t="s">
        <v>878</v>
      </c>
      <c r="G4669" s="100">
        <v>115076224</v>
      </c>
      <c r="H4669" s="530"/>
      <c r="I4669" s="525" t="s">
        <v>713</v>
      </c>
      <c r="J4669" s="100"/>
      <c r="K4669" s="548"/>
      <c r="L4669" s="548"/>
      <c r="M4669" s="548"/>
      <c r="N4669" s="552"/>
      <c r="Y4669" s="551"/>
    </row>
    <row r="4670" spans="1:25">
      <c r="A4670" s="499">
        <v>45637</v>
      </c>
      <c r="B4670" s="499">
        <v>45638</v>
      </c>
      <c r="C4670" s="500" t="s">
        <v>173</v>
      </c>
      <c r="D4670" s="500" t="s">
        <v>763</v>
      </c>
      <c r="E4670" s="501">
        <v>2549427586.6500001</v>
      </c>
      <c r="F4670" s="502" t="s">
        <v>878</v>
      </c>
      <c r="G4670" s="100">
        <v>115076209</v>
      </c>
      <c r="H4670" s="100">
        <v>115076209</v>
      </c>
      <c r="I4670" s="525" t="s">
        <v>681</v>
      </c>
      <c r="J4670" s="100"/>
      <c r="K4670" s="548"/>
      <c r="L4670" s="548"/>
      <c r="M4670" s="548"/>
      <c r="N4670" s="552"/>
      <c r="Y4670" s="551"/>
    </row>
    <row r="4671" spans="1:25">
      <c r="A4671" s="499">
        <v>45637</v>
      </c>
      <c r="B4671" s="499">
        <v>45638</v>
      </c>
      <c r="C4671" s="500" t="s">
        <v>173</v>
      </c>
      <c r="D4671" s="500" t="s">
        <v>763</v>
      </c>
      <c r="E4671" s="501">
        <v>2953859689.6700001</v>
      </c>
      <c r="F4671" s="502" t="s">
        <v>878</v>
      </c>
      <c r="G4671" s="100">
        <v>115076212</v>
      </c>
      <c r="H4671" s="100">
        <v>115076212</v>
      </c>
      <c r="I4671" s="525" t="s">
        <v>713</v>
      </c>
      <c r="J4671" s="100"/>
      <c r="K4671" s="548"/>
      <c r="L4671" s="548"/>
      <c r="M4671" s="548"/>
      <c r="N4671" s="552"/>
      <c r="Y4671" s="551"/>
    </row>
    <row r="4672" spans="1:25">
      <c r="A4672" s="499">
        <v>45637</v>
      </c>
      <c r="B4672" s="499">
        <v>45638</v>
      </c>
      <c r="C4672" s="500" t="s">
        <v>173</v>
      </c>
      <c r="D4672" s="500" t="s">
        <v>763</v>
      </c>
      <c r="E4672" s="501">
        <v>22021319.280000001</v>
      </c>
      <c r="F4672" s="502" t="s">
        <v>878</v>
      </c>
      <c r="G4672" s="100">
        <v>115076224</v>
      </c>
      <c r="H4672" s="100">
        <v>115076224</v>
      </c>
      <c r="I4672" s="525" t="s">
        <v>713</v>
      </c>
      <c r="J4672" s="100"/>
      <c r="K4672" s="548"/>
      <c r="L4672" s="548"/>
      <c r="M4672" s="548"/>
      <c r="N4672" s="552"/>
      <c r="Y4672" s="551"/>
    </row>
    <row r="4673" spans="1:25">
      <c r="A4673" s="499">
        <v>45638</v>
      </c>
      <c r="B4673" s="499">
        <v>45638</v>
      </c>
      <c r="C4673" s="500" t="s">
        <v>173</v>
      </c>
      <c r="D4673" s="500" t="s">
        <v>762</v>
      </c>
      <c r="E4673" s="501">
        <v>-667148103.35000002</v>
      </c>
      <c r="F4673" s="502" t="s">
        <v>878</v>
      </c>
      <c r="G4673" s="100">
        <v>115095177</v>
      </c>
      <c r="H4673" s="530"/>
      <c r="I4673" s="525" t="s">
        <v>687</v>
      </c>
      <c r="J4673" s="484"/>
      <c r="K4673" s="548"/>
      <c r="L4673" s="548"/>
      <c r="M4673" s="548"/>
      <c r="N4673" s="552"/>
      <c r="Y4673" s="551"/>
    </row>
    <row r="4674" spans="1:25">
      <c r="A4674" s="499">
        <v>45638</v>
      </c>
      <c r="B4674" s="499">
        <v>45638</v>
      </c>
      <c r="C4674" s="500" t="s">
        <v>173</v>
      </c>
      <c r="D4674" s="500" t="s">
        <v>762</v>
      </c>
      <c r="E4674" s="501">
        <v>-18006905.07</v>
      </c>
      <c r="F4674" s="502" t="s">
        <v>878</v>
      </c>
      <c r="G4674" s="100">
        <v>115095831</v>
      </c>
      <c r="H4674" s="530"/>
      <c r="I4674" s="525" t="s">
        <v>677</v>
      </c>
      <c r="J4674" s="484"/>
      <c r="K4674" s="548"/>
      <c r="L4674" s="548"/>
      <c r="M4674" s="548"/>
      <c r="N4674" s="552"/>
      <c r="Y4674" s="551"/>
    </row>
    <row r="4675" spans="1:25">
      <c r="A4675" s="499">
        <v>45638</v>
      </c>
      <c r="B4675" s="499">
        <v>45638</v>
      </c>
      <c r="C4675" s="500" t="s">
        <v>173</v>
      </c>
      <c r="D4675" s="500" t="s">
        <v>762</v>
      </c>
      <c r="E4675" s="501">
        <v>-3888347655.6300001</v>
      </c>
      <c r="F4675" s="502" t="s">
        <v>878</v>
      </c>
      <c r="G4675" s="100">
        <v>115095180</v>
      </c>
      <c r="H4675" s="530"/>
      <c r="I4675" s="525" t="s">
        <v>1018</v>
      </c>
      <c r="J4675" s="484"/>
      <c r="K4675" s="548"/>
      <c r="L4675" s="548"/>
      <c r="M4675" s="548"/>
      <c r="N4675" s="552"/>
      <c r="Y4675" s="551"/>
    </row>
    <row r="4676" spans="1:25">
      <c r="A4676" s="499">
        <v>45638</v>
      </c>
      <c r="B4676" s="499">
        <v>45639</v>
      </c>
      <c r="C4676" s="500" t="s">
        <v>173</v>
      </c>
      <c r="D4676" s="500" t="s">
        <v>762</v>
      </c>
      <c r="E4676" s="501">
        <v>667413323.88999999</v>
      </c>
      <c r="F4676" s="502" t="s">
        <v>878</v>
      </c>
      <c r="G4676" s="100">
        <v>115095177</v>
      </c>
      <c r="H4676" s="484">
        <v>115095177</v>
      </c>
      <c r="I4676" s="525" t="s">
        <v>687</v>
      </c>
      <c r="J4676" s="484"/>
      <c r="K4676" s="548"/>
      <c r="L4676" s="548"/>
      <c r="M4676" s="548"/>
      <c r="N4676" s="552"/>
      <c r="Y4676" s="551"/>
    </row>
    <row r="4677" spans="1:25">
      <c r="A4677" s="499">
        <v>45638</v>
      </c>
      <c r="B4677" s="499">
        <v>45639</v>
      </c>
      <c r="C4677" s="500" t="s">
        <v>173</v>
      </c>
      <c r="D4677" s="500" t="s">
        <v>762</v>
      </c>
      <c r="E4677" s="501">
        <v>18014063.550000001</v>
      </c>
      <c r="F4677" s="502" t="s">
        <v>878</v>
      </c>
      <c r="G4677" s="100">
        <v>115095831</v>
      </c>
      <c r="H4677" s="484">
        <v>115095831</v>
      </c>
      <c r="I4677" s="525" t="s">
        <v>677</v>
      </c>
      <c r="J4677" s="484"/>
      <c r="K4677" s="548"/>
      <c r="L4677" s="548"/>
      <c r="M4677" s="548"/>
      <c r="N4677" s="552"/>
      <c r="Y4677" s="551"/>
    </row>
    <row r="4678" spans="1:25">
      <c r="A4678" s="499">
        <v>45638</v>
      </c>
      <c r="B4678" s="499">
        <v>45639</v>
      </c>
      <c r="C4678" s="500" t="s">
        <v>173</v>
      </c>
      <c r="D4678" s="500" t="s">
        <v>762</v>
      </c>
      <c r="E4678" s="501">
        <v>3889893443.8099999</v>
      </c>
      <c r="F4678" s="502" t="s">
        <v>878</v>
      </c>
      <c r="G4678" s="100">
        <v>115095180</v>
      </c>
      <c r="H4678" s="484">
        <v>115095180</v>
      </c>
      <c r="I4678" s="525" t="s">
        <v>1018</v>
      </c>
      <c r="J4678" s="484"/>
      <c r="K4678" s="548"/>
      <c r="L4678" s="548"/>
      <c r="M4678" s="548"/>
      <c r="N4678" s="552"/>
      <c r="Y4678" s="551"/>
    </row>
    <row r="4679" spans="1:25">
      <c r="A4679" s="499">
        <v>45638</v>
      </c>
      <c r="B4679" s="499">
        <v>45638</v>
      </c>
      <c r="C4679" s="500" t="s">
        <v>173</v>
      </c>
      <c r="D4679" s="500" t="s">
        <v>761</v>
      </c>
      <c r="E4679" s="501">
        <v>-1212395221.0799999</v>
      </c>
      <c r="F4679" s="502" t="s">
        <v>878</v>
      </c>
      <c r="G4679" s="100">
        <v>115093105</v>
      </c>
      <c r="H4679" s="530"/>
      <c r="I4679" s="525" t="s">
        <v>821</v>
      </c>
      <c r="J4679" s="484"/>
      <c r="K4679" s="548"/>
      <c r="L4679" s="548"/>
      <c r="M4679" s="548"/>
      <c r="N4679" s="552"/>
      <c r="Y4679" s="551"/>
    </row>
    <row r="4680" spans="1:25">
      <c r="A4680" s="499">
        <v>45638</v>
      </c>
      <c r="B4680" s="499">
        <v>45638</v>
      </c>
      <c r="C4680" s="500" t="s">
        <v>173</v>
      </c>
      <c r="D4680" s="500" t="s">
        <v>761</v>
      </c>
      <c r="E4680" s="501">
        <v>-481031843.88</v>
      </c>
      <c r="F4680" s="502" t="s">
        <v>878</v>
      </c>
      <c r="G4680" s="100">
        <v>115093285</v>
      </c>
      <c r="H4680" s="530"/>
      <c r="I4680" s="525" t="s">
        <v>550</v>
      </c>
      <c r="J4680" s="484"/>
      <c r="K4680" s="548"/>
      <c r="L4680" s="548"/>
      <c r="M4680" s="548"/>
      <c r="N4680" s="552"/>
      <c r="Y4680" s="551"/>
    </row>
    <row r="4681" spans="1:25">
      <c r="A4681" s="499">
        <v>45638</v>
      </c>
      <c r="B4681" s="499">
        <v>45638</v>
      </c>
      <c r="C4681" s="500" t="s">
        <v>173</v>
      </c>
      <c r="D4681" s="500" t="s">
        <v>761</v>
      </c>
      <c r="E4681" s="501">
        <v>-21008701.73</v>
      </c>
      <c r="F4681" s="502" t="s">
        <v>878</v>
      </c>
      <c r="G4681" s="100">
        <v>115093288</v>
      </c>
      <c r="H4681" s="530"/>
      <c r="I4681" s="525" t="s">
        <v>671</v>
      </c>
      <c r="J4681" s="484"/>
      <c r="K4681" s="548"/>
      <c r="L4681" s="548"/>
      <c r="M4681" s="548"/>
      <c r="N4681" s="552"/>
      <c r="Y4681" s="551"/>
    </row>
    <row r="4682" spans="1:25">
      <c r="A4682" s="499">
        <v>45638</v>
      </c>
      <c r="B4682" s="499">
        <v>45638</v>
      </c>
      <c r="C4682" s="500" t="s">
        <v>173</v>
      </c>
      <c r="D4682" s="500" t="s">
        <v>761</v>
      </c>
      <c r="E4682" s="501">
        <v>-2000652.18</v>
      </c>
      <c r="F4682" s="502" t="s">
        <v>878</v>
      </c>
      <c r="G4682" s="100">
        <v>115093773</v>
      </c>
      <c r="H4682" s="530"/>
      <c r="I4682" s="525" t="s">
        <v>821</v>
      </c>
      <c r="J4682" s="484"/>
      <c r="K4682" s="548"/>
      <c r="L4682" s="548"/>
      <c r="M4682" s="548"/>
      <c r="N4682" s="552"/>
      <c r="Y4682" s="551"/>
    </row>
    <row r="4683" spans="1:25">
      <c r="A4683" s="499">
        <v>45638</v>
      </c>
      <c r="B4683" s="499">
        <v>45645</v>
      </c>
      <c r="C4683" s="500" t="s">
        <v>173</v>
      </c>
      <c r="D4683" s="500" t="s">
        <v>761</v>
      </c>
      <c r="E4683" s="501">
        <v>1215882679.25</v>
      </c>
      <c r="F4683" s="502" t="s">
        <v>878</v>
      </c>
      <c r="G4683" s="100">
        <v>115093105</v>
      </c>
      <c r="H4683" s="100">
        <v>115093105</v>
      </c>
      <c r="I4683" s="525" t="s">
        <v>821</v>
      </c>
      <c r="J4683" s="484"/>
      <c r="K4683" s="548"/>
      <c r="L4683" s="548"/>
      <c r="M4683" s="548"/>
      <c r="N4683" s="552"/>
      <c r="Y4683" s="551"/>
    </row>
    <row r="4684" spans="1:25">
      <c r="A4684" s="499">
        <v>45638</v>
      </c>
      <c r="B4684" s="499">
        <v>45639</v>
      </c>
      <c r="C4684" s="500" t="s">
        <v>173</v>
      </c>
      <c r="D4684" s="500" t="s">
        <v>761</v>
      </c>
      <c r="E4684" s="501">
        <v>481227673.77999997</v>
      </c>
      <c r="F4684" s="502" t="s">
        <v>878</v>
      </c>
      <c r="G4684" s="100">
        <v>115093285</v>
      </c>
      <c r="H4684" s="100">
        <v>115093285</v>
      </c>
      <c r="I4684" s="525" t="s">
        <v>550</v>
      </c>
      <c r="J4684" s="484"/>
      <c r="K4684" s="548"/>
      <c r="L4684" s="548"/>
      <c r="M4684" s="548"/>
      <c r="N4684" s="552"/>
      <c r="Y4684" s="551"/>
    </row>
    <row r="4685" spans="1:25">
      <c r="A4685" s="499">
        <v>45638</v>
      </c>
      <c r="B4685" s="499">
        <v>45639</v>
      </c>
      <c r="C4685" s="500" t="s">
        <v>173</v>
      </c>
      <c r="D4685" s="500" t="s">
        <v>761</v>
      </c>
      <c r="E4685" s="501">
        <v>21017254.449999999</v>
      </c>
      <c r="F4685" s="502" t="s">
        <v>878</v>
      </c>
      <c r="G4685" s="100">
        <v>115093288</v>
      </c>
      <c r="H4685" s="100">
        <v>115093288</v>
      </c>
      <c r="I4685" s="525" t="s">
        <v>671</v>
      </c>
      <c r="J4685" s="484"/>
      <c r="K4685" s="548"/>
      <c r="L4685" s="548"/>
      <c r="M4685" s="548"/>
      <c r="N4685" s="552"/>
      <c r="Y4685" s="551"/>
    </row>
    <row r="4686" spans="1:25">
      <c r="A4686" s="499">
        <v>45638</v>
      </c>
      <c r="B4686" s="499">
        <v>45645</v>
      </c>
      <c r="C4686" s="500" t="s">
        <v>173</v>
      </c>
      <c r="D4686" s="500" t="s">
        <v>761</v>
      </c>
      <c r="E4686" s="501">
        <v>2006391.79</v>
      </c>
      <c r="F4686" s="502" t="s">
        <v>878</v>
      </c>
      <c r="G4686" s="100">
        <v>115093773</v>
      </c>
      <c r="H4686" s="100">
        <v>115093773</v>
      </c>
      <c r="I4686" s="525" t="s">
        <v>821</v>
      </c>
      <c r="J4686" s="484"/>
      <c r="K4686" s="548"/>
      <c r="L4686" s="548"/>
      <c r="M4686" s="548"/>
      <c r="N4686" s="552"/>
      <c r="Y4686" s="551"/>
    </row>
    <row r="4687" spans="1:25">
      <c r="A4687" s="499">
        <v>45638</v>
      </c>
      <c r="B4687" s="499">
        <v>45638</v>
      </c>
      <c r="C4687" s="500" t="s">
        <v>173</v>
      </c>
      <c r="D4687" s="500" t="s">
        <v>759</v>
      </c>
      <c r="E4687" s="501">
        <v>-1992103006.9200001</v>
      </c>
      <c r="F4687" s="502" t="s">
        <v>878</v>
      </c>
      <c r="G4687" s="100">
        <v>115095850</v>
      </c>
      <c r="H4687" s="530"/>
      <c r="I4687" s="525" t="s">
        <v>646</v>
      </c>
      <c r="J4687" s="484"/>
      <c r="K4687" s="548"/>
      <c r="L4687" s="548"/>
      <c r="M4687" s="548"/>
      <c r="N4687" s="552"/>
      <c r="Y4687" s="551"/>
    </row>
    <row r="4688" spans="1:25">
      <c r="A4688" s="499">
        <v>45638</v>
      </c>
      <c r="B4688" s="499">
        <v>45638</v>
      </c>
      <c r="C4688" s="500" t="s">
        <v>173</v>
      </c>
      <c r="D4688" s="500" t="s">
        <v>759</v>
      </c>
      <c r="E4688" s="501">
        <v>-9000804.7599999998</v>
      </c>
      <c r="F4688" s="502" t="s">
        <v>878</v>
      </c>
      <c r="G4688" s="100">
        <v>115096395</v>
      </c>
      <c r="H4688" s="530"/>
      <c r="I4688" s="525" t="s">
        <v>1018</v>
      </c>
      <c r="J4688" s="484"/>
      <c r="K4688" s="548"/>
      <c r="L4688" s="548"/>
      <c r="M4688" s="548"/>
      <c r="N4688" s="552"/>
      <c r="Y4688" s="551"/>
    </row>
    <row r="4689" spans="1:25">
      <c r="A4689" s="499">
        <v>45638</v>
      </c>
      <c r="B4689" s="499">
        <v>45639</v>
      </c>
      <c r="C4689" s="500" t="s">
        <v>173</v>
      </c>
      <c r="D4689" s="500" t="s">
        <v>759</v>
      </c>
      <c r="E4689" s="501">
        <v>1992897670.96</v>
      </c>
      <c r="F4689" s="502" t="s">
        <v>878</v>
      </c>
      <c r="G4689" s="100">
        <v>115095850</v>
      </c>
      <c r="H4689" s="100">
        <v>115095850</v>
      </c>
      <c r="I4689" s="525" t="s">
        <v>646</v>
      </c>
      <c r="J4689" s="484"/>
      <c r="K4689" s="548"/>
      <c r="L4689" s="548"/>
      <c r="M4689" s="548"/>
      <c r="N4689" s="552"/>
      <c r="Y4689" s="551"/>
    </row>
    <row r="4690" spans="1:25">
      <c r="A4690" s="499">
        <v>45638</v>
      </c>
      <c r="B4690" s="499">
        <v>45639</v>
      </c>
      <c r="C4690" s="500" t="s">
        <v>173</v>
      </c>
      <c r="D4690" s="500" t="s">
        <v>759</v>
      </c>
      <c r="E4690" s="501">
        <v>9004383.0700000003</v>
      </c>
      <c r="F4690" s="502" t="s">
        <v>878</v>
      </c>
      <c r="G4690" s="100">
        <v>115096395</v>
      </c>
      <c r="H4690" s="100">
        <v>115096395</v>
      </c>
      <c r="I4690" s="525" t="s">
        <v>1018</v>
      </c>
      <c r="J4690" s="484"/>
      <c r="K4690" s="548"/>
      <c r="L4690" s="548"/>
      <c r="M4690" s="548"/>
      <c r="N4690" s="552"/>
      <c r="Y4690" s="551"/>
    </row>
    <row r="4691" spans="1:25">
      <c r="A4691" s="499">
        <v>45638</v>
      </c>
      <c r="B4691" s="499">
        <v>45638</v>
      </c>
      <c r="C4691" s="500" t="s">
        <v>173</v>
      </c>
      <c r="D4691" s="500" t="s">
        <v>760</v>
      </c>
      <c r="E4691" s="501">
        <v>-294273425.29000002</v>
      </c>
      <c r="F4691" s="502" t="s">
        <v>878</v>
      </c>
      <c r="G4691" s="100">
        <v>115093027</v>
      </c>
      <c r="H4691" s="530"/>
      <c r="I4691" s="525" t="s">
        <v>676</v>
      </c>
      <c r="J4691" s="484"/>
      <c r="K4691" s="548"/>
      <c r="L4691" s="548"/>
      <c r="M4691" s="548"/>
      <c r="N4691" s="552"/>
      <c r="Y4691" s="551"/>
    </row>
    <row r="4692" spans="1:25">
      <c r="A4692" s="499">
        <v>45638</v>
      </c>
      <c r="B4692" s="499">
        <v>45639</v>
      </c>
      <c r="C4692" s="500" t="s">
        <v>173</v>
      </c>
      <c r="D4692" s="500" t="s">
        <v>760</v>
      </c>
      <c r="E4692" s="501">
        <v>294393625.52999997</v>
      </c>
      <c r="F4692" s="502" t="s">
        <v>878</v>
      </c>
      <c r="G4692" s="100">
        <v>115093027</v>
      </c>
      <c r="H4692" s="100">
        <v>115093027</v>
      </c>
      <c r="I4692" s="525" t="s">
        <v>676</v>
      </c>
      <c r="J4692" s="484"/>
      <c r="K4692" s="548"/>
      <c r="L4692" s="548"/>
      <c r="M4692" s="548"/>
      <c r="N4692" s="552"/>
      <c r="Y4692" s="551"/>
    </row>
    <row r="4693" spans="1:25">
      <c r="A4693" s="499">
        <v>45638</v>
      </c>
      <c r="B4693" s="499">
        <v>45638</v>
      </c>
      <c r="C4693" s="500" t="s">
        <v>173</v>
      </c>
      <c r="D4693" s="500" t="s">
        <v>763</v>
      </c>
      <c r="E4693" s="501">
        <v>-5000447088</v>
      </c>
      <c r="F4693" s="502" t="s">
        <v>878</v>
      </c>
      <c r="G4693" s="100">
        <v>115093445</v>
      </c>
      <c r="H4693" s="530"/>
      <c r="I4693" s="525" t="s">
        <v>1018</v>
      </c>
      <c r="J4693" s="484"/>
      <c r="K4693" s="548"/>
      <c r="L4693" s="548"/>
      <c r="M4693" s="548"/>
      <c r="N4693" s="552"/>
      <c r="Y4693" s="551"/>
    </row>
    <row r="4694" spans="1:25">
      <c r="A4694" s="499">
        <v>45638</v>
      </c>
      <c r="B4694" s="499">
        <v>45638</v>
      </c>
      <c r="C4694" s="500" t="s">
        <v>173</v>
      </c>
      <c r="D4694" s="500" t="s">
        <v>763</v>
      </c>
      <c r="E4694" s="501">
        <v>-502337226.02999997</v>
      </c>
      <c r="F4694" s="502" t="s">
        <v>878</v>
      </c>
      <c r="G4694" s="100">
        <v>115093448</v>
      </c>
      <c r="H4694" s="530"/>
      <c r="I4694" s="525" t="s">
        <v>678</v>
      </c>
      <c r="J4694" s="484"/>
      <c r="K4694" s="548"/>
      <c r="L4694" s="548"/>
      <c r="M4694" s="548"/>
      <c r="N4694" s="552"/>
      <c r="Y4694" s="551"/>
    </row>
    <row r="4695" spans="1:25">
      <c r="A4695" s="499">
        <v>45638</v>
      </c>
      <c r="B4695" s="499">
        <v>45638</v>
      </c>
      <c r="C4695" s="500" t="s">
        <v>173</v>
      </c>
      <c r="D4695" s="500" t="s">
        <v>763</v>
      </c>
      <c r="E4695" s="501">
        <v>-22000376.399999999</v>
      </c>
      <c r="F4695" s="502" t="s">
        <v>878</v>
      </c>
      <c r="G4695" s="100">
        <v>115093527</v>
      </c>
      <c r="H4695" s="530"/>
      <c r="I4695" s="525" t="s">
        <v>827</v>
      </c>
      <c r="J4695" s="484"/>
      <c r="K4695" s="548"/>
      <c r="L4695" s="548"/>
      <c r="M4695" s="548"/>
      <c r="N4695" s="552"/>
      <c r="Y4695" s="551"/>
    </row>
    <row r="4696" spans="1:25">
      <c r="A4696" s="499">
        <v>45638</v>
      </c>
      <c r="B4696" s="499">
        <v>45639</v>
      </c>
      <c r="C4696" s="500" t="s">
        <v>173</v>
      </c>
      <c r="D4696" s="500" t="s">
        <v>763</v>
      </c>
      <c r="E4696" s="501">
        <v>5002455669.2299995</v>
      </c>
      <c r="F4696" s="502" t="s">
        <v>878</v>
      </c>
      <c r="G4696" s="100">
        <v>115093445</v>
      </c>
      <c r="H4696" s="100">
        <v>115093445</v>
      </c>
      <c r="I4696" s="525" t="s">
        <v>1018</v>
      </c>
      <c r="J4696" s="484"/>
      <c r="K4696" s="548"/>
      <c r="L4696" s="548"/>
      <c r="M4696" s="548"/>
      <c r="N4696" s="552"/>
      <c r="Y4696" s="551"/>
    </row>
    <row r="4697" spans="1:25">
      <c r="A4697" s="499">
        <v>45638</v>
      </c>
      <c r="B4697" s="499">
        <v>45639</v>
      </c>
      <c r="C4697" s="500" t="s">
        <v>173</v>
      </c>
      <c r="D4697" s="500" t="s">
        <v>763</v>
      </c>
      <c r="E4697" s="501">
        <v>502538998.14999998</v>
      </c>
      <c r="F4697" s="502" t="s">
        <v>878</v>
      </c>
      <c r="G4697" s="100">
        <v>115093448</v>
      </c>
      <c r="H4697" s="100">
        <v>115093448</v>
      </c>
      <c r="I4697" s="525" t="s">
        <v>678</v>
      </c>
      <c r="J4697" s="484"/>
      <c r="K4697" s="548"/>
      <c r="L4697" s="548"/>
      <c r="M4697" s="548"/>
      <c r="N4697" s="552"/>
      <c r="Y4697" s="551"/>
    </row>
    <row r="4698" spans="1:25">
      <c r="A4698" s="499">
        <v>45638</v>
      </c>
      <c r="B4698" s="499">
        <v>45639</v>
      </c>
      <c r="C4698" s="500" t="s">
        <v>173</v>
      </c>
      <c r="D4698" s="500" t="s">
        <v>763</v>
      </c>
      <c r="E4698" s="501">
        <v>22009215.620000001</v>
      </c>
      <c r="F4698" s="502" t="s">
        <v>878</v>
      </c>
      <c r="G4698" s="100">
        <v>115093527</v>
      </c>
      <c r="H4698" s="100">
        <v>115093527</v>
      </c>
      <c r="I4698" s="525" t="s">
        <v>827</v>
      </c>
      <c r="J4698" s="484"/>
      <c r="K4698" s="548"/>
      <c r="L4698" s="548"/>
      <c r="M4698" s="548"/>
      <c r="N4698" s="552"/>
      <c r="Y4698" s="551"/>
    </row>
    <row r="4699" spans="1:25">
      <c r="A4699" s="499">
        <v>45639</v>
      </c>
      <c r="B4699" s="499">
        <v>45639</v>
      </c>
      <c r="C4699" s="500" t="s">
        <v>173</v>
      </c>
      <c r="D4699" s="500" t="s">
        <v>762</v>
      </c>
      <c r="E4699" s="501">
        <v>-4559657309.7399998</v>
      </c>
      <c r="F4699" s="502" t="s">
        <v>878</v>
      </c>
      <c r="G4699" s="100">
        <v>115111924</v>
      </c>
      <c r="H4699" s="530"/>
      <c r="I4699" s="525" t="s">
        <v>717</v>
      </c>
      <c r="J4699" s="484"/>
      <c r="K4699" s="548"/>
      <c r="L4699" s="548"/>
      <c r="M4699" s="548"/>
      <c r="N4699" s="552"/>
      <c r="Y4699" s="551"/>
    </row>
    <row r="4700" spans="1:25">
      <c r="A4700" s="499">
        <v>45639</v>
      </c>
      <c r="B4700" s="499">
        <v>45639</v>
      </c>
      <c r="C4700" s="500" t="s">
        <v>173</v>
      </c>
      <c r="D4700" s="500" t="s">
        <v>762</v>
      </c>
      <c r="E4700" s="501">
        <v>-16009330.029999999</v>
      </c>
      <c r="F4700" s="502" t="s">
        <v>878</v>
      </c>
      <c r="G4700" s="100">
        <v>115112129</v>
      </c>
      <c r="H4700" s="530"/>
      <c r="I4700" s="525" t="s">
        <v>717</v>
      </c>
      <c r="J4700" s="484"/>
      <c r="K4700" s="548"/>
      <c r="L4700" s="548"/>
      <c r="M4700" s="548"/>
      <c r="N4700" s="552"/>
      <c r="Y4700" s="551"/>
    </row>
    <row r="4701" spans="1:25">
      <c r="A4701" s="499">
        <v>45639</v>
      </c>
      <c r="B4701" s="499">
        <v>45646</v>
      </c>
      <c r="C4701" s="500" t="s">
        <v>173</v>
      </c>
      <c r="D4701" s="500" t="s">
        <v>762</v>
      </c>
      <c r="E4701" s="501">
        <v>4572747014.4799995</v>
      </c>
      <c r="F4701" s="502" t="s">
        <v>878</v>
      </c>
      <c r="G4701" s="100">
        <v>115111924</v>
      </c>
      <c r="H4701" s="484">
        <v>115111924</v>
      </c>
      <c r="I4701" s="525" t="s">
        <v>717</v>
      </c>
      <c r="J4701" s="484"/>
      <c r="K4701" s="548"/>
      <c r="L4701" s="548"/>
      <c r="M4701" s="548"/>
      <c r="N4701" s="552"/>
      <c r="Y4701" s="551"/>
    </row>
    <row r="4702" spans="1:25">
      <c r="A4702" s="499">
        <v>45639</v>
      </c>
      <c r="B4702" s="499">
        <v>45646</v>
      </c>
      <c r="C4702" s="500" t="s">
        <v>173</v>
      </c>
      <c r="D4702" s="500" t="s">
        <v>762</v>
      </c>
      <c r="E4702" s="501">
        <v>16055289.050000001</v>
      </c>
      <c r="F4702" s="502" t="s">
        <v>878</v>
      </c>
      <c r="G4702" s="100">
        <v>115112129</v>
      </c>
      <c r="H4702" s="484">
        <v>115112129</v>
      </c>
      <c r="I4702" s="525" t="s">
        <v>717</v>
      </c>
      <c r="J4702" s="484"/>
      <c r="K4702" s="548"/>
      <c r="L4702" s="548"/>
      <c r="M4702" s="548"/>
      <c r="N4702" s="552"/>
      <c r="Y4702" s="551"/>
    </row>
    <row r="4703" spans="1:25">
      <c r="A4703" s="499">
        <v>45639</v>
      </c>
      <c r="B4703" s="499">
        <v>45639</v>
      </c>
      <c r="C4703" s="500" t="s">
        <v>173</v>
      </c>
      <c r="D4703" s="500" t="s">
        <v>761</v>
      </c>
      <c r="E4703" s="501">
        <v>-131005472</v>
      </c>
      <c r="F4703" s="502" t="s">
        <v>878</v>
      </c>
      <c r="G4703" s="100">
        <v>115110188</v>
      </c>
      <c r="H4703" s="530"/>
      <c r="I4703" s="525" t="s">
        <v>646</v>
      </c>
      <c r="J4703" s="484"/>
      <c r="K4703" s="548"/>
      <c r="L4703" s="548"/>
      <c r="M4703" s="548"/>
      <c r="N4703" s="552"/>
      <c r="Y4703" s="551"/>
    </row>
    <row r="4704" spans="1:25">
      <c r="A4704" s="499">
        <v>45639</v>
      </c>
      <c r="B4704" s="499">
        <v>45643</v>
      </c>
      <c r="C4704" s="500" t="s">
        <v>173</v>
      </c>
      <c r="D4704" s="500" t="s">
        <v>761</v>
      </c>
      <c r="E4704" s="501">
        <v>131218660.14</v>
      </c>
      <c r="F4704" s="502" t="s">
        <v>878</v>
      </c>
      <c r="G4704" s="100">
        <v>115110188</v>
      </c>
      <c r="H4704" s="484">
        <v>115110188</v>
      </c>
      <c r="I4704" s="525" t="s">
        <v>646</v>
      </c>
      <c r="J4704" s="484"/>
      <c r="K4704" s="548"/>
      <c r="L4704" s="548"/>
      <c r="M4704" s="548"/>
      <c r="N4704" s="552"/>
      <c r="Y4704" s="551"/>
    </row>
    <row r="4705" spans="1:25">
      <c r="A4705" s="499">
        <v>45639</v>
      </c>
      <c r="B4705" s="499">
        <v>45639</v>
      </c>
      <c r="C4705" s="500" t="s">
        <v>173</v>
      </c>
      <c r="D4705" s="500" t="s">
        <v>759</v>
      </c>
      <c r="E4705" s="501">
        <v>-1993550583.79</v>
      </c>
      <c r="F4705" s="502" t="s">
        <v>878</v>
      </c>
      <c r="G4705" s="100">
        <v>115110535</v>
      </c>
      <c r="H4705" s="530"/>
      <c r="I4705" s="525" t="s">
        <v>633</v>
      </c>
      <c r="J4705" s="484"/>
      <c r="K4705" s="548"/>
      <c r="L4705" s="548"/>
      <c r="M4705" s="548"/>
      <c r="N4705" s="552"/>
      <c r="Y4705" s="551"/>
    </row>
    <row r="4706" spans="1:25">
      <c r="A4706" s="499">
        <v>45639</v>
      </c>
      <c r="B4706" s="499">
        <v>45639</v>
      </c>
      <c r="C4706" s="500" t="s">
        <v>173</v>
      </c>
      <c r="D4706" s="500" t="s">
        <v>759</v>
      </c>
      <c r="E4706" s="501">
        <v>-8004778.3200000003</v>
      </c>
      <c r="F4706" s="502" t="s">
        <v>878</v>
      </c>
      <c r="G4706" s="100">
        <v>115118120</v>
      </c>
      <c r="H4706" s="530"/>
      <c r="I4706" s="525" t="s">
        <v>686</v>
      </c>
      <c r="J4706" s="484"/>
      <c r="K4706" s="548"/>
      <c r="L4706" s="548"/>
      <c r="M4706" s="548"/>
      <c r="N4706" s="552"/>
      <c r="Y4706" s="551"/>
    </row>
    <row r="4707" spans="1:25">
      <c r="A4707" s="499">
        <v>45639</v>
      </c>
      <c r="B4707" s="499">
        <v>45643</v>
      </c>
      <c r="C4707" s="500" t="s">
        <v>173</v>
      </c>
      <c r="D4707" s="500" t="s">
        <v>759</v>
      </c>
      <c r="E4707" s="501">
        <v>1996818677.71</v>
      </c>
      <c r="F4707" s="502" t="s">
        <v>878</v>
      </c>
      <c r="G4707" s="100">
        <v>115110535</v>
      </c>
      <c r="H4707" s="100">
        <v>115110535</v>
      </c>
      <c r="I4707" s="525" t="s">
        <v>633</v>
      </c>
      <c r="J4707" s="484"/>
      <c r="K4707" s="548"/>
      <c r="L4707" s="548"/>
      <c r="M4707" s="548"/>
      <c r="N4707" s="552"/>
      <c r="Y4707" s="551"/>
    </row>
    <row r="4708" spans="1:25">
      <c r="A4708" s="499">
        <v>45639</v>
      </c>
      <c r="B4708" s="499">
        <v>45643</v>
      </c>
      <c r="C4708" s="500" t="s">
        <v>173</v>
      </c>
      <c r="D4708" s="500" t="s">
        <v>759</v>
      </c>
      <c r="E4708" s="501">
        <v>8017113.5499999998</v>
      </c>
      <c r="F4708" s="502" t="s">
        <v>878</v>
      </c>
      <c r="G4708" s="100">
        <v>115118120</v>
      </c>
      <c r="H4708" s="100">
        <v>115118120</v>
      </c>
      <c r="I4708" s="525" t="s">
        <v>686</v>
      </c>
      <c r="J4708" s="484"/>
      <c r="K4708" s="548"/>
      <c r="L4708" s="548"/>
      <c r="M4708" s="548"/>
      <c r="N4708" s="552"/>
      <c r="Y4708" s="551"/>
    </row>
    <row r="4709" spans="1:25">
      <c r="A4709" s="499">
        <v>45639</v>
      </c>
      <c r="B4709" s="499">
        <v>45639</v>
      </c>
      <c r="C4709" s="500" t="s">
        <v>173</v>
      </c>
      <c r="D4709" s="500" t="s">
        <v>760</v>
      </c>
      <c r="E4709" s="501">
        <v>-299012489.52999997</v>
      </c>
      <c r="F4709" s="502" t="s">
        <v>878</v>
      </c>
      <c r="G4709" s="100">
        <v>115110179</v>
      </c>
      <c r="H4709" s="530"/>
      <c r="I4709" s="525" t="s">
        <v>646</v>
      </c>
      <c r="J4709" s="484"/>
      <c r="K4709" s="548"/>
      <c r="L4709" s="548"/>
      <c r="M4709" s="548"/>
      <c r="N4709" s="552"/>
      <c r="Y4709" s="551"/>
    </row>
    <row r="4710" spans="1:25">
      <c r="A4710" s="499">
        <v>45639</v>
      </c>
      <c r="B4710" s="499">
        <v>45643</v>
      </c>
      <c r="C4710" s="500" t="s">
        <v>173</v>
      </c>
      <c r="D4710" s="500" t="s">
        <v>760</v>
      </c>
      <c r="E4710" s="501">
        <v>299498098.88</v>
      </c>
      <c r="F4710" s="502" t="s">
        <v>878</v>
      </c>
      <c r="G4710" s="100">
        <v>115110179</v>
      </c>
      <c r="H4710" s="100">
        <v>115110179</v>
      </c>
      <c r="I4710" s="525" t="s">
        <v>646</v>
      </c>
      <c r="J4710" s="484"/>
      <c r="K4710" s="548"/>
      <c r="L4710" s="548"/>
      <c r="M4710" s="548"/>
      <c r="N4710" s="552"/>
      <c r="Y4710" s="551"/>
    </row>
    <row r="4711" spans="1:25">
      <c r="A4711" s="499">
        <v>45639</v>
      </c>
      <c r="B4711" s="499">
        <v>45639</v>
      </c>
      <c r="C4711" s="500" t="s">
        <v>173</v>
      </c>
      <c r="D4711" s="500" t="s">
        <v>763</v>
      </c>
      <c r="E4711" s="501">
        <v>-2151487161.4499998</v>
      </c>
      <c r="F4711" s="502" t="s">
        <v>878</v>
      </c>
      <c r="G4711" s="100">
        <v>115111723</v>
      </c>
      <c r="H4711" s="530"/>
      <c r="I4711" s="525" t="s">
        <v>687</v>
      </c>
      <c r="J4711" s="484"/>
      <c r="K4711" s="548"/>
      <c r="L4711" s="548"/>
      <c r="M4711" s="548"/>
      <c r="N4711" s="552"/>
      <c r="Y4711" s="551"/>
    </row>
    <row r="4712" spans="1:25">
      <c r="A4712" s="499">
        <v>45639</v>
      </c>
      <c r="B4712" s="499">
        <v>45639</v>
      </c>
      <c r="C4712" s="500" t="s">
        <v>173</v>
      </c>
      <c r="D4712" s="500" t="s">
        <v>763</v>
      </c>
      <c r="E4712" s="501">
        <v>-814224874.65999997</v>
      </c>
      <c r="F4712" s="502" t="s">
        <v>878</v>
      </c>
      <c r="G4712" s="100">
        <v>115111726</v>
      </c>
      <c r="H4712" s="530"/>
      <c r="I4712" s="525" t="s">
        <v>633</v>
      </c>
      <c r="J4712" s="484"/>
      <c r="K4712" s="548"/>
      <c r="L4712" s="548"/>
      <c r="M4712" s="548"/>
      <c r="N4712" s="552"/>
      <c r="Y4712" s="551"/>
    </row>
    <row r="4713" spans="1:25">
      <c r="A4713" s="499">
        <v>45639</v>
      </c>
      <c r="B4713" s="499">
        <v>45639</v>
      </c>
      <c r="C4713" s="500" t="s">
        <v>173</v>
      </c>
      <c r="D4713" s="500" t="s">
        <v>763</v>
      </c>
      <c r="E4713" s="501">
        <v>-780695984.63999999</v>
      </c>
      <c r="F4713" s="502" t="s">
        <v>878</v>
      </c>
      <c r="G4713" s="100">
        <v>115111729</v>
      </c>
      <c r="H4713" s="530"/>
      <c r="I4713" s="525" t="s">
        <v>827</v>
      </c>
      <c r="J4713" s="484"/>
      <c r="K4713" s="548"/>
      <c r="L4713" s="548"/>
      <c r="M4713" s="548"/>
      <c r="N4713" s="552"/>
      <c r="Y4713" s="551"/>
    </row>
    <row r="4714" spans="1:25">
      <c r="A4714" s="499">
        <v>45639</v>
      </c>
      <c r="B4714" s="499">
        <v>45639</v>
      </c>
      <c r="C4714" s="500" t="s">
        <v>173</v>
      </c>
      <c r="D4714" s="500" t="s">
        <v>763</v>
      </c>
      <c r="E4714" s="501">
        <v>-17008828.850000001</v>
      </c>
      <c r="F4714" s="502" t="s">
        <v>878</v>
      </c>
      <c r="G4714" s="100">
        <v>115111732</v>
      </c>
      <c r="H4714" s="530"/>
      <c r="I4714" s="525" t="s">
        <v>677</v>
      </c>
      <c r="J4714" s="484"/>
      <c r="K4714" s="548"/>
      <c r="L4714" s="548"/>
      <c r="M4714" s="548"/>
      <c r="N4714" s="552"/>
      <c r="Y4714" s="551"/>
    </row>
    <row r="4715" spans="1:25">
      <c r="A4715" s="499">
        <v>45639</v>
      </c>
      <c r="B4715" s="499">
        <v>45639</v>
      </c>
      <c r="C4715" s="500" t="s">
        <v>173</v>
      </c>
      <c r="D4715" s="500" t="s">
        <v>763</v>
      </c>
      <c r="E4715" s="501">
        <v>-51016972.090000004</v>
      </c>
      <c r="F4715" s="502" t="s">
        <v>878</v>
      </c>
      <c r="G4715" s="100">
        <v>115111735</v>
      </c>
      <c r="H4715" s="530"/>
      <c r="I4715" s="525" t="s">
        <v>695</v>
      </c>
      <c r="J4715" s="484"/>
      <c r="K4715" s="548"/>
      <c r="L4715" s="548"/>
      <c r="M4715" s="548"/>
      <c r="N4715" s="552"/>
      <c r="Y4715" s="551"/>
    </row>
    <row r="4716" spans="1:25">
      <c r="A4716" s="499">
        <v>45639</v>
      </c>
      <c r="B4716" s="499">
        <v>45639</v>
      </c>
      <c r="C4716" s="500" t="s">
        <v>173</v>
      </c>
      <c r="D4716" s="500" t="s">
        <v>763</v>
      </c>
      <c r="E4716" s="501">
        <v>-207213071.31</v>
      </c>
      <c r="F4716" s="502" t="s">
        <v>878</v>
      </c>
      <c r="G4716" s="100">
        <v>115111738</v>
      </c>
      <c r="H4716" s="530"/>
      <c r="I4716" s="525" t="s">
        <v>653</v>
      </c>
      <c r="J4716" s="484"/>
      <c r="K4716" s="548"/>
      <c r="L4716" s="548"/>
      <c r="M4716" s="548"/>
      <c r="N4716" s="552"/>
      <c r="Y4716" s="551"/>
    </row>
    <row r="4717" spans="1:25">
      <c r="A4717" s="499">
        <v>45639</v>
      </c>
      <c r="B4717" s="499">
        <v>45639</v>
      </c>
      <c r="C4717" s="500" t="s">
        <v>173</v>
      </c>
      <c r="D4717" s="500" t="s">
        <v>763</v>
      </c>
      <c r="E4717" s="501">
        <v>-226188330.77000001</v>
      </c>
      <c r="F4717" s="502" t="s">
        <v>878</v>
      </c>
      <c r="G4717" s="100">
        <v>115111741</v>
      </c>
      <c r="H4717" s="530"/>
      <c r="I4717" s="525" t="s">
        <v>680</v>
      </c>
      <c r="J4717" s="484"/>
      <c r="K4717" s="548"/>
      <c r="L4717" s="548"/>
      <c r="M4717" s="548"/>
      <c r="N4717" s="552"/>
      <c r="Y4717" s="551"/>
    </row>
    <row r="4718" spans="1:25">
      <c r="A4718" s="499">
        <v>45639</v>
      </c>
      <c r="B4718" s="499">
        <v>45639</v>
      </c>
      <c r="C4718" s="500" t="s">
        <v>173</v>
      </c>
      <c r="D4718" s="500" t="s">
        <v>763</v>
      </c>
      <c r="E4718" s="501">
        <v>-1259397979.97</v>
      </c>
      <c r="F4718" s="502" t="s">
        <v>878</v>
      </c>
      <c r="G4718" s="100">
        <v>115111744</v>
      </c>
      <c r="H4718" s="530"/>
      <c r="I4718" s="525" t="s">
        <v>714</v>
      </c>
      <c r="J4718" s="484"/>
      <c r="K4718" s="548"/>
      <c r="L4718" s="548"/>
      <c r="M4718" s="548"/>
      <c r="N4718" s="552"/>
      <c r="Y4718" s="551"/>
    </row>
    <row r="4719" spans="1:25">
      <c r="A4719" s="499">
        <v>45639</v>
      </c>
      <c r="B4719" s="499">
        <v>45639</v>
      </c>
      <c r="C4719" s="500" t="s">
        <v>173</v>
      </c>
      <c r="D4719" s="500" t="s">
        <v>763</v>
      </c>
      <c r="E4719" s="501">
        <v>-20015856</v>
      </c>
      <c r="F4719" s="502" t="s">
        <v>878</v>
      </c>
      <c r="G4719" s="100">
        <v>115111778</v>
      </c>
      <c r="H4719" s="530"/>
      <c r="I4719" s="525" t="s">
        <v>716</v>
      </c>
      <c r="J4719" s="484"/>
      <c r="K4719" s="548"/>
      <c r="L4719" s="548"/>
      <c r="M4719" s="548"/>
      <c r="N4719" s="552"/>
      <c r="Y4719" s="551"/>
    </row>
    <row r="4720" spans="1:25">
      <c r="A4720" s="499">
        <v>45639</v>
      </c>
      <c r="B4720" s="499">
        <v>45643</v>
      </c>
      <c r="C4720" s="500" t="s">
        <v>173</v>
      </c>
      <c r="D4720" s="500" t="s">
        <v>763</v>
      </c>
      <c r="E4720" s="501">
        <v>2154969513.8899999</v>
      </c>
      <c r="F4720" s="502" t="s">
        <v>878</v>
      </c>
      <c r="G4720" s="100">
        <v>115111723</v>
      </c>
      <c r="H4720" s="100">
        <v>115111723</v>
      </c>
      <c r="I4720" s="525" t="s">
        <v>687</v>
      </c>
      <c r="J4720" s="484"/>
      <c r="K4720" s="548"/>
      <c r="L4720" s="548"/>
      <c r="M4720" s="548"/>
      <c r="N4720" s="552"/>
      <c r="Y4720" s="551"/>
    </row>
    <row r="4721" spans="1:25">
      <c r="A4721" s="499">
        <v>45639</v>
      </c>
      <c r="B4721" s="499">
        <v>45643</v>
      </c>
      <c r="C4721" s="500" t="s">
        <v>173</v>
      </c>
      <c r="D4721" s="500" t="s">
        <v>763</v>
      </c>
      <c r="E4721" s="501">
        <v>815542762.13</v>
      </c>
      <c r="F4721" s="502" t="s">
        <v>878</v>
      </c>
      <c r="G4721" s="100">
        <v>115111726</v>
      </c>
      <c r="H4721" s="100">
        <v>115111726</v>
      </c>
      <c r="I4721" s="525" t="s">
        <v>633</v>
      </c>
      <c r="J4721" s="484"/>
      <c r="K4721" s="548"/>
      <c r="L4721" s="548"/>
      <c r="M4721" s="548"/>
      <c r="N4721" s="552"/>
      <c r="Y4721" s="551"/>
    </row>
    <row r="4722" spans="1:25">
      <c r="A4722" s="499">
        <v>45639</v>
      </c>
      <c r="B4722" s="499">
        <v>45643</v>
      </c>
      <c r="C4722" s="500" t="s">
        <v>173</v>
      </c>
      <c r="D4722" s="500" t="s">
        <v>763</v>
      </c>
      <c r="E4722" s="501">
        <v>781959602.95000005</v>
      </c>
      <c r="F4722" s="502" t="s">
        <v>878</v>
      </c>
      <c r="G4722" s="100">
        <v>115111729</v>
      </c>
      <c r="H4722" s="100">
        <v>115111729</v>
      </c>
      <c r="I4722" s="525" t="s">
        <v>827</v>
      </c>
      <c r="J4722" s="484"/>
      <c r="K4722" s="548"/>
      <c r="L4722" s="548"/>
      <c r="M4722" s="548"/>
      <c r="N4722" s="552"/>
      <c r="Y4722" s="551"/>
    </row>
    <row r="4723" spans="1:25">
      <c r="A4723" s="499">
        <v>45639</v>
      </c>
      <c r="B4723" s="499">
        <v>45643</v>
      </c>
      <c r="C4723" s="500" t="s">
        <v>173</v>
      </c>
      <c r="D4723" s="500" t="s">
        <v>763</v>
      </c>
      <c r="E4723" s="501">
        <v>17036340.960000001</v>
      </c>
      <c r="F4723" s="502" t="s">
        <v>878</v>
      </c>
      <c r="G4723" s="100">
        <v>115111732</v>
      </c>
      <c r="H4723" s="100">
        <v>115111732</v>
      </c>
      <c r="I4723" s="525" t="s">
        <v>677</v>
      </c>
      <c r="J4723" s="484"/>
      <c r="K4723" s="548"/>
      <c r="L4723" s="548"/>
      <c r="M4723" s="548"/>
      <c r="N4723" s="552"/>
      <c r="Y4723" s="551"/>
    </row>
    <row r="4724" spans="1:25">
      <c r="A4724" s="499">
        <v>45639</v>
      </c>
      <c r="B4724" s="499">
        <v>45643</v>
      </c>
      <c r="C4724" s="500" t="s">
        <v>173</v>
      </c>
      <c r="D4724" s="500" t="s">
        <v>763</v>
      </c>
      <c r="E4724" s="501">
        <v>51099492.460000001</v>
      </c>
      <c r="F4724" s="502" t="s">
        <v>878</v>
      </c>
      <c r="G4724" s="100">
        <v>115111735</v>
      </c>
      <c r="H4724" s="100">
        <v>115111735</v>
      </c>
      <c r="I4724" s="525" t="s">
        <v>695</v>
      </c>
      <c r="J4724" s="484"/>
      <c r="K4724" s="548"/>
      <c r="L4724" s="548"/>
      <c r="M4724" s="548"/>
      <c r="N4724" s="552"/>
      <c r="Y4724" s="551"/>
    </row>
    <row r="4725" spans="1:25">
      <c r="A4725" s="499">
        <v>45639</v>
      </c>
      <c r="B4725" s="499">
        <v>45643</v>
      </c>
      <c r="C4725" s="500" t="s">
        <v>173</v>
      </c>
      <c r="D4725" s="500" t="s">
        <v>763</v>
      </c>
      <c r="E4725" s="501">
        <v>207548240.15000001</v>
      </c>
      <c r="F4725" s="502" t="s">
        <v>878</v>
      </c>
      <c r="G4725" s="100">
        <v>115111738</v>
      </c>
      <c r="H4725" s="100">
        <v>115111738</v>
      </c>
      <c r="I4725" s="525" t="s">
        <v>653</v>
      </c>
      <c r="J4725" s="484"/>
      <c r="K4725" s="548"/>
      <c r="L4725" s="548"/>
      <c r="M4725" s="548"/>
      <c r="N4725" s="552"/>
      <c r="Y4725" s="551"/>
    </row>
    <row r="4726" spans="1:25">
      <c r="A4726" s="499">
        <v>45639</v>
      </c>
      <c r="B4726" s="499">
        <v>45643</v>
      </c>
      <c r="C4726" s="500" t="s">
        <v>173</v>
      </c>
      <c r="D4726" s="500" t="s">
        <v>763</v>
      </c>
      <c r="E4726" s="501">
        <v>226554192.25</v>
      </c>
      <c r="F4726" s="502" t="s">
        <v>878</v>
      </c>
      <c r="G4726" s="100">
        <v>115111741</v>
      </c>
      <c r="H4726" s="100">
        <v>115111741</v>
      </c>
      <c r="I4726" s="525" t="s">
        <v>680</v>
      </c>
      <c r="J4726" s="484"/>
      <c r="K4726" s="548"/>
      <c r="L4726" s="548"/>
      <c r="M4726" s="548"/>
      <c r="N4726" s="552"/>
      <c r="Y4726" s="551"/>
    </row>
    <row r="4727" spans="1:25">
      <c r="A4727" s="499">
        <v>45639</v>
      </c>
      <c r="B4727" s="499">
        <v>45643</v>
      </c>
      <c r="C4727" s="500" t="s">
        <v>173</v>
      </c>
      <c r="D4727" s="500" t="s">
        <v>763</v>
      </c>
      <c r="E4727" s="501">
        <v>1261435066.53</v>
      </c>
      <c r="F4727" s="502" t="s">
        <v>878</v>
      </c>
      <c r="G4727" s="100">
        <v>115111744</v>
      </c>
      <c r="H4727" s="100">
        <v>115111744</v>
      </c>
      <c r="I4727" s="525" t="s">
        <v>714</v>
      </c>
      <c r="J4727" s="484"/>
      <c r="K4727" s="548"/>
      <c r="L4727" s="548"/>
      <c r="M4727" s="548"/>
      <c r="N4727" s="552"/>
      <c r="Y4727" s="551"/>
    </row>
    <row r="4728" spans="1:25">
      <c r="A4728" s="499">
        <v>45639</v>
      </c>
      <c r="B4728" s="499">
        <v>45643</v>
      </c>
      <c r="C4728" s="500" t="s">
        <v>173</v>
      </c>
      <c r="D4728" s="500" t="s">
        <v>763</v>
      </c>
      <c r="E4728" s="501">
        <v>20048253.25</v>
      </c>
      <c r="F4728" s="502" t="s">
        <v>878</v>
      </c>
      <c r="G4728" s="100">
        <v>115111778</v>
      </c>
      <c r="H4728" s="100">
        <v>115111778</v>
      </c>
      <c r="I4728" s="525" t="s">
        <v>716</v>
      </c>
      <c r="J4728" s="484"/>
      <c r="K4728" s="548"/>
      <c r="L4728" s="548"/>
      <c r="M4728" s="548"/>
      <c r="N4728" s="552"/>
      <c r="Y4728" s="551"/>
    </row>
    <row r="4729" spans="1:25">
      <c r="A4729" s="499">
        <v>45637</v>
      </c>
      <c r="B4729" s="499">
        <v>45639</v>
      </c>
      <c r="C4729" s="500" t="s">
        <v>173</v>
      </c>
      <c r="D4729" s="500" t="s">
        <v>761</v>
      </c>
      <c r="E4729" s="501">
        <v>-182967986.66999999</v>
      </c>
      <c r="F4729" s="502" t="s">
        <v>906</v>
      </c>
      <c r="G4729" s="100" t="s">
        <v>92</v>
      </c>
      <c r="H4729" s="530"/>
      <c r="I4729" s="525" t="s">
        <v>692</v>
      </c>
      <c r="K4729" s="548">
        <v>115074805</v>
      </c>
      <c r="L4729" s="549">
        <v>78.173599999999993</v>
      </c>
      <c r="M4729" s="549">
        <f>E4729*(-1)/(N4729*O4729)*100</f>
        <v>83.16726666818181</v>
      </c>
      <c r="N4729" s="549">
        <v>220000</v>
      </c>
      <c r="O4729" s="539">
        <v>1000</v>
      </c>
      <c r="T4729" s="549">
        <v>13.75</v>
      </c>
      <c r="U4729" s="538">
        <v>9148.4</v>
      </c>
      <c r="V4729" s="538">
        <v>18296.8</v>
      </c>
      <c r="W4729" s="550">
        <f>VLOOKUP(G4729,Справочник!A:C,3,0)</f>
        <v>8.4399999999999989E-2</v>
      </c>
      <c r="X4729" s="539" t="str">
        <f>VLOOKUP(G4729,Справочник!A:G,7,0)</f>
        <v>Министерство финансов Республики Казахстан</v>
      </c>
      <c r="Y4729" s="551" t="str">
        <f>VLOOKUP(G4729,Справочник!A:B,2,0)</f>
        <v>10.05.2031</v>
      </c>
    </row>
    <row r="4730" spans="1:25">
      <c r="A4730" s="499">
        <v>45637</v>
      </c>
      <c r="B4730" s="499">
        <v>45639</v>
      </c>
      <c r="C4730" s="500" t="s">
        <v>173</v>
      </c>
      <c r="D4730" s="500" t="s">
        <v>761</v>
      </c>
      <c r="E4730" s="501">
        <v>-188266096.66999999</v>
      </c>
      <c r="F4730" s="502" t="s">
        <v>906</v>
      </c>
      <c r="G4730" s="100" t="s">
        <v>683</v>
      </c>
      <c r="H4730" s="530"/>
      <c r="I4730" s="525" t="s">
        <v>682</v>
      </c>
      <c r="K4730" s="548">
        <v>115074806</v>
      </c>
      <c r="L4730" s="549">
        <v>100.89100000000001</v>
      </c>
      <c r="M4730" s="549">
        <f>E4730*(-1)/(N4730*O4730)*100</f>
        <v>108.82433333526012</v>
      </c>
      <c r="N4730" s="549">
        <v>173000</v>
      </c>
      <c r="O4730" s="539">
        <v>1000</v>
      </c>
      <c r="T4730" s="549">
        <v>13.75</v>
      </c>
      <c r="U4730" s="538">
        <v>9413.2999999999993</v>
      </c>
      <c r="V4730" s="538">
        <v>18826.61</v>
      </c>
      <c r="W4730" s="550">
        <f>VLOOKUP(G4730,Справочник!A:C,3,0)</f>
        <v>0.14000000000000001</v>
      </c>
      <c r="X4730" s="539" t="str">
        <f>VLOOKUP(G4730,Справочник!A:G,7,0)</f>
        <v>Министерство финансов Республики Казахстан</v>
      </c>
      <c r="Y4730" s="551">
        <f>VLOOKUP(G4730,Справочник!A:B,2,0)</f>
        <v>48353</v>
      </c>
    </row>
    <row r="4731" spans="1:25">
      <c r="A4731" s="499">
        <v>45643</v>
      </c>
      <c r="B4731" s="499">
        <v>45643</v>
      </c>
      <c r="C4731" s="500" t="s">
        <v>173</v>
      </c>
      <c r="D4731" s="500" t="s">
        <v>761</v>
      </c>
      <c r="E4731" s="501">
        <v>-552021427.75999999</v>
      </c>
      <c r="F4731" s="502" t="s">
        <v>878</v>
      </c>
      <c r="G4731" s="100">
        <v>115128091</v>
      </c>
      <c r="H4731" s="530"/>
      <c r="I4731" s="525" t="s">
        <v>631</v>
      </c>
      <c r="J4731" s="484"/>
      <c r="K4731" s="548"/>
      <c r="L4731" s="548"/>
      <c r="M4731" s="548"/>
      <c r="N4731" s="552"/>
      <c r="Y4731" s="551"/>
    </row>
    <row r="4732" spans="1:25">
      <c r="A4732" s="499">
        <v>45643</v>
      </c>
      <c r="B4732" s="499">
        <v>45643</v>
      </c>
      <c r="C4732" s="500" t="s">
        <v>173</v>
      </c>
      <c r="D4732" s="500" t="s">
        <v>761</v>
      </c>
      <c r="E4732" s="501">
        <v>-2000335.42</v>
      </c>
      <c r="F4732" s="502" t="s">
        <v>878</v>
      </c>
      <c r="G4732" s="100">
        <v>115129151</v>
      </c>
      <c r="H4732" s="530"/>
      <c r="I4732" s="525" t="s">
        <v>687</v>
      </c>
      <c r="J4732" s="484"/>
      <c r="K4732" s="548"/>
      <c r="L4732" s="548"/>
      <c r="M4732" s="548"/>
      <c r="N4732" s="552"/>
      <c r="Y4732" s="551"/>
    </row>
    <row r="4733" spans="1:25">
      <c r="A4733" s="499">
        <v>45643</v>
      </c>
      <c r="B4733" s="499">
        <v>45644</v>
      </c>
      <c r="C4733" s="500" t="s">
        <v>173</v>
      </c>
      <c r="D4733" s="500" t="s">
        <v>761</v>
      </c>
      <c r="E4733" s="501">
        <v>552247666.04999995</v>
      </c>
      <c r="F4733" s="502" t="s">
        <v>878</v>
      </c>
      <c r="G4733" s="100">
        <v>115128091</v>
      </c>
      <c r="H4733" s="100">
        <v>115128091</v>
      </c>
      <c r="I4733" s="525" t="s">
        <v>631</v>
      </c>
      <c r="J4733" s="484"/>
      <c r="K4733" s="548"/>
      <c r="L4733" s="548"/>
      <c r="M4733" s="548"/>
      <c r="N4733" s="552"/>
      <c r="Y4733" s="551"/>
    </row>
    <row r="4734" spans="1:25">
      <c r="A4734" s="499">
        <v>45643</v>
      </c>
      <c r="B4734" s="499">
        <v>45644</v>
      </c>
      <c r="C4734" s="500" t="s">
        <v>173</v>
      </c>
      <c r="D4734" s="500" t="s">
        <v>761</v>
      </c>
      <c r="E4734" s="501">
        <v>2001155.23</v>
      </c>
      <c r="F4734" s="502" t="s">
        <v>878</v>
      </c>
      <c r="G4734" s="100">
        <v>115129151</v>
      </c>
      <c r="H4734" s="100">
        <v>115129151</v>
      </c>
      <c r="I4734" s="525" t="s">
        <v>687</v>
      </c>
      <c r="J4734" s="484"/>
      <c r="K4734" s="548"/>
      <c r="L4734" s="548"/>
      <c r="M4734" s="548"/>
      <c r="N4734" s="552"/>
      <c r="Y4734" s="551"/>
    </row>
    <row r="4735" spans="1:25">
      <c r="A4735" s="499">
        <v>45643</v>
      </c>
      <c r="B4735" s="499">
        <v>45645</v>
      </c>
      <c r="C4735" s="500" t="s">
        <v>173</v>
      </c>
      <c r="D4735" s="500" t="s">
        <v>761</v>
      </c>
      <c r="E4735" s="501">
        <v>185358209</v>
      </c>
      <c r="F4735" s="502" t="s">
        <v>912</v>
      </c>
      <c r="G4735" s="100" t="s">
        <v>92</v>
      </c>
      <c r="H4735" s="530"/>
      <c r="I4735" s="525"/>
      <c r="K4735" s="548"/>
      <c r="L4735" s="548"/>
      <c r="M4735" s="548"/>
      <c r="N4735" s="552">
        <v>213000</v>
      </c>
      <c r="O4735" s="539">
        <f>VLOOKUP(G4735,[5]Лист1!$B:$K,10,0)</f>
        <v>1000</v>
      </c>
      <c r="W4735" s="550">
        <f>VLOOKUP(G4735,Справочник!A:C,3,0)</f>
        <v>8.4399999999999989E-2</v>
      </c>
      <c r="X4735" s="539" t="str">
        <f>VLOOKUP(G4735,Справочник!A:G,7,0)</f>
        <v>Министерство финансов Республики Казахстан</v>
      </c>
      <c r="Y4735" s="551" t="str">
        <f>VLOOKUP(G4735,Справочник!A:B,2,0)</f>
        <v>10.05.2031</v>
      </c>
    </row>
    <row r="4736" spans="1:25">
      <c r="A4736" s="499">
        <v>45643</v>
      </c>
      <c r="B4736" s="499">
        <v>45645</v>
      </c>
      <c r="C4736" s="500" t="s">
        <v>173</v>
      </c>
      <c r="D4736" s="500" t="s">
        <v>761</v>
      </c>
      <c r="E4736" s="501">
        <v>185683677.66999999</v>
      </c>
      <c r="F4736" s="502" t="s">
        <v>912</v>
      </c>
      <c r="G4736" s="100" t="s">
        <v>683</v>
      </c>
      <c r="H4736" s="530"/>
      <c r="I4736" s="525"/>
      <c r="K4736" s="548"/>
      <c r="L4736" s="548"/>
      <c r="M4736" s="548"/>
      <c r="N4736" s="552">
        <v>163000</v>
      </c>
      <c r="O4736" s="539">
        <f>VLOOKUP(G4736,[5]Лист1!$B:$K,10,0)</f>
        <v>1000</v>
      </c>
      <c r="W4736" s="550">
        <f>VLOOKUP(G4736,Справочник!A:C,3,0)</f>
        <v>0.14000000000000001</v>
      </c>
      <c r="X4736" s="539" t="str">
        <f>VLOOKUP(G4736,Справочник!A:G,7,0)</f>
        <v>Министерство финансов Республики Казахстан</v>
      </c>
      <c r="Y4736" s="551">
        <f>VLOOKUP(G4736,Справочник!A:B,2,0)</f>
        <v>48353</v>
      </c>
    </row>
    <row r="4737" spans="1:25">
      <c r="A4737" s="499">
        <v>45643</v>
      </c>
      <c r="B4737" s="499">
        <v>45645</v>
      </c>
      <c r="C4737" s="500" t="s">
        <v>173</v>
      </c>
      <c r="D4737" s="500" t="s">
        <v>761</v>
      </c>
      <c r="E4737" s="501">
        <v>184677563.78</v>
      </c>
      <c r="F4737" s="502" t="s">
        <v>912</v>
      </c>
      <c r="G4737" s="100" t="s">
        <v>95</v>
      </c>
      <c r="H4737" s="530"/>
      <c r="I4737" s="525"/>
      <c r="K4737" s="548"/>
      <c r="L4737" s="548"/>
      <c r="M4737" s="548"/>
      <c r="N4737" s="552">
        <v>182000</v>
      </c>
      <c r="O4737" s="539">
        <f>VLOOKUP(G4737,[5]Лист1!$B:$K,10,0)</f>
        <v>1000</v>
      </c>
      <c r="W4737" s="550">
        <f>VLOOKUP(G4737,Справочник!A:C,3,0)</f>
        <v>0.11</v>
      </c>
      <c r="X4737" s="539" t="str">
        <f>VLOOKUP(G4737,Справочник!A:G,7,0)</f>
        <v>Министерство финансов Республики Казахстан</v>
      </c>
      <c r="Y4737" s="551" t="str">
        <f>VLOOKUP(G4737,Справочник!A:B,2,0)</f>
        <v>31.03.2029</v>
      </c>
    </row>
    <row r="4738" spans="1:25">
      <c r="A4738" s="499">
        <v>45643</v>
      </c>
      <c r="B4738" s="499">
        <v>45645</v>
      </c>
      <c r="C4738" s="500" t="s">
        <v>173</v>
      </c>
      <c r="D4738" s="500" t="s">
        <v>761</v>
      </c>
      <c r="E4738" s="501">
        <v>237230041.66999999</v>
      </c>
      <c r="F4738" s="502" t="s">
        <v>912</v>
      </c>
      <c r="G4738" s="100" t="s">
        <v>446</v>
      </c>
      <c r="H4738" s="530"/>
      <c r="I4738" s="525"/>
      <c r="K4738" s="548"/>
      <c r="L4738" s="548"/>
      <c r="M4738" s="548"/>
      <c r="N4738" s="552">
        <v>250000</v>
      </c>
      <c r="O4738" s="539">
        <f>VLOOKUP(G4738,[5]Лист1!$B:$K,10,0)</f>
        <v>1000</v>
      </c>
      <c r="W4738" s="550">
        <f>VLOOKUP(G4738,Справочник!A:C,3,0)</f>
        <v>0.1065</v>
      </c>
      <c r="X4738" s="539" t="str">
        <f>VLOOKUP(G4738,Справочник!A:G,7,0)</f>
        <v>Министерство финансов Республики Казахстан</v>
      </c>
      <c r="Y4738" s="551">
        <f>VLOOKUP(G4738,Справочник!A:B,2,0)</f>
        <v>48421</v>
      </c>
    </row>
    <row r="4739" spans="1:25">
      <c r="A4739" s="499">
        <v>45643</v>
      </c>
      <c r="B4739" s="499">
        <v>45643</v>
      </c>
      <c r="C4739" s="500" t="s">
        <v>173</v>
      </c>
      <c r="D4739" s="500" t="s">
        <v>759</v>
      </c>
      <c r="E4739" s="501">
        <v>-2000548313.46</v>
      </c>
      <c r="F4739" s="502" t="s">
        <v>878</v>
      </c>
      <c r="G4739" s="100">
        <v>115128818</v>
      </c>
      <c r="H4739" s="530"/>
      <c r="I4739" s="525" t="s">
        <v>670</v>
      </c>
      <c r="J4739" s="100"/>
      <c r="K4739" s="548"/>
      <c r="L4739" s="548"/>
      <c r="M4739" s="548"/>
      <c r="N4739" s="552"/>
      <c r="Y4739" s="551"/>
    </row>
    <row r="4740" spans="1:25">
      <c r="A4740" s="499">
        <v>45643</v>
      </c>
      <c r="B4740" s="499">
        <v>45643</v>
      </c>
      <c r="C4740" s="500" t="s">
        <v>173</v>
      </c>
      <c r="D4740" s="500" t="s">
        <v>759</v>
      </c>
      <c r="E4740" s="501">
        <v>-3921826025.3099999</v>
      </c>
      <c r="F4740" s="502" t="s">
        <v>878</v>
      </c>
      <c r="G4740" s="100">
        <v>115128876</v>
      </c>
      <c r="H4740" s="530"/>
      <c r="I4740" s="525" t="s">
        <v>604</v>
      </c>
      <c r="J4740" s="100"/>
      <c r="K4740" s="548"/>
      <c r="L4740" s="548"/>
      <c r="M4740" s="548"/>
      <c r="N4740" s="552"/>
      <c r="Y4740" s="551"/>
    </row>
    <row r="4741" spans="1:25">
      <c r="A4741" s="499">
        <v>45643</v>
      </c>
      <c r="B4741" s="499">
        <v>45643</v>
      </c>
      <c r="C4741" s="500" t="s">
        <v>173</v>
      </c>
      <c r="D4741" s="500" t="s">
        <v>759</v>
      </c>
      <c r="E4741" s="501">
        <v>-16003370.67</v>
      </c>
      <c r="F4741" s="502" t="s">
        <v>878</v>
      </c>
      <c r="G4741" s="100">
        <v>115128896</v>
      </c>
      <c r="H4741" s="530"/>
      <c r="I4741" s="525" t="s">
        <v>604</v>
      </c>
      <c r="J4741" s="100"/>
      <c r="K4741" s="548"/>
      <c r="L4741" s="548"/>
      <c r="M4741" s="548"/>
      <c r="N4741" s="552"/>
      <c r="Y4741" s="551"/>
    </row>
    <row r="4742" spans="1:25">
      <c r="A4742" s="499">
        <v>45643</v>
      </c>
      <c r="B4742" s="499">
        <v>45644</v>
      </c>
      <c r="C4742" s="500" t="s">
        <v>173</v>
      </c>
      <c r="D4742" s="500" t="s">
        <v>759</v>
      </c>
      <c r="E4742" s="501">
        <v>2001351812.3699999</v>
      </c>
      <c r="F4742" s="502" t="s">
        <v>878</v>
      </c>
      <c r="G4742" s="100">
        <v>115128818</v>
      </c>
      <c r="H4742" s="100">
        <v>115128818</v>
      </c>
      <c r="I4742" s="525" t="s">
        <v>670</v>
      </c>
      <c r="J4742" s="100"/>
      <c r="K4742" s="548"/>
      <c r="L4742" s="548"/>
      <c r="M4742" s="548"/>
      <c r="N4742" s="552"/>
      <c r="Y4742" s="551"/>
    </row>
    <row r="4743" spans="1:25">
      <c r="A4743" s="499">
        <v>45643</v>
      </c>
      <c r="B4743" s="499">
        <v>45650</v>
      </c>
      <c r="C4743" s="500" t="s">
        <v>173</v>
      </c>
      <c r="D4743" s="500" t="s">
        <v>759</v>
      </c>
      <c r="E4743" s="501">
        <v>3933114744.3499999</v>
      </c>
      <c r="F4743" s="502" t="s">
        <v>878</v>
      </c>
      <c r="G4743" s="100">
        <v>115128876</v>
      </c>
      <c r="H4743" s="100">
        <v>115128876</v>
      </c>
      <c r="I4743" s="525" t="s">
        <v>604</v>
      </c>
      <c r="J4743" s="100"/>
      <c r="K4743" s="548"/>
      <c r="L4743" s="548"/>
      <c r="M4743" s="548"/>
      <c r="N4743" s="552"/>
      <c r="Y4743" s="551"/>
    </row>
    <row r="4744" spans="1:25">
      <c r="A4744" s="499">
        <v>45643</v>
      </c>
      <c r="B4744" s="499">
        <v>45650</v>
      </c>
      <c r="C4744" s="500" t="s">
        <v>173</v>
      </c>
      <c r="D4744" s="500" t="s">
        <v>759</v>
      </c>
      <c r="E4744" s="501">
        <v>16049435.32</v>
      </c>
      <c r="F4744" s="502" t="s">
        <v>878</v>
      </c>
      <c r="G4744" s="100">
        <v>115128896</v>
      </c>
      <c r="H4744" s="100">
        <v>115128896</v>
      </c>
      <c r="I4744" s="525" t="s">
        <v>604</v>
      </c>
      <c r="J4744" s="100"/>
      <c r="K4744" s="548"/>
      <c r="L4744" s="548"/>
      <c r="M4744" s="548"/>
      <c r="N4744" s="552"/>
      <c r="Y4744" s="551"/>
    </row>
    <row r="4745" spans="1:25">
      <c r="A4745" s="499">
        <v>45643</v>
      </c>
      <c r="B4745" s="499">
        <v>45643</v>
      </c>
      <c r="C4745" s="500" t="s">
        <v>173</v>
      </c>
      <c r="D4745" s="500" t="s">
        <v>760</v>
      </c>
      <c r="E4745" s="501">
        <v>-196058643.97999999</v>
      </c>
      <c r="F4745" s="502" t="s">
        <v>878</v>
      </c>
      <c r="G4745" s="100">
        <v>115127798</v>
      </c>
      <c r="H4745" s="530"/>
      <c r="I4745" s="525" t="s">
        <v>598</v>
      </c>
      <c r="J4745" s="100"/>
      <c r="K4745" s="548"/>
      <c r="L4745" s="548"/>
      <c r="M4745" s="548"/>
      <c r="N4745" s="552"/>
      <c r="Y4745" s="551"/>
    </row>
    <row r="4746" spans="1:25">
      <c r="A4746" s="499">
        <v>45643</v>
      </c>
      <c r="B4746" s="499">
        <v>45643</v>
      </c>
      <c r="C4746" s="500" t="s">
        <v>173</v>
      </c>
      <c r="D4746" s="500" t="s">
        <v>760</v>
      </c>
      <c r="E4746" s="501">
        <v>-102006606.73999999</v>
      </c>
      <c r="F4746" s="502" t="s">
        <v>878</v>
      </c>
      <c r="G4746" s="100">
        <v>115127801</v>
      </c>
      <c r="H4746" s="530"/>
      <c r="I4746" s="525" t="s">
        <v>590</v>
      </c>
      <c r="J4746" s="100"/>
      <c r="K4746" s="548"/>
      <c r="L4746" s="548"/>
      <c r="M4746" s="548"/>
      <c r="N4746" s="552"/>
      <c r="Y4746" s="551"/>
    </row>
    <row r="4747" spans="1:25">
      <c r="A4747" s="499">
        <v>45643</v>
      </c>
      <c r="B4747" s="499">
        <v>45644</v>
      </c>
      <c r="C4747" s="500" t="s">
        <v>173</v>
      </c>
      <c r="D4747" s="500" t="s">
        <v>760</v>
      </c>
      <c r="E4747" s="501">
        <v>196138995.34999999</v>
      </c>
      <c r="F4747" s="502" t="s">
        <v>878</v>
      </c>
      <c r="G4747" s="100">
        <v>115127798</v>
      </c>
      <c r="H4747" s="100">
        <v>115127798</v>
      </c>
      <c r="I4747" s="525" t="s">
        <v>598</v>
      </c>
      <c r="J4747" s="100"/>
      <c r="K4747" s="548"/>
      <c r="L4747" s="548"/>
      <c r="M4747" s="548"/>
      <c r="N4747" s="552"/>
      <c r="Y4747" s="551"/>
    </row>
    <row r="4748" spans="1:25">
      <c r="A4748" s="499">
        <v>45643</v>
      </c>
      <c r="B4748" s="499">
        <v>45644</v>
      </c>
      <c r="C4748" s="500" t="s">
        <v>173</v>
      </c>
      <c r="D4748" s="500" t="s">
        <v>760</v>
      </c>
      <c r="E4748" s="501">
        <v>102048412.45</v>
      </c>
      <c r="F4748" s="502" t="s">
        <v>878</v>
      </c>
      <c r="G4748" s="100">
        <v>115127801</v>
      </c>
      <c r="H4748" s="100">
        <v>115127801</v>
      </c>
      <c r="I4748" s="525" t="s">
        <v>590</v>
      </c>
      <c r="J4748" s="100"/>
      <c r="K4748" s="548"/>
      <c r="L4748" s="548"/>
      <c r="M4748" s="548"/>
      <c r="N4748" s="552"/>
      <c r="Y4748" s="551"/>
    </row>
    <row r="4749" spans="1:25">
      <c r="A4749" s="499">
        <v>45643</v>
      </c>
      <c r="B4749" s="499">
        <v>45643</v>
      </c>
      <c r="C4749" s="500" t="s">
        <v>173</v>
      </c>
      <c r="D4749" s="500" t="s">
        <v>764</v>
      </c>
      <c r="E4749" s="501">
        <v>-1052221621.6799999</v>
      </c>
      <c r="F4749" s="502" t="s">
        <v>878</v>
      </c>
      <c r="G4749" s="100">
        <v>115129341</v>
      </c>
      <c r="H4749" s="530"/>
      <c r="I4749" s="525" t="s">
        <v>604</v>
      </c>
      <c r="J4749" s="100"/>
      <c r="K4749" s="548"/>
      <c r="L4749" s="548"/>
      <c r="M4749" s="548"/>
      <c r="N4749" s="552"/>
      <c r="Y4749" s="551"/>
    </row>
    <row r="4750" spans="1:25">
      <c r="A4750" s="499">
        <v>45643</v>
      </c>
      <c r="B4750" s="499">
        <v>45643</v>
      </c>
      <c r="C4750" s="500" t="s">
        <v>173</v>
      </c>
      <c r="D4750" s="500" t="s">
        <v>764</v>
      </c>
      <c r="E4750" s="501">
        <v>-972442454.39999998</v>
      </c>
      <c r="F4750" s="502" t="s">
        <v>878</v>
      </c>
      <c r="G4750" s="100">
        <v>115129344</v>
      </c>
      <c r="H4750" s="530"/>
      <c r="I4750" s="525" t="s">
        <v>686</v>
      </c>
      <c r="J4750" s="100"/>
      <c r="K4750" s="548"/>
      <c r="L4750" s="548"/>
      <c r="M4750" s="548"/>
      <c r="N4750" s="552"/>
      <c r="Y4750" s="551"/>
    </row>
    <row r="4751" spans="1:25">
      <c r="A4751" s="499">
        <v>45643</v>
      </c>
      <c r="B4751" s="499">
        <v>45643</v>
      </c>
      <c r="C4751" s="500" t="s">
        <v>173</v>
      </c>
      <c r="D4751" s="500" t="s">
        <v>764</v>
      </c>
      <c r="E4751" s="501">
        <v>-8003641.5999999996</v>
      </c>
      <c r="F4751" s="502" t="s">
        <v>878</v>
      </c>
      <c r="G4751" s="100">
        <v>115129372</v>
      </c>
      <c r="H4751" s="530"/>
      <c r="I4751" s="525" t="s">
        <v>686</v>
      </c>
      <c r="J4751" s="100"/>
      <c r="K4751" s="548"/>
      <c r="L4751" s="548"/>
      <c r="M4751" s="548"/>
      <c r="N4751" s="552"/>
      <c r="Y4751" s="551"/>
    </row>
    <row r="4752" spans="1:25">
      <c r="A4752" s="499">
        <v>45643</v>
      </c>
      <c r="B4752" s="499">
        <v>45650</v>
      </c>
      <c r="C4752" s="500" t="s">
        <v>173</v>
      </c>
      <c r="D4752" s="500" t="s">
        <v>764</v>
      </c>
      <c r="E4752" s="501">
        <v>1055250372.62</v>
      </c>
      <c r="F4752" s="502" t="s">
        <v>878</v>
      </c>
      <c r="G4752" s="100">
        <v>115129341</v>
      </c>
      <c r="H4752" s="100">
        <v>115129341</v>
      </c>
      <c r="I4752" s="525" t="s">
        <v>604</v>
      </c>
      <c r="J4752" s="100"/>
      <c r="K4752" s="548"/>
      <c r="L4752" s="548"/>
      <c r="M4752" s="548"/>
      <c r="N4752" s="552"/>
      <c r="Y4752" s="551"/>
    </row>
    <row r="4753" spans="1:25">
      <c r="A4753" s="499">
        <v>45643</v>
      </c>
      <c r="B4753" s="499">
        <v>45650</v>
      </c>
      <c r="C4753" s="500" t="s">
        <v>173</v>
      </c>
      <c r="D4753" s="500" t="s">
        <v>764</v>
      </c>
      <c r="E4753" s="501">
        <v>975241547.63999999</v>
      </c>
      <c r="F4753" s="502" t="s">
        <v>878</v>
      </c>
      <c r="G4753" s="100">
        <v>115129344</v>
      </c>
      <c r="H4753" s="100">
        <v>115129344</v>
      </c>
      <c r="I4753" s="525" t="s">
        <v>686</v>
      </c>
      <c r="J4753" s="100"/>
      <c r="K4753" s="548"/>
      <c r="L4753" s="548"/>
      <c r="M4753" s="548"/>
      <c r="N4753" s="552"/>
      <c r="Y4753" s="551"/>
    </row>
    <row r="4754" spans="1:25">
      <c r="A4754" s="499">
        <v>45643</v>
      </c>
      <c r="B4754" s="499">
        <v>45650</v>
      </c>
      <c r="C4754" s="500" t="s">
        <v>173</v>
      </c>
      <c r="D4754" s="500" t="s">
        <v>764</v>
      </c>
      <c r="E4754" s="501">
        <v>8026679.4000000004</v>
      </c>
      <c r="F4754" s="502" t="s">
        <v>878</v>
      </c>
      <c r="G4754" s="100">
        <v>115129372</v>
      </c>
      <c r="H4754" s="100">
        <v>115129372</v>
      </c>
      <c r="I4754" s="525" t="s">
        <v>686</v>
      </c>
      <c r="J4754" s="100"/>
      <c r="K4754" s="548"/>
      <c r="L4754" s="548"/>
      <c r="M4754" s="548"/>
      <c r="N4754" s="552"/>
      <c r="Y4754" s="551"/>
    </row>
    <row r="4755" spans="1:25">
      <c r="A4755" s="499">
        <v>45643</v>
      </c>
      <c r="B4755" s="499">
        <v>45643</v>
      </c>
      <c r="C4755" s="500" t="s">
        <v>173</v>
      </c>
      <c r="D4755" s="500" t="s">
        <v>763</v>
      </c>
      <c r="E4755" s="501">
        <v>-5513295628.6700001</v>
      </c>
      <c r="F4755" s="502" t="s">
        <v>878</v>
      </c>
      <c r="G4755" s="100">
        <v>115036826</v>
      </c>
      <c r="H4755" s="530"/>
      <c r="I4755" s="525" t="s">
        <v>1018</v>
      </c>
      <c r="J4755" s="484"/>
      <c r="K4755" s="548"/>
      <c r="L4755" s="548"/>
      <c r="M4755" s="548"/>
      <c r="N4755" s="552"/>
      <c r="Y4755" s="551"/>
    </row>
    <row r="4756" spans="1:25">
      <c r="A4756" s="499">
        <v>45643</v>
      </c>
      <c r="B4756" s="499">
        <v>45643</v>
      </c>
      <c r="C4756" s="500" t="s">
        <v>173</v>
      </c>
      <c r="D4756" s="500" t="s">
        <v>763</v>
      </c>
      <c r="E4756" s="501">
        <v>-23005406.289999999</v>
      </c>
      <c r="F4756" s="502" t="s">
        <v>878</v>
      </c>
      <c r="G4756" s="100">
        <v>115036916</v>
      </c>
      <c r="H4756" s="530"/>
      <c r="I4756" s="525" t="s">
        <v>819</v>
      </c>
      <c r="J4756" s="484"/>
      <c r="K4756" s="548"/>
      <c r="L4756" s="548"/>
      <c r="M4756" s="548"/>
      <c r="N4756" s="552"/>
      <c r="Y4756" s="551"/>
    </row>
    <row r="4757" spans="1:25">
      <c r="A4757" s="499">
        <v>45643</v>
      </c>
      <c r="B4757" s="499">
        <v>45644</v>
      </c>
      <c r="C4757" s="500" t="s">
        <v>173</v>
      </c>
      <c r="D4757" s="500" t="s">
        <v>763</v>
      </c>
      <c r="E4757" s="501">
        <v>5515509985.1099997</v>
      </c>
      <c r="F4757" s="502" t="s">
        <v>878</v>
      </c>
      <c r="G4757" s="100">
        <v>115036826</v>
      </c>
      <c r="H4757" s="100">
        <v>115036826</v>
      </c>
      <c r="I4757" s="525" t="s">
        <v>1018</v>
      </c>
      <c r="J4757" s="484"/>
      <c r="K4757" s="548"/>
      <c r="L4757" s="548"/>
      <c r="M4757" s="548"/>
      <c r="N4757" s="552"/>
      <c r="Y4757" s="551"/>
    </row>
    <row r="4758" spans="1:25">
      <c r="A4758" s="499">
        <v>45643</v>
      </c>
      <c r="B4758" s="499">
        <v>45644</v>
      </c>
      <c r="C4758" s="500" t="s">
        <v>173</v>
      </c>
      <c r="D4758" s="500" t="s">
        <v>763</v>
      </c>
      <c r="E4758" s="501">
        <v>23014646.170000002</v>
      </c>
      <c r="F4758" s="502" t="s">
        <v>878</v>
      </c>
      <c r="G4758" s="100">
        <v>115036916</v>
      </c>
      <c r="H4758" s="100">
        <v>115036916</v>
      </c>
      <c r="I4758" s="525" t="s">
        <v>819</v>
      </c>
      <c r="J4758" s="484"/>
      <c r="K4758" s="548"/>
      <c r="L4758" s="548"/>
      <c r="M4758" s="548"/>
      <c r="N4758" s="552"/>
      <c r="Y4758" s="551"/>
    </row>
    <row r="4759" spans="1:25">
      <c r="A4759" s="499">
        <v>45644</v>
      </c>
      <c r="B4759" s="499">
        <v>45644</v>
      </c>
      <c r="C4759" s="500" t="s">
        <v>173</v>
      </c>
      <c r="D4759" s="500" t="s">
        <v>761</v>
      </c>
      <c r="E4759" s="501">
        <v>-1841373681.76</v>
      </c>
      <c r="F4759" s="502" t="s">
        <v>878</v>
      </c>
      <c r="G4759" s="100">
        <v>115148755</v>
      </c>
      <c r="H4759" s="530"/>
      <c r="I4759" s="525" t="s">
        <v>550</v>
      </c>
      <c r="J4759" s="484"/>
      <c r="K4759" s="548"/>
      <c r="L4759" s="548"/>
      <c r="M4759" s="548"/>
      <c r="N4759" s="552"/>
      <c r="Y4759" s="551"/>
    </row>
    <row r="4760" spans="1:25">
      <c r="A4760" s="499">
        <v>45644</v>
      </c>
      <c r="B4760" s="499">
        <v>45644</v>
      </c>
      <c r="C4760" s="500" t="s">
        <v>173</v>
      </c>
      <c r="D4760" s="500" t="s">
        <v>761</v>
      </c>
      <c r="E4760" s="501">
        <v>-8001623.8200000003</v>
      </c>
      <c r="F4760" s="502" t="s">
        <v>878</v>
      </c>
      <c r="G4760" s="100">
        <v>115148775</v>
      </c>
      <c r="H4760" s="530"/>
      <c r="I4760" s="525" t="s">
        <v>550</v>
      </c>
      <c r="J4760" s="484"/>
      <c r="K4760" s="548"/>
      <c r="L4760" s="548"/>
      <c r="M4760" s="548"/>
      <c r="N4760" s="552"/>
      <c r="Y4760" s="551"/>
    </row>
    <row r="4761" spans="1:25">
      <c r="A4761" s="499">
        <v>45644</v>
      </c>
      <c r="B4761" s="499">
        <v>45651</v>
      </c>
      <c r="C4761" s="500" t="s">
        <v>173</v>
      </c>
      <c r="D4761" s="500" t="s">
        <v>761</v>
      </c>
      <c r="E4761" s="501">
        <v>1846656311.1700001</v>
      </c>
      <c r="F4761" s="502" t="s">
        <v>878</v>
      </c>
      <c r="G4761" s="100">
        <v>115148755</v>
      </c>
      <c r="H4761" s="100">
        <v>115148755</v>
      </c>
      <c r="I4761" s="525" t="s">
        <v>550</v>
      </c>
      <c r="J4761" s="484"/>
      <c r="K4761" s="548"/>
      <c r="L4761" s="548"/>
      <c r="M4761" s="548"/>
      <c r="N4761" s="552"/>
      <c r="Y4761" s="551"/>
    </row>
    <row r="4762" spans="1:25">
      <c r="A4762" s="499">
        <v>45644</v>
      </c>
      <c r="B4762" s="499">
        <v>45651</v>
      </c>
      <c r="C4762" s="500" t="s">
        <v>173</v>
      </c>
      <c r="D4762" s="500" t="s">
        <v>761</v>
      </c>
      <c r="E4762" s="501">
        <v>8024579.2999999998</v>
      </c>
      <c r="F4762" s="502" t="s">
        <v>878</v>
      </c>
      <c r="G4762" s="100">
        <v>115148775</v>
      </c>
      <c r="H4762" s="100">
        <v>115148775</v>
      </c>
      <c r="I4762" s="525" t="s">
        <v>550</v>
      </c>
      <c r="J4762" s="484"/>
      <c r="K4762" s="548"/>
      <c r="L4762" s="548"/>
      <c r="M4762" s="548"/>
      <c r="N4762" s="552"/>
      <c r="Y4762" s="551"/>
    </row>
    <row r="4763" spans="1:25">
      <c r="A4763" s="499">
        <v>45639</v>
      </c>
      <c r="B4763" s="499">
        <v>45644</v>
      </c>
      <c r="C4763" s="500" t="s">
        <v>173</v>
      </c>
      <c r="D4763" s="500" t="s">
        <v>761</v>
      </c>
      <c r="E4763" s="501">
        <v>348542500</v>
      </c>
      <c r="F4763" s="502" t="s">
        <v>912</v>
      </c>
      <c r="G4763" s="100" t="s">
        <v>61</v>
      </c>
      <c r="H4763" s="530"/>
      <c r="I4763" s="525" t="s">
        <v>717</v>
      </c>
      <c r="J4763" s="484"/>
      <c r="K4763" s="548"/>
      <c r="L4763" s="548"/>
      <c r="M4763" s="548"/>
      <c r="N4763" s="552">
        <v>500000</v>
      </c>
      <c r="O4763" s="539">
        <f>VLOOKUP(G4763,[5]Лист1!$B:$K,10,0)</f>
        <v>1000</v>
      </c>
      <c r="W4763" s="550">
        <f>VLOOKUP(G4763,Справочник!A:C,3,0)</f>
        <v>5.5E-2</v>
      </c>
      <c r="X4763" s="539" t="str">
        <f>VLOOKUP(G4763,Справочник!A:G,7,0)</f>
        <v>Министерство финансов Республики Казахстан</v>
      </c>
      <c r="Y4763" s="551">
        <f>VLOOKUP(G4763,Справочник!A:B,2,0)</f>
        <v>48328</v>
      </c>
    </row>
    <row r="4764" spans="1:25">
      <c r="A4764" s="499">
        <v>45639</v>
      </c>
      <c r="B4764" s="499">
        <v>45644</v>
      </c>
      <c r="C4764" s="500" t="s">
        <v>173</v>
      </c>
      <c r="D4764" s="500" t="s">
        <v>761</v>
      </c>
      <c r="E4764" s="501">
        <v>232785583.33000001</v>
      </c>
      <c r="F4764" s="502" t="s">
        <v>912</v>
      </c>
      <c r="G4764" s="100" t="s">
        <v>446</v>
      </c>
      <c r="H4764" s="530"/>
      <c r="I4764" s="525" t="s">
        <v>689</v>
      </c>
      <c r="J4764" s="484"/>
      <c r="K4764" s="548"/>
      <c r="L4764" s="548"/>
      <c r="M4764" s="548"/>
      <c r="N4764" s="552">
        <v>250000</v>
      </c>
      <c r="O4764" s="539">
        <f>VLOOKUP(G4764,[5]Лист1!$B:$K,10,0)</f>
        <v>1000</v>
      </c>
      <c r="W4764" s="550">
        <f>VLOOKUP(G4764,Справочник!A:C,3,0)</f>
        <v>0.1065</v>
      </c>
      <c r="X4764" s="539" t="str">
        <f>VLOOKUP(G4764,Справочник!A:G,7,0)</f>
        <v>Министерство финансов Республики Казахстан</v>
      </c>
      <c r="Y4764" s="551">
        <f>VLOOKUP(G4764,Справочник!A:B,2,0)</f>
        <v>48421</v>
      </c>
    </row>
    <row r="4765" spans="1:25">
      <c r="A4765" s="499">
        <v>45644</v>
      </c>
      <c r="B4765" s="499">
        <v>45646</v>
      </c>
      <c r="C4765" s="500" t="s">
        <v>173</v>
      </c>
      <c r="D4765" s="500" t="s">
        <v>761</v>
      </c>
      <c r="E4765" s="501">
        <v>233999750</v>
      </c>
      <c r="F4765" s="502" t="s">
        <v>912</v>
      </c>
      <c r="G4765" s="100" t="s">
        <v>446</v>
      </c>
      <c r="H4765" s="530"/>
      <c r="I4765" s="525" t="s">
        <v>689</v>
      </c>
      <c r="J4765" s="484"/>
      <c r="K4765" s="548"/>
      <c r="L4765" s="548"/>
      <c r="M4765" s="548"/>
      <c r="N4765" s="552">
        <v>250000</v>
      </c>
      <c r="O4765" s="539">
        <f>VLOOKUP(G4765,[5]Лист1!$B:$K,10,0)</f>
        <v>1000</v>
      </c>
      <c r="W4765" s="550">
        <f>VLOOKUP(G4765,Справочник!A:C,3,0)</f>
        <v>0.1065</v>
      </c>
      <c r="X4765" s="539" t="str">
        <f>VLOOKUP(G4765,Справочник!A:G,7,0)</f>
        <v>Министерство финансов Республики Казахстан</v>
      </c>
      <c r="Y4765" s="551">
        <f>VLOOKUP(G4765,Справочник!A:B,2,0)</f>
        <v>48421</v>
      </c>
    </row>
    <row r="4766" spans="1:25">
      <c r="A4766" s="499">
        <v>45644</v>
      </c>
      <c r="B4766" s="499">
        <v>45646</v>
      </c>
      <c r="C4766" s="500" t="s">
        <v>173</v>
      </c>
      <c r="D4766" s="500" t="s">
        <v>761</v>
      </c>
      <c r="E4766" s="501">
        <v>204037754</v>
      </c>
      <c r="F4766" s="502" t="s">
        <v>912</v>
      </c>
      <c r="G4766" s="100" t="s">
        <v>446</v>
      </c>
      <c r="H4766" s="530"/>
      <c r="I4766" s="525" t="s">
        <v>689</v>
      </c>
      <c r="J4766" s="484"/>
      <c r="K4766" s="548"/>
      <c r="L4766" s="548"/>
      <c r="M4766" s="548"/>
      <c r="N4766" s="552">
        <v>218000</v>
      </c>
      <c r="O4766" s="539">
        <f>VLOOKUP(G4766,[5]Лист1!$B:$K,10,0)</f>
        <v>1000</v>
      </c>
      <c r="W4766" s="550">
        <f>VLOOKUP(G4766,Справочник!A:C,3,0)</f>
        <v>0.1065</v>
      </c>
      <c r="X4766" s="539" t="str">
        <f>VLOOKUP(G4766,Справочник!A:G,7,0)</f>
        <v>Министерство финансов Республики Казахстан</v>
      </c>
      <c r="Y4766" s="551">
        <f>VLOOKUP(G4766,Справочник!A:B,2,0)</f>
        <v>48421</v>
      </c>
    </row>
    <row r="4767" spans="1:25">
      <c r="A4767" s="499">
        <v>45644</v>
      </c>
      <c r="B4767" s="499">
        <v>45644</v>
      </c>
      <c r="C4767" s="500" t="s">
        <v>173</v>
      </c>
      <c r="D4767" s="500" t="s">
        <v>759</v>
      </c>
      <c r="E4767" s="501">
        <v>-70001189.099999994</v>
      </c>
      <c r="F4767" s="502" t="s">
        <v>878</v>
      </c>
      <c r="G4767" s="100">
        <v>115147476</v>
      </c>
      <c r="H4767" s="530"/>
      <c r="I4767" s="525" t="s">
        <v>633</v>
      </c>
      <c r="J4767" s="484"/>
      <c r="K4767" s="548"/>
      <c r="L4767" s="548"/>
      <c r="M4767" s="548"/>
      <c r="N4767" s="552"/>
      <c r="Y4767" s="551"/>
    </row>
    <row r="4768" spans="1:25">
      <c r="A4768" s="499">
        <v>45644</v>
      </c>
      <c r="B4768" s="499">
        <v>45644</v>
      </c>
      <c r="C4768" s="500" t="s">
        <v>173</v>
      </c>
      <c r="D4768" s="500" t="s">
        <v>759</v>
      </c>
      <c r="E4768" s="501">
        <v>-1451079450.96</v>
      </c>
      <c r="F4768" s="502" t="s">
        <v>878</v>
      </c>
      <c r="G4768" s="100">
        <v>115147487</v>
      </c>
      <c r="H4768" s="530"/>
      <c r="I4768" s="525" t="s">
        <v>682</v>
      </c>
      <c r="J4768" s="484"/>
      <c r="K4768" s="548"/>
      <c r="L4768" s="548"/>
      <c r="M4768" s="548"/>
      <c r="N4768" s="552"/>
      <c r="Y4768" s="551"/>
    </row>
    <row r="4769" spans="1:25">
      <c r="A4769" s="499">
        <v>45644</v>
      </c>
      <c r="B4769" s="499">
        <v>45644</v>
      </c>
      <c r="C4769" s="500" t="s">
        <v>173</v>
      </c>
      <c r="D4769" s="500" t="s">
        <v>759</v>
      </c>
      <c r="E4769" s="501">
        <v>-471289203.42000002</v>
      </c>
      <c r="F4769" s="502" t="s">
        <v>878</v>
      </c>
      <c r="G4769" s="100">
        <v>115147490</v>
      </c>
      <c r="H4769" s="530"/>
      <c r="I4769" s="525" t="s">
        <v>677</v>
      </c>
      <c r="J4769" s="484"/>
      <c r="K4769" s="548"/>
      <c r="L4769" s="548"/>
      <c r="M4769" s="548"/>
      <c r="N4769" s="552"/>
      <c r="Y4769" s="551"/>
    </row>
    <row r="4770" spans="1:25">
      <c r="A4770" s="499">
        <v>45644</v>
      </c>
      <c r="B4770" s="499">
        <v>45644</v>
      </c>
      <c r="C4770" s="500" t="s">
        <v>173</v>
      </c>
      <c r="D4770" s="500" t="s">
        <v>759</v>
      </c>
      <c r="E4770" s="501">
        <v>-9000008.9299999997</v>
      </c>
      <c r="F4770" s="502" t="s">
        <v>878</v>
      </c>
      <c r="G4770" s="100">
        <v>115147594</v>
      </c>
      <c r="H4770" s="530"/>
      <c r="I4770" s="525" t="s">
        <v>1018</v>
      </c>
      <c r="J4770" s="484"/>
      <c r="K4770" s="548"/>
      <c r="L4770" s="548"/>
      <c r="M4770" s="548"/>
      <c r="N4770" s="552"/>
      <c r="Y4770" s="551"/>
    </row>
    <row r="4771" spans="1:25">
      <c r="A4771" s="499">
        <v>45644</v>
      </c>
      <c r="B4771" s="499">
        <v>45645</v>
      </c>
      <c r="C4771" s="500" t="s">
        <v>173</v>
      </c>
      <c r="D4771" s="500" t="s">
        <v>759</v>
      </c>
      <c r="E4771" s="501">
        <v>70029323.459999993</v>
      </c>
      <c r="F4771" s="502" t="s">
        <v>878</v>
      </c>
      <c r="G4771" s="100">
        <v>115147476</v>
      </c>
      <c r="H4771" s="100">
        <v>115147476</v>
      </c>
      <c r="I4771" s="525" t="s">
        <v>633</v>
      </c>
      <c r="J4771" s="484"/>
      <c r="K4771" s="548"/>
      <c r="L4771" s="548"/>
      <c r="M4771" s="548"/>
      <c r="N4771" s="552"/>
      <c r="Y4771" s="551"/>
    </row>
    <row r="4772" spans="1:25">
      <c r="A4772" s="499">
        <v>45644</v>
      </c>
      <c r="B4772" s="499">
        <v>45645</v>
      </c>
      <c r="C4772" s="500" t="s">
        <v>173</v>
      </c>
      <c r="D4772" s="500" t="s">
        <v>759</v>
      </c>
      <c r="E4772" s="501">
        <v>1451662658.03</v>
      </c>
      <c r="F4772" s="502" t="s">
        <v>878</v>
      </c>
      <c r="G4772" s="100">
        <v>115147487</v>
      </c>
      <c r="H4772" s="100">
        <v>115147487</v>
      </c>
      <c r="I4772" s="525" t="s">
        <v>682</v>
      </c>
      <c r="J4772" s="484"/>
      <c r="K4772" s="548"/>
      <c r="L4772" s="548"/>
      <c r="M4772" s="548"/>
      <c r="N4772" s="552"/>
      <c r="Y4772" s="551"/>
    </row>
    <row r="4773" spans="1:25">
      <c r="A4773" s="499">
        <v>45644</v>
      </c>
      <c r="B4773" s="499">
        <v>45645</v>
      </c>
      <c r="C4773" s="500" t="s">
        <v>173</v>
      </c>
      <c r="D4773" s="500" t="s">
        <v>759</v>
      </c>
      <c r="E4773" s="501">
        <v>471478620.47000003</v>
      </c>
      <c r="F4773" s="502" t="s">
        <v>878</v>
      </c>
      <c r="G4773" s="100">
        <v>115147490</v>
      </c>
      <c r="H4773" s="100">
        <v>115147490</v>
      </c>
      <c r="I4773" s="525" t="s">
        <v>677</v>
      </c>
      <c r="J4773" s="484"/>
      <c r="K4773" s="548"/>
      <c r="L4773" s="548"/>
      <c r="M4773" s="548"/>
      <c r="N4773" s="552"/>
      <c r="Y4773" s="551"/>
    </row>
    <row r="4774" spans="1:25">
      <c r="A4774" s="499">
        <v>45644</v>
      </c>
      <c r="B4774" s="499">
        <v>45645</v>
      </c>
      <c r="C4774" s="500" t="s">
        <v>173</v>
      </c>
      <c r="D4774" s="500" t="s">
        <v>759</v>
      </c>
      <c r="E4774" s="501">
        <v>9003628.6500000004</v>
      </c>
      <c r="F4774" s="502" t="s">
        <v>878</v>
      </c>
      <c r="G4774" s="100">
        <v>115147594</v>
      </c>
      <c r="H4774" s="100">
        <v>115147594</v>
      </c>
      <c r="I4774" s="525" t="s">
        <v>1018</v>
      </c>
      <c r="J4774" s="484"/>
      <c r="K4774" s="548"/>
      <c r="L4774" s="548"/>
      <c r="M4774" s="548"/>
      <c r="N4774" s="552"/>
      <c r="Y4774" s="551"/>
    </row>
    <row r="4775" spans="1:25">
      <c r="A4775" s="499">
        <v>45644</v>
      </c>
      <c r="B4775" s="499">
        <v>45644</v>
      </c>
      <c r="C4775" s="500" t="s">
        <v>173</v>
      </c>
      <c r="D4775" s="500" t="s">
        <v>760</v>
      </c>
      <c r="E4775" s="501">
        <v>-296051555.14999998</v>
      </c>
      <c r="F4775" s="502" t="s">
        <v>878</v>
      </c>
      <c r="G4775" s="100">
        <v>115153110</v>
      </c>
      <c r="H4775" s="530"/>
      <c r="I4775" s="525" t="s">
        <v>631</v>
      </c>
      <c r="J4775" s="484"/>
      <c r="K4775" s="548"/>
      <c r="L4775" s="548"/>
      <c r="M4775" s="548"/>
      <c r="N4775" s="552"/>
      <c r="Y4775" s="551"/>
    </row>
    <row r="4776" spans="1:25">
      <c r="A4776" s="499">
        <v>45644</v>
      </c>
      <c r="B4776" s="499">
        <v>45645</v>
      </c>
      <c r="C4776" s="500" t="s">
        <v>173</v>
      </c>
      <c r="D4776" s="500" t="s">
        <v>760</v>
      </c>
      <c r="E4776" s="501">
        <v>296170460.29000002</v>
      </c>
      <c r="F4776" s="502" t="s">
        <v>878</v>
      </c>
      <c r="G4776" s="100">
        <v>115153110</v>
      </c>
      <c r="H4776" s="100">
        <v>115153110</v>
      </c>
      <c r="I4776" s="525" t="s">
        <v>631</v>
      </c>
      <c r="J4776" s="484"/>
      <c r="K4776" s="548"/>
      <c r="L4776" s="548"/>
      <c r="M4776" s="548"/>
      <c r="N4776" s="552"/>
      <c r="Y4776" s="551"/>
    </row>
    <row r="4777" spans="1:25">
      <c r="A4777" s="499">
        <v>45644</v>
      </c>
      <c r="B4777" s="499">
        <v>45644</v>
      </c>
      <c r="C4777" s="500" t="s">
        <v>173</v>
      </c>
      <c r="D4777" s="500" t="s">
        <v>763</v>
      </c>
      <c r="E4777" s="501">
        <v>-5515960562.9899998</v>
      </c>
      <c r="F4777" s="502" t="s">
        <v>878</v>
      </c>
      <c r="G4777" s="100">
        <v>115145987</v>
      </c>
      <c r="H4777" s="530"/>
      <c r="I4777" s="525" t="s">
        <v>631</v>
      </c>
      <c r="J4777" s="484"/>
      <c r="K4777" s="548"/>
      <c r="L4777" s="548"/>
      <c r="M4777" s="548"/>
      <c r="N4777" s="552"/>
      <c r="Y4777" s="551"/>
    </row>
    <row r="4778" spans="1:25">
      <c r="A4778" s="499">
        <v>45644</v>
      </c>
      <c r="B4778" s="499">
        <v>45644</v>
      </c>
      <c r="C4778" s="500" t="s">
        <v>173</v>
      </c>
      <c r="D4778" s="500" t="s">
        <v>763</v>
      </c>
      <c r="E4778" s="501">
        <v>-22000855.18</v>
      </c>
      <c r="F4778" s="502" t="s">
        <v>878</v>
      </c>
      <c r="G4778" s="100">
        <v>115146005</v>
      </c>
      <c r="H4778" s="530"/>
      <c r="I4778" s="525" t="s">
        <v>681</v>
      </c>
      <c r="J4778" s="484"/>
      <c r="K4778" s="548"/>
      <c r="L4778" s="548"/>
      <c r="M4778" s="548"/>
      <c r="N4778" s="552"/>
      <c r="Y4778" s="551"/>
    </row>
    <row r="4779" spans="1:25">
      <c r="A4779" s="499">
        <v>45644</v>
      </c>
      <c r="B4779" s="499">
        <v>45645</v>
      </c>
      <c r="C4779" s="500" t="s">
        <v>173</v>
      </c>
      <c r="D4779" s="500" t="s">
        <v>763</v>
      </c>
      <c r="E4779" s="501">
        <v>5518183525.2399998</v>
      </c>
      <c r="F4779" s="502" t="s">
        <v>878</v>
      </c>
      <c r="G4779" s="100">
        <v>115145987</v>
      </c>
      <c r="H4779" s="100">
        <v>115145987</v>
      </c>
      <c r="I4779" s="525" t="s">
        <v>631</v>
      </c>
      <c r="J4779" s="484"/>
      <c r="K4779" s="548"/>
      <c r="L4779" s="548"/>
      <c r="M4779" s="548"/>
      <c r="N4779" s="552"/>
      <c r="Y4779" s="551"/>
    </row>
    <row r="4780" spans="1:25">
      <c r="A4780" s="499">
        <v>45644</v>
      </c>
      <c r="B4780" s="499">
        <v>45645</v>
      </c>
      <c r="C4780" s="500" t="s">
        <v>173</v>
      </c>
      <c r="D4780" s="500" t="s">
        <v>763</v>
      </c>
      <c r="E4780" s="501">
        <v>22009721.77</v>
      </c>
      <c r="F4780" s="502" t="s">
        <v>878</v>
      </c>
      <c r="G4780" s="100">
        <v>115146005</v>
      </c>
      <c r="H4780" s="100">
        <v>115146005</v>
      </c>
      <c r="I4780" s="525" t="s">
        <v>681</v>
      </c>
      <c r="J4780" s="484"/>
      <c r="K4780" s="548"/>
      <c r="L4780" s="548"/>
      <c r="M4780" s="548"/>
      <c r="N4780" s="552"/>
      <c r="Y4780" s="551"/>
    </row>
    <row r="4781" spans="1:25">
      <c r="A4781" s="499">
        <v>45645</v>
      </c>
      <c r="B4781" s="499">
        <v>45645</v>
      </c>
      <c r="C4781" s="500" t="s">
        <v>173</v>
      </c>
      <c r="D4781" s="500" t="s">
        <v>761</v>
      </c>
      <c r="E4781" s="501">
        <v>-1941534388.6800001</v>
      </c>
      <c r="F4781" s="502" t="s">
        <v>878</v>
      </c>
      <c r="G4781" s="100">
        <v>115162720</v>
      </c>
      <c r="H4781" s="530"/>
      <c r="I4781" s="525" t="s">
        <v>689</v>
      </c>
      <c r="J4781" s="484"/>
      <c r="K4781" s="548"/>
      <c r="L4781" s="548"/>
      <c r="M4781" s="548"/>
      <c r="N4781" s="552"/>
      <c r="Q4781" s="539">
        <v>-1</v>
      </c>
      <c r="Y4781" s="551"/>
    </row>
    <row r="4782" spans="1:25">
      <c r="A4782" s="499">
        <v>45645</v>
      </c>
      <c r="B4782" s="499">
        <v>45645</v>
      </c>
      <c r="C4782" s="500" t="s">
        <v>173</v>
      </c>
      <c r="D4782" s="500" t="s">
        <v>761</v>
      </c>
      <c r="E4782" s="501">
        <v>-7001690.5599999996</v>
      </c>
      <c r="F4782" s="502" t="s">
        <v>878</v>
      </c>
      <c r="G4782" s="100">
        <v>115163018</v>
      </c>
      <c r="H4782" s="530"/>
      <c r="I4782" s="525" t="s">
        <v>688</v>
      </c>
      <c r="J4782" s="484"/>
      <c r="K4782" s="548"/>
      <c r="L4782" s="548"/>
      <c r="M4782" s="548"/>
      <c r="N4782" s="552"/>
      <c r="Y4782" s="551"/>
    </row>
    <row r="4783" spans="1:25">
      <c r="A4783" s="499">
        <v>45645</v>
      </c>
      <c r="B4783" s="499">
        <v>45645</v>
      </c>
      <c r="C4783" s="500" t="s">
        <v>173</v>
      </c>
      <c r="D4783" s="500" t="s">
        <v>761</v>
      </c>
      <c r="E4783" s="501">
        <v>-7000111.7400000002</v>
      </c>
      <c r="F4783" s="502" t="s">
        <v>878</v>
      </c>
      <c r="G4783" s="100">
        <v>115163188</v>
      </c>
      <c r="H4783" s="530"/>
      <c r="I4783" s="525" t="s">
        <v>635</v>
      </c>
      <c r="J4783" s="484"/>
      <c r="K4783" s="548"/>
      <c r="L4783" s="548"/>
      <c r="M4783" s="548"/>
      <c r="N4783" s="552"/>
      <c r="Y4783" s="551"/>
    </row>
    <row r="4784" spans="1:25">
      <c r="A4784" s="499">
        <v>45645</v>
      </c>
      <c r="B4784" s="499">
        <v>45645</v>
      </c>
      <c r="C4784" s="500" t="s">
        <v>173</v>
      </c>
      <c r="D4784" s="500" t="s">
        <v>761</v>
      </c>
      <c r="E4784" s="501">
        <v>-55008707.490000002</v>
      </c>
      <c r="F4784" s="502" t="s">
        <v>878</v>
      </c>
      <c r="G4784" s="100">
        <v>115163193</v>
      </c>
      <c r="H4784" s="530"/>
      <c r="I4784" s="525" t="s">
        <v>525</v>
      </c>
      <c r="J4784" s="484"/>
      <c r="K4784" s="548"/>
      <c r="L4784" s="548"/>
      <c r="M4784" s="548"/>
      <c r="N4784" s="552"/>
      <c r="Y4784" s="551"/>
    </row>
    <row r="4785" spans="1:25">
      <c r="A4785" s="499">
        <v>45645</v>
      </c>
      <c r="B4785" s="499">
        <v>45652</v>
      </c>
      <c r="C4785" s="500" t="s">
        <v>173</v>
      </c>
      <c r="D4785" s="500" t="s">
        <v>761</v>
      </c>
      <c r="E4785" s="501">
        <v>1947141497.5599999</v>
      </c>
      <c r="F4785" s="502" t="s">
        <v>878</v>
      </c>
      <c r="G4785" s="100">
        <v>115162720</v>
      </c>
      <c r="H4785" s="100">
        <v>115162720</v>
      </c>
      <c r="I4785" s="525" t="s">
        <v>689</v>
      </c>
      <c r="J4785" s="484"/>
      <c r="K4785" s="548"/>
      <c r="L4785" s="548"/>
      <c r="M4785" s="548"/>
      <c r="N4785" s="552"/>
      <c r="Y4785" s="551"/>
    </row>
    <row r="4786" spans="1:25">
      <c r="A4786" s="499">
        <v>45645</v>
      </c>
      <c r="B4786" s="499">
        <v>45652</v>
      </c>
      <c r="C4786" s="500" t="s">
        <v>173</v>
      </c>
      <c r="D4786" s="500" t="s">
        <v>761</v>
      </c>
      <c r="E4786" s="501">
        <v>7021911.29</v>
      </c>
      <c r="F4786" s="502" t="s">
        <v>878</v>
      </c>
      <c r="G4786" s="100">
        <v>115163018</v>
      </c>
      <c r="H4786" s="100">
        <v>115163018</v>
      </c>
      <c r="I4786" s="525" t="s">
        <v>688</v>
      </c>
      <c r="J4786" s="484"/>
      <c r="K4786" s="548"/>
      <c r="L4786" s="548"/>
      <c r="M4786" s="548"/>
      <c r="N4786" s="552"/>
      <c r="Y4786" s="551"/>
    </row>
    <row r="4787" spans="1:25">
      <c r="A4787" s="499">
        <v>45645</v>
      </c>
      <c r="B4787" s="499">
        <v>45646</v>
      </c>
      <c r="C4787" s="500" t="s">
        <v>173</v>
      </c>
      <c r="D4787" s="500" t="s">
        <v>761</v>
      </c>
      <c r="E4787" s="501">
        <v>7002951.9500000002</v>
      </c>
      <c r="F4787" s="502" t="s">
        <v>878</v>
      </c>
      <c r="G4787" s="100">
        <v>115163188</v>
      </c>
      <c r="H4787" s="100">
        <v>115163188</v>
      </c>
      <c r="I4787" s="525" t="s">
        <v>635</v>
      </c>
      <c r="J4787" s="484"/>
      <c r="K4787" s="548"/>
      <c r="L4787" s="548"/>
      <c r="M4787" s="548"/>
      <c r="N4787" s="552"/>
      <c r="Y4787" s="551"/>
    </row>
    <row r="4788" spans="1:25">
      <c r="A4788" s="499">
        <v>45645</v>
      </c>
      <c r="B4788" s="499">
        <v>45646</v>
      </c>
      <c r="C4788" s="500" t="s">
        <v>173</v>
      </c>
      <c r="D4788" s="500" t="s">
        <v>761</v>
      </c>
      <c r="E4788" s="501">
        <v>55031026.600000001</v>
      </c>
      <c r="F4788" s="502" t="s">
        <v>878</v>
      </c>
      <c r="G4788" s="100">
        <v>115163193</v>
      </c>
      <c r="H4788" s="100">
        <v>115163193</v>
      </c>
      <c r="I4788" s="525" t="s">
        <v>525</v>
      </c>
      <c r="J4788" s="484"/>
      <c r="K4788" s="548"/>
      <c r="L4788" s="548"/>
      <c r="M4788" s="548"/>
      <c r="N4788" s="552"/>
      <c r="Y4788" s="551"/>
    </row>
    <row r="4789" spans="1:25">
      <c r="A4789" s="499">
        <v>45645</v>
      </c>
      <c r="B4789" s="499">
        <v>45649</v>
      </c>
      <c r="C4789" s="500" t="s">
        <v>173</v>
      </c>
      <c r="D4789" s="500" t="s">
        <v>761</v>
      </c>
      <c r="E4789" s="501">
        <v>-205665566.66999999</v>
      </c>
      <c r="F4789" s="502" t="s">
        <v>906</v>
      </c>
      <c r="G4789" s="100" t="s">
        <v>61</v>
      </c>
      <c r="H4789" s="530"/>
      <c r="I4789" s="525" t="s">
        <v>717</v>
      </c>
      <c r="J4789" s="484"/>
      <c r="K4789" s="548">
        <v>115163550</v>
      </c>
      <c r="L4789" s="549">
        <v>64.903800000000004</v>
      </c>
      <c r="M4789" s="549">
        <f>E4789*(-1)/(N4789*O4789)*100</f>
        <v>68.555188889999997</v>
      </c>
      <c r="N4789" s="549">
        <v>300000</v>
      </c>
      <c r="O4789" s="539">
        <v>1000</v>
      </c>
      <c r="T4789" s="549">
        <v>13.25</v>
      </c>
      <c r="U4789" s="538">
        <v>10283.280000000001</v>
      </c>
      <c r="V4789" s="538">
        <v>20566.560000000001</v>
      </c>
      <c r="W4789" s="550">
        <f>VLOOKUP(G4789,Справочник!A:C,3,0)</f>
        <v>5.5E-2</v>
      </c>
      <c r="X4789" s="539" t="str">
        <f>VLOOKUP(G4789,Справочник!A:G,7,0)</f>
        <v>Министерство финансов Республики Казахстан</v>
      </c>
      <c r="Y4789" s="551">
        <f>VLOOKUP(G4789,Справочник!A:B,2,0)</f>
        <v>48328</v>
      </c>
    </row>
    <row r="4790" spans="1:25">
      <c r="A4790" s="499">
        <v>45645</v>
      </c>
      <c r="B4790" s="499">
        <v>45645</v>
      </c>
      <c r="C4790" s="500" t="s">
        <v>173</v>
      </c>
      <c r="D4790" s="500" t="s">
        <v>759</v>
      </c>
      <c r="E4790" s="501">
        <v>-1504803469.8900001</v>
      </c>
      <c r="F4790" s="502" t="s">
        <v>878</v>
      </c>
      <c r="G4790" s="100">
        <v>115163296</v>
      </c>
      <c r="H4790" s="530"/>
      <c r="I4790" s="525" t="s">
        <v>677</v>
      </c>
      <c r="J4790" s="484"/>
      <c r="K4790" s="548"/>
      <c r="L4790" s="548"/>
      <c r="M4790" s="548"/>
      <c r="N4790" s="552"/>
    </row>
    <row r="4791" spans="1:25">
      <c r="A4791" s="499">
        <v>45645</v>
      </c>
      <c r="B4791" s="499">
        <v>45645</v>
      </c>
      <c r="C4791" s="500" t="s">
        <v>173</v>
      </c>
      <c r="D4791" s="500" t="s">
        <v>759</v>
      </c>
      <c r="E4791" s="501">
        <v>-489374158.35000002</v>
      </c>
      <c r="F4791" s="502" t="s">
        <v>878</v>
      </c>
      <c r="G4791" s="100">
        <v>115163299</v>
      </c>
      <c r="H4791" s="530"/>
      <c r="I4791" s="525" t="s">
        <v>681</v>
      </c>
      <c r="J4791" s="484"/>
      <c r="K4791" s="548"/>
      <c r="L4791" s="548"/>
      <c r="M4791" s="548"/>
      <c r="N4791" s="552"/>
    </row>
    <row r="4792" spans="1:25">
      <c r="A4792" s="499">
        <v>45645</v>
      </c>
      <c r="B4792" s="499">
        <v>45645</v>
      </c>
      <c r="C4792" s="500" t="s">
        <v>173</v>
      </c>
      <c r="D4792" s="500" t="s">
        <v>759</v>
      </c>
      <c r="E4792" s="501">
        <v>-7000264.5099999998</v>
      </c>
      <c r="F4792" s="502" t="s">
        <v>878</v>
      </c>
      <c r="G4792" s="100">
        <v>115163341</v>
      </c>
      <c r="H4792" s="530"/>
      <c r="I4792" s="525" t="s">
        <v>1018</v>
      </c>
      <c r="J4792" s="484"/>
      <c r="K4792" s="548"/>
      <c r="L4792" s="548"/>
      <c r="M4792" s="548"/>
      <c r="N4792" s="552"/>
    </row>
    <row r="4793" spans="1:25">
      <c r="A4793" s="499">
        <v>45645</v>
      </c>
      <c r="B4793" s="499">
        <v>45646</v>
      </c>
      <c r="C4793" s="500" t="s">
        <v>173</v>
      </c>
      <c r="D4793" s="500" t="s">
        <v>759</v>
      </c>
      <c r="E4793" s="501">
        <v>1505411969.6500001</v>
      </c>
      <c r="F4793" s="502" t="s">
        <v>878</v>
      </c>
      <c r="G4793" s="100">
        <v>115163296</v>
      </c>
      <c r="H4793" s="100">
        <v>115163296</v>
      </c>
      <c r="I4793" s="525" t="s">
        <v>677</v>
      </c>
      <c r="J4793" s="484"/>
      <c r="K4793" s="548"/>
      <c r="L4793" s="548"/>
      <c r="M4793" s="548"/>
      <c r="N4793" s="552"/>
    </row>
    <row r="4794" spans="1:25">
      <c r="A4794" s="499">
        <v>45645</v>
      </c>
      <c r="B4794" s="499">
        <v>45646</v>
      </c>
      <c r="C4794" s="500" t="s">
        <v>173</v>
      </c>
      <c r="D4794" s="500" t="s">
        <v>759</v>
      </c>
      <c r="E4794" s="501">
        <v>489572047.35000002</v>
      </c>
      <c r="F4794" s="502" t="s">
        <v>878</v>
      </c>
      <c r="G4794" s="100">
        <v>115163299</v>
      </c>
      <c r="H4794" s="100">
        <v>115163299</v>
      </c>
      <c r="I4794" s="525" t="s">
        <v>681</v>
      </c>
      <c r="J4794" s="484"/>
      <c r="K4794" s="548"/>
      <c r="L4794" s="548"/>
      <c r="M4794" s="548"/>
      <c r="N4794" s="552"/>
    </row>
    <row r="4795" spans="1:25">
      <c r="A4795" s="499">
        <v>45645</v>
      </c>
      <c r="B4795" s="499">
        <v>45646</v>
      </c>
      <c r="C4795" s="500" t="s">
        <v>173</v>
      </c>
      <c r="D4795" s="500" t="s">
        <v>759</v>
      </c>
      <c r="E4795" s="501">
        <v>7003085.75</v>
      </c>
      <c r="F4795" s="502" t="s">
        <v>878</v>
      </c>
      <c r="G4795" s="100">
        <v>115163341</v>
      </c>
      <c r="H4795" s="100">
        <v>115163341</v>
      </c>
      <c r="I4795" s="525" t="s">
        <v>1018</v>
      </c>
      <c r="J4795" s="484"/>
      <c r="K4795" s="548"/>
      <c r="L4795" s="548"/>
      <c r="M4795" s="548"/>
      <c r="N4795" s="552"/>
    </row>
    <row r="4796" spans="1:25">
      <c r="A4796" s="499">
        <v>45645</v>
      </c>
      <c r="B4796" s="499">
        <v>45645</v>
      </c>
      <c r="C4796" s="500" t="s">
        <v>173</v>
      </c>
      <c r="D4796" s="500" t="s">
        <v>760</v>
      </c>
      <c r="E4796" s="501">
        <v>-15014289.84</v>
      </c>
      <c r="F4796" s="502" t="s">
        <v>878</v>
      </c>
      <c r="G4796" s="100">
        <v>115162659</v>
      </c>
      <c r="H4796" s="530"/>
      <c r="I4796" s="525" t="s">
        <v>817</v>
      </c>
      <c r="J4796" s="484"/>
      <c r="K4796" s="548"/>
      <c r="L4796" s="548"/>
      <c r="M4796" s="548"/>
      <c r="N4796" s="552"/>
    </row>
    <row r="4797" spans="1:25">
      <c r="A4797" s="499">
        <v>45645</v>
      </c>
      <c r="B4797" s="499">
        <v>45645</v>
      </c>
      <c r="C4797" s="500" t="s">
        <v>173</v>
      </c>
      <c r="D4797" s="500" t="s">
        <v>760</v>
      </c>
      <c r="E4797" s="501">
        <v>-117012753</v>
      </c>
      <c r="F4797" s="502" t="s">
        <v>878</v>
      </c>
      <c r="G4797" s="100">
        <v>115162662</v>
      </c>
      <c r="H4797" s="530"/>
      <c r="I4797" s="525" t="s">
        <v>592</v>
      </c>
      <c r="J4797" s="484"/>
      <c r="K4797" s="548"/>
      <c r="L4797" s="548"/>
      <c r="M4797" s="548"/>
      <c r="N4797" s="552"/>
    </row>
    <row r="4798" spans="1:25">
      <c r="A4798" s="499">
        <v>45645</v>
      </c>
      <c r="B4798" s="499">
        <v>45645</v>
      </c>
      <c r="C4798" s="500" t="s">
        <v>173</v>
      </c>
      <c r="D4798" s="500" t="s">
        <v>760</v>
      </c>
      <c r="E4798" s="501">
        <v>-122119812.54000001</v>
      </c>
      <c r="F4798" s="502" t="s">
        <v>878</v>
      </c>
      <c r="G4798" s="100">
        <v>115162665</v>
      </c>
      <c r="H4798" s="530"/>
      <c r="I4798" s="525" t="s">
        <v>824</v>
      </c>
      <c r="J4798" s="484"/>
      <c r="K4798" s="548"/>
      <c r="L4798" s="548"/>
      <c r="M4798" s="548"/>
      <c r="N4798" s="552"/>
    </row>
    <row r="4799" spans="1:25">
      <c r="A4799" s="499">
        <v>45645</v>
      </c>
      <c r="B4799" s="499">
        <v>45645</v>
      </c>
      <c r="C4799" s="500" t="s">
        <v>173</v>
      </c>
      <c r="D4799" s="500" t="s">
        <v>760</v>
      </c>
      <c r="E4799" s="501">
        <v>-40006332.719999999</v>
      </c>
      <c r="F4799" s="502" t="s">
        <v>878</v>
      </c>
      <c r="G4799" s="100">
        <v>115163196</v>
      </c>
      <c r="H4799" s="530"/>
      <c r="I4799" s="525" t="s">
        <v>525</v>
      </c>
      <c r="J4799" s="484"/>
      <c r="K4799" s="548"/>
      <c r="L4799" s="548"/>
      <c r="M4799" s="548"/>
      <c r="N4799" s="552"/>
    </row>
    <row r="4800" spans="1:25">
      <c r="A4800" s="499">
        <v>45645</v>
      </c>
      <c r="B4800" s="499">
        <v>45646</v>
      </c>
      <c r="C4800" s="500" t="s">
        <v>173</v>
      </c>
      <c r="D4800" s="500" t="s">
        <v>760</v>
      </c>
      <c r="E4800" s="501">
        <v>15020443.24</v>
      </c>
      <c r="F4800" s="502" t="s">
        <v>878</v>
      </c>
      <c r="G4800" s="100">
        <v>115162659</v>
      </c>
      <c r="H4800" s="100">
        <v>115162659</v>
      </c>
      <c r="I4800" s="525" t="s">
        <v>817</v>
      </c>
      <c r="J4800" s="484"/>
      <c r="K4800" s="548"/>
      <c r="L4800" s="548"/>
      <c r="M4800" s="548"/>
      <c r="N4800" s="552"/>
    </row>
    <row r="4801" spans="1:14">
      <c r="A4801" s="499">
        <v>45645</v>
      </c>
      <c r="B4801" s="499">
        <v>45646</v>
      </c>
      <c r="C4801" s="500" t="s">
        <v>173</v>
      </c>
      <c r="D4801" s="500" t="s">
        <v>760</v>
      </c>
      <c r="E4801" s="501">
        <v>117060709.05</v>
      </c>
      <c r="F4801" s="502" t="s">
        <v>878</v>
      </c>
      <c r="G4801" s="100">
        <v>115162662</v>
      </c>
      <c r="H4801" s="100">
        <v>115162662</v>
      </c>
      <c r="I4801" s="525" t="s">
        <v>592</v>
      </c>
      <c r="J4801" s="484"/>
      <c r="K4801" s="548"/>
      <c r="L4801" s="548"/>
      <c r="M4801" s="548"/>
      <c r="N4801" s="552"/>
    </row>
    <row r="4802" spans="1:14">
      <c r="A4802" s="499">
        <v>45645</v>
      </c>
      <c r="B4802" s="499">
        <v>45646</v>
      </c>
      <c r="C4802" s="500" t="s">
        <v>173</v>
      </c>
      <c r="D4802" s="500" t="s">
        <v>760</v>
      </c>
      <c r="E4802" s="501">
        <v>122169861.64</v>
      </c>
      <c r="F4802" s="502" t="s">
        <v>878</v>
      </c>
      <c r="G4802" s="100">
        <v>115162665</v>
      </c>
      <c r="H4802" s="100">
        <v>115162665</v>
      </c>
      <c r="I4802" s="525" t="s">
        <v>824</v>
      </c>
      <c r="J4802" s="484"/>
      <c r="K4802" s="548"/>
      <c r="L4802" s="548"/>
      <c r="M4802" s="548"/>
      <c r="N4802" s="552"/>
    </row>
    <row r="4803" spans="1:14">
      <c r="A4803" s="499">
        <v>45645</v>
      </c>
      <c r="B4803" s="499">
        <v>45646</v>
      </c>
      <c r="C4803" s="500" t="s">
        <v>173</v>
      </c>
      <c r="D4803" s="500" t="s">
        <v>760</v>
      </c>
      <c r="E4803" s="501">
        <v>40022619.340000004</v>
      </c>
      <c r="F4803" s="502" t="s">
        <v>878</v>
      </c>
      <c r="G4803" s="100">
        <v>115163196</v>
      </c>
      <c r="H4803" s="100">
        <v>115163196</v>
      </c>
      <c r="I4803" s="525" t="s">
        <v>525</v>
      </c>
      <c r="J4803" s="484"/>
      <c r="K4803" s="548"/>
      <c r="L4803" s="548"/>
      <c r="M4803" s="548"/>
      <c r="N4803" s="552"/>
    </row>
    <row r="4804" spans="1:14">
      <c r="A4804" s="499">
        <v>45645</v>
      </c>
      <c r="B4804" s="499">
        <v>45645</v>
      </c>
      <c r="C4804" s="500" t="s">
        <v>173</v>
      </c>
      <c r="D4804" s="500" t="s">
        <v>763</v>
      </c>
      <c r="E4804" s="501">
        <v>-355083427.76999998</v>
      </c>
      <c r="F4804" s="502" t="s">
        <v>878</v>
      </c>
      <c r="G4804" s="100">
        <v>115163813</v>
      </c>
      <c r="H4804" s="530"/>
      <c r="I4804" s="525" t="s">
        <v>550</v>
      </c>
      <c r="J4804" s="484"/>
      <c r="K4804" s="548"/>
      <c r="L4804" s="548"/>
      <c r="M4804" s="548"/>
      <c r="N4804" s="552"/>
    </row>
    <row r="4805" spans="1:14">
      <c r="A4805" s="499">
        <v>45645</v>
      </c>
      <c r="B4805" s="499">
        <v>45645</v>
      </c>
      <c r="C4805" s="500" t="s">
        <v>173</v>
      </c>
      <c r="D4805" s="500" t="s">
        <v>763</v>
      </c>
      <c r="E4805" s="501">
        <v>-5167209129.0600004</v>
      </c>
      <c r="F4805" s="502" t="s">
        <v>878</v>
      </c>
      <c r="G4805" s="100">
        <v>115163816</v>
      </c>
      <c r="H4805" s="530"/>
      <c r="I4805" s="525" t="s">
        <v>656</v>
      </c>
      <c r="J4805" s="484"/>
      <c r="K4805" s="548"/>
      <c r="L4805" s="548"/>
      <c r="M4805" s="548"/>
      <c r="N4805" s="552"/>
    </row>
    <row r="4806" spans="1:14">
      <c r="A4806" s="499">
        <v>45645</v>
      </c>
      <c r="B4806" s="499">
        <v>45645</v>
      </c>
      <c r="C4806" s="500" t="s">
        <v>173</v>
      </c>
      <c r="D4806" s="500" t="s">
        <v>763</v>
      </c>
      <c r="E4806" s="501">
        <v>-18009240.199999999</v>
      </c>
      <c r="F4806" s="502" t="s">
        <v>878</v>
      </c>
      <c r="G4806" s="100">
        <v>115163900</v>
      </c>
      <c r="H4806" s="530"/>
      <c r="I4806" s="525" t="s">
        <v>833</v>
      </c>
      <c r="J4806" s="484"/>
      <c r="K4806" s="548"/>
      <c r="L4806" s="548"/>
      <c r="M4806" s="548"/>
      <c r="N4806" s="552"/>
    </row>
    <row r="4807" spans="1:14">
      <c r="A4807" s="499">
        <v>45645</v>
      </c>
      <c r="B4807" s="499">
        <v>45646</v>
      </c>
      <c r="C4807" s="500" t="s">
        <v>173</v>
      </c>
      <c r="D4807" s="500" t="s">
        <v>763</v>
      </c>
      <c r="E4807" s="501">
        <v>355226141.23000002</v>
      </c>
      <c r="F4807" s="502" t="s">
        <v>878</v>
      </c>
      <c r="G4807" s="100">
        <v>115163813</v>
      </c>
      <c r="H4807" s="100">
        <v>115163813</v>
      </c>
      <c r="I4807" s="525" t="s">
        <v>550</v>
      </c>
      <c r="J4807" s="484"/>
      <c r="K4807" s="548"/>
      <c r="L4807" s="548"/>
      <c r="M4807" s="548"/>
      <c r="N4807" s="552"/>
    </row>
    <row r="4808" spans="1:14">
      <c r="A4808" s="499">
        <v>45645</v>
      </c>
      <c r="B4808" s="499">
        <v>45646</v>
      </c>
      <c r="C4808" s="500" t="s">
        <v>173</v>
      </c>
      <c r="D4808" s="500" t="s">
        <v>763</v>
      </c>
      <c r="E4808" s="501">
        <v>5169285895.3500004</v>
      </c>
      <c r="F4808" s="502" t="s">
        <v>878</v>
      </c>
      <c r="G4808" s="100">
        <v>115163816</v>
      </c>
      <c r="H4808" s="100">
        <v>115163816</v>
      </c>
      <c r="I4808" s="525" t="s">
        <v>656</v>
      </c>
      <c r="J4808" s="484"/>
      <c r="K4808" s="548"/>
      <c r="L4808" s="548"/>
      <c r="M4808" s="548"/>
      <c r="N4808" s="552"/>
    </row>
    <row r="4809" spans="1:14">
      <c r="A4809" s="499">
        <v>45645</v>
      </c>
      <c r="B4809" s="499">
        <v>45646</v>
      </c>
      <c r="C4809" s="500" t="s">
        <v>173</v>
      </c>
      <c r="D4809" s="500" t="s">
        <v>763</v>
      </c>
      <c r="E4809" s="501">
        <v>18016511.699999999</v>
      </c>
      <c r="F4809" s="502" t="s">
        <v>878</v>
      </c>
      <c r="G4809" s="100">
        <v>115163900</v>
      </c>
      <c r="H4809" s="100">
        <v>115163900</v>
      </c>
      <c r="I4809" s="525" t="s">
        <v>833</v>
      </c>
      <c r="J4809" s="484"/>
      <c r="K4809" s="548"/>
      <c r="L4809" s="548"/>
      <c r="M4809" s="548"/>
      <c r="N4809" s="552"/>
    </row>
    <row r="4810" spans="1:14">
      <c r="A4810" s="499">
        <v>45646</v>
      </c>
      <c r="B4810" s="499">
        <v>45646</v>
      </c>
      <c r="C4810" s="500" t="s">
        <v>173</v>
      </c>
      <c r="D4810" s="500" t="s">
        <v>762</v>
      </c>
      <c r="E4810" s="501">
        <v>-1801080540.72</v>
      </c>
      <c r="F4810" s="502" t="s">
        <v>878</v>
      </c>
      <c r="G4810" s="100">
        <v>115181413</v>
      </c>
      <c r="H4810" s="530"/>
      <c r="I4810" s="525" t="s">
        <v>721</v>
      </c>
      <c r="J4810" s="484"/>
      <c r="K4810" s="548"/>
      <c r="L4810" s="548"/>
      <c r="M4810" s="548"/>
      <c r="N4810" s="552"/>
    </row>
    <row r="4811" spans="1:14">
      <c r="A4811" s="499">
        <v>45646</v>
      </c>
      <c r="B4811" s="499">
        <v>45646</v>
      </c>
      <c r="C4811" s="500" t="s">
        <v>173</v>
      </c>
      <c r="D4811" s="500" t="s">
        <v>762</v>
      </c>
      <c r="E4811" s="501">
        <v>-148107142.81999999</v>
      </c>
      <c r="F4811" s="502" t="s">
        <v>878</v>
      </c>
      <c r="G4811" s="100">
        <v>115181397</v>
      </c>
      <c r="H4811" s="530"/>
      <c r="I4811" s="525" t="s">
        <v>700</v>
      </c>
      <c r="J4811" s="484"/>
      <c r="K4811" s="548"/>
      <c r="L4811" s="548"/>
      <c r="M4811" s="548"/>
      <c r="N4811" s="552">
        <v>-1</v>
      </c>
    </row>
    <row r="4812" spans="1:14">
      <c r="A4812" s="499">
        <v>45646</v>
      </c>
      <c r="B4812" s="499">
        <v>45646</v>
      </c>
      <c r="C4812" s="500" t="s">
        <v>173</v>
      </c>
      <c r="D4812" s="500" t="s">
        <v>762</v>
      </c>
      <c r="E4812" s="501">
        <v>-1477175652.23</v>
      </c>
      <c r="F4812" s="502" t="s">
        <v>878</v>
      </c>
      <c r="G4812" s="100">
        <v>115181388</v>
      </c>
      <c r="H4812" s="530"/>
      <c r="I4812" s="525" t="s">
        <v>687</v>
      </c>
      <c r="J4812" s="484"/>
      <c r="K4812" s="548"/>
      <c r="L4812" s="548"/>
      <c r="M4812" s="548"/>
      <c r="N4812" s="552"/>
    </row>
    <row r="4813" spans="1:14">
      <c r="A4813" s="499">
        <v>45646</v>
      </c>
      <c r="B4813" s="499">
        <v>45646</v>
      </c>
      <c r="C4813" s="500" t="s">
        <v>173</v>
      </c>
      <c r="D4813" s="500" t="s">
        <v>762</v>
      </c>
      <c r="E4813" s="501">
        <v>-489000363.81999999</v>
      </c>
      <c r="F4813" s="502" t="s">
        <v>878</v>
      </c>
      <c r="G4813" s="100">
        <v>115181400</v>
      </c>
      <c r="H4813" s="530"/>
      <c r="I4813" s="525" t="s">
        <v>678</v>
      </c>
      <c r="J4813" s="484"/>
      <c r="K4813" s="548"/>
      <c r="L4813" s="548"/>
      <c r="M4813" s="548"/>
      <c r="N4813" s="552"/>
    </row>
    <row r="4814" spans="1:14">
      <c r="A4814" s="499">
        <v>45646</v>
      </c>
      <c r="B4814" s="499">
        <v>45646</v>
      </c>
      <c r="C4814" s="500" t="s">
        <v>173</v>
      </c>
      <c r="D4814" s="500" t="s">
        <v>762</v>
      </c>
      <c r="E4814" s="501">
        <v>-489000363.81999999</v>
      </c>
      <c r="F4814" s="502" t="s">
        <v>878</v>
      </c>
      <c r="G4814" s="100">
        <v>115181403</v>
      </c>
      <c r="H4814" s="530"/>
      <c r="I4814" s="525" t="s">
        <v>678</v>
      </c>
      <c r="J4814" s="484"/>
      <c r="K4814" s="548"/>
      <c r="L4814" s="548"/>
      <c r="M4814" s="548"/>
      <c r="N4814" s="552"/>
    </row>
    <row r="4815" spans="1:14">
      <c r="A4815" s="499">
        <v>45646</v>
      </c>
      <c r="B4815" s="499">
        <v>45646</v>
      </c>
      <c r="C4815" s="500" t="s">
        <v>173</v>
      </c>
      <c r="D4815" s="500" t="s">
        <v>762</v>
      </c>
      <c r="E4815" s="501">
        <v>-19007596.16</v>
      </c>
      <c r="F4815" s="502" t="s">
        <v>878</v>
      </c>
      <c r="G4815" s="100">
        <v>115181518</v>
      </c>
      <c r="H4815" s="530"/>
      <c r="I4815" s="525" t="s">
        <v>675</v>
      </c>
      <c r="J4815" s="484"/>
      <c r="K4815" s="548"/>
      <c r="L4815" s="548"/>
      <c r="M4815" s="548"/>
      <c r="N4815" s="552"/>
    </row>
    <row r="4816" spans="1:14">
      <c r="A4816" s="499">
        <v>45646</v>
      </c>
      <c r="B4816" s="499">
        <v>45646</v>
      </c>
      <c r="C4816" s="500" t="s">
        <v>173</v>
      </c>
      <c r="D4816" s="500" t="s">
        <v>762</v>
      </c>
      <c r="E4816" s="501">
        <v>-111034609.58</v>
      </c>
      <c r="F4816" s="502" t="s">
        <v>878</v>
      </c>
      <c r="G4816" s="100">
        <v>115181394</v>
      </c>
      <c r="H4816" s="530"/>
      <c r="I4816" s="525" t="s">
        <v>674</v>
      </c>
      <c r="J4816" s="484"/>
      <c r="K4816" s="548"/>
      <c r="L4816" s="548"/>
      <c r="M4816" s="548"/>
      <c r="N4816" s="552"/>
    </row>
    <row r="4817" spans="1:14">
      <c r="A4817" s="499">
        <v>45646</v>
      </c>
      <c r="B4817" s="499">
        <v>45646</v>
      </c>
      <c r="C4817" s="500" t="s">
        <v>173</v>
      </c>
      <c r="D4817" s="500" t="s">
        <v>762</v>
      </c>
      <c r="E4817" s="501">
        <v>-54001372.57</v>
      </c>
      <c r="F4817" s="502" t="s">
        <v>878</v>
      </c>
      <c r="G4817" s="100">
        <v>115181391</v>
      </c>
      <c r="H4817" s="530"/>
      <c r="I4817" s="525" t="s">
        <v>653</v>
      </c>
      <c r="J4817" s="484"/>
      <c r="K4817" s="548"/>
      <c r="L4817" s="548"/>
      <c r="M4817" s="548"/>
      <c r="N4817" s="552"/>
    </row>
    <row r="4818" spans="1:14">
      <c r="A4818" s="499">
        <v>45646</v>
      </c>
      <c r="B4818" s="499">
        <v>45649</v>
      </c>
      <c r="C4818" s="500" t="s">
        <v>173</v>
      </c>
      <c r="D4818" s="500" t="s">
        <v>762</v>
      </c>
      <c r="E4818" s="501">
        <v>1803287602.53</v>
      </c>
      <c r="F4818" s="502" t="s">
        <v>878</v>
      </c>
      <c r="G4818" s="100">
        <v>115181413</v>
      </c>
      <c r="H4818" s="484">
        <v>115181413</v>
      </c>
      <c r="I4818" s="525" t="s">
        <v>721</v>
      </c>
      <c r="J4818" s="484"/>
      <c r="K4818" s="548"/>
      <c r="L4818" s="548"/>
      <c r="M4818" s="548"/>
      <c r="N4818" s="552"/>
    </row>
    <row r="4819" spans="1:14">
      <c r="A4819" s="499">
        <v>45646</v>
      </c>
      <c r="B4819" s="499">
        <v>45649</v>
      </c>
      <c r="C4819" s="500" t="s">
        <v>173</v>
      </c>
      <c r="D4819" s="500" t="s">
        <v>762</v>
      </c>
      <c r="E4819" s="501">
        <v>148288634.77000001</v>
      </c>
      <c r="F4819" s="502" t="s">
        <v>878</v>
      </c>
      <c r="G4819" s="100">
        <v>115181397</v>
      </c>
      <c r="H4819" s="484">
        <v>115181397</v>
      </c>
      <c r="I4819" s="525" t="s">
        <v>700</v>
      </c>
      <c r="J4819" s="484"/>
      <c r="K4819" s="548"/>
      <c r="L4819" s="548"/>
      <c r="M4819" s="548"/>
      <c r="N4819" s="552"/>
    </row>
    <row r="4820" spans="1:14">
      <c r="A4820" s="499">
        <v>45646</v>
      </c>
      <c r="B4820" s="499">
        <v>45649</v>
      </c>
      <c r="C4820" s="500" t="s">
        <v>173</v>
      </c>
      <c r="D4820" s="500" t="s">
        <v>762</v>
      </c>
      <c r="E4820" s="501">
        <v>1478991851.8</v>
      </c>
      <c r="F4820" s="502" t="s">
        <v>878</v>
      </c>
      <c r="G4820" s="100">
        <v>115181388</v>
      </c>
      <c r="H4820" s="484">
        <v>115181388</v>
      </c>
      <c r="I4820" s="525" t="s">
        <v>687</v>
      </c>
      <c r="J4820" s="484"/>
      <c r="K4820" s="548"/>
      <c r="L4820" s="548"/>
      <c r="M4820" s="548"/>
      <c r="N4820" s="552"/>
    </row>
    <row r="4821" spans="1:14">
      <c r="A4821" s="499">
        <v>45646</v>
      </c>
      <c r="B4821" s="499">
        <v>45649</v>
      </c>
      <c r="C4821" s="500" t="s">
        <v>173</v>
      </c>
      <c r="D4821" s="500" t="s">
        <v>762</v>
      </c>
      <c r="E4821" s="501">
        <v>489599589.68000001</v>
      </c>
      <c r="F4821" s="502" t="s">
        <v>878</v>
      </c>
      <c r="G4821" s="100">
        <v>115181400</v>
      </c>
      <c r="H4821" s="484">
        <v>115181400</v>
      </c>
      <c r="I4821" s="525" t="s">
        <v>678</v>
      </c>
      <c r="J4821" s="484"/>
      <c r="K4821" s="548"/>
      <c r="L4821" s="548"/>
      <c r="M4821" s="548"/>
      <c r="N4821" s="552"/>
    </row>
    <row r="4822" spans="1:14">
      <c r="A4822" s="499">
        <v>45646</v>
      </c>
      <c r="B4822" s="499">
        <v>45649</v>
      </c>
      <c r="C4822" s="500" t="s">
        <v>173</v>
      </c>
      <c r="D4822" s="500" t="s">
        <v>762</v>
      </c>
      <c r="E4822" s="501">
        <v>489599589.68000001</v>
      </c>
      <c r="F4822" s="502" t="s">
        <v>878</v>
      </c>
      <c r="G4822" s="100">
        <v>115181403</v>
      </c>
      <c r="H4822" s="484">
        <v>115181403</v>
      </c>
      <c r="I4822" s="525" t="s">
        <v>678</v>
      </c>
      <c r="J4822" s="484"/>
      <c r="K4822" s="548"/>
      <c r="L4822" s="548"/>
      <c r="M4822" s="548"/>
      <c r="N4822" s="552"/>
    </row>
    <row r="4823" spans="1:14">
      <c r="A4823" s="499">
        <v>45646</v>
      </c>
      <c r="B4823" s="499">
        <v>45649</v>
      </c>
      <c r="C4823" s="500" t="s">
        <v>173</v>
      </c>
      <c r="D4823" s="500" t="s">
        <v>762</v>
      </c>
      <c r="E4823" s="501">
        <v>19030888.260000002</v>
      </c>
      <c r="F4823" s="502" t="s">
        <v>878</v>
      </c>
      <c r="G4823" s="100">
        <v>115181518</v>
      </c>
      <c r="H4823" s="484">
        <v>115181518</v>
      </c>
      <c r="I4823" s="525" t="s">
        <v>675</v>
      </c>
      <c r="J4823" s="484"/>
      <c r="K4823" s="548"/>
      <c r="L4823" s="548"/>
      <c r="M4823" s="548"/>
      <c r="N4823" s="552"/>
    </row>
    <row r="4824" spans="1:14">
      <c r="A4824" s="499">
        <v>45646</v>
      </c>
      <c r="B4824" s="499">
        <v>45649</v>
      </c>
      <c r="C4824" s="500" t="s">
        <v>173</v>
      </c>
      <c r="D4824" s="500" t="s">
        <v>762</v>
      </c>
      <c r="E4824" s="501">
        <v>111170672.48</v>
      </c>
      <c r="F4824" s="502" t="s">
        <v>878</v>
      </c>
      <c r="G4824" s="100">
        <v>115181394</v>
      </c>
      <c r="H4824" s="484">
        <v>115181394</v>
      </c>
      <c r="I4824" s="525" t="s">
        <v>674</v>
      </c>
      <c r="J4824" s="484"/>
      <c r="K4824" s="548"/>
      <c r="L4824" s="548"/>
      <c r="M4824" s="548"/>
      <c r="N4824" s="552"/>
    </row>
    <row r="4825" spans="1:14">
      <c r="A4825" s="499">
        <v>45646</v>
      </c>
      <c r="B4825" s="499">
        <v>45649</v>
      </c>
      <c r="C4825" s="500" t="s">
        <v>173</v>
      </c>
      <c r="D4825" s="500" t="s">
        <v>762</v>
      </c>
      <c r="E4825" s="501">
        <v>54067546.380000003</v>
      </c>
      <c r="F4825" s="502" t="s">
        <v>878</v>
      </c>
      <c r="G4825" s="100">
        <v>115181391</v>
      </c>
      <c r="H4825" s="484">
        <v>115181391</v>
      </c>
      <c r="I4825" s="525" t="s">
        <v>653</v>
      </c>
      <c r="J4825" s="484"/>
      <c r="K4825" s="548"/>
      <c r="L4825" s="548"/>
      <c r="M4825" s="548"/>
      <c r="N4825" s="552"/>
    </row>
    <row r="4826" spans="1:14">
      <c r="A4826" s="499">
        <v>45646</v>
      </c>
      <c r="B4826" s="499">
        <v>45646</v>
      </c>
      <c r="C4826" s="500" t="s">
        <v>173</v>
      </c>
      <c r="D4826" s="500" t="s">
        <v>761</v>
      </c>
      <c r="E4826" s="501">
        <v>-498059224.64999998</v>
      </c>
      <c r="F4826" s="502" t="s">
        <v>878</v>
      </c>
      <c r="G4826" s="100">
        <v>115179997</v>
      </c>
      <c r="H4826" s="530"/>
      <c r="I4826" s="525" t="s">
        <v>687</v>
      </c>
      <c r="J4826" s="484"/>
      <c r="K4826" s="548"/>
      <c r="L4826" s="548"/>
      <c r="M4826" s="548"/>
      <c r="N4826" s="552"/>
    </row>
    <row r="4827" spans="1:14">
      <c r="A4827" s="499">
        <v>45646</v>
      </c>
      <c r="B4827" s="499">
        <v>45646</v>
      </c>
      <c r="C4827" s="500" t="s">
        <v>173</v>
      </c>
      <c r="D4827" s="500" t="s">
        <v>761</v>
      </c>
      <c r="E4827" s="501">
        <v>-2001725.41</v>
      </c>
      <c r="F4827" s="502" t="s">
        <v>878</v>
      </c>
      <c r="G4827" s="100">
        <v>115180023</v>
      </c>
      <c r="H4827" s="530"/>
      <c r="I4827" s="525" t="s">
        <v>709</v>
      </c>
      <c r="J4827" s="484"/>
      <c r="K4827" s="548"/>
      <c r="L4827" s="548"/>
      <c r="M4827" s="548"/>
      <c r="N4827" s="552"/>
    </row>
    <row r="4828" spans="1:14">
      <c r="A4828" s="499">
        <v>45646</v>
      </c>
      <c r="B4828" s="499">
        <v>45649</v>
      </c>
      <c r="C4828" s="500" t="s">
        <v>173</v>
      </c>
      <c r="D4828" s="500" t="s">
        <v>761</v>
      </c>
      <c r="E4828" s="501">
        <v>498667101.85000002</v>
      </c>
      <c r="F4828" s="502" t="s">
        <v>878</v>
      </c>
      <c r="G4828" s="100">
        <v>115179997</v>
      </c>
      <c r="H4828" s="100">
        <v>115179997</v>
      </c>
      <c r="I4828" s="525" t="s">
        <v>687</v>
      </c>
      <c r="J4828" s="484"/>
      <c r="K4828" s="548"/>
      <c r="L4828" s="548"/>
      <c r="M4828" s="548"/>
      <c r="N4828" s="552"/>
    </row>
    <row r="4829" spans="1:14">
      <c r="A4829" s="499">
        <v>45646</v>
      </c>
      <c r="B4829" s="499">
        <v>45649</v>
      </c>
      <c r="C4829" s="500" t="s">
        <v>173</v>
      </c>
      <c r="D4829" s="500" t="s">
        <v>761</v>
      </c>
      <c r="E4829" s="501">
        <v>2004161.94</v>
      </c>
      <c r="F4829" s="502" t="s">
        <v>878</v>
      </c>
      <c r="G4829" s="100">
        <v>115180023</v>
      </c>
      <c r="H4829" s="100">
        <v>115180023</v>
      </c>
      <c r="I4829" s="525" t="s">
        <v>709</v>
      </c>
      <c r="J4829" s="484"/>
      <c r="K4829" s="548"/>
      <c r="L4829" s="548"/>
      <c r="M4829" s="548"/>
      <c r="N4829" s="552"/>
    </row>
    <row r="4830" spans="1:14">
      <c r="A4830" s="499">
        <v>45646</v>
      </c>
      <c r="B4830" s="499">
        <v>45646</v>
      </c>
      <c r="C4830" s="500" t="s">
        <v>173</v>
      </c>
      <c r="D4830" s="500" t="s">
        <v>759</v>
      </c>
      <c r="E4830" s="501">
        <v>-1000116.81</v>
      </c>
      <c r="F4830" s="502" t="s">
        <v>878</v>
      </c>
      <c r="G4830" s="100">
        <v>115179056</v>
      </c>
      <c r="H4830" s="530"/>
      <c r="I4830" s="525" t="s">
        <v>598</v>
      </c>
      <c r="J4830" s="484"/>
      <c r="K4830" s="548"/>
      <c r="L4830" s="548"/>
      <c r="M4830" s="548"/>
      <c r="N4830" s="552"/>
    </row>
    <row r="4831" spans="1:14">
      <c r="A4831" s="499">
        <v>45646</v>
      </c>
      <c r="B4831" s="499">
        <v>45646</v>
      </c>
      <c r="C4831" s="500" t="s">
        <v>173</v>
      </c>
      <c r="D4831" s="500" t="s">
        <v>759</v>
      </c>
      <c r="E4831" s="501">
        <v>-1000727.53</v>
      </c>
      <c r="F4831" s="502" t="s">
        <v>878</v>
      </c>
      <c r="G4831" s="100">
        <v>115179059</v>
      </c>
      <c r="H4831" s="530"/>
      <c r="I4831" s="525" t="s">
        <v>592</v>
      </c>
      <c r="J4831" s="484"/>
      <c r="K4831" s="548"/>
      <c r="L4831" s="548"/>
      <c r="M4831" s="548"/>
      <c r="N4831" s="552"/>
    </row>
    <row r="4832" spans="1:14">
      <c r="A4832" s="499">
        <v>45646</v>
      </c>
      <c r="B4832" s="499">
        <v>45646</v>
      </c>
      <c r="C4832" s="500" t="s">
        <v>173</v>
      </c>
      <c r="D4832" s="500" t="s">
        <v>759</v>
      </c>
      <c r="E4832" s="501">
        <v>-1000915.26</v>
      </c>
      <c r="F4832" s="502" t="s">
        <v>878</v>
      </c>
      <c r="G4832" s="100">
        <v>115179062</v>
      </c>
      <c r="H4832" s="530"/>
      <c r="I4832" s="525" t="s">
        <v>676</v>
      </c>
      <c r="J4832" s="484"/>
      <c r="K4832" s="548"/>
      <c r="L4832" s="548"/>
      <c r="M4832" s="548"/>
      <c r="N4832" s="552"/>
    </row>
    <row r="4833" spans="1:14">
      <c r="A4833" s="499">
        <v>45646</v>
      </c>
      <c r="B4833" s="499">
        <v>45646</v>
      </c>
      <c r="C4833" s="500" t="s">
        <v>173</v>
      </c>
      <c r="D4833" s="500" t="s">
        <v>759</v>
      </c>
      <c r="E4833" s="501">
        <v>-1000294.58</v>
      </c>
      <c r="F4833" s="502" t="s">
        <v>878</v>
      </c>
      <c r="G4833" s="100">
        <v>115179065</v>
      </c>
      <c r="H4833" s="530"/>
      <c r="I4833" s="525" t="s">
        <v>696</v>
      </c>
      <c r="J4833" s="484"/>
      <c r="K4833" s="548"/>
      <c r="L4833" s="548"/>
      <c r="M4833" s="548"/>
      <c r="N4833" s="552"/>
    </row>
    <row r="4834" spans="1:14">
      <c r="A4834" s="499">
        <v>45646</v>
      </c>
      <c r="B4834" s="499">
        <v>45646</v>
      </c>
      <c r="C4834" s="500" t="s">
        <v>173</v>
      </c>
      <c r="D4834" s="500" t="s">
        <v>759</v>
      </c>
      <c r="E4834" s="501">
        <v>-1000306.55</v>
      </c>
      <c r="F4834" s="502" t="s">
        <v>878</v>
      </c>
      <c r="G4834" s="100">
        <v>115179068</v>
      </c>
      <c r="H4834" s="530"/>
      <c r="I4834" s="525" t="s">
        <v>695</v>
      </c>
      <c r="J4834" s="484"/>
      <c r="K4834" s="548"/>
      <c r="L4834" s="548"/>
      <c r="M4834" s="548"/>
      <c r="N4834" s="552"/>
    </row>
    <row r="4835" spans="1:14">
      <c r="A4835" s="499">
        <v>45646</v>
      </c>
      <c r="B4835" s="499">
        <v>45646</v>
      </c>
      <c r="C4835" s="500" t="s">
        <v>173</v>
      </c>
      <c r="D4835" s="500" t="s">
        <v>759</v>
      </c>
      <c r="E4835" s="501">
        <v>-1000063.92</v>
      </c>
      <c r="F4835" s="502" t="s">
        <v>878</v>
      </c>
      <c r="G4835" s="100">
        <v>115179071</v>
      </c>
      <c r="H4835" s="530"/>
      <c r="I4835" s="525" t="s">
        <v>550</v>
      </c>
      <c r="J4835" s="484"/>
      <c r="K4835" s="548"/>
      <c r="L4835" s="548"/>
      <c r="M4835" s="548"/>
      <c r="N4835" s="552"/>
    </row>
    <row r="4836" spans="1:14">
      <c r="A4836" s="499">
        <v>45646</v>
      </c>
      <c r="B4836" s="499">
        <v>45646</v>
      </c>
      <c r="C4836" s="500" t="s">
        <v>173</v>
      </c>
      <c r="D4836" s="500" t="s">
        <v>759</v>
      </c>
      <c r="E4836" s="501">
        <v>-1000477.36</v>
      </c>
      <c r="F4836" s="502" t="s">
        <v>878</v>
      </c>
      <c r="G4836" s="100">
        <v>115179074</v>
      </c>
      <c r="H4836" s="530"/>
      <c r="I4836" s="525" t="s">
        <v>602</v>
      </c>
      <c r="J4836" s="484"/>
      <c r="K4836" s="548"/>
      <c r="L4836" s="548"/>
      <c r="M4836" s="548"/>
      <c r="N4836" s="552"/>
    </row>
    <row r="4837" spans="1:14">
      <c r="A4837" s="499">
        <v>45646</v>
      </c>
      <c r="B4837" s="499">
        <v>45646</v>
      </c>
      <c r="C4837" s="500" t="s">
        <v>173</v>
      </c>
      <c r="D4837" s="500" t="s">
        <v>759</v>
      </c>
      <c r="E4837" s="501">
        <v>-1000727.53</v>
      </c>
      <c r="F4837" s="502" t="s">
        <v>878</v>
      </c>
      <c r="G4837" s="100">
        <v>115179077</v>
      </c>
      <c r="H4837" s="530"/>
      <c r="I4837" s="525" t="s">
        <v>592</v>
      </c>
      <c r="J4837" s="484"/>
      <c r="K4837" s="548"/>
      <c r="L4837" s="548"/>
      <c r="M4837" s="548"/>
      <c r="N4837" s="552"/>
    </row>
    <row r="4838" spans="1:14">
      <c r="A4838" s="499">
        <v>45646</v>
      </c>
      <c r="B4838" s="499">
        <v>45646</v>
      </c>
      <c r="C4838" s="500" t="s">
        <v>173</v>
      </c>
      <c r="D4838" s="500" t="s">
        <v>759</v>
      </c>
      <c r="E4838" s="501">
        <v>-1000137.91</v>
      </c>
      <c r="F4838" s="502" t="s">
        <v>878</v>
      </c>
      <c r="G4838" s="100">
        <v>115179080</v>
      </c>
      <c r="H4838" s="530"/>
      <c r="I4838" s="525" t="s">
        <v>588</v>
      </c>
      <c r="J4838" s="484"/>
      <c r="K4838" s="548"/>
      <c r="L4838" s="548"/>
      <c r="M4838" s="548"/>
      <c r="N4838" s="552"/>
    </row>
    <row r="4839" spans="1:14">
      <c r="A4839" s="499">
        <v>45646</v>
      </c>
      <c r="B4839" s="499">
        <v>45646</v>
      </c>
      <c r="C4839" s="500" t="s">
        <v>173</v>
      </c>
      <c r="D4839" s="500" t="s">
        <v>759</v>
      </c>
      <c r="E4839" s="501">
        <v>-1000075.5</v>
      </c>
      <c r="F4839" s="502" t="s">
        <v>878</v>
      </c>
      <c r="G4839" s="100">
        <v>115179083</v>
      </c>
      <c r="H4839" s="530"/>
      <c r="I4839" s="525" t="s">
        <v>525</v>
      </c>
      <c r="J4839" s="484"/>
      <c r="K4839" s="548"/>
      <c r="L4839" s="548"/>
      <c r="M4839" s="548"/>
      <c r="N4839" s="552"/>
    </row>
    <row r="4840" spans="1:14">
      <c r="A4840" s="499">
        <v>45646</v>
      </c>
      <c r="B4840" s="499">
        <v>45646</v>
      </c>
      <c r="C4840" s="500" t="s">
        <v>173</v>
      </c>
      <c r="D4840" s="500" t="s">
        <v>759</v>
      </c>
      <c r="E4840" s="501">
        <v>-1000174.82</v>
      </c>
      <c r="F4840" s="502" t="s">
        <v>878</v>
      </c>
      <c r="G4840" s="100">
        <v>115179086</v>
      </c>
      <c r="H4840" s="530"/>
      <c r="I4840" s="525" t="s">
        <v>596</v>
      </c>
      <c r="J4840" s="484"/>
      <c r="K4840" s="548"/>
      <c r="L4840" s="548"/>
      <c r="M4840" s="548"/>
      <c r="N4840" s="552"/>
    </row>
    <row r="4841" spans="1:14">
      <c r="A4841" s="499">
        <v>45646</v>
      </c>
      <c r="B4841" s="499">
        <v>45646</v>
      </c>
      <c r="C4841" s="500" t="s">
        <v>173</v>
      </c>
      <c r="D4841" s="500" t="s">
        <v>759</v>
      </c>
      <c r="E4841" s="501">
        <v>-2001818.57</v>
      </c>
      <c r="F4841" s="502" t="s">
        <v>878</v>
      </c>
      <c r="G4841" s="100">
        <v>115179089</v>
      </c>
      <c r="H4841" s="530"/>
      <c r="I4841" s="525" t="s">
        <v>648</v>
      </c>
      <c r="J4841" s="484"/>
      <c r="K4841" s="548"/>
      <c r="L4841" s="548"/>
      <c r="M4841" s="548"/>
      <c r="N4841" s="552"/>
    </row>
    <row r="4842" spans="1:14">
      <c r="A4842" s="499">
        <v>45646</v>
      </c>
      <c r="B4842" s="499">
        <v>45646</v>
      </c>
      <c r="C4842" s="500" t="s">
        <v>173</v>
      </c>
      <c r="D4842" s="500" t="s">
        <v>759</v>
      </c>
      <c r="E4842" s="501">
        <v>-2001356.68</v>
      </c>
      <c r="F4842" s="502" t="s">
        <v>878</v>
      </c>
      <c r="G4842" s="100">
        <v>115179092</v>
      </c>
      <c r="H4842" s="530"/>
      <c r="I4842" s="525" t="s">
        <v>604</v>
      </c>
      <c r="J4842" s="484"/>
      <c r="K4842" s="548"/>
      <c r="L4842" s="548"/>
      <c r="M4842" s="548"/>
      <c r="N4842" s="552"/>
    </row>
    <row r="4843" spans="1:14">
      <c r="A4843" s="499">
        <v>45646</v>
      </c>
      <c r="B4843" s="499">
        <v>45646</v>
      </c>
      <c r="C4843" s="500" t="s">
        <v>173</v>
      </c>
      <c r="D4843" s="500" t="s">
        <v>759</v>
      </c>
      <c r="E4843" s="501">
        <v>-3001040.99</v>
      </c>
      <c r="F4843" s="502" t="s">
        <v>878</v>
      </c>
      <c r="G4843" s="100">
        <v>115179095</v>
      </c>
      <c r="H4843" s="530"/>
      <c r="I4843" s="525" t="s">
        <v>817</v>
      </c>
      <c r="J4843" s="484"/>
      <c r="K4843" s="548"/>
      <c r="L4843" s="548"/>
      <c r="M4843" s="548"/>
      <c r="N4843" s="552"/>
    </row>
    <row r="4844" spans="1:14">
      <c r="A4844" s="499">
        <v>45646</v>
      </c>
      <c r="B4844" s="499">
        <v>45646</v>
      </c>
      <c r="C4844" s="500" t="s">
        <v>173</v>
      </c>
      <c r="D4844" s="500" t="s">
        <v>759</v>
      </c>
      <c r="E4844" s="501">
        <v>-3001432.07</v>
      </c>
      <c r="F4844" s="502" t="s">
        <v>878</v>
      </c>
      <c r="G4844" s="100">
        <v>115179098</v>
      </c>
      <c r="H4844" s="530"/>
      <c r="I4844" s="525" t="s">
        <v>602</v>
      </c>
      <c r="J4844" s="484"/>
      <c r="K4844" s="548"/>
      <c r="L4844" s="548"/>
      <c r="M4844" s="548"/>
      <c r="N4844" s="552"/>
    </row>
    <row r="4845" spans="1:14">
      <c r="A4845" s="499">
        <v>45646</v>
      </c>
      <c r="B4845" s="499">
        <v>45646</v>
      </c>
      <c r="C4845" s="500" t="s">
        <v>173</v>
      </c>
      <c r="D4845" s="500" t="s">
        <v>759</v>
      </c>
      <c r="E4845" s="501">
        <v>-4002713.35</v>
      </c>
      <c r="F4845" s="502" t="s">
        <v>878</v>
      </c>
      <c r="G4845" s="100">
        <v>115179101</v>
      </c>
      <c r="H4845" s="530"/>
      <c r="I4845" s="525" t="s">
        <v>604</v>
      </c>
      <c r="J4845" s="484"/>
      <c r="K4845" s="548"/>
      <c r="L4845" s="548"/>
      <c r="M4845" s="548"/>
      <c r="N4845" s="552"/>
    </row>
    <row r="4846" spans="1:14">
      <c r="A4846" s="499">
        <v>45646</v>
      </c>
      <c r="B4846" s="499">
        <v>45646</v>
      </c>
      <c r="C4846" s="500" t="s">
        <v>173</v>
      </c>
      <c r="D4846" s="500" t="s">
        <v>759</v>
      </c>
      <c r="E4846" s="501">
        <v>-4002910.1</v>
      </c>
      <c r="F4846" s="502" t="s">
        <v>878</v>
      </c>
      <c r="G4846" s="100">
        <v>115179104</v>
      </c>
      <c r="H4846" s="530"/>
      <c r="I4846" s="525" t="s">
        <v>592</v>
      </c>
      <c r="J4846" s="484"/>
      <c r="K4846" s="548"/>
      <c r="L4846" s="548"/>
      <c r="M4846" s="548"/>
      <c r="N4846" s="552"/>
    </row>
    <row r="4847" spans="1:14">
      <c r="A4847" s="499">
        <v>45646</v>
      </c>
      <c r="B4847" s="499">
        <v>45646</v>
      </c>
      <c r="C4847" s="500" t="s">
        <v>173</v>
      </c>
      <c r="D4847" s="500" t="s">
        <v>759</v>
      </c>
      <c r="E4847" s="501">
        <v>-4003637.14</v>
      </c>
      <c r="F4847" s="502" t="s">
        <v>878</v>
      </c>
      <c r="G4847" s="100">
        <v>115179107</v>
      </c>
      <c r="H4847" s="530"/>
      <c r="I4847" s="525" t="s">
        <v>648</v>
      </c>
      <c r="J4847" s="484"/>
      <c r="K4847" s="548"/>
      <c r="L4847" s="548"/>
      <c r="M4847" s="548"/>
      <c r="N4847" s="552"/>
    </row>
    <row r="4848" spans="1:14">
      <c r="A4848" s="499">
        <v>45646</v>
      </c>
      <c r="B4848" s="499">
        <v>45646</v>
      </c>
      <c r="C4848" s="500" t="s">
        <v>173</v>
      </c>
      <c r="D4848" s="500" t="s">
        <v>759</v>
      </c>
      <c r="E4848" s="501">
        <v>-5004313.5199999996</v>
      </c>
      <c r="F4848" s="502" t="s">
        <v>878</v>
      </c>
      <c r="G4848" s="100">
        <v>115179110</v>
      </c>
      <c r="H4848" s="530"/>
      <c r="I4848" s="525" t="s">
        <v>709</v>
      </c>
      <c r="J4848" s="484"/>
      <c r="K4848" s="548"/>
      <c r="L4848" s="548"/>
      <c r="M4848" s="548"/>
      <c r="N4848" s="552"/>
    </row>
    <row r="4849" spans="1:14">
      <c r="A4849" s="499">
        <v>45646</v>
      </c>
      <c r="B4849" s="499">
        <v>45646</v>
      </c>
      <c r="C4849" s="500" t="s">
        <v>173</v>
      </c>
      <c r="D4849" s="500" t="s">
        <v>759</v>
      </c>
      <c r="E4849" s="501">
        <v>-5004576.29</v>
      </c>
      <c r="F4849" s="502" t="s">
        <v>878</v>
      </c>
      <c r="G4849" s="100">
        <v>115179113</v>
      </c>
      <c r="H4849" s="530"/>
      <c r="I4849" s="525" t="s">
        <v>676</v>
      </c>
      <c r="J4849" s="484"/>
      <c r="K4849" s="548"/>
      <c r="L4849" s="548"/>
      <c r="M4849" s="548"/>
      <c r="N4849" s="552"/>
    </row>
    <row r="4850" spans="1:14">
      <c r="A4850" s="499">
        <v>45646</v>
      </c>
      <c r="B4850" s="499">
        <v>45646</v>
      </c>
      <c r="C4850" s="500" t="s">
        <v>173</v>
      </c>
      <c r="D4850" s="500" t="s">
        <v>759</v>
      </c>
      <c r="E4850" s="501">
        <v>-5000405.93</v>
      </c>
      <c r="F4850" s="502" t="s">
        <v>878</v>
      </c>
      <c r="G4850" s="100">
        <v>115179116</v>
      </c>
      <c r="H4850" s="530"/>
      <c r="I4850" s="525" t="s">
        <v>600</v>
      </c>
      <c r="J4850" s="484"/>
      <c r="K4850" s="548"/>
      <c r="L4850" s="548"/>
      <c r="M4850" s="548"/>
      <c r="N4850" s="552"/>
    </row>
    <row r="4851" spans="1:14">
      <c r="A4851" s="499">
        <v>45646</v>
      </c>
      <c r="B4851" s="499">
        <v>45646</v>
      </c>
      <c r="C4851" s="500" t="s">
        <v>173</v>
      </c>
      <c r="D4851" s="500" t="s">
        <v>759</v>
      </c>
      <c r="E4851" s="501">
        <v>-5001411.04</v>
      </c>
      <c r="F4851" s="502" t="s">
        <v>878</v>
      </c>
      <c r="G4851" s="100">
        <v>115179119</v>
      </c>
      <c r="H4851" s="530"/>
      <c r="I4851" s="525" t="s">
        <v>816</v>
      </c>
      <c r="J4851" s="484"/>
      <c r="K4851" s="548"/>
      <c r="L4851" s="548"/>
      <c r="M4851" s="548"/>
      <c r="N4851" s="552"/>
    </row>
    <row r="4852" spans="1:14">
      <c r="A4852" s="499">
        <v>45646</v>
      </c>
      <c r="B4852" s="499">
        <v>45646</v>
      </c>
      <c r="C4852" s="500" t="s">
        <v>173</v>
      </c>
      <c r="D4852" s="500" t="s">
        <v>759</v>
      </c>
      <c r="E4852" s="501">
        <v>-7000447.4500000002</v>
      </c>
      <c r="F4852" s="502" t="s">
        <v>878</v>
      </c>
      <c r="G4852" s="100">
        <v>115179122</v>
      </c>
      <c r="H4852" s="530"/>
      <c r="I4852" s="525" t="s">
        <v>550</v>
      </c>
      <c r="J4852" s="484"/>
      <c r="K4852" s="548"/>
      <c r="L4852" s="548"/>
      <c r="M4852" s="548"/>
      <c r="N4852" s="552"/>
    </row>
    <row r="4853" spans="1:14">
      <c r="A4853" s="499">
        <v>45646</v>
      </c>
      <c r="B4853" s="499">
        <v>45646</v>
      </c>
      <c r="C4853" s="500" t="s">
        <v>173</v>
      </c>
      <c r="D4853" s="500" t="s">
        <v>759</v>
      </c>
      <c r="E4853" s="501">
        <v>-7006406.8099999996</v>
      </c>
      <c r="F4853" s="502" t="s">
        <v>878</v>
      </c>
      <c r="G4853" s="100">
        <v>115179125</v>
      </c>
      <c r="H4853" s="530"/>
      <c r="I4853" s="525" t="s">
        <v>676</v>
      </c>
      <c r="J4853" s="484"/>
      <c r="K4853" s="548"/>
      <c r="L4853" s="548"/>
      <c r="M4853" s="548"/>
      <c r="N4853" s="552"/>
    </row>
    <row r="4854" spans="1:14">
      <c r="A4854" s="499">
        <v>45646</v>
      </c>
      <c r="B4854" s="499">
        <v>45646</v>
      </c>
      <c r="C4854" s="500" t="s">
        <v>173</v>
      </c>
      <c r="D4854" s="500" t="s">
        <v>759</v>
      </c>
      <c r="E4854" s="501">
        <v>-7002145.8399999999</v>
      </c>
      <c r="F4854" s="502" t="s">
        <v>878</v>
      </c>
      <c r="G4854" s="100">
        <v>115179128</v>
      </c>
      <c r="H4854" s="530"/>
      <c r="I4854" s="525" t="s">
        <v>695</v>
      </c>
      <c r="J4854" s="484"/>
      <c r="K4854" s="548"/>
      <c r="L4854" s="548"/>
      <c r="M4854" s="548"/>
      <c r="N4854" s="552"/>
    </row>
    <row r="4855" spans="1:14">
      <c r="A4855" s="499">
        <v>45646</v>
      </c>
      <c r="B4855" s="499">
        <v>45646</v>
      </c>
      <c r="C4855" s="500" t="s">
        <v>173</v>
      </c>
      <c r="D4855" s="500" t="s">
        <v>759</v>
      </c>
      <c r="E4855" s="501">
        <v>-7005988.0800000001</v>
      </c>
      <c r="F4855" s="502" t="s">
        <v>878</v>
      </c>
      <c r="G4855" s="100">
        <v>115179131</v>
      </c>
      <c r="H4855" s="530"/>
      <c r="I4855" s="525" t="s">
        <v>821</v>
      </c>
      <c r="J4855" s="484"/>
      <c r="K4855" s="548"/>
      <c r="L4855" s="548"/>
      <c r="M4855" s="548"/>
      <c r="N4855" s="552"/>
    </row>
    <row r="4856" spans="1:14">
      <c r="A4856" s="499">
        <v>45646</v>
      </c>
      <c r="B4856" s="499">
        <v>45646</v>
      </c>
      <c r="C4856" s="500" t="s">
        <v>173</v>
      </c>
      <c r="D4856" s="500" t="s">
        <v>759</v>
      </c>
      <c r="E4856" s="501">
        <v>-7002182.5899999999</v>
      </c>
      <c r="F4856" s="502" t="s">
        <v>878</v>
      </c>
      <c r="G4856" s="100">
        <v>115179134</v>
      </c>
      <c r="H4856" s="530"/>
      <c r="I4856" s="525" t="s">
        <v>674</v>
      </c>
      <c r="J4856" s="484"/>
      <c r="K4856" s="548"/>
      <c r="L4856" s="548"/>
      <c r="M4856" s="548"/>
      <c r="N4856" s="552"/>
    </row>
    <row r="4857" spans="1:14">
      <c r="A4857" s="499">
        <v>45646</v>
      </c>
      <c r="B4857" s="499">
        <v>45646</v>
      </c>
      <c r="C4857" s="500" t="s">
        <v>173</v>
      </c>
      <c r="D4857" s="500" t="s">
        <v>759</v>
      </c>
      <c r="E4857" s="501">
        <v>-8002356.6200000001</v>
      </c>
      <c r="F4857" s="502" t="s">
        <v>878</v>
      </c>
      <c r="G4857" s="100">
        <v>115179137</v>
      </c>
      <c r="H4857" s="530"/>
      <c r="I4857" s="525" t="s">
        <v>696</v>
      </c>
      <c r="J4857" s="484"/>
      <c r="K4857" s="548"/>
      <c r="L4857" s="548"/>
      <c r="M4857" s="548"/>
      <c r="N4857" s="552"/>
    </row>
    <row r="4858" spans="1:14">
      <c r="A4858" s="499">
        <v>45646</v>
      </c>
      <c r="B4858" s="499">
        <v>45646</v>
      </c>
      <c r="C4858" s="500" t="s">
        <v>173</v>
      </c>
      <c r="D4858" s="500" t="s">
        <v>759</v>
      </c>
      <c r="E4858" s="501">
        <v>-9002651.1999999993</v>
      </c>
      <c r="F4858" s="502" t="s">
        <v>878</v>
      </c>
      <c r="G4858" s="100">
        <v>115179140</v>
      </c>
      <c r="H4858" s="530"/>
      <c r="I4858" s="525" t="s">
        <v>696</v>
      </c>
      <c r="J4858" s="484"/>
      <c r="K4858" s="548"/>
      <c r="L4858" s="548"/>
      <c r="M4858" s="548"/>
      <c r="N4858" s="552"/>
    </row>
    <row r="4859" spans="1:14">
      <c r="A4859" s="499">
        <v>45646</v>
      </c>
      <c r="B4859" s="499">
        <v>45646</v>
      </c>
      <c r="C4859" s="500" t="s">
        <v>173</v>
      </c>
      <c r="D4859" s="500" t="s">
        <v>759</v>
      </c>
      <c r="E4859" s="501">
        <v>-9006547.7300000004</v>
      </c>
      <c r="F4859" s="502" t="s">
        <v>878</v>
      </c>
      <c r="G4859" s="100">
        <v>115179143</v>
      </c>
      <c r="H4859" s="530"/>
      <c r="I4859" s="525" t="s">
        <v>592</v>
      </c>
      <c r="J4859" s="484"/>
      <c r="K4859" s="548"/>
      <c r="L4859" s="548"/>
      <c r="M4859" s="548"/>
      <c r="N4859" s="552"/>
    </row>
    <row r="4860" spans="1:14">
      <c r="A4860" s="499">
        <v>45646</v>
      </c>
      <c r="B4860" s="499">
        <v>45646</v>
      </c>
      <c r="C4860" s="500" t="s">
        <v>173</v>
      </c>
      <c r="D4860" s="500" t="s">
        <v>759</v>
      </c>
      <c r="E4860" s="501">
        <v>-10000639.210000001</v>
      </c>
      <c r="F4860" s="502" t="s">
        <v>878</v>
      </c>
      <c r="G4860" s="100">
        <v>115179146</v>
      </c>
      <c r="H4860" s="530"/>
      <c r="I4860" s="525" t="s">
        <v>550</v>
      </c>
      <c r="J4860" s="484"/>
      <c r="K4860" s="548"/>
      <c r="L4860" s="548"/>
      <c r="M4860" s="548"/>
      <c r="N4860" s="552"/>
    </row>
    <row r="4861" spans="1:14">
      <c r="A4861" s="499">
        <v>45646</v>
      </c>
      <c r="B4861" s="499">
        <v>45646</v>
      </c>
      <c r="C4861" s="500" t="s">
        <v>173</v>
      </c>
      <c r="D4861" s="500" t="s">
        <v>759</v>
      </c>
      <c r="E4861" s="501">
        <v>-10001748.199999999</v>
      </c>
      <c r="F4861" s="502" t="s">
        <v>878</v>
      </c>
      <c r="G4861" s="100">
        <v>115179149</v>
      </c>
      <c r="H4861" s="530"/>
      <c r="I4861" s="525" t="s">
        <v>596</v>
      </c>
      <c r="J4861" s="484"/>
      <c r="K4861" s="548"/>
      <c r="L4861" s="548"/>
      <c r="M4861" s="548"/>
      <c r="N4861" s="552"/>
    </row>
    <row r="4862" spans="1:14">
      <c r="A4862" s="499">
        <v>45646</v>
      </c>
      <c r="B4862" s="499">
        <v>45646</v>
      </c>
      <c r="C4862" s="500" t="s">
        <v>173</v>
      </c>
      <c r="D4862" s="500" t="s">
        <v>759</v>
      </c>
      <c r="E4862" s="501">
        <v>-10002822.08</v>
      </c>
      <c r="F4862" s="502" t="s">
        <v>878</v>
      </c>
      <c r="G4862" s="100">
        <v>115179152</v>
      </c>
      <c r="H4862" s="530"/>
      <c r="I4862" s="525" t="s">
        <v>816</v>
      </c>
      <c r="J4862" s="484"/>
      <c r="K4862" s="548"/>
      <c r="L4862" s="548"/>
      <c r="M4862" s="548"/>
      <c r="N4862" s="552"/>
    </row>
    <row r="4863" spans="1:14">
      <c r="A4863" s="499">
        <v>45646</v>
      </c>
      <c r="B4863" s="499">
        <v>45646</v>
      </c>
      <c r="C4863" s="500" t="s">
        <v>173</v>
      </c>
      <c r="D4863" s="500" t="s">
        <v>759</v>
      </c>
      <c r="E4863" s="501">
        <v>-11009489.73</v>
      </c>
      <c r="F4863" s="502" t="s">
        <v>878</v>
      </c>
      <c r="G4863" s="100">
        <v>115179155</v>
      </c>
      <c r="H4863" s="530"/>
      <c r="I4863" s="525" t="s">
        <v>709</v>
      </c>
      <c r="J4863" s="484"/>
      <c r="K4863" s="548"/>
      <c r="L4863" s="548"/>
      <c r="M4863" s="548"/>
      <c r="N4863" s="552"/>
    </row>
    <row r="4864" spans="1:14">
      <c r="A4864" s="499">
        <v>45646</v>
      </c>
      <c r="B4864" s="499">
        <v>45646</v>
      </c>
      <c r="C4864" s="500" t="s">
        <v>173</v>
      </c>
      <c r="D4864" s="500" t="s">
        <v>759</v>
      </c>
      <c r="E4864" s="501">
        <v>-13000981.5</v>
      </c>
      <c r="F4864" s="502" t="s">
        <v>878</v>
      </c>
      <c r="G4864" s="100">
        <v>115179158</v>
      </c>
      <c r="H4864" s="530"/>
      <c r="I4864" s="525" t="s">
        <v>525</v>
      </c>
      <c r="J4864" s="484"/>
      <c r="K4864" s="548"/>
      <c r="L4864" s="548"/>
      <c r="M4864" s="548"/>
      <c r="N4864" s="552"/>
    </row>
    <row r="4865" spans="1:14">
      <c r="A4865" s="499">
        <v>45646</v>
      </c>
      <c r="B4865" s="499">
        <v>45646</v>
      </c>
      <c r="C4865" s="500" t="s">
        <v>173</v>
      </c>
      <c r="D4865" s="500" t="s">
        <v>759</v>
      </c>
      <c r="E4865" s="501">
        <v>-14003950.91</v>
      </c>
      <c r="F4865" s="502" t="s">
        <v>878</v>
      </c>
      <c r="G4865" s="100">
        <v>115179161</v>
      </c>
      <c r="H4865" s="530"/>
      <c r="I4865" s="525" t="s">
        <v>816</v>
      </c>
      <c r="J4865" s="484"/>
      <c r="K4865" s="548"/>
      <c r="L4865" s="548"/>
      <c r="M4865" s="548"/>
      <c r="N4865" s="552"/>
    </row>
    <row r="4866" spans="1:14">
      <c r="A4866" s="499">
        <v>45646</v>
      </c>
      <c r="B4866" s="499">
        <v>45646</v>
      </c>
      <c r="C4866" s="500" t="s">
        <v>173</v>
      </c>
      <c r="D4866" s="500" t="s">
        <v>759</v>
      </c>
      <c r="E4866" s="501">
        <v>-15006715.130000001</v>
      </c>
      <c r="F4866" s="502" t="s">
        <v>878</v>
      </c>
      <c r="G4866" s="100">
        <v>115179164</v>
      </c>
      <c r="H4866" s="530"/>
      <c r="I4866" s="525" t="s">
        <v>824</v>
      </c>
      <c r="J4866" s="484"/>
      <c r="K4866" s="548"/>
      <c r="L4866" s="548"/>
      <c r="M4866" s="548"/>
      <c r="N4866" s="552"/>
    </row>
    <row r="4867" spans="1:14">
      <c r="A4867" s="499">
        <v>45646</v>
      </c>
      <c r="B4867" s="499">
        <v>45646</v>
      </c>
      <c r="C4867" s="500" t="s">
        <v>173</v>
      </c>
      <c r="D4867" s="500" t="s">
        <v>759</v>
      </c>
      <c r="E4867" s="501">
        <v>-15005706.35</v>
      </c>
      <c r="F4867" s="502" t="s">
        <v>878</v>
      </c>
      <c r="G4867" s="100">
        <v>115179167</v>
      </c>
      <c r="H4867" s="530"/>
      <c r="I4867" s="525" t="s">
        <v>819</v>
      </c>
      <c r="J4867" s="484"/>
      <c r="K4867" s="548"/>
      <c r="L4867" s="548"/>
      <c r="M4867" s="548"/>
      <c r="N4867" s="552"/>
    </row>
    <row r="4868" spans="1:14">
      <c r="A4868" s="499">
        <v>45646</v>
      </c>
      <c r="B4868" s="499">
        <v>45646</v>
      </c>
      <c r="C4868" s="500" t="s">
        <v>173</v>
      </c>
      <c r="D4868" s="500" t="s">
        <v>759</v>
      </c>
      <c r="E4868" s="501">
        <v>-19017389.899999999</v>
      </c>
      <c r="F4868" s="502" t="s">
        <v>878</v>
      </c>
      <c r="G4868" s="100">
        <v>115179170</v>
      </c>
      <c r="H4868" s="530"/>
      <c r="I4868" s="525" t="s">
        <v>676</v>
      </c>
      <c r="J4868" s="484"/>
      <c r="K4868" s="548"/>
      <c r="L4868" s="548"/>
      <c r="M4868" s="548"/>
      <c r="N4868" s="552"/>
    </row>
    <row r="4869" spans="1:14">
      <c r="A4869" s="499">
        <v>45646</v>
      </c>
      <c r="B4869" s="499">
        <v>45646</v>
      </c>
      <c r="C4869" s="500" t="s">
        <v>173</v>
      </c>
      <c r="D4869" s="500" t="s">
        <v>759</v>
      </c>
      <c r="E4869" s="501">
        <v>-20002758.120000001</v>
      </c>
      <c r="F4869" s="502" t="s">
        <v>878</v>
      </c>
      <c r="G4869" s="100">
        <v>115179173</v>
      </c>
      <c r="H4869" s="530"/>
      <c r="I4869" s="525" t="s">
        <v>588</v>
      </c>
      <c r="J4869" s="484"/>
      <c r="K4869" s="548"/>
      <c r="L4869" s="548"/>
      <c r="M4869" s="548"/>
      <c r="N4869" s="552"/>
    </row>
    <row r="4870" spans="1:14">
      <c r="A4870" s="499">
        <v>45646</v>
      </c>
      <c r="B4870" s="499">
        <v>45646</v>
      </c>
      <c r="C4870" s="500" t="s">
        <v>173</v>
      </c>
      <c r="D4870" s="500" t="s">
        <v>759</v>
      </c>
      <c r="E4870" s="501">
        <v>-21006647.469999999</v>
      </c>
      <c r="F4870" s="502" t="s">
        <v>878</v>
      </c>
      <c r="G4870" s="100">
        <v>115179176</v>
      </c>
      <c r="H4870" s="530"/>
      <c r="I4870" s="525" t="s">
        <v>690</v>
      </c>
      <c r="J4870" s="484"/>
      <c r="K4870" s="548"/>
      <c r="L4870" s="548"/>
      <c r="M4870" s="548"/>
      <c r="N4870" s="552"/>
    </row>
    <row r="4871" spans="1:14">
      <c r="A4871" s="499">
        <v>45646</v>
      </c>
      <c r="B4871" s="499">
        <v>45646</v>
      </c>
      <c r="C4871" s="500" t="s">
        <v>173</v>
      </c>
      <c r="D4871" s="500" t="s">
        <v>759</v>
      </c>
      <c r="E4871" s="501">
        <v>-21019220.420000002</v>
      </c>
      <c r="F4871" s="502" t="s">
        <v>878</v>
      </c>
      <c r="G4871" s="100">
        <v>115179179</v>
      </c>
      <c r="H4871" s="530"/>
      <c r="I4871" s="525" t="s">
        <v>676</v>
      </c>
      <c r="J4871" s="484"/>
      <c r="K4871" s="548"/>
      <c r="L4871" s="548"/>
      <c r="M4871" s="548"/>
      <c r="N4871" s="552"/>
    </row>
    <row r="4872" spans="1:14">
      <c r="A4872" s="499">
        <v>45646</v>
      </c>
      <c r="B4872" s="499">
        <v>45646</v>
      </c>
      <c r="C4872" s="500" t="s">
        <v>173</v>
      </c>
      <c r="D4872" s="500" t="s">
        <v>759</v>
      </c>
      <c r="E4872" s="501">
        <v>-21017198.48</v>
      </c>
      <c r="F4872" s="502" t="s">
        <v>878</v>
      </c>
      <c r="G4872" s="100">
        <v>115179182</v>
      </c>
      <c r="H4872" s="530"/>
      <c r="I4872" s="525" t="s">
        <v>657</v>
      </c>
      <c r="J4872" s="484"/>
      <c r="K4872" s="548"/>
      <c r="L4872" s="548"/>
      <c r="M4872" s="548"/>
      <c r="N4872" s="552"/>
    </row>
    <row r="4873" spans="1:14">
      <c r="A4873" s="499">
        <v>45646</v>
      </c>
      <c r="B4873" s="499">
        <v>45646</v>
      </c>
      <c r="C4873" s="500" t="s">
        <v>173</v>
      </c>
      <c r="D4873" s="500" t="s">
        <v>759</v>
      </c>
      <c r="E4873" s="501">
        <v>-23016508.25</v>
      </c>
      <c r="F4873" s="502" t="s">
        <v>878</v>
      </c>
      <c r="G4873" s="100">
        <v>115179185</v>
      </c>
      <c r="H4873" s="530"/>
      <c r="I4873" s="525" t="s">
        <v>590</v>
      </c>
      <c r="J4873" s="484"/>
      <c r="K4873" s="548"/>
      <c r="L4873" s="548"/>
      <c r="M4873" s="548"/>
      <c r="N4873" s="552"/>
    </row>
    <row r="4874" spans="1:14">
      <c r="A4874" s="499">
        <v>45646</v>
      </c>
      <c r="B4874" s="499">
        <v>45646</v>
      </c>
      <c r="C4874" s="500" t="s">
        <v>173</v>
      </c>
      <c r="D4874" s="500" t="s">
        <v>759</v>
      </c>
      <c r="E4874" s="501">
        <v>-24007069.870000001</v>
      </c>
      <c r="F4874" s="502" t="s">
        <v>878</v>
      </c>
      <c r="G4874" s="100">
        <v>115179188</v>
      </c>
      <c r="H4874" s="530"/>
      <c r="I4874" s="525" t="s">
        <v>696</v>
      </c>
      <c r="J4874" s="484"/>
      <c r="K4874" s="548"/>
      <c r="L4874" s="548"/>
      <c r="M4874" s="548"/>
      <c r="N4874" s="552"/>
    </row>
    <row r="4875" spans="1:14">
      <c r="A4875" s="499">
        <v>45646</v>
      </c>
      <c r="B4875" s="499">
        <v>45646</v>
      </c>
      <c r="C4875" s="500" t="s">
        <v>173</v>
      </c>
      <c r="D4875" s="500" t="s">
        <v>759</v>
      </c>
      <c r="E4875" s="501">
        <v>-24001534.109999999</v>
      </c>
      <c r="F4875" s="502" t="s">
        <v>878</v>
      </c>
      <c r="G4875" s="100">
        <v>115179191</v>
      </c>
      <c r="H4875" s="530"/>
      <c r="I4875" s="525" t="s">
        <v>550</v>
      </c>
      <c r="J4875" s="484"/>
      <c r="K4875" s="548"/>
      <c r="L4875" s="548"/>
      <c r="M4875" s="548"/>
      <c r="N4875" s="552"/>
    </row>
    <row r="4876" spans="1:14">
      <c r="A4876" s="499">
        <v>45646</v>
      </c>
      <c r="B4876" s="499">
        <v>45646</v>
      </c>
      <c r="C4876" s="500" t="s">
        <v>173</v>
      </c>
      <c r="D4876" s="500" t="s">
        <v>759</v>
      </c>
      <c r="E4876" s="501">
        <v>-25011191.879999999</v>
      </c>
      <c r="F4876" s="502" t="s">
        <v>878</v>
      </c>
      <c r="G4876" s="100">
        <v>115179194</v>
      </c>
      <c r="H4876" s="530"/>
      <c r="I4876" s="525" t="s">
        <v>824</v>
      </c>
      <c r="J4876" s="484"/>
      <c r="K4876" s="548"/>
      <c r="L4876" s="548"/>
      <c r="M4876" s="548"/>
      <c r="N4876" s="552"/>
    </row>
    <row r="4877" spans="1:14">
      <c r="A4877" s="499">
        <v>45646</v>
      </c>
      <c r="B4877" s="499">
        <v>45646</v>
      </c>
      <c r="C4877" s="500" t="s">
        <v>173</v>
      </c>
      <c r="D4877" s="500" t="s">
        <v>759</v>
      </c>
      <c r="E4877" s="501">
        <v>-26022241.440000001</v>
      </c>
      <c r="F4877" s="502" t="s">
        <v>878</v>
      </c>
      <c r="G4877" s="100">
        <v>115179197</v>
      </c>
      <c r="H4877" s="530"/>
      <c r="I4877" s="525" t="s">
        <v>821</v>
      </c>
      <c r="J4877" s="484"/>
      <c r="K4877" s="548"/>
      <c r="L4877" s="548"/>
      <c r="M4877" s="548"/>
      <c r="N4877" s="552"/>
    </row>
    <row r="4878" spans="1:14">
      <c r="A4878" s="499">
        <v>45646</v>
      </c>
      <c r="B4878" s="499">
        <v>45646</v>
      </c>
      <c r="C4878" s="500" t="s">
        <v>173</v>
      </c>
      <c r="D4878" s="500" t="s">
        <v>759</v>
      </c>
      <c r="E4878" s="501">
        <v>-27013743.649999999</v>
      </c>
      <c r="F4878" s="502" t="s">
        <v>878</v>
      </c>
      <c r="G4878" s="100">
        <v>115179200</v>
      </c>
      <c r="H4878" s="530"/>
      <c r="I4878" s="525" t="s">
        <v>717</v>
      </c>
      <c r="J4878" s="484"/>
      <c r="K4878" s="548"/>
      <c r="L4878" s="548"/>
      <c r="M4878" s="548"/>
      <c r="N4878" s="552"/>
    </row>
    <row r="4879" spans="1:14">
      <c r="A4879" s="499">
        <v>45646</v>
      </c>
      <c r="B4879" s="499">
        <v>45646</v>
      </c>
      <c r="C4879" s="500" t="s">
        <v>173</v>
      </c>
      <c r="D4879" s="500" t="s">
        <v>759</v>
      </c>
      <c r="E4879" s="501">
        <v>-29011032.27</v>
      </c>
      <c r="F4879" s="502" t="s">
        <v>878</v>
      </c>
      <c r="G4879" s="100">
        <v>115179203</v>
      </c>
      <c r="H4879" s="530"/>
      <c r="I4879" s="525" t="s">
        <v>819</v>
      </c>
      <c r="J4879" s="484"/>
      <c r="K4879" s="548"/>
      <c r="L4879" s="548"/>
      <c r="M4879" s="548"/>
      <c r="N4879" s="552"/>
    </row>
    <row r="4880" spans="1:14">
      <c r="A4880" s="499">
        <v>45646</v>
      </c>
      <c r="B4880" s="499">
        <v>45646</v>
      </c>
      <c r="C4880" s="500" t="s">
        <v>173</v>
      </c>
      <c r="D4880" s="500" t="s">
        <v>759</v>
      </c>
      <c r="E4880" s="501">
        <v>-29019671.800000001</v>
      </c>
      <c r="F4880" s="502" t="s">
        <v>878</v>
      </c>
      <c r="G4880" s="100">
        <v>115179206</v>
      </c>
      <c r="H4880" s="530"/>
      <c r="I4880" s="525" t="s">
        <v>604</v>
      </c>
      <c r="J4880" s="484"/>
      <c r="K4880" s="548"/>
      <c r="L4880" s="548"/>
      <c r="M4880" s="548"/>
      <c r="N4880" s="552"/>
    </row>
    <row r="4881" spans="1:14">
      <c r="A4881" s="499">
        <v>45646</v>
      </c>
      <c r="B4881" s="499">
        <v>45646</v>
      </c>
      <c r="C4881" s="500" t="s">
        <v>173</v>
      </c>
      <c r="D4881" s="500" t="s">
        <v>759</v>
      </c>
      <c r="E4881" s="501">
        <v>-37011536.530000001</v>
      </c>
      <c r="F4881" s="502" t="s">
        <v>878</v>
      </c>
      <c r="G4881" s="100">
        <v>115179209</v>
      </c>
      <c r="H4881" s="530"/>
      <c r="I4881" s="525" t="s">
        <v>674</v>
      </c>
      <c r="J4881" s="484"/>
      <c r="K4881" s="548"/>
      <c r="L4881" s="548"/>
      <c r="M4881" s="548"/>
      <c r="N4881" s="552"/>
    </row>
    <row r="4882" spans="1:14">
      <c r="A4882" s="499">
        <v>45646</v>
      </c>
      <c r="B4882" s="499">
        <v>45646</v>
      </c>
      <c r="C4882" s="500" t="s">
        <v>173</v>
      </c>
      <c r="D4882" s="500" t="s">
        <v>759</v>
      </c>
      <c r="E4882" s="501">
        <v>-41005503.270000003</v>
      </c>
      <c r="F4882" s="502" t="s">
        <v>878</v>
      </c>
      <c r="G4882" s="100">
        <v>115179212</v>
      </c>
      <c r="H4882" s="530"/>
      <c r="I4882" s="525" t="s">
        <v>715</v>
      </c>
      <c r="J4882" s="484"/>
      <c r="K4882" s="548"/>
      <c r="L4882" s="548"/>
      <c r="M4882" s="548"/>
      <c r="N4882" s="552"/>
    </row>
    <row r="4883" spans="1:14">
      <c r="A4883" s="499">
        <v>45646</v>
      </c>
      <c r="B4883" s="499">
        <v>45646</v>
      </c>
      <c r="C4883" s="500" t="s">
        <v>173</v>
      </c>
      <c r="D4883" s="500" t="s">
        <v>759</v>
      </c>
      <c r="E4883" s="501">
        <v>-42005792.049999997</v>
      </c>
      <c r="F4883" s="502" t="s">
        <v>878</v>
      </c>
      <c r="G4883" s="100">
        <v>115179215</v>
      </c>
      <c r="H4883" s="530"/>
      <c r="I4883" s="525" t="s">
        <v>588</v>
      </c>
      <c r="J4883" s="484"/>
      <c r="K4883" s="548"/>
      <c r="L4883" s="548"/>
      <c r="M4883" s="548"/>
      <c r="N4883" s="552"/>
    </row>
    <row r="4884" spans="1:14">
      <c r="A4884" s="499">
        <v>45646</v>
      </c>
      <c r="B4884" s="499">
        <v>45646</v>
      </c>
      <c r="C4884" s="500" t="s">
        <v>173</v>
      </c>
      <c r="D4884" s="500" t="s">
        <v>759</v>
      </c>
      <c r="E4884" s="501">
        <v>-42014573.789999999</v>
      </c>
      <c r="F4884" s="502" t="s">
        <v>878</v>
      </c>
      <c r="G4884" s="100">
        <v>115179218</v>
      </c>
      <c r="H4884" s="530"/>
      <c r="I4884" s="525" t="s">
        <v>817</v>
      </c>
      <c r="J4884" s="484"/>
      <c r="K4884" s="548"/>
      <c r="L4884" s="548"/>
      <c r="M4884" s="548"/>
      <c r="N4884" s="552"/>
    </row>
    <row r="4885" spans="1:14">
      <c r="A4885" s="499">
        <v>45646</v>
      </c>
      <c r="B4885" s="499">
        <v>45646</v>
      </c>
      <c r="C4885" s="500" t="s">
        <v>173</v>
      </c>
      <c r="D4885" s="500" t="s">
        <v>759</v>
      </c>
      <c r="E4885" s="501">
        <v>-44007692.079999998</v>
      </c>
      <c r="F4885" s="502" t="s">
        <v>878</v>
      </c>
      <c r="G4885" s="100">
        <v>115179221</v>
      </c>
      <c r="H4885" s="530"/>
      <c r="I4885" s="525" t="s">
        <v>596</v>
      </c>
      <c r="J4885" s="484"/>
      <c r="K4885" s="548"/>
      <c r="L4885" s="548"/>
      <c r="M4885" s="548"/>
      <c r="N4885" s="552"/>
    </row>
    <row r="4886" spans="1:14">
      <c r="A4886" s="499">
        <v>45646</v>
      </c>
      <c r="B4886" s="499">
        <v>45646</v>
      </c>
      <c r="C4886" s="500" t="s">
        <v>173</v>
      </c>
      <c r="D4886" s="500" t="s">
        <v>759</v>
      </c>
      <c r="E4886" s="501">
        <v>-48006442.850000001</v>
      </c>
      <c r="F4886" s="502" t="s">
        <v>878</v>
      </c>
      <c r="G4886" s="100">
        <v>115179224</v>
      </c>
      <c r="H4886" s="530"/>
      <c r="I4886" s="525" t="s">
        <v>715</v>
      </c>
      <c r="J4886" s="484"/>
      <c r="K4886" s="548"/>
      <c r="L4886" s="548"/>
      <c r="M4886" s="548"/>
      <c r="N4886" s="552"/>
    </row>
    <row r="4887" spans="1:14">
      <c r="A4887" s="499">
        <v>45646</v>
      </c>
      <c r="B4887" s="499">
        <v>45646</v>
      </c>
      <c r="C4887" s="500" t="s">
        <v>173</v>
      </c>
      <c r="D4887" s="500" t="s">
        <v>759</v>
      </c>
      <c r="E4887" s="501">
        <v>-48006619.490000002</v>
      </c>
      <c r="F4887" s="502" t="s">
        <v>878</v>
      </c>
      <c r="G4887" s="100">
        <v>115179227</v>
      </c>
      <c r="H4887" s="530"/>
      <c r="I4887" s="525" t="s">
        <v>588</v>
      </c>
      <c r="J4887" s="484"/>
      <c r="K4887" s="548"/>
      <c r="L4887" s="548"/>
      <c r="M4887" s="548"/>
      <c r="N4887" s="552"/>
    </row>
    <row r="4888" spans="1:14">
      <c r="A4888" s="499">
        <v>45646</v>
      </c>
      <c r="B4888" s="499">
        <v>45646</v>
      </c>
      <c r="C4888" s="500" t="s">
        <v>173</v>
      </c>
      <c r="D4888" s="500" t="s">
        <v>759</v>
      </c>
      <c r="E4888" s="501">
        <v>-56017726.579999998</v>
      </c>
      <c r="F4888" s="502" t="s">
        <v>878</v>
      </c>
      <c r="G4888" s="100">
        <v>115179240</v>
      </c>
      <c r="H4888" s="530"/>
      <c r="I4888" s="525" t="s">
        <v>690</v>
      </c>
      <c r="J4888" s="484"/>
      <c r="K4888" s="548"/>
      <c r="L4888" s="548"/>
      <c r="M4888" s="548"/>
      <c r="N4888" s="552"/>
    </row>
    <row r="4889" spans="1:14">
      <c r="A4889" s="499">
        <v>45646</v>
      </c>
      <c r="B4889" s="499">
        <v>45646</v>
      </c>
      <c r="C4889" s="500" t="s">
        <v>173</v>
      </c>
      <c r="D4889" s="500" t="s">
        <v>759</v>
      </c>
      <c r="E4889" s="501">
        <v>-61032827.759999998</v>
      </c>
      <c r="F4889" s="502" t="s">
        <v>878</v>
      </c>
      <c r="G4889" s="100">
        <v>115179243</v>
      </c>
      <c r="H4889" s="530"/>
      <c r="I4889" s="525" t="s">
        <v>711</v>
      </c>
      <c r="J4889" s="484"/>
      <c r="K4889" s="548"/>
      <c r="L4889" s="548"/>
      <c r="M4889" s="548"/>
      <c r="N4889" s="552"/>
    </row>
    <row r="4890" spans="1:14">
      <c r="A4890" s="499">
        <v>45646</v>
      </c>
      <c r="B4890" s="499">
        <v>45646</v>
      </c>
      <c r="C4890" s="500" t="s">
        <v>173</v>
      </c>
      <c r="D4890" s="500" t="s">
        <v>759</v>
      </c>
      <c r="E4890" s="501">
        <v>-63053892.719999999</v>
      </c>
      <c r="F4890" s="502" t="s">
        <v>878</v>
      </c>
      <c r="G4890" s="100">
        <v>115179246</v>
      </c>
      <c r="H4890" s="530"/>
      <c r="I4890" s="525" t="s">
        <v>821</v>
      </c>
      <c r="J4890" s="484"/>
      <c r="K4890" s="548"/>
      <c r="L4890" s="548"/>
      <c r="M4890" s="548"/>
      <c r="N4890" s="552"/>
    </row>
    <row r="4891" spans="1:14">
      <c r="A4891" s="499">
        <v>45646</v>
      </c>
      <c r="B4891" s="499">
        <v>45646</v>
      </c>
      <c r="C4891" s="500" t="s">
        <v>173</v>
      </c>
      <c r="D4891" s="500" t="s">
        <v>759</v>
      </c>
      <c r="E4891" s="501">
        <v>-63030073.43</v>
      </c>
      <c r="F4891" s="502" t="s">
        <v>878</v>
      </c>
      <c r="G4891" s="100">
        <v>115179249</v>
      </c>
      <c r="H4891" s="530"/>
      <c r="I4891" s="525" t="s">
        <v>602</v>
      </c>
      <c r="J4891" s="484"/>
      <c r="K4891" s="548"/>
      <c r="L4891" s="548"/>
      <c r="M4891" s="548"/>
      <c r="N4891" s="552"/>
    </row>
    <row r="4892" spans="1:14">
      <c r="A4892" s="499">
        <v>45646</v>
      </c>
      <c r="B4892" s="499">
        <v>45646</v>
      </c>
      <c r="C4892" s="500" t="s">
        <v>173</v>
      </c>
      <c r="D4892" s="500" t="s">
        <v>759</v>
      </c>
      <c r="E4892" s="501">
        <v>-64045936</v>
      </c>
      <c r="F4892" s="502" t="s">
        <v>878</v>
      </c>
      <c r="G4892" s="100">
        <v>115179252</v>
      </c>
      <c r="H4892" s="530"/>
      <c r="I4892" s="525" t="s">
        <v>590</v>
      </c>
      <c r="J4892" s="484"/>
      <c r="K4892" s="548"/>
      <c r="L4892" s="548"/>
      <c r="M4892" s="548"/>
      <c r="N4892" s="552"/>
    </row>
    <row r="4893" spans="1:14">
      <c r="A4893" s="499">
        <v>45646</v>
      </c>
      <c r="B4893" s="499">
        <v>45646</v>
      </c>
      <c r="C4893" s="500" t="s">
        <v>173</v>
      </c>
      <c r="D4893" s="500" t="s">
        <v>759</v>
      </c>
      <c r="E4893" s="501">
        <v>-68007943.079999998</v>
      </c>
      <c r="F4893" s="502" t="s">
        <v>878</v>
      </c>
      <c r="G4893" s="100">
        <v>115179255</v>
      </c>
      <c r="H4893" s="530"/>
      <c r="I4893" s="525" t="s">
        <v>598</v>
      </c>
      <c r="J4893" s="484"/>
      <c r="K4893" s="548"/>
      <c r="L4893" s="548"/>
      <c r="M4893" s="548"/>
      <c r="N4893" s="552"/>
    </row>
    <row r="4894" spans="1:14">
      <c r="A4894" s="499">
        <v>45646</v>
      </c>
      <c r="B4894" s="499">
        <v>45646</v>
      </c>
      <c r="C4894" s="500" t="s">
        <v>173</v>
      </c>
      <c r="D4894" s="500" t="s">
        <v>759</v>
      </c>
      <c r="E4894" s="501">
        <v>-73003514.219999999</v>
      </c>
      <c r="F4894" s="502" t="s">
        <v>878</v>
      </c>
      <c r="G4894" s="100">
        <v>115179258</v>
      </c>
      <c r="H4894" s="530"/>
      <c r="I4894" s="525" t="s">
        <v>654</v>
      </c>
      <c r="J4894" s="484"/>
      <c r="K4894" s="548"/>
      <c r="L4894" s="548"/>
      <c r="M4894" s="548"/>
      <c r="N4894" s="552"/>
    </row>
    <row r="4895" spans="1:14">
      <c r="A4895" s="499">
        <v>45646</v>
      </c>
      <c r="B4895" s="499">
        <v>45646</v>
      </c>
      <c r="C4895" s="500" t="s">
        <v>173</v>
      </c>
      <c r="D4895" s="500" t="s">
        <v>759</v>
      </c>
      <c r="E4895" s="501">
        <v>-73049518.670000002</v>
      </c>
      <c r="F4895" s="502" t="s">
        <v>878</v>
      </c>
      <c r="G4895" s="100">
        <v>115179261</v>
      </c>
      <c r="H4895" s="530"/>
      <c r="I4895" s="525" t="s">
        <v>604</v>
      </c>
      <c r="J4895" s="484"/>
      <c r="K4895" s="548"/>
      <c r="L4895" s="548"/>
      <c r="M4895" s="548"/>
      <c r="N4895" s="552"/>
    </row>
    <row r="4896" spans="1:14">
      <c r="A4896" s="499">
        <v>45646</v>
      </c>
      <c r="B4896" s="499">
        <v>45646</v>
      </c>
      <c r="C4896" s="500" t="s">
        <v>173</v>
      </c>
      <c r="D4896" s="500" t="s">
        <v>759</v>
      </c>
      <c r="E4896" s="501">
        <v>-78006332.510000005</v>
      </c>
      <c r="F4896" s="502" t="s">
        <v>878</v>
      </c>
      <c r="G4896" s="100">
        <v>115179264</v>
      </c>
      <c r="H4896" s="530"/>
      <c r="I4896" s="525" t="s">
        <v>600</v>
      </c>
      <c r="J4896" s="484"/>
      <c r="K4896" s="548"/>
      <c r="L4896" s="548"/>
      <c r="M4896" s="548"/>
      <c r="N4896" s="552"/>
    </row>
    <row r="4897" spans="1:14">
      <c r="A4897" s="499">
        <v>45646</v>
      </c>
      <c r="B4897" s="499">
        <v>45646</v>
      </c>
      <c r="C4897" s="500" t="s">
        <v>173</v>
      </c>
      <c r="D4897" s="500" t="s">
        <v>759</v>
      </c>
      <c r="E4897" s="501">
        <v>-81006576.069999993</v>
      </c>
      <c r="F4897" s="502" t="s">
        <v>878</v>
      </c>
      <c r="G4897" s="100">
        <v>115179267</v>
      </c>
      <c r="H4897" s="530"/>
      <c r="I4897" s="525" t="s">
        <v>600</v>
      </c>
      <c r="J4897" s="484"/>
      <c r="K4897" s="548"/>
      <c r="L4897" s="548"/>
      <c r="M4897" s="548"/>
      <c r="N4897" s="552"/>
    </row>
    <row r="4898" spans="1:14">
      <c r="A4898" s="499">
        <v>45646</v>
      </c>
      <c r="B4898" s="499">
        <v>45646</v>
      </c>
      <c r="C4898" s="500" t="s">
        <v>173</v>
      </c>
      <c r="D4898" s="500" t="s">
        <v>759</v>
      </c>
      <c r="E4898" s="501">
        <v>-82014335.239999995</v>
      </c>
      <c r="F4898" s="502" t="s">
        <v>878</v>
      </c>
      <c r="G4898" s="100">
        <v>115179270</v>
      </c>
      <c r="H4898" s="530"/>
      <c r="I4898" s="525" t="s">
        <v>596</v>
      </c>
      <c r="J4898" s="484"/>
      <c r="K4898" s="548"/>
      <c r="L4898" s="548"/>
      <c r="M4898" s="548"/>
      <c r="N4898" s="552"/>
    </row>
    <row r="4899" spans="1:14">
      <c r="A4899" s="499">
        <v>45646</v>
      </c>
      <c r="B4899" s="499">
        <v>45646</v>
      </c>
      <c r="C4899" s="500" t="s">
        <v>173</v>
      </c>
      <c r="D4899" s="500" t="s">
        <v>759</v>
      </c>
      <c r="E4899" s="501">
        <v>-85032335.959999993</v>
      </c>
      <c r="F4899" s="502" t="s">
        <v>878</v>
      </c>
      <c r="G4899" s="100">
        <v>115179273</v>
      </c>
      <c r="H4899" s="530"/>
      <c r="I4899" s="525" t="s">
        <v>819</v>
      </c>
      <c r="J4899" s="484"/>
      <c r="K4899" s="548"/>
      <c r="L4899" s="548"/>
      <c r="M4899" s="548"/>
      <c r="N4899" s="552"/>
    </row>
    <row r="4900" spans="1:14">
      <c r="A4900" s="499">
        <v>45646</v>
      </c>
      <c r="B4900" s="499">
        <v>45646</v>
      </c>
      <c r="C4900" s="500" t="s">
        <v>173</v>
      </c>
      <c r="D4900" s="500" t="s">
        <v>759</v>
      </c>
      <c r="E4900" s="501">
        <v>-89071954.719999999</v>
      </c>
      <c r="F4900" s="502" t="s">
        <v>878</v>
      </c>
      <c r="G4900" s="100">
        <v>115179276</v>
      </c>
      <c r="H4900" s="530"/>
      <c r="I4900" s="525" t="s">
        <v>705</v>
      </c>
      <c r="J4900" s="484"/>
      <c r="K4900" s="548"/>
      <c r="L4900" s="548"/>
      <c r="M4900" s="548"/>
      <c r="N4900" s="552"/>
    </row>
    <row r="4901" spans="1:14">
      <c r="A4901" s="499">
        <v>45646</v>
      </c>
      <c r="B4901" s="499">
        <v>45646</v>
      </c>
      <c r="C4901" s="500" t="s">
        <v>173</v>
      </c>
      <c r="D4901" s="500" t="s">
        <v>759</v>
      </c>
      <c r="E4901" s="501">
        <v>-89050701.519999996</v>
      </c>
      <c r="F4901" s="502" t="s">
        <v>878</v>
      </c>
      <c r="G4901" s="100">
        <v>115179279</v>
      </c>
      <c r="H4901" s="530"/>
      <c r="I4901" s="525" t="s">
        <v>823</v>
      </c>
      <c r="J4901" s="484"/>
      <c r="K4901" s="548"/>
      <c r="L4901" s="548"/>
      <c r="M4901" s="548"/>
      <c r="N4901" s="552"/>
    </row>
    <row r="4902" spans="1:14">
      <c r="A4902" s="499">
        <v>45646</v>
      </c>
      <c r="B4902" s="499">
        <v>45646</v>
      </c>
      <c r="C4902" s="500" t="s">
        <v>173</v>
      </c>
      <c r="D4902" s="500" t="s">
        <v>759</v>
      </c>
      <c r="E4902" s="501">
        <v>-95026809.760000005</v>
      </c>
      <c r="F4902" s="502" t="s">
        <v>878</v>
      </c>
      <c r="G4902" s="100">
        <v>115179282</v>
      </c>
      <c r="H4902" s="530"/>
      <c r="I4902" s="525" t="s">
        <v>816</v>
      </c>
      <c r="J4902" s="484"/>
      <c r="K4902" s="548"/>
      <c r="L4902" s="548"/>
      <c r="M4902" s="548"/>
      <c r="N4902" s="552"/>
    </row>
    <row r="4903" spans="1:14">
      <c r="A4903" s="499">
        <v>45646</v>
      </c>
      <c r="B4903" s="499">
        <v>45646</v>
      </c>
      <c r="C4903" s="500" t="s">
        <v>173</v>
      </c>
      <c r="D4903" s="500" t="s">
        <v>759</v>
      </c>
      <c r="E4903" s="501">
        <v>-51029053.68</v>
      </c>
      <c r="F4903" s="502" t="s">
        <v>878</v>
      </c>
      <c r="G4903" s="100">
        <v>115179285</v>
      </c>
      <c r="H4903" s="530"/>
      <c r="I4903" s="525" t="s">
        <v>823</v>
      </c>
      <c r="J4903" s="484"/>
      <c r="K4903" s="548"/>
      <c r="L4903" s="548"/>
      <c r="M4903" s="548"/>
      <c r="N4903" s="552"/>
    </row>
    <row r="4904" spans="1:14">
      <c r="A4904" s="499">
        <v>45646</v>
      </c>
      <c r="B4904" s="499">
        <v>45646</v>
      </c>
      <c r="C4904" s="500" t="s">
        <v>173</v>
      </c>
      <c r="D4904" s="500" t="s">
        <v>759</v>
      </c>
      <c r="E4904" s="501">
        <v>-8000513.5700000003</v>
      </c>
      <c r="F4904" s="502" t="s">
        <v>878</v>
      </c>
      <c r="G4904" s="100">
        <v>115179384</v>
      </c>
      <c r="H4904" s="530"/>
      <c r="I4904" s="525" t="s">
        <v>1018</v>
      </c>
      <c r="J4904" s="484"/>
      <c r="K4904" s="548"/>
      <c r="L4904" s="548"/>
      <c r="M4904" s="548"/>
      <c r="N4904" s="552"/>
    </row>
    <row r="4905" spans="1:14">
      <c r="A4905" s="499">
        <v>45646</v>
      </c>
      <c r="B4905" s="499">
        <v>45649</v>
      </c>
      <c r="C4905" s="500" t="s">
        <v>173</v>
      </c>
      <c r="D4905" s="500" t="s">
        <v>759</v>
      </c>
      <c r="E4905" s="501">
        <v>1001334.17</v>
      </c>
      <c r="F4905" s="502" t="s">
        <v>878</v>
      </c>
      <c r="G4905" s="100">
        <v>115179056</v>
      </c>
      <c r="H4905" s="100">
        <v>115179056</v>
      </c>
      <c r="I4905" s="525" t="s">
        <v>598</v>
      </c>
      <c r="J4905" s="484"/>
      <c r="K4905" s="548"/>
      <c r="L4905" s="548"/>
      <c r="M4905" s="548"/>
      <c r="N4905" s="552"/>
    </row>
    <row r="4906" spans="1:14">
      <c r="A4906" s="499">
        <v>45646</v>
      </c>
      <c r="B4906" s="499">
        <v>45649</v>
      </c>
      <c r="C4906" s="500" t="s">
        <v>173</v>
      </c>
      <c r="D4906" s="500" t="s">
        <v>759</v>
      </c>
      <c r="E4906" s="501">
        <v>1001945.63</v>
      </c>
      <c r="F4906" s="502" t="s">
        <v>878</v>
      </c>
      <c r="G4906" s="100">
        <v>115179059</v>
      </c>
      <c r="H4906" s="100">
        <v>115179059</v>
      </c>
      <c r="I4906" s="525" t="s">
        <v>592</v>
      </c>
      <c r="J4906" s="484"/>
      <c r="K4906" s="548"/>
      <c r="L4906" s="548"/>
      <c r="M4906" s="548"/>
      <c r="N4906" s="552"/>
    </row>
    <row r="4907" spans="1:14">
      <c r="A4907" s="499">
        <v>45646</v>
      </c>
      <c r="B4907" s="499">
        <v>45649</v>
      </c>
      <c r="C4907" s="500" t="s">
        <v>173</v>
      </c>
      <c r="D4907" s="500" t="s">
        <v>759</v>
      </c>
      <c r="E4907" s="501">
        <v>1002133.59</v>
      </c>
      <c r="F4907" s="502" t="s">
        <v>878</v>
      </c>
      <c r="G4907" s="100">
        <v>115179062</v>
      </c>
      <c r="H4907" s="100">
        <v>115179062</v>
      </c>
      <c r="I4907" s="525" t="s">
        <v>676</v>
      </c>
      <c r="J4907" s="484"/>
      <c r="K4907" s="548"/>
      <c r="L4907" s="548"/>
      <c r="M4907" s="548"/>
      <c r="N4907" s="552"/>
    </row>
    <row r="4908" spans="1:14">
      <c r="A4908" s="499">
        <v>45646</v>
      </c>
      <c r="B4908" s="499">
        <v>45649</v>
      </c>
      <c r="C4908" s="500" t="s">
        <v>173</v>
      </c>
      <c r="D4908" s="500" t="s">
        <v>759</v>
      </c>
      <c r="E4908" s="501">
        <v>1001512.15</v>
      </c>
      <c r="F4908" s="502" t="s">
        <v>878</v>
      </c>
      <c r="G4908" s="100">
        <v>115179065</v>
      </c>
      <c r="H4908" s="100">
        <v>115179065</v>
      </c>
      <c r="I4908" s="525" t="s">
        <v>696</v>
      </c>
      <c r="J4908" s="484"/>
      <c r="K4908" s="548"/>
      <c r="L4908" s="548"/>
      <c r="M4908" s="548"/>
      <c r="N4908" s="552"/>
    </row>
    <row r="4909" spans="1:14">
      <c r="A4909" s="499">
        <v>45646</v>
      </c>
      <c r="B4909" s="499">
        <v>45649</v>
      </c>
      <c r="C4909" s="500" t="s">
        <v>173</v>
      </c>
      <c r="D4909" s="500" t="s">
        <v>759</v>
      </c>
      <c r="E4909" s="501">
        <v>1001524.14</v>
      </c>
      <c r="F4909" s="502" t="s">
        <v>878</v>
      </c>
      <c r="G4909" s="100">
        <v>115179068</v>
      </c>
      <c r="H4909" s="100">
        <v>115179068</v>
      </c>
      <c r="I4909" s="525" t="s">
        <v>695</v>
      </c>
      <c r="J4909" s="484"/>
      <c r="K4909" s="548"/>
      <c r="L4909" s="548"/>
      <c r="M4909" s="548"/>
      <c r="N4909" s="552"/>
    </row>
    <row r="4910" spans="1:14">
      <c r="A4910" s="499">
        <v>45646</v>
      </c>
      <c r="B4910" s="499">
        <v>45649</v>
      </c>
      <c r="C4910" s="500" t="s">
        <v>173</v>
      </c>
      <c r="D4910" s="500" t="s">
        <v>759</v>
      </c>
      <c r="E4910" s="501">
        <v>1001281.21</v>
      </c>
      <c r="F4910" s="502" t="s">
        <v>878</v>
      </c>
      <c r="G4910" s="100">
        <v>115179071</v>
      </c>
      <c r="H4910" s="100">
        <v>115179071</v>
      </c>
      <c r="I4910" s="525" t="s">
        <v>550</v>
      </c>
      <c r="J4910" s="484"/>
      <c r="K4910" s="548"/>
      <c r="L4910" s="548"/>
      <c r="M4910" s="548"/>
      <c r="N4910" s="552"/>
    </row>
    <row r="4911" spans="1:14">
      <c r="A4911" s="499">
        <v>45646</v>
      </c>
      <c r="B4911" s="499">
        <v>45649</v>
      </c>
      <c r="C4911" s="500" t="s">
        <v>173</v>
      </c>
      <c r="D4911" s="500" t="s">
        <v>759</v>
      </c>
      <c r="E4911" s="501">
        <v>1001695.15</v>
      </c>
      <c r="F4911" s="502" t="s">
        <v>878</v>
      </c>
      <c r="G4911" s="100">
        <v>115179074</v>
      </c>
      <c r="H4911" s="100">
        <v>115179074</v>
      </c>
      <c r="I4911" s="525" t="s">
        <v>602</v>
      </c>
      <c r="J4911" s="484"/>
      <c r="K4911" s="548"/>
      <c r="L4911" s="548"/>
      <c r="M4911" s="548"/>
      <c r="N4911" s="552"/>
    </row>
    <row r="4912" spans="1:14">
      <c r="A4912" s="499">
        <v>45646</v>
      </c>
      <c r="B4912" s="499">
        <v>45649</v>
      </c>
      <c r="C4912" s="500" t="s">
        <v>173</v>
      </c>
      <c r="D4912" s="500" t="s">
        <v>759</v>
      </c>
      <c r="E4912" s="501">
        <v>1001945.63</v>
      </c>
      <c r="F4912" s="502" t="s">
        <v>878</v>
      </c>
      <c r="G4912" s="100">
        <v>115179077</v>
      </c>
      <c r="H4912" s="100">
        <v>115179077</v>
      </c>
      <c r="I4912" s="525" t="s">
        <v>592</v>
      </c>
      <c r="J4912" s="484"/>
      <c r="K4912" s="548"/>
      <c r="L4912" s="548"/>
      <c r="M4912" s="548"/>
      <c r="N4912" s="552"/>
    </row>
    <row r="4913" spans="1:14">
      <c r="A4913" s="499">
        <v>45646</v>
      </c>
      <c r="B4913" s="499">
        <v>45649</v>
      </c>
      <c r="C4913" s="500" t="s">
        <v>173</v>
      </c>
      <c r="D4913" s="500" t="s">
        <v>759</v>
      </c>
      <c r="E4913" s="501">
        <v>1001355.29</v>
      </c>
      <c r="F4913" s="502" t="s">
        <v>878</v>
      </c>
      <c r="G4913" s="100">
        <v>115179080</v>
      </c>
      <c r="H4913" s="100">
        <v>115179080</v>
      </c>
      <c r="I4913" s="525" t="s">
        <v>588</v>
      </c>
      <c r="J4913" s="484"/>
      <c r="K4913" s="548"/>
      <c r="L4913" s="548"/>
      <c r="M4913" s="548"/>
      <c r="N4913" s="552"/>
    </row>
    <row r="4914" spans="1:14">
      <c r="A4914" s="499">
        <v>45646</v>
      </c>
      <c r="B4914" s="499">
        <v>45649</v>
      </c>
      <c r="C4914" s="500" t="s">
        <v>173</v>
      </c>
      <c r="D4914" s="500" t="s">
        <v>759</v>
      </c>
      <c r="E4914" s="501">
        <v>1001292.81</v>
      </c>
      <c r="F4914" s="502" t="s">
        <v>878</v>
      </c>
      <c r="G4914" s="100">
        <v>115179083</v>
      </c>
      <c r="H4914" s="100">
        <v>115179083</v>
      </c>
      <c r="I4914" s="525" t="s">
        <v>525</v>
      </c>
      <c r="J4914" s="484"/>
      <c r="K4914" s="548"/>
      <c r="L4914" s="548"/>
      <c r="M4914" s="548"/>
      <c r="N4914" s="552"/>
    </row>
    <row r="4915" spans="1:14">
      <c r="A4915" s="499">
        <v>45646</v>
      </c>
      <c r="B4915" s="499">
        <v>45649</v>
      </c>
      <c r="C4915" s="500" t="s">
        <v>173</v>
      </c>
      <c r="D4915" s="500" t="s">
        <v>759</v>
      </c>
      <c r="E4915" s="501">
        <v>1001392.25</v>
      </c>
      <c r="F4915" s="502" t="s">
        <v>878</v>
      </c>
      <c r="G4915" s="100">
        <v>115179086</v>
      </c>
      <c r="H4915" s="100">
        <v>115179086</v>
      </c>
      <c r="I4915" s="525" t="s">
        <v>596</v>
      </c>
      <c r="J4915" s="484"/>
      <c r="K4915" s="548"/>
      <c r="L4915" s="548"/>
      <c r="M4915" s="548"/>
      <c r="N4915" s="552"/>
    </row>
    <row r="4916" spans="1:14">
      <c r="A4916" s="499">
        <v>45646</v>
      </c>
      <c r="B4916" s="499">
        <v>45649</v>
      </c>
      <c r="C4916" s="500" t="s">
        <v>173</v>
      </c>
      <c r="D4916" s="500" t="s">
        <v>759</v>
      </c>
      <c r="E4916" s="501">
        <v>2004255.21</v>
      </c>
      <c r="F4916" s="502" t="s">
        <v>878</v>
      </c>
      <c r="G4916" s="100">
        <v>115179089</v>
      </c>
      <c r="H4916" s="100">
        <v>115179089</v>
      </c>
      <c r="I4916" s="525" t="s">
        <v>648</v>
      </c>
      <c r="J4916" s="484"/>
      <c r="K4916" s="548"/>
      <c r="L4916" s="548"/>
      <c r="M4916" s="548"/>
      <c r="N4916" s="552"/>
    </row>
    <row r="4917" spans="1:14">
      <c r="A4917" s="499">
        <v>45646</v>
      </c>
      <c r="B4917" s="499">
        <v>45649</v>
      </c>
      <c r="C4917" s="500" t="s">
        <v>173</v>
      </c>
      <c r="D4917" s="500" t="s">
        <v>759</v>
      </c>
      <c r="E4917" s="501">
        <v>2003792.76</v>
      </c>
      <c r="F4917" s="502" t="s">
        <v>878</v>
      </c>
      <c r="G4917" s="100">
        <v>115179092</v>
      </c>
      <c r="H4917" s="100">
        <v>115179092</v>
      </c>
      <c r="I4917" s="525" t="s">
        <v>604</v>
      </c>
      <c r="J4917" s="484"/>
      <c r="K4917" s="548"/>
      <c r="L4917" s="548"/>
      <c r="M4917" s="548"/>
      <c r="N4917" s="552"/>
    </row>
    <row r="4918" spans="1:14">
      <c r="A4918" s="499">
        <v>45646</v>
      </c>
      <c r="B4918" s="499">
        <v>45649</v>
      </c>
      <c r="C4918" s="500" t="s">
        <v>173</v>
      </c>
      <c r="D4918" s="500" t="s">
        <v>759</v>
      </c>
      <c r="E4918" s="501">
        <v>3004693.9</v>
      </c>
      <c r="F4918" s="502" t="s">
        <v>878</v>
      </c>
      <c r="G4918" s="100">
        <v>115179095</v>
      </c>
      <c r="H4918" s="100">
        <v>115179095</v>
      </c>
      <c r="I4918" s="525" t="s">
        <v>817</v>
      </c>
      <c r="J4918" s="484"/>
      <c r="K4918" s="548"/>
      <c r="L4918" s="548"/>
      <c r="M4918" s="548"/>
      <c r="N4918" s="552"/>
    </row>
    <row r="4919" spans="1:14">
      <c r="A4919" s="499">
        <v>45646</v>
      </c>
      <c r="B4919" s="499">
        <v>45649</v>
      </c>
      <c r="C4919" s="500" t="s">
        <v>173</v>
      </c>
      <c r="D4919" s="500" t="s">
        <v>759</v>
      </c>
      <c r="E4919" s="501">
        <v>3005085.45</v>
      </c>
      <c r="F4919" s="502" t="s">
        <v>878</v>
      </c>
      <c r="G4919" s="100">
        <v>115179098</v>
      </c>
      <c r="H4919" s="100">
        <v>115179098</v>
      </c>
      <c r="I4919" s="525" t="s">
        <v>602</v>
      </c>
      <c r="J4919" s="484"/>
      <c r="K4919" s="548"/>
      <c r="L4919" s="548"/>
      <c r="M4919" s="548"/>
      <c r="N4919" s="552"/>
    </row>
    <row r="4920" spans="1:14">
      <c r="A4920" s="499">
        <v>45646</v>
      </c>
      <c r="B4920" s="499">
        <v>45649</v>
      </c>
      <c r="C4920" s="500" t="s">
        <v>173</v>
      </c>
      <c r="D4920" s="500" t="s">
        <v>759</v>
      </c>
      <c r="E4920" s="501">
        <v>4007585.51</v>
      </c>
      <c r="F4920" s="502" t="s">
        <v>878</v>
      </c>
      <c r="G4920" s="100">
        <v>115179101</v>
      </c>
      <c r="H4920" s="100">
        <v>115179101</v>
      </c>
      <c r="I4920" s="525" t="s">
        <v>604</v>
      </c>
      <c r="J4920" s="484"/>
      <c r="K4920" s="548"/>
      <c r="L4920" s="548"/>
      <c r="M4920" s="548"/>
      <c r="N4920" s="552"/>
    </row>
    <row r="4921" spans="1:14">
      <c r="A4921" s="499">
        <v>45646</v>
      </c>
      <c r="B4921" s="499">
        <v>45649</v>
      </c>
      <c r="C4921" s="500" t="s">
        <v>173</v>
      </c>
      <c r="D4921" s="500" t="s">
        <v>759</v>
      </c>
      <c r="E4921" s="501">
        <v>4007782.49</v>
      </c>
      <c r="F4921" s="502" t="s">
        <v>878</v>
      </c>
      <c r="G4921" s="100">
        <v>115179104</v>
      </c>
      <c r="H4921" s="100">
        <v>115179104</v>
      </c>
      <c r="I4921" s="525" t="s">
        <v>592</v>
      </c>
      <c r="J4921" s="484"/>
      <c r="K4921" s="548"/>
      <c r="L4921" s="548"/>
      <c r="M4921" s="548"/>
      <c r="N4921" s="552"/>
    </row>
    <row r="4922" spans="1:14">
      <c r="A4922" s="499">
        <v>45646</v>
      </c>
      <c r="B4922" s="499">
        <v>45649</v>
      </c>
      <c r="C4922" s="500" t="s">
        <v>173</v>
      </c>
      <c r="D4922" s="500" t="s">
        <v>759</v>
      </c>
      <c r="E4922" s="501">
        <v>4008510.42</v>
      </c>
      <c r="F4922" s="502" t="s">
        <v>878</v>
      </c>
      <c r="G4922" s="100">
        <v>115179107</v>
      </c>
      <c r="H4922" s="100">
        <v>115179107</v>
      </c>
      <c r="I4922" s="525" t="s">
        <v>648</v>
      </c>
      <c r="J4922" s="484"/>
      <c r="K4922" s="548"/>
      <c r="L4922" s="548"/>
      <c r="M4922" s="548"/>
      <c r="N4922" s="552"/>
    </row>
    <row r="4923" spans="1:14">
      <c r="A4923" s="499">
        <v>45646</v>
      </c>
      <c r="B4923" s="499">
        <v>45649</v>
      </c>
      <c r="C4923" s="500" t="s">
        <v>173</v>
      </c>
      <c r="D4923" s="500" t="s">
        <v>759</v>
      </c>
      <c r="E4923" s="501">
        <v>5010404.84</v>
      </c>
      <c r="F4923" s="502" t="s">
        <v>878</v>
      </c>
      <c r="G4923" s="100">
        <v>115179110</v>
      </c>
      <c r="H4923" s="100">
        <v>115179110</v>
      </c>
      <c r="I4923" s="525" t="s">
        <v>709</v>
      </c>
      <c r="J4923" s="484"/>
      <c r="K4923" s="548"/>
      <c r="L4923" s="548"/>
      <c r="M4923" s="548"/>
      <c r="N4923" s="552"/>
    </row>
    <row r="4924" spans="1:14">
      <c r="A4924" s="499">
        <v>45646</v>
      </c>
      <c r="B4924" s="499">
        <v>45649</v>
      </c>
      <c r="C4924" s="500" t="s">
        <v>173</v>
      </c>
      <c r="D4924" s="500" t="s">
        <v>759</v>
      </c>
      <c r="E4924" s="501">
        <v>5010667.93</v>
      </c>
      <c r="F4924" s="502" t="s">
        <v>878</v>
      </c>
      <c r="G4924" s="100">
        <v>115179113</v>
      </c>
      <c r="H4924" s="100">
        <v>115179113</v>
      </c>
      <c r="I4924" s="525" t="s">
        <v>676</v>
      </c>
      <c r="J4924" s="484"/>
      <c r="K4924" s="548"/>
      <c r="L4924" s="548"/>
      <c r="M4924" s="548"/>
      <c r="N4924" s="552"/>
    </row>
    <row r="4925" spans="1:14">
      <c r="A4925" s="499">
        <v>45646</v>
      </c>
      <c r="B4925" s="499">
        <v>45649</v>
      </c>
      <c r="C4925" s="500" t="s">
        <v>173</v>
      </c>
      <c r="D4925" s="500" t="s">
        <v>759</v>
      </c>
      <c r="E4925" s="501">
        <v>5006492.49</v>
      </c>
      <c r="F4925" s="502" t="s">
        <v>878</v>
      </c>
      <c r="G4925" s="100">
        <v>115179116</v>
      </c>
      <c r="H4925" s="100">
        <v>115179116</v>
      </c>
      <c r="I4925" s="525" t="s">
        <v>600</v>
      </c>
      <c r="J4925" s="484"/>
      <c r="K4925" s="548"/>
      <c r="L4925" s="548"/>
      <c r="M4925" s="548"/>
      <c r="N4925" s="552"/>
    </row>
    <row r="4926" spans="1:14">
      <c r="A4926" s="499">
        <v>45646</v>
      </c>
      <c r="B4926" s="499">
        <v>45649</v>
      </c>
      <c r="C4926" s="500" t="s">
        <v>173</v>
      </c>
      <c r="D4926" s="500" t="s">
        <v>759</v>
      </c>
      <c r="E4926" s="501">
        <v>5007498.82</v>
      </c>
      <c r="F4926" s="502" t="s">
        <v>878</v>
      </c>
      <c r="G4926" s="100">
        <v>115179119</v>
      </c>
      <c r="H4926" s="100">
        <v>115179119</v>
      </c>
      <c r="I4926" s="525" t="s">
        <v>816</v>
      </c>
      <c r="J4926" s="484"/>
      <c r="K4926" s="548"/>
      <c r="L4926" s="548"/>
      <c r="M4926" s="548"/>
      <c r="N4926" s="552"/>
    </row>
    <row r="4927" spans="1:14">
      <c r="A4927" s="499">
        <v>45646</v>
      </c>
      <c r="B4927" s="499">
        <v>45649</v>
      </c>
      <c r="C4927" s="500" t="s">
        <v>173</v>
      </c>
      <c r="D4927" s="500" t="s">
        <v>759</v>
      </c>
      <c r="E4927" s="501">
        <v>7008968.4900000002</v>
      </c>
      <c r="F4927" s="502" t="s">
        <v>878</v>
      </c>
      <c r="G4927" s="100">
        <v>115179122</v>
      </c>
      <c r="H4927" s="100">
        <v>115179122</v>
      </c>
      <c r="I4927" s="525" t="s">
        <v>550</v>
      </c>
      <c r="J4927" s="484"/>
      <c r="K4927" s="548"/>
      <c r="L4927" s="548"/>
      <c r="M4927" s="548"/>
      <c r="N4927" s="552"/>
    </row>
    <row r="4928" spans="1:14">
      <c r="A4928" s="499">
        <v>45646</v>
      </c>
      <c r="B4928" s="499">
        <v>45649</v>
      </c>
      <c r="C4928" s="500" t="s">
        <v>173</v>
      </c>
      <c r="D4928" s="500" t="s">
        <v>759</v>
      </c>
      <c r="E4928" s="501">
        <v>7014935.0999999996</v>
      </c>
      <c r="F4928" s="502" t="s">
        <v>878</v>
      </c>
      <c r="G4928" s="100">
        <v>115179125</v>
      </c>
      <c r="H4928" s="100">
        <v>115179125</v>
      </c>
      <c r="I4928" s="525" t="s">
        <v>676</v>
      </c>
      <c r="J4928" s="484"/>
      <c r="K4928" s="548"/>
      <c r="L4928" s="548"/>
      <c r="M4928" s="548"/>
      <c r="N4928" s="552"/>
    </row>
    <row r="4929" spans="1:14">
      <c r="A4929" s="499">
        <v>45646</v>
      </c>
      <c r="B4929" s="499">
        <v>45649</v>
      </c>
      <c r="C4929" s="500" t="s">
        <v>173</v>
      </c>
      <c r="D4929" s="500" t="s">
        <v>759</v>
      </c>
      <c r="E4929" s="501">
        <v>7010668.9400000004</v>
      </c>
      <c r="F4929" s="502" t="s">
        <v>878</v>
      </c>
      <c r="G4929" s="100">
        <v>115179128</v>
      </c>
      <c r="H4929" s="100">
        <v>115179128</v>
      </c>
      <c r="I4929" s="525" t="s">
        <v>695</v>
      </c>
      <c r="J4929" s="484"/>
      <c r="K4929" s="548"/>
      <c r="L4929" s="548"/>
      <c r="M4929" s="548"/>
      <c r="N4929" s="552"/>
    </row>
    <row r="4930" spans="1:14">
      <c r="A4930" s="499">
        <v>45646</v>
      </c>
      <c r="B4930" s="499">
        <v>45649</v>
      </c>
      <c r="C4930" s="500" t="s">
        <v>173</v>
      </c>
      <c r="D4930" s="500" t="s">
        <v>759</v>
      </c>
      <c r="E4930" s="501">
        <v>7014515.8600000003</v>
      </c>
      <c r="F4930" s="502" t="s">
        <v>878</v>
      </c>
      <c r="G4930" s="100">
        <v>115179131</v>
      </c>
      <c r="H4930" s="100">
        <v>115179131</v>
      </c>
      <c r="I4930" s="525" t="s">
        <v>821</v>
      </c>
      <c r="J4930" s="484"/>
      <c r="K4930" s="548"/>
      <c r="L4930" s="548"/>
      <c r="M4930" s="548"/>
      <c r="N4930" s="552"/>
    </row>
    <row r="4931" spans="1:14">
      <c r="A4931" s="499">
        <v>45646</v>
      </c>
      <c r="B4931" s="499">
        <v>45649</v>
      </c>
      <c r="C4931" s="500" t="s">
        <v>173</v>
      </c>
      <c r="D4931" s="500" t="s">
        <v>759</v>
      </c>
      <c r="E4931" s="501">
        <v>7010705.7400000002</v>
      </c>
      <c r="F4931" s="502" t="s">
        <v>878</v>
      </c>
      <c r="G4931" s="100">
        <v>115179134</v>
      </c>
      <c r="H4931" s="100">
        <v>115179134</v>
      </c>
      <c r="I4931" s="525" t="s">
        <v>674</v>
      </c>
      <c r="J4931" s="484"/>
      <c r="K4931" s="548"/>
      <c r="L4931" s="548"/>
      <c r="M4931" s="548"/>
      <c r="N4931" s="552"/>
    </row>
    <row r="4932" spans="1:14">
      <c r="A4932" s="499">
        <v>45646</v>
      </c>
      <c r="B4932" s="499">
        <v>45649</v>
      </c>
      <c r="C4932" s="500" t="s">
        <v>173</v>
      </c>
      <c r="D4932" s="500" t="s">
        <v>759</v>
      </c>
      <c r="E4932" s="501">
        <v>8012097.1900000004</v>
      </c>
      <c r="F4932" s="502" t="s">
        <v>878</v>
      </c>
      <c r="G4932" s="100">
        <v>115179137</v>
      </c>
      <c r="H4932" s="100">
        <v>115179137</v>
      </c>
      <c r="I4932" s="525" t="s">
        <v>696</v>
      </c>
      <c r="J4932" s="484"/>
      <c r="K4932" s="548"/>
      <c r="L4932" s="548"/>
      <c r="M4932" s="548"/>
      <c r="N4932" s="552"/>
    </row>
    <row r="4933" spans="1:14">
      <c r="A4933" s="499">
        <v>45646</v>
      </c>
      <c r="B4933" s="499">
        <v>45649</v>
      </c>
      <c r="C4933" s="500" t="s">
        <v>173</v>
      </c>
      <c r="D4933" s="500" t="s">
        <v>759</v>
      </c>
      <c r="E4933" s="501">
        <v>9013609.3499999996</v>
      </c>
      <c r="F4933" s="502" t="s">
        <v>878</v>
      </c>
      <c r="G4933" s="100">
        <v>115179140</v>
      </c>
      <c r="H4933" s="100">
        <v>115179140</v>
      </c>
      <c r="I4933" s="525" t="s">
        <v>696</v>
      </c>
      <c r="J4933" s="484"/>
      <c r="K4933" s="548"/>
      <c r="L4933" s="548"/>
      <c r="M4933" s="548"/>
      <c r="N4933" s="552"/>
    </row>
    <row r="4934" spans="1:14">
      <c r="A4934" s="499">
        <v>45646</v>
      </c>
      <c r="B4934" s="499">
        <v>45649</v>
      </c>
      <c r="C4934" s="500" t="s">
        <v>173</v>
      </c>
      <c r="D4934" s="500" t="s">
        <v>759</v>
      </c>
      <c r="E4934" s="501">
        <v>9017510.6199999992</v>
      </c>
      <c r="F4934" s="502" t="s">
        <v>878</v>
      </c>
      <c r="G4934" s="100">
        <v>115179143</v>
      </c>
      <c r="H4934" s="100">
        <v>115179143</v>
      </c>
      <c r="I4934" s="525" t="s">
        <v>592</v>
      </c>
      <c r="J4934" s="484"/>
      <c r="K4934" s="548"/>
      <c r="L4934" s="548"/>
      <c r="M4934" s="548"/>
      <c r="N4934" s="552"/>
    </row>
    <row r="4935" spans="1:14">
      <c r="A4935" s="499">
        <v>45646</v>
      </c>
      <c r="B4935" s="499">
        <v>45649</v>
      </c>
      <c r="C4935" s="500" t="s">
        <v>173</v>
      </c>
      <c r="D4935" s="500" t="s">
        <v>759</v>
      </c>
      <c r="E4935" s="501">
        <v>10012812.119999999</v>
      </c>
      <c r="F4935" s="502" t="s">
        <v>878</v>
      </c>
      <c r="G4935" s="100">
        <v>115179146</v>
      </c>
      <c r="H4935" s="100">
        <v>115179146</v>
      </c>
      <c r="I4935" s="525" t="s">
        <v>550</v>
      </c>
      <c r="J4935" s="484"/>
      <c r="K4935" s="548"/>
      <c r="L4935" s="548"/>
      <c r="M4935" s="548"/>
      <c r="N4935" s="552"/>
    </row>
    <row r="4936" spans="1:14">
      <c r="A4936" s="499">
        <v>45646</v>
      </c>
      <c r="B4936" s="499">
        <v>45649</v>
      </c>
      <c r="C4936" s="500" t="s">
        <v>173</v>
      </c>
      <c r="D4936" s="500" t="s">
        <v>759</v>
      </c>
      <c r="E4936" s="501">
        <v>10013922.460000001</v>
      </c>
      <c r="F4936" s="502" t="s">
        <v>878</v>
      </c>
      <c r="G4936" s="100">
        <v>115179149</v>
      </c>
      <c r="H4936" s="100">
        <v>115179149</v>
      </c>
      <c r="I4936" s="525" t="s">
        <v>596</v>
      </c>
      <c r="J4936" s="484"/>
      <c r="K4936" s="548"/>
      <c r="L4936" s="548"/>
      <c r="M4936" s="548"/>
      <c r="N4936" s="552"/>
    </row>
    <row r="4937" spans="1:14">
      <c r="A4937" s="499">
        <v>45646</v>
      </c>
      <c r="B4937" s="499">
        <v>45649</v>
      </c>
      <c r="C4937" s="500" t="s">
        <v>173</v>
      </c>
      <c r="D4937" s="500" t="s">
        <v>759</v>
      </c>
      <c r="E4937" s="501">
        <v>10014997.65</v>
      </c>
      <c r="F4937" s="502" t="s">
        <v>878</v>
      </c>
      <c r="G4937" s="100">
        <v>115179152</v>
      </c>
      <c r="H4937" s="100">
        <v>115179152</v>
      </c>
      <c r="I4937" s="525" t="s">
        <v>816</v>
      </c>
      <c r="J4937" s="484"/>
      <c r="K4937" s="548"/>
      <c r="L4937" s="548"/>
      <c r="M4937" s="548"/>
      <c r="N4937" s="552"/>
    </row>
    <row r="4938" spans="1:14">
      <c r="A4938" s="499">
        <v>45646</v>
      </c>
      <c r="B4938" s="499">
        <v>45649</v>
      </c>
      <c r="C4938" s="500" t="s">
        <v>173</v>
      </c>
      <c r="D4938" s="500" t="s">
        <v>759</v>
      </c>
      <c r="E4938" s="501">
        <v>11022890.630000001</v>
      </c>
      <c r="F4938" s="502" t="s">
        <v>878</v>
      </c>
      <c r="G4938" s="100">
        <v>115179155</v>
      </c>
      <c r="H4938" s="100">
        <v>115179155</v>
      </c>
      <c r="I4938" s="525" t="s">
        <v>709</v>
      </c>
      <c r="J4938" s="484"/>
      <c r="K4938" s="548"/>
      <c r="L4938" s="548"/>
      <c r="M4938" s="548"/>
      <c r="N4938" s="552"/>
    </row>
    <row r="4939" spans="1:14">
      <c r="A4939" s="499">
        <v>45646</v>
      </c>
      <c r="B4939" s="499">
        <v>45649</v>
      </c>
      <c r="C4939" s="500" t="s">
        <v>173</v>
      </c>
      <c r="D4939" s="500" t="s">
        <v>759</v>
      </c>
      <c r="E4939" s="501">
        <v>13016806.470000001</v>
      </c>
      <c r="F4939" s="502" t="s">
        <v>878</v>
      </c>
      <c r="G4939" s="100">
        <v>115179158</v>
      </c>
      <c r="H4939" s="100">
        <v>115179158</v>
      </c>
      <c r="I4939" s="525" t="s">
        <v>525</v>
      </c>
      <c r="J4939" s="484"/>
      <c r="K4939" s="548"/>
      <c r="L4939" s="548"/>
      <c r="M4939" s="548"/>
      <c r="N4939" s="552"/>
    </row>
    <row r="4940" spans="1:14">
      <c r="A4940" s="499">
        <v>45646</v>
      </c>
      <c r="B4940" s="499">
        <v>45649</v>
      </c>
      <c r="C4940" s="500" t="s">
        <v>173</v>
      </c>
      <c r="D4940" s="500" t="s">
        <v>759</v>
      </c>
      <c r="E4940" s="501">
        <v>14020996.699999999</v>
      </c>
      <c r="F4940" s="502" t="s">
        <v>878</v>
      </c>
      <c r="G4940" s="100">
        <v>115179161</v>
      </c>
      <c r="H4940" s="100">
        <v>115179161</v>
      </c>
      <c r="I4940" s="525" t="s">
        <v>816</v>
      </c>
      <c r="J4940" s="484"/>
      <c r="K4940" s="548"/>
      <c r="L4940" s="548"/>
      <c r="M4940" s="548"/>
      <c r="N4940" s="552"/>
    </row>
    <row r="4941" spans="1:14">
      <c r="A4941" s="499">
        <v>45646</v>
      </c>
      <c r="B4941" s="499">
        <v>45649</v>
      </c>
      <c r="C4941" s="500" t="s">
        <v>173</v>
      </c>
      <c r="D4941" s="500" t="s">
        <v>759</v>
      </c>
      <c r="E4941" s="501">
        <v>15024981.5</v>
      </c>
      <c r="F4941" s="502" t="s">
        <v>878</v>
      </c>
      <c r="G4941" s="100">
        <v>115179164</v>
      </c>
      <c r="H4941" s="100">
        <v>115179164</v>
      </c>
      <c r="I4941" s="525" t="s">
        <v>824</v>
      </c>
      <c r="J4941" s="484"/>
      <c r="K4941" s="548"/>
      <c r="L4941" s="548"/>
      <c r="M4941" s="548"/>
      <c r="N4941" s="552"/>
    </row>
    <row r="4942" spans="1:14">
      <c r="A4942" s="499">
        <v>45646</v>
      </c>
      <c r="B4942" s="499">
        <v>45649</v>
      </c>
      <c r="C4942" s="500" t="s">
        <v>173</v>
      </c>
      <c r="D4942" s="500" t="s">
        <v>759</v>
      </c>
      <c r="E4942" s="501">
        <v>15023971.49</v>
      </c>
      <c r="F4942" s="502" t="s">
        <v>878</v>
      </c>
      <c r="G4942" s="100">
        <v>115179167</v>
      </c>
      <c r="H4942" s="100">
        <v>115179167</v>
      </c>
      <c r="I4942" s="525" t="s">
        <v>819</v>
      </c>
      <c r="J4942" s="484"/>
      <c r="K4942" s="548"/>
      <c r="L4942" s="548"/>
      <c r="M4942" s="548"/>
      <c r="N4942" s="552"/>
    </row>
    <row r="4943" spans="1:14">
      <c r="A4943" s="499">
        <v>45646</v>
      </c>
      <c r="B4943" s="499">
        <v>45649</v>
      </c>
      <c r="C4943" s="500" t="s">
        <v>173</v>
      </c>
      <c r="D4943" s="500" t="s">
        <v>759</v>
      </c>
      <c r="E4943" s="501">
        <v>19040538.120000001</v>
      </c>
      <c r="F4943" s="502" t="s">
        <v>878</v>
      </c>
      <c r="G4943" s="100">
        <v>115179170</v>
      </c>
      <c r="H4943" s="100">
        <v>115179170</v>
      </c>
      <c r="I4943" s="525" t="s">
        <v>676</v>
      </c>
      <c r="J4943" s="484"/>
      <c r="K4943" s="548"/>
      <c r="L4943" s="548"/>
      <c r="M4943" s="548"/>
      <c r="N4943" s="552"/>
    </row>
    <row r="4944" spans="1:14">
      <c r="A4944" s="499">
        <v>45646</v>
      </c>
      <c r="B4944" s="499">
        <v>45649</v>
      </c>
      <c r="C4944" s="500" t="s">
        <v>173</v>
      </c>
      <c r="D4944" s="500" t="s">
        <v>759</v>
      </c>
      <c r="E4944" s="501">
        <v>20027105.739999998</v>
      </c>
      <c r="F4944" s="502" t="s">
        <v>878</v>
      </c>
      <c r="G4944" s="100">
        <v>115179173</v>
      </c>
      <c r="H4944" s="100">
        <v>115179173</v>
      </c>
      <c r="I4944" s="525" t="s">
        <v>588</v>
      </c>
      <c r="J4944" s="484"/>
      <c r="K4944" s="548"/>
      <c r="L4944" s="548"/>
      <c r="M4944" s="548"/>
      <c r="N4944" s="552"/>
    </row>
    <row r="4945" spans="1:14">
      <c r="A4945" s="499">
        <v>45646</v>
      </c>
      <c r="B4945" s="499">
        <v>45649</v>
      </c>
      <c r="C4945" s="500" t="s">
        <v>173</v>
      </c>
      <c r="D4945" s="500" t="s">
        <v>759</v>
      </c>
      <c r="E4945" s="501">
        <v>21032217.039999999</v>
      </c>
      <c r="F4945" s="502" t="s">
        <v>878</v>
      </c>
      <c r="G4945" s="100">
        <v>115179176</v>
      </c>
      <c r="H4945" s="100">
        <v>115179176</v>
      </c>
      <c r="I4945" s="525" t="s">
        <v>690</v>
      </c>
      <c r="J4945" s="484"/>
      <c r="K4945" s="548"/>
      <c r="L4945" s="548"/>
      <c r="M4945" s="548"/>
      <c r="N4945" s="552"/>
    </row>
    <row r="4946" spans="1:14">
      <c r="A4946" s="499">
        <v>45646</v>
      </c>
      <c r="B4946" s="499">
        <v>45649</v>
      </c>
      <c r="C4946" s="500" t="s">
        <v>173</v>
      </c>
      <c r="D4946" s="500" t="s">
        <v>759</v>
      </c>
      <c r="E4946" s="501">
        <v>21044805.289999999</v>
      </c>
      <c r="F4946" s="502" t="s">
        <v>878</v>
      </c>
      <c r="G4946" s="100">
        <v>115179179</v>
      </c>
      <c r="H4946" s="100">
        <v>115179179</v>
      </c>
      <c r="I4946" s="525" t="s">
        <v>676</v>
      </c>
      <c r="J4946" s="484"/>
      <c r="K4946" s="548"/>
      <c r="L4946" s="548"/>
      <c r="M4946" s="548"/>
      <c r="N4946" s="552"/>
    </row>
    <row r="4947" spans="1:14">
      <c r="A4947" s="499">
        <v>45646</v>
      </c>
      <c r="B4947" s="499">
        <v>45649</v>
      </c>
      <c r="C4947" s="500" t="s">
        <v>173</v>
      </c>
      <c r="D4947" s="500" t="s">
        <v>759</v>
      </c>
      <c r="E4947" s="501">
        <v>21042780.890000001</v>
      </c>
      <c r="F4947" s="502" t="s">
        <v>878</v>
      </c>
      <c r="G4947" s="100">
        <v>115179182</v>
      </c>
      <c r="H4947" s="100">
        <v>115179182</v>
      </c>
      <c r="I4947" s="525" t="s">
        <v>657</v>
      </c>
      <c r="J4947" s="484"/>
      <c r="K4947" s="548"/>
      <c r="L4947" s="548"/>
      <c r="M4947" s="548"/>
      <c r="N4947" s="552"/>
    </row>
    <row r="4948" spans="1:14">
      <c r="A4948" s="499">
        <v>45646</v>
      </c>
      <c r="B4948" s="499">
        <v>45649</v>
      </c>
      <c r="C4948" s="500" t="s">
        <v>173</v>
      </c>
      <c r="D4948" s="500" t="s">
        <v>759</v>
      </c>
      <c r="E4948" s="501">
        <v>23044524.25</v>
      </c>
      <c r="F4948" s="502" t="s">
        <v>878</v>
      </c>
      <c r="G4948" s="100">
        <v>115179185</v>
      </c>
      <c r="H4948" s="100">
        <v>115179185</v>
      </c>
      <c r="I4948" s="525" t="s">
        <v>590</v>
      </c>
      <c r="J4948" s="484"/>
      <c r="K4948" s="548"/>
      <c r="L4948" s="548"/>
      <c r="M4948" s="548"/>
      <c r="N4948" s="552"/>
    </row>
    <row r="4949" spans="1:14">
      <c r="A4949" s="499">
        <v>45646</v>
      </c>
      <c r="B4949" s="499">
        <v>45649</v>
      </c>
      <c r="C4949" s="500" t="s">
        <v>173</v>
      </c>
      <c r="D4949" s="500" t="s">
        <v>759</v>
      </c>
      <c r="E4949" s="501">
        <v>24036291.59</v>
      </c>
      <c r="F4949" s="502" t="s">
        <v>878</v>
      </c>
      <c r="G4949" s="100">
        <v>115179188</v>
      </c>
      <c r="H4949" s="100">
        <v>115179188</v>
      </c>
      <c r="I4949" s="525" t="s">
        <v>696</v>
      </c>
      <c r="J4949" s="484"/>
      <c r="K4949" s="548"/>
      <c r="L4949" s="548"/>
      <c r="M4949" s="548"/>
      <c r="N4949" s="552"/>
    </row>
    <row r="4950" spans="1:14">
      <c r="A4950" s="499">
        <v>45646</v>
      </c>
      <c r="B4950" s="499">
        <v>45649</v>
      </c>
      <c r="C4950" s="500" t="s">
        <v>173</v>
      </c>
      <c r="D4950" s="500" t="s">
        <v>759</v>
      </c>
      <c r="E4950" s="501">
        <v>24030749.09</v>
      </c>
      <c r="F4950" s="502" t="s">
        <v>878</v>
      </c>
      <c r="G4950" s="100">
        <v>115179191</v>
      </c>
      <c r="H4950" s="100">
        <v>115179191</v>
      </c>
      <c r="I4950" s="525" t="s">
        <v>550</v>
      </c>
      <c r="J4950" s="484"/>
      <c r="K4950" s="548"/>
      <c r="L4950" s="548"/>
      <c r="M4950" s="548"/>
      <c r="N4950" s="552"/>
    </row>
    <row r="4951" spans="1:14">
      <c r="A4951" s="499">
        <v>45646</v>
      </c>
      <c r="B4951" s="499">
        <v>45649</v>
      </c>
      <c r="C4951" s="500" t="s">
        <v>173</v>
      </c>
      <c r="D4951" s="500" t="s">
        <v>759</v>
      </c>
      <c r="E4951" s="501">
        <v>25041635.829999998</v>
      </c>
      <c r="F4951" s="502" t="s">
        <v>878</v>
      </c>
      <c r="G4951" s="100">
        <v>115179194</v>
      </c>
      <c r="H4951" s="100">
        <v>115179194</v>
      </c>
      <c r="I4951" s="525" t="s">
        <v>824</v>
      </c>
      <c r="J4951" s="484"/>
      <c r="K4951" s="548"/>
      <c r="L4951" s="548"/>
      <c r="M4951" s="548"/>
      <c r="N4951" s="552"/>
    </row>
    <row r="4952" spans="1:14">
      <c r="A4952" s="499">
        <v>45646</v>
      </c>
      <c r="B4952" s="499">
        <v>45649</v>
      </c>
      <c r="C4952" s="500" t="s">
        <v>173</v>
      </c>
      <c r="D4952" s="500" t="s">
        <v>759</v>
      </c>
      <c r="E4952" s="501">
        <v>26053916.050000001</v>
      </c>
      <c r="F4952" s="502" t="s">
        <v>878</v>
      </c>
      <c r="G4952" s="100">
        <v>115179197</v>
      </c>
      <c r="H4952" s="100">
        <v>115179197</v>
      </c>
      <c r="I4952" s="525" t="s">
        <v>821</v>
      </c>
      <c r="J4952" s="484"/>
      <c r="K4952" s="548"/>
      <c r="L4952" s="548"/>
      <c r="M4952" s="548"/>
      <c r="N4952" s="552"/>
    </row>
    <row r="4953" spans="1:14">
      <c r="A4953" s="499">
        <v>45646</v>
      </c>
      <c r="B4953" s="499">
        <v>45649</v>
      </c>
      <c r="C4953" s="500" t="s">
        <v>173</v>
      </c>
      <c r="D4953" s="500" t="s">
        <v>759</v>
      </c>
      <c r="E4953" s="501">
        <v>27046625.129999999</v>
      </c>
      <c r="F4953" s="502" t="s">
        <v>878</v>
      </c>
      <c r="G4953" s="100">
        <v>115179200</v>
      </c>
      <c r="H4953" s="100">
        <v>115179200</v>
      </c>
      <c r="I4953" s="525" t="s">
        <v>717</v>
      </c>
      <c r="J4953" s="484"/>
      <c r="K4953" s="548"/>
      <c r="L4953" s="548"/>
      <c r="M4953" s="548"/>
      <c r="N4953" s="552"/>
    </row>
    <row r="4954" spans="1:14">
      <c r="A4954" s="499">
        <v>45646</v>
      </c>
      <c r="B4954" s="499">
        <v>45649</v>
      </c>
      <c r="C4954" s="500" t="s">
        <v>173</v>
      </c>
      <c r="D4954" s="500" t="s">
        <v>759</v>
      </c>
      <c r="E4954" s="501">
        <v>29046344.879999999</v>
      </c>
      <c r="F4954" s="502" t="s">
        <v>878</v>
      </c>
      <c r="G4954" s="100">
        <v>115179203</v>
      </c>
      <c r="H4954" s="100">
        <v>115179203</v>
      </c>
      <c r="I4954" s="525" t="s">
        <v>819</v>
      </c>
      <c r="J4954" s="484"/>
      <c r="K4954" s="548"/>
      <c r="L4954" s="548"/>
      <c r="M4954" s="548"/>
      <c r="N4954" s="552"/>
    </row>
    <row r="4955" spans="1:14">
      <c r="A4955" s="499">
        <v>45646</v>
      </c>
      <c r="B4955" s="499">
        <v>45649</v>
      </c>
      <c r="C4955" s="500" t="s">
        <v>173</v>
      </c>
      <c r="D4955" s="500" t="s">
        <v>759</v>
      </c>
      <c r="E4955" s="501">
        <v>29054994.93</v>
      </c>
      <c r="F4955" s="502" t="s">
        <v>878</v>
      </c>
      <c r="G4955" s="100">
        <v>115179206</v>
      </c>
      <c r="H4955" s="100">
        <v>115179206</v>
      </c>
      <c r="I4955" s="525" t="s">
        <v>604</v>
      </c>
      <c r="J4955" s="484"/>
      <c r="K4955" s="548"/>
      <c r="L4955" s="548"/>
      <c r="M4955" s="548"/>
      <c r="N4955" s="552"/>
    </row>
    <row r="4956" spans="1:14">
      <c r="A4956" s="499">
        <v>45646</v>
      </c>
      <c r="B4956" s="499">
        <v>45649</v>
      </c>
      <c r="C4956" s="500" t="s">
        <v>173</v>
      </c>
      <c r="D4956" s="500" t="s">
        <v>759</v>
      </c>
      <c r="E4956" s="501">
        <v>37056587.460000001</v>
      </c>
      <c r="F4956" s="502" t="s">
        <v>878</v>
      </c>
      <c r="G4956" s="100">
        <v>115179209</v>
      </c>
      <c r="H4956" s="100">
        <v>115179209</v>
      </c>
      <c r="I4956" s="525" t="s">
        <v>674</v>
      </c>
      <c r="J4956" s="484"/>
      <c r="K4956" s="548"/>
      <c r="L4956" s="548"/>
      <c r="M4956" s="548"/>
      <c r="N4956" s="552"/>
    </row>
    <row r="4957" spans="1:14">
      <c r="A4957" s="499">
        <v>45646</v>
      </c>
      <c r="B4957" s="499">
        <v>45649</v>
      </c>
      <c r="C4957" s="500" t="s">
        <v>173</v>
      </c>
      <c r="D4957" s="500" t="s">
        <v>759</v>
      </c>
      <c r="E4957" s="501">
        <v>41055415.710000001</v>
      </c>
      <c r="F4957" s="502" t="s">
        <v>878</v>
      </c>
      <c r="G4957" s="100">
        <v>115179212</v>
      </c>
      <c r="H4957" s="100">
        <v>115179212</v>
      </c>
      <c r="I4957" s="525" t="s">
        <v>715</v>
      </c>
      <c r="J4957" s="484"/>
      <c r="K4957" s="548"/>
      <c r="L4957" s="548"/>
      <c r="M4957" s="548"/>
      <c r="N4957" s="552"/>
    </row>
    <row r="4958" spans="1:14">
      <c r="A4958" s="499">
        <v>45646</v>
      </c>
      <c r="B4958" s="499">
        <v>45649</v>
      </c>
      <c r="C4958" s="500" t="s">
        <v>173</v>
      </c>
      <c r="D4958" s="500" t="s">
        <v>759</v>
      </c>
      <c r="E4958" s="501">
        <v>42056922.049999997</v>
      </c>
      <c r="F4958" s="502" t="s">
        <v>878</v>
      </c>
      <c r="G4958" s="100">
        <v>115179215</v>
      </c>
      <c r="H4958" s="100">
        <v>115179215</v>
      </c>
      <c r="I4958" s="525" t="s">
        <v>588</v>
      </c>
      <c r="J4958" s="484"/>
      <c r="K4958" s="548"/>
      <c r="L4958" s="548"/>
      <c r="M4958" s="548"/>
      <c r="N4958" s="552"/>
    </row>
    <row r="4959" spans="1:14">
      <c r="A4959" s="499">
        <v>45646</v>
      </c>
      <c r="B4959" s="499">
        <v>45649</v>
      </c>
      <c r="C4959" s="500" t="s">
        <v>173</v>
      </c>
      <c r="D4959" s="500" t="s">
        <v>759</v>
      </c>
      <c r="E4959" s="501">
        <v>42065714.479999997</v>
      </c>
      <c r="F4959" s="502" t="s">
        <v>878</v>
      </c>
      <c r="G4959" s="100">
        <v>115179218</v>
      </c>
      <c r="H4959" s="100">
        <v>115179218</v>
      </c>
      <c r="I4959" s="525" t="s">
        <v>817</v>
      </c>
      <c r="J4959" s="484"/>
      <c r="K4959" s="548"/>
      <c r="L4959" s="548"/>
      <c r="M4959" s="548"/>
      <c r="N4959" s="552"/>
    </row>
    <row r="4960" spans="1:14">
      <c r="A4960" s="499">
        <v>45646</v>
      </c>
      <c r="B4960" s="499">
        <v>45649</v>
      </c>
      <c r="C4960" s="500" t="s">
        <v>173</v>
      </c>
      <c r="D4960" s="500" t="s">
        <v>759</v>
      </c>
      <c r="E4960" s="501">
        <v>44061258.82</v>
      </c>
      <c r="F4960" s="502" t="s">
        <v>878</v>
      </c>
      <c r="G4960" s="100">
        <v>115179221</v>
      </c>
      <c r="H4960" s="100">
        <v>115179221</v>
      </c>
      <c r="I4960" s="525" t="s">
        <v>596</v>
      </c>
      <c r="J4960" s="484"/>
      <c r="K4960" s="548"/>
      <c r="L4960" s="548"/>
      <c r="M4960" s="548"/>
      <c r="N4960" s="552"/>
    </row>
    <row r="4961" spans="1:14">
      <c r="A4961" s="499">
        <v>45646</v>
      </c>
      <c r="B4961" s="499">
        <v>45649</v>
      </c>
      <c r="C4961" s="500" t="s">
        <v>173</v>
      </c>
      <c r="D4961" s="500" t="s">
        <v>759</v>
      </c>
      <c r="E4961" s="501">
        <v>48064876.920000002</v>
      </c>
      <c r="F4961" s="502" t="s">
        <v>878</v>
      </c>
      <c r="G4961" s="100">
        <v>115179224</v>
      </c>
      <c r="H4961" s="100">
        <v>115179224</v>
      </c>
      <c r="I4961" s="525" t="s">
        <v>715</v>
      </c>
      <c r="J4961" s="484"/>
      <c r="K4961" s="548"/>
      <c r="L4961" s="548"/>
      <c r="M4961" s="548"/>
      <c r="N4961" s="552"/>
    </row>
    <row r="4962" spans="1:14">
      <c r="A4962" s="499">
        <v>45646</v>
      </c>
      <c r="B4962" s="499">
        <v>45649</v>
      </c>
      <c r="C4962" s="500" t="s">
        <v>173</v>
      </c>
      <c r="D4962" s="500" t="s">
        <v>759</v>
      </c>
      <c r="E4962" s="501">
        <v>48065053.780000001</v>
      </c>
      <c r="F4962" s="502" t="s">
        <v>878</v>
      </c>
      <c r="G4962" s="100">
        <v>115179227</v>
      </c>
      <c r="H4962" s="100">
        <v>115179227</v>
      </c>
      <c r="I4962" s="525" t="s">
        <v>588</v>
      </c>
      <c r="J4962" s="484"/>
      <c r="K4962" s="548"/>
      <c r="L4962" s="548"/>
      <c r="M4962" s="548"/>
      <c r="N4962" s="552"/>
    </row>
    <row r="4963" spans="1:14">
      <c r="A4963" s="499">
        <v>45646</v>
      </c>
      <c r="B4963" s="499">
        <v>45649</v>
      </c>
      <c r="C4963" s="500" t="s">
        <v>173</v>
      </c>
      <c r="D4963" s="500" t="s">
        <v>759</v>
      </c>
      <c r="E4963" s="501">
        <v>56085912.090000004</v>
      </c>
      <c r="F4963" s="502" t="s">
        <v>878</v>
      </c>
      <c r="G4963" s="100">
        <v>115179240</v>
      </c>
      <c r="H4963" s="100">
        <v>115179240</v>
      </c>
      <c r="I4963" s="525" t="s">
        <v>690</v>
      </c>
      <c r="J4963" s="484"/>
      <c r="K4963" s="548"/>
      <c r="L4963" s="548"/>
      <c r="M4963" s="548"/>
      <c r="N4963" s="552"/>
    </row>
    <row r="4964" spans="1:14">
      <c r="A4964" s="499">
        <v>45646</v>
      </c>
      <c r="B4964" s="499">
        <v>45649</v>
      </c>
      <c r="C4964" s="500" t="s">
        <v>173</v>
      </c>
      <c r="D4964" s="500" t="s">
        <v>759</v>
      </c>
      <c r="E4964" s="501">
        <v>61107117.719999999</v>
      </c>
      <c r="F4964" s="502" t="s">
        <v>878</v>
      </c>
      <c r="G4964" s="100">
        <v>115179243</v>
      </c>
      <c r="H4964" s="100">
        <v>115179243</v>
      </c>
      <c r="I4964" s="525" t="s">
        <v>711</v>
      </c>
      <c r="J4964" s="484"/>
      <c r="K4964" s="548"/>
      <c r="L4964" s="548"/>
      <c r="M4964" s="548"/>
      <c r="N4964" s="552"/>
    </row>
    <row r="4965" spans="1:14">
      <c r="A4965" s="499">
        <v>45646</v>
      </c>
      <c r="B4965" s="499">
        <v>45649</v>
      </c>
      <c r="C4965" s="500" t="s">
        <v>173</v>
      </c>
      <c r="D4965" s="500" t="s">
        <v>759</v>
      </c>
      <c r="E4965" s="501">
        <v>63130642.75</v>
      </c>
      <c r="F4965" s="502" t="s">
        <v>878</v>
      </c>
      <c r="G4965" s="100">
        <v>115179246</v>
      </c>
      <c r="H4965" s="100">
        <v>115179246</v>
      </c>
      <c r="I4965" s="525" t="s">
        <v>821</v>
      </c>
      <c r="J4965" s="484"/>
      <c r="K4965" s="548"/>
      <c r="L4965" s="548"/>
      <c r="M4965" s="548"/>
      <c r="N4965" s="552"/>
    </row>
    <row r="4966" spans="1:14">
      <c r="A4966" s="499">
        <v>45646</v>
      </c>
      <c r="B4966" s="499">
        <v>45649</v>
      </c>
      <c r="C4966" s="500" t="s">
        <v>173</v>
      </c>
      <c r="D4966" s="500" t="s">
        <v>759</v>
      </c>
      <c r="E4966" s="501">
        <v>63106794.460000001</v>
      </c>
      <c r="F4966" s="502" t="s">
        <v>878</v>
      </c>
      <c r="G4966" s="100">
        <v>115179249</v>
      </c>
      <c r="H4966" s="100">
        <v>115179249</v>
      </c>
      <c r="I4966" s="525" t="s">
        <v>602</v>
      </c>
      <c r="J4966" s="484"/>
      <c r="K4966" s="548"/>
      <c r="L4966" s="548"/>
      <c r="M4966" s="548"/>
      <c r="N4966" s="552"/>
    </row>
    <row r="4967" spans="1:14">
      <c r="A4967" s="499">
        <v>45646</v>
      </c>
      <c r="B4967" s="499">
        <v>45649</v>
      </c>
      <c r="C4967" s="500" t="s">
        <v>173</v>
      </c>
      <c r="D4967" s="500" t="s">
        <v>759</v>
      </c>
      <c r="E4967" s="501">
        <v>64123893.549999997</v>
      </c>
      <c r="F4967" s="502" t="s">
        <v>878</v>
      </c>
      <c r="G4967" s="100">
        <v>115179252</v>
      </c>
      <c r="H4967" s="100">
        <v>115179252</v>
      </c>
      <c r="I4967" s="525" t="s">
        <v>590</v>
      </c>
      <c r="J4967" s="484"/>
      <c r="K4967" s="548"/>
      <c r="L4967" s="548"/>
      <c r="M4967" s="548"/>
      <c r="N4967" s="552"/>
    </row>
    <row r="4968" spans="1:14">
      <c r="A4968" s="499">
        <v>45646</v>
      </c>
      <c r="B4968" s="499">
        <v>45649</v>
      </c>
      <c r="C4968" s="500" t="s">
        <v>173</v>
      </c>
      <c r="D4968" s="500" t="s">
        <v>759</v>
      </c>
      <c r="E4968" s="501">
        <v>68090723.239999995</v>
      </c>
      <c r="F4968" s="502" t="s">
        <v>878</v>
      </c>
      <c r="G4968" s="100">
        <v>115179255</v>
      </c>
      <c r="H4968" s="100">
        <v>115179255</v>
      </c>
      <c r="I4968" s="525" t="s">
        <v>598</v>
      </c>
      <c r="J4968" s="484"/>
      <c r="K4968" s="548"/>
      <c r="L4968" s="548"/>
      <c r="M4968" s="548"/>
      <c r="N4968" s="552"/>
    </row>
    <row r="4969" spans="1:14">
      <c r="A4969" s="499">
        <v>45646</v>
      </c>
      <c r="B4969" s="499">
        <v>45649</v>
      </c>
      <c r="C4969" s="500" t="s">
        <v>173</v>
      </c>
      <c r="D4969" s="500" t="s">
        <v>759</v>
      </c>
      <c r="E4969" s="501">
        <v>73092375.049999997</v>
      </c>
      <c r="F4969" s="502" t="s">
        <v>878</v>
      </c>
      <c r="G4969" s="100">
        <v>115179258</v>
      </c>
      <c r="H4969" s="100">
        <v>115179258</v>
      </c>
      <c r="I4969" s="525" t="s">
        <v>654</v>
      </c>
      <c r="J4969" s="484"/>
      <c r="K4969" s="548"/>
      <c r="L4969" s="548"/>
      <c r="M4969" s="548"/>
      <c r="N4969" s="552"/>
    </row>
    <row r="4970" spans="1:14">
      <c r="A4970" s="499">
        <v>45646</v>
      </c>
      <c r="B4970" s="499">
        <v>45649</v>
      </c>
      <c r="C4970" s="500" t="s">
        <v>173</v>
      </c>
      <c r="D4970" s="500" t="s">
        <v>759</v>
      </c>
      <c r="E4970" s="501">
        <v>73138435.5</v>
      </c>
      <c r="F4970" s="502" t="s">
        <v>878</v>
      </c>
      <c r="G4970" s="100">
        <v>115179261</v>
      </c>
      <c r="H4970" s="100">
        <v>115179261</v>
      </c>
      <c r="I4970" s="525" t="s">
        <v>604</v>
      </c>
      <c r="J4970" s="484"/>
      <c r="K4970" s="548"/>
      <c r="L4970" s="548"/>
      <c r="M4970" s="548"/>
      <c r="N4970" s="552"/>
    </row>
    <row r="4971" spans="1:14">
      <c r="A4971" s="499">
        <v>45646</v>
      </c>
      <c r="B4971" s="499">
        <v>45649</v>
      </c>
      <c r="C4971" s="500" t="s">
        <v>173</v>
      </c>
      <c r="D4971" s="500" t="s">
        <v>759</v>
      </c>
      <c r="E4971" s="501">
        <v>78101282.840000004</v>
      </c>
      <c r="F4971" s="502" t="s">
        <v>878</v>
      </c>
      <c r="G4971" s="100">
        <v>115179264</v>
      </c>
      <c r="H4971" s="100">
        <v>115179264</v>
      </c>
      <c r="I4971" s="525" t="s">
        <v>600</v>
      </c>
      <c r="J4971" s="484"/>
      <c r="K4971" s="548"/>
      <c r="L4971" s="548"/>
      <c r="M4971" s="548"/>
      <c r="N4971" s="552"/>
    </row>
    <row r="4972" spans="1:14">
      <c r="A4972" s="499">
        <v>45646</v>
      </c>
      <c r="B4972" s="499">
        <v>45649</v>
      </c>
      <c r="C4972" s="500" t="s">
        <v>173</v>
      </c>
      <c r="D4972" s="500" t="s">
        <v>759</v>
      </c>
      <c r="E4972" s="501">
        <v>81105178.340000004</v>
      </c>
      <c r="F4972" s="502" t="s">
        <v>878</v>
      </c>
      <c r="G4972" s="100">
        <v>115179267</v>
      </c>
      <c r="H4972" s="100">
        <v>115179267</v>
      </c>
      <c r="I4972" s="525" t="s">
        <v>600</v>
      </c>
      <c r="J4972" s="484"/>
      <c r="K4972" s="548"/>
      <c r="L4972" s="548"/>
      <c r="M4972" s="548"/>
      <c r="N4972" s="552"/>
    </row>
    <row r="4973" spans="1:14">
      <c r="A4973" s="499">
        <v>45646</v>
      </c>
      <c r="B4973" s="499">
        <v>45649</v>
      </c>
      <c r="C4973" s="500" t="s">
        <v>173</v>
      </c>
      <c r="D4973" s="500" t="s">
        <v>759</v>
      </c>
      <c r="E4973" s="501">
        <v>82114164.159999996</v>
      </c>
      <c r="F4973" s="502" t="s">
        <v>878</v>
      </c>
      <c r="G4973" s="100">
        <v>115179270</v>
      </c>
      <c r="H4973" s="100">
        <v>115179270</v>
      </c>
      <c r="I4973" s="525" t="s">
        <v>596</v>
      </c>
      <c r="J4973" s="484"/>
      <c r="K4973" s="548"/>
      <c r="L4973" s="548"/>
      <c r="M4973" s="548"/>
      <c r="N4973" s="552"/>
    </row>
    <row r="4974" spans="1:14">
      <c r="A4974" s="499">
        <v>45646</v>
      </c>
      <c r="B4974" s="499">
        <v>45649</v>
      </c>
      <c r="C4974" s="500" t="s">
        <v>173</v>
      </c>
      <c r="D4974" s="500" t="s">
        <v>759</v>
      </c>
      <c r="E4974" s="501">
        <v>85135838.430000007</v>
      </c>
      <c r="F4974" s="502" t="s">
        <v>878</v>
      </c>
      <c r="G4974" s="100">
        <v>115179273</v>
      </c>
      <c r="H4974" s="100">
        <v>115179273</v>
      </c>
      <c r="I4974" s="525" t="s">
        <v>819</v>
      </c>
      <c r="J4974" s="484"/>
      <c r="K4974" s="548"/>
      <c r="L4974" s="548"/>
      <c r="M4974" s="548"/>
      <c r="N4974" s="552"/>
    </row>
    <row r="4975" spans="1:14">
      <c r="A4975" s="499">
        <v>45646</v>
      </c>
      <c r="B4975" s="499">
        <v>45649</v>
      </c>
      <c r="C4975" s="500" t="s">
        <v>173</v>
      </c>
      <c r="D4975" s="500" t="s">
        <v>759</v>
      </c>
      <c r="E4975" s="501">
        <v>89180374.269999996</v>
      </c>
      <c r="F4975" s="502" t="s">
        <v>878</v>
      </c>
      <c r="G4975" s="100">
        <v>115179276</v>
      </c>
      <c r="H4975" s="100">
        <v>115179276</v>
      </c>
      <c r="I4975" s="525" t="s">
        <v>705</v>
      </c>
      <c r="J4975" s="484"/>
      <c r="K4975" s="548"/>
      <c r="L4975" s="548"/>
      <c r="M4975" s="548"/>
      <c r="N4975" s="552"/>
    </row>
    <row r="4976" spans="1:14">
      <c r="A4976" s="499">
        <v>45646</v>
      </c>
      <c r="B4976" s="499">
        <v>45649</v>
      </c>
      <c r="C4976" s="500" t="s">
        <v>173</v>
      </c>
      <c r="D4976" s="500" t="s">
        <v>759</v>
      </c>
      <c r="E4976" s="501">
        <v>89159095.200000003</v>
      </c>
      <c r="F4976" s="502" t="s">
        <v>878</v>
      </c>
      <c r="G4976" s="100">
        <v>115179279</v>
      </c>
      <c r="H4976" s="100">
        <v>115179279</v>
      </c>
      <c r="I4976" s="525" t="s">
        <v>823</v>
      </c>
      <c r="J4976" s="484"/>
      <c r="K4976" s="548"/>
      <c r="L4976" s="548"/>
      <c r="M4976" s="548"/>
      <c r="N4976" s="552"/>
    </row>
    <row r="4977" spans="1:14">
      <c r="A4977" s="499">
        <v>45646</v>
      </c>
      <c r="B4977" s="499">
        <v>45649</v>
      </c>
      <c r="C4977" s="500" t="s">
        <v>173</v>
      </c>
      <c r="D4977" s="500" t="s">
        <v>759</v>
      </c>
      <c r="E4977" s="501">
        <v>95142477.640000001</v>
      </c>
      <c r="F4977" s="502" t="s">
        <v>878</v>
      </c>
      <c r="G4977" s="100">
        <v>115179282</v>
      </c>
      <c r="H4977" s="100">
        <v>115179282</v>
      </c>
      <c r="I4977" s="525" t="s">
        <v>816</v>
      </c>
      <c r="J4977" s="484"/>
      <c r="K4977" s="548"/>
      <c r="L4977" s="548"/>
      <c r="M4977" s="548"/>
      <c r="N4977" s="552"/>
    </row>
    <row r="4978" spans="1:14">
      <c r="A4978" s="499">
        <v>45646</v>
      </c>
      <c r="B4978" s="499">
        <v>45649</v>
      </c>
      <c r="C4978" s="500" t="s">
        <v>173</v>
      </c>
      <c r="D4978" s="500" t="s">
        <v>759</v>
      </c>
      <c r="E4978" s="501">
        <v>51091166.909999996</v>
      </c>
      <c r="F4978" s="502" t="s">
        <v>878</v>
      </c>
      <c r="G4978" s="100">
        <v>115179285</v>
      </c>
      <c r="H4978" s="100">
        <v>115179285</v>
      </c>
      <c r="I4978" s="525" t="s">
        <v>823</v>
      </c>
      <c r="J4978" s="484"/>
      <c r="K4978" s="548"/>
      <c r="L4978" s="548"/>
      <c r="M4978" s="548"/>
      <c r="N4978" s="552"/>
    </row>
    <row r="4979" spans="1:14">
      <c r="A4979" s="499">
        <v>45646</v>
      </c>
      <c r="B4979" s="499">
        <v>45649</v>
      </c>
      <c r="C4979" s="500" t="s">
        <v>173</v>
      </c>
      <c r="D4979" s="500" t="s">
        <v>759</v>
      </c>
      <c r="E4979" s="501">
        <v>8010186.5199999996</v>
      </c>
      <c r="F4979" s="502" t="s">
        <v>878</v>
      </c>
      <c r="G4979" s="100">
        <v>115179384</v>
      </c>
      <c r="H4979" s="100">
        <v>115179384</v>
      </c>
      <c r="I4979" s="525" t="s">
        <v>1018</v>
      </c>
      <c r="J4979" s="484"/>
      <c r="K4979" s="548"/>
      <c r="L4979" s="548"/>
      <c r="M4979" s="548"/>
      <c r="N4979" s="552"/>
    </row>
    <row r="4980" spans="1:14">
      <c r="A4980" s="499">
        <v>45646</v>
      </c>
      <c r="B4980" s="499">
        <v>45646</v>
      </c>
      <c r="C4980" s="500" t="s">
        <v>173</v>
      </c>
      <c r="D4980" s="500" t="s">
        <v>760</v>
      </c>
      <c r="E4980" s="501">
        <v>-30010409.850000001</v>
      </c>
      <c r="F4980" s="502" t="s">
        <v>878</v>
      </c>
      <c r="G4980" s="100">
        <v>115179312</v>
      </c>
      <c r="H4980" s="530"/>
      <c r="I4980" s="525" t="s">
        <v>817</v>
      </c>
      <c r="J4980" s="484"/>
      <c r="K4980" s="548"/>
      <c r="L4980" s="548"/>
      <c r="M4980" s="548"/>
      <c r="N4980" s="552"/>
    </row>
    <row r="4981" spans="1:14">
      <c r="A4981" s="499">
        <v>45646</v>
      </c>
      <c r="B4981" s="499">
        <v>45646</v>
      </c>
      <c r="C4981" s="500" t="s">
        <v>173</v>
      </c>
      <c r="D4981" s="500" t="s">
        <v>760</v>
      </c>
      <c r="E4981" s="501">
        <v>-122054616.34999999</v>
      </c>
      <c r="F4981" s="502" t="s">
        <v>878</v>
      </c>
      <c r="G4981" s="100">
        <v>115179315</v>
      </c>
      <c r="H4981" s="530"/>
      <c r="I4981" s="525" t="s">
        <v>824</v>
      </c>
      <c r="J4981" s="484"/>
      <c r="K4981" s="548"/>
      <c r="L4981" s="548"/>
      <c r="M4981" s="548"/>
      <c r="N4981" s="552"/>
    </row>
    <row r="4982" spans="1:14">
      <c r="A4982" s="499">
        <v>45646</v>
      </c>
      <c r="B4982" s="499">
        <v>45646</v>
      </c>
      <c r="C4982" s="500" t="s">
        <v>173</v>
      </c>
      <c r="D4982" s="500" t="s">
        <v>760</v>
      </c>
      <c r="E4982" s="501">
        <v>-124106975.17</v>
      </c>
      <c r="F4982" s="502" t="s">
        <v>878</v>
      </c>
      <c r="G4982" s="100">
        <v>115179318</v>
      </c>
      <c r="H4982" s="530"/>
      <c r="I4982" s="525" t="s">
        <v>709</v>
      </c>
      <c r="J4982" s="484"/>
      <c r="K4982" s="548"/>
      <c r="L4982" s="548"/>
      <c r="M4982" s="548"/>
      <c r="N4982" s="552"/>
    </row>
    <row r="4983" spans="1:14">
      <c r="A4983" s="499">
        <v>45646</v>
      </c>
      <c r="B4983" s="499">
        <v>45646</v>
      </c>
      <c r="C4983" s="500" t="s">
        <v>173</v>
      </c>
      <c r="D4983" s="500" t="s">
        <v>760</v>
      </c>
      <c r="E4983" s="501">
        <v>-17001380.16</v>
      </c>
      <c r="F4983" s="502" t="s">
        <v>878</v>
      </c>
      <c r="G4983" s="100">
        <v>115179321</v>
      </c>
      <c r="H4983" s="530"/>
      <c r="I4983" s="525" t="s">
        <v>600</v>
      </c>
      <c r="J4983" s="484"/>
      <c r="K4983" s="548"/>
      <c r="L4983" s="548"/>
      <c r="M4983" s="548"/>
      <c r="N4983" s="552"/>
    </row>
    <row r="4984" spans="1:14">
      <c r="A4984" s="499">
        <v>45646</v>
      </c>
      <c r="B4984" s="499">
        <v>45646</v>
      </c>
      <c r="C4984" s="500" t="s">
        <v>173</v>
      </c>
      <c r="D4984" s="500" t="s">
        <v>760</v>
      </c>
      <c r="E4984" s="501">
        <v>-8003091.9900000002</v>
      </c>
      <c r="F4984" s="502" t="s">
        <v>878</v>
      </c>
      <c r="G4984" s="100">
        <v>115182682</v>
      </c>
      <c r="H4984" s="530"/>
      <c r="I4984" s="525" t="s">
        <v>656</v>
      </c>
      <c r="J4984" s="484"/>
      <c r="K4984" s="548"/>
      <c r="L4984" s="548"/>
      <c r="M4984" s="548"/>
      <c r="N4984" s="552"/>
    </row>
    <row r="4985" spans="1:14">
      <c r="A4985" s="499">
        <v>45646</v>
      </c>
      <c r="B4985" s="499">
        <v>45649</v>
      </c>
      <c r="C4985" s="500" t="s">
        <v>173</v>
      </c>
      <c r="D4985" s="500" t="s">
        <v>760</v>
      </c>
      <c r="E4985" s="501">
        <v>30047307.890000001</v>
      </c>
      <c r="F4985" s="502" t="s">
        <v>878</v>
      </c>
      <c r="G4985" s="100">
        <v>115179312</v>
      </c>
      <c r="H4985" s="100">
        <v>115179312</v>
      </c>
      <c r="I4985" s="525" t="s">
        <v>817</v>
      </c>
      <c r="J4985" s="484"/>
      <c r="K4985" s="548"/>
      <c r="L4985" s="548"/>
      <c r="M4985" s="548"/>
      <c r="N4985" s="552"/>
    </row>
    <row r="4986" spans="1:14">
      <c r="A4986" s="499">
        <v>45646</v>
      </c>
      <c r="B4986" s="499">
        <v>45649</v>
      </c>
      <c r="C4986" s="500" t="s">
        <v>173</v>
      </c>
      <c r="D4986" s="500" t="s">
        <v>760</v>
      </c>
      <c r="E4986" s="501">
        <v>122204683.5</v>
      </c>
      <c r="F4986" s="502" t="s">
        <v>878</v>
      </c>
      <c r="G4986" s="100">
        <v>115179315</v>
      </c>
      <c r="H4986" s="100">
        <v>115179315</v>
      </c>
      <c r="I4986" s="525" t="s">
        <v>824</v>
      </c>
      <c r="J4986" s="484"/>
      <c r="K4986" s="548"/>
      <c r="L4986" s="548"/>
      <c r="M4986" s="548"/>
      <c r="N4986" s="552"/>
    </row>
    <row r="4987" spans="1:14">
      <c r="A4987" s="499">
        <v>45646</v>
      </c>
      <c r="B4987" s="499">
        <v>45649</v>
      </c>
      <c r="C4987" s="500" t="s">
        <v>173</v>
      </c>
      <c r="D4987" s="500" t="s">
        <v>760</v>
      </c>
      <c r="E4987" s="501">
        <v>124259565.70999999</v>
      </c>
      <c r="F4987" s="502" t="s">
        <v>878</v>
      </c>
      <c r="G4987" s="100">
        <v>115179318</v>
      </c>
      <c r="H4987" s="100">
        <v>115179318</v>
      </c>
      <c r="I4987" s="525" t="s">
        <v>709</v>
      </c>
      <c r="J4987" s="484"/>
      <c r="K4987" s="548"/>
      <c r="L4987" s="548"/>
      <c r="M4987" s="548"/>
      <c r="N4987" s="552"/>
    </row>
    <row r="4988" spans="1:14">
      <c r="A4988" s="499">
        <v>45646</v>
      </c>
      <c r="B4988" s="499">
        <v>45649</v>
      </c>
      <c r="C4988" s="500" t="s">
        <v>173</v>
      </c>
      <c r="D4988" s="500" t="s">
        <v>760</v>
      </c>
      <c r="E4988" s="501">
        <v>17022283.5</v>
      </c>
      <c r="F4988" s="502" t="s">
        <v>878</v>
      </c>
      <c r="G4988" s="100">
        <v>115179321</v>
      </c>
      <c r="H4988" s="100">
        <v>115179321</v>
      </c>
      <c r="I4988" s="525" t="s">
        <v>600</v>
      </c>
      <c r="J4988" s="484"/>
      <c r="K4988" s="548"/>
      <c r="L4988" s="548"/>
      <c r="M4988" s="548"/>
      <c r="N4988" s="552"/>
    </row>
    <row r="4989" spans="1:14">
      <c r="A4989" s="499">
        <v>45646</v>
      </c>
      <c r="B4989" s="499">
        <v>45649</v>
      </c>
      <c r="C4989" s="500" t="s">
        <v>173</v>
      </c>
      <c r="D4989" s="500" t="s">
        <v>760</v>
      </c>
      <c r="E4989" s="501">
        <v>8012931.9199999999</v>
      </c>
      <c r="F4989" s="502" t="s">
        <v>878</v>
      </c>
      <c r="G4989" s="100">
        <v>115182682</v>
      </c>
      <c r="H4989" s="100">
        <v>115182682</v>
      </c>
      <c r="I4989" s="525" t="s">
        <v>656</v>
      </c>
      <c r="J4989" s="484"/>
      <c r="K4989" s="548"/>
      <c r="L4989" s="548"/>
      <c r="M4989" s="548"/>
      <c r="N4989" s="552"/>
    </row>
    <row r="4990" spans="1:14">
      <c r="A4990" s="499">
        <v>45646</v>
      </c>
      <c r="B4990" s="499">
        <v>45646</v>
      </c>
      <c r="C4990" s="500" t="s">
        <v>173</v>
      </c>
      <c r="D4990" s="500" t="s">
        <v>763</v>
      </c>
      <c r="E4990" s="501">
        <v>-5519354302.1400003</v>
      </c>
      <c r="F4990" s="502" t="s">
        <v>878</v>
      </c>
      <c r="G4990" s="100">
        <v>115178609</v>
      </c>
      <c r="H4990" s="530"/>
      <c r="I4990" s="525" t="s">
        <v>1018</v>
      </c>
      <c r="J4990" s="484"/>
      <c r="K4990" s="548"/>
      <c r="L4990" s="548"/>
      <c r="M4990" s="548"/>
      <c r="N4990" s="552"/>
    </row>
    <row r="4991" spans="1:14">
      <c r="A4991" s="499">
        <v>45646</v>
      </c>
      <c r="B4991" s="499">
        <v>45646</v>
      </c>
      <c r="C4991" s="500" t="s">
        <v>173</v>
      </c>
      <c r="D4991" s="500" t="s">
        <v>763</v>
      </c>
      <c r="E4991" s="501">
        <v>-23018836.43</v>
      </c>
      <c r="F4991" s="502" t="s">
        <v>878</v>
      </c>
      <c r="G4991" s="100">
        <v>115178748</v>
      </c>
      <c r="H4991" s="530"/>
      <c r="I4991" s="525" t="s">
        <v>657</v>
      </c>
      <c r="J4991" s="484"/>
      <c r="K4991" s="548"/>
      <c r="L4991" s="548"/>
      <c r="M4991" s="548"/>
      <c r="N4991" s="552"/>
    </row>
    <row r="4992" spans="1:14">
      <c r="A4992" s="499">
        <v>45646</v>
      </c>
      <c r="B4992" s="499">
        <v>45649</v>
      </c>
      <c r="C4992" s="500" t="s">
        <v>173</v>
      </c>
      <c r="D4992" s="500" t="s">
        <v>763</v>
      </c>
      <c r="E4992" s="501">
        <v>5526009195.7299995</v>
      </c>
      <c r="F4992" s="502" t="s">
        <v>878</v>
      </c>
      <c r="G4992" s="100">
        <v>115178609</v>
      </c>
      <c r="H4992" s="100">
        <v>115178609</v>
      </c>
      <c r="I4992" s="525" t="s">
        <v>1018</v>
      </c>
      <c r="J4992" s="484"/>
      <c r="K4992" s="548"/>
      <c r="L4992" s="548"/>
      <c r="M4992" s="548"/>
      <c r="N4992" s="552"/>
    </row>
    <row r="4993" spans="1:14">
      <c r="A4993" s="499">
        <v>45646</v>
      </c>
      <c r="B4993" s="499">
        <v>45649</v>
      </c>
      <c r="C4993" s="500" t="s">
        <v>173</v>
      </c>
      <c r="D4993" s="500" t="s">
        <v>763</v>
      </c>
      <c r="E4993" s="501">
        <v>23046591.109999999</v>
      </c>
      <c r="F4993" s="502" t="s">
        <v>878</v>
      </c>
      <c r="G4993" s="100">
        <v>115178748</v>
      </c>
      <c r="H4993" s="100">
        <v>115178748</v>
      </c>
      <c r="I4993" s="525" t="s">
        <v>657</v>
      </c>
      <c r="J4993" s="484"/>
      <c r="K4993" s="548"/>
      <c r="L4993" s="548"/>
      <c r="M4993" s="548"/>
      <c r="N4993" s="552"/>
    </row>
    <row r="4994" spans="1:14">
      <c r="A4994" s="499">
        <v>45647</v>
      </c>
      <c r="B4994" s="499">
        <v>45665</v>
      </c>
      <c r="C4994" s="500" t="s">
        <v>173</v>
      </c>
      <c r="D4994" s="500" t="s">
        <v>763</v>
      </c>
      <c r="E4994" s="501">
        <v>69224139.25</v>
      </c>
      <c r="F4994" s="502" t="s">
        <v>381</v>
      </c>
      <c r="G4994" s="100" t="s">
        <v>757</v>
      </c>
      <c r="H4994" s="530"/>
      <c r="I4994" s="525"/>
      <c r="K4994" s="548"/>
      <c r="L4994" s="548"/>
      <c r="M4994" s="548"/>
      <c r="N4994" s="552"/>
    </row>
    <row r="4995" spans="1:14">
      <c r="A4995" s="499">
        <v>45649</v>
      </c>
      <c r="B4995" s="499">
        <v>45649</v>
      </c>
      <c r="C4995" s="500" t="s">
        <v>173</v>
      </c>
      <c r="D4995" s="500" t="s">
        <v>762</v>
      </c>
      <c r="E4995" s="501">
        <v>-3437243453.02</v>
      </c>
      <c r="F4995" s="502" t="s">
        <v>878</v>
      </c>
      <c r="G4995" s="100">
        <v>115198418</v>
      </c>
      <c r="H4995" s="530"/>
      <c r="I4995" s="525" t="s">
        <v>646</v>
      </c>
      <c r="J4995" s="484"/>
      <c r="K4995" s="548"/>
      <c r="L4995" s="548"/>
      <c r="M4995" s="548"/>
      <c r="N4995" s="552"/>
    </row>
    <row r="4996" spans="1:14">
      <c r="A4996" s="499">
        <v>45649</v>
      </c>
      <c r="B4996" s="499">
        <v>45649</v>
      </c>
      <c r="C4996" s="500" t="s">
        <v>173</v>
      </c>
      <c r="D4996" s="500" t="s">
        <v>762</v>
      </c>
      <c r="E4996" s="501">
        <v>-1140939318.96</v>
      </c>
      <c r="F4996" s="502" t="s">
        <v>878</v>
      </c>
      <c r="G4996" s="100">
        <v>115198421</v>
      </c>
      <c r="H4996" s="530"/>
      <c r="I4996" s="525" t="s">
        <v>823</v>
      </c>
      <c r="J4996" s="484"/>
      <c r="K4996" s="548"/>
      <c r="L4996" s="548"/>
      <c r="M4996" s="548"/>
      <c r="N4996" s="552"/>
    </row>
    <row r="4997" spans="1:14">
      <c r="A4997" s="499">
        <v>45649</v>
      </c>
      <c r="B4997" s="499">
        <v>45649</v>
      </c>
      <c r="C4997" s="500" t="s">
        <v>173</v>
      </c>
      <c r="D4997" s="500" t="s">
        <v>762</v>
      </c>
      <c r="E4997" s="501">
        <v>-17000014.859999999</v>
      </c>
      <c r="F4997" s="502" t="s">
        <v>878</v>
      </c>
      <c r="G4997" s="100">
        <v>115198497</v>
      </c>
      <c r="H4997" s="530"/>
      <c r="I4997" s="525" t="s">
        <v>811</v>
      </c>
      <c r="J4997" s="484"/>
      <c r="K4997" s="548"/>
      <c r="L4997" s="548"/>
      <c r="M4997" s="548"/>
      <c r="N4997" s="552"/>
    </row>
    <row r="4998" spans="1:14">
      <c r="A4998" s="499">
        <v>45649</v>
      </c>
      <c r="B4998" s="499">
        <v>45650</v>
      </c>
      <c r="C4998" s="500" t="s">
        <v>173</v>
      </c>
      <c r="D4998" s="500" t="s">
        <v>762</v>
      </c>
      <c r="E4998" s="501">
        <v>3438652159.3499999</v>
      </c>
      <c r="F4998" s="502" t="s">
        <v>878</v>
      </c>
      <c r="G4998" s="100">
        <v>115198418</v>
      </c>
      <c r="H4998" s="484">
        <v>115198418</v>
      </c>
      <c r="I4998" s="525" t="s">
        <v>646</v>
      </c>
      <c r="J4998" s="484"/>
      <c r="K4998" s="548"/>
      <c r="L4998" s="548"/>
      <c r="M4998" s="548"/>
      <c r="N4998" s="552"/>
    </row>
    <row r="4999" spans="1:14">
      <c r="A4999" s="499">
        <v>45649</v>
      </c>
      <c r="B4999" s="499">
        <v>45650</v>
      </c>
      <c r="C4999" s="500" t="s">
        <v>173</v>
      </c>
      <c r="D4999" s="500" t="s">
        <v>762</v>
      </c>
      <c r="E4999" s="501">
        <v>1141406917.04</v>
      </c>
      <c r="F4999" s="502" t="s">
        <v>878</v>
      </c>
      <c r="G4999" s="100">
        <v>115198421</v>
      </c>
      <c r="H4999" s="484">
        <v>115198421</v>
      </c>
      <c r="I4999" s="525" t="s">
        <v>823</v>
      </c>
      <c r="J4999" s="484"/>
      <c r="K4999" s="548"/>
      <c r="L4999" s="548"/>
      <c r="M4999" s="548"/>
      <c r="N4999" s="552">
        <v>-1</v>
      </c>
    </row>
    <row r="5000" spans="1:14">
      <c r="A5000" s="499">
        <v>45649</v>
      </c>
      <c r="B5000" s="499">
        <v>45650</v>
      </c>
      <c r="C5000" s="500" t="s">
        <v>173</v>
      </c>
      <c r="D5000" s="500" t="s">
        <v>762</v>
      </c>
      <c r="E5000" s="501">
        <v>17006982.079999998</v>
      </c>
      <c r="F5000" s="502" t="s">
        <v>878</v>
      </c>
      <c r="G5000" s="100">
        <v>115198497</v>
      </c>
      <c r="H5000" s="484">
        <v>115198497</v>
      </c>
      <c r="I5000" s="525" t="s">
        <v>811</v>
      </c>
      <c r="J5000" s="484"/>
      <c r="K5000" s="548"/>
      <c r="L5000" s="548"/>
      <c r="M5000" s="548"/>
      <c r="N5000" s="552"/>
    </row>
    <row r="5001" spans="1:14">
      <c r="A5001" s="499">
        <v>45649</v>
      </c>
      <c r="B5001" s="499">
        <v>45649</v>
      </c>
      <c r="C5001" s="500" t="s">
        <v>173</v>
      </c>
      <c r="D5001" s="500" t="s">
        <v>761</v>
      </c>
      <c r="E5001" s="501">
        <v>-10002546.4</v>
      </c>
      <c r="F5001" s="502" t="s">
        <v>878</v>
      </c>
      <c r="G5001" s="100">
        <v>115196653</v>
      </c>
      <c r="H5001" s="530"/>
      <c r="I5001" s="525" t="s">
        <v>684</v>
      </c>
      <c r="J5001" s="484"/>
      <c r="K5001" s="548"/>
      <c r="L5001" s="548"/>
      <c r="M5001" s="548"/>
      <c r="N5001" s="552"/>
    </row>
    <row r="5002" spans="1:14">
      <c r="A5002" s="499">
        <v>45649</v>
      </c>
      <c r="B5002" s="499">
        <v>45649</v>
      </c>
      <c r="C5002" s="500" t="s">
        <v>173</v>
      </c>
      <c r="D5002" s="500" t="s">
        <v>761</v>
      </c>
      <c r="E5002" s="501">
        <v>-118067972.48</v>
      </c>
      <c r="F5002" s="502" t="s">
        <v>878</v>
      </c>
      <c r="G5002" s="100">
        <v>115196656</v>
      </c>
      <c r="H5002" s="530"/>
      <c r="I5002" s="525" t="s">
        <v>817</v>
      </c>
      <c r="J5002" s="484"/>
      <c r="K5002" s="548"/>
      <c r="L5002" s="548"/>
      <c r="M5002" s="548"/>
      <c r="N5002" s="552"/>
    </row>
    <row r="5003" spans="1:14">
      <c r="A5003" s="499">
        <v>45649</v>
      </c>
      <c r="B5003" s="499">
        <v>45649</v>
      </c>
      <c r="C5003" s="500" t="s">
        <v>173</v>
      </c>
      <c r="D5003" s="500" t="s">
        <v>761</v>
      </c>
      <c r="E5003" s="501">
        <v>-122099592.98999999</v>
      </c>
      <c r="F5003" s="502" t="s">
        <v>878</v>
      </c>
      <c r="G5003" s="100">
        <v>115196659</v>
      </c>
      <c r="H5003" s="530"/>
      <c r="I5003" s="525" t="s">
        <v>824</v>
      </c>
      <c r="J5003" s="484"/>
      <c r="K5003" s="548"/>
      <c r="L5003" s="548"/>
      <c r="M5003" s="548"/>
      <c r="N5003" s="552"/>
    </row>
    <row r="5004" spans="1:14">
      <c r="A5004" s="499">
        <v>45649</v>
      </c>
      <c r="B5004" s="499">
        <v>45649</v>
      </c>
      <c r="C5004" s="500" t="s">
        <v>173</v>
      </c>
      <c r="D5004" s="500" t="s">
        <v>761</v>
      </c>
      <c r="E5004" s="501">
        <v>-44006795.799999997</v>
      </c>
      <c r="F5004" s="502" t="s">
        <v>878</v>
      </c>
      <c r="G5004" s="100">
        <v>115196929</v>
      </c>
      <c r="H5004" s="530"/>
      <c r="I5004" s="525" t="s">
        <v>631</v>
      </c>
      <c r="J5004" s="484"/>
      <c r="K5004" s="548"/>
      <c r="L5004" s="548"/>
      <c r="M5004" s="548"/>
      <c r="N5004" s="552"/>
    </row>
    <row r="5005" spans="1:14">
      <c r="A5005" s="499">
        <v>45649</v>
      </c>
      <c r="B5005" s="499">
        <v>45649</v>
      </c>
      <c r="C5005" s="500" t="s">
        <v>173</v>
      </c>
      <c r="D5005" s="500" t="s">
        <v>761</v>
      </c>
      <c r="E5005" s="501">
        <v>-1000154.45</v>
      </c>
      <c r="F5005" s="502" t="s">
        <v>878</v>
      </c>
      <c r="G5005" s="100">
        <v>115197277</v>
      </c>
      <c r="H5005" s="530"/>
      <c r="I5005" s="525" t="s">
        <v>631</v>
      </c>
      <c r="J5005" s="484"/>
      <c r="K5005" s="548"/>
      <c r="L5005" s="548"/>
      <c r="M5005" s="548"/>
      <c r="N5005" s="552"/>
    </row>
    <row r="5006" spans="1:14">
      <c r="A5006" s="499">
        <v>45649</v>
      </c>
      <c r="B5006" s="499">
        <v>45650</v>
      </c>
      <c r="C5006" s="500" t="s">
        <v>173</v>
      </c>
      <c r="D5006" s="500" t="s">
        <v>761</v>
      </c>
      <c r="E5006" s="501">
        <v>10006618.470000001</v>
      </c>
      <c r="F5006" s="502" t="s">
        <v>878</v>
      </c>
      <c r="G5006" s="100">
        <v>115196653</v>
      </c>
      <c r="H5006" s="484">
        <v>115196653</v>
      </c>
      <c r="I5006" s="525" t="s">
        <v>684</v>
      </c>
      <c r="J5006" s="484"/>
      <c r="K5006" s="548"/>
      <c r="L5006" s="548"/>
      <c r="M5006" s="548"/>
      <c r="N5006" s="552"/>
    </row>
    <row r="5007" spans="1:14">
      <c r="A5007" s="499">
        <v>45649</v>
      </c>
      <c r="B5007" s="499">
        <v>45650</v>
      </c>
      <c r="C5007" s="500" t="s">
        <v>173</v>
      </c>
      <c r="D5007" s="500" t="s">
        <v>761</v>
      </c>
      <c r="E5007" s="501">
        <v>118116038.40000001</v>
      </c>
      <c r="F5007" s="502" t="s">
        <v>878</v>
      </c>
      <c r="G5007" s="100">
        <v>115196656</v>
      </c>
      <c r="H5007" s="484">
        <v>115196656</v>
      </c>
      <c r="I5007" s="525" t="s">
        <v>817</v>
      </c>
      <c r="J5007" s="484"/>
      <c r="K5007" s="548"/>
      <c r="L5007" s="548"/>
      <c r="M5007" s="548"/>
      <c r="N5007" s="552"/>
    </row>
    <row r="5008" spans="1:14">
      <c r="A5008" s="499">
        <v>45649</v>
      </c>
      <c r="B5008" s="499">
        <v>45650</v>
      </c>
      <c r="C5008" s="500" t="s">
        <v>173</v>
      </c>
      <c r="D5008" s="500" t="s">
        <v>761</v>
      </c>
      <c r="E5008" s="501">
        <v>122149300.2</v>
      </c>
      <c r="F5008" s="502" t="s">
        <v>878</v>
      </c>
      <c r="G5008" s="100">
        <v>115196659</v>
      </c>
      <c r="H5008" s="484">
        <v>115196659</v>
      </c>
      <c r="I5008" s="525" t="s">
        <v>824</v>
      </c>
      <c r="J5008" s="484"/>
      <c r="K5008" s="548"/>
      <c r="L5008" s="548"/>
      <c r="M5008" s="548"/>
      <c r="N5008" s="552"/>
    </row>
    <row r="5009" spans="1:25">
      <c r="A5009" s="499">
        <v>45649</v>
      </c>
      <c r="B5009" s="499">
        <v>45650</v>
      </c>
      <c r="C5009" s="500" t="s">
        <v>173</v>
      </c>
      <c r="D5009" s="500" t="s">
        <v>761</v>
      </c>
      <c r="E5009" s="501">
        <v>44024711.130000003</v>
      </c>
      <c r="F5009" s="502" t="s">
        <v>878</v>
      </c>
      <c r="G5009" s="100">
        <v>115196929</v>
      </c>
      <c r="H5009" s="484">
        <v>115196929</v>
      </c>
      <c r="I5009" s="525" t="s">
        <v>631</v>
      </c>
      <c r="J5009" s="484"/>
      <c r="K5009" s="548"/>
      <c r="L5009" s="548"/>
      <c r="M5009" s="548"/>
      <c r="N5009" s="552"/>
    </row>
    <row r="5010" spans="1:25">
      <c r="A5010" s="499">
        <v>45649</v>
      </c>
      <c r="B5010" s="499">
        <v>45650</v>
      </c>
      <c r="C5010" s="500" t="s">
        <v>173</v>
      </c>
      <c r="D5010" s="500" t="s">
        <v>761</v>
      </c>
      <c r="E5010" s="501">
        <v>1000564.35</v>
      </c>
      <c r="F5010" s="502" t="s">
        <v>878</v>
      </c>
      <c r="G5010" s="100">
        <v>115197277</v>
      </c>
      <c r="H5010" s="484">
        <v>115197277</v>
      </c>
      <c r="I5010" s="525" t="s">
        <v>631</v>
      </c>
      <c r="J5010" s="484"/>
      <c r="K5010" s="548"/>
      <c r="L5010" s="548"/>
      <c r="M5010" s="548"/>
      <c r="N5010" s="552"/>
    </row>
    <row r="5011" spans="1:25" ht="15">
      <c r="A5011" s="499">
        <v>45649</v>
      </c>
      <c r="B5011" s="499">
        <v>45651</v>
      </c>
      <c r="C5011" s="500" t="s">
        <v>173</v>
      </c>
      <c r="D5011" s="500" t="s">
        <v>761</v>
      </c>
      <c r="E5011" s="501">
        <v>-237511300</v>
      </c>
      <c r="F5011" s="502" t="s">
        <v>906</v>
      </c>
      <c r="G5011" s="502" t="s">
        <v>94</v>
      </c>
      <c r="H5011" s="100"/>
      <c r="I5011" s="525" t="s">
        <v>716</v>
      </c>
      <c r="K5011" s="548">
        <v>115205160</v>
      </c>
      <c r="L5011" s="549">
        <v>71.582099999999997</v>
      </c>
      <c r="M5011" s="549">
        <f>E5011*(-1)/(N5011*O5011)*100</f>
        <v>79.170433333333335</v>
      </c>
      <c r="N5011" s="554">
        <v>300000</v>
      </c>
      <c r="O5011" s="539">
        <f>VLOOKUP(G5011,Справочник!A:J,10,0)</f>
        <v>1000</v>
      </c>
      <c r="T5011" s="554">
        <v>13.6</v>
      </c>
      <c r="U5011" s="538">
        <v>11875.57</v>
      </c>
      <c r="V5011" s="538">
        <v>23751.13</v>
      </c>
      <c r="W5011" s="550">
        <f>VLOOKUP(G5011,Справочник!A:C,3,0)</f>
        <v>8.6999999999999994E-2</v>
      </c>
      <c r="X5011" s="539" t="str">
        <f>VLOOKUP(G5011,Справочник!A:G,7,0)</f>
        <v>Министерство финансов Республики Казахстан</v>
      </c>
      <c r="Y5011" s="551" t="str">
        <f>VLOOKUP(G5011,Справочник!A:B,2,0)</f>
        <v>11.02.2037</v>
      </c>
    </row>
    <row r="5012" spans="1:25">
      <c r="A5012" s="499">
        <v>45649</v>
      </c>
      <c r="B5012" s="499">
        <v>45649</v>
      </c>
      <c r="C5012" s="500" t="s">
        <v>173</v>
      </c>
      <c r="D5012" s="500" t="s">
        <v>759</v>
      </c>
      <c r="E5012" s="501">
        <v>-1997308436.8499999</v>
      </c>
      <c r="F5012" s="502" t="s">
        <v>878</v>
      </c>
      <c r="G5012" s="100">
        <v>115197239</v>
      </c>
      <c r="H5012" s="530"/>
      <c r="I5012" s="525" t="s">
        <v>631</v>
      </c>
      <c r="J5012" s="484"/>
      <c r="K5012" s="548"/>
      <c r="L5012" s="548"/>
      <c r="M5012" s="548"/>
      <c r="N5012" s="552"/>
    </row>
    <row r="5013" spans="1:25">
      <c r="A5013" s="499">
        <v>45649</v>
      </c>
      <c r="B5013" s="499">
        <v>45649</v>
      </c>
      <c r="C5013" s="500" t="s">
        <v>173</v>
      </c>
      <c r="D5013" s="500" t="s">
        <v>759</v>
      </c>
      <c r="E5013" s="501">
        <v>-8006015.8899999997</v>
      </c>
      <c r="F5013" s="502" t="s">
        <v>878</v>
      </c>
      <c r="G5013" s="100">
        <v>115202660</v>
      </c>
      <c r="H5013" s="530"/>
      <c r="I5013" s="525" t="s">
        <v>716</v>
      </c>
      <c r="J5013" s="484"/>
      <c r="K5013" s="548"/>
      <c r="L5013" s="548"/>
      <c r="M5013" s="548"/>
      <c r="N5013" s="552"/>
    </row>
    <row r="5014" spans="1:25">
      <c r="A5014" s="499">
        <v>45649</v>
      </c>
      <c r="B5014" s="499">
        <v>45650</v>
      </c>
      <c r="C5014" s="500" t="s">
        <v>173</v>
      </c>
      <c r="D5014" s="500" t="s">
        <v>759</v>
      </c>
      <c r="E5014" s="501">
        <v>1998127005.8800001</v>
      </c>
      <c r="F5014" s="502" t="s">
        <v>878</v>
      </c>
      <c r="G5014" s="100">
        <v>115197239</v>
      </c>
      <c r="H5014" s="100">
        <v>115197239</v>
      </c>
      <c r="I5014" s="525" t="s">
        <v>631</v>
      </c>
      <c r="J5014" s="484"/>
      <c r="K5014" s="548"/>
      <c r="L5014" s="548"/>
      <c r="M5014" s="548"/>
      <c r="N5014" s="552"/>
    </row>
    <row r="5015" spans="1:25">
      <c r="A5015" s="499">
        <v>45649</v>
      </c>
      <c r="B5015" s="499">
        <v>45650</v>
      </c>
      <c r="C5015" s="500" t="s">
        <v>173</v>
      </c>
      <c r="D5015" s="500" t="s">
        <v>759</v>
      </c>
      <c r="E5015" s="501">
        <v>8009275.1699999999</v>
      </c>
      <c r="F5015" s="502" t="s">
        <v>878</v>
      </c>
      <c r="G5015" s="100">
        <v>115202660</v>
      </c>
      <c r="H5015" s="100">
        <v>115202660</v>
      </c>
      <c r="I5015" s="525" t="s">
        <v>716</v>
      </c>
      <c r="J5015" s="484"/>
      <c r="K5015" s="548"/>
      <c r="L5015" s="548"/>
      <c r="M5015" s="548"/>
      <c r="N5015" s="552"/>
    </row>
    <row r="5016" spans="1:25">
      <c r="A5016" s="499">
        <v>45649</v>
      </c>
      <c r="B5016" s="499">
        <v>45649</v>
      </c>
      <c r="C5016" s="500" t="s">
        <v>173</v>
      </c>
      <c r="D5016" s="500" t="s">
        <v>760</v>
      </c>
      <c r="E5016" s="501">
        <v>-300046335.02999997</v>
      </c>
      <c r="F5016" s="502" t="s">
        <v>878</v>
      </c>
      <c r="G5016" s="100">
        <v>115197224</v>
      </c>
      <c r="H5016" s="530"/>
      <c r="I5016" s="525" t="s">
        <v>631</v>
      </c>
      <c r="J5016" s="484"/>
      <c r="K5016" s="548"/>
      <c r="L5016" s="548"/>
      <c r="M5016" s="548"/>
      <c r="N5016" s="552"/>
    </row>
    <row r="5017" spans="1:25">
      <c r="A5017" s="499">
        <v>45649</v>
      </c>
      <c r="B5017" s="499">
        <v>45650</v>
      </c>
      <c r="C5017" s="500" t="s">
        <v>173</v>
      </c>
      <c r="D5017" s="500" t="s">
        <v>760</v>
      </c>
      <c r="E5017" s="501">
        <v>300169304.83999997</v>
      </c>
      <c r="F5017" s="502" t="s">
        <v>878</v>
      </c>
      <c r="G5017" s="100">
        <v>115197224</v>
      </c>
      <c r="H5017" s="100">
        <v>115197224</v>
      </c>
      <c r="I5017" s="525" t="s">
        <v>631</v>
      </c>
      <c r="J5017" s="484"/>
      <c r="K5017" s="548"/>
      <c r="L5017" s="548"/>
      <c r="M5017" s="548"/>
      <c r="N5017" s="552"/>
    </row>
    <row r="5018" spans="1:25">
      <c r="A5018" s="499">
        <v>45649</v>
      </c>
      <c r="B5018" s="499">
        <v>45649</v>
      </c>
      <c r="C5018" s="500" t="s">
        <v>173</v>
      </c>
      <c r="D5018" s="500" t="s">
        <v>763</v>
      </c>
      <c r="E5018" s="501">
        <v>-12000883.6</v>
      </c>
      <c r="F5018" s="502" t="s">
        <v>878</v>
      </c>
      <c r="G5018" s="100">
        <v>115196841</v>
      </c>
      <c r="H5018" s="530"/>
      <c r="I5018" s="525" t="s">
        <v>1018</v>
      </c>
      <c r="J5018" s="484"/>
      <c r="K5018" s="548"/>
      <c r="L5018" s="548"/>
      <c r="M5018" s="548"/>
      <c r="N5018" s="552"/>
    </row>
    <row r="5019" spans="1:25">
      <c r="A5019" s="499">
        <v>45649</v>
      </c>
      <c r="B5019" s="499">
        <v>45649</v>
      </c>
      <c r="C5019" s="500" t="s">
        <v>173</v>
      </c>
      <c r="D5019" s="500" t="s">
        <v>763</v>
      </c>
      <c r="E5019" s="501">
        <v>-5000874585</v>
      </c>
      <c r="F5019" s="502" t="s">
        <v>878</v>
      </c>
      <c r="G5019" s="100">
        <v>115196844</v>
      </c>
      <c r="H5019" s="530"/>
      <c r="I5019" s="525" t="s">
        <v>657</v>
      </c>
      <c r="J5019" s="484"/>
      <c r="K5019" s="548"/>
      <c r="L5019" s="548"/>
      <c r="M5019" s="548"/>
      <c r="N5019" s="552"/>
    </row>
    <row r="5020" spans="1:25">
      <c r="A5020" s="499">
        <v>45649</v>
      </c>
      <c r="B5020" s="499">
        <v>45649</v>
      </c>
      <c r="C5020" s="500" t="s">
        <v>173</v>
      </c>
      <c r="D5020" s="500" t="s">
        <v>763</v>
      </c>
      <c r="E5020" s="501">
        <v>-515474397.92000002</v>
      </c>
      <c r="F5020" s="502" t="s">
        <v>878</v>
      </c>
      <c r="G5020" s="100">
        <v>115196847</v>
      </c>
      <c r="H5020" s="530"/>
      <c r="I5020" s="525" t="s">
        <v>693</v>
      </c>
      <c r="J5020" s="484"/>
      <c r="K5020" s="548"/>
      <c r="L5020" s="548"/>
      <c r="M5020" s="548"/>
      <c r="N5020" s="552"/>
    </row>
    <row r="5021" spans="1:25">
      <c r="A5021" s="499">
        <v>45649</v>
      </c>
      <c r="B5021" s="499">
        <v>45649</v>
      </c>
      <c r="C5021" s="500" t="s">
        <v>173</v>
      </c>
      <c r="D5021" s="500" t="s">
        <v>763</v>
      </c>
      <c r="E5021" s="501">
        <v>-21019344.379999999</v>
      </c>
      <c r="F5021" s="502" t="s">
        <v>878</v>
      </c>
      <c r="G5021" s="100">
        <v>115196890</v>
      </c>
      <c r="H5021" s="530"/>
      <c r="I5021" s="525" t="s">
        <v>693</v>
      </c>
      <c r="J5021" s="484"/>
      <c r="K5021" s="548"/>
      <c r="L5021" s="548"/>
      <c r="M5021" s="548"/>
      <c r="N5021" s="552"/>
    </row>
    <row r="5022" spans="1:25">
      <c r="A5022" s="499">
        <v>45649</v>
      </c>
      <c r="B5022" s="499">
        <v>45650</v>
      </c>
      <c r="C5022" s="500" t="s">
        <v>173</v>
      </c>
      <c r="D5022" s="500" t="s">
        <v>763</v>
      </c>
      <c r="E5022" s="501">
        <v>12005707.359999999</v>
      </c>
      <c r="F5022" s="502" t="s">
        <v>878</v>
      </c>
      <c r="G5022" s="100">
        <v>115196841</v>
      </c>
      <c r="H5022" s="100">
        <v>115196841</v>
      </c>
      <c r="I5022" s="525" t="s">
        <v>1018</v>
      </c>
      <c r="J5022" s="484"/>
      <c r="K5022" s="548"/>
      <c r="L5022" s="548"/>
      <c r="M5022" s="548"/>
      <c r="N5022" s="552"/>
    </row>
    <row r="5023" spans="1:25">
      <c r="A5023" s="499">
        <v>45649</v>
      </c>
      <c r="B5023" s="499">
        <v>45650</v>
      </c>
      <c r="C5023" s="500" t="s">
        <v>173</v>
      </c>
      <c r="D5023" s="500" t="s">
        <v>763</v>
      </c>
      <c r="E5023" s="501">
        <v>5002884690.6400003</v>
      </c>
      <c r="F5023" s="502" t="s">
        <v>878</v>
      </c>
      <c r="G5023" s="100">
        <v>115196844</v>
      </c>
      <c r="H5023" s="100">
        <v>115196844</v>
      </c>
      <c r="I5023" s="525" t="s">
        <v>657</v>
      </c>
      <c r="J5023" s="484"/>
      <c r="K5023" s="548"/>
      <c r="L5023" s="548"/>
      <c r="M5023" s="548"/>
      <c r="N5023" s="552"/>
    </row>
    <row r="5024" spans="1:25">
      <c r="A5024" s="499">
        <v>45649</v>
      </c>
      <c r="B5024" s="499">
        <v>45650</v>
      </c>
      <c r="C5024" s="500" t="s">
        <v>173</v>
      </c>
      <c r="D5024" s="500" t="s">
        <v>763</v>
      </c>
      <c r="E5024" s="501">
        <v>515681589.05000001</v>
      </c>
      <c r="F5024" s="502" t="s">
        <v>878</v>
      </c>
      <c r="G5024" s="100">
        <v>115196847</v>
      </c>
      <c r="H5024" s="100">
        <v>115196847</v>
      </c>
      <c r="I5024" s="525" t="s">
        <v>693</v>
      </c>
      <c r="J5024" s="484"/>
      <c r="K5024" s="548"/>
      <c r="L5024" s="548"/>
      <c r="M5024" s="548"/>
      <c r="N5024" s="552"/>
    </row>
    <row r="5025" spans="1:14">
      <c r="A5025" s="499">
        <v>45649</v>
      </c>
      <c r="B5025" s="499">
        <v>45650</v>
      </c>
      <c r="C5025" s="500" t="s">
        <v>173</v>
      </c>
      <c r="D5025" s="500" t="s">
        <v>763</v>
      </c>
      <c r="E5025" s="501">
        <v>21027793.07</v>
      </c>
      <c r="F5025" s="502" t="s">
        <v>878</v>
      </c>
      <c r="G5025" s="100">
        <v>115196890</v>
      </c>
      <c r="H5025" s="100">
        <v>115196890</v>
      </c>
      <c r="I5025" s="525" t="s">
        <v>693</v>
      </c>
      <c r="J5025" s="484"/>
      <c r="K5025" s="548"/>
      <c r="L5025" s="548"/>
      <c r="M5025" s="548"/>
      <c r="N5025" s="552"/>
    </row>
    <row r="5026" spans="1:14">
      <c r="A5026" s="499">
        <v>45650</v>
      </c>
      <c r="B5026" s="499">
        <v>45650</v>
      </c>
      <c r="C5026" s="500" t="s">
        <v>173</v>
      </c>
      <c r="D5026" s="500" t="s">
        <v>762</v>
      </c>
      <c r="E5026" s="501">
        <v>-4578038255.8299999</v>
      </c>
      <c r="F5026" s="502" t="s">
        <v>878</v>
      </c>
      <c r="G5026" s="100">
        <v>115217698</v>
      </c>
      <c r="H5026" s="100"/>
      <c r="I5026" s="525" t="s">
        <v>723</v>
      </c>
      <c r="J5026" s="484"/>
      <c r="K5026" s="548"/>
      <c r="L5026" s="548"/>
      <c r="M5026" s="548"/>
      <c r="N5026" s="552"/>
    </row>
    <row r="5027" spans="1:14">
      <c r="A5027" s="499">
        <v>45650</v>
      </c>
      <c r="B5027" s="499">
        <v>45650</v>
      </c>
      <c r="C5027" s="500" t="s">
        <v>173</v>
      </c>
      <c r="D5027" s="500" t="s">
        <v>762</v>
      </c>
      <c r="E5027" s="501">
        <v>-18004083.16</v>
      </c>
      <c r="F5027" s="502" t="s">
        <v>878</v>
      </c>
      <c r="G5027" s="100">
        <v>115217724</v>
      </c>
      <c r="H5027" s="100"/>
      <c r="I5027" s="525" t="s">
        <v>723</v>
      </c>
      <c r="J5027" s="484"/>
      <c r="K5027" s="548"/>
      <c r="L5027" s="548"/>
      <c r="M5027" s="548"/>
      <c r="N5027" s="552"/>
    </row>
    <row r="5028" spans="1:14">
      <c r="A5028" s="499">
        <v>45650</v>
      </c>
      <c r="B5028" s="499">
        <v>45665</v>
      </c>
      <c r="C5028" s="500" t="s">
        <v>173</v>
      </c>
      <c r="D5028" s="500" t="s">
        <v>762</v>
      </c>
      <c r="E5028" s="501">
        <v>4606369617.7799997</v>
      </c>
      <c r="F5028" s="502" t="s">
        <v>878</v>
      </c>
      <c r="G5028" s="100">
        <v>115217698</v>
      </c>
      <c r="H5028" s="100">
        <v>115217698</v>
      </c>
      <c r="I5028" s="525" t="s">
        <v>723</v>
      </c>
      <c r="J5028" s="484"/>
      <c r="K5028" s="548"/>
      <c r="L5028" s="548"/>
      <c r="M5028" s="548"/>
      <c r="N5028" s="552"/>
    </row>
    <row r="5029" spans="1:14">
      <c r="A5029" s="499">
        <v>45650</v>
      </c>
      <c r="B5029" s="499">
        <v>45665</v>
      </c>
      <c r="C5029" s="500" t="s">
        <v>173</v>
      </c>
      <c r="D5029" s="500" t="s">
        <v>762</v>
      </c>
      <c r="E5029" s="501">
        <v>18115502.109999999</v>
      </c>
      <c r="F5029" s="502" t="s">
        <v>878</v>
      </c>
      <c r="G5029" s="100">
        <v>115217724</v>
      </c>
      <c r="H5029" s="100">
        <v>115217724</v>
      </c>
      <c r="I5029" s="525" t="s">
        <v>723</v>
      </c>
      <c r="J5029" s="484"/>
      <c r="K5029" s="548"/>
      <c r="L5029" s="548"/>
      <c r="M5029" s="548"/>
      <c r="N5029" s="552"/>
    </row>
    <row r="5030" spans="1:14">
      <c r="A5030" s="499">
        <v>45650</v>
      </c>
      <c r="B5030" s="499">
        <v>45650</v>
      </c>
      <c r="C5030" s="500" t="s">
        <v>173</v>
      </c>
      <c r="D5030" s="500" t="s">
        <v>761</v>
      </c>
      <c r="E5030" s="501">
        <v>-294112583.48000002</v>
      </c>
      <c r="F5030" s="502" t="s">
        <v>878</v>
      </c>
      <c r="G5030" s="100">
        <v>115215858</v>
      </c>
      <c r="H5030" s="100"/>
      <c r="I5030" s="525" t="s">
        <v>635</v>
      </c>
      <c r="J5030" s="484"/>
      <c r="K5030" s="548"/>
      <c r="L5030" s="548"/>
      <c r="M5030" s="548"/>
      <c r="N5030" s="552"/>
    </row>
    <row r="5031" spans="1:14">
      <c r="A5031" s="499">
        <v>45650</v>
      </c>
      <c r="B5031" s="499">
        <v>45650</v>
      </c>
      <c r="C5031" s="500" t="s">
        <v>173</v>
      </c>
      <c r="D5031" s="500" t="s">
        <v>761</v>
      </c>
      <c r="E5031" s="501">
        <v>-1000531.97</v>
      </c>
      <c r="F5031" s="502" t="s">
        <v>878</v>
      </c>
      <c r="G5031" s="100">
        <v>115216856</v>
      </c>
      <c r="H5031" s="100"/>
      <c r="I5031" s="525" t="s">
        <v>713</v>
      </c>
      <c r="J5031" s="484"/>
      <c r="K5031" s="548"/>
      <c r="L5031" s="548"/>
      <c r="M5031" s="548"/>
      <c r="N5031" s="552"/>
    </row>
    <row r="5032" spans="1:14">
      <c r="A5032" s="499">
        <v>45650</v>
      </c>
      <c r="B5032" s="499">
        <v>45651</v>
      </c>
      <c r="C5032" s="500" t="s">
        <v>173</v>
      </c>
      <c r="D5032" s="500" t="s">
        <v>761</v>
      </c>
      <c r="E5032" s="501">
        <v>294232558.91000003</v>
      </c>
      <c r="F5032" s="502" t="s">
        <v>878</v>
      </c>
      <c r="G5032" s="100">
        <v>115215858</v>
      </c>
      <c r="H5032" s="100">
        <v>115215858</v>
      </c>
      <c r="I5032" s="525" t="s">
        <v>635</v>
      </c>
      <c r="J5032" s="484"/>
      <c r="K5032" s="548"/>
      <c r="L5032" s="548"/>
      <c r="M5032" s="548"/>
      <c r="N5032" s="552"/>
    </row>
    <row r="5033" spans="1:14">
      <c r="A5033" s="499">
        <v>45650</v>
      </c>
      <c r="B5033" s="499">
        <v>45651</v>
      </c>
      <c r="C5033" s="500" t="s">
        <v>173</v>
      </c>
      <c r="D5033" s="500" t="s">
        <v>761</v>
      </c>
      <c r="E5033" s="501">
        <v>1000937.92</v>
      </c>
      <c r="F5033" s="502" t="s">
        <v>878</v>
      </c>
      <c r="G5033" s="100">
        <v>115216856</v>
      </c>
      <c r="H5033" s="100">
        <v>115216856</v>
      </c>
      <c r="I5033" s="525" t="s">
        <v>713</v>
      </c>
      <c r="J5033" s="484"/>
      <c r="K5033" s="548"/>
      <c r="L5033" s="548"/>
      <c r="M5033" s="548"/>
      <c r="N5033" s="552"/>
    </row>
    <row r="5034" spans="1:14">
      <c r="A5034" s="499">
        <v>45650</v>
      </c>
      <c r="B5034" s="499">
        <v>45650</v>
      </c>
      <c r="C5034" s="500" t="s">
        <v>173</v>
      </c>
      <c r="D5034" s="500" t="s">
        <v>759</v>
      </c>
      <c r="E5034" s="501">
        <v>-107075204.73999999</v>
      </c>
      <c r="F5034" s="502" t="s">
        <v>878</v>
      </c>
      <c r="G5034" s="100">
        <v>115215835</v>
      </c>
      <c r="H5034" s="530"/>
      <c r="I5034" s="525" t="s">
        <v>701</v>
      </c>
      <c r="J5034" s="484"/>
      <c r="K5034" s="548"/>
      <c r="L5034" s="548">
        <v>-1</v>
      </c>
      <c r="M5034" s="548"/>
      <c r="N5034" s="552"/>
    </row>
    <row r="5035" spans="1:14">
      <c r="A5035" s="499">
        <v>45650</v>
      </c>
      <c r="B5035" s="499">
        <v>45650</v>
      </c>
      <c r="C5035" s="500" t="s">
        <v>173</v>
      </c>
      <c r="D5035" s="500" t="s">
        <v>759</v>
      </c>
      <c r="E5035" s="501">
        <v>-1988232065.1800001</v>
      </c>
      <c r="F5035" s="502" t="s">
        <v>878</v>
      </c>
      <c r="G5035" s="100">
        <v>115215847</v>
      </c>
      <c r="H5035" s="530"/>
      <c r="I5035" s="525" t="s">
        <v>709</v>
      </c>
      <c r="J5035" s="484"/>
      <c r="K5035" s="548"/>
      <c r="L5035" s="548"/>
      <c r="M5035" s="548"/>
      <c r="N5035" s="552"/>
    </row>
    <row r="5036" spans="1:14">
      <c r="A5036" s="499">
        <v>45650</v>
      </c>
      <c r="B5036" s="499">
        <v>45650</v>
      </c>
      <c r="C5036" s="500" t="s">
        <v>173</v>
      </c>
      <c r="D5036" s="500" t="s">
        <v>759</v>
      </c>
      <c r="E5036" s="501">
        <v>-2000114754</v>
      </c>
      <c r="F5036" s="502" t="s">
        <v>878</v>
      </c>
      <c r="G5036" s="100">
        <v>115216816</v>
      </c>
      <c r="H5036" s="530"/>
      <c r="I5036" s="525" t="s">
        <v>1018</v>
      </c>
      <c r="J5036" s="484"/>
      <c r="K5036" s="548"/>
      <c r="L5036" s="548"/>
      <c r="M5036" s="548"/>
      <c r="N5036" s="552"/>
    </row>
    <row r="5037" spans="1:14">
      <c r="A5037" s="499">
        <v>45650</v>
      </c>
      <c r="B5037" s="499">
        <v>45650</v>
      </c>
      <c r="C5037" s="500" t="s">
        <v>173</v>
      </c>
      <c r="D5037" s="500" t="s">
        <v>759</v>
      </c>
      <c r="E5037" s="501">
        <v>-1836712196.3</v>
      </c>
      <c r="F5037" s="502" t="s">
        <v>878</v>
      </c>
      <c r="G5037" s="100">
        <v>115216841</v>
      </c>
      <c r="H5037" s="530"/>
      <c r="I5037" s="525" t="s">
        <v>680</v>
      </c>
      <c r="J5037" s="484"/>
      <c r="K5037" s="548"/>
      <c r="L5037" s="548"/>
      <c r="M5037" s="548"/>
      <c r="N5037" s="552"/>
    </row>
    <row r="5038" spans="1:14">
      <c r="A5038" s="499">
        <v>45650</v>
      </c>
      <c r="B5038" s="499">
        <v>45650</v>
      </c>
      <c r="C5038" s="500" t="s">
        <v>173</v>
      </c>
      <c r="D5038" s="500" t="s">
        <v>759</v>
      </c>
      <c r="E5038" s="501">
        <v>-23021460.77</v>
      </c>
      <c r="F5038" s="502" t="s">
        <v>878</v>
      </c>
      <c r="G5038" s="100">
        <v>115217300</v>
      </c>
      <c r="H5038" s="530"/>
      <c r="I5038" s="525" t="s">
        <v>680</v>
      </c>
      <c r="J5038" s="484"/>
      <c r="K5038" s="548"/>
      <c r="L5038" s="548"/>
      <c r="M5038" s="548"/>
      <c r="N5038" s="552"/>
    </row>
    <row r="5039" spans="1:14">
      <c r="A5039" s="499">
        <v>45650</v>
      </c>
      <c r="B5039" s="499">
        <v>45657</v>
      </c>
      <c r="C5039" s="500" t="s">
        <v>173</v>
      </c>
      <c r="D5039" s="500" t="s">
        <v>759</v>
      </c>
      <c r="E5039" s="501">
        <v>107383411.65000001</v>
      </c>
      <c r="F5039" s="502" t="s">
        <v>878</v>
      </c>
      <c r="G5039" s="100">
        <v>115215835</v>
      </c>
      <c r="H5039" s="100">
        <v>115215835</v>
      </c>
      <c r="I5039" s="525" t="s">
        <v>701</v>
      </c>
      <c r="J5039" s="484"/>
      <c r="K5039" s="548"/>
      <c r="L5039" s="548"/>
      <c r="M5039" s="548"/>
      <c r="N5039" s="552"/>
    </row>
    <row r="5040" spans="1:14">
      <c r="A5040" s="499">
        <v>45650</v>
      </c>
      <c r="B5040" s="499">
        <v>45657</v>
      </c>
      <c r="C5040" s="500" t="s">
        <v>173</v>
      </c>
      <c r="D5040" s="500" t="s">
        <v>759</v>
      </c>
      <c r="E5040" s="501">
        <v>1993955022.78</v>
      </c>
      <c r="F5040" s="502" t="s">
        <v>878</v>
      </c>
      <c r="G5040" s="100">
        <v>115215847</v>
      </c>
      <c r="H5040" s="100">
        <v>115215847</v>
      </c>
      <c r="I5040" s="525" t="s">
        <v>709</v>
      </c>
      <c r="J5040" s="484"/>
      <c r="K5040" s="548"/>
      <c r="L5040" s="548"/>
      <c r="M5040" s="548"/>
      <c r="N5040" s="552"/>
    </row>
    <row r="5041" spans="1:14">
      <c r="A5041" s="499">
        <v>45650</v>
      </c>
      <c r="B5041" s="499">
        <v>45651</v>
      </c>
      <c r="C5041" s="500" t="s">
        <v>173</v>
      </c>
      <c r="D5041" s="500" t="s">
        <v>759</v>
      </c>
      <c r="E5041" s="501">
        <v>2000923570.9000001</v>
      </c>
      <c r="F5041" s="502" t="s">
        <v>878</v>
      </c>
      <c r="G5041" s="100">
        <v>115216816</v>
      </c>
      <c r="H5041" s="100">
        <v>115216816</v>
      </c>
      <c r="I5041" s="525" t="s">
        <v>1018</v>
      </c>
      <c r="J5041" s="484"/>
      <c r="K5041" s="548"/>
      <c r="L5041" s="548"/>
      <c r="M5041" s="548"/>
      <c r="N5041" s="552"/>
    </row>
    <row r="5042" spans="1:14">
      <c r="A5042" s="499">
        <v>45650</v>
      </c>
      <c r="B5042" s="499">
        <v>45657</v>
      </c>
      <c r="C5042" s="500" t="s">
        <v>173</v>
      </c>
      <c r="D5042" s="500" t="s">
        <v>759</v>
      </c>
      <c r="E5042" s="501">
        <v>1841981452.5999999</v>
      </c>
      <c r="F5042" s="502" t="s">
        <v>878</v>
      </c>
      <c r="G5042" s="100">
        <v>115216841</v>
      </c>
      <c r="H5042" s="100">
        <v>115216841</v>
      </c>
      <c r="I5042" s="525" t="s">
        <v>680</v>
      </c>
      <c r="J5042" s="484"/>
      <c r="K5042" s="548"/>
      <c r="L5042" s="548"/>
      <c r="M5042" s="548"/>
      <c r="N5042" s="552"/>
    </row>
    <row r="5043" spans="1:14">
      <c r="A5043" s="499">
        <v>45650</v>
      </c>
      <c r="B5043" s="499">
        <v>45657</v>
      </c>
      <c r="C5043" s="500" t="s">
        <v>173</v>
      </c>
      <c r="D5043" s="500" t="s">
        <v>759</v>
      </c>
      <c r="E5043" s="501">
        <v>23087505.940000001</v>
      </c>
      <c r="F5043" s="502" t="s">
        <v>878</v>
      </c>
      <c r="G5043" s="100">
        <v>115217300</v>
      </c>
      <c r="H5043" s="100">
        <v>115217300</v>
      </c>
      <c r="I5043" s="525" t="s">
        <v>680</v>
      </c>
      <c r="J5043" s="484"/>
      <c r="K5043" s="548"/>
      <c r="L5043" s="548"/>
      <c r="M5043" s="548"/>
      <c r="N5043" s="552"/>
    </row>
    <row r="5044" spans="1:14">
      <c r="A5044" s="499">
        <v>45650</v>
      </c>
      <c r="B5044" s="499">
        <v>45650</v>
      </c>
      <c r="C5044" s="500" t="s">
        <v>173</v>
      </c>
      <c r="D5044" s="500" t="s">
        <v>760</v>
      </c>
      <c r="E5044" s="501">
        <v>-298158525.87</v>
      </c>
      <c r="F5044" s="502" t="s">
        <v>878</v>
      </c>
      <c r="G5044" s="100">
        <v>115216895</v>
      </c>
      <c r="H5044" s="530"/>
      <c r="I5044" s="525" t="s">
        <v>713</v>
      </c>
      <c r="J5044" s="484"/>
      <c r="K5044" s="548"/>
      <c r="L5044" s="548"/>
      <c r="M5044" s="548"/>
      <c r="N5044" s="552"/>
    </row>
    <row r="5045" spans="1:14">
      <c r="A5045" s="499">
        <v>45650</v>
      </c>
      <c r="B5045" s="499">
        <v>45651</v>
      </c>
      <c r="C5045" s="500" t="s">
        <v>173</v>
      </c>
      <c r="D5045" s="500" t="s">
        <v>760</v>
      </c>
      <c r="E5045" s="501">
        <v>298279743.60000002</v>
      </c>
      <c r="F5045" s="502" t="s">
        <v>878</v>
      </c>
      <c r="G5045" s="100">
        <v>115216895</v>
      </c>
      <c r="H5045" s="100">
        <v>115216895</v>
      </c>
      <c r="I5045" s="525" t="s">
        <v>713</v>
      </c>
      <c r="J5045" s="484"/>
      <c r="K5045" s="548"/>
      <c r="L5045" s="548"/>
      <c r="M5045" s="548"/>
      <c r="N5045" s="552"/>
    </row>
    <row r="5046" spans="1:14">
      <c r="A5046" s="499">
        <v>45650</v>
      </c>
      <c r="B5046" s="499">
        <v>45650</v>
      </c>
      <c r="C5046" s="500" t="s">
        <v>173</v>
      </c>
      <c r="D5046" s="500" t="s">
        <v>764</v>
      </c>
      <c r="E5046" s="501">
        <v>-2029388908.5799999</v>
      </c>
      <c r="F5046" s="502" t="s">
        <v>878</v>
      </c>
      <c r="G5046" s="100">
        <v>115215319</v>
      </c>
      <c r="H5046" s="530"/>
      <c r="I5046" s="525" t="s">
        <v>721</v>
      </c>
      <c r="J5046" s="484"/>
      <c r="K5046" s="548"/>
      <c r="L5046" s="548"/>
      <c r="M5046" s="548"/>
      <c r="N5046" s="552"/>
    </row>
    <row r="5047" spans="1:14">
      <c r="A5047" s="499">
        <v>45650</v>
      </c>
      <c r="B5047" s="499">
        <v>45650</v>
      </c>
      <c r="C5047" s="500" t="s">
        <v>173</v>
      </c>
      <c r="D5047" s="500" t="s">
        <v>764</v>
      </c>
      <c r="E5047" s="501">
        <v>-10000597.810000001</v>
      </c>
      <c r="F5047" s="502" t="s">
        <v>878</v>
      </c>
      <c r="G5047" s="100">
        <v>115218090</v>
      </c>
      <c r="H5047" s="530"/>
      <c r="I5047" s="525" t="s">
        <v>833</v>
      </c>
      <c r="J5047" s="484"/>
      <c r="K5047" s="548"/>
      <c r="L5047" s="548"/>
      <c r="M5047" s="548"/>
      <c r="N5047" s="552"/>
    </row>
    <row r="5048" spans="1:14">
      <c r="A5048" s="499">
        <v>45650</v>
      </c>
      <c r="B5048" s="499">
        <v>45665</v>
      </c>
      <c r="C5048" s="500" t="s">
        <v>173</v>
      </c>
      <c r="D5048" s="500" t="s">
        <v>764</v>
      </c>
      <c r="E5048" s="501">
        <v>2041947608.3</v>
      </c>
      <c r="F5048" s="502" t="s">
        <v>878</v>
      </c>
      <c r="G5048" s="100">
        <v>115215319</v>
      </c>
      <c r="H5048" s="484">
        <v>115215319</v>
      </c>
      <c r="I5048" s="525" t="s">
        <v>721</v>
      </c>
      <c r="J5048" s="484"/>
      <c r="K5048" s="548"/>
      <c r="L5048" s="548"/>
      <c r="M5048" s="548"/>
      <c r="N5048" s="552"/>
    </row>
    <row r="5049" spans="1:14">
      <c r="A5049" s="499">
        <v>45650</v>
      </c>
      <c r="B5049" s="499">
        <v>45665</v>
      </c>
      <c r="C5049" s="500" t="s">
        <v>173</v>
      </c>
      <c r="D5049" s="500" t="s">
        <v>764</v>
      </c>
      <c r="E5049" s="501">
        <v>10062488.939999999</v>
      </c>
      <c r="F5049" s="502" t="s">
        <v>878</v>
      </c>
      <c r="G5049" s="100">
        <v>115218090</v>
      </c>
      <c r="H5049" s="484">
        <v>115218090</v>
      </c>
      <c r="I5049" s="525" t="s">
        <v>833</v>
      </c>
      <c r="J5049" s="484"/>
      <c r="K5049" s="548"/>
      <c r="L5049" s="548"/>
      <c r="M5049" s="548"/>
      <c r="N5049" s="552"/>
    </row>
    <row r="5050" spans="1:14">
      <c r="A5050" s="499">
        <v>45650</v>
      </c>
      <c r="B5050" s="499">
        <v>45650</v>
      </c>
      <c r="C5050" s="500" t="s">
        <v>173</v>
      </c>
      <c r="D5050" s="500" t="s">
        <v>763</v>
      </c>
      <c r="E5050" s="501">
        <v>-5531428355.04</v>
      </c>
      <c r="F5050" s="502" t="s">
        <v>878</v>
      </c>
      <c r="G5050" s="100">
        <v>115215577</v>
      </c>
      <c r="H5050" s="530"/>
      <c r="I5050" s="525" t="s">
        <v>684</v>
      </c>
      <c r="J5050" s="484"/>
      <c r="K5050" s="548"/>
      <c r="L5050" s="548"/>
      <c r="M5050" s="548"/>
      <c r="N5050" s="552"/>
    </row>
    <row r="5051" spans="1:14">
      <c r="A5051" s="499">
        <v>45650</v>
      </c>
      <c r="B5051" s="499">
        <v>45650</v>
      </c>
      <c r="C5051" s="500" t="s">
        <v>173</v>
      </c>
      <c r="D5051" s="500" t="s">
        <v>763</v>
      </c>
      <c r="E5051" s="501">
        <v>-20012403.600000001</v>
      </c>
      <c r="F5051" s="502" t="s">
        <v>878</v>
      </c>
      <c r="G5051" s="100">
        <v>115215604</v>
      </c>
      <c r="H5051" s="530"/>
      <c r="I5051" s="525" t="s">
        <v>684</v>
      </c>
      <c r="J5051" s="484"/>
      <c r="K5051" s="548"/>
      <c r="L5051" s="548"/>
      <c r="M5051" s="548"/>
      <c r="N5051" s="552"/>
    </row>
    <row r="5052" spans="1:14">
      <c r="A5052" s="499">
        <v>45650</v>
      </c>
      <c r="B5052" s="499">
        <v>45651</v>
      </c>
      <c r="C5052" s="500" t="s">
        <v>173</v>
      </c>
      <c r="D5052" s="500" t="s">
        <v>763</v>
      </c>
      <c r="E5052" s="501">
        <v>5533665198.1700001</v>
      </c>
      <c r="F5052" s="502" t="s">
        <v>878</v>
      </c>
      <c r="G5052" s="100">
        <v>115215577</v>
      </c>
      <c r="H5052" s="100">
        <v>115215577</v>
      </c>
      <c r="I5052" s="525" t="s">
        <v>684</v>
      </c>
      <c r="J5052" s="484"/>
      <c r="K5052" s="548"/>
      <c r="L5052" s="548"/>
      <c r="M5052" s="548"/>
      <c r="N5052" s="552"/>
    </row>
    <row r="5053" spans="1:14">
      <c r="A5053" s="499">
        <v>45650</v>
      </c>
      <c r="B5053" s="499">
        <v>45651</v>
      </c>
      <c r="C5053" s="500" t="s">
        <v>173</v>
      </c>
      <c r="D5053" s="500" t="s">
        <v>763</v>
      </c>
      <c r="E5053" s="501">
        <v>20020496.379999999</v>
      </c>
      <c r="F5053" s="502" t="s">
        <v>878</v>
      </c>
      <c r="G5053" s="100">
        <v>115215604</v>
      </c>
      <c r="H5053" s="100">
        <v>115215604</v>
      </c>
      <c r="I5053" s="525" t="s">
        <v>684</v>
      </c>
      <c r="J5053" s="484"/>
      <c r="K5053" s="548"/>
      <c r="L5053" s="548"/>
      <c r="M5053" s="548"/>
      <c r="N5053" s="552"/>
    </row>
    <row r="5054" spans="1:14">
      <c r="A5054" s="499">
        <v>45651</v>
      </c>
      <c r="B5054" s="499">
        <v>45651</v>
      </c>
      <c r="C5054" s="500" t="s">
        <v>173</v>
      </c>
      <c r="D5054" s="500" t="s">
        <v>761</v>
      </c>
      <c r="E5054" s="501">
        <v>-1904285055.46</v>
      </c>
      <c r="F5054" s="502" t="s">
        <v>878</v>
      </c>
      <c r="G5054" s="100">
        <v>115232093</v>
      </c>
      <c r="H5054" s="530"/>
      <c r="I5054" s="525" t="s">
        <v>678</v>
      </c>
      <c r="J5054" s="484"/>
      <c r="K5054" s="548"/>
      <c r="L5054" s="548"/>
      <c r="M5054" s="548"/>
      <c r="N5054" s="552"/>
    </row>
    <row r="5055" spans="1:14">
      <c r="A5055" s="499">
        <v>45651</v>
      </c>
      <c r="B5055" s="499">
        <v>45651</v>
      </c>
      <c r="C5055" s="500" t="s">
        <v>173</v>
      </c>
      <c r="D5055" s="500" t="s">
        <v>761</v>
      </c>
      <c r="E5055" s="501">
        <v>-8001037.0899999999</v>
      </c>
      <c r="F5055" s="502" t="s">
        <v>878</v>
      </c>
      <c r="G5055" s="100">
        <v>115234942</v>
      </c>
      <c r="H5055" s="530"/>
      <c r="I5055" s="525" t="s">
        <v>633</v>
      </c>
      <c r="J5055" s="484"/>
      <c r="K5055" s="548"/>
      <c r="L5055" s="548"/>
      <c r="M5055" s="548"/>
      <c r="N5055" s="552"/>
    </row>
    <row r="5056" spans="1:14">
      <c r="A5056" s="499">
        <v>45651</v>
      </c>
      <c r="B5056" s="499">
        <v>45662</v>
      </c>
      <c r="C5056" s="500" t="s">
        <v>173</v>
      </c>
      <c r="D5056" s="500" t="s">
        <v>761</v>
      </c>
      <c r="E5056" s="501">
        <v>1912960863.5599999</v>
      </c>
      <c r="F5056" s="502" t="s">
        <v>878</v>
      </c>
      <c r="G5056" s="100">
        <v>115232093</v>
      </c>
      <c r="H5056" s="484">
        <v>115232093</v>
      </c>
      <c r="I5056" s="525" t="s">
        <v>678</v>
      </c>
      <c r="J5056" s="484"/>
      <c r="K5056" s="548"/>
      <c r="L5056" s="548"/>
      <c r="M5056" s="548"/>
      <c r="N5056" s="552"/>
    </row>
    <row r="5057" spans="1:14">
      <c r="A5057" s="499">
        <v>45651</v>
      </c>
      <c r="B5057" s="499">
        <v>45662</v>
      </c>
      <c r="C5057" s="500" t="s">
        <v>173</v>
      </c>
      <c r="D5057" s="500" t="s">
        <v>761</v>
      </c>
      <c r="E5057" s="501">
        <v>8037152.2599999998</v>
      </c>
      <c r="F5057" s="502" t="s">
        <v>878</v>
      </c>
      <c r="G5057" s="100">
        <v>115234942</v>
      </c>
      <c r="H5057" s="484">
        <v>115234942</v>
      </c>
      <c r="I5057" s="525" t="s">
        <v>633</v>
      </c>
      <c r="J5057" s="484"/>
      <c r="K5057" s="548"/>
      <c r="L5057" s="548"/>
      <c r="M5057" s="548"/>
      <c r="N5057" s="552"/>
    </row>
    <row r="5058" spans="1:14">
      <c r="A5058" s="499">
        <v>45651</v>
      </c>
      <c r="B5058" s="499">
        <v>45651</v>
      </c>
      <c r="C5058" s="500" t="s">
        <v>173</v>
      </c>
      <c r="D5058" s="500" t="s">
        <v>760</v>
      </c>
      <c r="E5058" s="501">
        <v>-296005825.77999997</v>
      </c>
      <c r="F5058" s="502" t="s">
        <v>878</v>
      </c>
      <c r="G5058" s="100">
        <v>115232706</v>
      </c>
      <c r="H5058" s="530"/>
      <c r="I5058" s="525" t="s">
        <v>646</v>
      </c>
      <c r="J5058" s="484"/>
      <c r="K5058" s="548"/>
      <c r="L5058" s="548"/>
      <c r="M5058" s="548"/>
      <c r="N5058" s="552"/>
    </row>
    <row r="5059" spans="1:14">
      <c r="A5059" s="499">
        <v>45651</v>
      </c>
      <c r="B5059" s="499">
        <v>45652</v>
      </c>
      <c r="C5059" s="500" t="s">
        <v>173</v>
      </c>
      <c r="D5059" s="500" t="s">
        <v>760</v>
      </c>
      <c r="E5059" s="501">
        <v>296126330.07999998</v>
      </c>
      <c r="F5059" s="502" t="s">
        <v>878</v>
      </c>
      <c r="G5059" s="100">
        <v>115232706</v>
      </c>
      <c r="H5059" s="100">
        <v>115232706</v>
      </c>
      <c r="I5059" s="525" t="s">
        <v>646</v>
      </c>
      <c r="J5059" s="484"/>
      <c r="K5059" s="548"/>
      <c r="L5059" s="548"/>
      <c r="M5059" s="548"/>
      <c r="N5059" s="552"/>
    </row>
    <row r="5060" spans="1:14">
      <c r="A5060" s="499">
        <v>45651</v>
      </c>
      <c r="B5060" s="499">
        <v>45651</v>
      </c>
      <c r="C5060" s="500" t="s">
        <v>173</v>
      </c>
      <c r="D5060" s="500" t="s">
        <v>763</v>
      </c>
      <c r="E5060" s="501">
        <v>-456222046.45999998</v>
      </c>
      <c r="F5060" s="502" t="s">
        <v>878</v>
      </c>
      <c r="G5060" s="100">
        <v>115234682</v>
      </c>
      <c r="H5060" s="530"/>
      <c r="I5060" s="525" t="s">
        <v>672</v>
      </c>
      <c r="J5060" s="484"/>
      <c r="K5060" s="548"/>
      <c r="L5060" s="548"/>
      <c r="M5060" s="548"/>
      <c r="N5060" s="552"/>
    </row>
    <row r="5061" spans="1:14">
      <c r="A5061" s="499">
        <v>45651</v>
      </c>
      <c r="B5061" s="499">
        <v>45651</v>
      </c>
      <c r="C5061" s="500" t="s">
        <v>173</v>
      </c>
      <c r="D5061" s="500" t="s">
        <v>763</v>
      </c>
      <c r="E5061" s="501">
        <v>-5077787989.6300001</v>
      </c>
      <c r="F5061" s="502" t="s">
        <v>878</v>
      </c>
      <c r="G5061" s="100">
        <v>115234685</v>
      </c>
      <c r="H5061" s="530"/>
      <c r="I5061" s="525" t="s">
        <v>684</v>
      </c>
      <c r="J5061" s="484"/>
      <c r="K5061" s="548"/>
      <c r="L5061" s="548"/>
      <c r="M5061" s="548"/>
      <c r="N5061" s="552"/>
    </row>
    <row r="5062" spans="1:14">
      <c r="A5062" s="499">
        <v>45651</v>
      </c>
      <c r="B5062" s="499">
        <v>45651</v>
      </c>
      <c r="C5062" s="500" t="s">
        <v>173</v>
      </c>
      <c r="D5062" s="500" t="s">
        <v>763</v>
      </c>
      <c r="E5062" s="501">
        <v>-20014930.98</v>
      </c>
      <c r="F5062" s="502" t="s">
        <v>878</v>
      </c>
      <c r="G5062" s="100">
        <v>115234716</v>
      </c>
      <c r="H5062" s="530"/>
      <c r="I5062" s="525" t="s">
        <v>684</v>
      </c>
      <c r="J5062" s="484"/>
      <c r="K5062" s="548"/>
      <c r="L5062" s="548"/>
      <c r="M5062" s="548"/>
      <c r="N5062" s="552"/>
    </row>
    <row r="5063" spans="1:14">
      <c r="A5063" s="499">
        <v>45651</v>
      </c>
      <c r="B5063" s="499">
        <v>45652</v>
      </c>
      <c r="C5063" s="500" t="s">
        <v>173</v>
      </c>
      <c r="D5063" s="500" t="s">
        <v>763</v>
      </c>
      <c r="E5063" s="501">
        <v>456405669.60000002</v>
      </c>
      <c r="F5063" s="502" t="s">
        <v>878</v>
      </c>
      <c r="G5063" s="100">
        <v>115234682</v>
      </c>
      <c r="H5063" s="100">
        <v>115234682</v>
      </c>
      <c r="I5063" s="525" t="s">
        <v>672</v>
      </c>
      <c r="J5063" s="484"/>
      <c r="K5063" s="548"/>
      <c r="L5063" s="548"/>
      <c r="M5063" s="548"/>
      <c r="N5063" s="552"/>
    </row>
    <row r="5064" spans="1:14">
      <c r="A5064" s="499">
        <v>45651</v>
      </c>
      <c r="B5064" s="499">
        <v>45652</v>
      </c>
      <c r="C5064" s="500" t="s">
        <v>173</v>
      </c>
      <c r="D5064" s="500" t="s">
        <v>763</v>
      </c>
      <c r="E5064" s="501">
        <v>5079831674.4300003</v>
      </c>
      <c r="F5064" s="502" t="s">
        <v>878</v>
      </c>
      <c r="G5064" s="100">
        <v>115234685</v>
      </c>
      <c r="H5064" s="100">
        <v>115234685</v>
      </c>
      <c r="I5064" s="525" t="s">
        <v>684</v>
      </c>
      <c r="J5064" s="484"/>
      <c r="K5064" s="548"/>
      <c r="L5064" s="548"/>
      <c r="M5064" s="548"/>
      <c r="N5064" s="552"/>
    </row>
    <row r="5065" spans="1:14">
      <c r="A5065" s="499">
        <v>45651</v>
      </c>
      <c r="B5065" s="499">
        <v>45652</v>
      </c>
      <c r="C5065" s="500" t="s">
        <v>173</v>
      </c>
      <c r="D5065" s="500" t="s">
        <v>763</v>
      </c>
      <c r="E5065" s="501">
        <v>20022986.5</v>
      </c>
      <c r="F5065" s="502" t="s">
        <v>878</v>
      </c>
      <c r="G5065" s="100">
        <v>115234716</v>
      </c>
      <c r="H5065" s="100">
        <v>115234716</v>
      </c>
      <c r="I5065" s="525" t="s">
        <v>684</v>
      </c>
      <c r="J5065" s="484"/>
      <c r="K5065" s="548"/>
      <c r="L5065" s="548"/>
      <c r="M5065" s="548"/>
      <c r="N5065" s="552"/>
    </row>
    <row r="5066" spans="1:14">
      <c r="A5066" s="499">
        <v>45651</v>
      </c>
      <c r="B5066" s="499">
        <v>45651</v>
      </c>
      <c r="C5066" s="500" t="s">
        <v>173</v>
      </c>
      <c r="D5066" s="500" t="s">
        <v>759</v>
      </c>
      <c r="E5066" s="501">
        <v>-316092448.95999998</v>
      </c>
      <c r="F5066" s="502" t="s">
        <v>878</v>
      </c>
      <c r="G5066" s="100">
        <v>115232686</v>
      </c>
      <c r="H5066" s="530"/>
      <c r="I5066" s="525" t="s">
        <v>600</v>
      </c>
      <c r="J5066" s="484"/>
      <c r="K5066" s="548"/>
      <c r="L5066" s="548"/>
      <c r="M5066" s="548"/>
      <c r="N5066" s="552"/>
    </row>
    <row r="5067" spans="1:14">
      <c r="A5067" s="499">
        <v>45651</v>
      </c>
      <c r="B5067" s="499">
        <v>45651</v>
      </c>
      <c r="C5067" s="500" t="s">
        <v>173</v>
      </c>
      <c r="D5067" s="500" t="s">
        <v>759</v>
      </c>
      <c r="E5067" s="501">
        <v>-994704929.88999999</v>
      </c>
      <c r="F5067" s="502" t="s">
        <v>878</v>
      </c>
      <c r="G5067" s="100">
        <v>115232689</v>
      </c>
      <c r="H5067" s="530"/>
      <c r="I5067" s="525" t="s">
        <v>671</v>
      </c>
      <c r="J5067" s="484"/>
      <c r="K5067" s="548"/>
      <c r="L5067" s="548"/>
      <c r="M5067" s="548"/>
      <c r="N5067" s="552"/>
    </row>
    <row r="5068" spans="1:14">
      <c r="A5068" s="499">
        <v>45651</v>
      </c>
      <c r="B5068" s="499">
        <v>45651</v>
      </c>
      <c r="C5068" s="500" t="s">
        <v>173</v>
      </c>
      <c r="D5068" s="500" t="s">
        <v>759</v>
      </c>
      <c r="E5068" s="501">
        <v>-682013422.91999996</v>
      </c>
      <c r="F5068" s="502" t="s">
        <v>878</v>
      </c>
      <c r="G5068" s="100">
        <v>115232700</v>
      </c>
      <c r="H5068" s="530"/>
      <c r="I5068" s="525" t="s">
        <v>646</v>
      </c>
      <c r="J5068" s="484"/>
      <c r="K5068" s="548"/>
      <c r="L5068" s="548"/>
      <c r="M5068" s="548"/>
      <c r="N5068" s="552"/>
    </row>
    <row r="5069" spans="1:14">
      <c r="A5069" s="499">
        <v>45651</v>
      </c>
      <c r="B5069" s="499">
        <v>45651</v>
      </c>
      <c r="C5069" s="500" t="s">
        <v>173</v>
      </c>
      <c r="D5069" s="500" t="s">
        <v>759</v>
      </c>
      <c r="E5069" s="501">
        <v>-8001693.4400000004</v>
      </c>
      <c r="F5069" s="502" t="s">
        <v>878</v>
      </c>
      <c r="G5069" s="100">
        <v>115236133</v>
      </c>
      <c r="H5069" s="530"/>
      <c r="I5069" s="525" t="s">
        <v>693</v>
      </c>
      <c r="J5069" s="484"/>
      <c r="K5069" s="548"/>
      <c r="L5069" s="548"/>
      <c r="M5069" s="548"/>
      <c r="N5069" s="552"/>
    </row>
    <row r="5070" spans="1:14">
      <c r="A5070" s="499">
        <v>45651</v>
      </c>
      <c r="B5070" s="499">
        <v>45652</v>
      </c>
      <c r="C5070" s="500" t="s">
        <v>173</v>
      </c>
      <c r="D5070" s="500" t="s">
        <v>759</v>
      </c>
      <c r="E5070" s="501">
        <v>316221130.54000002</v>
      </c>
      <c r="F5070" s="502" t="s">
        <v>878</v>
      </c>
      <c r="G5070" s="100">
        <v>115232686</v>
      </c>
      <c r="H5070" s="100">
        <v>115232686</v>
      </c>
      <c r="I5070" s="525" t="s">
        <v>600</v>
      </c>
      <c r="J5070" s="484"/>
      <c r="K5070" s="548"/>
      <c r="L5070" s="548"/>
      <c r="M5070" s="548"/>
      <c r="N5070" s="552"/>
    </row>
    <row r="5071" spans="1:14">
      <c r="A5071" s="499">
        <v>45651</v>
      </c>
      <c r="B5071" s="499">
        <v>45652</v>
      </c>
      <c r="C5071" s="500" t="s">
        <v>173</v>
      </c>
      <c r="D5071" s="500" t="s">
        <v>759</v>
      </c>
      <c r="E5071" s="501">
        <v>995109875.35000002</v>
      </c>
      <c r="F5071" s="502" t="s">
        <v>878</v>
      </c>
      <c r="G5071" s="100">
        <v>115232689</v>
      </c>
      <c r="H5071" s="100">
        <v>115232689</v>
      </c>
      <c r="I5071" s="525" t="s">
        <v>671</v>
      </c>
      <c r="J5071" s="484"/>
      <c r="K5071" s="548"/>
      <c r="L5071" s="548"/>
      <c r="M5071" s="548"/>
      <c r="N5071" s="552"/>
    </row>
    <row r="5072" spans="1:14">
      <c r="A5072" s="499">
        <v>45651</v>
      </c>
      <c r="B5072" s="499">
        <v>45652</v>
      </c>
      <c r="C5072" s="500" t="s">
        <v>173</v>
      </c>
      <c r="D5072" s="500" t="s">
        <v>759</v>
      </c>
      <c r="E5072" s="501">
        <v>682291071.33000004</v>
      </c>
      <c r="F5072" s="502" t="s">
        <v>878</v>
      </c>
      <c r="G5072" s="100">
        <v>115232700</v>
      </c>
      <c r="H5072" s="100">
        <v>115232700</v>
      </c>
      <c r="I5072" s="525" t="s">
        <v>646</v>
      </c>
      <c r="J5072" s="484"/>
      <c r="K5072" s="548"/>
      <c r="L5072" s="548"/>
      <c r="M5072" s="548"/>
      <c r="N5072" s="552"/>
    </row>
    <row r="5073" spans="1:14">
      <c r="A5073" s="499">
        <v>45651</v>
      </c>
      <c r="B5073" s="499">
        <v>45652</v>
      </c>
      <c r="C5073" s="500" t="s">
        <v>173</v>
      </c>
      <c r="D5073" s="500" t="s">
        <v>759</v>
      </c>
      <c r="E5073" s="501">
        <v>8004808.8799999999</v>
      </c>
      <c r="F5073" s="502" t="s">
        <v>878</v>
      </c>
      <c r="G5073" s="100">
        <v>115236133</v>
      </c>
      <c r="H5073" s="100">
        <v>115236133</v>
      </c>
      <c r="I5073" s="525" t="s">
        <v>693</v>
      </c>
      <c r="J5073" s="484"/>
      <c r="K5073" s="548"/>
      <c r="L5073" s="548"/>
      <c r="M5073" s="548"/>
      <c r="N5073" s="552">
        <v>-1</v>
      </c>
    </row>
    <row r="5074" spans="1:14">
      <c r="A5074" s="499">
        <v>45652</v>
      </c>
      <c r="B5074" s="499">
        <v>45652</v>
      </c>
      <c r="C5074" s="500" t="s">
        <v>173</v>
      </c>
      <c r="D5074" s="500" t="s">
        <v>761</v>
      </c>
      <c r="E5074" s="501">
        <v>-10007614.800000001</v>
      </c>
      <c r="F5074" s="502" t="s">
        <v>878</v>
      </c>
      <c r="G5074" s="100">
        <v>115246045</v>
      </c>
      <c r="H5074" s="530"/>
      <c r="I5074" s="525" t="s">
        <v>657</v>
      </c>
      <c r="J5074" s="484"/>
      <c r="K5074" s="548"/>
      <c r="L5074" s="548"/>
      <c r="M5074" s="548"/>
      <c r="N5074" s="552"/>
    </row>
    <row r="5075" spans="1:14">
      <c r="A5075" s="499">
        <v>45652</v>
      </c>
      <c r="B5075" s="499">
        <v>45652</v>
      </c>
      <c r="C5075" s="500" t="s">
        <v>173</v>
      </c>
      <c r="D5075" s="500" t="s">
        <v>761</v>
      </c>
      <c r="E5075" s="501">
        <v>-38019905.619999997</v>
      </c>
      <c r="F5075" s="502" t="s">
        <v>878</v>
      </c>
      <c r="G5075" s="100">
        <v>115246048</v>
      </c>
      <c r="H5075" s="530"/>
      <c r="I5075" s="525" t="s">
        <v>715</v>
      </c>
      <c r="J5075" s="484"/>
      <c r="K5075" s="548"/>
      <c r="L5075" s="548"/>
      <c r="M5075" s="548"/>
      <c r="N5075" s="552"/>
    </row>
    <row r="5076" spans="1:14">
      <c r="A5076" s="499">
        <v>45652</v>
      </c>
      <c r="B5076" s="499">
        <v>45652</v>
      </c>
      <c r="C5076" s="500" t="s">
        <v>173</v>
      </c>
      <c r="D5076" s="500" t="s">
        <v>761</v>
      </c>
      <c r="E5076" s="501">
        <v>-44021607.170000002</v>
      </c>
      <c r="F5076" s="502" t="s">
        <v>878</v>
      </c>
      <c r="G5076" s="100">
        <v>115246051</v>
      </c>
      <c r="H5076" s="530"/>
      <c r="I5076" s="525" t="s">
        <v>692</v>
      </c>
      <c r="J5076" s="484"/>
      <c r="K5076" s="548"/>
      <c r="L5076" s="548"/>
      <c r="M5076" s="548"/>
      <c r="N5076" s="552"/>
    </row>
    <row r="5077" spans="1:14">
      <c r="A5077" s="499">
        <v>45652</v>
      </c>
      <c r="B5077" s="499">
        <v>45652</v>
      </c>
      <c r="C5077" s="500" t="s">
        <v>173</v>
      </c>
      <c r="D5077" s="500" t="s">
        <v>761</v>
      </c>
      <c r="E5077" s="501">
        <v>-45017053.289999999</v>
      </c>
      <c r="F5077" s="502" t="s">
        <v>878</v>
      </c>
      <c r="G5077" s="100">
        <v>115246054</v>
      </c>
      <c r="H5077" s="530"/>
      <c r="I5077" s="525" t="s">
        <v>721</v>
      </c>
      <c r="J5077" s="484"/>
      <c r="K5077" s="548"/>
      <c r="L5077" s="548"/>
      <c r="M5077" s="548"/>
      <c r="N5077" s="552"/>
    </row>
    <row r="5078" spans="1:14">
      <c r="A5078" s="499">
        <v>45652</v>
      </c>
      <c r="B5078" s="499">
        <v>45652</v>
      </c>
      <c r="C5078" s="500" t="s">
        <v>173</v>
      </c>
      <c r="D5078" s="500" t="s">
        <v>761</v>
      </c>
      <c r="E5078" s="501">
        <v>-48013328.5</v>
      </c>
      <c r="F5078" s="502" t="s">
        <v>878</v>
      </c>
      <c r="G5078" s="100">
        <v>115246057</v>
      </c>
      <c r="H5078" s="530"/>
      <c r="I5078" s="525" t="s">
        <v>598</v>
      </c>
      <c r="J5078" s="484"/>
      <c r="K5078" s="548"/>
      <c r="L5078" s="548"/>
      <c r="M5078" s="548"/>
      <c r="N5078" s="552"/>
    </row>
    <row r="5079" spans="1:14">
      <c r="A5079" s="499">
        <v>45652</v>
      </c>
      <c r="B5079" s="499">
        <v>45652</v>
      </c>
      <c r="C5079" s="500" t="s">
        <v>173</v>
      </c>
      <c r="D5079" s="500" t="s">
        <v>761</v>
      </c>
      <c r="E5079" s="501">
        <v>-164042682.15000001</v>
      </c>
      <c r="F5079" s="502" t="s">
        <v>878</v>
      </c>
      <c r="G5079" s="100">
        <v>115246060</v>
      </c>
      <c r="H5079" s="530"/>
      <c r="I5079" s="525" t="s">
        <v>699</v>
      </c>
      <c r="J5079" s="484"/>
      <c r="K5079" s="548"/>
      <c r="L5079" s="548"/>
      <c r="M5079" s="548"/>
      <c r="N5079" s="552"/>
    </row>
    <row r="5080" spans="1:14">
      <c r="A5080" s="499">
        <v>45652</v>
      </c>
      <c r="B5080" s="499">
        <v>45652</v>
      </c>
      <c r="C5080" s="500" t="s">
        <v>173</v>
      </c>
      <c r="D5080" s="500" t="s">
        <v>761</v>
      </c>
      <c r="E5080" s="501">
        <v>-246080513.83000001</v>
      </c>
      <c r="F5080" s="502" t="s">
        <v>878</v>
      </c>
      <c r="G5080" s="100">
        <v>115246063</v>
      </c>
      <c r="H5080" s="530"/>
      <c r="I5080" s="525" t="s">
        <v>693</v>
      </c>
      <c r="J5080" s="484"/>
      <c r="K5080" s="548"/>
      <c r="L5080" s="548"/>
      <c r="M5080" s="548"/>
      <c r="N5080" s="552"/>
    </row>
    <row r="5081" spans="1:14">
      <c r="A5081" s="499">
        <v>45652</v>
      </c>
      <c r="B5081" s="499">
        <v>45652</v>
      </c>
      <c r="C5081" s="500" t="s">
        <v>173</v>
      </c>
      <c r="D5081" s="500" t="s">
        <v>761</v>
      </c>
      <c r="E5081" s="501">
        <v>-355209572.12</v>
      </c>
      <c r="F5081" s="502" t="s">
        <v>878</v>
      </c>
      <c r="G5081" s="100">
        <v>115246066</v>
      </c>
      <c r="H5081" s="530"/>
      <c r="I5081" s="525" t="s">
        <v>708</v>
      </c>
      <c r="J5081" s="484"/>
      <c r="K5081" s="548"/>
      <c r="L5081" s="548"/>
      <c r="M5081" s="548"/>
      <c r="N5081" s="552"/>
    </row>
    <row r="5082" spans="1:14">
      <c r="A5082" s="499">
        <v>45652</v>
      </c>
      <c r="B5082" s="499">
        <v>45652</v>
      </c>
      <c r="C5082" s="500" t="s">
        <v>173</v>
      </c>
      <c r="D5082" s="500" t="s">
        <v>761</v>
      </c>
      <c r="E5082" s="501">
        <v>-5000784.55</v>
      </c>
      <c r="F5082" s="502" t="s">
        <v>878</v>
      </c>
      <c r="G5082" s="100">
        <v>115246117</v>
      </c>
      <c r="H5082" s="530"/>
      <c r="I5082" s="525" t="s">
        <v>676</v>
      </c>
      <c r="J5082" s="484"/>
      <c r="K5082" s="548"/>
      <c r="L5082" s="548"/>
      <c r="M5082" s="548"/>
      <c r="N5082" s="552"/>
    </row>
    <row r="5083" spans="1:14">
      <c r="A5083" s="499">
        <v>45652</v>
      </c>
      <c r="B5083" s="499">
        <v>45652</v>
      </c>
      <c r="C5083" s="500" t="s">
        <v>173</v>
      </c>
      <c r="D5083" s="500" t="s">
        <v>761</v>
      </c>
      <c r="E5083" s="501">
        <v>-10000550.42</v>
      </c>
      <c r="F5083" s="502" t="s">
        <v>878</v>
      </c>
      <c r="G5083" s="100">
        <v>115246120</v>
      </c>
      <c r="H5083" s="530"/>
      <c r="I5083" s="525" t="s">
        <v>816</v>
      </c>
      <c r="J5083" s="484"/>
      <c r="K5083" s="548"/>
      <c r="L5083" s="548"/>
      <c r="M5083" s="548"/>
      <c r="N5083" s="552"/>
    </row>
    <row r="5084" spans="1:14">
      <c r="A5084" s="499">
        <v>45652</v>
      </c>
      <c r="B5084" s="499">
        <v>45652</v>
      </c>
      <c r="C5084" s="500" t="s">
        <v>173</v>
      </c>
      <c r="D5084" s="500" t="s">
        <v>761</v>
      </c>
      <c r="E5084" s="501">
        <v>-13010385.1</v>
      </c>
      <c r="F5084" s="502" t="s">
        <v>878</v>
      </c>
      <c r="G5084" s="100">
        <v>115246123</v>
      </c>
      <c r="H5084" s="530"/>
      <c r="I5084" s="525" t="s">
        <v>525</v>
      </c>
      <c r="J5084" s="484"/>
      <c r="K5084" s="548"/>
      <c r="L5084" s="548"/>
      <c r="M5084" s="548"/>
      <c r="N5084" s="552"/>
    </row>
    <row r="5085" spans="1:14">
      <c r="A5085" s="499">
        <v>45652</v>
      </c>
      <c r="B5085" s="499">
        <v>45652</v>
      </c>
      <c r="C5085" s="500" t="s">
        <v>173</v>
      </c>
      <c r="D5085" s="500" t="s">
        <v>761</v>
      </c>
      <c r="E5085" s="501">
        <v>-26011101.399999999</v>
      </c>
      <c r="F5085" s="502" t="s">
        <v>878</v>
      </c>
      <c r="G5085" s="100">
        <v>115246126</v>
      </c>
      <c r="H5085" s="530"/>
      <c r="I5085" s="525" t="s">
        <v>821</v>
      </c>
      <c r="J5085" s="484"/>
      <c r="K5085" s="548"/>
      <c r="L5085" s="548"/>
      <c r="M5085" s="548"/>
      <c r="N5085" s="552"/>
    </row>
    <row r="5086" spans="1:14">
      <c r="A5086" s="499">
        <v>45652</v>
      </c>
      <c r="B5086" s="499">
        <v>45652</v>
      </c>
      <c r="C5086" s="500" t="s">
        <v>173</v>
      </c>
      <c r="D5086" s="500" t="s">
        <v>761</v>
      </c>
      <c r="E5086" s="501">
        <v>-27000137.32</v>
      </c>
      <c r="F5086" s="502" t="s">
        <v>878</v>
      </c>
      <c r="G5086" s="100">
        <v>115246129</v>
      </c>
      <c r="H5086" s="530"/>
      <c r="I5086" s="525" t="s">
        <v>717</v>
      </c>
      <c r="J5086" s="484"/>
      <c r="K5086" s="548"/>
      <c r="L5086" s="548"/>
      <c r="M5086" s="548"/>
      <c r="N5086" s="552"/>
    </row>
    <row r="5087" spans="1:14">
      <c r="A5087" s="499">
        <v>45652</v>
      </c>
      <c r="B5087" s="499">
        <v>45652</v>
      </c>
      <c r="C5087" s="500" t="s">
        <v>173</v>
      </c>
      <c r="D5087" s="500" t="s">
        <v>761</v>
      </c>
      <c r="E5087" s="501">
        <v>-41021477.109999999</v>
      </c>
      <c r="F5087" s="502" t="s">
        <v>878</v>
      </c>
      <c r="G5087" s="100">
        <v>115246132</v>
      </c>
      <c r="H5087" s="530"/>
      <c r="I5087" s="525" t="s">
        <v>715</v>
      </c>
      <c r="J5087" s="484"/>
      <c r="K5087" s="548"/>
      <c r="L5087" s="548"/>
      <c r="M5087" s="548"/>
      <c r="N5087" s="552"/>
    </row>
    <row r="5088" spans="1:14">
      <c r="A5088" s="499">
        <v>45652</v>
      </c>
      <c r="B5088" s="499">
        <v>45652</v>
      </c>
      <c r="C5088" s="500" t="s">
        <v>173</v>
      </c>
      <c r="D5088" s="500" t="s">
        <v>761</v>
      </c>
      <c r="E5088" s="501">
        <v>-56037842</v>
      </c>
      <c r="F5088" s="502" t="s">
        <v>878</v>
      </c>
      <c r="G5088" s="100">
        <v>115246135</v>
      </c>
      <c r="H5088" s="530"/>
      <c r="I5088" s="525" t="s">
        <v>690</v>
      </c>
      <c r="J5088" s="484"/>
      <c r="K5088" s="548"/>
      <c r="L5088" s="548"/>
      <c r="M5088" s="548"/>
      <c r="N5088" s="552"/>
    </row>
    <row r="5089" spans="1:14">
      <c r="A5089" s="499">
        <v>45652</v>
      </c>
      <c r="B5089" s="499">
        <v>45652</v>
      </c>
      <c r="C5089" s="500" t="s">
        <v>173</v>
      </c>
      <c r="D5089" s="500" t="s">
        <v>761</v>
      </c>
      <c r="E5089" s="501">
        <v>-124020292.34999999</v>
      </c>
      <c r="F5089" s="502" t="s">
        <v>878</v>
      </c>
      <c r="G5089" s="100">
        <v>115246138</v>
      </c>
      <c r="H5089" s="530"/>
      <c r="I5089" s="525" t="s">
        <v>709</v>
      </c>
      <c r="J5089" s="484"/>
      <c r="K5089" s="548"/>
      <c r="L5089" s="548"/>
      <c r="M5089" s="548"/>
      <c r="N5089" s="552"/>
    </row>
    <row r="5090" spans="1:14">
      <c r="A5090" s="499">
        <v>45652</v>
      </c>
      <c r="B5090" s="499">
        <v>45652</v>
      </c>
      <c r="C5090" s="500" t="s">
        <v>173</v>
      </c>
      <c r="D5090" s="500" t="s">
        <v>761</v>
      </c>
      <c r="E5090" s="501">
        <v>-210058312.16999999</v>
      </c>
      <c r="F5090" s="502" t="s">
        <v>878</v>
      </c>
      <c r="G5090" s="100">
        <v>115246141</v>
      </c>
      <c r="H5090" s="530"/>
      <c r="I5090" s="525" t="s">
        <v>598</v>
      </c>
      <c r="J5090" s="484"/>
      <c r="K5090" s="548"/>
      <c r="L5090" s="548"/>
      <c r="M5090" s="548"/>
      <c r="N5090" s="552"/>
    </row>
    <row r="5091" spans="1:14">
      <c r="A5091" s="499">
        <v>45652</v>
      </c>
      <c r="B5091" s="499">
        <v>45652</v>
      </c>
      <c r="C5091" s="500" t="s">
        <v>173</v>
      </c>
      <c r="D5091" s="500" t="s">
        <v>761</v>
      </c>
      <c r="E5091" s="501">
        <v>-343307515.27999997</v>
      </c>
      <c r="F5091" s="502" t="s">
        <v>878</v>
      </c>
      <c r="G5091" s="100">
        <v>115246144</v>
      </c>
      <c r="H5091" s="530"/>
      <c r="I5091" s="525" t="s">
        <v>604</v>
      </c>
      <c r="J5091" s="484"/>
      <c r="K5091" s="548"/>
      <c r="L5091" s="548"/>
      <c r="M5091" s="548"/>
      <c r="N5091" s="552"/>
    </row>
    <row r="5092" spans="1:14">
      <c r="A5092" s="499">
        <v>45652</v>
      </c>
      <c r="B5092" s="499">
        <v>45652</v>
      </c>
      <c r="C5092" s="500" t="s">
        <v>173</v>
      </c>
      <c r="D5092" s="500" t="s">
        <v>761</v>
      </c>
      <c r="E5092" s="501">
        <v>-141046148.16999999</v>
      </c>
      <c r="F5092" s="502" t="s">
        <v>878</v>
      </c>
      <c r="G5092" s="100">
        <v>115246147</v>
      </c>
      <c r="H5092" s="530"/>
      <c r="I5092" s="525" t="s">
        <v>693</v>
      </c>
      <c r="J5092" s="484"/>
      <c r="K5092" s="548"/>
      <c r="L5092" s="548"/>
      <c r="M5092" s="548"/>
      <c r="N5092" s="552"/>
    </row>
    <row r="5093" spans="1:14">
      <c r="A5093" s="499">
        <v>45652</v>
      </c>
      <c r="B5093" s="499">
        <v>45652</v>
      </c>
      <c r="C5093" s="500" t="s">
        <v>173</v>
      </c>
      <c r="D5093" s="500" t="s">
        <v>761</v>
      </c>
      <c r="E5093" s="501">
        <v>-8004238.5899999999</v>
      </c>
      <c r="F5093" s="502" t="s">
        <v>878</v>
      </c>
      <c r="G5093" s="100">
        <v>115246365</v>
      </c>
      <c r="H5093" s="530"/>
      <c r="I5093" s="525" t="s">
        <v>590</v>
      </c>
      <c r="J5093" s="484"/>
      <c r="K5093" s="548"/>
      <c r="L5093" s="548"/>
      <c r="M5093" s="548"/>
      <c r="N5093" s="552"/>
    </row>
    <row r="5094" spans="1:14">
      <c r="A5094" s="499">
        <v>45652</v>
      </c>
      <c r="B5094" s="499">
        <v>45662</v>
      </c>
      <c r="C5094" s="500" t="s">
        <v>173</v>
      </c>
      <c r="D5094" s="500" t="s">
        <v>761</v>
      </c>
      <c r="E5094" s="501">
        <v>10048685.800000001</v>
      </c>
      <c r="F5094" s="502" t="s">
        <v>878</v>
      </c>
      <c r="G5094" s="100">
        <v>115246045</v>
      </c>
      <c r="H5094" s="484">
        <v>115246045</v>
      </c>
      <c r="I5094" s="525" t="s">
        <v>657</v>
      </c>
      <c r="J5094" s="484"/>
      <c r="K5094" s="548"/>
      <c r="L5094" s="548"/>
      <c r="M5094" s="548"/>
      <c r="N5094" s="552"/>
    </row>
    <row r="5095" spans="1:14">
      <c r="A5095" s="499">
        <v>45652</v>
      </c>
      <c r="B5095" s="499">
        <v>45662</v>
      </c>
      <c r="C5095" s="500" t="s">
        <v>173</v>
      </c>
      <c r="D5095" s="500" t="s">
        <v>761</v>
      </c>
      <c r="E5095" s="501">
        <v>38175938.359999999</v>
      </c>
      <c r="F5095" s="502" t="s">
        <v>878</v>
      </c>
      <c r="G5095" s="100">
        <v>115246048</v>
      </c>
      <c r="H5095" s="484">
        <v>115246048</v>
      </c>
      <c r="I5095" s="525" t="s">
        <v>715</v>
      </c>
      <c r="J5095" s="484"/>
      <c r="K5095" s="548"/>
      <c r="L5095" s="548"/>
      <c r="M5095" s="548"/>
      <c r="N5095" s="552"/>
    </row>
    <row r="5096" spans="1:14">
      <c r="A5096" s="499">
        <v>45652</v>
      </c>
      <c r="B5096" s="499">
        <v>45662</v>
      </c>
      <c r="C5096" s="500" t="s">
        <v>173</v>
      </c>
      <c r="D5096" s="500" t="s">
        <v>761</v>
      </c>
      <c r="E5096" s="501">
        <v>44202270.740000002</v>
      </c>
      <c r="F5096" s="502" t="s">
        <v>878</v>
      </c>
      <c r="G5096" s="100">
        <v>115246051</v>
      </c>
      <c r="H5096" s="484">
        <v>115246051</v>
      </c>
      <c r="I5096" s="525" t="s">
        <v>692</v>
      </c>
      <c r="J5096" s="484"/>
      <c r="K5096" s="548"/>
      <c r="L5096" s="548"/>
      <c r="M5096" s="548"/>
      <c r="N5096" s="552"/>
    </row>
    <row r="5097" spans="1:14">
      <c r="A5097" s="499">
        <v>45652</v>
      </c>
      <c r="B5097" s="499">
        <v>45662</v>
      </c>
      <c r="C5097" s="500" t="s">
        <v>173</v>
      </c>
      <c r="D5097" s="500" t="s">
        <v>761</v>
      </c>
      <c r="E5097" s="501">
        <v>45201802.140000001</v>
      </c>
      <c r="F5097" s="502" t="s">
        <v>878</v>
      </c>
      <c r="G5097" s="100">
        <v>115246054</v>
      </c>
      <c r="H5097" s="484">
        <v>115246054</v>
      </c>
      <c r="I5097" s="525" t="s">
        <v>721</v>
      </c>
      <c r="J5097" s="484"/>
      <c r="K5097" s="548"/>
      <c r="L5097" s="548"/>
      <c r="M5097" s="548"/>
      <c r="N5097" s="552"/>
    </row>
    <row r="5098" spans="1:14">
      <c r="A5098" s="499">
        <v>45652</v>
      </c>
      <c r="B5098" s="499">
        <v>45662</v>
      </c>
      <c r="C5098" s="500" t="s">
        <v>173</v>
      </c>
      <c r="D5098" s="500" t="s">
        <v>761</v>
      </c>
      <c r="E5098" s="501">
        <v>48210373.990000002</v>
      </c>
      <c r="F5098" s="502" t="s">
        <v>878</v>
      </c>
      <c r="G5098" s="100">
        <v>115246057</v>
      </c>
      <c r="H5098" s="484">
        <v>115246057</v>
      </c>
      <c r="I5098" s="525" t="s">
        <v>598</v>
      </c>
      <c r="J5098" s="484"/>
      <c r="K5098" s="548"/>
      <c r="L5098" s="548"/>
      <c r="M5098" s="548"/>
      <c r="N5098" s="552"/>
    </row>
    <row r="5099" spans="1:14">
      <c r="A5099" s="499">
        <v>45652</v>
      </c>
      <c r="B5099" s="499">
        <v>45662</v>
      </c>
      <c r="C5099" s="500" t="s">
        <v>173</v>
      </c>
      <c r="D5099" s="500" t="s">
        <v>761</v>
      </c>
      <c r="E5099" s="501">
        <v>164715909.19</v>
      </c>
      <c r="F5099" s="502" t="s">
        <v>878</v>
      </c>
      <c r="G5099" s="100">
        <v>115246060</v>
      </c>
      <c r="H5099" s="484">
        <v>115246060</v>
      </c>
      <c r="I5099" s="525" t="s">
        <v>699</v>
      </c>
      <c r="J5099" s="484"/>
      <c r="K5099" s="548"/>
      <c r="L5099" s="548"/>
      <c r="M5099" s="548"/>
      <c r="N5099" s="552"/>
    </row>
    <row r="5100" spans="1:14">
      <c r="A5100" s="499">
        <v>45652</v>
      </c>
      <c r="B5100" s="499">
        <v>45662</v>
      </c>
      <c r="C5100" s="500" t="s">
        <v>173</v>
      </c>
      <c r="D5100" s="500" t="s">
        <v>761</v>
      </c>
      <c r="E5100" s="501">
        <v>247090422.06999999</v>
      </c>
      <c r="F5100" s="502" t="s">
        <v>878</v>
      </c>
      <c r="G5100" s="100">
        <v>115246063</v>
      </c>
      <c r="H5100" s="484">
        <v>115246063</v>
      </c>
      <c r="I5100" s="525" t="s">
        <v>693</v>
      </c>
      <c r="J5100" s="484"/>
      <c r="K5100" s="548"/>
      <c r="L5100" s="548"/>
      <c r="M5100" s="548"/>
      <c r="N5100" s="552"/>
    </row>
    <row r="5101" spans="1:14">
      <c r="A5101" s="499">
        <v>45652</v>
      </c>
      <c r="B5101" s="499">
        <v>45662</v>
      </c>
      <c r="C5101" s="500" t="s">
        <v>173</v>
      </c>
      <c r="D5101" s="500" t="s">
        <v>761</v>
      </c>
      <c r="E5101" s="501">
        <v>356667343.26999998</v>
      </c>
      <c r="F5101" s="502" t="s">
        <v>878</v>
      </c>
      <c r="G5101" s="100">
        <v>115246066</v>
      </c>
      <c r="H5101" s="484">
        <v>115246066</v>
      </c>
      <c r="I5101" s="525" t="s">
        <v>708</v>
      </c>
      <c r="J5101" s="484"/>
      <c r="K5101" s="548"/>
      <c r="L5101" s="548"/>
      <c r="M5101" s="548"/>
      <c r="N5101" s="552"/>
    </row>
    <row r="5102" spans="1:14">
      <c r="A5102" s="499">
        <v>45652</v>
      </c>
      <c r="B5102" s="499">
        <v>45653</v>
      </c>
      <c r="C5102" s="500" t="s">
        <v>173</v>
      </c>
      <c r="D5102" s="500" t="s">
        <v>761</v>
      </c>
      <c r="E5102" s="501">
        <v>5002820.3899999997</v>
      </c>
      <c r="F5102" s="502" t="s">
        <v>878</v>
      </c>
      <c r="G5102" s="100">
        <v>115246117</v>
      </c>
      <c r="H5102" s="484">
        <v>115246117</v>
      </c>
      <c r="I5102" s="525" t="s">
        <v>676</v>
      </c>
      <c r="J5102" s="484"/>
      <c r="K5102" s="548"/>
      <c r="L5102" s="548"/>
      <c r="M5102" s="548"/>
      <c r="N5102" s="552"/>
    </row>
    <row r="5103" spans="1:14">
      <c r="A5103" s="499">
        <v>45652</v>
      </c>
      <c r="B5103" s="499">
        <v>45653</v>
      </c>
      <c r="C5103" s="500" t="s">
        <v>173</v>
      </c>
      <c r="D5103" s="500" t="s">
        <v>761</v>
      </c>
      <c r="E5103" s="501">
        <v>10004621.68</v>
      </c>
      <c r="F5103" s="502" t="s">
        <v>878</v>
      </c>
      <c r="G5103" s="100">
        <v>115246120</v>
      </c>
      <c r="H5103" s="484">
        <v>115246120</v>
      </c>
      <c r="I5103" s="525" t="s">
        <v>816</v>
      </c>
      <c r="J5103" s="484"/>
      <c r="K5103" s="548"/>
      <c r="L5103" s="548"/>
      <c r="M5103" s="548"/>
      <c r="N5103" s="552"/>
    </row>
    <row r="5104" spans="1:14">
      <c r="A5104" s="499">
        <v>45652</v>
      </c>
      <c r="B5104" s="499">
        <v>45653</v>
      </c>
      <c r="C5104" s="500" t="s">
        <v>173</v>
      </c>
      <c r="D5104" s="500" t="s">
        <v>761</v>
      </c>
      <c r="E5104" s="501">
        <v>13015681.68</v>
      </c>
      <c r="F5104" s="502" t="s">
        <v>878</v>
      </c>
      <c r="G5104" s="100">
        <v>115246123</v>
      </c>
      <c r="H5104" s="484">
        <v>115246123</v>
      </c>
      <c r="I5104" s="525" t="s">
        <v>525</v>
      </c>
      <c r="J5104" s="484"/>
      <c r="K5104" s="548"/>
      <c r="L5104" s="548"/>
      <c r="M5104" s="548"/>
      <c r="N5104" s="552"/>
    </row>
    <row r="5105" spans="1:25">
      <c r="A5105" s="499">
        <v>45652</v>
      </c>
      <c r="B5105" s="499">
        <v>45653</v>
      </c>
      <c r="C5105" s="500" t="s">
        <v>173</v>
      </c>
      <c r="D5105" s="500" t="s">
        <v>761</v>
      </c>
      <c r="E5105" s="501">
        <v>26021690.620000001</v>
      </c>
      <c r="F5105" s="502" t="s">
        <v>878</v>
      </c>
      <c r="G5105" s="100">
        <v>115246126</v>
      </c>
      <c r="H5105" s="484">
        <v>115246126</v>
      </c>
      <c r="I5105" s="525" t="s">
        <v>821</v>
      </c>
      <c r="J5105" s="484"/>
      <c r="K5105" s="548"/>
      <c r="L5105" s="548"/>
      <c r="M5105" s="548"/>
      <c r="N5105" s="552"/>
    </row>
    <row r="5106" spans="1:25">
      <c r="A5106" s="499">
        <v>45652</v>
      </c>
      <c r="B5106" s="499">
        <v>45653</v>
      </c>
      <c r="C5106" s="500" t="s">
        <v>173</v>
      </c>
      <c r="D5106" s="500" t="s">
        <v>761</v>
      </c>
      <c r="E5106" s="501">
        <v>27011129.18</v>
      </c>
      <c r="F5106" s="502" t="s">
        <v>878</v>
      </c>
      <c r="G5106" s="100">
        <v>115246129</v>
      </c>
      <c r="H5106" s="484">
        <v>115246129</v>
      </c>
      <c r="I5106" s="525" t="s">
        <v>717</v>
      </c>
      <c r="J5106" s="484"/>
      <c r="K5106" s="548"/>
      <c r="L5106" s="548"/>
      <c r="M5106" s="548"/>
      <c r="N5106" s="552"/>
    </row>
    <row r="5107" spans="1:25">
      <c r="A5107" s="499">
        <v>45652</v>
      </c>
      <c r="B5107" s="499">
        <v>45653</v>
      </c>
      <c r="C5107" s="500" t="s">
        <v>173</v>
      </c>
      <c r="D5107" s="500" t="s">
        <v>761</v>
      </c>
      <c r="E5107" s="501">
        <v>41038177.109999999</v>
      </c>
      <c r="F5107" s="502" t="s">
        <v>878</v>
      </c>
      <c r="G5107" s="100">
        <v>115246132</v>
      </c>
      <c r="H5107" s="484">
        <v>115246132</v>
      </c>
      <c r="I5107" s="525" t="s">
        <v>715</v>
      </c>
      <c r="J5107" s="484"/>
      <c r="K5107" s="548"/>
      <c r="L5107" s="548"/>
      <c r="M5107" s="548"/>
      <c r="N5107" s="552"/>
    </row>
    <row r="5108" spans="1:25">
      <c r="A5108" s="499">
        <v>45652</v>
      </c>
      <c r="B5108" s="499">
        <v>45653</v>
      </c>
      <c r="C5108" s="500" t="s">
        <v>173</v>
      </c>
      <c r="D5108" s="500" t="s">
        <v>761</v>
      </c>
      <c r="E5108" s="501">
        <v>56060655.219999999</v>
      </c>
      <c r="F5108" s="502" t="s">
        <v>878</v>
      </c>
      <c r="G5108" s="100">
        <v>115246135</v>
      </c>
      <c r="H5108" s="484">
        <v>115246135</v>
      </c>
      <c r="I5108" s="525" t="s">
        <v>690</v>
      </c>
      <c r="J5108" s="484"/>
      <c r="K5108" s="548"/>
      <c r="L5108" s="548"/>
      <c r="M5108" s="548"/>
      <c r="N5108" s="552"/>
    </row>
    <row r="5109" spans="1:25">
      <c r="A5109" s="499">
        <v>45652</v>
      </c>
      <c r="B5109" s="499">
        <v>45653</v>
      </c>
      <c r="C5109" s="500" t="s">
        <v>173</v>
      </c>
      <c r="D5109" s="500" t="s">
        <v>761</v>
      </c>
      <c r="E5109" s="501">
        <v>124070781.48999999</v>
      </c>
      <c r="F5109" s="502" t="s">
        <v>878</v>
      </c>
      <c r="G5109" s="100">
        <v>115246138</v>
      </c>
      <c r="H5109" s="484">
        <v>115246138</v>
      </c>
      <c r="I5109" s="525" t="s">
        <v>709</v>
      </c>
      <c r="J5109" s="484"/>
      <c r="K5109" s="548"/>
      <c r="L5109" s="548"/>
      <c r="M5109" s="548"/>
      <c r="N5109" s="552"/>
    </row>
    <row r="5110" spans="1:25">
      <c r="A5110" s="499">
        <v>45652</v>
      </c>
      <c r="B5110" s="499">
        <v>45653</v>
      </c>
      <c r="C5110" s="500" t="s">
        <v>173</v>
      </c>
      <c r="D5110" s="500" t="s">
        <v>761</v>
      </c>
      <c r="E5110" s="501">
        <v>210143827.71000001</v>
      </c>
      <c r="F5110" s="502" t="s">
        <v>878</v>
      </c>
      <c r="G5110" s="100">
        <v>115246141</v>
      </c>
      <c r="H5110" s="484">
        <v>115246141</v>
      </c>
      <c r="I5110" s="525" t="s">
        <v>598</v>
      </c>
      <c r="J5110" s="484"/>
      <c r="K5110" s="548"/>
      <c r="L5110" s="548"/>
      <c r="M5110" s="548"/>
      <c r="N5110" s="552"/>
    </row>
    <row r="5111" spans="1:25">
      <c r="A5111" s="499">
        <v>45652</v>
      </c>
      <c r="B5111" s="499">
        <v>45653</v>
      </c>
      <c r="C5111" s="500" t="s">
        <v>173</v>
      </c>
      <c r="D5111" s="500" t="s">
        <v>761</v>
      </c>
      <c r="E5111" s="501">
        <v>343447277.07999998</v>
      </c>
      <c r="F5111" s="502" t="s">
        <v>878</v>
      </c>
      <c r="G5111" s="100">
        <v>115246144</v>
      </c>
      <c r="H5111" s="484">
        <v>115246144</v>
      </c>
      <c r="I5111" s="525" t="s">
        <v>604</v>
      </c>
      <c r="J5111" s="484"/>
      <c r="K5111" s="548"/>
      <c r="L5111" s="548"/>
      <c r="M5111" s="548"/>
      <c r="N5111" s="552"/>
    </row>
    <row r="5112" spans="1:25">
      <c r="A5112" s="499">
        <v>45652</v>
      </c>
      <c r="B5112" s="499">
        <v>45653</v>
      </c>
      <c r="C5112" s="500" t="s">
        <v>173</v>
      </c>
      <c r="D5112" s="500" t="s">
        <v>761</v>
      </c>
      <c r="E5112" s="501">
        <v>141103568.59999999</v>
      </c>
      <c r="F5112" s="502" t="s">
        <v>878</v>
      </c>
      <c r="G5112" s="100">
        <v>115246147</v>
      </c>
      <c r="H5112" s="484">
        <v>115246147</v>
      </c>
      <c r="I5112" s="525" t="s">
        <v>693</v>
      </c>
      <c r="J5112" s="484"/>
      <c r="K5112" s="548"/>
      <c r="L5112" s="548"/>
      <c r="M5112" s="548"/>
      <c r="N5112" s="552"/>
    </row>
    <row r="5113" spans="1:25">
      <c r="A5113" s="499">
        <v>45652</v>
      </c>
      <c r="B5113" s="499">
        <v>45653</v>
      </c>
      <c r="C5113" s="500" t="s">
        <v>173</v>
      </c>
      <c r="D5113" s="500" t="s">
        <v>761</v>
      </c>
      <c r="E5113" s="501">
        <v>8007497.1500000004</v>
      </c>
      <c r="F5113" s="502" t="s">
        <v>878</v>
      </c>
      <c r="G5113" s="100">
        <v>115246365</v>
      </c>
      <c r="H5113" s="484">
        <v>115246365</v>
      </c>
      <c r="I5113" s="525" t="s">
        <v>590</v>
      </c>
      <c r="J5113" s="484"/>
      <c r="K5113" s="548"/>
      <c r="L5113" s="548"/>
      <c r="M5113" s="548"/>
      <c r="N5113" s="552"/>
    </row>
    <row r="5114" spans="1:25" ht="15">
      <c r="A5114" s="499">
        <v>45652</v>
      </c>
      <c r="B5114" s="499">
        <v>45656</v>
      </c>
      <c r="C5114" s="500" t="s">
        <v>173</v>
      </c>
      <c r="D5114" s="500" t="s">
        <v>761</v>
      </c>
      <c r="E5114" s="501">
        <v>-263721964.22</v>
      </c>
      <c r="F5114" s="502" t="s">
        <v>906</v>
      </c>
      <c r="G5114" s="502" t="s">
        <v>476</v>
      </c>
      <c r="H5114" s="100"/>
      <c r="I5114" s="525" t="s">
        <v>677</v>
      </c>
      <c r="K5114" s="548">
        <v>115250090</v>
      </c>
      <c r="L5114" s="549">
        <v>90.313400000000001</v>
      </c>
      <c r="M5114" s="549">
        <f>E5114*(-1)/(N5114*O5114)*100</f>
        <v>100.27451111026615</v>
      </c>
      <c r="N5114" s="554">
        <v>263000</v>
      </c>
      <c r="O5114" s="539">
        <f>VLOOKUP(G5114,Справочник!A:J,10,0)</f>
        <v>1000</v>
      </c>
      <c r="T5114" s="554">
        <v>13.75</v>
      </c>
      <c r="U5114" s="554">
        <v>13186.1</v>
      </c>
      <c r="V5114" s="554">
        <v>26372.2</v>
      </c>
      <c r="W5114" s="550">
        <f>VLOOKUP(G5114,Справочник!A:C,3,0)</f>
        <v>0.11</v>
      </c>
      <c r="X5114" s="539" t="str">
        <f>VLOOKUP(G5114,Справочник!A:G,7,0)</f>
        <v>Министерство финансов Республики Казахстан</v>
      </c>
      <c r="Y5114" s="551">
        <f>VLOOKUP(G5114,Справочник!A:B,2,0)</f>
        <v>47518</v>
      </c>
    </row>
    <row r="5115" spans="1:25" ht="15">
      <c r="A5115" s="499">
        <v>45652</v>
      </c>
      <c r="B5115" s="499">
        <v>45656</v>
      </c>
      <c r="C5115" s="500" t="s">
        <v>173</v>
      </c>
      <c r="D5115" s="500" t="s">
        <v>761</v>
      </c>
      <c r="E5115" s="501">
        <v>-234335800</v>
      </c>
      <c r="F5115" s="502" t="s">
        <v>906</v>
      </c>
      <c r="G5115" s="502" t="s">
        <v>503</v>
      </c>
      <c r="H5115" s="100"/>
      <c r="I5115" s="525" t="s">
        <v>671</v>
      </c>
      <c r="K5115" s="548">
        <v>115250107</v>
      </c>
      <c r="L5115" s="549">
        <v>104.5454</v>
      </c>
      <c r="M5115" s="549">
        <f>E5115*(-1)/(N5115*O5115)*100</f>
        <v>117.16789999999999</v>
      </c>
      <c r="N5115" s="554">
        <v>200000</v>
      </c>
      <c r="O5115" s="539">
        <f>VLOOKUP(G5115,Справочник!A:J,10,0)</f>
        <v>1000</v>
      </c>
      <c r="T5115" s="554">
        <v>13.75</v>
      </c>
      <c r="U5115" s="554">
        <v>11716.79</v>
      </c>
      <c r="V5115" s="554">
        <v>23433.58</v>
      </c>
      <c r="W5115" s="550">
        <f>VLOOKUP(G5115,Справочник!A:C,3,0)</f>
        <v>0.153</v>
      </c>
      <c r="X5115" s="539" t="str">
        <f>VLOOKUP(G5115,Справочник!A:G,7,0)</f>
        <v>Министерство финансов Республики Казахстан</v>
      </c>
      <c r="Y5115" s="551">
        <f>VLOOKUP(G5115,Справочник!A:B,2,0)</f>
        <v>47180</v>
      </c>
    </row>
    <row r="5116" spans="1:25">
      <c r="A5116" s="499">
        <v>45652</v>
      </c>
      <c r="B5116" s="499">
        <v>45652</v>
      </c>
      <c r="C5116" s="500" t="s">
        <v>173</v>
      </c>
      <c r="D5116" s="500" t="s">
        <v>759</v>
      </c>
      <c r="E5116" s="501">
        <v>-1000529824</v>
      </c>
      <c r="F5116" s="502" t="s">
        <v>878</v>
      </c>
      <c r="G5116" s="100">
        <v>115246368</v>
      </c>
      <c r="H5116" s="530"/>
      <c r="I5116" s="422" t="s">
        <v>590</v>
      </c>
      <c r="J5116" s="484"/>
      <c r="K5116" s="548"/>
      <c r="L5116" s="548"/>
      <c r="M5116" s="548"/>
      <c r="N5116" s="552"/>
    </row>
    <row r="5117" spans="1:25">
      <c r="A5117" s="499">
        <v>45652</v>
      </c>
      <c r="B5117" s="499">
        <v>45652</v>
      </c>
      <c r="C5117" s="500" t="s">
        <v>173</v>
      </c>
      <c r="D5117" s="500" t="s">
        <v>759</v>
      </c>
      <c r="E5117" s="501">
        <v>-993554530.91999996</v>
      </c>
      <c r="F5117" s="502" t="s">
        <v>878</v>
      </c>
      <c r="G5117" s="100">
        <v>115246371</v>
      </c>
      <c r="H5117" s="530"/>
      <c r="I5117" s="422" t="s">
        <v>689</v>
      </c>
      <c r="J5117" s="484"/>
      <c r="K5117" s="548"/>
      <c r="L5117" s="548"/>
      <c r="M5117" s="548"/>
      <c r="N5117" s="552"/>
    </row>
    <row r="5118" spans="1:25">
      <c r="A5118" s="499">
        <v>45652</v>
      </c>
      <c r="B5118" s="499">
        <v>45652</v>
      </c>
      <c r="C5118" s="500" t="s">
        <v>173</v>
      </c>
      <c r="D5118" s="500" t="s">
        <v>759</v>
      </c>
      <c r="E5118" s="501">
        <v>-7004861.4900000002</v>
      </c>
      <c r="F5118" s="502" t="s">
        <v>878</v>
      </c>
      <c r="G5118" s="100">
        <v>115252665</v>
      </c>
      <c r="H5118" s="530"/>
      <c r="I5118" s="422" t="s">
        <v>687</v>
      </c>
      <c r="J5118" s="484"/>
      <c r="K5118" s="548"/>
      <c r="L5118" s="548"/>
      <c r="M5118" s="548"/>
      <c r="N5118" s="552"/>
    </row>
    <row r="5119" spans="1:25">
      <c r="A5119" s="499">
        <v>45652</v>
      </c>
      <c r="B5119" s="499">
        <v>45653</v>
      </c>
      <c r="C5119" s="500" t="s">
        <v>173</v>
      </c>
      <c r="D5119" s="500" t="s">
        <v>759</v>
      </c>
      <c r="E5119" s="501">
        <v>1000937143.52</v>
      </c>
      <c r="F5119" s="502" t="s">
        <v>878</v>
      </c>
      <c r="G5119" s="100">
        <v>115246368</v>
      </c>
      <c r="H5119" s="100">
        <v>115246368</v>
      </c>
      <c r="I5119" s="422" t="s">
        <v>590</v>
      </c>
      <c r="J5119" s="484"/>
      <c r="K5119" s="548"/>
      <c r="L5119" s="548"/>
      <c r="M5119" s="548"/>
      <c r="N5119" s="552"/>
    </row>
    <row r="5120" spans="1:25">
      <c r="A5120" s="499">
        <v>45652</v>
      </c>
      <c r="B5120" s="499">
        <v>45653</v>
      </c>
      <c r="C5120" s="500" t="s">
        <v>173</v>
      </c>
      <c r="D5120" s="500" t="s">
        <v>759</v>
      </c>
      <c r="E5120" s="501">
        <v>993959010.76999998</v>
      </c>
      <c r="F5120" s="502" t="s">
        <v>878</v>
      </c>
      <c r="G5120" s="100">
        <v>115246371</v>
      </c>
      <c r="H5120" s="100">
        <v>115246371</v>
      </c>
      <c r="I5120" s="422" t="s">
        <v>689</v>
      </c>
      <c r="J5120" s="484"/>
      <c r="K5120" s="548"/>
      <c r="L5120" s="548"/>
      <c r="M5120" s="548"/>
      <c r="N5120" s="552"/>
    </row>
    <row r="5121" spans="1:25">
      <c r="A5121" s="499">
        <v>45652</v>
      </c>
      <c r="B5121" s="499">
        <v>45653</v>
      </c>
      <c r="C5121" s="500" t="s">
        <v>173</v>
      </c>
      <c r="D5121" s="500" t="s">
        <v>759</v>
      </c>
      <c r="E5121" s="501">
        <v>7007782.0999999996</v>
      </c>
      <c r="F5121" s="502" t="s">
        <v>878</v>
      </c>
      <c r="G5121" s="100">
        <v>115252665</v>
      </c>
      <c r="H5121" s="100">
        <v>115252665</v>
      </c>
      <c r="I5121" s="422" t="s">
        <v>687</v>
      </c>
      <c r="J5121" s="484"/>
      <c r="K5121" s="548"/>
      <c r="L5121" s="548"/>
      <c r="M5121" s="548"/>
      <c r="N5121" s="552"/>
    </row>
    <row r="5122" spans="1:25">
      <c r="A5122" s="499">
        <v>45652</v>
      </c>
      <c r="B5122" s="499">
        <v>45652</v>
      </c>
      <c r="C5122" s="500" t="s">
        <v>173</v>
      </c>
      <c r="D5122" s="500" t="s">
        <v>760</v>
      </c>
      <c r="E5122" s="501">
        <v>-130044454.54000001</v>
      </c>
      <c r="F5122" s="502" t="s">
        <v>878</v>
      </c>
      <c r="G5122" s="100">
        <v>115246726</v>
      </c>
      <c r="H5122" s="530"/>
      <c r="I5122" s="422" t="s">
        <v>701</v>
      </c>
      <c r="J5122" s="484"/>
      <c r="K5122" s="548"/>
      <c r="L5122" s="548"/>
      <c r="M5122" s="548"/>
      <c r="N5122" s="552"/>
    </row>
    <row r="5123" spans="1:25">
      <c r="A5123" s="499">
        <v>45652</v>
      </c>
      <c r="B5123" s="499">
        <v>45652</v>
      </c>
      <c r="C5123" s="500" t="s">
        <v>173</v>
      </c>
      <c r="D5123" s="500" t="s">
        <v>760</v>
      </c>
      <c r="E5123" s="501">
        <v>-170036268.47999999</v>
      </c>
      <c r="F5123" s="502" t="s">
        <v>878</v>
      </c>
      <c r="G5123" s="100">
        <v>115246729</v>
      </c>
      <c r="H5123" s="530"/>
      <c r="I5123" s="422" t="s">
        <v>677</v>
      </c>
      <c r="J5123" s="484"/>
      <c r="K5123" s="548"/>
      <c r="L5123" s="548"/>
      <c r="M5123" s="548"/>
      <c r="N5123" s="552"/>
    </row>
    <row r="5124" spans="1:25">
      <c r="A5124" s="499">
        <v>45652</v>
      </c>
      <c r="B5124" s="499">
        <v>45653</v>
      </c>
      <c r="C5124" s="500" t="s">
        <v>173</v>
      </c>
      <c r="D5124" s="500" t="s">
        <v>760</v>
      </c>
      <c r="E5124" s="501">
        <v>130097396.13</v>
      </c>
      <c r="F5124" s="502" t="s">
        <v>878</v>
      </c>
      <c r="G5124" s="100">
        <v>115246726</v>
      </c>
      <c r="H5124" s="100">
        <v>115246726</v>
      </c>
      <c r="I5124" s="422" t="s">
        <v>701</v>
      </c>
      <c r="J5124" s="484"/>
      <c r="K5124" s="548"/>
      <c r="L5124" s="548"/>
      <c r="M5124" s="548"/>
      <c r="N5124" s="552"/>
    </row>
    <row r="5125" spans="1:25">
      <c r="A5125" s="499">
        <v>45652</v>
      </c>
      <c r="B5125" s="499">
        <v>45653</v>
      </c>
      <c r="C5125" s="500" t="s">
        <v>173</v>
      </c>
      <c r="D5125" s="500" t="s">
        <v>760</v>
      </c>
      <c r="E5125" s="501">
        <v>170105490.90000001</v>
      </c>
      <c r="F5125" s="502" t="s">
        <v>878</v>
      </c>
      <c r="G5125" s="100">
        <v>115246729</v>
      </c>
      <c r="H5125" s="100">
        <v>115246729</v>
      </c>
      <c r="I5125" s="422" t="s">
        <v>677</v>
      </c>
      <c r="J5125" s="484"/>
      <c r="K5125" s="548"/>
      <c r="L5125" s="548"/>
      <c r="M5125" s="548"/>
      <c r="N5125" s="552"/>
    </row>
    <row r="5126" spans="1:25">
      <c r="A5126" s="499">
        <v>45652</v>
      </c>
      <c r="B5126" s="499">
        <v>45652</v>
      </c>
      <c r="C5126" s="500" t="s">
        <v>173</v>
      </c>
      <c r="D5126" s="500" t="s">
        <v>763</v>
      </c>
      <c r="E5126" s="501">
        <v>-5532836925.2200003</v>
      </c>
      <c r="F5126" s="502" t="s">
        <v>878</v>
      </c>
      <c r="G5126" s="100">
        <v>115246009</v>
      </c>
      <c r="H5126" s="530"/>
      <c r="I5126" s="422" t="s">
        <v>684</v>
      </c>
      <c r="J5126" s="484"/>
      <c r="K5126" s="548"/>
      <c r="L5126" s="548"/>
      <c r="M5126" s="548"/>
      <c r="N5126" s="552"/>
    </row>
    <row r="5127" spans="1:25">
      <c r="A5127" s="499">
        <v>45652</v>
      </c>
      <c r="B5127" s="499">
        <v>45652</v>
      </c>
      <c r="C5127" s="500" t="s">
        <v>173</v>
      </c>
      <c r="D5127" s="500" t="s">
        <v>763</v>
      </c>
      <c r="E5127" s="501">
        <v>-23018514.539999999</v>
      </c>
      <c r="F5127" s="502" t="s">
        <v>878</v>
      </c>
      <c r="G5127" s="100">
        <v>115246612</v>
      </c>
      <c r="H5127" s="530"/>
      <c r="I5127" s="422" t="s">
        <v>652</v>
      </c>
      <c r="J5127" s="484"/>
      <c r="K5127" s="548"/>
      <c r="L5127" s="548"/>
      <c r="M5127" s="548"/>
      <c r="N5127" s="552"/>
    </row>
    <row r="5128" spans="1:25">
      <c r="A5128" s="499">
        <v>45652</v>
      </c>
      <c r="B5128" s="499">
        <v>45653</v>
      </c>
      <c r="C5128" s="500" t="s">
        <v>173</v>
      </c>
      <c r="D5128" s="500" t="s">
        <v>763</v>
      </c>
      <c r="E5128" s="501">
        <v>5535045524.8800001</v>
      </c>
      <c r="F5128" s="502" t="s">
        <v>878</v>
      </c>
      <c r="G5128" s="100">
        <v>115246009</v>
      </c>
      <c r="H5128" s="100">
        <v>115246009</v>
      </c>
      <c r="I5128" s="422" t="s">
        <v>684</v>
      </c>
      <c r="J5128" s="484"/>
      <c r="K5128" s="548"/>
      <c r="L5128" s="548"/>
      <c r="M5128" s="548"/>
      <c r="N5128" s="552"/>
    </row>
    <row r="5129" spans="1:25">
      <c r="A5129" s="499">
        <v>45652</v>
      </c>
      <c r="B5129" s="499">
        <v>45653</v>
      </c>
      <c r="C5129" s="500" t="s">
        <v>173</v>
      </c>
      <c r="D5129" s="500" t="s">
        <v>763</v>
      </c>
      <c r="E5129" s="501">
        <v>23027759.68</v>
      </c>
      <c r="F5129" s="502" t="s">
        <v>878</v>
      </c>
      <c r="G5129" s="100">
        <v>115246612</v>
      </c>
      <c r="H5129" s="100">
        <v>115246612</v>
      </c>
      <c r="I5129" s="422" t="s">
        <v>652</v>
      </c>
      <c r="J5129" s="484"/>
      <c r="K5129" s="548"/>
      <c r="L5129" s="548"/>
      <c r="M5129" s="548"/>
      <c r="N5129" s="552"/>
    </row>
    <row r="5130" spans="1:25">
      <c r="A5130" s="499">
        <v>45653</v>
      </c>
      <c r="B5130" s="499">
        <v>45653</v>
      </c>
      <c r="C5130" s="500" t="s">
        <v>173</v>
      </c>
      <c r="D5130" s="500" t="s">
        <v>761</v>
      </c>
      <c r="E5130" s="501">
        <v>-937788279.36000001</v>
      </c>
      <c r="F5130" s="502" t="s">
        <v>878</v>
      </c>
      <c r="G5130" s="100">
        <v>115264537</v>
      </c>
      <c r="H5130" s="530"/>
      <c r="I5130" s="422" t="s">
        <v>673</v>
      </c>
      <c r="J5130" s="484"/>
      <c r="K5130" s="548"/>
      <c r="L5130" s="548"/>
      <c r="M5130" s="548"/>
      <c r="N5130" s="552"/>
    </row>
    <row r="5131" spans="1:25">
      <c r="A5131" s="499">
        <v>45653</v>
      </c>
      <c r="B5131" s="499">
        <v>45653</v>
      </c>
      <c r="C5131" s="500" t="s">
        <v>173</v>
      </c>
      <c r="D5131" s="500" t="s">
        <v>761</v>
      </c>
      <c r="E5131" s="501">
        <v>-63042768.43</v>
      </c>
      <c r="F5131" s="502" t="s">
        <v>878</v>
      </c>
      <c r="G5131" s="100">
        <v>115264540</v>
      </c>
      <c r="H5131" s="530"/>
      <c r="I5131" s="422" t="s">
        <v>588</v>
      </c>
      <c r="J5131" s="484"/>
      <c r="K5131" s="548"/>
      <c r="L5131" s="548"/>
      <c r="M5131" s="548"/>
      <c r="N5131" s="552"/>
    </row>
    <row r="5132" spans="1:25">
      <c r="A5132" s="499">
        <v>45653</v>
      </c>
      <c r="B5132" s="499">
        <v>45653</v>
      </c>
      <c r="C5132" s="500" t="s">
        <v>173</v>
      </c>
      <c r="D5132" s="500" t="s">
        <v>761</v>
      </c>
      <c r="E5132" s="501">
        <v>-4002159.28</v>
      </c>
      <c r="F5132" s="502" t="s">
        <v>878</v>
      </c>
      <c r="G5132" s="100">
        <v>115264595</v>
      </c>
      <c r="H5132" s="530"/>
      <c r="I5132" s="422" t="s">
        <v>684</v>
      </c>
      <c r="J5132" s="484"/>
      <c r="K5132" s="548"/>
      <c r="L5132" s="548"/>
      <c r="M5132" s="548"/>
      <c r="N5132" s="552"/>
    </row>
    <row r="5133" spans="1:25">
      <c r="A5133" s="499">
        <v>45653</v>
      </c>
      <c r="B5133" s="499">
        <v>45656</v>
      </c>
      <c r="C5133" s="500" t="s">
        <v>173</v>
      </c>
      <c r="D5133" s="500" t="s">
        <v>761</v>
      </c>
      <c r="E5133" s="501">
        <v>938959746.02999997</v>
      </c>
      <c r="F5133" s="502" t="s">
        <v>878</v>
      </c>
      <c r="G5133" s="100">
        <v>115264537</v>
      </c>
      <c r="H5133" s="484">
        <v>115264537</v>
      </c>
      <c r="I5133" s="422" t="s">
        <v>673</v>
      </c>
      <c r="J5133" s="484"/>
      <c r="K5133" s="548"/>
      <c r="L5133" s="548"/>
      <c r="M5133" s="548"/>
      <c r="N5133" s="552"/>
    </row>
    <row r="5134" spans="1:25">
      <c r="A5134" s="499">
        <v>45653</v>
      </c>
      <c r="B5134" s="499">
        <v>45656</v>
      </c>
      <c r="C5134" s="500" t="s">
        <v>173</v>
      </c>
      <c r="D5134" s="500" t="s">
        <v>761</v>
      </c>
      <c r="E5134" s="501">
        <v>63121520.219999999</v>
      </c>
      <c r="F5134" s="502" t="s">
        <v>878</v>
      </c>
      <c r="G5134" s="100">
        <v>115264540</v>
      </c>
      <c r="H5134" s="484">
        <v>115264540</v>
      </c>
      <c r="I5134" s="422" t="s">
        <v>588</v>
      </c>
      <c r="J5134" s="484"/>
      <c r="K5134" s="548"/>
      <c r="L5134" s="548"/>
      <c r="M5134" s="548"/>
      <c r="N5134" s="552"/>
    </row>
    <row r="5135" spans="1:25">
      <c r="A5135" s="499">
        <v>45653</v>
      </c>
      <c r="B5135" s="499">
        <v>45656</v>
      </c>
      <c r="C5135" s="500" t="s">
        <v>173</v>
      </c>
      <c r="D5135" s="500" t="s">
        <v>761</v>
      </c>
      <c r="E5135" s="501">
        <v>4007158.7</v>
      </c>
      <c r="F5135" s="502" t="s">
        <v>878</v>
      </c>
      <c r="G5135" s="100">
        <v>115264595</v>
      </c>
      <c r="H5135" s="484">
        <v>115264595</v>
      </c>
      <c r="I5135" s="422" t="s">
        <v>684</v>
      </c>
      <c r="J5135" s="484"/>
      <c r="K5135" s="548"/>
      <c r="L5135" s="548"/>
      <c r="M5135" s="548"/>
      <c r="N5135" s="552"/>
    </row>
    <row r="5136" spans="1:25" ht="15">
      <c r="A5136" s="499">
        <v>45653</v>
      </c>
      <c r="B5136" s="499">
        <v>45657</v>
      </c>
      <c r="C5136" s="500" t="s">
        <v>173</v>
      </c>
      <c r="D5136" s="500" t="s">
        <v>761</v>
      </c>
      <c r="E5136" s="501">
        <v>-396883762</v>
      </c>
      <c r="F5136" s="502" t="s">
        <v>906</v>
      </c>
      <c r="G5136" s="502" t="s">
        <v>503</v>
      </c>
      <c r="H5136" s="100"/>
      <c r="I5136" s="422" t="s">
        <v>671</v>
      </c>
      <c r="K5136" s="548">
        <v>115285716</v>
      </c>
      <c r="L5136" s="549">
        <v>103.7657</v>
      </c>
      <c r="M5136" s="549">
        <f>E5136*(-1)/(N5136*O5136)*100</f>
        <v>116.38820000000001</v>
      </c>
      <c r="N5136" s="554">
        <v>341000</v>
      </c>
      <c r="O5136" s="539">
        <f>VLOOKUP(G5136,Справочник!A:J,10,0)</f>
        <v>1000</v>
      </c>
      <c r="T5136" s="554">
        <v>14</v>
      </c>
      <c r="U5136" s="554">
        <v>19844.189999999999</v>
      </c>
      <c r="V5136" s="554">
        <v>39688.379999999997</v>
      </c>
      <c r="W5136" s="550">
        <f>VLOOKUP(G5136,Справочник!A:C,3,0)</f>
        <v>0.153</v>
      </c>
      <c r="X5136" s="539" t="str">
        <f>VLOOKUP(G5136,Справочник!A:G,7,0)</f>
        <v>Министерство финансов Республики Казахстан</v>
      </c>
      <c r="Y5136" s="551">
        <f>VLOOKUP(G5136,Справочник!A:B,2,0)</f>
        <v>47180</v>
      </c>
    </row>
    <row r="5137" spans="1:14">
      <c r="A5137" s="499">
        <v>45653</v>
      </c>
      <c r="B5137" s="499">
        <v>45657</v>
      </c>
      <c r="C5137" s="500" t="s">
        <v>173</v>
      </c>
      <c r="D5137" s="500" t="s">
        <v>761</v>
      </c>
      <c r="E5137" s="501">
        <v>187008273.59999999</v>
      </c>
      <c r="F5137" s="500" t="s">
        <v>913</v>
      </c>
      <c r="G5137" s="502" t="s">
        <v>95</v>
      </c>
      <c r="H5137" s="100"/>
      <c r="I5137" s="422" t="s">
        <v>681</v>
      </c>
      <c r="K5137" s="548"/>
      <c r="L5137" s="548"/>
      <c r="M5137" s="548"/>
      <c r="N5137" s="552"/>
    </row>
    <row r="5138" spans="1:14">
      <c r="A5138" s="499">
        <v>45653</v>
      </c>
      <c r="B5138" s="499">
        <v>45653</v>
      </c>
      <c r="C5138" s="500" t="s">
        <v>173</v>
      </c>
      <c r="D5138" s="500" t="s">
        <v>759</v>
      </c>
      <c r="E5138" s="501">
        <v>-1995677512.3199999</v>
      </c>
      <c r="F5138" s="502" t="s">
        <v>878</v>
      </c>
      <c r="G5138" s="100">
        <v>115265016</v>
      </c>
      <c r="H5138" s="530"/>
      <c r="I5138" s="422" t="s">
        <v>673</v>
      </c>
      <c r="J5138" s="484"/>
      <c r="K5138" s="548"/>
      <c r="L5138" s="548"/>
      <c r="M5138" s="548"/>
      <c r="N5138" s="552"/>
    </row>
    <row r="5139" spans="1:14">
      <c r="A5139" s="499">
        <v>45653</v>
      </c>
      <c r="B5139" s="499">
        <v>45653</v>
      </c>
      <c r="C5139" s="500" t="s">
        <v>173</v>
      </c>
      <c r="D5139" s="500" t="s">
        <v>759</v>
      </c>
      <c r="E5139" s="501">
        <v>-7002347.6299999999</v>
      </c>
      <c r="F5139" s="502" t="s">
        <v>878</v>
      </c>
      <c r="G5139" s="100">
        <v>115265864</v>
      </c>
      <c r="H5139" s="530"/>
      <c r="I5139" s="422" t="s">
        <v>765</v>
      </c>
      <c r="J5139" s="484"/>
      <c r="K5139" s="548"/>
      <c r="L5139" s="548"/>
      <c r="M5139" s="548"/>
      <c r="N5139" s="552"/>
    </row>
    <row r="5140" spans="1:14">
      <c r="A5140" s="499">
        <v>45653</v>
      </c>
      <c r="B5140" s="499">
        <v>45656</v>
      </c>
      <c r="C5140" s="500" t="s">
        <v>173</v>
      </c>
      <c r="D5140" s="500" t="s">
        <v>759</v>
      </c>
      <c r="E5140" s="501">
        <v>1998172092.8499999</v>
      </c>
      <c r="F5140" s="502" t="s">
        <v>878</v>
      </c>
      <c r="G5140" s="100">
        <v>115265016</v>
      </c>
      <c r="H5140" s="484">
        <v>115265016</v>
      </c>
      <c r="I5140" s="422" t="s">
        <v>673</v>
      </c>
      <c r="J5140" s="484"/>
      <c r="K5140" s="548"/>
      <c r="L5140" s="548"/>
      <c r="M5140" s="548"/>
      <c r="N5140" s="552"/>
    </row>
    <row r="5141" spans="1:14">
      <c r="A5141" s="499">
        <v>45653</v>
      </c>
      <c r="B5141" s="499">
        <v>45656</v>
      </c>
      <c r="C5141" s="500" t="s">
        <v>173</v>
      </c>
      <c r="D5141" s="500" t="s">
        <v>759</v>
      </c>
      <c r="E5141" s="501">
        <v>7011157.96</v>
      </c>
      <c r="F5141" s="502" t="s">
        <v>878</v>
      </c>
      <c r="G5141" s="100">
        <v>115265864</v>
      </c>
      <c r="H5141" s="484">
        <v>115265864</v>
      </c>
      <c r="I5141" s="422" t="s">
        <v>765</v>
      </c>
      <c r="J5141" s="484"/>
      <c r="K5141" s="548"/>
      <c r="L5141" s="548"/>
      <c r="M5141" s="548"/>
      <c r="N5141" s="552"/>
    </row>
    <row r="5142" spans="1:14">
      <c r="A5142" s="499">
        <v>45653</v>
      </c>
      <c r="B5142" s="499">
        <v>45653</v>
      </c>
      <c r="C5142" s="500" t="s">
        <v>173</v>
      </c>
      <c r="D5142" s="500" t="s">
        <v>760</v>
      </c>
      <c r="E5142" s="501">
        <v>-298028679.39999998</v>
      </c>
      <c r="F5142" s="502" t="s">
        <v>878</v>
      </c>
      <c r="G5142" s="100">
        <v>115265146</v>
      </c>
      <c r="H5142" s="530"/>
      <c r="I5142" s="422" t="s">
        <v>646</v>
      </c>
      <c r="J5142" s="484"/>
      <c r="K5142" s="548"/>
      <c r="L5142" s="548"/>
      <c r="M5142" s="548"/>
      <c r="N5142" s="552"/>
    </row>
    <row r="5143" spans="1:14">
      <c r="A5143" s="499">
        <v>45653</v>
      </c>
      <c r="B5143" s="499">
        <v>45656</v>
      </c>
      <c r="C5143" s="500" t="s">
        <v>173</v>
      </c>
      <c r="D5143" s="500" t="s">
        <v>760</v>
      </c>
      <c r="E5143" s="501">
        <v>298402436.68000001</v>
      </c>
      <c r="F5143" s="502" t="s">
        <v>878</v>
      </c>
      <c r="G5143" s="100">
        <v>115265146</v>
      </c>
      <c r="H5143" s="484">
        <v>115265146</v>
      </c>
      <c r="I5143" s="422" t="s">
        <v>646</v>
      </c>
      <c r="J5143" s="484"/>
      <c r="K5143" s="548"/>
      <c r="L5143" s="548"/>
      <c r="M5143" s="548"/>
      <c r="N5143" s="552"/>
    </row>
    <row r="5144" spans="1:14">
      <c r="A5144" s="499">
        <v>45653</v>
      </c>
      <c r="B5144" s="499">
        <v>45653</v>
      </c>
      <c r="C5144" s="500" t="s">
        <v>173</v>
      </c>
      <c r="D5144" s="500" t="s">
        <v>763</v>
      </c>
      <c r="E5144" s="501">
        <v>-4817713628.9200001</v>
      </c>
      <c r="F5144" s="502" t="s">
        <v>878</v>
      </c>
      <c r="G5144" s="100">
        <v>115265074</v>
      </c>
      <c r="H5144" s="530"/>
      <c r="I5144" s="422" t="s">
        <v>657</v>
      </c>
      <c r="J5144" s="484"/>
      <c r="K5144" s="548"/>
      <c r="L5144" s="548"/>
      <c r="M5144" s="548"/>
      <c r="N5144" s="552"/>
    </row>
    <row r="5145" spans="1:14">
      <c r="A5145" s="499">
        <v>45653</v>
      </c>
      <c r="B5145" s="499">
        <v>45653</v>
      </c>
      <c r="C5145" s="500" t="s">
        <v>173</v>
      </c>
      <c r="D5145" s="500" t="s">
        <v>763</v>
      </c>
      <c r="E5145" s="501">
        <v>-717221214.58000004</v>
      </c>
      <c r="F5145" s="502" t="s">
        <v>878</v>
      </c>
      <c r="G5145" s="100">
        <v>115265080</v>
      </c>
      <c r="H5145" s="530"/>
      <c r="I5145" s="422" t="s">
        <v>687</v>
      </c>
      <c r="J5145" s="484"/>
      <c r="K5145" s="548"/>
      <c r="L5145" s="548"/>
      <c r="M5145" s="548"/>
      <c r="N5145" s="552"/>
    </row>
    <row r="5146" spans="1:14">
      <c r="A5146" s="499">
        <v>45653</v>
      </c>
      <c r="B5146" s="499">
        <v>45653</v>
      </c>
      <c r="C5146" s="500" t="s">
        <v>173</v>
      </c>
      <c r="D5146" s="500" t="s">
        <v>763</v>
      </c>
      <c r="E5146" s="501">
        <v>-23007096.140000001</v>
      </c>
      <c r="F5146" s="502" t="s">
        <v>878</v>
      </c>
      <c r="G5146" s="100">
        <v>115265155</v>
      </c>
      <c r="H5146" s="530"/>
      <c r="I5146" s="422" t="s">
        <v>687</v>
      </c>
      <c r="J5146" s="484"/>
      <c r="K5146" s="548"/>
      <c r="L5146" s="548"/>
      <c r="M5146" s="548"/>
      <c r="N5146" s="552"/>
    </row>
    <row r="5147" spans="1:14">
      <c r="A5147" s="499">
        <v>45653</v>
      </c>
      <c r="B5147" s="499">
        <v>45656</v>
      </c>
      <c r="C5147" s="500" t="s">
        <v>173</v>
      </c>
      <c r="D5147" s="500" t="s">
        <v>763</v>
      </c>
      <c r="E5147" s="501">
        <v>4823637047.3199997</v>
      </c>
      <c r="F5147" s="502" t="s">
        <v>878</v>
      </c>
      <c r="G5147" s="100">
        <v>115265074</v>
      </c>
      <c r="H5147" s="484">
        <v>115265074</v>
      </c>
      <c r="I5147" s="422" t="s">
        <v>657</v>
      </c>
      <c r="J5147" s="484"/>
      <c r="K5147" s="548"/>
      <c r="L5147" s="548"/>
      <c r="M5147" s="548"/>
      <c r="N5147" s="552"/>
    </row>
    <row r="5148" spans="1:14">
      <c r="A5148" s="499">
        <v>45653</v>
      </c>
      <c r="B5148" s="499">
        <v>45656</v>
      </c>
      <c r="C5148" s="500" t="s">
        <v>173</v>
      </c>
      <c r="D5148" s="500" t="s">
        <v>763</v>
      </c>
      <c r="E5148" s="501">
        <v>718103043.94000006</v>
      </c>
      <c r="F5148" s="502" t="s">
        <v>878</v>
      </c>
      <c r="G5148" s="100">
        <v>115265080</v>
      </c>
      <c r="H5148" s="484">
        <v>115265080</v>
      </c>
      <c r="I5148" s="422" t="s">
        <v>687</v>
      </c>
      <c r="J5148" s="484"/>
      <c r="K5148" s="548"/>
      <c r="L5148" s="548"/>
      <c r="M5148" s="548"/>
      <c r="N5148" s="552"/>
    </row>
    <row r="5149" spans="1:14">
      <c r="A5149" s="499">
        <v>45653</v>
      </c>
      <c r="B5149" s="499">
        <v>45656</v>
      </c>
      <c r="C5149" s="500" t="s">
        <v>173</v>
      </c>
      <c r="D5149" s="500" t="s">
        <v>763</v>
      </c>
      <c r="E5149" s="501">
        <v>23035383.739999998</v>
      </c>
      <c r="F5149" s="502" t="s">
        <v>878</v>
      </c>
      <c r="G5149" s="100">
        <v>115265155</v>
      </c>
      <c r="H5149" s="484">
        <v>115265155</v>
      </c>
      <c r="I5149" s="422" t="s">
        <v>687</v>
      </c>
      <c r="J5149" s="484"/>
      <c r="K5149" s="548"/>
      <c r="L5149" s="548"/>
      <c r="M5149" s="548"/>
      <c r="N5149" s="552"/>
    </row>
    <row r="5150" spans="1:14">
      <c r="A5150" s="499">
        <v>45656</v>
      </c>
      <c r="B5150" s="499">
        <v>45656</v>
      </c>
      <c r="C5150" s="500" t="s">
        <v>173</v>
      </c>
      <c r="D5150" s="500" t="s">
        <v>761</v>
      </c>
      <c r="E5150" s="501">
        <v>-506266386.69999999</v>
      </c>
      <c r="F5150" s="502" t="s">
        <v>878</v>
      </c>
      <c r="G5150" s="100">
        <v>115297895</v>
      </c>
      <c r="H5150" s="530"/>
      <c r="I5150" s="422" t="s">
        <v>672</v>
      </c>
      <c r="J5150" s="484"/>
      <c r="K5150" s="548"/>
      <c r="L5150" s="548"/>
      <c r="M5150" s="548"/>
      <c r="N5150" s="552"/>
    </row>
    <row r="5151" spans="1:14">
      <c r="A5151" s="499">
        <v>45656</v>
      </c>
      <c r="B5151" s="499">
        <v>45656</v>
      </c>
      <c r="C5151" s="500" t="s">
        <v>173</v>
      </c>
      <c r="D5151" s="500" t="s">
        <v>761</v>
      </c>
      <c r="E5151" s="501">
        <v>-2000416</v>
      </c>
      <c r="F5151" s="502" t="s">
        <v>878</v>
      </c>
      <c r="G5151" s="100">
        <v>115297926</v>
      </c>
      <c r="H5151" s="530"/>
      <c r="I5151" s="422" t="s">
        <v>687</v>
      </c>
      <c r="J5151" s="484"/>
      <c r="K5151" s="548"/>
      <c r="L5151" s="548"/>
      <c r="M5151" s="548"/>
      <c r="N5151" s="552"/>
    </row>
    <row r="5152" spans="1:14">
      <c r="A5152" s="499">
        <v>45656</v>
      </c>
      <c r="B5152" s="499">
        <v>45657</v>
      </c>
      <c r="C5152" s="500" t="s">
        <v>173</v>
      </c>
      <c r="D5152" s="500" t="s">
        <v>761</v>
      </c>
      <c r="E5152" s="501">
        <v>506473181.30000001</v>
      </c>
      <c r="F5152" s="502" t="s">
        <v>878</v>
      </c>
      <c r="G5152" s="100">
        <v>115297895</v>
      </c>
      <c r="H5152" s="100">
        <v>115297895</v>
      </c>
      <c r="I5152" s="422" t="s">
        <v>672</v>
      </c>
      <c r="J5152" s="484"/>
      <c r="K5152" s="548"/>
      <c r="L5152" s="548"/>
      <c r="M5152" s="548"/>
      <c r="N5152" s="552"/>
    </row>
    <row r="5153" spans="1:14">
      <c r="A5153" s="499">
        <v>45656</v>
      </c>
      <c r="B5153" s="499">
        <v>45657</v>
      </c>
      <c r="C5153" s="500" t="s">
        <v>173</v>
      </c>
      <c r="D5153" s="500" t="s">
        <v>761</v>
      </c>
      <c r="E5153" s="501">
        <v>2001233.12</v>
      </c>
      <c r="F5153" s="502" t="s">
        <v>878</v>
      </c>
      <c r="G5153" s="100">
        <v>115297926</v>
      </c>
      <c r="H5153" s="100">
        <v>115297926</v>
      </c>
      <c r="I5153" s="422" t="s">
        <v>687</v>
      </c>
      <c r="J5153" s="484"/>
      <c r="K5153" s="548"/>
      <c r="L5153" s="548"/>
      <c r="M5153" s="548"/>
      <c r="N5153" s="552"/>
    </row>
    <row r="5154" spans="1:14">
      <c r="A5154" s="499">
        <v>45656</v>
      </c>
      <c r="B5154" s="499">
        <v>45656</v>
      </c>
      <c r="C5154" s="500" t="s">
        <v>173</v>
      </c>
      <c r="D5154" s="500" t="s">
        <v>759</v>
      </c>
      <c r="E5154" s="501">
        <v>-1997050806.1800001</v>
      </c>
      <c r="F5154" s="502" t="s">
        <v>878</v>
      </c>
      <c r="G5154" s="100">
        <v>115297999</v>
      </c>
      <c r="H5154" s="530"/>
      <c r="I5154" s="422" t="s">
        <v>516</v>
      </c>
      <c r="K5154" s="548"/>
      <c r="L5154" s="548"/>
      <c r="M5154" s="548"/>
      <c r="N5154" s="552"/>
    </row>
    <row r="5155" spans="1:14">
      <c r="A5155" s="499">
        <v>45656</v>
      </c>
      <c r="B5155" s="499">
        <v>45656</v>
      </c>
      <c r="C5155" s="500" t="s">
        <v>173</v>
      </c>
      <c r="D5155" s="500" t="s">
        <v>759</v>
      </c>
      <c r="E5155" s="501">
        <v>-8002296.1299999999</v>
      </c>
      <c r="F5155" s="502" t="s">
        <v>878</v>
      </c>
      <c r="G5155" s="100">
        <v>115301778</v>
      </c>
      <c r="H5155" s="530"/>
      <c r="I5155" s="422" t="s">
        <v>513</v>
      </c>
      <c r="K5155" s="548"/>
      <c r="L5155" s="548"/>
      <c r="M5155" s="548"/>
      <c r="N5155" s="552"/>
    </row>
    <row r="5156" spans="1:14">
      <c r="A5156" s="499">
        <v>45656</v>
      </c>
      <c r="B5156" s="499">
        <v>45657</v>
      </c>
      <c r="C5156" s="500" t="s">
        <v>173</v>
      </c>
      <c r="D5156" s="500" t="s">
        <v>759</v>
      </c>
      <c r="E5156" s="501">
        <v>1997869269.6300001</v>
      </c>
      <c r="F5156" s="502" t="s">
        <v>878</v>
      </c>
      <c r="G5156" s="100">
        <v>115297999</v>
      </c>
      <c r="H5156" s="100">
        <v>115297999</v>
      </c>
      <c r="I5156" s="422" t="s">
        <v>516</v>
      </c>
      <c r="K5156" s="548"/>
      <c r="L5156" s="548"/>
      <c r="M5156" s="548"/>
      <c r="N5156" s="552"/>
    </row>
    <row r="5157" spans="1:14">
      <c r="A5157" s="499">
        <v>45656</v>
      </c>
      <c r="B5157" s="499">
        <v>45657</v>
      </c>
      <c r="C5157" s="500" t="s">
        <v>173</v>
      </c>
      <c r="D5157" s="500" t="s">
        <v>759</v>
      </c>
      <c r="E5157" s="501">
        <v>8005532.0300000003</v>
      </c>
      <c r="F5157" s="502" t="s">
        <v>878</v>
      </c>
      <c r="G5157" s="100">
        <v>115301778</v>
      </c>
      <c r="H5157" s="100">
        <v>115301778</v>
      </c>
      <c r="I5157" s="422" t="s">
        <v>513</v>
      </c>
      <c r="K5157" s="548"/>
      <c r="L5157" s="548"/>
      <c r="M5157" s="548"/>
      <c r="N5157" s="552"/>
    </row>
    <row r="5158" spans="1:14">
      <c r="A5158" s="499">
        <v>45656</v>
      </c>
      <c r="B5158" s="499">
        <v>45656</v>
      </c>
      <c r="C5158" s="500" t="s">
        <v>173</v>
      </c>
      <c r="D5158" s="500" t="s">
        <v>760</v>
      </c>
      <c r="E5158" s="501">
        <v>-114134771.70999999</v>
      </c>
      <c r="F5158" s="502" t="s">
        <v>878</v>
      </c>
      <c r="G5158" s="100">
        <v>115295672</v>
      </c>
      <c r="H5158" s="530"/>
      <c r="I5158" s="422" t="s">
        <v>682</v>
      </c>
      <c r="J5158" s="484"/>
      <c r="K5158" s="548"/>
      <c r="L5158" s="548"/>
      <c r="M5158" s="548"/>
      <c r="N5158" s="552"/>
    </row>
    <row r="5159" spans="1:14">
      <c r="A5159" s="499">
        <v>45656</v>
      </c>
      <c r="B5159" s="499">
        <v>45656</v>
      </c>
      <c r="C5159" s="500" t="s">
        <v>173</v>
      </c>
      <c r="D5159" s="500" t="s">
        <v>760</v>
      </c>
      <c r="E5159" s="501">
        <v>-144124837.06</v>
      </c>
      <c r="F5159" s="502" t="s">
        <v>878</v>
      </c>
      <c r="G5159" s="100">
        <v>115295679</v>
      </c>
      <c r="H5159" s="530"/>
      <c r="I5159" s="422" t="s">
        <v>600</v>
      </c>
      <c r="J5159" s="484"/>
      <c r="K5159" s="548"/>
      <c r="L5159" s="548"/>
      <c r="M5159" s="548"/>
      <c r="N5159" s="552"/>
    </row>
    <row r="5160" spans="1:14">
      <c r="A5160" s="499">
        <v>45656</v>
      </c>
      <c r="B5160" s="499">
        <v>45656</v>
      </c>
      <c r="C5160" s="500" t="s">
        <v>173</v>
      </c>
      <c r="D5160" s="500" t="s">
        <v>760</v>
      </c>
      <c r="E5160" s="501">
        <v>-43021669.079999998</v>
      </c>
      <c r="F5160" s="502" t="s">
        <v>878</v>
      </c>
      <c r="G5160" s="100">
        <v>115295682</v>
      </c>
      <c r="H5160" s="530"/>
      <c r="I5160" s="422" t="s">
        <v>602</v>
      </c>
      <c r="J5160" s="484"/>
      <c r="K5160" s="548"/>
      <c r="L5160" s="548"/>
      <c r="M5160" s="548"/>
      <c r="N5160" s="552"/>
    </row>
    <row r="5161" spans="1:14">
      <c r="A5161" s="499">
        <v>45656</v>
      </c>
      <c r="B5161" s="499">
        <v>45657</v>
      </c>
      <c r="C5161" s="500" t="s">
        <v>173</v>
      </c>
      <c r="D5161" s="500" t="s">
        <v>760</v>
      </c>
      <c r="E5161" s="501">
        <v>114181548.26000001</v>
      </c>
      <c r="F5161" s="502" t="s">
        <v>878</v>
      </c>
      <c r="G5161" s="100">
        <v>115295672</v>
      </c>
      <c r="H5161" s="100">
        <v>115295672</v>
      </c>
      <c r="I5161" s="422" t="s">
        <v>682</v>
      </c>
      <c r="J5161" s="484"/>
      <c r="K5161" s="548"/>
      <c r="L5161" s="548"/>
      <c r="M5161" s="548"/>
      <c r="N5161" s="552"/>
    </row>
    <row r="5162" spans="1:14">
      <c r="A5162" s="499">
        <v>45656</v>
      </c>
      <c r="B5162" s="499">
        <v>45657</v>
      </c>
      <c r="C5162" s="500" t="s">
        <v>173</v>
      </c>
      <c r="D5162" s="500" t="s">
        <v>760</v>
      </c>
      <c r="E5162" s="501">
        <v>144183904.62</v>
      </c>
      <c r="F5162" s="502" t="s">
        <v>878</v>
      </c>
      <c r="G5162" s="100">
        <v>115295679</v>
      </c>
      <c r="H5162" s="100">
        <v>115295679</v>
      </c>
      <c r="I5162" s="422" t="s">
        <v>600</v>
      </c>
      <c r="J5162" s="484"/>
      <c r="K5162" s="548"/>
      <c r="L5162" s="548"/>
      <c r="M5162" s="548"/>
      <c r="N5162" s="552"/>
    </row>
    <row r="5163" spans="1:14">
      <c r="A5163" s="499">
        <v>45656</v>
      </c>
      <c r="B5163" s="499">
        <v>45657</v>
      </c>
      <c r="C5163" s="500" t="s">
        <v>173</v>
      </c>
      <c r="D5163" s="500" t="s">
        <v>760</v>
      </c>
      <c r="E5163" s="501">
        <v>43039300.909999996</v>
      </c>
      <c r="F5163" s="502" t="s">
        <v>878</v>
      </c>
      <c r="G5163" s="100">
        <v>115295682</v>
      </c>
      <c r="H5163" s="100">
        <v>115295682</v>
      </c>
      <c r="I5163" s="422" t="s">
        <v>602</v>
      </c>
      <c r="J5163" s="484"/>
      <c r="K5163" s="548"/>
      <c r="L5163" s="548"/>
      <c r="M5163" s="548"/>
      <c r="N5163" s="552"/>
    </row>
    <row r="5164" spans="1:14">
      <c r="A5164" s="499">
        <v>45656</v>
      </c>
      <c r="B5164" s="499">
        <v>45656</v>
      </c>
      <c r="C5164" s="500" t="s">
        <v>173</v>
      </c>
      <c r="D5164" s="500" t="s">
        <v>763</v>
      </c>
      <c r="E5164" s="501">
        <v>-5547550614.5299997</v>
      </c>
      <c r="F5164" s="502" t="s">
        <v>878</v>
      </c>
      <c r="G5164" s="100">
        <v>115295071</v>
      </c>
      <c r="H5164" s="530"/>
      <c r="I5164" s="422" t="s">
        <v>682</v>
      </c>
      <c r="J5164" s="484"/>
      <c r="K5164" s="548"/>
      <c r="L5164" s="548"/>
      <c r="M5164" s="548"/>
      <c r="N5164" s="552"/>
    </row>
    <row r="5165" spans="1:14">
      <c r="A5165" s="499">
        <v>45656</v>
      </c>
      <c r="B5165" s="499">
        <v>45656</v>
      </c>
      <c r="C5165" s="500" t="s">
        <v>173</v>
      </c>
      <c r="D5165" s="500" t="s">
        <v>763</v>
      </c>
      <c r="E5165" s="501">
        <v>-18021279.739999998</v>
      </c>
      <c r="F5165" s="502" t="s">
        <v>878</v>
      </c>
      <c r="G5165" s="100">
        <v>115295101</v>
      </c>
      <c r="H5165" s="530"/>
      <c r="I5165" s="422" t="s">
        <v>682</v>
      </c>
      <c r="J5165" s="484"/>
      <c r="K5165" s="548"/>
      <c r="L5165" s="548"/>
      <c r="M5165" s="548"/>
      <c r="N5165" s="552"/>
    </row>
    <row r="5166" spans="1:14">
      <c r="A5166" s="499">
        <v>45656</v>
      </c>
      <c r="B5166" s="499">
        <v>45657</v>
      </c>
      <c r="C5166" s="500" t="s">
        <v>173</v>
      </c>
      <c r="D5166" s="500" t="s">
        <v>763</v>
      </c>
      <c r="E5166" s="501">
        <v>5549809058.7600002</v>
      </c>
      <c r="F5166" s="502" t="s">
        <v>878</v>
      </c>
      <c r="G5166" s="100">
        <v>115295071</v>
      </c>
      <c r="H5166" s="100">
        <v>115295071</v>
      </c>
      <c r="I5166" s="422" t="s">
        <v>682</v>
      </c>
      <c r="J5166" s="484"/>
      <c r="K5166" s="548"/>
      <c r="L5166" s="548"/>
      <c r="M5166" s="548"/>
      <c r="N5166" s="552"/>
    </row>
    <row r="5167" spans="1:14">
      <c r="A5167" s="499">
        <v>45656</v>
      </c>
      <c r="B5167" s="499">
        <v>45657</v>
      </c>
      <c r="C5167" s="500" t="s">
        <v>173</v>
      </c>
      <c r="D5167" s="500" t="s">
        <v>763</v>
      </c>
      <c r="E5167" s="501">
        <v>18028616.32</v>
      </c>
      <c r="F5167" s="502" t="s">
        <v>878</v>
      </c>
      <c r="G5167" s="100">
        <v>115295101</v>
      </c>
      <c r="H5167" s="100">
        <v>115295101</v>
      </c>
      <c r="I5167" s="422" t="s">
        <v>682</v>
      </c>
      <c r="J5167" s="484"/>
      <c r="K5167" s="548"/>
      <c r="L5167" s="548"/>
      <c r="M5167" s="548"/>
      <c r="N5167" s="552"/>
    </row>
    <row r="5168" spans="1:14">
      <c r="A5168" s="499">
        <v>45657</v>
      </c>
      <c r="B5168" s="499">
        <v>45657</v>
      </c>
      <c r="C5168" s="500" t="s">
        <v>173</v>
      </c>
      <c r="D5168" s="500" t="s">
        <v>761</v>
      </c>
      <c r="E5168" s="501">
        <v>-297122853.45999998</v>
      </c>
      <c r="F5168" s="502" t="s">
        <v>878</v>
      </c>
      <c r="G5168" s="100">
        <v>115313911</v>
      </c>
      <c r="H5168" s="530"/>
      <c r="I5168" s="422" t="s">
        <v>705</v>
      </c>
      <c r="J5168" s="484"/>
      <c r="K5168" s="548"/>
      <c r="L5168" s="548"/>
      <c r="M5168" s="548"/>
      <c r="N5168" s="552"/>
    </row>
    <row r="5169" spans="1:14">
      <c r="A5169" s="499">
        <v>45657</v>
      </c>
      <c r="B5169" s="499">
        <v>45657</v>
      </c>
      <c r="C5169" s="500" t="s">
        <v>173</v>
      </c>
      <c r="D5169" s="500" t="s">
        <v>761</v>
      </c>
      <c r="E5169" s="501">
        <v>-1000009.3</v>
      </c>
      <c r="F5169" s="502" t="s">
        <v>878</v>
      </c>
      <c r="G5169" s="100">
        <v>115314161</v>
      </c>
      <c r="H5169" s="530"/>
      <c r="I5169" s="422" t="s">
        <v>646</v>
      </c>
      <c r="J5169" s="484"/>
      <c r="K5169" s="548"/>
      <c r="L5169" s="548"/>
      <c r="M5169" s="548"/>
      <c r="N5169" s="552"/>
    </row>
    <row r="5170" spans="1:14">
      <c r="A5170" s="499">
        <v>45657</v>
      </c>
      <c r="B5170" s="499">
        <v>45662</v>
      </c>
      <c r="C5170" s="500" t="s">
        <v>173</v>
      </c>
      <c r="D5170" s="500" t="s">
        <v>761</v>
      </c>
      <c r="E5170" s="501">
        <v>297739485.13999999</v>
      </c>
      <c r="F5170" s="502" t="s">
        <v>878</v>
      </c>
      <c r="G5170" s="100">
        <v>115313911</v>
      </c>
      <c r="H5170" s="100">
        <v>115313911</v>
      </c>
      <c r="I5170" s="422" t="s">
        <v>705</v>
      </c>
      <c r="J5170" s="484"/>
      <c r="K5170" s="548"/>
      <c r="L5170" s="548"/>
      <c r="M5170" s="548"/>
      <c r="N5170" s="552"/>
    </row>
    <row r="5171" spans="1:14">
      <c r="A5171" s="499">
        <v>45657</v>
      </c>
      <c r="B5171" s="499">
        <v>45662</v>
      </c>
      <c r="C5171" s="500" t="s">
        <v>173</v>
      </c>
      <c r="D5171" s="500" t="s">
        <v>761</v>
      </c>
      <c r="E5171" s="501">
        <v>1002091.51</v>
      </c>
      <c r="F5171" s="502" t="s">
        <v>878</v>
      </c>
      <c r="G5171" s="100">
        <v>115314161</v>
      </c>
      <c r="H5171" s="100">
        <v>115314161</v>
      </c>
      <c r="I5171" s="422" t="s">
        <v>646</v>
      </c>
      <c r="J5171" s="484"/>
      <c r="K5171" s="548"/>
      <c r="L5171" s="548"/>
      <c r="M5171" s="548"/>
      <c r="N5171" s="552"/>
    </row>
    <row r="5172" spans="1:14">
      <c r="A5172" s="499">
        <v>45657</v>
      </c>
      <c r="B5172" s="499">
        <v>46022</v>
      </c>
      <c r="C5172" s="500" t="s">
        <v>173</v>
      </c>
      <c r="D5172" s="500" t="s">
        <v>759</v>
      </c>
      <c r="E5172" s="501">
        <v>-3001729.39</v>
      </c>
      <c r="F5172" s="502" t="s">
        <v>878</v>
      </c>
      <c r="G5172" s="100">
        <v>115315239</v>
      </c>
      <c r="H5172" s="530"/>
      <c r="I5172" s="422" t="s">
        <v>824</v>
      </c>
      <c r="J5172" s="484"/>
      <c r="K5172" s="548"/>
      <c r="L5172" s="548"/>
      <c r="M5172" s="548"/>
      <c r="N5172" s="552"/>
    </row>
    <row r="5173" spans="1:14">
      <c r="A5173" s="499">
        <v>45657</v>
      </c>
      <c r="B5173" s="499">
        <v>45657</v>
      </c>
      <c r="C5173" s="500" t="s">
        <v>173</v>
      </c>
      <c r="D5173" s="500" t="s">
        <v>759</v>
      </c>
      <c r="E5173" s="501">
        <v>-287013857.50999999</v>
      </c>
      <c r="F5173" s="502" t="s">
        <v>878</v>
      </c>
      <c r="G5173" s="100">
        <v>115315729</v>
      </c>
      <c r="H5173" s="530"/>
      <c r="I5173" s="422" t="s">
        <v>717</v>
      </c>
      <c r="J5173" s="484"/>
      <c r="K5173" s="548"/>
      <c r="L5173" s="548"/>
      <c r="M5173" s="548"/>
      <c r="N5173" s="552"/>
    </row>
    <row r="5174" spans="1:14">
      <c r="A5174" s="499">
        <v>45657</v>
      </c>
      <c r="B5174" s="499">
        <v>45657</v>
      </c>
      <c r="C5174" s="500" t="s">
        <v>173</v>
      </c>
      <c r="D5174" s="500" t="s">
        <v>759</v>
      </c>
      <c r="E5174" s="501">
        <v>-3660176719.4400001</v>
      </c>
      <c r="F5174" s="502" t="s">
        <v>878</v>
      </c>
      <c r="G5174" s="100">
        <v>115315732</v>
      </c>
      <c r="H5174" s="530"/>
      <c r="I5174" s="422" t="s">
        <v>717</v>
      </c>
      <c r="J5174" s="484"/>
      <c r="K5174" s="548"/>
      <c r="L5174" s="548"/>
      <c r="M5174" s="548"/>
      <c r="N5174" s="552"/>
    </row>
    <row r="5175" spans="1:14">
      <c r="A5175" s="499">
        <v>45657</v>
      </c>
      <c r="B5175" s="499">
        <v>45657</v>
      </c>
      <c r="C5175" s="500" t="s">
        <v>173</v>
      </c>
      <c r="D5175" s="500" t="s">
        <v>759</v>
      </c>
      <c r="E5175" s="501">
        <v>-122039547.61</v>
      </c>
      <c r="F5175" s="502" t="s">
        <v>878</v>
      </c>
      <c r="G5175" s="100">
        <v>115315860</v>
      </c>
      <c r="H5175" s="530"/>
      <c r="I5175" s="422" t="s">
        <v>833</v>
      </c>
      <c r="J5175" s="484"/>
      <c r="K5175" s="548"/>
      <c r="L5175" s="548"/>
      <c r="M5175" s="548"/>
      <c r="N5175" s="552"/>
    </row>
    <row r="5176" spans="1:14">
      <c r="A5176" s="499">
        <v>45657</v>
      </c>
      <c r="B5176" s="499">
        <v>45657</v>
      </c>
      <c r="C5176" s="500" t="s">
        <v>173</v>
      </c>
      <c r="D5176" s="500" t="s">
        <v>759</v>
      </c>
      <c r="E5176" s="501">
        <v>-170037920.83000001</v>
      </c>
      <c r="F5176" s="502" t="s">
        <v>878</v>
      </c>
      <c r="G5176" s="100">
        <v>115315863</v>
      </c>
      <c r="H5176" s="530"/>
      <c r="I5176" s="422" t="s">
        <v>631</v>
      </c>
      <c r="J5176" s="484"/>
      <c r="K5176" s="548"/>
      <c r="L5176" s="548"/>
      <c r="M5176" s="548"/>
      <c r="N5176" s="552"/>
    </row>
    <row r="5177" spans="1:14">
      <c r="A5177" s="499">
        <v>45657</v>
      </c>
      <c r="B5177" s="499">
        <v>45657</v>
      </c>
      <c r="C5177" s="500" t="s">
        <v>173</v>
      </c>
      <c r="D5177" s="500" t="s">
        <v>759</v>
      </c>
      <c r="E5177" s="501">
        <v>-182058997.25</v>
      </c>
      <c r="F5177" s="502" t="s">
        <v>878</v>
      </c>
      <c r="G5177" s="100">
        <v>115315867</v>
      </c>
      <c r="H5177" s="530"/>
      <c r="I5177" s="422" t="s">
        <v>833</v>
      </c>
      <c r="J5177" s="484"/>
      <c r="K5177" s="548"/>
      <c r="L5177" s="548"/>
      <c r="M5177" s="548"/>
      <c r="N5177" s="552"/>
    </row>
    <row r="5178" spans="1:14">
      <c r="A5178" s="499">
        <v>45657</v>
      </c>
      <c r="B5178" s="499">
        <v>45657</v>
      </c>
      <c r="C5178" s="500" t="s">
        <v>173</v>
      </c>
      <c r="D5178" s="500" t="s">
        <v>759</v>
      </c>
      <c r="E5178" s="501">
        <v>-1524142984.0899999</v>
      </c>
      <c r="F5178" s="502" t="s">
        <v>878</v>
      </c>
      <c r="G5178" s="100">
        <v>115324631</v>
      </c>
      <c r="H5178" s="530"/>
      <c r="I5178" s="422" t="s">
        <v>686</v>
      </c>
      <c r="J5178" s="484"/>
      <c r="K5178" s="548"/>
      <c r="L5178" s="548"/>
      <c r="M5178" s="548"/>
      <c r="N5178" s="552"/>
    </row>
    <row r="5179" spans="1:14">
      <c r="A5179" s="499">
        <v>45657</v>
      </c>
      <c r="B5179" s="499">
        <v>45657</v>
      </c>
      <c r="C5179" s="500" t="s">
        <v>173</v>
      </c>
      <c r="D5179" s="500" t="s">
        <v>759</v>
      </c>
      <c r="E5179" s="501">
        <v>-24016535.780000001</v>
      </c>
      <c r="F5179" s="502" t="s">
        <v>878</v>
      </c>
      <c r="G5179" s="100">
        <v>115324831</v>
      </c>
      <c r="H5179" s="530"/>
      <c r="I5179" s="422" t="s">
        <v>693</v>
      </c>
      <c r="J5179" s="484"/>
      <c r="K5179" s="548"/>
      <c r="L5179" s="548"/>
      <c r="M5179" s="548"/>
      <c r="N5179" s="552"/>
    </row>
    <row r="5180" spans="1:14">
      <c r="A5180" s="499">
        <v>45657</v>
      </c>
      <c r="B5180" s="499">
        <v>45662</v>
      </c>
      <c r="C5180" s="500" t="s">
        <v>173</v>
      </c>
      <c r="D5180" s="500" t="s">
        <v>759</v>
      </c>
      <c r="E5180" s="501">
        <v>3008000.08</v>
      </c>
      <c r="F5180" s="502" t="s">
        <v>878</v>
      </c>
      <c r="G5180" s="100">
        <v>115315239</v>
      </c>
      <c r="H5180" s="100">
        <v>115315239</v>
      </c>
      <c r="I5180" s="422" t="s">
        <v>824</v>
      </c>
      <c r="J5180" s="484"/>
      <c r="K5180" s="548"/>
      <c r="L5180" s="548"/>
      <c r="M5180" s="548"/>
      <c r="N5180" s="552"/>
    </row>
    <row r="5181" spans="1:14">
      <c r="A5181" s="499">
        <v>45657</v>
      </c>
      <c r="B5181" s="499">
        <v>45665</v>
      </c>
      <c r="C5181" s="500" t="s">
        <v>173</v>
      </c>
      <c r="D5181" s="500" t="s">
        <v>759</v>
      </c>
      <c r="E5181" s="501">
        <v>287957464.70999998</v>
      </c>
      <c r="F5181" s="502" t="s">
        <v>878</v>
      </c>
      <c r="G5181" s="100">
        <v>115315729</v>
      </c>
      <c r="H5181" s="100">
        <v>115315729</v>
      </c>
      <c r="I5181" s="422" t="s">
        <v>717</v>
      </c>
      <c r="J5181" s="484"/>
      <c r="K5181" s="548"/>
      <c r="L5181" s="548"/>
      <c r="M5181" s="548"/>
      <c r="N5181" s="552"/>
    </row>
    <row r="5182" spans="1:14">
      <c r="A5182" s="499">
        <v>45657</v>
      </c>
      <c r="B5182" s="499">
        <v>45665</v>
      </c>
      <c r="C5182" s="500" t="s">
        <v>173</v>
      </c>
      <c r="D5182" s="500" t="s">
        <v>759</v>
      </c>
      <c r="E5182" s="501">
        <v>3672210177.1500001</v>
      </c>
      <c r="F5182" s="502" t="s">
        <v>878</v>
      </c>
      <c r="G5182" s="100">
        <v>115315732</v>
      </c>
      <c r="H5182" s="100">
        <v>115315732</v>
      </c>
      <c r="I5182" s="422" t="s">
        <v>717</v>
      </c>
      <c r="J5182" s="484"/>
      <c r="K5182" s="548"/>
      <c r="L5182" s="548"/>
      <c r="M5182" s="548"/>
      <c r="N5182" s="552"/>
    </row>
    <row r="5183" spans="1:14">
      <c r="A5183" s="499">
        <v>45657</v>
      </c>
      <c r="B5183" s="499">
        <v>45662</v>
      </c>
      <c r="C5183" s="500" t="s">
        <v>173</v>
      </c>
      <c r="D5183" s="500" t="s">
        <v>759</v>
      </c>
      <c r="E5183" s="501">
        <v>122290312.13</v>
      </c>
      <c r="F5183" s="502" t="s">
        <v>878</v>
      </c>
      <c r="G5183" s="100">
        <v>115315860</v>
      </c>
      <c r="H5183" s="100">
        <v>115315860</v>
      </c>
      <c r="I5183" s="422" t="s">
        <v>833</v>
      </c>
      <c r="J5183" s="484"/>
      <c r="K5183" s="548"/>
      <c r="L5183" s="548"/>
      <c r="M5183" s="548"/>
      <c r="N5183" s="552"/>
    </row>
    <row r="5184" spans="1:14">
      <c r="A5184" s="499">
        <v>45657</v>
      </c>
      <c r="B5184" s="499">
        <v>45662</v>
      </c>
      <c r="C5184" s="500" t="s">
        <v>173</v>
      </c>
      <c r="D5184" s="500" t="s">
        <v>759</v>
      </c>
      <c r="E5184" s="501">
        <v>170387311.49000001</v>
      </c>
      <c r="F5184" s="502" t="s">
        <v>878</v>
      </c>
      <c r="G5184" s="100">
        <v>115315863</v>
      </c>
      <c r="H5184" s="100">
        <v>115315863</v>
      </c>
      <c r="I5184" s="422" t="s">
        <v>631</v>
      </c>
      <c r="J5184" s="484"/>
      <c r="K5184" s="548"/>
      <c r="L5184" s="548"/>
      <c r="M5184" s="548"/>
      <c r="N5184" s="552"/>
    </row>
    <row r="5185" spans="1:14">
      <c r="A5185" s="499">
        <v>45657</v>
      </c>
      <c r="B5185" s="499">
        <v>45662</v>
      </c>
      <c r="C5185" s="500" t="s">
        <v>173</v>
      </c>
      <c r="D5185" s="500" t="s">
        <v>759</v>
      </c>
      <c r="E5185" s="501">
        <v>182433088.59</v>
      </c>
      <c r="F5185" s="502" t="s">
        <v>878</v>
      </c>
      <c r="G5185" s="100">
        <v>115315867</v>
      </c>
      <c r="H5185" s="100">
        <v>115315867</v>
      </c>
      <c r="I5185" s="422" t="s">
        <v>833</v>
      </c>
      <c r="J5185" s="484"/>
      <c r="K5185" s="548"/>
      <c r="L5185" s="548"/>
      <c r="M5185" s="548"/>
      <c r="N5185" s="552"/>
    </row>
    <row r="5186" spans="1:14">
      <c r="A5186" s="499">
        <v>45657</v>
      </c>
      <c r="B5186" s="499">
        <v>45662</v>
      </c>
      <c r="C5186" s="500" t="s">
        <v>173</v>
      </c>
      <c r="D5186" s="500" t="s">
        <v>759</v>
      </c>
      <c r="E5186" s="501">
        <v>1527065998.03</v>
      </c>
      <c r="F5186" s="502" t="s">
        <v>878</v>
      </c>
      <c r="G5186" s="100">
        <v>115324631</v>
      </c>
      <c r="H5186" s="100">
        <v>115324631</v>
      </c>
      <c r="I5186" s="422" t="s">
        <v>686</v>
      </c>
      <c r="J5186" s="484"/>
      <c r="K5186" s="548"/>
      <c r="L5186" s="548"/>
      <c r="M5186" s="548"/>
      <c r="N5186" s="552"/>
    </row>
    <row r="5187" spans="1:14">
      <c r="A5187" s="499">
        <v>45657</v>
      </c>
      <c r="B5187" s="499">
        <v>45665</v>
      </c>
      <c r="C5187" s="500" t="s">
        <v>173</v>
      </c>
      <c r="D5187" s="500" t="s">
        <v>759</v>
      </c>
      <c r="E5187" s="501">
        <v>24090493.550000001</v>
      </c>
      <c r="F5187" s="502" t="s">
        <v>878</v>
      </c>
      <c r="G5187" s="100">
        <v>115324831</v>
      </c>
      <c r="H5187" s="100">
        <v>115324831</v>
      </c>
      <c r="I5187" s="422" t="s">
        <v>693</v>
      </c>
      <c r="J5187" s="484"/>
      <c r="K5187" s="548"/>
      <c r="L5187" s="548"/>
      <c r="M5187" s="548"/>
      <c r="N5187" s="552"/>
    </row>
    <row r="5188" spans="1:14">
      <c r="A5188" s="499">
        <v>45657</v>
      </c>
      <c r="B5188" s="499">
        <v>45657</v>
      </c>
      <c r="C5188" s="500" t="s">
        <v>173</v>
      </c>
      <c r="D5188" s="500" t="s">
        <v>760</v>
      </c>
      <c r="E5188" s="501">
        <v>-36005082.619999997</v>
      </c>
      <c r="F5188" s="502" t="s">
        <v>878</v>
      </c>
      <c r="G5188" s="100">
        <v>115313765</v>
      </c>
      <c r="H5188" s="530"/>
      <c r="I5188" s="422" t="s">
        <v>658</v>
      </c>
      <c r="J5188" s="484"/>
      <c r="K5188" s="548"/>
      <c r="L5188" s="548"/>
      <c r="M5188" s="548"/>
      <c r="N5188" s="552"/>
    </row>
    <row r="5189" spans="1:14">
      <c r="A5189" s="499">
        <v>45657</v>
      </c>
      <c r="B5189" s="499">
        <v>45657</v>
      </c>
      <c r="C5189" s="500" t="s">
        <v>173</v>
      </c>
      <c r="D5189" s="500" t="s">
        <v>760</v>
      </c>
      <c r="E5189" s="501">
        <v>-264026630.21000001</v>
      </c>
      <c r="F5189" s="502" t="s">
        <v>878</v>
      </c>
      <c r="G5189" s="100">
        <v>115313768</v>
      </c>
      <c r="H5189" s="530"/>
      <c r="I5189" s="422" t="s">
        <v>692</v>
      </c>
      <c r="J5189" s="484"/>
      <c r="K5189" s="548"/>
      <c r="L5189" s="548"/>
      <c r="M5189" s="548"/>
      <c r="N5189" s="552"/>
    </row>
    <row r="5190" spans="1:14">
      <c r="A5190" s="499">
        <v>45657</v>
      </c>
      <c r="B5190" s="499">
        <v>45662</v>
      </c>
      <c r="C5190" s="500" t="s">
        <v>173</v>
      </c>
      <c r="D5190" s="500" t="s">
        <v>760</v>
      </c>
      <c r="E5190" s="501">
        <v>36079065.670000002</v>
      </c>
      <c r="F5190" s="502" t="s">
        <v>878</v>
      </c>
      <c r="G5190" s="100">
        <v>115313765</v>
      </c>
      <c r="H5190" s="100">
        <v>115313765</v>
      </c>
      <c r="I5190" s="422" t="s">
        <v>658</v>
      </c>
      <c r="J5190" s="484"/>
      <c r="K5190" s="548"/>
      <c r="L5190" s="548"/>
      <c r="M5190" s="548"/>
      <c r="N5190" s="552"/>
    </row>
    <row r="5191" spans="1:14">
      <c r="A5191" s="499">
        <v>45657</v>
      </c>
      <c r="B5191" s="499">
        <v>45662</v>
      </c>
      <c r="C5191" s="500" t="s">
        <v>173</v>
      </c>
      <c r="D5191" s="500" t="s">
        <v>760</v>
      </c>
      <c r="E5191" s="501">
        <v>264569150.68000001</v>
      </c>
      <c r="F5191" s="502" t="s">
        <v>878</v>
      </c>
      <c r="G5191" s="100">
        <v>115313768</v>
      </c>
      <c r="H5191" s="100">
        <v>115313768</v>
      </c>
      <c r="I5191" s="422" t="s">
        <v>692</v>
      </c>
      <c r="J5191" s="484"/>
      <c r="K5191" s="548"/>
      <c r="L5191" s="548"/>
      <c r="M5191" s="548"/>
      <c r="N5191" s="552"/>
    </row>
    <row r="5192" spans="1:14">
      <c r="A5192" s="499">
        <v>45657</v>
      </c>
      <c r="B5192" s="499">
        <v>45657</v>
      </c>
      <c r="C5192" s="500" t="s">
        <v>173</v>
      </c>
      <c r="D5192" s="500" t="s">
        <v>763</v>
      </c>
      <c r="E5192" s="501">
        <v>-198000111.36000001</v>
      </c>
      <c r="F5192" s="502" t="s">
        <v>878</v>
      </c>
      <c r="G5192" s="100">
        <v>115313187</v>
      </c>
      <c r="H5192" s="530"/>
      <c r="I5192" s="422" t="s">
        <v>811</v>
      </c>
      <c r="J5192" s="484"/>
      <c r="K5192" s="548"/>
      <c r="L5192" s="548">
        <v>-1</v>
      </c>
      <c r="M5192" s="548"/>
      <c r="N5192" s="552"/>
    </row>
    <row r="5193" spans="1:14">
      <c r="A5193" s="499">
        <v>45657</v>
      </c>
      <c r="B5193" s="499">
        <v>45657</v>
      </c>
      <c r="C5193" s="500" t="s">
        <v>173</v>
      </c>
      <c r="D5193" s="500" t="s">
        <v>763</v>
      </c>
      <c r="E5193" s="501">
        <v>-179029099.66999999</v>
      </c>
      <c r="F5193" s="502" t="s">
        <v>878</v>
      </c>
      <c r="G5193" s="100">
        <v>115313190</v>
      </c>
      <c r="H5193" s="530"/>
      <c r="I5193" s="422" t="s">
        <v>700</v>
      </c>
      <c r="J5193" s="484"/>
      <c r="K5193" s="548"/>
      <c r="L5193" s="548"/>
      <c r="M5193" s="548"/>
      <c r="N5193" s="552"/>
    </row>
    <row r="5194" spans="1:14">
      <c r="A5194" s="499">
        <v>45657</v>
      </c>
      <c r="B5194" s="499">
        <v>45657</v>
      </c>
      <c r="C5194" s="500" t="s">
        <v>173</v>
      </c>
      <c r="D5194" s="500" t="s">
        <v>763</v>
      </c>
      <c r="E5194" s="501">
        <v>-490306723.82999998</v>
      </c>
      <c r="F5194" s="502" t="s">
        <v>878</v>
      </c>
      <c r="G5194" s="100">
        <v>115313193</v>
      </c>
      <c r="H5194" s="530"/>
      <c r="I5194" s="422" t="s">
        <v>678</v>
      </c>
      <c r="J5194" s="484"/>
      <c r="K5194" s="548"/>
      <c r="L5194" s="548"/>
      <c r="M5194" s="548"/>
      <c r="N5194" s="552"/>
    </row>
    <row r="5195" spans="1:14">
      <c r="A5195" s="499">
        <v>45657</v>
      </c>
      <c r="B5195" s="499">
        <v>45657</v>
      </c>
      <c r="C5195" s="500" t="s">
        <v>173</v>
      </c>
      <c r="D5195" s="500" t="s">
        <v>763</v>
      </c>
      <c r="E5195" s="501">
        <v>-490306723.82999998</v>
      </c>
      <c r="F5195" s="502" t="s">
        <v>878</v>
      </c>
      <c r="G5195" s="100">
        <v>115313196</v>
      </c>
      <c r="H5195" s="530"/>
      <c r="I5195" s="422" t="s">
        <v>678</v>
      </c>
      <c r="J5195" s="484"/>
      <c r="K5195" s="548"/>
      <c r="L5195" s="548"/>
      <c r="M5195" s="548"/>
      <c r="N5195" s="552"/>
    </row>
    <row r="5196" spans="1:14">
      <c r="A5196" s="499">
        <v>45657</v>
      </c>
      <c r="B5196" s="499">
        <v>45657</v>
      </c>
      <c r="C5196" s="500" t="s">
        <v>173</v>
      </c>
      <c r="D5196" s="500" t="s">
        <v>763</v>
      </c>
      <c r="E5196" s="501">
        <v>-112122359.09999999</v>
      </c>
      <c r="F5196" s="502" t="s">
        <v>878</v>
      </c>
      <c r="G5196" s="100">
        <v>115313199</v>
      </c>
      <c r="H5196" s="530"/>
      <c r="I5196" s="422" t="s">
        <v>674</v>
      </c>
      <c r="J5196" s="484"/>
      <c r="K5196" s="548"/>
      <c r="L5196" s="548"/>
      <c r="M5196" s="548"/>
      <c r="N5196" s="552"/>
    </row>
    <row r="5197" spans="1:14">
      <c r="A5197" s="499">
        <v>45657</v>
      </c>
      <c r="B5197" s="499">
        <v>45657</v>
      </c>
      <c r="C5197" s="500" t="s">
        <v>173</v>
      </c>
      <c r="D5197" s="500" t="s">
        <v>763</v>
      </c>
      <c r="E5197" s="501">
        <v>-99002645.280000001</v>
      </c>
      <c r="F5197" s="502" t="s">
        <v>878</v>
      </c>
      <c r="G5197" s="100">
        <v>115313202</v>
      </c>
      <c r="H5197" s="530"/>
      <c r="I5197" s="422" t="s">
        <v>709</v>
      </c>
      <c r="J5197" s="484"/>
      <c r="K5197" s="548"/>
      <c r="L5197" s="548"/>
      <c r="M5197" s="548"/>
      <c r="N5197" s="552"/>
    </row>
    <row r="5198" spans="1:14">
      <c r="A5198" s="499">
        <v>45657</v>
      </c>
      <c r="B5198" s="499">
        <v>45657</v>
      </c>
      <c r="C5198" s="500" t="s">
        <v>173</v>
      </c>
      <c r="D5198" s="500" t="s">
        <v>763</v>
      </c>
      <c r="E5198" s="501">
        <v>-30029191.260000002</v>
      </c>
      <c r="F5198" s="502" t="s">
        <v>878</v>
      </c>
      <c r="G5198" s="100">
        <v>115313205</v>
      </c>
      <c r="H5198" s="530"/>
      <c r="I5198" s="422" t="s">
        <v>689</v>
      </c>
      <c r="J5198" s="484"/>
      <c r="K5198" s="548"/>
      <c r="L5198" s="548"/>
      <c r="M5198" s="548"/>
      <c r="N5198" s="552"/>
    </row>
    <row r="5199" spans="1:14">
      <c r="A5199" s="499">
        <v>45657</v>
      </c>
      <c r="B5199" s="499">
        <v>45657</v>
      </c>
      <c r="C5199" s="500" t="s">
        <v>173</v>
      </c>
      <c r="D5199" s="500" t="s">
        <v>763</v>
      </c>
      <c r="E5199" s="501">
        <v>-3948961350.6700001</v>
      </c>
      <c r="F5199" s="502" t="s">
        <v>878</v>
      </c>
      <c r="G5199" s="100">
        <v>115313208</v>
      </c>
      <c r="H5199" s="530"/>
      <c r="I5199" s="422" t="s">
        <v>657</v>
      </c>
      <c r="J5199" s="484"/>
      <c r="K5199" s="548"/>
      <c r="L5199" s="548"/>
      <c r="M5199" s="548"/>
      <c r="N5199" s="552"/>
    </row>
    <row r="5200" spans="1:14">
      <c r="A5200" s="499">
        <v>45657</v>
      </c>
      <c r="B5200" s="499">
        <v>45657</v>
      </c>
      <c r="C5200" s="500" t="s">
        <v>173</v>
      </c>
      <c r="D5200" s="500" t="s">
        <v>763</v>
      </c>
      <c r="E5200" s="501">
        <v>-20015009.379999999</v>
      </c>
      <c r="F5200" s="502" t="s">
        <v>878</v>
      </c>
      <c r="G5200" s="100">
        <v>115313481</v>
      </c>
      <c r="H5200" s="530"/>
      <c r="I5200" s="422" t="s">
        <v>657</v>
      </c>
      <c r="J5200" s="484"/>
      <c r="K5200" s="548"/>
      <c r="L5200" s="548"/>
      <c r="M5200" s="548"/>
      <c r="N5200" s="552"/>
    </row>
    <row r="5201" spans="1:14">
      <c r="A5201" s="499">
        <v>45657</v>
      </c>
      <c r="B5201" s="499">
        <v>45662</v>
      </c>
      <c r="C5201" s="500" t="s">
        <v>173</v>
      </c>
      <c r="D5201" s="500" t="s">
        <v>763</v>
      </c>
      <c r="E5201" s="501">
        <v>198404248.56999999</v>
      </c>
      <c r="F5201" s="502" t="s">
        <v>878</v>
      </c>
      <c r="G5201" s="100">
        <v>115313187</v>
      </c>
      <c r="H5201" s="100">
        <v>115313187</v>
      </c>
      <c r="I5201" s="422" t="s">
        <v>811</v>
      </c>
      <c r="J5201" s="484"/>
      <c r="K5201" s="548"/>
      <c r="L5201" s="548"/>
      <c r="M5201" s="548"/>
      <c r="N5201" s="552"/>
    </row>
    <row r="5202" spans="1:14">
      <c r="A5202" s="499">
        <v>45657</v>
      </c>
      <c r="B5202" s="499">
        <v>45662</v>
      </c>
      <c r="C5202" s="500" t="s">
        <v>173</v>
      </c>
      <c r="D5202" s="500" t="s">
        <v>763</v>
      </c>
      <c r="E5202" s="501">
        <v>179394515.22999999</v>
      </c>
      <c r="F5202" s="502" t="s">
        <v>878</v>
      </c>
      <c r="G5202" s="100">
        <v>115313190</v>
      </c>
      <c r="H5202" s="100">
        <v>115313190</v>
      </c>
      <c r="I5202" s="422" t="s">
        <v>700</v>
      </c>
      <c r="J5202" s="484"/>
      <c r="K5202" s="548"/>
      <c r="L5202" s="548"/>
      <c r="M5202" s="548"/>
      <c r="N5202" s="552"/>
    </row>
    <row r="5203" spans="1:14">
      <c r="A5203" s="499">
        <v>45657</v>
      </c>
      <c r="B5203" s="499">
        <v>45662</v>
      </c>
      <c r="C5203" s="500" t="s">
        <v>173</v>
      </c>
      <c r="D5203" s="500" t="s">
        <v>763</v>
      </c>
      <c r="E5203" s="501">
        <v>491307486.87</v>
      </c>
      <c r="F5203" s="502" t="s">
        <v>878</v>
      </c>
      <c r="G5203" s="100">
        <v>115313193</v>
      </c>
      <c r="H5203" s="100">
        <v>115313193</v>
      </c>
      <c r="I5203" s="422" t="s">
        <v>678</v>
      </c>
      <c r="J5203" s="484"/>
      <c r="K5203" s="548"/>
      <c r="L5203" s="548"/>
      <c r="M5203" s="548"/>
      <c r="N5203" s="552"/>
    </row>
    <row r="5204" spans="1:14">
      <c r="A5204" s="499">
        <v>45657</v>
      </c>
      <c r="B5204" s="499">
        <v>45662</v>
      </c>
      <c r="C5204" s="500" t="s">
        <v>173</v>
      </c>
      <c r="D5204" s="500" t="s">
        <v>763</v>
      </c>
      <c r="E5204" s="501">
        <v>491307486.87</v>
      </c>
      <c r="F5204" s="502" t="s">
        <v>878</v>
      </c>
      <c r="G5204" s="100">
        <v>115313196</v>
      </c>
      <c r="H5204" s="100">
        <v>115313196</v>
      </c>
      <c r="I5204" s="422" t="s">
        <v>678</v>
      </c>
      <c r="J5204" s="484"/>
      <c r="K5204" s="548"/>
      <c r="L5204" s="548"/>
      <c r="M5204" s="548"/>
      <c r="N5204" s="552"/>
    </row>
    <row r="5205" spans="1:14">
      <c r="A5205" s="499">
        <v>45657</v>
      </c>
      <c r="B5205" s="499">
        <v>45662</v>
      </c>
      <c r="C5205" s="500" t="s">
        <v>173</v>
      </c>
      <c r="D5205" s="500" t="s">
        <v>763</v>
      </c>
      <c r="E5205" s="501">
        <v>112351211.59</v>
      </c>
      <c r="F5205" s="502" t="s">
        <v>878</v>
      </c>
      <c r="G5205" s="100">
        <v>115313199</v>
      </c>
      <c r="H5205" s="100">
        <v>115313199</v>
      </c>
      <c r="I5205" s="422" t="s">
        <v>674</v>
      </c>
      <c r="J5205" s="484"/>
      <c r="K5205" s="548"/>
      <c r="L5205" s="548"/>
      <c r="M5205" s="548"/>
      <c r="N5205" s="552"/>
    </row>
    <row r="5206" spans="1:14">
      <c r="A5206" s="499">
        <v>45657</v>
      </c>
      <c r="B5206" s="499">
        <v>45662</v>
      </c>
      <c r="C5206" s="500" t="s">
        <v>173</v>
      </c>
      <c r="D5206" s="500" t="s">
        <v>763</v>
      </c>
      <c r="E5206" s="501">
        <v>99204719.170000002</v>
      </c>
      <c r="F5206" s="502" t="s">
        <v>878</v>
      </c>
      <c r="G5206" s="100">
        <v>115313202</v>
      </c>
      <c r="H5206" s="100">
        <v>115313202</v>
      </c>
      <c r="I5206" s="422" t="s">
        <v>709</v>
      </c>
      <c r="J5206" s="484"/>
      <c r="K5206" s="548"/>
      <c r="L5206" s="548"/>
      <c r="M5206" s="548"/>
      <c r="N5206" s="552"/>
    </row>
    <row r="5207" spans="1:14">
      <c r="A5207" s="499">
        <v>45657</v>
      </c>
      <c r="B5207" s="499">
        <v>45662</v>
      </c>
      <c r="C5207" s="500" t="s">
        <v>173</v>
      </c>
      <c r="D5207" s="500" t="s">
        <v>763</v>
      </c>
      <c r="E5207" s="501">
        <v>30090483.719999999</v>
      </c>
      <c r="F5207" s="502" t="s">
        <v>878</v>
      </c>
      <c r="G5207" s="100">
        <v>115313205</v>
      </c>
      <c r="H5207" s="100">
        <v>115313205</v>
      </c>
      <c r="I5207" s="422" t="s">
        <v>689</v>
      </c>
      <c r="J5207" s="484"/>
      <c r="K5207" s="548"/>
      <c r="L5207" s="548"/>
      <c r="M5207" s="548"/>
      <c r="N5207" s="552"/>
    </row>
    <row r="5208" spans="1:14">
      <c r="A5208" s="499">
        <v>45657</v>
      </c>
      <c r="B5208" s="499">
        <v>45662</v>
      </c>
      <c r="C5208" s="500" t="s">
        <v>173</v>
      </c>
      <c r="D5208" s="500" t="s">
        <v>763</v>
      </c>
      <c r="E5208" s="501">
        <v>3957021559.4499998</v>
      </c>
      <c r="F5208" s="502" t="s">
        <v>878</v>
      </c>
      <c r="G5208" s="100">
        <v>115313208</v>
      </c>
      <c r="H5208" s="100">
        <v>115313208</v>
      </c>
      <c r="I5208" s="422" t="s">
        <v>657</v>
      </c>
      <c r="J5208" s="484"/>
      <c r="K5208" s="548"/>
      <c r="L5208" s="548"/>
      <c r="M5208" s="548"/>
      <c r="N5208" s="552"/>
    </row>
    <row r="5209" spans="1:14">
      <c r="A5209" s="499">
        <v>45657</v>
      </c>
      <c r="B5209" s="499">
        <v>45662</v>
      </c>
      <c r="C5209" s="500" t="s">
        <v>173</v>
      </c>
      <c r="D5209" s="500" t="s">
        <v>763</v>
      </c>
      <c r="E5209" s="501">
        <v>20055861.93</v>
      </c>
      <c r="F5209" s="502" t="s">
        <v>878</v>
      </c>
      <c r="G5209" s="100">
        <v>115313481</v>
      </c>
      <c r="H5209" s="100">
        <v>115313481</v>
      </c>
      <c r="I5209" s="422" t="s">
        <v>657</v>
      </c>
      <c r="J5209" s="484"/>
      <c r="K5209" s="548"/>
      <c r="L5209" s="548"/>
      <c r="M5209" s="548"/>
      <c r="N5209" s="552"/>
    </row>
    <row r="5210" spans="1:14">
      <c r="A5210" s="499">
        <v>45662</v>
      </c>
      <c r="B5210" s="499">
        <v>45662</v>
      </c>
      <c r="C5210" s="500" t="s">
        <v>173</v>
      </c>
      <c r="D5210" s="500" t="s">
        <v>761</v>
      </c>
      <c r="E5210" s="501">
        <v>-2165782379.04</v>
      </c>
      <c r="F5210" s="502" t="s">
        <v>878</v>
      </c>
      <c r="G5210" s="100">
        <v>115335375</v>
      </c>
      <c r="H5210" s="530"/>
      <c r="I5210" s="422" t="s">
        <v>686</v>
      </c>
      <c r="J5210" s="484"/>
      <c r="K5210" s="548"/>
      <c r="L5210" s="548"/>
      <c r="M5210" s="548"/>
      <c r="N5210" s="552"/>
    </row>
    <row r="5211" spans="1:14">
      <c r="A5211" s="499">
        <v>45662</v>
      </c>
      <c r="B5211" s="499">
        <v>45662</v>
      </c>
      <c r="C5211" s="500" t="s">
        <v>173</v>
      </c>
      <c r="D5211" s="500" t="s">
        <v>761</v>
      </c>
      <c r="E5211" s="501">
        <v>-8006149.3200000003</v>
      </c>
      <c r="F5211" s="502" t="s">
        <v>878</v>
      </c>
      <c r="G5211" s="100">
        <v>115335714</v>
      </c>
      <c r="H5211" s="530"/>
      <c r="I5211" s="422" t="s">
        <v>657</v>
      </c>
      <c r="J5211" s="484"/>
      <c r="K5211" s="548"/>
      <c r="L5211" s="548"/>
      <c r="M5211" s="548"/>
      <c r="N5211" s="552"/>
    </row>
    <row r="5212" spans="1:14">
      <c r="A5212" s="499">
        <v>45662</v>
      </c>
      <c r="B5212" s="499">
        <v>45662</v>
      </c>
      <c r="C5212" s="500" t="s">
        <v>173</v>
      </c>
      <c r="D5212" s="500" t="s">
        <v>761</v>
      </c>
      <c r="E5212" s="501">
        <v>-817255966.10000002</v>
      </c>
      <c r="F5212" s="502" t="s">
        <v>878</v>
      </c>
      <c r="G5212" s="100">
        <v>115336882</v>
      </c>
      <c r="H5212" s="530"/>
      <c r="I5212" s="422" t="s">
        <v>689</v>
      </c>
      <c r="J5212" s="484"/>
      <c r="K5212" s="548"/>
      <c r="L5212" s="548"/>
      <c r="M5212" s="548"/>
      <c r="N5212" s="552"/>
    </row>
    <row r="5213" spans="1:14">
      <c r="A5213" s="499">
        <v>45662</v>
      </c>
      <c r="B5213" s="499">
        <v>45662</v>
      </c>
      <c r="C5213" s="500" t="s">
        <v>173</v>
      </c>
      <c r="D5213" s="500" t="s">
        <v>761</v>
      </c>
      <c r="E5213" s="501">
        <v>-179053951.84999999</v>
      </c>
      <c r="F5213" s="502" t="s">
        <v>878</v>
      </c>
      <c r="G5213" s="100">
        <v>115337261</v>
      </c>
      <c r="H5213" s="530"/>
      <c r="I5213" s="422" t="s">
        <v>685</v>
      </c>
      <c r="J5213" s="484"/>
      <c r="K5213" s="548"/>
      <c r="L5213" s="548"/>
      <c r="M5213" s="548"/>
      <c r="N5213" s="552"/>
    </row>
    <row r="5214" spans="1:14">
      <c r="A5214" s="499">
        <v>45662</v>
      </c>
      <c r="B5214" s="499">
        <v>45670</v>
      </c>
      <c r="C5214" s="500" t="s">
        <v>173</v>
      </c>
      <c r="D5214" s="500" t="s">
        <v>761</v>
      </c>
      <c r="E5214" s="501">
        <v>2172902759.46</v>
      </c>
      <c r="F5214" s="502" t="s">
        <v>878</v>
      </c>
      <c r="G5214" s="100">
        <v>115335375</v>
      </c>
      <c r="H5214" s="484">
        <v>115335375</v>
      </c>
      <c r="I5214" s="422" t="s">
        <v>686</v>
      </c>
      <c r="J5214" s="484"/>
      <c r="K5214" s="548"/>
      <c r="L5214" s="548"/>
      <c r="M5214" s="548"/>
      <c r="N5214" s="552"/>
    </row>
    <row r="5215" spans="1:14">
      <c r="A5215" s="499">
        <v>45662</v>
      </c>
      <c r="B5215" s="499">
        <v>45670</v>
      </c>
      <c r="C5215" s="500" t="s">
        <v>173</v>
      </c>
      <c r="D5215" s="500" t="s">
        <v>761</v>
      </c>
      <c r="E5215" s="501">
        <v>8032470.9100000001</v>
      </c>
      <c r="F5215" s="502" t="s">
        <v>878</v>
      </c>
      <c r="G5215" s="100">
        <v>115335714</v>
      </c>
      <c r="H5215" s="484">
        <v>115335714</v>
      </c>
      <c r="I5215" s="422" t="s">
        <v>657</v>
      </c>
      <c r="J5215" s="484"/>
      <c r="K5215" s="548"/>
      <c r="L5215" s="548"/>
      <c r="M5215" s="548"/>
      <c r="N5215" s="552"/>
    </row>
    <row r="5216" spans="1:14">
      <c r="A5216" s="499">
        <v>45662</v>
      </c>
      <c r="B5216" s="499">
        <v>45663</v>
      </c>
      <c r="C5216" s="500" t="s">
        <v>173</v>
      </c>
      <c r="D5216" s="500" t="s">
        <v>761</v>
      </c>
      <c r="E5216" s="501">
        <v>817587346.60000002</v>
      </c>
      <c r="F5216" s="502" t="s">
        <v>878</v>
      </c>
      <c r="G5216" s="100">
        <v>115336882</v>
      </c>
      <c r="H5216" s="484">
        <v>115336882</v>
      </c>
      <c r="I5216" s="422" t="s">
        <v>689</v>
      </c>
      <c r="J5216" s="484"/>
      <c r="K5216" s="548"/>
      <c r="L5216" s="548"/>
      <c r="M5216" s="548"/>
      <c r="N5216" s="552"/>
    </row>
    <row r="5217" spans="1:14">
      <c r="A5217" s="499">
        <v>45662</v>
      </c>
      <c r="B5217" s="499">
        <v>45663</v>
      </c>
      <c r="C5217" s="500" t="s">
        <v>173</v>
      </c>
      <c r="D5217" s="500" t="s">
        <v>761</v>
      </c>
      <c r="E5217" s="501">
        <v>179126554.55000001</v>
      </c>
      <c r="F5217" s="502" t="s">
        <v>878</v>
      </c>
      <c r="G5217" s="100">
        <v>115337261</v>
      </c>
      <c r="H5217" s="484">
        <v>115337261</v>
      </c>
      <c r="I5217" s="422" t="s">
        <v>685</v>
      </c>
      <c r="J5217" s="484"/>
      <c r="K5217" s="548"/>
      <c r="L5217" s="548"/>
      <c r="M5217" s="548"/>
      <c r="N5217" s="552"/>
    </row>
    <row r="5218" spans="1:14">
      <c r="A5218" s="499">
        <v>45662</v>
      </c>
      <c r="B5218" s="499">
        <v>45662</v>
      </c>
      <c r="C5218" s="500" t="s">
        <v>173</v>
      </c>
      <c r="D5218" s="500" t="s">
        <v>759</v>
      </c>
      <c r="E5218" s="501">
        <v>-1997765470.0699999</v>
      </c>
      <c r="F5218" s="502" t="s">
        <v>878</v>
      </c>
      <c r="G5218" s="100">
        <v>115339775</v>
      </c>
      <c r="H5218" s="530"/>
      <c r="I5218" s="422" t="s">
        <v>1039</v>
      </c>
      <c r="J5218" s="484"/>
      <c r="K5218" s="548"/>
      <c r="L5218" s="548"/>
      <c r="M5218" s="548"/>
      <c r="N5218" s="552"/>
    </row>
    <row r="5219" spans="1:14">
      <c r="A5219" s="499">
        <v>45662</v>
      </c>
      <c r="B5219" s="499">
        <v>45662</v>
      </c>
      <c r="C5219" s="500" t="s">
        <v>173</v>
      </c>
      <c r="D5219" s="500" t="s">
        <v>759</v>
      </c>
      <c r="E5219" s="501">
        <v>-7002683.1699999999</v>
      </c>
      <c r="F5219" s="502" t="s">
        <v>878</v>
      </c>
      <c r="G5219" s="100">
        <v>115339788</v>
      </c>
      <c r="H5219" s="530"/>
      <c r="I5219" s="422" t="s">
        <v>1039</v>
      </c>
      <c r="J5219" s="484"/>
      <c r="K5219" s="548"/>
      <c r="L5219" s="548"/>
      <c r="M5219" s="548"/>
      <c r="N5219" s="552"/>
    </row>
    <row r="5220" spans="1:14">
      <c r="A5220" s="499">
        <v>45662</v>
      </c>
      <c r="B5220" s="499">
        <v>45663</v>
      </c>
      <c r="C5220" s="500" t="s">
        <v>173</v>
      </c>
      <c r="D5220" s="500" t="s">
        <v>759</v>
      </c>
      <c r="E5220" s="501">
        <v>1998532289.0799999</v>
      </c>
      <c r="F5220" s="502" t="s">
        <v>878</v>
      </c>
      <c r="G5220" s="100">
        <v>115339775</v>
      </c>
      <c r="H5220" s="100">
        <v>115339775</v>
      </c>
      <c r="I5220" s="422" t="s">
        <v>1039</v>
      </c>
      <c r="J5220" s="484"/>
      <c r="K5220" s="548"/>
      <c r="L5220" s="548"/>
      <c r="M5220" s="548"/>
      <c r="N5220" s="552"/>
    </row>
    <row r="5221" spans="1:14">
      <c r="A5221" s="499">
        <v>45662</v>
      </c>
      <c r="B5221" s="499">
        <v>45663</v>
      </c>
      <c r="C5221" s="500" t="s">
        <v>173</v>
      </c>
      <c r="D5221" s="500" t="s">
        <v>759</v>
      </c>
      <c r="E5221" s="501">
        <v>7005371.0700000003</v>
      </c>
      <c r="F5221" s="502" t="s">
        <v>878</v>
      </c>
      <c r="G5221" s="100">
        <v>115339788</v>
      </c>
      <c r="H5221" s="100">
        <v>115339788</v>
      </c>
      <c r="I5221" s="422" t="s">
        <v>1039</v>
      </c>
      <c r="J5221" s="484"/>
      <c r="K5221" s="548"/>
      <c r="L5221" s="548"/>
      <c r="M5221" s="548"/>
      <c r="N5221" s="552"/>
    </row>
    <row r="5222" spans="1:14">
      <c r="A5222" s="499">
        <v>45662</v>
      </c>
      <c r="B5222" s="499">
        <v>45662</v>
      </c>
      <c r="C5222" s="500" t="s">
        <v>173</v>
      </c>
      <c r="D5222" s="500" t="s">
        <v>760</v>
      </c>
      <c r="E5222" s="501">
        <v>-299217223.5</v>
      </c>
      <c r="F5222" s="502" t="s">
        <v>878</v>
      </c>
      <c r="G5222" s="100">
        <v>115336864</v>
      </c>
      <c r="H5222" s="530"/>
      <c r="I5222" s="422" t="s">
        <v>711</v>
      </c>
      <c r="J5222" s="484"/>
      <c r="K5222" s="548"/>
      <c r="L5222" s="548"/>
      <c r="M5222" s="548"/>
      <c r="N5222" s="552"/>
    </row>
    <row r="5223" spans="1:14">
      <c r="A5223" s="499">
        <v>45296</v>
      </c>
      <c r="B5223" s="499">
        <v>45663</v>
      </c>
      <c r="C5223" s="500" t="s">
        <v>173</v>
      </c>
      <c r="D5223" s="500" t="s">
        <v>760</v>
      </c>
      <c r="E5223" s="501">
        <v>299338549.94</v>
      </c>
      <c r="F5223" s="502" t="s">
        <v>878</v>
      </c>
      <c r="G5223" s="100">
        <v>115336864</v>
      </c>
      <c r="H5223" s="100">
        <v>115336864</v>
      </c>
      <c r="I5223" s="422" t="s">
        <v>711</v>
      </c>
      <c r="J5223" s="484"/>
      <c r="K5223" s="548"/>
      <c r="L5223" s="548"/>
      <c r="M5223" s="548"/>
      <c r="N5223" s="552"/>
    </row>
    <row r="5224" spans="1:14">
      <c r="A5224" s="499">
        <v>45662</v>
      </c>
      <c r="B5224" s="499">
        <v>45662</v>
      </c>
      <c r="C5224" s="500" t="s">
        <v>173</v>
      </c>
      <c r="D5224" s="500" t="s">
        <v>763</v>
      </c>
      <c r="E5224" s="501">
        <v>-3967169541.6700001</v>
      </c>
      <c r="F5224" s="502" t="s">
        <v>878</v>
      </c>
      <c r="G5224" s="100">
        <v>115338518</v>
      </c>
      <c r="H5224" s="530"/>
      <c r="I5224" s="422" t="s">
        <v>713</v>
      </c>
      <c r="J5224" s="484"/>
      <c r="K5224" s="548"/>
      <c r="L5224" s="548"/>
      <c r="M5224" s="548"/>
      <c r="N5224" s="552"/>
    </row>
    <row r="5225" spans="1:14">
      <c r="A5225" s="499">
        <v>45662</v>
      </c>
      <c r="B5225" s="499">
        <v>45662</v>
      </c>
      <c r="C5225" s="500" t="s">
        <v>173</v>
      </c>
      <c r="D5225" s="500" t="s">
        <v>763</v>
      </c>
      <c r="E5225" s="501">
        <v>-1590458387.78</v>
      </c>
      <c r="F5225" s="502" t="s">
        <v>878</v>
      </c>
      <c r="G5225" s="100">
        <v>115338521</v>
      </c>
      <c r="H5225" s="530"/>
      <c r="I5225" s="422" t="s">
        <v>633</v>
      </c>
      <c r="J5225" s="484"/>
      <c r="K5225" s="548"/>
      <c r="L5225" s="548"/>
      <c r="M5225" s="548"/>
      <c r="N5225" s="552"/>
    </row>
    <row r="5226" spans="1:14">
      <c r="A5226" s="499">
        <v>45662</v>
      </c>
      <c r="B5226" s="499">
        <v>45662</v>
      </c>
      <c r="C5226" s="500" t="s">
        <v>173</v>
      </c>
      <c r="D5226" s="500" t="s">
        <v>763</v>
      </c>
      <c r="E5226" s="501">
        <v>-21006054.18</v>
      </c>
      <c r="F5226" s="502" t="s">
        <v>878</v>
      </c>
      <c r="G5226" s="100">
        <v>115338543</v>
      </c>
      <c r="H5226" s="530"/>
      <c r="I5226" s="422" t="s">
        <v>633</v>
      </c>
      <c r="J5226" s="484"/>
      <c r="K5226" s="548"/>
      <c r="L5226" s="548"/>
      <c r="M5226" s="548"/>
      <c r="N5226" s="552"/>
    </row>
    <row r="5227" spans="1:14">
      <c r="A5227" s="499">
        <v>45662</v>
      </c>
      <c r="B5227" s="499">
        <v>45663</v>
      </c>
      <c r="C5227" s="500" t="s">
        <v>173</v>
      </c>
      <c r="D5227" s="500" t="s">
        <v>763</v>
      </c>
      <c r="E5227" s="501">
        <v>3968745540.5300002</v>
      </c>
      <c r="F5227" s="502" t="s">
        <v>878</v>
      </c>
      <c r="G5227" s="100">
        <v>115338518</v>
      </c>
      <c r="H5227" s="100">
        <v>115338518</v>
      </c>
      <c r="I5227" s="422" t="s">
        <v>713</v>
      </c>
      <c r="J5227" s="484"/>
      <c r="K5227" s="548"/>
      <c r="L5227" s="548"/>
      <c r="M5227" s="548"/>
      <c r="N5227" s="552"/>
    </row>
    <row r="5228" spans="1:14">
      <c r="A5228" s="499">
        <v>45662</v>
      </c>
      <c r="B5228" s="499">
        <v>45663</v>
      </c>
      <c r="C5228" s="500" t="s">
        <v>173</v>
      </c>
      <c r="D5228" s="500" t="s">
        <v>763</v>
      </c>
      <c r="E5228" s="501">
        <v>1591087599.26</v>
      </c>
      <c r="F5228" s="502" t="s">
        <v>878</v>
      </c>
      <c r="G5228" s="100">
        <v>115338521</v>
      </c>
      <c r="H5228" s="100">
        <v>115338521</v>
      </c>
      <c r="I5228" s="422" t="s">
        <v>633</v>
      </c>
      <c r="J5228" s="484"/>
      <c r="K5228" s="548"/>
      <c r="L5228" s="548"/>
      <c r="M5228" s="548"/>
      <c r="N5228" s="552"/>
    </row>
    <row r="5229" spans="1:14">
      <c r="A5229" s="499">
        <v>45662</v>
      </c>
      <c r="B5229" s="499">
        <v>45663</v>
      </c>
      <c r="C5229" s="500" t="s">
        <v>173</v>
      </c>
      <c r="D5229" s="500" t="s">
        <v>763</v>
      </c>
      <c r="E5229" s="501">
        <v>21014364.52</v>
      </c>
      <c r="F5229" s="502" t="s">
        <v>878</v>
      </c>
      <c r="G5229" s="100">
        <v>115338543</v>
      </c>
      <c r="H5229" s="100">
        <v>115338543</v>
      </c>
      <c r="I5229" s="422" t="s">
        <v>633</v>
      </c>
      <c r="J5229" s="484"/>
      <c r="K5229" s="548"/>
      <c r="L5229" s="548"/>
      <c r="M5229" s="548"/>
      <c r="N5229" s="552"/>
    </row>
    <row r="5230" spans="1:14">
      <c r="A5230" s="499">
        <v>45663</v>
      </c>
      <c r="B5230" s="499">
        <v>45663</v>
      </c>
      <c r="C5230" s="500" t="s">
        <v>173</v>
      </c>
      <c r="D5230" s="500" t="s">
        <v>761</v>
      </c>
      <c r="E5230" s="501">
        <v>-997356826.29999995</v>
      </c>
      <c r="F5230" s="502" t="s">
        <v>878</v>
      </c>
      <c r="G5230" s="100">
        <v>115358804</v>
      </c>
      <c r="H5230" s="530"/>
      <c r="I5230" s="422" t="s">
        <v>656</v>
      </c>
      <c r="J5230" s="484"/>
      <c r="K5230" s="548"/>
      <c r="L5230" s="548"/>
      <c r="M5230" s="548"/>
      <c r="N5230" s="552"/>
    </row>
    <row r="5231" spans="1:14">
      <c r="A5231" s="499">
        <v>45663</v>
      </c>
      <c r="B5231" s="499">
        <v>45663</v>
      </c>
      <c r="C5231" s="500" t="s">
        <v>173</v>
      </c>
      <c r="D5231" s="500" t="s">
        <v>761</v>
      </c>
      <c r="E5231" s="501">
        <v>-3001073.7</v>
      </c>
      <c r="F5231" s="502" t="s">
        <v>878</v>
      </c>
      <c r="G5231" s="100">
        <v>115358943</v>
      </c>
      <c r="H5231" s="530"/>
      <c r="I5231" s="422" t="s">
        <v>656</v>
      </c>
      <c r="J5231" s="484"/>
      <c r="K5231" s="548"/>
      <c r="L5231" s="548"/>
      <c r="M5231" s="548"/>
      <c r="N5231" s="552"/>
    </row>
    <row r="5232" spans="1:14">
      <c r="A5232" s="499">
        <v>45663</v>
      </c>
      <c r="B5232" s="499">
        <v>45665</v>
      </c>
      <c r="C5232" s="500" t="s">
        <v>173</v>
      </c>
      <c r="D5232" s="500" t="s">
        <v>761</v>
      </c>
      <c r="E5232" s="501">
        <v>998135037.87</v>
      </c>
      <c r="F5232" s="502" t="s">
        <v>878</v>
      </c>
      <c r="G5232" s="100">
        <v>115358804</v>
      </c>
      <c r="H5232" s="484">
        <v>115358804</v>
      </c>
      <c r="I5232" s="422" t="s">
        <v>656</v>
      </c>
      <c r="J5232" s="484"/>
      <c r="K5232" s="548"/>
      <c r="L5232" s="548"/>
      <c r="M5232" s="548"/>
      <c r="N5232" s="552"/>
    </row>
    <row r="5233" spans="1:14">
      <c r="A5233" s="499">
        <v>45663</v>
      </c>
      <c r="B5233" s="499">
        <v>45665</v>
      </c>
      <c r="C5233" s="500" t="s">
        <v>173</v>
      </c>
      <c r="D5233" s="500" t="s">
        <v>761</v>
      </c>
      <c r="E5233" s="501">
        <v>3003415.36</v>
      </c>
      <c r="F5233" s="502" t="s">
        <v>878</v>
      </c>
      <c r="G5233" s="100">
        <v>115358943</v>
      </c>
      <c r="H5233" s="484">
        <v>115358943</v>
      </c>
      <c r="I5233" s="422" t="s">
        <v>656</v>
      </c>
      <c r="J5233" s="484"/>
      <c r="K5233" s="548"/>
      <c r="L5233" s="548"/>
      <c r="M5233" s="548"/>
      <c r="N5233" s="552"/>
    </row>
    <row r="5234" spans="1:14">
      <c r="A5234" s="499">
        <v>45663</v>
      </c>
      <c r="B5234" s="499">
        <v>45663</v>
      </c>
      <c r="C5234" s="500" t="s">
        <v>173</v>
      </c>
      <c r="D5234" s="500" t="s">
        <v>759</v>
      </c>
      <c r="E5234" s="501">
        <v>-1998049303.6800001</v>
      </c>
      <c r="F5234" s="502" t="s">
        <v>878</v>
      </c>
      <c r="G5234" s="100">
        <v>115356808</v>
      </c>
      <c r="H5234" s="530"/>
      <c r="I5234" s="422" t="s">
        <v>670</v>
      </c>
      <c r="J5234" s="484"/>
      <c r="K5234" s="548"/>
      <c r="L5234" s="548"/>
      <c r="M5234" s="548"/>
      <c r="N5234" s="552"/>
    </row>
    <row r="5235" spans="1:14">
      <c r="A5235" s="499">
        <v>45663</v>
      </c>
      <c r="B5235" s="499">
        <v>45663</v>
      </c>
      <c r="C5235" s="500" t="s">
        <v>173</v>
      </c>
      <c r="D5235" s="500" t="s">
        <v>759</v>
      </c>
      <c r="E5235" s="501">
        <v>-8000269.0199999996</v>
      </c>
      <c r="F5235" s="502" t="s">
        <v>878</v>
      </c>
      <c r="G5235" s="100">
        <v>115363122</v>
      </c>
      <c r="H5235" s="530"/>
      <c r="I5235" s="422" t="s">
        <v>1018</v>
      </c>
      <c r="J5235" s="484"/>
      <c r="K5235" s="548"/>
      <c r="L5235" s="548"/>
      <c r="M5235" s="548"/>
      <c r="N5235" s="552"/>
    </row>
    <row r="5236" spans="1:14">
      <c r="A5236" s="499">
        <v>45663</v>
      </c>
      <c r="B5236" s="499">
        <v>45665</v>
      </c>
      <c r="C5236" s="500" t="s">
        <v>173</v>
      </c>
      <c r="D5236" s="500" t="s">
        <v>759</v>
      </c>
      <c r="E5236" s="501">
        <v>1999625846.6900001</v>
      </c>
      <c r="F5236" s="502" t="s">
        <v>878</v>
      </c>
      <c r="G5236" s="100">
        <v>115356808</v>
      </c>
      <c r="H5236" s="100">
        <v>115356808</v>
      </c>
      <c r="I5236" s="422" t="s">
        <v>670</v>
      </c>
      <c r="J5236" s="484"/>
      <c r="K5236" s="548"/>
      <c r="L5236" s="548"/>
      <c r="M5236" s="548"/>
      <c r="N5236" s="552"/>
    </row>
    <row r="5237" spans="1:14">
      <c r="A5237" s="499">
        <v>45663</v>
      </c>
      <c r="B5237" s="499">
        <v>45665</v>
      </c>
      <c r="C5237" s="500" t="s">
        <v>173</v>
      </c>
      <c r="D5237" s="500" t="s">
        <v>759</v>
      </c>
      <c r="E5237" s="501">
        <v>8006472.1900000004</v>
      </c>
      <c r="F5237" s="502" t="s">
        <v>878</v>
      </c>
      <c r="G5237" s="100">
        <v>115363122</v>
      </c>
      <c r="H5237" s="100">
        <v>115363122</v>
      </c>
      <c r="I5237" s="422" t="s">
        <v>1018</v>
      </c>
      <c r="J5237" s="484"/>
      <c r="K5237" s="548"/>
      <c r="L5237" s="548"/>
      <c r="M5237" s="548"/>
      <c r="N5237" s="552"/>
    </row>
    <row r="5238" spans="1:14">
      <c r="A5238" s="499">
        <v>45663</v>
      </c>
      <c r="B5238" s="499">
        <v>45663</v>
      </c>
      <c r="C5238" s="500" t="s">
        <v>173</v>
      </c>
      <c r="D5238" s="500" t="s">
        <v>760</v>
      </c>
      <c r="E5238" s="501">
        <v>-298200905.63999999</v>
      </c>
      <c r="F5238" s="502" t="s">
        <v>878</v>
      </c>
      <c r="G5238" s="100">
        <v>115356880</v>
      </c>
      <c r="H5238" s="530"/>
      <c r="I5238" s="422" t="s">
        <v>696</v>
      </c>
      <c r="J5238" s="484"/>
      <c r="K5238" s="548"/>
      <c r="L5238" s="548"/>
      <c r="M5238" s="548"/>
      <c r="N5238" s="552"/>
    </row>
    <row r="5239" spans="1:14">
      <c r="A5239" s="499">
        <v>45663</v>
      </c>
      <c r="B5239" s="499">
        <v>45665</v>
      </c>
      <c r="C5239" s="500" t="s">
        <v>173</v>
      </c>
      <c r="D5239" s="500" t="s">
        <v>760</v>
      </c>
      <c r="E5239" s="501">
        <v>298435381.42000002</v>
      </c>
      <c r="F5239" s="502" t="s">
        <v>878</v>
      </c>
      <c r="G5239" s="100">
        <v>115356880</v>
      </c>
      <c r="H5239" s="100">
        <v>115356880</v>
      </c>
      <c r="I5239" s="422" t="s">
        <v>696</v>
      </c>
      <c r="J5239" s="484"/>
      <c r="K5239" s="548"/>
      <c r="L5239" s="548"/>
      <c r="M5239" s="548"/>
      <c r="N5239" s="552"/>
    </row>
    <row r="5240" spans="1:14">
      <c r="A5240" s="499">
        <v>45663</v>
      </c>
      <c r="B5240" s="499">
        <v>45663</v>
      </c>
      <c r="C5240" s="500" t="s">
        <v>173</v>
      </c>
      <c r="D5240" s="500" t="s">
        <v>763</v>
      </c>
      <c r="E5240" s="501">
        <v>-304046616.57999998</v>
      </c>
      <c r="F5240" s="502" t="s">
        <v>878</v>
      </c>
      <c r="G5240" s="100">
        <v>115356371</v>
      </c>
      <c r="H5240" s="530"/>
      <c r="I5240" s="422" t="s">
        <v>816</v>
      </c>
      <c r="J5240" s="484"/>
      <c r="K5240" s="548"/>
      <c r="L5240" s="548">
        <v>-1</v>
      </c>
      <c r="M5240" s="548"/>
      <c r="N5240" s="552"/>
    </row>
    <row r="5241" spans="1:14">
      <c r="A5241" s="499">
        <v>45663</v>
      </c>
      <c r="B5241" s="499">
        <v>45663</v>
      </c>
      <c r="C5241" s="500" t="s">
        <v>173</v>
      </c>
      <c r="D5241" s="500" t="s">
        <v>763</v>
      </c>
      <c r="E5241" s="501">
        <v>-334125410.31999999</v>
      </c>
      <c r="F5241" s="502" t="s">
        <v>878</v>
      </c>
      <c r="G5241" s="100">
        <v>115356374</v>
      </c>
      <c r="H5241" s="530"/>
      <c r="I5241" s="422" t="s">
        <v>592</v>
      </c>
      <c r="J5241" s="484"/>
      <c r="K5241" s="548"/>
      <c r="L5241" s="548"/>
      <c r="M5241" s="548"/>
      <c r="N5241" s="552"/>
    </row>
    <row r="5242" spans="1:14">
      <c r="A5242" s="499">
        <v>45663</v>
      </c>
      <c r="B5242" s="499">
        <v>45663</v>
      </c>
      <c r="C5242" s="500" t="s">
        <v>173</v>
      </c>
      <c r="D5242" s="500" t="s">
        <v>763</v>
      </c>
      <c r="E5242" s="501">
        <v>-347136384.19</v>
      </c>
      <c r="F5242" s="502" t="s">
        <v>878</v>
      </c>
      <c r="G5242" s="100">
        <v>115356377</v>
      </c>
      <c r="H5242" s="530"/>
      <c r="I5242" s="422" t="s">
        <v>604</v>
      </c>
      <c r="J5242" s="484"/>
      <c r="K5242" s="548"/>
      <c r="L5242" s="548"/>
      <c r="M5242" s="548"/>
      <c r="N5242" s="552"/>
    </row>
    <row r="5243" spans="1:14">
      <c r="A5243" s="499">
        <v>45663</v>
      </c>
      <c r="B5243" s="499">
        <v>45663</v>
      </c>
      <c r="C5243" s="500" t="s">
        <v>173</v>
      </c>
      <c r="D5243" s="500" t="s">
        <v>763</v>
      </c>
      <c r="E5243" s="501">
        <v>-347081681.01999998</v>
      </c>
      <c r="F5243" s="502" t="s">
        <v>878</v>
      </c>
      <c r="G5243" s="100">
        <v>115356380</v>
      </c>
      <c r="H5243" s="530"/>
      <c r="I5243" s="422" t="s">
        <v>680</v>
      </c>
      <c r="J5243" s="484"/>
      <c r="K5243" s="548"/>
      <c r="L5243" s="548"/>
      <c r="M5243" s="548"/>
      <c r="N5243" s="552"/>
    </row>
    <row r="5244" spans="1:14">
      <c r="A5244" s="499">
        <v>45663</v>
      </c>
      <c r="B5244" s="499">
        <v>45663</v>
      </c>
      <c r="C5244" s="500" t="s">
        <v>173</v>
      </c>
      <c r="D5244" s="500" t="s">
        <v>763</v>
      </c>
      <c r="E5244" s="501">
        <v>-350323409.80000001</v>
      </c>
      <c r="F5244" s="502" t="s">
        <v>878</v>
      </c>
      <c r="G5244" s="100">
        <v>115356383</v>
      </c>
      <c r="H5244" s="530"/>
      <c r="I5244" s="422" t="s">
        <v>693</v>
      </c>
      <c r="J5244" s="484"/>
      <c r="K5244" s="548"/>
      <c r="L5244" s="548"/>
      <c r="M5244" s="548"/>
      <c r="N5244" s="552"/>
    </row>
    <row r="5245" spans="1:14">
      <c r="A5245" s="499">
        <v>45663</v>
      </c>
      <c r="B5245" s="499">
        <v>45663</v>
      </c>
      <c r="C5245" s="500" t="s">
        <v>173</v>
      </c>
      <c r="D5245" s="500" t="s">
        <v>763</v>
      </c>
      <c r="E5245" s="501">
        <v>-359236728.19</v>
      </c>
      <c r="F5245" s="502" t="s">
        <v>878</v>
      </c>
      <c r="G5245" s="100">
        <v>115356386</v>
      </c>
      <c r="H5245" s="530"/>
      <c r="I5245" s="422" t="s">
        <v>671</v>
      </c>
      <c r="J5245" s="484"/>
      <c r="K5245" s="548"/>
      <c r="L5245" s="548"/>
      <c r="M5245" s="548"/>
      <c r="N5245" s="552"/>
    </row>
    <row r="5246" spans="1:14">
      <c r="A5246" s="499">
        <v>45663</v>
      </c>
      <c r="B5246" s="499">
        <v>45663</v>
      </c>
      <c r="C5246" s="500" t="s">
        <v>173</v>
      </c>
      <c r="D5246" s="500" t="s">
        <v>763</v>
      </c>
      <c r="E5246" s="501">
        <v>-373083349.08999997</v>
      </c>
      <c r="F5246" s="502" t="s">
        <v>878</v>
      </c>
      <c r="G5246" s="100">
        <v>115356389</v>
      </c>
      <c r="H5246" s="530"/>
      <c r="I5246" s="422" t="s">
        <v>821</v>
      </c>
      <c r="J5246" s="484"/>
      <c r="K5246" s="548"/>
      <c r="L5246" s="548"/>
      <c r="M5246" s="548"/>
      <c r="N5246" s="552"/>
    </row>
    <row r="5247" spans="1:14">
      <c r="A5247" s="499">
        <v>45663</v>
      </c>
      <c r="B5247" s="499">
        <v>45663</v>
      </c>
      <c r="C5247" s="500" t="s">
        <v>173</v>
      </c>
      <c r="D5247" s="500" t="s">
        <v>763</v>
      </c>
      <c r="E5247" s="501">
        <v>-375270064.13</v>
      </c>
      <c r="F5247" s="502" t="s">
        <v>878</v>
      </c>
      <c r="G5247" s="100">
        <v>115356392</v>
      </c>
      <c r="H5247" s="530"/>
      <c r="I5247" s="422" t="s">
        <v>602</v>
      </c>
      <c r="J5247" s="484"/>
      <c r="K5247" s="548"/>
      <c r="L5247" s="548"/>
      <c r="M5247" s="548"/>
      <c r="N5247" s="552"/>
    </row>
    <row r="5248" spans="1:14">
      <c r="A5248" s="499">
        <v>45663</v>
      </c>
      <c r="B5248" s="499">
        <v>45663</v>
      </c>
      <c r="C5248" s="500" t="s">
        <v>173</v>
      </c>
      <c r="D5248" s="500" t="s">
        <v>763</v>
      </c>
      <c r="E5248" s="501">
        <v>-379217108.63</v>
      </c>
      <c r="F5248" s="502" t="s">
        <v>878</v>
      </c>
      <c r="G5248" s="100">
        <v>115356395</v>
      </c>
      <c r="H5248" s="530"/>
      <c r="I5248" s="422" t="s">
        <v>658</v>
      </c>
      <c r="J5248" s="484"/>
      <c r="K5248" s="548"/>
      <c r="L5248" s="548"/>
      <c r="M5248" s="548"/>
      <c r="N5248" s="552"/>
    </row>
    <row r="5249" spans="1:14">
      <c r="A5249" s="499">
        <v>45663</v>
      </c>
      <c r="B5249" s="499">
        <v>45663</v>
      </c>
      <c r="C5249" s="500" t="s">
        <v>173</v>
      </c>
      <c r="D5249" s="500" t="s">
        <v>763</v>
      </c>
      <c r="E5249" s="501">
        <v>-383166165.31999999</v>
      </c>
      <c r="F5249" s="502" t="s">
        <v>878</v>
      </c>
      <c r="G5249" s="100">
        <v>115356398</v>
      </c>
      <c r="H5249" s="530"/>
      <c r="I5249" s="422" t="s">
        <v>675</v>
      </c>
      <c r="J5249" s="484"/>
      <c r="K5249" s="548"/>
      <c r="L5249" s="548"/>
      <c r="M5249" s="548"/>
      <c r="N5249" s="552"/>
    </row>
    <row r="5250" spans="1:14">
      <c r="A5250" s="499">
        <v>45663</v>
      </c>
      <c r="B5250" s="499">
        <v>45663</v>
      </c>
      <c r="C5250" s="500" t="s">
        <v>173</v>
      </c>
      <c r="D5250" s="500" t="s">
        <v>763</v>
      </c>
      <c r="E5250" s="501">
        <v>-402360471.79000002</v>
      </c>
      <c r="F5250" s="502" t="s">
        <v>878</v>
      </c>
      <c r="G5250" s="100">
        <v>115356401</v>
      </c>
      <c r="H5250" s="530"/>
      <c r="I5250" s="422" t="s">
        <v>692</v>
      </c>
      <c r="J5250" s="484"/>
      <c r="K5250" s="548"/>
      <c r="L5250" s="548"/>
      <c r="M5250" s="548"/>
      <c r="N5250" s="552"/>
    </row>
    <row r="5251" spans="1:14">
      <c r="A5251" s="499">
        <v>45663</v>
      </c>
      <c r="B5251" s="499">
        <v>45663</v>
      </c>
      <c r="C5251" s="500" t="s">
        <v>173</v>
      </c>
      <c r="D5251" s="500" t="s">
        <v>763</v>
      </c>
      <c r="E5251" s="501">
        <v>-425389883.10000002</v>
      </c>
      <c r="F5251" s="502" t="s">
        <v>878</v>
      </c>
      <c r="G5251" s="100">
        <v>115356404</v>
      </c>
      <c r="H5251" s="530"/>
      <c r="I5251" s="422" t="s">
        <v>596</v>
      </c>
      <c r="J5251" s="484"/>
      <c r="K5251" s="548"/>
      <c r="L5251" s="548"/>
      <c r="M5251" s="548"/>
      <c r="N5251" s="552"/>
    </row>
    <row r="5252" spans="1:14">
      <c r="A5252" s="499">
        <v>45663</v>
      </c>
      <c r="B5252" s="499">
        <v>45663</v>
      </c>
      <c r="C5252" s="500" t="s">
        <v>173</v>
      </c>
      <c r="D5252" s="500" t="s">
        <v>763</v>
      </c>
      <c r="E5252" s="501">
        <v>-438392752.85000002</v>
      </c>
      <c r="F5252" s="502" t="s">
        <v>878</v>
      </c>
      <c r="G5252" s="100">
        <v>115356407</v>
      </c>
      <c r="H5252" s="530"/>
      <c r="I5252" s="422" t="s">
        <v>692</v>
      </c>
      <c r="J5252" s="484"/>
      <c r="K5252" s="548"/>
      <c r="L5252" s="548"/>
      <c r="M5252" s="548"/>
      <c r="N5252" s="552"/>
    </row>
    <row r="5253" spans="1:14">
      <c r="A5253" s="499">
        <v>45663</v>
      </c>
      <c r="B5253" s="499">
        <v>45663</v>
      </c>
      <c r="C5253" s="500" t="s">
        <v>173</v>
      </c>
      <c r="D5253" s="500" t="s">
        <v>763</v>
      </c>
      <c r="E5253" s="501">
        <v>-460256428.83999997</v>
      </c>
      <c r="F5253" s="502" t="s">
        <v>878</v>
      </c>
      <c r="G5253" s="100">
        <v>115356410</v>
      </c>
      <c r="H5253" s="530"/>
      <c r="I5253" s="422" t="s">
        <v>600</v>
      </c>
      <c r="J5253" s="484"/>
      <c r="K5253" s="548"/>
      <c r="L5253" s="548"/>
      <c r="M5253" s="548"/>
      <c r="N5253" s="552"/>
    </row>
    <row r="5254" spans="1:14">
      <c r="A5254" s="499">
        <v>45663</v>
      </c>
      <c r="B5254" s="499">
        <v>45663</v>
      </c>
      <c r="C5254" s="500" t="s">
        <v>173</v>
      </c>
      <c r="D5254" s="500" t="s">
        <v>763</v>
      </c>
      <c r="E5254" s="501">
        <v>-157072949.19999999</v>
      </c>
      <c r="F5254" s="502" t="s">
        <v>878</v>
      </c>
      <c r="G5254" s="100">
        <v>115356413</v>
      </c>
      <c r="H5254" s="530"/>
      <c r="I5254" s="422" t="s">
        <v>1013</v>
      </c>
      <c r="J5254" s="484"/>
      <c r="K5254" s="548"/>
      <c r="L5254" s="548"/>
      <c r="M5254" s="548"/>
      <c r="N5254" s="552"/>
    </row>
    <row r="5255" spans="1:14">
      <c r="A5255" s="499">
        <v>45663</v>
      </c>
      <c r="B5255" s="499">
        <v>45663</v>
      </c>
      <c r="C5255" s="500" t="s">
        <v>173</v>
      </c>
      <c r="D5255" s="500" t="s">
        <v>763</v>
      </c>
      <c r="E5255" s="501">
        <v>-125090178.13</v>
      </c>
      <c r="F5255" s="502" t="s">
        <v>878</v>
      </c>
      <c r="G5255" s="100">
        <v>115356416</v>
      </c>
      <c r="H5255" s="530"/>
      <c r="I5255" s="422" t="s">
        <v>677</v>
      </c>
      <c r="J5255" s="484"/>
      <c r="K5255" s="548"/>
      <c r="L5255" s="548"/>
      <c r="M5255" s="548"/>
      <c r="N5255" s="552"/>
    </row>
    <row r="5256" spans="1:14">
      <c r="A5256" s="499">
        <v>45663</v>
      </c>
      <c r="B5256" s="499">
        <v>45663</v>
      </c>
      <c r="C5256" s="500" t="s">
        <v>173</v>
      </c>
      <c r="D5256" s="500" t="s">
        <v>763</v>
      </c>
      <c r="E5256" s="501">
        <v>-20014428.5</v>
      </c>
      <c r="F5256" s="502" t="s">
        <v>878</v>
      </c>
      <c r="G5256" s="100">
        <v>115356470</v>
      </c>
      <c r="H5256" s="530"/>
      <c r="I5256" s="422" t="s">
        <v>677</v>
      </c>
      <c r="J5256" s="484"/>
      <c r="K5256" s="548"/>
      <c r="L5256" s="548"/>
      <c r="M5256" s="548"/>
      <c r="N5256" s="552"/>
    </row>
    <row r="5257" spans="1:14">
      <c r="A5257" s="499">
        <v>45663</v>
      </c>
      <c r="B5257" s="499">
        <v>45665</v>
      </c>
      <c r="C5257" s="500" t="s">
        <v>173</v>
      </c>
      <c r="D5257" s="500" t="s">
        <v>763</v>
      </c>
      <c r="E5257" s="501">
        <v>304287354.86000001</v>
      </c>
      <c r="F5257" s="502" t="s">
        <v>878</v>
      </c>
      <c r="G5257" s="100">
        <v>115356371</v>
      </c>
      <c r="H5257" s="484">
        <v>115356371</v>
      </c>
      <c r="I5257" s="422" t="s">
        <v>816</v>
      </c>
      <c r="J5257" s="484"/>
      <c r="K5257" s="548"/>
      <c r="L5257" s="548"/>
      <c r="M5257" s="548"/>
      <c r="N5257" s="552"/>
    </row>
    <row r="5258" spans="1:14">
      <c r="A5258" s="499">
        <v>45663</v>
      </c>
      <c r="B5258" s="499">
        <v>45665</v>
      </c>
      <c r="C5258" s="500" t="s">
        <v>173</v>
      </c>
      <c r="D5258" s="500" t="s">
        <v>763</v>
      </c>
      <c r="E5258" s="501">
        <v>334389964.41000003</v>
      </c>
      <c r="F5258" s="502" t="s">
        <v>878</v>
      </c>
      <c r="G5258" s="100">
        <v>115356374</v>
      </c>
      <c r="H5258" s="484">
        <v>115356374</v>
      </c>
      <c r="I5258" s="422" t="s">
        <v>592</v>
      </c>
      <c r="J5258" s="484"/>
      <c r="K5258" s="548"/>
      <c r="L5258" s="548"/>
      <c r="M5258" s="548"/>
      <c r="N5258" s="552"/>
    </row>
    <row r="5259" spans="1:14">
      <c r="A5259" s="499">
        <v>45663</v>
      </c>
      <c r="B5259" s="499">
        <v>45665</v>
      </c>
      <c r="C5259" s="500" t="s">
        <v>173</v>
      </c>
      <c r="D5259" s="500" t="s">
        <v>763</v>
      </c>
      <c r="E5259" s="501">
        <v>347411240.12</v>
      </c>
      <c r="F5259" s="502" t="s">
        <v>878</v>
      </c>
      <c r="G5259" s="100">
        <v>115356377</v>
      </c>
      <c r="H5259" s="484">
        <v>115356377</v>
      </c>
      <c r="I5259" s="422" t="s">
        <v>604</v>
      </c>
      <c r="J5259" s="484"/>
      <c r="K5259" s="548"/>
      <c r="L5259" s="548"/>
      <c r="M5259" s="548"/>
      <c r="N5259" s="552"/>
    </row>
    <row r="5260" spans="1:14">
      <c r="A5260" s="499">
        <v>45663</v>
      </c>
      <c r="B5260" s="499">
        <v>45665</v>
      </c>
      <c r="C5260" s="500" t="s">
        <v>173</v>
      </c>
      <c r="D5260" s="500" t="s">
        <v>763</v>
      </c>
      <c r="E5260" s="501">
        <v>347356493.63999999</v>
      </c>
      <c r="F5260" s="502" t="s">
        <v>878</v>
      </c>
      <c r="G5260" s="100">
        <v>115356380</v>
      </c>
      <c r="H5260" s="484">
        <v>115356380</v>
      </c>
      <c r="I5260" s="422" t="s">
        <v>680</v>
      </c>
      <c r="J5260" s="484"/>
      <c r="K5260" s="548"/>
      <c r="L5260" s="548"/>
      <c r="M5260" s="548"/>
      <c r="N5260" s="552"/>
    </row>
    <row r="5261" spans="1:14">
      <c r="A5261" s="499">
        <v>45663</v>
      </c>
      <c r="B5261" s="499">
        <v>45665</v>
      </c>
      <c r="C5261" s="500" t="s">
        <v>173</v>
      </c>
      <c r="D5261" s="500" t="s">
        <v>763</v>
      </c>
      <c r="E5261" s="501">
        <v>350600789.16000003</v>
      </c>
      <c r="F5261" s="502" t="s">
        <v>878</v>
      </c>
      <c r="G5261" s="100">
        <v>115356383</v>
      </c>
      <c r="H5261" s="484">
        <v>115356383</v>
      </c>
      <c r="I5261" s="422" t="s">
        <v>693</v>
      </c>
      <c r="J5261" s="484"/>
      <c r="K5261" s="548"/>
      <c r="L5261" s="548"/>
      <c r="M5261" s="548"/>
      <c r="N5261" s="552"/>
    </row>
    <row r="5262" spans="1:14">
      <c r="A5262" s="499">
        <v>45663</v>
      </c>
      <c r="B5262" s="499">
        <v>45665</v>
      </c>
      <c r="C5262" s="500" t="s">
        <v>173</v>
      </c>
      <c r="D5262" s="500" t="s">
        <v>763</v>
      </c>
      <c r="E5262" s="501">
        <v>359521164.94</v>
      </c>
      <c r="F5262" s="502" t="s">
        <v>878</v>
      </c>
      <c r="G5262" s="100">
        <v>115356386</v>
      </c>
      <c r="H5262" s="484">
        <v>115356386</v>
      </c>
      <c r="I5262" s="422" t="s">
        <v>671</v>
      </c>
      <c r="J5262" s="484"/>
      <c r="K5262" s="548"/>
      <c r="L5262" s="548"/>
      <c r="M5262" s="548"/>
      <c r="N5262" s="552"/>
    </row>
    <row r="5263" spans="1:14">
      <c r="A5263" s="499">
        <v>45663</v>
      </c>
      <c r="B5263" s="499">
        <v>45665</v>
      </c>
      <c r="C5263" s="500" t="s">
        <v>173</v>
      </c>
      <c r="D5263" s="500" t="s">
        <v>763</v>
      </c>
      <c r="E5263" s="501">
        <v>373378749.32999998</v>
      </c>
      <c r="F5263" s="502" t="s">
        <v>878</v>
      </c>
      <c r="G5263" s="100">
        <v>115356389</v>
      </c>
      <c r="H5263" s="484">
        <v>115356389</v>
      </c>
      <c r="I5263" s="422" t="s">
        <v>821</v>
      </c>
      <c r="J5263" s="484"/>
      <c r="K5263" s="548"/>
      <c r="L5263" s="548"/>
      <c r="M5263" s="548"/>
      <c r="N5263" s="552"/>
    </row>
    <row r="5264" spans="1:14">
      <c r="A5264" s="499">
        <v>45663</v>
      </c>
      <c r="B5264" s="499">
        <v>45665</v>
      </c>
      <c r="C5264" s="500" t="s">
        <v>173</v>
      </c>
      <c r="D5264" s="500" t="s">
        <v>763</v>
      </c>
      <c r="E5264" s="501">
        <v>375567195.76999998</v>
      </c>
      <c r="F5264" s="502" t="s">
        <v>878</v>
      </c>
      <c r="G5264" s="100">
        <v>115356392</v>
      </c>
      <c r="H5264" s="484">
        <v>115356392</v>
      </c>
      <c r="I5264" s="422" t="s">
        <v>602</v>
      </c>
      <c r="J5264" s="484"/>
      <c r="K5264" s="548"/>
      <c r="L5264" s="548"/>
      <c r="M5264" s="548"/>
      <c r="N5264" s="552"/>
    </row>
    <row r="5265" spans="1:14">
      <c r="A5265" s="499">
        <v>45663</v>
      </c>
      <c r="B5265" s="499">
        <v>45665</v>
      </c>
      <c r="C5265" s="500" t="s">
        <v>173</v>
      </c>
      <c r="D5265" s="500" t="s">
        <v>763</v>
      </c>
      <c r="E5265" s="501">
        <v>379517365.45999998</v>
      </c>
      <c r="F5265" s="502" t="s">
        <v>878</v>
      </c>
      <c r="G5265" s="100">
        <v>115356395</v>
      </c>
      <c r="H5265" s="484">
        <v>115356395</v>
      </c>
      <c r="I5265" s="422" t="s">
        <v>658</v>
      </c>
      <c r="J5265" s="484"/>
      <c r="K5265" s="548"/>
      <c r="L5265" s="548"/>
      <c r="M5265" s="548"/>
      <c r="N5265" s="552"/>
    </row>
    <row r="5266" spans="1:14">
      <c r="A5266" s="499">
        <v>45663</v>
      </c>
      <c r="B5266" s="499">
        <v>45665</v>
      </c>
      <c r="C5266" s="500" t="s">
        <v>173</v>
      </c>
      <c r="D5266" s="500" t="s">
        <v>763</v>
      </c>
      <c r="E5266" s="501">
        <v>383469548.94</v>
      </c>
      <c r="F5266" s="502" t="s">
        <v>878</v>
      </c>
      <c r="G5266" s="100">
        <v>115356398</v>
      </c>
      <c r="H5266" s="484">
        <v>115356398</v>
      </c>
      <c r="I5266" s="422" t="s">
        <v>675</v>
      </c>
      <c r="J5266" s="484"/>
      <c r="K5266" s="548"/>
      <c r="L5266" s="548"/>
      <c r="M5266" s="548"/>
      <c r="N5266" s="552"/>
    </row>
    <row r="5267" spans="1:14">
      <c r="A5267" s="499">
        <v>45663</v>
      </c>
      <c r="B5267" s="499">
        <v>45665</v>
      </c>
      <c r="C5267" s="500" t="s">
        <v>173</v>
      </c>
      <c r="D5267" s="500" t="s">
        <v>763</v>
      </c>
      <c r="E5267" s="501">
        <v>402679053.10000002</v>
      </c>
      <c r="F5267" s="502" t="s">
        <v>878</v>
      </c>
      <c r="G5267" s="100">
        <v>115356401</v>
      </c>
      <c r="H5267" s="484">
        <v>115356401</v>
      </c>
      <c r="I5267" s="422" t="s">
        <v>692</v>
      </c>
      <c r="J5267" s="484"/>
      <c r="K5267" s="548"/>
      <c r="L5267" s="548"/>
      <c r="M5267" s="548"/>
      <c r="N5267" s="552"/>
    </row>
    <row r="5268" spans="1:14">
      <c r="A5268" s="499">
        <v>45663</v>
      </c>
      <c r="B5268" s="499">
        <v>45665</v>
      </c>
      <c r="C5268" s="500" t="s">
        <v>173</v>
      </c>
      <c r="D5268" s="500" t="s">
        <v>763</v>
      </c>
      <c r="E5268" s="501">
        <v>425726698.64999998</v>
      </c>
      <c r="F5268" s="502" t="s">
        <v>878</v>
      </c>
      <c r="G5268" s="100">
        <v>115356404</v>
      </c>
      <c r="H5268" s="484">
        <v>115356404</v>
      </c>
      <c r="I5268" s="422" t="s">
        <v>596</v>
      </c>
      <c r="J5268" s="484"/>
      <c r="K5268" s="548"/>
      <c r="L5268" s="548"/>
      <c r="M5268" s="548"/>
      <c r="N5268" s="552"/>
    </row>
    <row r="5269" spans="1:14">
      <c r="A5269" s="499">
        <v>45663</v>
      </c>
      <c r="B5269" s="499">
        <v>45665</v>
      </c>
      <c r="C5269" s="500" t="s">
        <v>173</v>
      </c>
      <c r="D5269" s="500" t="s">
        <v>763</v>
      </c>
      <c r="E5269" s="501">
        <v>438739863.81999999</v>
      </c>
      <c r="F5269" s="502" t="s">
        <v>878</v>
      </c>
      <c r="G5269" s="100">
        <v>115356407</v>
      </c>
      <c r="H5269" s="484">
        <v>115356407</v>
      </c>
      <c r="I5269" s="422" t="s">
        <v>692</v>
      </c>
      <c r="J5269" s="484"/>
      <c r="K5269" s="548"/>
      <c r="L5269" s="548"/>
      <c r="M5269" s="548"/>
      <c r="N5269" s="552"/>
    </row>
    <row r="5270" spans="1:14">
      <c r="A5270" s="499">
        <v>45663</v>
      </c>
      <c r="B5270" s="499">
        <v>45665</v>
      </c>
      <c r="C5270" s="500" t="s">
        <v>173</v>
      </c>
      <c r="D5270" s="500" t="s">
        <v>763</v>
      </c>
      <c r="E5270" s="501">
        <v>460620851.05000001</v>
      </c>
      <c r="F5270" s="502" t="s">
        <v>878</v>
      </c>
      <c r="G5270" s="100">
        <v>115356410</v>
      </c>
      <c r="H5270" s="484">
        <v>115356410</v>
      </c>
      <c r="I5270" s="422" t="s">
        <v>600</v>
      </c>
      <c r="J5270" s="484"/>
      <c r="K5270" s="548"/>
      <c r="L5270" s="548"/>
      <c r="M5270" s="548"/>
      <c r="N5270" s="552"/>
    </row>
    <row r="5271" spans="1:14">
      <c r="A5271" s="499">
        <v>45663</v>
      </c>
      <c r="B5271" s="499">
        <v>45665</v>
      </c>
      <c r="C5271" s="500" t="s">
        <v>173</v>
      </c>
      <c r="D5271" s="500" t="s">
        <v>763</v>
      </c>
      <c r="E5271" s="501">
        <v>157196887.93000001</v>
      </c>
      <c r="F5271" s="502" t="s">
        <v>878</v>
      </c>
      <c r="G5271" s="100">
        <v>115356413</v>
      </c>
      <c r="H5271" s="484">
        <v>115356413</v>
      </c>
      <c r="I5271" s="422" t="s">
        <v>1013</v>
      </c>
      <c r="J5271" s="484"/>
      <c r="K5271" s="548"/>
      <c r="L5271" s="548"/>
      <c r="M5271" s="548"/>
      <c r="N5271" s="552"/>
    </row>
    <row r="5272" spans="1:14">
      <c r="A5272" s="499">
        <v>45663</v>
      </c>
      <c r="B5272" s="499">
        <v>45665</v>
      </c>
      <c r="C5272" s="500" t="s">
        <v>173</v>
      </c>
      <c r="D5272" s="500" t="s">
        <v>763</v>
      </c>
      <c r="E5272" s="501">
        <v>125188880.11</v>
      </c>
      <c r="F5272" s="502" t="s">
        <v>878</v>
      </c>
      <c r="G5272" s="100">
        <v>115356416</v>
      </c>
      <c r="H5272" s="484">
        <v>115356416</v>
      </c>
      <c r="I5272" s="422" t="s">
        <v>677</v>
      </c>
      <c r="J5272" s="484"/>
      <c r="K5272" s="548"/>
      <c r="L5272" s="548"/>
      <c r="M5272" s="548"/>
      <c r="N5272" s="552"/>
    </row>
    <row r="5273" spans="1:14">
      <c r="A5273" s="499">
        <v>45663</v>
      </c>
      <c r="B5273" s="499">
        <v>45665</v>
      </c>
      <c r="C5273" s="500" t="s">
        <v>173</v>
      </c>
      <c r="D5273" s="500" t="s">
        <v>763</v>
      </c>
      <c r="E5273" s="501">
        <v>20030220.82</v>
      </c>
      <c r="F5273" s="502" t="s">
        <v>878</v>
      </c>
      <c r="G5273" s="100">
        <v>115356470</v>
      </c>
      <c r="H5273" s="484">
        <v>115356470</v>
      </c>
      <c r="I5273" s="422" t="s">
        <v>677</v>
      </c>
      <c r="J5273" s="484"/>
      <c r="K5273" s="548"/>
      <c r="L5273" s="548"/>
      <c r="M5273" s="548"/>
      <c r="N5273" s="552"/>
    </row>
    <row r="5274" spans="1:14">
      <c r="A5274" s="499">
        <v>45665</v>
      </c>
      <c r="B5274" s="499">
        <v>45665</v>
      </c>
      <c r="C5274" s="500" t="s">
        <v>173</v>
      </c>
      <c r="D5274" s="500" t="s">
        <v>762</v>
      </c>
      <c r="E5274" s="501">
        <v>-679627396</v>
      </c>
      <c r="F5274" s="502" t="s">
        <v>878</v>
      </c>
      <c r="G5274" s="100">
        <v>115389224</v>
      </c>
      <c r="H5274" s="530"/>
      <c r="I5274" s="422" t="s">
        <v>677</v>
      </c>
      <c r="J5274" s="484"/>
      <c r="K5274" s="548"/>
      <c r="L5274" s="548"/>
      <c r="M5274" s="548"/>
      <c r="N5274" s="552"/>
    </row>
    <row r="5275" spans="1:14">
      <c r="A5275" s="499">
        <v>45665</v>
      </c>
      <c r="B5275" s="499">
        <v>45665</v>
      </c>
      <c r="C5275" s="500" t="s">
        <v>173</v>
      </c>
      <c r="D5275" s="500" t="s">
        <v>762</v>
      </c>
      <c r="E5275" s="501">
        <v>-18005051.52</v>
      </c>
      <c r="F5275" s="502" t="s">
        <v>878</v>
      </c>
      <c r="G5275" s="100">
        <v>115397936</v>
      </c>
      <c r="H5275" s="530"/>
      <c r="I5275" s="422" t="s">
        <v>672</v>
      </c>
      <c r="J5275" s="484"/>
      <c r="K5275" s="548"/>
      <c r="L5275" s="548"/>
      <c r="M5275" s="548"/>
      <c r="N5275" s="552"/>
    </row>
    <row r="5276" spans="1:14">
      <c r="A5276" s="499">
        <v>45665</v>
      </c>
      <c r="B5276" s="499">
        <v>45665</v>
      </c>
      <c r="C5276" s="500" t="s">
        <v>173</v>
      </c>
      <c r="D5276" s="500" t="s">
        <v>762</v>
      </c>
      <c r="E5276" s="501">
        <v>-3928168157.0599999</v>
      </c>
      <c r="F5276" s="502" t="s">
        <v>878</v>
      </c>
      <c r="G5276" s="100">
        <v>115389221</v>
      </c>
      <c r="H5276" s="530"/>
      <c r="I5276" s="422" t="s">
        <v>596</v>
      </c>
      <c r="J5276" s="484"/>
      <c r="K5276" s="548"/>
      <c r="L5276" s="548"/>
      <c r="M5276" s="548"/>
      <c r="N5276" s="552"/>
    </row>
    <row r="5277" spans="1:14">
      <c r="A5277" s="499">
        <v>45665</v>
      </c>
      <c r="B5277" s="499">
        <v>45666</v>
      </c>
      <c r="C5277" s="500" t="s">
        <v>173</v>
      </c>
      <c r="D5277" s="500" t="s">
        <v>762</v>
      </c>
      <c r="E5277" s="501">
        <v>679893666.57000005</v>
      </c>
      <c r="F5277" s="502" t="s">
        <v>878</v>
      </c>
      <c r="G5277" s="100">
        <v>115389224</v>
      </c>
      <c r="H5277" s="484">
        <v>115389224</v>
      </c>
      <c r="I5277" s="422" t="s">
        <v>677</v>
      </c>
      <c r="J5277" s="484"/>
      <c r="K5277" s="548"/>
      <c r="L5277" s="548"/>
      <c r="M5277" s="548"/>
      <c r="N5277" s="552"/>
    </row>
    <row r="5278" spans="1:14">
      <c r="A5278" s="499">
        <v>45665</v>
      </c>
      <c r="B5278" s="499">
        <v>45666</v>
      </c>
      <c r="C5278" s="500" t="s">
        <v>173</v>
      </c>
      <c r="D5278" s="500" t="s">
        <v>762</v>
      </c>
      <c r="E5278" s="501">
        <v>18012006.949999999</v>
      </c>
      <c r="F5278" s="502" t="s">
        <v>878</v>
      </c>
      <c r="G5278" s="100">
        <v>115397936</v>
      </c>
      <c r="H5278" s="484">
        <v>115397936</v>
      </c>
      <c r="I5278" s="422" t="s">
        <v>672</v>
      </c>
      <c r="J5278" s="484"/>
      <c r="K5278" s="548"/>
      <c r="L5278" s="548"/>
      <c r="M5278" s="548"/>
      <c r="N5278" s="552"/>
    </row>
    <row r="5279" spans="1:14">
      <c r="A5279" s="499">
        <v>45665</v>
      </c>
      <c r="B5279" s="499">
        <v>45666</v>
      </c>
      <c r="C5279" s="500" t="s">
        <v>173</v>
      </c>
      <c r="D5279" s="500" t="s">
        <v>762</v>
      </c>
      <c r="E5279" s="501">
        <v>3929707181.0599999</v>
      </c>
      <c r="F5279" s="502" t="s">
        <v>878</v>
      </c>
      <c r="G5279" s="100">
        <v>115389221</v>
      </c>
      <c r="H5279" s="484">
        <v>115389221</v>
      </c>
      <c r="I5279" s="422" t="s">
        <v>596</v>
      </c>
      <c r="J5279" s="484"/>
      <c r="K5279" s="548"/>
      <c r="L5279" s="548"/>
      <c r="M5279" s="548"/>
      <c r="N5279" s="552"/>
    </row>
    <row r="5280" spans="1:14">
      <c r="A5280" s="499">
        <v>45665</v>
      </c>
      <c r="B5280" s="499">
        <v>45665</v>
      </c>
      <c r="C5280" s="500" t="s">
        <v>173</v>
      </c>
      <c r="D5280" s="500" t="s">
        <v>761</v>
      </c>
      <c r="E5280" s="501">
        <v>-997621988.41999996</v>
      </c>
      <c r="F5280" s="502" t="s">
        <v>878</v>
      </c>
      <c r="G5280" s="100">
        <v>115381331</v>
      </c>
      <c r="H5280" s="530"/>
      <c r="I5280" s="422" t="s">
        <v>684</v>
      </c>
      <c r="J5280" s="484"/>
      <c r="K5280" s="548"/>
      <c r="L5280" s="548"/>
      <c r="M5280" s="548"/>
      <c r="N5280" s="552"/>
    </row>
    <row r="5281" spans="1:14">
      <c r="A5281" s="499">
        <v>45665</v>
      </c>
      <c r="B5281" s="499">
        <v>45665</v>
      </c>
      <c r="C5281" s="500" t="s">
        <v>173</v>
      </c>
      <c r="D5281" s="500" t="s">
        <v>761</v>
      </c>
      <c r="E5281" s="501">
        <v>-4002905.94</v>
      </c>
      <c r="F5281" s="502" t="s">
        <v>878</v>
      </c>
      <c r="G5281" s="100">
        <v>115382011</v>
      </c>
      <c r="H5281" s="530"/>
      <c r="I5281" s="422" t="s">
        <v>691</v>
      </c>
      <c r="J5281" s="484"/>
      <c r="K5281" s="548"/>
      <c r="L5281" s="548"/>
      <c r="M5281" s="548"/>
      <c r="N5281" s="552"/>
    </row>
    <row r="5282" spans="1:14">
      <c r="A5282" s="499">
        <v>45665</v>
      </c>
      <c r="B5282" s="499">
        <v>45666</v>
      </c>
      <c r="C5282" s="500" t="s">
        <v>173</v>
      </c>
      <c r="D5282" s="500" t="s">
        <v>761</v>
      </c>
      <c r="E5282" s="501">
        <v>998012837.58000004</v>
      </c>
      <c r="F5282" s="502" t="s">
        <v>878</v>
      </c>
      <c r="G5282" s="100">
        <v>115381331</v>
      </c>
      <c r="H5282" s="484">
        <v>115381331</v>
      </c>
      <c r="I5282" s="422" t="s">
        <v>684</v>
      </c>
      <c r="J5282" s="484"/>
      <c r="K5282" s="548"/>
      <c r="L5282" s="548"/>
      <c r="M5282" s="548"/>
      <c r="N5282" s="552"/>
    </row>
    <row r="5283" spans="1:14">
      <c r="A5283" s="499">
        <v>45665</v>
      </c>
      <c r="B5283" s="499">
        <v>45666</v>
      </c>
      <c r="C5283" s="500" t="s">
        <v>173</v>
      </c>
      <c r="D5283" s="500" t="s">
        <v>761</v>
      </c>
      <c r="E5283" s="501">
        <v>4004474.2</v>
      </c>
      <c r="F5283" s="502" t="s">
        <v>878</v>
      </c>
      <c r="G5283" s="100">
        <v>115382011</v>
      </c>
      <c r="H5283" s="484">
        <v>115382011</v>
      </c>
      <c r="I5283" s="422" t="s">
        <v>691</v>
      </c>
      <c r="J5283" s="484"/>
      <c r="K5283" s="548"/>
      <c r="L5283" s="548"/>
      <c r="M5283" s="548"/>
      <c r="N5283" s="552"/>
    </row>
    <row r="5284" spans="1:14">
      <c r="A5284" s="499">
        <v>45665</v>
      </c>
      <c r="B5284" s="499">
        <v>45665</v>
      </c>
      <c r="C5284" s="500" t="s">
        <v>173</v>
      </c>
      <c r="D5284" s="500" t="s">
        <v>759</v>
      </c>
      <c r="E5284" s="501">
        <v>-700068448.79999995</v>
      </c>
      <c r="F5284" s="502" t="s">
        <v>878</v>
      </c>
      <c r="G5284" s="100">
        <v>115387224</v>
      </c>
      <c r="H5284" s="530"/>
      <c r="I5284" s="422" t="s">
        <v>631</v>
      </c>
      <c r="J5284" s="484"/>
      <c r="K5284" s="548"/>
      <c r="L5284" s="548"/>
      <c r="M5284" s="548"/>
      <c r="N5284" s="552"/>
    </row>
    <row r="5285" spans="1:14">
      <c r="A5285" s="499">
        <v>45665</v>
      </c>
      <c r="B5285" s="499">
        <v>45665</v>
      </c>
      <c r="C5285" s="500" t="s">
        <v>173</v>
      </c>
      <c r="D5285" s="500" t="s">
        <v>759</v>
      </c>
      <c r="E5285" s="501">
        <v>-1292192884</v>
      </c>
      <c r="F5285" s="502" t="s">
        <v>878</v>
      </c>
      <c r="G5285" s="100">
        <v>115387288</v>
      </c>
      <c r="H5285" s="530"/>
      <c r="I5285" s="422" t="s">
        <v>677</v>
      </c>
      <c r="J5285" s="484"/>
      <c r="K5285" s="548"/>
      <c r="L5285" s="548"/>
      <c r="M5285" s="548"/>
      <c r="N5285" s="552"/>
    </row>
    <row r="5286" spans="1:14">
      <c r="A5286" s="499">
        <v>45665</v>
      </c>
      <c r="B5286" s="499">
        <v>45665</v>
      </c>
      <c r="C5286" s="500" t="s">
        <v>173</v>
      </c>
      <c r="D5286" s="500" t="s">
        <v>759</v>
      </c>
      <c r="E5286" s="501">
        <v>-65011431.68</v>
      </c>
      <c r="F5286" s="502" t="s">
        <v>878</v>
      </c>
      <c r="G5286" s="100">
        <v>115387637</v>
      </c>
      <c r="H5286" s="530"/>
      <c r="I5286" s="422" t="s">
        <v>633</v>
      </c>
      <c r="J5286" s="484"/>
      <c r="K5286" s="548"/>
      <c r="L5286" s="548"/>
      <c r="M5286" s="548"/>
      <c r="N5286" s="552"/>
    </row>
    <row r="5287" spans="1:14">
      <c r="A5287" s="499">
        <v>45665</v>
      </c>
      <c r="B5287" s="499">
        <v>45665</v>
      </c>
      <c r="C5287" s="500" t="s">
        <v>173</v>
      </c>
      <c r="D5287" s="500" t="s">
        <v>759</v>
      </c>
      <c r="E5287" s="501">
        <v>-200105206</v>
      </c>
      <c r="F5287" s="502" t="s">
        <v>878</v>
      </c>
      <c r="G5287" s="100">
        <v>115387677</v>
      </c>
      <c r="H5287" s="530"/>
      <c r="I5287" s="422" t="s">
        <v>590</v>
      </c>
      <c r="J5287" s="484"/>
      <c r="K5287" s="548"/>
      <c r="L5287" s="548"/>
      <c r="M5287" s="548"/>
      <c r="N5287" s="552"/>
    </row>
    <row r="5288" spans="1:14">
      <c r="A5288" s="499">
        <v>45665</v>
      </c>
      <c r="B5288" s="499">
        <v>45665</v>
      </c>
      <c r="C5288" s="500" t="s">
        <v>173</v>
      </c>
      <c r="D5288" s="500" t="s">
        <v>759</v>
      </c>
      <c r="E5288" s="501">
        <v>-2735579525.6500001</v>
      </c>
      <c r="F5288" s="502" t="s">
        <v>878</v>
      </c>
      <c r="G5288" s="100">
        <v>115387833</v>
      </c>
      <c r="H5288" s="530"/>
      <c r="I5288" s="422" t="s">
        <v>690</v>
      </c>
      <c r="J5288" s="484"/>
      <c r="K5288" s="548"/>
      <c r="L5288" s="548"/>
      <c r="M5288" s="548"/>
      <c r="N5288" s="552"/>
    </row>
    <row r="5289" spans="1:14">
      <c r="A5289" s="499">
        <v>45665</v>
      </c>
      <c r="B5289" s="499">
        <v>45665</v>
      </c>
      <c r="C5289" s="500" t="s">
        <v>173</v>
      </c>
      <c r="D5289" s="500" t="s">
        <v>759</v>
      </c>
      <c r="E5289" s="501">
        <v>-976843997.95000005</v>
      </c>
      <c r="F5289" s="502" t="s">
        <v>878</v>
      </c>
      <c r="G5289" s="100">
        <v>115387860</v>
      </c>
      <c r="H5289" s="530"/>
      <c r="I5289" s="422" t="s">
        <v>604</v>
      </c>
      <c r="J5289" s="484"/>
      <c r="K5289" s="548"/>
      <c r="L5289" s="548"/>
      <c r="M5289" s="548"/>
      <c r="N5289" s="552"/>
    </row>
    <row r="5290" spans="1:14">
      <c r="A5290" s="499">
        <v>45665</v>
      </c>
      <c r="B5290" s="499">
        <v>45665</v>
      </c>
      <c r="C5290" s="500" t="s">
        <v>173</v>
      </c>
      <c r="D5290" s="500" t="s">
        <v>759</v>
      </c>
      <c r="E5290" s="501">
        <v>-21019404</v>
      </c>
      <c r="F5290" s="502" t="s">
        <v>878</v>
      </c>
      <c r="G5290" s="100">
        <v>115390740</v>
      </c>
      <c r="H5290" s="530"/>
      <c r="I5290" s="422" t="s">
        <v>677</v>
      </c>
      <c r="J5290" s="484"/>
      <c r="K5290" s="548"/>
      <c r="L5290" s="548"/>
      <c r="M5290" s="548"/>
      <c r="N5290" s="552"/>
    </row>
    <row r="5291" spans="1:14">
      <c r="A5291" s="499">
        <v>45665</v>
      </c>
      <c r="B5291" s="499">
        <v>45666</v>
      </c>
      <c r="C5291" s="500" t="s">
        <v>173</v>
      </c>
      <c r="D5291" s="500" t="s">
        <v>759</v>
      </c>
      <c r="E5291" s="501">
        <v>700342338.59000003</v>
      </c>
      <c r="F5291" s="502" t="s">
        <v>878</v>
      </c>
      <c r="G5291" s="100">
        <v>115387224</v>
      </c>
      <c r="H5291" s="100">
        <v>115387224</v>
      </c>
      <c r="I5291" s="422" t="s">
        <v>631</v>
      </c>
      <c r="J5291" s="484"/>
      <c r="K5291" s="548"/>
      <c r="L5291" s="548"/>
      <c r="M5291" s="548"/>
      <c r="N5291" s="552"/>
    </row>
    <row r="5292" spans="1:14">
      <c r="A5292" s="499">
        <v>45665</v>
      </c>
      <c r="B5292" s="499">
        <v>45666</v>
      </c>
      <c r="C5292" s="500" t="s">
        <v>173</v>
      </c>
      <c r="D5292" s="500" t="s">
        <v>759</v>
      </c>
      <c r="E5292" s="501">
        <v>1292698432.3399999</v>
      </c>
      <c r="F5292" s="502" t="s">
        <v>878</v>
      </c>
      <c r="G5292" s="100">
        <v>115387288</v>
      </c>
      <c r="H5292" s="100">
        <v>115387288</v>
      </c>
      <c r="I5292" s="422" t="s">
        <v>677</v>
      </c>
      <c r="J5292" s="484"/>
      <c r="K5292" s="548"/>
      <c r="L5292" s="548"/>
      <c r="M5292" s="548"/>
      <c r="N5292" s="552"/>
    </row>
    <row r="5293" spans="1:14">
      <c r="A5293" s="499">
        <v>45665</v>
      </c>
      <c r="B5293" s="499">
        <v>45672</v>
      </c>
      <c r="C5293" s="500" t="s">
        <v>173</v>
      </c>
      <c r="D5293" s="500" t="s">
        <v>759</v>
      </c>
      <c r="E5293" s="501">
        <v>65195957.280000001</v>
      </c>
      <c r="F5293" s="502" t="s">
        <v>878</v>
      </c>
      <c r="G5293" s="100">
        <v>115387637</v>
      </c>
      <c r="H5293" s="100">
        <v>115387637</v>
      </c>
      <c r="I5293" s="422" t="s">
        <v>633</v>
      </c>
      <c r="J5293" s="484"/>
      <c r="K5293" s="548"/>
      <c r="L5293" s="548"/>
      <c r="M5293" s="548"/>
      <c r="N5293" s="552"/>
    </row>
    <row r="5294" spans="1:14">
      <c r="A5294" s="499">
        <v>45665</v>
      </c>
      <c r="B5294" s="499">
        <v>45672</v>
      </c>
      <c r="C5294" s="500" t="s">
        <v>173</v>
      </c>
      <c r="D5294" s="500" t="s">
        <v>759</v>
      </c>
      <c r="E5294" s="501">
        <v>200673175.84</v>
      </c>
      <c r="F5294" s="502" t="s">
        <v>878</v>
      </c>
      <c r="G5294" s="100">
        <v>115387677</v>
      </c>
      <c r="H5294" s="100">
        <v>115387677</v>
      </c>
      <c r="I5294" s="422" t="s">
        <v>590</v>
      </c>
      <c r="J5294" s="484"/>
      <c r="K5294" s="548"/>
      <c r="L5294" s="548"/>
      <c r="M5294" s="548"/>
      <c r="N5294" s="552"/>
    </row>
    <row r="5295" spans="1:14">
      <c r="A5295" s="499">
        <v>45665</v>
      </c>
      <c r="B5295" s="499">
        <v>45672</v>
      </c>
      <c r="C5295" s="500" t="s">
        <v>173</v>
      </c>
      <c r="D5295" s="500" t="s">
        <v>759</v>
      </c>
      <c r="E5295" s="501">
        <v>2743317843.0799999</v>
      </c>
      <c r="F5295" s="502" t="s">
        <v>878</v>
      </c>
      <c r="G5295" s="100">
        <v>115387833</v>
      </c>
      <c r="H5295" s="100">
        <v>115387833</v>
      </c>
      <c r="I5295" s="422" t="s">
        <v>690</v>
      </c>
      <c r="J5295" s="484"/>
      <c r="K5295" s="548"/>
      <c r="L5295" s="548"/>
      <c r="M5295" s="548"/>
      <c r="N5295" s="552"/>
    </row>
    <row r="5296" spans="1:14">
      <c r="A5296" s="499">
        <v>45665</v>
      </c>
      <c r="B5296" s="499">
        <v>45672</v>
      </c>
      <c r="C5296" s="500" t="s">
        <v>173</v>
      </c>
      <c r="D5296" s="500" t="s">
        <v>759</v>
      </c>
      <c r="E5296" s="501">
        <v>979607262.13999999</v>
      </c>
      <c r="F5296" s="502" t="s">
        <v>878</v>
      </c>
      <c r="G5296" s="100">
        <v>115387860</v>
      </c>
      <c r="H5296" s="100">
        <v>115387860</v>
      </c>
      <c r="I5296" s="422" t="s">
        <v>604</v>
      </c>
      <c r="J5296" s="484"/>
      <c r="K5296" s="548"/>
      <c r="L5296" s="548"/>
      <c r="M5296" s="548"/>
      <c r="N5296" s="552"/>
    </row>
    <row r="5297" spans="1:14">
      <c r="A5297" s="499">
        <v>45665</v>
      </c>
      <c r="B5297" s="499">
        <v>45666</v>
      </c>
      <c r="C5297" s="500" t="s">
        <v>173</v>
      </c>
      <c r="D5297" s="500" t="s">
        <v>759</v>
      </c>
      <c r="E5297" s="501">
        <v>21027754.23</v>
      </c>
      <c r="F5297" s="502" t="s">
        <v>878</v>
      </c>
      <c r="G5297" s="100">
        <v>115390740</v>
      </c>
      <c r="H5297" s="100">
        <v>115390740</v>
      </c>
      <c r="I5297" s="422" t="s">
        <v>677</v>
      </c>
      <c r="J5297" s="484"/>
      <c r="K5297" s="548"/>
      <c r="L5297" s="548"/>
      <c r="M5297" s="548"/>
      <c r="N5297" s="552"/>
    </row>
    <row r="5298" spans="1:14">
      <c r="A5298" s="499">
        <v>45665</v>
      </c>
      <c r="B5298" s="499">
        <v>45665</v>
      </c>
      <c r="C5298" s="500" t="s">
        <v>173</v>
      </c>
      <c r="D5298" s="500" t="s">
        <v>760</v>
      </c>
      <c r="E5298" s="501">
        <v>-302279048</v>
      </c>
      <c r="F5298" s="502" t="s">
        <v>878</v>
      </c>
      <c r="G5298" s="100">
        <v>115381090</v>
      </c>
      <c r="H5298" s="530"/>
      <c r="I5298" s="422" t="s">
        <v>677</v>
      </c>
      <c r="J5298" s="484"/>
      <c r="K5298" s="548"/>
      <c r="L5298" s="548"/>
      <c r="M5298" s="548"/>
      <c r="N5298" s="552"/>
    </row>
    <row r="5299" spans="1:14">
      <c r="A5299" s="499">
        <v>45665</v>
      </c>
      <c r="B5299" s="499">
        <v>45666</v>
      </c>
      <c r="C5299" s="500" t="s">
        <v>173</v>
      </c>
      <c r="D5299" s="500" t="s">
        <v>760</v>
      </c>
      <c r="E5299" s="501">
        <v>302397475.13</v>
      </c>
      <c r="F5299" s="502" t="s">
        <v>878</v>
      </c>
      <c r="G5299" s="100">
        <v>115381090</v>
      </c>
      <c r="H5299" s="100">
        <v>115381090</v>
      </c>
      <c r="I5299" s="422" t="s">
        <v>677</v>
      </c>
      <c r="J5299" s="484"/>
      <c r="K5299" s="548"/>
      <c r="L5299" s="548"/>
      <c r="M5299" s="548"/>
      <c r="N5299" s="552"/>
    </row>
    <row r="5300" spans="1:14">
      <c r="A5300" s="499">
        <v>45665</v>
      </c>
      <c r="B5300" s="499">
        <v>45665</v>
      </c>
      <c r="C5300" s="500" t="s">
        <v>173</v>
      </c>
      <c r="D5300" s="500" t="s">
        <v>764</v>
      </c>
      <c r="E5300" s="501">
        <v>-1016285130.24</v>
      </c>
      <c r="F5300" s="502" t="s">
        <v>878</v>
      </c>
      <c r="G5300" s="100">
        <v>115381978</v>
      </c>
      <c r="H5300" s="530"/>
      <c r="I5300" s="422" t="s">
        <v>672</v>
      </c>
      <c r="J5300" s="534"/>
      <c r="K5300" s="548"/>
      <c r="L5300" s="548"/>
      <c r="M5300" s="548"/>
      <c r="N5300" s="552"/>
    </row>
    <row r="5301" spans="1:14">
      <c r="A5301" s="499">
        <v>45665</v>
      </c>
      <c r="B5301" s="499">
        <v>45665</v>
      </c>
      <c r="C5301" s="500" t="s">
        <v>173</v>
      </c>
      <c r="D5301" s="500" t="s">
        <v>764</v>
      </c>
      <c r="E5301" s="501">
        <v>-408072705.60000002</v>
      </c>
      <c r="F5301" s="502" t="s">
        <v>878</v>
      </c>
      <c r="G5301" s="100">
        <v>115382043</v>
      </c>
      <c r="H5301" s="530"/>
      <c r="I5301" s="422" t="s">
        <v>819</v>
      </c>
      <c r="J5301" s="534"/>
      <c r="K5301" s="548"/>
      <c r="L5301" s="548"/>
      <c r="M5301" s="548"/>
      <c r="N5301" s="552"/>
    </row>
    <row r="5302" spans="1:14">
      <c r="A5302" s="499">
        <v>45665</v>
      </c>
      <c r="B5302" s="499">
        <v>45665</v>
      </c>
      <c r="C5302" s="500" t="s">
        <v>173</v>
      </c>
      <c r="D5302" s="500" t="s">
        <v>764</v>
      </c>
      <c r="E5302" s="501">
        <v>-619409597.25</v>
      </c>
      <c r="F5302" s="502" t="s">
        <v>878</v>
      </c>
      <c r="G5302" s="100">
        <v>115382178</v>
      </c>
      <c r="H5302" s="530"/>
      <c r="I5302" s="422" t="s">
        <v>701</v>
      </c>
      <c r="J5302" s="534"/>
      <c r="K5302" s="548"/>
      <c r="L5302" s="548"/>
      <c r="M5302" s="548"/>
      <c r="N5302" s="552"/>
    </row>
    <row r="5303" spans="1:14">
      <c r="A5303" s="499">
        <v>45665</v>
      </c>
      <c r="B5303" s="499">
        <v>45665</v>
      </c>
      <c r="C5303" s="500" t="s">
        <v>173</v>
      </c>
      <c r="D5303" s="500" t="s">
        <v>764</v>
      </c>
      <c r="E5303" s="501">
        <v>-8005987.2000000002</v>
      </c>
      <c r="F5303" s="502" t="s">
        <v>878</v>
      </c>
      <c r="G5303" s="100">
        <v>115382417</v>
      </c>
      <c r="H5303" s="530"/>
      <c r="I5303" s="422" t="s">
        <v>797</v>
      </c>
      <c r="J5303" s="534"/>
      <c r="K5303" s="548"/>
      <c r="L5303" s="548"/>
      <c r="M5303" s="548"/>
      <c r="N5303" s="552"/>
    </row>
    <row r="5304" spans="1:14">
      <c r="A5304" s="499">
        <v>45665</v>
      </c>
      <c r="B5304" s="499">
        <v>45672</v>
      </c>
      <c r="C5304" s="500" t="s">
        <v>173</v>
      </c>
      <c r="D5304" s="500" t="s">
        <v>764</v>
      </c>
      <c r="E5304" s="501">
        <v>1019150219</v>
      </c>
      <c r="F5304" s="502" t="s">
        <v>878</v>
      </c>
      <c r="G5304" s="100">
        <v>115381978</v>
      </c>
      <c r="H5304" s="100">
        <v>115381978</v>
      </c>
      <c r="I5304" s="422" t="s">
        <v>672</v>
      </c>
      <c r="J5304" s="534"/>
      <c r="K5304" s="548"/>
      <c r="L5304" s="548"/>
      <c r="M5304" s="548"/>
      <c r="N5304" s="552"/>
    </row>
    <row r="5305" spans="1:14">
      <c r="A5305" s="499">
        <v>45665</v>
      </c>
      <c r="B5305" s="499">
        <v>45672</v>
      </c>
      <c r="C5305" s="500" t="s">
        <v>173</v>
      </c>
      <c r="D5305" s="500" t="s">
        <v>764</v>
      </c>
      <c r="E5305" s="501">
        <v>409223135.23000002</v>
      </c>
      <c r="F5305" s="502" t="s">
        <v>878</v>
      </c>
      <c r="G5305" s="100">
        <v>115382043</v>
      </c>
      <c r="H5305" s="100">
        <v>115382043</v>
      </c>
      <c r="I5305" s="422" t="s">
        <v>819</v>
      </c>
      <c r="J5305" s="534"/>
      <c r="K5305" s="548"/>
      <c r="L5305" s="548"/>
      <c r="M5305" s="548"/>
      <c r="N5305" s="552"/>
    </row>
    <row r="5306" spans="1:14">
      <c r="A5306" s="499">
        <v>45665</v>
      </c>
      <c r="B5306" s="499">
        <v>45672</v>
      </c>
      <c r="C5306" s="500" t="s">
        <v>173</v>
      </c>
      <c r="D5306" s="500" t="s">
        <v>764</v>
      </c>
      <c r="E5306" s="501">
        <v>621155823.21000004</v>
      </c>
      <c r="F5306" s="502" t="s">
        <v>878</v>
      </c>
      <c r="G5306" s="100">
        <v>115382178</v>
      </c>
      <c r="H5306" s="100">
        <v>115382178</v>
      </c>
      <c r="I5306" s="422" t="s">
        <v>701</v>
      </c>
      <c r="J5306" s="534"/>
      <c r="K5306" s="548"/>
      <c r="L5306" s="548"/>
      <c r="M5306" s="548"/>
      <c r="N5306" s="552"/>
    </row>
    <row r="5307" spans="1:14">
      <c r="A5307" s="499">
        <v>45665</v>
      </c>
      <c r="B5307" s="499">
        <v>45672</v>
      </c>
      <c r="C5307" s="500" t="s">
        <v>173</v>
      </c>
      <c r="D5307" s="500" t="s">
        <v>764</v>
      </c>
      <c r="E5307" s="501">
        <v>8028557.5</v>
      </c>
      <c r="F5307" s="502" t="s">
        <v>878</v>
      </c>
      <c r="G5307" s="100">
        <v>115382417</v>
      </c>
      <c r="H5307" s="100">
        <v>115382417</v>
      </c>
      <c r="I5307" s="422" t="s">
        <v>797</v>
      </c>
      <c r="J5307" s="534"/>
      <c r="K5307" s="548"/>
      <c r="L5307" s="548"/>
      <c r="M5307" s="548"/>
      <c r="N5307" s="552"/>
    </row>
    <row r="5308" spans="1:14">
      <c r="A5308" s="499">
        <v>45665</v>
      </c>
      <c r="B5308" s="499">
        <v>45665</v>
      </c>
      <c r="C5308" s="500" t="s">
        <v>173</v>
      </c>
      <c r="D5308" s="500" t="s">
        <v>763</v>
      </c>
      <c r="E5308" s="501">
        <v>-4957782648.7200003</v>
      </c>
      <c r="F5308" s="502" t="s">
        <v>878</v>
      </c>
      <c r="G5308" s="100">
        <v>115381572</v>
      </c>
      <c r="H5308" s="530"/>
      <c r="I5308" s="422" t="s">
        <v>657</v>
      </c>
      <c r="J5308" s="484"/>
      <c r="K5308" s="548"/>
      <c r="L5308" s="548"/>
      <c r="M5308" s="548"/>
      <c r="N5308" s="552"/>
    </row>
    <row r="5309" spans="1:14">
      <c r="A5309" s="499">
        <v>45665</v>
      </c>
      <c r="B5309" s="499">
        <v>45665</v>
      </c>
      <c r="C5309" s="500" t="s">
        <v>173</v>
      </c>
      <c r="D5309" s="500" t="s">
        <v>763</v>
      </c>
      <c r="E5309" s="501">
        <v>-607015489.42999995</v>
      </c>
      <c r="F5309" s="502" t="s">
        <v>878</v>
      </c>
      <c r="G5309" s="100">
        <v>115381575</v>
      </c>
      <c r="H5309" s="530"/>
      <c r="I5309" s="422" t="s">
        <v>686</v>
      </c>
      <c r="J5309" s="484"/>
      <c r="K5309" s="548"/>
      <c r="L5309" s="548"/>
      <c r="M5309" s="548"/>
      <c r="N5309" s="552"/>
    </row>
    <row r="5310" spans="1:14">
      <c r="A5310" s="499">
        <v>45665</v>
      </c>
      <c r="B5310" s="499">
        <v>45665</v>
      </c>
      <c r="C5310" s="500" t="s">
        <v>173</v>
      </c>
      <c r="D5310" s="500" t="s">
        <v>763</v>
      </c>
      <c r="E5310" s="501">
        <v>-21000535.879999999</v>
      </c>
      <c r="F5310" s="502" t="s">
        <v>878</v>
      </c>
      <c r="G5310" s="100">
        <v>115381650</v>
      </c>
      <c r="H5310" s="530"/>
      <c r="I5310" s="422" t="s">
        <v>686</v>
      </c>
      <c r="J5310" s="484"/>
      <c r="K5310" s="548"/>
      <c r="L5310" s="548"/>
      <c r="M5310" s="548"/>
      <c r="N5310" s="552"/>
    </row>
    <row r="5311" spans="1:14">
      <c r="A5311" s="499">
        <v>45665</v>
      </c>
      <c r="B5311" s="499">
        <v>45666</v>
      </c>
      <c r="C5311" s="500" t="s">
        <v>173</v>
      </c>
      <c r="D5311" s="500" t="s">
        <v>763</v>
      </c>
      <c r="E5311" s="501">
        <v>4959719606.8599997</v>
      </c>
      <c r="F5311" s="502" t="s">
        <v>878</v>
      </c>
      <c r="G5311" s="100">
        <v>115381572</v>
      </c>
      <c r="H5311" s="100">
        <v>115381572</v>
      </c>
      <c r="I5311" s="422" t="s">
        <v>657</v>
      </c>
      <c r="J5311" s="484"/>
      <c r="K5311" s="548"/>
      <c r="L5311" s="548"/>
      <c r="M5311" s="548"/>
      <c r="N5311" s="552"/>
    </row>
    <row r="5312" spans="1:14">
      <c r="A5312" s="499">
        <v>45665</v>
      </c>
      <c r="B5312" s="499">
        <v>45666</v>
      </c>
      <c r="C5312" s="500" t="s">
        <v>173</v>
      </c>
      <c r="D5312" s="500" t="s">
        <v>763</v>
      </c>
      <c r="E5312" s="501">
        <v>607252642.89999998</v>
      </c>
      <c r="F5312" s="502" t="s">
        <v>878</v>
      </c>
      <c r="G5312" s="100">
        <v>115381575</v>
      </c>
      <c r="H5312" s="100">
        <v>115381575</v>
      </c>
      <c r="I5312" s="422" t="s">
        <v>686</v>
      </c>
      <c r="J5312" s="484"/>
      <c r="K5312" s="548"/>
      <c r="L5312" s="548"/>
      <c r="M5312" s="548"/>
      <c r="N5312" s="552"/>
    </row>
    <row r="5313" spans="1:14">
      <c r="A5313" s="499">
        <v>45665</v>
      </c>
      <c r="B5313" s="499">
        <v>45666</v>
      </c>
      <c r="C5313" s="500" t="s">
        <v>173</v>
      </c>
      <c r="D5313" s="500" t="s">
        <v>763</v>
      </c>
      <c r="E5313" s="501">
        <v>21008740.530000001</v>
      </c>
      <c r="F5313" s="502" t="s">
        <v>878</v>
      </c>
      <c r="G5313" s="100">
        <v>115381650</v>
      </c>
      <c r="H5313" s="100">
        <v>115381650</v>
      </c>
      <c r="I5313" s="422" t="s">
        <v>686</v>
      </c>
      <c r="J5313" s="484"/>
      <c r="K5313" s="548"/>
      <c r="L5313" s="548"/>
      <c r="M5313" s="548"/>
      <c r="N5313" s="552"/>
    </row>
    <row r="5314" spans="1:14">
      <c r="A5314" s="499">
        <v>45666</v>
      </c>
      <c r="B5314" s="499">
        <v>45666</v>
      </c>
      <c r="C5314" s="500" t="s">
        <v>173</v>
      </c>
      <c r="D5314" s="500" t="s">
        <v>762</v>
      </c>
      <c r="E5314" s="501">
        <v>-4608648836.0900002</v>
      </c>
      <c r="F5314" s="502" t="s">
        <v>878</v>
      </c>
      <c r="G5314" s="100">
        <v>115415600</v>
      </c>
      <c r="H5314" s="530"/>
      <c r="I5314" s="422" t="s">
        <v>656</v>
      </c>
      <c r="J5314" s="484"/>
      <c r="K5314" s="548"/>
      <c r="L5314" s="548"/>
      <c r="M5314" s="548"/>
      <c r="N5314" s="552"/>
    </row>
    <row r="5315" spans="1:14">
      <c r="A5315" s="499">
        <v>45666</v>
      </c>
      <c r="B5315" s="499">
        <v>45666</v>
      </c>
      <c r="C5315" s="500" t="s">
        <v>173</v>
      </c>
      <c r="D5315" s="500" t="s">
        <v>762</v>
      </c>
      <c r="E5315" s="501">
        <v>-18006442.16</v>
      </c>
      <c r="F5315" s="502" t="s">
        <v>878</v>
      </c>
      <c r="G5315" s="100">
        <v>115415621</v>
      </c>
      <c r="H5315" s="530"/>
      <c r="I5315" s="422" t="s">
        <v>656</v>
      </c>
      <c r="J5315" s="484"/>
      <c r="K5315" s="548"/>
      <c r="L5315" s="548"/>
      <c r="M5315" s="548"/>
      <c r="N5315" s="552"/>
    </row>
    <row r="5316" spans="1:14">
      <c r="A5316" s="499">
        <v>45666</v>
      </c>
      <c r="B5316" s="499">
        <v>45667</v>
      </c>
      <c r="C5316" s="500" t="s">
        <v>173</v>
      </c>
      <c r="D5316" s="500" t="s">
        <v>762</v>
      </c>
      <c r="E5316" s="501">
        <v>4610479669.1899996</v>
      </c>
      <c r="F5316" s="502" t="s">
        <v>878</v>
      </c>
      <c r="G5316" s="100">
        <v>115415600</v>
      </c>
      <c r="H5316" s="484">
        <v>115415600</v>
      </c>
      <c r="I5316" s="422" t="s">
        <v>656</v>
      </c>
      <c r="J5316" s="484"/>
      <c r="K5316" s="548"/>
      <c r="L5316" s="548"/>
      <c r="M5316" s="548"/>
      <c r="N5316" s="552"/>
    </row>
    <row r="5317" spans="1:14">
      <c r="A5317" s="499">
        <v>45666</v>
      </c>
      <c r="B5317" s="499">
        <v>45667</v>
      </c>
      <c r="C5317" s="500" t="s">
        <v>173</v>
      </c>
      <c r="D5317" s="500" t="s">
        <v>762</v>
      </c>
      <c r="E5317" s="501">
        <v>18013595.399999999</v>
      </c>
      <c r="F5317" s="502" t="s">
        <v>878</v>
      </c>
      <c r="G5317" s="100">
        <v>115415621</v>
      </c>
      <c r="H5317" s="484">
        <v>115415621</v>
      </c>
      <c r="I5317" s="422" t="s">
        <v>656</v>
      </c>
      <c r="J5317" s="484"/>
      <c r="K5317" s="548"/>
      <c r="L5317" s="548"/>
      <c r="M5317" s="548"/>
      <c r="N5317" s="552"/>
    </row>
    <row r="5318" spans="1:14">
      <c r="A5318" s="499">
        <v>45666</v>
      </c>
      <c r="B5318" s="499">
        <v>45666</v>
      </c>
      <c r="C5318" s="500" t="s">
        <v>173</v>
      </c>
      <c r="D5318" s="500" t="s">
        <v>761</v>
      </c>
      <c r="E5318" s="501">
        <v>-996356466.40999997</v>
      </c>
      <c r="F5318" s="502" t="s">
        <v>878</v>
      </c>
      <c r="G5318" s="100">
        <v>115410881</v>
      </c>
      <c r="H5318" s="530"/>
      <c r="I5318" s="422" t="s">
        <v>656</v>
      </c>
      <c r="J5318" s="484"/>
      <c r="K5318" s="548"/>
      <c r="L5318" s="548"/>
      <c r="M5318" s="548"/>
      <c r="N5318" s="552"/>
    </row>
    <row r="5319" spans="1:14">
      <c r="A5319" s="499">
        <v>45666</v>
      </c>
      <c r="B5319" s="499">
        <v>45666</v>
      </c>
      <c r="C5319" s="500" t="s">
        <v>173</v>
      </c>
      <c r="D5319" s="500" t="s">
        <v>761</v>
      </c>
      <c r="E5319" s="501">
        <v>-2001849.6</v>
      </c>
      <c r="F5319" s="502" t="s">
        <v>878</v>
      </c>
      <c r="G5319" s="100">
        <v>115410884</v>
      </c>
      <c r="H5319" s="530"/>
      <c r="I5319" s="422" t="s">
        <v>685</v>
      </c>
      <c r="J5319" s="484"/>
      <c r="K5319" s="548"/>
      <c r="L5319" s="548"/>
      <c r="M5319" s="548"/>
      <c r="N5319" s="552"/>
    </row>
    <row r="5320" spans="1:14">
      <c r="A5320" s="499">
        <v>45666</v>
      </c>
      <c r="B5320" s="499">
        <v>45666</v>
      </c>
      <c r="C5320" s="500" t="s">
        <v>173</v>
      </c>
      <c r="D5320" s="500" t="s">
        <v>761</v>
      </c>
      <c r="E5320" s="501">
        <v>-3001580.42</v>
      </c>
      <c r="F5320" s="502" t="s">
        <v>878</v>
      </c>
      <c r="G5320" s="100">
        <v>115411112</v>
      </c>
      <c r="H5320" s="530"/>
      <c r="I5320" s="422" t="s">
        <v>684</v>
      </c>
      <c r="J5320" s="484"/>
      <c r="K5320" s="548"/>
      <c r="L5320" s="548"/>
      <c r="M5320" s="548"/>
      <c r="N5320" s="552"/>
    </row>
    <row r="5321" spans="1:14">
      <c r="A5321" s="499">
        <v>45666</v>
      </c>
      <c r="B5321" s="499">
        <v>45667</v>
      </c>
      <c r="C5321" s="500" t="s">
        <v>173</v>
      </c>
      <c r="D5321" s="500" t="s">
        <v>761</v>
      </c>
      <c r="E5321" s="501">
        <v>996750641.40999997</v>
      </c>
      <c r="F5321" s="502" t="s">
        <v>878</v>
      </c>
      <c r="G5321" s="100">
        <v>115410881</v>
      </c>
      <c r="H5321" s="484">
        <v>115410881</v>
      </c>
      <c r="I5321" s="422" t="s">
        <v>656</v>
      </c>
      <c r="J5321" s="484"/>
      <c r="K5321" s="548"/>
      <c r="L5321" s="548"/>
      <c r="M5321" s="548"/>
      <c r="N5321" s="552"/>
    </row>
    <row r="5322" spans="1:14">
      <c r="A5322" s="499">
        <v>45666</v>
      </c>
      <c r="B5322" s="499">
        <v>45667</v>
      </c>
      <c r="C5322" s="500" t="s">
        <v>173</v>
      </c>
      <c r="D5322" s="500" t="s">
        <v>761</v>
      </c>
      <c r="E5322" s="501">
        <v>2002641.56</v>
      </c>
      <c r="F5322" s="502" t="s">
        <v>878</v>
      </c>
      <c r="G5322" s="100">
        <v>115410884</v>
      </c>
      <c r="H5322" s="484">
        <v>115410884</v>
      </c>
      <c r="I5322" s="422" t="s">
        <v>685</v>
      </c>
      <c r="J5322" s="484"/>
      <c r="K5322" s="548"/>
      <c r="L5322" s="548"/>
      <c r="M5322" s="548"/>
      <c r="N5322" s="552"/>
    </row>
    <row r="5323" spans="1:14">
      <c r="A5323" s="499">
        <v>45666</v>
      </c>
      <c r="B5323" s="499">
        <v>45667</v>
      </c>
      <c r="C5323" s="500" t="s">
        <v>173</v>
      </c>
      <c r="D5323" s="500" t="s">
        <v>761</v>
      </c>
      <c r="E5323" s="501">
        <v>3002768.72</v>
      </c>
      <c r="F5323" s="502" t="s">
        <v>878</v>
      </c>
      <c r="G5323" s="100">
        <v>115411112</v>
      </c>
      <c r="H5323" s="484">
        <v>115411112</v>
      </c>
      <c r="I5323" s="422" t="s">
        <v>684</v>
      </c>
      <c r="J5323" s="484"/>
      <c r="K5323" s="548"/>
      <c r="L5323" s="548"/>
      <c r="M5323" s="548"/>
      <c r="N5323" s="552"/>
    </row>
    <row r="5324" spans="1:14">
      <c r="A5324" s="499">
        <v>45666</v>
      </c>
      <c r="B5324" s="499">
        <v>45666</v>
      </c>
      <c r="C5324" s="500" t="s">
        <v>173</v>
      </c>
      <c r="D5324" s="500" t="s">
        <v>760</v>
      </c>
      <c r="E5324" s="501">
        <v>-301276454.05000001</v>
      </c>
      <c r="F5324" s="502" t="s">
        <v>878</v>
      </c>
      <c r="G5324" s="100">
        <v>115410247</v>
      </c>
      <c r="H5324" s="530"/>
      <c r="I5324" s="422" t="s">
        <v>657</v>
      </c>
      <c r="J5324" s="484"/>
      <c r="K5324" s="548"/>
      <c r="L5324" s="548"/>
      <c r="M5324" s="548"/>
      <c r="N5324" s="552"/>
    </row>
    <row r="5325" spans="1:14">
      <c r="A5325" s="499">
        <v>45666</v>
      </c>
      <c r="B5325" s="499">
        <v>45667</v>
      </c>
      <c r="C5325" s="500" t="s">
        <v>173</v>
      </c>
      <c r="D5325" s="500" t="s">
        <v>760</v>
      </c>
      <c r="E5325" s="501">
        <v>301396138.38999999</v>
      </c>
      <c r="F5325" s="502" t="s">
        <v>878</v>
      </c>
      <c r="G5325" s="100">
        <v>115410247</v>
      </c>
      <c r="H5325" s="100">
        <v>115410247</v>
      </c>
      <c r="I5325" s="422" t="s">
        <v>657</v>
      </c>
      <c r="J5325" s="484"/>
      <c r="K5325" s="548"/>
      <c r="L5325" s="548"/>
      <c r="M5325" s="548"/>
      <c r="N5325" s="552"/>
    </row>
    <row r="5326" spans="1:14">
      <c r="A5326" s="499">
        <v>45666</v>
      </c>
      <c r="B5326" s="499">
        <v>45666</v>
      </c>
      <c r="C5326" s="500" t="s">
        <v>173</v>
      </c>
      <c r="D5326" s="500" t="s">
        <v>763</v>
      </c>
      <c r="E5326" s="501">
        <v>-5633941611.1499996</v>
      </c>
      <c r="F5326" s="502" t="s">
        <v>878</v>
      </c>
      <c r="G5326" s="100">
        <v>115410943</v>
      </c>
      <c r="H5326" s="530"/>
      <c r="I5326" s="422" t="s">
        <v>550</v>
      </c>
      <c r="J5326" s="484"/>
      <c r="K5326" s="548"/>
      <c r="L5326" s="548"/>
      <c r="M5326" s="548"/>
      <c r="N5326" s="552"/>
    </row>
    <row r="5327" spans="1:14">
      <c r="A5327" s="499">
        <v>45666</v>
      </c>
      <c r="B5327" s="499">
        <v>45666</v>
      </c>
      <c r="C5327" s="500" t="s">
        <v>173</v>
      </c>
      <c r="D5327" s="500" t="s">
        <v>763</v>
      </c>
      <c r="E5327" s="501">
        <v>-23003844.68</v>
      </c>
      <c r="F5327" s="502" t="s">
        <v>878</v>
      </c>
      <c r="G5327" s="100">
        <v>115410999</v>
      </c>
      <c r="H5327" s="530"/>
      <c r="I5327" s="422" t="s">
        <v>550</v>
      </c>
      <c r="J5327" s="484"/>
      <c r="K5327" s="548"/>
      <c r="L5327" s="548"/>
      <c r="M5327" s="548"/>
      <c r="N5327" s="552"/>
    </row>
    <row r="5328" spans="1:14">
      <c r="A5328" s="499">
        <v>45666</v>
      </c>
      <c r="B5328" s="499">
        <v>45667</v>
      </c>
      <c r="C5328" s="500" t="s">
        <v>173</v>
      </c>
      <c r="D5328" s="500" t="s">
        <v>763</v>
      </c>
      <c r="E5328" s="501">
        <v>5636159701.6800003</v>
      </c>
      <c r="F5328" s="502" t="s">
        <v>878</v>
      </c>
      <c r="G5328" s="100">
        <v>115410943</v>
      </c>
      <c r="H5328" s="100">
        <v>115410943</v>
      </c>
      <c r="I5328" s="422" t="s">
        <v>550</v>
      </c>
      <c r="J5328" s="484"/>
      <c r="K5328" s="548"/>
      <c r="L5328" s="548"/>
      <c r="M5328" s="548"/>
      <c r="N5328" s="552"/>
    </row>
    <row r="5329" spans="1:14">
      <c r="A5329" s="499">
        <v>45666</v>
      </c>
      <c r="B5329" s="499">
        <v>45667</v>
      </c>
      <c r="C5329" s="500" t="s">
        <v>173</v>
      </c>
      <c r="D5329" s="500" t="s">
        <v>763</v>
      </c>
      <c r="E5329" s="501">
        <v>23012901.329999998</v>
      </c>
      <c r="F5329" s="502" t="s">
        <v>878</v>
      </c>
      <c r="G5329" s="100">
        <v>115410999</v>
      </c>
      <c r="H5329" s="100">
        <v>115410999</v>
      </c>
      <c r="I5329" s="422" t="s">
        <v>550</v>
      </c>
      <c r="J5329" s="484"/>
      <c r="K5329" s="548"/>
      <c r="L5329" s="548"/>
      <c r="M5329" s="548"/>
      <c r="N5329" s="552">
        <v>-1</v>
      </c>
    </row>
    <row r="5330" spans="1:14">
      <c r="A5330" s="499">
        <v>45666</v>
      </c>
      <c r="B5330" s="499">
        <v>45666</v>
      </c>
      <c r="C5330" s="500" t="s">
        <v>173</v>
      </c>
      <c r="D5330" s="500" t="s">
        <v>759</v>
      </c>
      <c r="E5330" s="501">
        <v>-59049176.380000003</v>
      </c>
      <c r="F5330" s="502" t="s">
        <v>878</v>
      </c>
      <c r="G5330" s="100">
        <v>115410565</v>
      </c>
      <c r="H5330" s="530"/>
      <c r="I5330" s="422" t="s">
        <v>817</v>
      </c>
      <c r="J5330" s="484"/>
      <c r="K5330" s="548"/>
      <c r="L5330" s="548"/>
      <c r="M5330" s="548"/>
      <c r="N5330" s="552"/>
    </row>
    <row r="5331" spans="1:14">
      <c r="A5331" s="499">
        <v>45666</v>
      </c>
      <c r="B5331" s="499">
        <v>45666</v>
      </c>
      <c r="C5331" s="500" t="s">
        <v>173</v>
      </c>
      <c r="D5331" s="500" t="s">
        <v>759</v>
      </c>
      <c r="E5331" s="501">
        <v>-122071142.59</v>
      </c>
      <c r="F5331" s="502" t="s">
        <v>878</v>
      </c>
      <c r="G5331" s="100">
        <v>115410568</v>
      </c>
      <c r="H5331" s="530"/>
      <c r="I5331" s="422" t="s">
        <v>709</v>
      </c>
      <c r="J5331" s="484"/>
      <c r="K5331" s="548"/>
      <c r="L5331" s="548"/>
      <c r="M5331" s="548"/>
      <c r="N5331" s="552"/>
    </row>
    <row r="5332" spans="1:14">
      <c r="A5332" s="499">
        <v>45666</v>
      </c>
      <c r="B5332" s="499">
        <v>45666</v>
      </c>
      <c r="C5332" s="500" t="s">
        <v>173</v>
      </c>
      <c r="D5332" s="500" t="s">
        <v>759</v>
      </c>
      <c r="E5332" s="501">
        <v>-123094604.22</v>
      </c>
      <c r="F5332" s="502" t="s">
        <v>878</v>
      </c>
      <c r="G5332" s="100">
        <v>115410571</v>
      </c>
      <c r="H5332" s="530"/>
      <c r="I5332" s="422" t="s">
        <v>824</v>
      </c>
      <c r="J5332" s="484"/>
      <c r="K5332" s="548"/>
      <c r="L5332" s="548"/>
      <c r="M5332" s="548"/>
      <c r="N5332" s="552"/>
    </row>
    <row r="5333" spans="1:14">
      <c r="A5333" s="499">
        <v>45666</v>
      </c>
      <c r="B5333" s="499">
        <v>45666</v>
      </c>
      <c r="C5333" s="500" t="s">
        <v>173</v>
      </c>
      <c r="D5333" s="500" t="s">
        <v>759</v>
      </c>
      <c r="E5333" s="501">
        <v>-144091710</v>
      </c>
      <c r="F5333" s="502" t="s">
        <v>878</v>
      </c>
      <c r="G5333" s="100">
        <v>115410574</v>
      </c>
      <c r="H5333" s="530"/>
      <c r="I5333" s="422" t="s">
        <v>600</v>
      </c>
      <c r="J5333" s="484"/>
      <c r="K5333" s="548"/>
      <c r="L5333" s="548"/>
      <c r="M5333" s="548"/>
      <c r="N5333" s="552"/>
    </row>
    <row r="5334" spans="1:14">
      <c r="A5334" s="499">
        <v>45666</v>
      </c>
      <c r="B5334" s="499">
        <v>45666</v>
      </c>
      <c r="C5334" s="500" t="s">
        <v>173</v>
      </c>
      <c r="D5334" s="500" t="s">
        <v>759</v>
      </c>
      <c r="E5334" s="501">
        <v>-160081800.47999999</v>
      </c>
      <c r="F5334" s="502" t="s">
        <v>878</v>
      </c>
      <c r="G5334" s="100">
        <v>115410577</v>
      </c>
      <c r="H5334" s="530"/>
      <c r="I5334" s="422" t="s">
        <v>602</v>
      </c>
      <c r="J5334" s="484"/>
      <c r="K5334" s="548"/>
      <c r="L5334" s="548"/>
      <c r="M5334" s="548"/>
      <c r="N5334" s="552"/>
    </row>
    <row r="5335" spans="1:14">
      <c r="A5335" s="499">
        <v>45666</v>
      </c>
      <c r="B5335" s="499">
        <v>45666</v>
      </c>
      <c r="C5335" s="500" t="s">
        <v>173</v>
      </c>
      <c r="D5335" s="500" t="s">
        <v>759</v>
      </c>
      <c r="E5335" s="501">
        <v>-1397267279.6300001</v>
      </c>
      <c r="F5335" s="502" t="s">
        <v>878</v>
      </c>
      <c r="G5335" s="100">
        <v>115410849</v>
      </c>
      <c r="H5335" s="530"/>
      <c r="I5335" s="422" t="s">
        <v>829</v>
      </c>
      <c r="J5335" s="484"/>
      <c r="K5335" s="548"/>
      <c r="L5335" s="548"/>
      <c r="M5335" s="548"/>
      <c r="N5335" s="552"/>
    </row>
    <row r="5336" spans="1:14">
      <c r="A5336" s="499">
        <v>45666</v>
      </c>
      <c r="B5336" s="499">
        <v>45666</v>
      </c>
      <c r="C5336" s="500" t="s">
        <v>173</v>
      </c>
      <c r="D5336" s="500" t="s">
        <v>759</v>
      </c>
      <c r="E5336" s="501">
        <v>-9004357.7200000007</v>
      </c>
      <c r="F5336" s="502" t="s">
        <v>878</v>
      </c>
      <c r="G5336" s="100">
        <v>115419207</v>
      </c>
      <c r="H5336" s="530"/>
      <c r="I5336" s="422" t="s">
        <v>633</v>
      </c>
      <c r="J5336" s="484"/>
      <c r="K5336" s="548"/>
      <c r="L5336" s="548"/>
      <c r="M5336" s="548"/>
      <c r="N5336" s="552"/>
    </row>
    <row r="5337" spans="1:14">
      <c r="A5337" s="499">
        <v>45666</v>
      </c>
      <c r="B5337" s="499">
        <v>45667</v>
      </c>
      <c r="C5337" s="500" t="s">
        <v>173</v>
      </c>
      <c r="D5337" s="500" t="s">
        <v>759</v>
      </c>
      <c r="E5337" s="501">
        <v>59072634.270000003</v>
      </c>
      <c r="F5337" s="502" t="s">
        <v>878</v>
      </c>
      <c r="G5337" s="100">
        <v>115410565</v>
      </c>
      <c r="H5337" s="100">
        <v>115410565</v>
      </c>
      <c r="I5337" s="422" t="s">
        <v>817</v>
      </c>
      <c r="J5337" s="484"/>
      <c r="K5337" s="548"/>
      <c r="L5337" s="548"/>
      <c r="M5337" s="548"/>
      <c r="N5337" s="552"/>
    </row>
    <row r="5338" spans="1:14">
      <c r="A5338" s="499">
        <v>45666</v>
      </c>
      <c r="B5338" s="499">
        <v>45667</v>
      </c>
      <c r="C5338" s="500" t="s">
        <v>173</v>
      </c>
      <c r="D5338" s="500" t="s">
        <v>759</v>
      </c>
      <c r="E5338" s="501">
        <v>122119636.61</v>
      </c>
      <c r="F5338" s="502" t="s">
        <v>878</v>
      </c>
      <c r="G5338" s="100">
        <v>115410568</v>
      </c>
      <c r="H5338" s="100">
        <v>115410568</v>
      </c>
      <c r="I5338" s="422" t="s">
        <v>709</v>
      </c>
      <c r="J5338" s="484"/>
      <c r="K5338" s="548"/>
      <c r="L5338" s="548"/>
      <c r="M5338" s="548"/>
      <c r="N5338" s="552"/>
    </row>
    <row r="5339" spans="1:14">
      <c r="A5339" s="499">
        <v>45666</v>
      </c>
      <c r="B5339" s="499">
        <v>45667</v>
      </c>
      <c r="C5339" s="500" t="s">
        <v>173</v>
      </c>
      <c r="D5339" s="500" t="s">
        <v>759</v>
      </c>
      <c r="E5339" s="501">
        <v>123143504.81999999</v>
      </c>
      <c r="F5339" s="502" t="s">
        <v>878</v>
      </c>
      <c r="G5339" s="100">
        <v>115410571</v>
      </c>
      <c r="H5339" s="100">
        <v>115410571</v>
      </c>
      <c r="I5339" s="422" t="s">
        <v>824</v>
      </c>
      <c r="J5339" s="484"/>
      <c r="K5339" s="548"/>
      <c r="L5339" s="548"/>
      <c r="M5339" s="548"/>
      <c r="N5339" s="552"/>
    </row>
    <row r="5340" spans="1:14">
      <c r="A5340" s="499">
        <v>45666</v>
      </c>
      <c r="B5340" s="499">
        <v>45667</v>
      </c>
      <c r="C5340" s="500" t="s">
        <v>173</v>
      </c>
      <c r="D5340" s="500" t="s">
        <v>759</v>
      </c>
      <c r="E5340" s="501">
        <v>144148951.91</v>
      </c>
      <c r="F5340" s="502" t="s">
        <v>878</v>
      </c>
      <c r="G5340" s="100">
        <v>115410574</v>
      </c>
      <c r="H5340" s="100">
        <v>115410574</v>
      </c>
      <c r="I5340" s="422" t="s">
        <v>600</v>
      </c>
      <c r="J5340" s="484"/>
      <c r="K5340" s="548"/>
      <c r="L5340" s="548"/>
      <c r="M5340" s="548"/>
      <c r="N5340" s="552"/>
    </row>
    <row r="5341" spans="1:14">
      <c r="A5341" s="499">
        <v>45666</v>
      </c>
      <c r="B5341" s="499">
        <v>45667</v>
      </c>
      <c r="C5341" s="500" t="s">
        <v>173</v>
      </c>
      <c r="D5341" s="500" t="s">
        <v>759</v>
      </c>
      <c r="E5341" s="501">
        <v>160145394.62</v>
      </c>
      <c r="F5341" s="502" t="s">
        <v>878</v>
      </c>
      <c r="G5341" s="100">
        <v>115410577</v>
      </c>
      <c r="H5341" s="100">
        <v>115410577</v>
      </c>
      <c r="I5341" s="422" t="s">
        <v>602</v>
      </c>
      <c r="J5341" s="484"/>
      <c r="K5341" s="548"/>
      <c r="L5341" s="548"/>
      <c r="M5341" s="548"/>
      <c r="N5341" s="552"/>
    </row>
    <row r="5342" spans="1:14">
      <c r="A5342" s="499">
        <v>45666</v>
      </c>
      <c r="B5342" s="499">
        <v>45667</v>
      </c>
      <c r="C5342" s="500" t="s">
        <v>173</v>
      </c>
      <c r="D5342" s="500" t="s">
        <v>759</v>
      </c>
      <c r="E5342" s="501">
        <v>1397818530.28</v>
      </c>
      <c r="F5342" s="502" t="s">
        <v>878</v>
      </c>
      <c r="G5342" s="100">
        <v>115410849</v>
      </c>
      <c r="H5342" s="100">
        <v>115410849</v>
      </c>
      <c r="I5342" s="422" t="s">
        <v>829</v>
      </c>
      <c r="J5342" s="484"/>
      <c r="K5342" s="548"/>
      <c r="L5342" s="548"/>
      <c r="M5342" s="548"/>
      <c r="N5342" s="552"/>
    </row>
    <row r="5343" spans="1:14">
      <c r="A5343" s="499">
        <v>45666</v>
      </c>
      <c r="B5343" s="499">
        <v>45667</v>
      </c>
      <c r="C5343" s="500" t="s">
        <v>173</v>
      </c>
      <c r="D5343" s="500" t="s">
        <v>759</v>
      </c>
      <c r="E5343" s="501">
        <v>9007984.1600000001</v>
      </c>
      <c r="F5343" s="502" t="s">
        <v>878</v>
      </c>
      <c r="G5343" s="100">
        <v>115419207</v>
      </c>
      <c r="H5343" s="100">
        <v>115419207</v>
      </c>
      <c r="I5343" s="422" t="s">
        <v>633</v>
      </c>
      <c r="J5343" s="484"/>
      <c r="K5343" s="548"/>
      <c r="L5343" s="548"/>
      <c r="M5343" s="548"/>
      <c r="N5343" s="552"/>
    </row>
    <row r="5344" spans="1:14">
      <c r="A5344" s="499">
        <v>45667</v>
      </c>
      <c r="B5344" s="499">
        <v>45667</v>
      </c>
      <c r="C5344" s="500" t="s">
        <v>173</v>
      </c>
      <c r="D5344" s="500" t="s">
        <v>762</v>
      </c>
      <c r="E5344" s="501">
        <v>-3051194133.5799999</v>
      </c>
      <c r="F5344" s="502" t="s">
        <v>878</v>
      </c>
      <c r="G5344" s="100">
        <v>115437642</v>
      </c>
      <c r="H5344" s="530"/>
      <c r="I5344" s="422" t="s">
        <v>677</v>
      </c>
      <c r="J5344" s="484"/>
      <c r="K5344" s="548"/>
      <c r="L5344" s="548"/>
      <c r="M5344" s="548"/>
      <c r="N5344" s="552"/>
    </row>
    <row r="5345" spans="1:14">
      <c r="A5345" s="499">
        <v>45667</v>
      </c>
      <c r="B5345" s="499">
        <v>45667</v>
      </c>
      <c r="C5345" s="500" t="s">
        <v>173</v>
      </c>
      <c r="D5345" s="500" t="s">
        <v>762</v>
      </c>
      <c r="E5345" s="501">
        <v>-1419045562.3</v>
      </c>
      <c r="F5345" s="502" t="s">
        <v>878</v>
      </c>
      <c r="G5345" s="100">
        <v>115437639</v>
      </c>
      <c r="H5345" s="530"/>
      <c r="I5345" s="422" t="s">
        <v>652</v>
      </c>
      <c r="J5345" s="484"/>
      <c r="K5345" s="548"/>
      <c r="L5345" s="548"/>
      <c r="M5345" s="548"/>
      <c r="N5345" s="552"/>
    </row>
    <row r="5346" spans="1:14">
      <c r="A5346" s="499">
        <v>45667</v>
      </c>
      <c r="B5346" s="499">
        <v>45667</v>
      </c>
      <c r="C5346" s="500" t="s">
        <v>173</v>
      </c>
      <c r="D5346" s="500" t="s">
        <v>762</v>
      </c>
      <c r="E5346" s="501">
        <v>-141056932.69999999</v>
      </c>
      <c r="F5346" s="502" t="s">
        <v>878</v>
      </c>
      <c r="G5346" s="100">
        <v>115437636</v>
      </c>
      <c r="H5346" s="530"/>
      <c r="I5346" s="422" t="s">
        <v>604</v>
      </c>
      <c r="J5346" s="484"/>
      <c r="K5346" s="548"/>
      <c r="L5346" s="548"/>
      <c r="M5346" s="548"/>
      <c r="N5346" s="552"/>
    </row>
    <row r="5347" spans="1:14">
      <c r="A5347" s="499">
        <v>45667</v>
      </c>
      <c r="B5347" s="499">
        <v>45667</v>
      </c>
      <c r="C5347" s="500" t="s">
        <v>173</v>
      </c>
      <c r="D5347" s="500" t="s">
        <v>762</v>
      </c>
      <c r="E5347" s="501">
        <v>-17002902.440000001</v>
      </c>
      <c r="F5347" s="502" t="s">
        <v>878</v>
      </c>
      <c r="G5347" s="100">
        <v>115437713</v>
      </c>
      <c r="H5347" s="530"/>
      <c r="I5347" s="422" t="s">
        <v>596</v>
      </c>
      <c r="J5347" s="484"/>
      <c r="K5347" s="548"/>
      <c r="L5347" s="548"/>
      <c r="M5347" s="548"/>
      <c r="N5347" s="552"/>
    </row>
    <row r="5348" spans="1:14">
      <c r="A5348" s="499">
        <v>45667</v>
      </c>
      <c r="B5348" s="499">
        <v>45670</v>
      </c>
      <c r="C5348" s="500" t="s">
        <v>173</v>
      </c>
      <c r="D5348" s="500" t="s">
        <v>762</v>
      </c>
      <c r="E5348" s="501">
        <v>3055169070.4699998</v>
      </c>
      <c r="F5348" s="502" t="s">
        <v>878</v>
      </c>
      <c r="G5348" s="100">
        <v>115437642</v>
      </c>
      <c r="H5348" s="484">
        <v>115437642</v>
      </c>
      <c r="I5348" s="422" t="s">
        <v>677</v>
      </c>
      <c r="J5348" s="484"/>
      <c r="K5348" s="548"/>
      <c r="L5348" s="548"/>
      <c r="M5348" s="548"/>
      <c r="N5348" s="552"/>
    </row>
    <row r="5349" spans="1:14">
      <c r="A5349" s="499">
        <v>45667</v>
      </c>
      <c r="B5349" s="499">
        <v>45670</v>
      </c>
      <c r="C5349" s="500" t="s">
        <v>173</v>
      </c>
      <c r="D5349" s="500" t="s">
        <v>762</v>
      </c>
      <c r="E5349" s="501">
        <v>1420911704.4100001</v>
      </c>
      <c r="F5349" s="502" t="s">
        <v>878</v>
      </c>
      <c r="G5349" s="100">
        <v>115437639</v>
      </c>
      <c r="H5349" s="484">
        <v>115437639</v>
      </c>
      <c r="I5349" s="422" t="s">
        <v>652</v>
      </c>
      <c r="J5349" s="484"/>
      <c r="K5349" s="548"/>
      <c r="L5349" s="548"/>
      <c r="M5349" s="548"/>
      <c r="N5349" s="552"/>
    </row>
    <row r="5350" spans="1:14">
      <c r="A5350" s="499">
        <v>45667</v>
      </c>
      <c r="B5350" s="499">
        <v>45670</v>
      </c>
      <c r="C5350" s="500" t="s">
        <v>173</v>
      </c>
      <c r="D5350" s="500" t="s">
        <v>762</v>
      </c>
      <c r="E5350" s="501">
        <v>141242432.22999999</v>
      </c>
      <c r="F5350" s="502" t="s">
        <v>878</v>
      </c>
      <c r="G5350" s="100">
        <v>115437636</v>
      </c>
      <c r="H5350" s="484">
        <v>115437636</v>
      </c>
      <c r="I5350" s="422" t="s">
        <v>604</v>
      </c>
      <c r="J5350" s="484"/>
      <c r="K5350" s="548"/>
      <c r="L5350" s="548"/>
      <c r="M5350" s="548"/>
      <c r="N5350" s="552"/>
    </row>
    <row r="5351" spans="1:14">
      <c r="A5351" s="499">
        <v>45667</v>
      </c>
      <c r="B5351" s="499">
        <v>45670</v>
      </c>
      <c r="C5351" s="500" t="s">
        <v>173</v>
      </c>
      <c r="D5351" s="500" t="s">
        <v>762</v>
      </c>
      <c r="E5351" s="501">
        <v>17025122.809999999</v>
      </c>
      <c r="F5351" s="502" t="s">
        <v>878</v>
      </c>
      <c r="G5351" s="100">
        <v>115437713</v>
      </c>
      <c r="H5351" s="484">
        <v>115437713</v>
      </c>
      <c r="I5351" s="422" t="s">
        <v>596</v>
      </c>
      <c r="J5351" s="484"/>
      <c r="K5351" s="548"/>
      <c r="L5351" s="548"/>
      <c r="M5351" s="548"/>
      <c r="N5351" s="552"/>
    </row>
    <row r="5352" spans="1:14">
      <c r="A5352" s="499">
        <v>45667</v>
      </c>
      <c r="B5352" s="499">
        <v>45667</v>
      </c>
      <c r="C5352" s="500" t="s">
        <v>173</v>
      </c>
      <c r="D5352" s="500" t="s">
        <v>761</v>
      </c>
      <c r="E5352" s="501">
        <v>-998782304.25999999</v>
      </c>
      <c r="F5352" s="502" t="s">
        <v>878</v>
      </c>
      <c r="G5352" s="100">
        <v>115434657</v>
      </c>
      <c r="H5352" s="530"/>
      <c r="I5352" s="422" t="s">
        <v>686</v>
      </c>
      <c r="J5352" s="484"/>
      <c r="K5352" s="548"/>
      <c r="L5352" s="548"/>
      <c r="M5352" s="548"/>
      <c r="N5352" s="552"/>
    </row>
    <row r="5353" spans="1:14">
      <c r="A5353" s="499">
        <v>45667</v>
      </c>
      <c r="B5353" s="499">
        <v>45667</v>
      </c>
      <c r="C5353" s="500" t="s">
        <v>173</v>
      </c>
      <c r="D5353" s="500" t="s">
        <v>761</v>
      </c>
      <c r="E5353" s="501">
        <v>-3000810.79</v>
      </c>
      <c r="F5353" s="502" t="s">
        <v>878</v>
      </c>
      <c r="G5353" s="100">
        <v>115435304</v>
      </c>
      <c r="H5353" s="530"/>
      <c r="I5353" s="422" t="s">
        <v>633</v>
      </c>
      <c r="J5353" s="484"/>
      <c r="K5353" s="548"/>
      <c r="L5353" s="548"/>
      <c r="M5353" s="548"/>
      <c r="N5353" s="552"/>
    </row>
    <row r="5354" spans="1:14">
      <c r="A5354" s="499">
        <v>45667</v>
      </c>
      <c r="B5354" s="499">
        <v>45670</v>
      </c>
      <c r="C5354" s="500" t="s">
        <v>173</v>
      </c>
      <c r="D5354" s="500" t="s">
        <v>761</v>
      </c>
      <c r="E5354" s="501">
        <v>1000030098.04</v>
      </c>
      <c r="F5354" s="502" t="s">
        <v>878</v>
      </c>
      <c r="G5354" s="100">
        <v>115434657</v>
      </c>
      <c r="H5354" s="484">
        <v>115434657</v>
      </c>
      <c r="I5354" s="422" t="s">
        <v>686</v>
      </c>
      <c r="J5354" s="484"/>
      <c r="K5354" s="548"/>
      <c r="L5354" s="548"/>
      <c r="M5354" s="548"/>
      <c r="N5354" s="552"/>
    </row>
    <row r="5355" spans="1:14">
      <c r="A5355" s="499">
        <v>45667</v>
      </c>
      <c r="B5355" s="499">
        <v>45670</v>
      </c>
      <c r="C5355" s="500" t="s">
        <v>173</v>
      </c>
      <c r="D5355" s="500" t="s">
        <v>761</v>
      </c>
      <c r="E5355" s="501">
        <v>3004683.07</v>
      </c>
      <c r="F5355" s="502" t="s">
        <v>878</v>
      </c>
      <c r="G5355" s="100">
        <v>115435304</v>
      </c>
      <c r="H5355" s="484">
        <v>115435304</v>
      </c>
      <c r="I5355" s="422" t="s">
        <v>633</v>
      </c>
      <c r="J5355" s="484"/>
      <c r="K5355" s="548"/>
      <c r="L5355" s="548"/>
      <c r="M5355" s="548"/>
      <c r="N5355" s="552"/>
    </row>
    <row r="5356" spans="1:14">
      <c r="A5356" s="499">
        <v>45667</v>
      </c>
      <c r="B5356" s="499">
        <v>45667</v>
      </c>
      <c r="C5356" s="500" t="s">
        <v>173</v>
      </c>
      <c r="D5356" s="500" t="s">
        <v>759</v>
      </c>
      <c r="E5356" s="501">
        <v>-1835574621.05</v>
      </c>
      <c r="F5356" s="502" t="s">
        <v>878</v>
      </c>
      <c r="G5356" s="100">
        <v>115437524</v>
      </c>
      <c r="H5356" s="530"/>
      <c r="I5356" s="422" t="s">
        <v>681</v>
      </c>
      <c r="J5356" s="484"/>
      <c r="K5356" s="548"/>
      <c r="L5356" s="548"/>
      <c r="M5356" s="548"/>
      <c r="N5356" s="552"/>
    </row>
    <row r="5357" spans="1:14">
      <c r="A5357" s="499">
        <v>45667</v>
      </c>
      <c r="B5357" s="499">
        <v>45667</v>
      </c>
      <c r="C5357" s="500" t="s">
        <v>173</v>
      </c>
      <c r="D5357" s="500" t="s">
        <v>759</v>
      </c>
      <c r="E5357" s="501">
        <v>-173074461.62</v>
      </c>
      <c r="F5357" s="502" t="s">
        <v>878</v>
      </c>
      <c r="G5357" s="100">
        <v>115437544</v>
      </c>
      <c r="H5357" s="530"/>
      <c r="I5357" s="422" t="s">
        <v>654</v>
      </c>
      <c r="J5357" s="484"/>
      <c r="K5357" s="548"/>
      <c r="L5357" s="548"/>
      <c r="M5357" s="548"/>
      <c r="N5357" s="552"/>
    </row>
    <row r="5358" spans="1:14">
      <c r="A5358" s="499">
        <v>45667</v>
      </c>
      <c r="B5358" s="499">
        <v>45667</v>
      </c>
      <c r="C5358" s="500" t="s">
        <v>173</v>
      </c>
      <c r="D5358" s="500" t="s">
        <v>759</v>
      </c>
      <c r="E5358" s="501">
        <v>-7006010</v>
      </c>
      <c r="F5358" s="502" t="s">
        <v>878</v>
      </c>
      <c r="G5358" s="100">
        <v>115457071</v>
      </c>
      <c r="H5358" s="530"/>
      <c r="I5358" s="422" t="s">
        <v>681</v>
      </c>
      <c r="J5358" s="484"/>
      <c r="K5358" s="548"/>
      <c r="L5358" s="548"/>
      <c r="M5358" s="548"/>
      <c r="N5358" s="552"/>
    </row>
    <row r="5359" spans="1:14">
      <c r="A5359" s="499">
        <v>45667</v>
      </c>
      <c r="B5359" s="499">
        <v>45670</v>
      </c>
      <c r="C5359" s="500" t="s">
        <v>173</v>
      </c>
      <c r="D5359" s="500" t="s">
        <v>759</v>
      </c>
      <c r="E5359" s="501">
        <v>1838011157.77</v>
      </c>
      <c r="F5359" s="502" t="s">
        <v>878</v>
      </c>
      <c r="G5359" s="100">
        <v>115437524</v>
      </c>
      <c r="H5359" s="484">
        <v>115437524</v>
      </c>
      <c r="I5359" s="422" t="s">
        <v>681</v>
      </c>
      <c r="J5359" s="484"/>
      <c r="K5359" s="548"/>
      <c r="L5359" s="548"/>
      <c r="M5359" s="548"/>
      <c r="N5359" s="552"/>
    </row>
    <row r="5360" spans="1:14">
      <c r="A5360" s="499">
        <v>45667</v>
      </c>
      <c r="B5360" s="499">
        <v>45670</v>
      </c>
      <c r="C5360" s="500" t="s">
        <v>173</v>
      </c>
      <c r="D5360" s="500" t="s">
        <v>759</v>
      </c>
      <c r="E5360" s="501">
        <v>173304200.19</v>
      </c>
      <c r="F5360" s="502" t="s">
        <v>878</v>
      </c>
      <c r="G5360" s="100">
        <v>115437544</v>
      </c>
      <c r="H5360" s="484">
        <v>115437544</v>
      </c>
      <c r="I5360" s="422" t="s">
        <v>654</v>
      </c>
      <c r="J5360" s="484"/>
      <c r="K5360" s="548"/>
      <c r="L5360" s="548"/>
      <c r="M5360" s="548"/>
      <c r="N5360" s="552"/>
    </row>
    <row r="5361" spans="1:14">
      <c r="A5361" s="499">
        <v>45667</v>
      </c>
      <c r="B5361" s="499">
        <v>45670</v>
      </c>
      <c r="C5361" s="500" t="s">
        <v>173</v>
      </c>
      <c r="D5361" s="500" t="s">
        <v>759</v>
      </c>
      <c r="E5361" s="501">
        <v>7014215.7300000004</v>
      </c>
      <c r="F5361" s="502" t="s">
        <v>878</v>
      </c>
      <c r="G5361" s="100">
        <v>115457071</v>
      </c>
      <c r="H5361" s="484">
        <v>115457071</v>
      </c>
      <c r="I5361" s="422" t="s">
        <v>681</v>
      </c>
      <c r="J5361" s="484"/>
      <c r="K5361" s="548"/>
      <c r="L5361" s="548"/>
      <c r="M5361" s="548"/>
      <c r="N5361" s="552"/>
    </row>
    <row r="5362" spans="1:14">
      <c r="A5362" s="499">
        <v>45667</v>
      </c>
      <c r="B5362" s="499">
        <v>45667</v>
      </c>
      <c r="C5362" s="500" t="s">
        <v>173</v>
      </c>
      <c r="D5362" s="500" t="s">
        <v>760</v>
      </c>
      <c r="E5362" s="501">
        <v>-300297554.69999999</v>
      </c>
      <c r="F5362" s="502" t="s">
        <v>878</v>
      </c>
      <c r="G5362" s="100">
        <v>115434266</v>
      </c>
      <c r="H5362" s="530"/>
      <c r="I5362" s="422" t="s">
        <v>816</v>
      </c>
      <c r="J5362" s="484"/>
      <c r="K5362" s="548"/>
      <c r="L5362" s="548"/>
      <c r="M5362" s="548"/>
      <c r="N5362" s="552"/>
    </row>
    <row r="5363" spans="1:14">
      <c r="A5363" s="499">
        <v>45667</v>
      </c>
      <c r="B5363" s="499">
        <v>45670</v>
      </c>
      <c r="C5363" s="500" t="s">
        <v>173</v>
      </c>
      <c r="D5363" s="500" t="s">
        <v>760</v>
      </c>
      <c r="E5363" s="501">
        <v>300665316.36000001</v>
      </c>
      <c r="F5363" s="502" t="s">
        <v>878</v>
      </c>
      <c r="G5363" s="100">
        <v>115434266</v>
      </c>
      <c r="H5363" s="100">
        <v>115434266</v>
      </c>
      <c r="I5363" s="422" t="s">
        <v>816</v>
      </c>
      <c r="J5363" s="484"/>
      <c r="K5363" s="548"/>
      <c r="L5363" s="548"/>
      <c r="M5363" s="548"/>
      <c r="N5363" s="552"/>
    </row>
    <row r="5364" spans="1:14">
      <c r="A5364" s="499">
        <v>45667</v>
      </c>
      <c r="B5364" s="499">
        <v>45667</v>
      </c>
      <c r="C5364" s="500" t="s">
        <v>173</v>
      </c>
      <c r="D5364" s="500" t="s">
        <v>763</v>
      </c>
      <c r="E5364" s="501">
        <v>-459365727.52999997</v>
      </c>
      <c r="F5364" s="502" t="s">
        <v>878</v>
      </c>
      <c r="G5364" s="100">
        <v>115435289</v>
      </c>
      <c r="H5364" s="530"/>
      <c r="I5364" s="422" t="s">
        <v>687</v>
      </c>
      <c r="J5364" s="484"/>
      <c r="K5364" s="548"/>
      <c r="L5364" s="548"/>
      <c r="M5364" s="548"/>
      <c r="N5364" s="552"/>
    </row>
    <row r="5365" spans="1:14">
      <c r="A5365" s="499">
        <v>45667</v>
      </c>
      <c r="B5365" s="499">
        <v>45667</v>
      </c>
      <c r="C5365" s="500" t="s">
        <v>173</v>
      </c>
      <c r="D5365" s="500" t="s">
        <v>763</v>
      </c>
      <c r="E5365" s="501">
        <v>-5179123398.6000004</v>
      </c>
      <c r="F5365" s="502" t="s">
        <v>878</v>
      </c>
      <c r="G5365" s="100">
        <v>115435292</v>
      </c>
      <c r="H5365" s="530"/>
      <c r="I5365" s="422" t="s">
        <v>687</v>
      </c>
      <c r="J5365" s="484"/>
      <c r="K5365" s="548"/>
      <c r="L5365" s="548"/>
      <c r="M5365" s="548"/>
      <c r="N5365" s="552"/>
    </row>
    <row r="5366" spans="1:14">
      <c r="A5366" s="499">
        <v>45667</v>
      </c>
      <c r="B5366" s="499">
        <v>45667</v>
      </c>
      <c r="C5366" s="500" t="s">
        <v>173</v>
      </c>
      <c r="D5366" s="500" t="s">
        <v>763</v>
      </c>
      <c r="E5366" s="501">
        <v>-21015484.350000001</v>
      </c>
      <c r="F5366" s="502" t="s">
        <v>878</v>
      </c>
      <c r="G5366" s="100">
        <v>115435360</v>
      </c>
      <c r="H5366" s="530"/>
      <c r="I5366" s="422" t="s">
        <v>652</v>
      </c>
      <c r="J5366" s="484"/>
      <c r="K5366" s="548"/>
      <c r="L5366" s="548"/>
      <c r="M5366" s="548"/>
      <c r="N5366" s="552"/>
    </row>
    <row r="5367" spans="1:14">
      <c r="A5367" s="499">
        <v>45667</v>
      </c>
      <c r="B5367" s="499">
        <v>45670</v>
      </c>
      <c r="C5367" s="500" t="s">
        <v>173</v>
      </c>
      <c r="D5367" s="500" t="s">
        <v>763</v>
      </c>
      <c r="E5367" s="501">
        <v>459952838.45999998</v>
      </c>
      <c r="F5367" s="502" t="s">
        <v>878</v>
      </c>
      <c r="G5367" s="100">
        <v>115435289</v>
      </c>
      <c r="H5367" s="100">
        <v>115435289</v>
      </c>
      <c r="I5367" s="422" t="s">
        <v>687</v>
      </c>
      <c r="J5367" s="484"/>
      <c r="K5367" s="548"/>
      <c r="L5367" s="548"/>
      <c r="M5367" s="548"/>
      <c r="N5367" s="552"/>
    </row>
    <row r="5368" spans="1:14">
      <c r="A5368" s="499">
        <v>45667</v>
      </c>
      <c r="B5368" s="499">
        <v>45670</v>
      </c>
      <c r="C5368" s="500" t="s">
        <v>173</v>
      </c>
      <c r="D5368" s="500" t="s">
        <v>763</v>
      </c>
      <c r="E5368" s="501">
        <v>5185742786.5500002</v>
      </c>
      <c r="F5368" s="502" t="s">
        <v>878</v>
      </c>
      <c r="G5368" s="100">
        <v>115435292</v>
      </c>
      <c r="H5368" s="100">
        <v>115435292</v>
      </c>
      <c r="I5368" s="422" t="s">
        <v>687</v>
      </c>
      <c r="J5368" s="484"/>
      <c r="K5368" s="548"/>
      <c r="L5368" s="548"/>
      <c r="M5368" s="548"/>
      <c r="N5368" s="552"/>
    </row>
    <row r="5369" spans="1:14">
      <c r="A5369" s="499">
        <v>45667</v>
      </c>
      <c r="B5369" s="499">
        <v>45670</v>
      </c>
      <c r="C5369" s="500" t="s">
        <v>173</v>
      </c>
      <c r="D5369" s="500" t="s">
        <v>763</v>
      </c>
      <c r="E5369" s="501">
        <v>21042344.039999999</v>
      </c>
      <c r="F5369" s="502" t="s">
        <v>878</v>
      </c>
      <c r="G5369" s="100">
        <v>115435360</v>
      </c>
      <c r="H5369" s="100">
        <v>115435360</v>
      </c>
      <c r="I5369" s="422" t="s">
        <v>652</v>
      </c>
      <c r="J5369" s="484"/>
      <c r="K5369" s="548"/>
      <c r="L5369" s="548"/>
      <c r="M5369" s="548"/>
      <c r="N5369" s="552"/>
    </row>
    <row r="5370" spans="1:14">
      <c r="A5370" s="499">
        <v>45670</v>
      </c>
      <c r="B5370" s="499">
        <v>45670</v>
      </c>
      <c r="C5370" s="500" t="s">
        <v>173</v>
      </c>
      <c r="D5370" s="500" t="s">
        <v>762</v>
      </c>
      <c r="E5370" s="501">
        <v>-4617010800.5299997</v>
      </c>
      <c r="F5370" s="502" t="s">
        <v>878</v>
      </c>
      <c r="G5370" s="100">
        <v>115468461</v>
      </c>
      <c r="H5370" s="530"/>
      <c r="I5370" s="422" t="s">
        <v>657</v>
      </c>
      <c r="J5370" s="484"/>
      <c r="K5370" s="548"/>
      <c r="L5370" s="548"/>
      <c r="M5370" s="548"/>
      <c r="N5370" s="552"/>
    </row>
    <row r="5371" spans="1:14">
      <c r="A5371" s="499">
        <v>45670</v>
      </c>
      <c r="B5371" s="499">
        <v>45670</v>
      </c>
      <c r="C5371" s="500" t="s">
        <v>173</v>
      </c>
      <c r="D5371" s="500" t="s">
        <v>762</v>
      </c>
      <c r="E5371" s="501">
        <v>-17014780.75</v>
      </c>
      <c r="F5371" s="502" t="s">
        <v>878</v>
      </c>
      <c r="G5371" s="100">
        <v>115468642</v>
      </c>
      <c r="H5371" s="530"/>
      <c r="I5371" s="422" t="s">
        <v>657</v>
      </c>
      <c r="J5371" s="484"/>
      <c r="K5371" s="548"/>
      <c r="L5371" s="548"/>
      <c r="M5371" s="548"/>
      <c r="N5371" s="552"/>
    </row>
    <row r="5372" spans="1:14">
      <c r="A5372" s="499">
        <v>45670</v>
      </c>
      <c r="B5372" s="499">
        <v>45677</v>
      </c>
      <c r="C5372" s="500" t="s">
        <v>173</v>
      </c>
      <c r="D5372" s="500" t="s">
        <v>762</v>
      </c>
      <c r="E5372" s="501">
        <v>4629938430.7700005</v>
      </c>
      <c r="F5372" s="502" t="s">
        <v>878</v>
      </c>
      <c r="G5372" s="100">
        <v>115468461</v>
      </c>
      <c r="H5372" s="484">
        <v>115468461</v>
      </c>
      <c r="I5372" s="422" t="s">
        <v>657</v>
      </c>
      <c r="J5372" s="484"/>
      <c r="K5372" s="548"/>
      <c r="L5372" s="548"/>
      <c r="M5372" s="548"/>
      <c r="N5372" s="552"/>
    </row>
    <row r="5373" spans="1:14">
      <c r="A5373" s="499">
        <v>45670</v>
      </c>
      <c r="B5373" s="499">
        <v>45677</v>
      </c>
      <c r="C5373" s="500" t="s">
        <v>173</v>
      </c>
      <c r="D5373" s="500" t="s">
        <v>762</v>
      </c>
      <c r="E5373" s="501">
        <v>17062422.140000001</v>
      </c>
      <c r="F5373" s="502" t="s">
        <v>878</v>
      </c>
      <c r="G5373" s="100">
        <v>115468642</v>
      </c>
      <c r="H5373" s="484">
        <v>115468642</v>
      </c>
      <c r="I5373" s="422" t="s">
        <v>657</v>
      </c>
      <c r="J5373" s="484"/>
      <c r="K5373" s="548"/>
      <c r="L5373" s="548">
        <v>-1</v>
      </c>
      <c r="M5373" s="548"/>
      <c r="N5373" s="552"/>
    </row>
    <row r="5374" spans="1:14">
      <c r="A5374" s="499">
        <v>45670</v>
      </c>
      <c r="B5374" s="499">
        <v>45670</v>
      </c>
      <c r="C5374" s="500" t="s">
        <v>173</v>
      </c>
      <c r="D5374" s="500" t="s">
        <v>761</v>
      </c>
      <c r="E5374" s="501">
        <v>-231101236.66999999</v>
      </c>
      <c r="F5374" s="502" t="s">
        <v>878</v>
      </c>
      <c r="G5374" s="100">
        <v>115460629</v>
      </c>
      <c r="H5374" s="530"/>
      <c r="I5374" s="422" t="s">
        <v>819</v>
      </c>
      <c r="J5374" s="484"/>
      <c r="K5374" s="548"/>
      <c r="L5374" s="548"/>
      <c r="M5374" s="548"/>
      <c r="N5374" s="552"/>
    </row>
    <row r="5375" spans="1:14">
      <c r="A5375" s="499">
        <v>45670</v>
      </c>
      <c r="B5375" s="499">
        <v>45670</v>
      </c>
      <c r="C5375" s="500" t="s">
        <v>173</v>
      </c>
      <c r="D5375" s="500" t="s">
        <v>761</v>
      </c>
      <c r="E5375" s="501">
        <v>-334143368.82999998</v>
      </c>
      <c r="F5375" s="502" t="s">
        <v>878</v>
      </c>
      <c r="G5375" s="100">
        <v>115460632</v>
      </c>
      <c r="H5375" s="530"/>
      <c r="I5375" s="422" t="s">
        <v>592</v>
      </c>
      <c r="J5375" s="484"/>
      <c r="K5375" s="548"/>
      <c r="L5375" s="548"/>
      <c r="M5375" s="548"/>
      <c r="N5375" s="552"/>
    </row>
    <row r="5376" spans="1:14">
      <c r="A5376" s="499">
        <v>45670</v>
      </c>
      <c r="B5376" s="499">
        <v>45670</v>
      </c>
      <c r="C5376" s="500" t="s">
        <v>173</v>
      </c>
      <c r="D5376" s="500" t="s">
        <v>761</v>
      </c>
      <c r="E5376" s="501">
        <v>-339266887.92000002</v>
      </c>
      <c r="F5376" s="502" t="s">
        <v>878</v>
      </c>
      <c r="G5376" s="100">
        <v>115460635</v>
      </c>
      <c r="H5376" s="530"/>
      <c r="I5376" s="422" t="s">
        <v>693</v>
      </c>
      <c r="J5376" s="484"/>
      <c r="K5376" s="548"/>
      <c r="L5376" s="548"/>
      <c r="M5376" s="548"/>
      <c r="N5376" s="552"/>
    </row>
    <row r="5377" spans="1:14">
      <c r="A5377" s="499">
        <v>45670</v>
      </c>
      <c r="B5377" s="499">
        <v>45670</v>
      </c>
      <c r="C5377" s="500" t="s">
        <v>173</v>
      </c>
      <c r="D5377" s="500" t="s">
        <v>761</v>
      </c>
      <c r="E5377" s="501">
        <v>-345066895.5</v>
      </c>
      <c r="F5377" s="502" t="s">
        <v>878</v>
      </c>
      <c r="G5377" s="100">
        <v>115460638</v>
      </c>
      <c r="H5377" s="530"/>
      <c r="I5377" s="422" t="s">
        <v>680</v>
      </c>
      <c r="J5377" s="484"/>
      <c r="K5377" s="548"/>
      <c r="L5377" s="548"/>
      <c r="M5377" s="548"/>
      <c r="N5377" s="552"/>
    </row>
    <row r="5378" spans="1:14">
      <c r="A5378" s="499">
        <v>45670</v>
      </c>
      <c r="B5378" s="499">
        <v>45670</v>
      </c>
      <c r="C5378" s="500" t="s">
        <v>173</v>
      </c>
      <c r="D5378" s="500" t="s">
        <v>761</v>
      </c>
      <c r="E5378" s="501">
        <v>-345087367.80000001</v>
      </c>
      <c r="F5378" s="502" t="s">
        <v>878</v>
      </c>
      <c r="G5378" s="100">
        <v>115460641</v>
      </c>
      <c r="H5378" s="530"/>
      <c r="I5378" s="422" t="s">
        <v>604</v>
      </c>
      <c r="J5378" s="484"/>
      <c r="K5378" s="548"/>
      <c r="L5378" s="548"/>
      <c r="M5378" s="548"/>
      <c r="N5378" s="552"/>
    </row>
    <row r="5379" spans="1:14">
      <c r="A5379" s="499">
        <v>45670</v>
      </c>
      <c r="B5379" s="499">
        <v>45670</v>
      </c>
      <c r="C5379" s="500" t="s">
        <v>173</v>
      </c>
      <c r="D5379" s="500" t="s">
        <v>761</v>
      </c>
      <c r="E5379" s="501">
        <v>-353233550.44999999</v>
      </c>
      <c r="F5379" s="502" t="s">
        <v>878</v>
      </c>
      <c r="G5379" s="100">
        <v>115460644</v>
      </c>
      <c r="H5379" s="530"/>
      <c r="I5379" s="422" t="s">
        <v>671</v>
      </c>
      <c r="J5379" s="484"/>
      <c r="K5379" s="548"/>
      <c r="L5379" s="548"/>
      <c r="M5379" s="548"/>
      <c r="N5379" s="552"/>
    </row>
    <row r="5380" spans="1:14">
      <c r="A5380" s="499">
        <v>45670</v>
      </c>
      <c r="B5380" s="499">
        <v>45670</v>
      </c>
      <c r="C5380" s="500" t="s">
        <v>173</v>
      </c>
      <c r="D5380" s="500" t="s">
        <v>761</v>
      </c>
      <c r="E5380" s="501">
        <v>-375050268.75</v>
      </c>
      <c r="F5380" s="502" t="s">
        <v>878</v>
      </c>
      <c r="G5380" s="100">
        <v>115460647</v>
      </c>
      <c r="H5380" s="530"/>
      <c r="I5380" s="422" t="s">
        <v>821</v>
      </c>
      <c r="J5380" s="484"/>
      <c r="K5380" s="548"/>
      <c r="L5380" s="548"/>
      <c r="M5380" s="548"/>
      <c r="N5380" s="552"/>
    </row>
    <row r="5381" spans="1:14">
      <c r="A5381" s="499">
        <v>45670</v>
      </c>
      <c r="B5381" s="499">
        <v>45670</v>
      </c>
      <c r="C5381" s="500" t="s">
        <v>173</v>
      </c>
      <c r="D5381" s="500" t="s">
        <v>761</v>
      </c>
      <c r="E5381" s="501">
        <v>-392096600.56</v>
      </c>
      <c r="F5381" s="502" t="s">
        <v>878</v>
      </c>
      <c r="G5381" s="100">
        <v>115460650</v>
      </c>
      <c r="H5381" s="530"/>
      <c r="I5381" s="422" t="s">
        <v>692</v>
      </c>
      <c r="J5381" s="484"/>
      <c r="K5381" s="548"/>
      <c r="L5381" s="548"/>
      <c r="M5381" s="548"/>
      <c r="N5381" s="552"/>
    </row>
    <row r="5382" spans="1:14">
      <c r="A5382" s="499">
        <v>45670</v>
      </c>
      <c r="B5382" s="499">
        <v>45670</v>
      </c>
      <c r="C5382" s="500" t="s">
        <v>173</v>
      </c>
      <c r="D5382" s="500" t="s">
        <v>761</v>
      </c>
      <c r="E5382" s="501">
        <v>-395310975.60000002</v>
      </c>
      <c r="F5382" s="502" t="s">
        <v>878</v>
      </c>
      <c r="G5382" s="100">
        <v>115460653</v>
      </c>
      <c r="H5382" s="530"/>
      <c r="I5382" s="422" t="s">
        <v>693</v>
      </c>
      <c r="J5382" s="484"/>
      <c r="K5382" s="548"/>
      <c r="L5382" s="548"/>
      <c r="M5382" s="548"/>
      <c r="N5382" s="552"/>
    </row>
    <row r="5383" spans="1:14">
      <c r="A5383" s="499">
        <v>45670</v>
      </c>
      <c r="B5383" s="499">
        <v>45670</v>
      </c>
      <c r="C5383" s="500" t="s">
        <v>173</v>
      </c>
      <c r="D5383" s="500" t="s">
        <v>761</v>
      </c>
      <c r="E5383" s="501">
        <v>-61003473.100000001</v>
      </c>
      <c r="F5383" s="502" t="s">
        <v>878</v>
      </c>
      <c r="G5383" s="100">
        <v>115460730</v>
      </c>
      <c r="H5383" s="530"/>
      <c r="I5383" s="422" t="s">
        <v>596</v>
      </c>
      <c r="J5383" s="484"/>
      <c r="K5383" s="548"/>
      <c r="L5383" s="548"/>
      <c r="M5383" s="548"/>
      <c r="N5383" s="552"/>
    </row>
    <row r="5384" spans="1:14">
      <c r="A5384" s="499">
        <v>45670</v>
      </c>
      <c r="B5384" s="499">
        <v>45670</v>
      </c>
      <c r="C5384" s="500" t="s">
        <v>173</v>
      </c>
      <c r="D5384" s="500" t="s">
        <v>761</v>
      </c>
      <c r="E5384" s="501">
        <v>-3000128.89</v>
      </c>
      <c r="F5384" s="502" t="s">
        <v>878</v>
      </c>
      <c r="G5384" s="100">
        <v>115460852</v>
      </c>
      <c r="H5384" s="530"/>
      <c r="I5384" s="422" t="s">
        <v>674</v>
      </c>
      <c r="J5384" s="484"/>
      <c r="K5384" s="548"/>
      <c r="L5384" s="548"/>
      <c r="M5384" s="548"/>
      <c r="N5384" s="552"/>
    </row>
    <row r="5385" spans="1:14">
      <c r="A5385" s="499">
        <v>45670</v>
      </c>
      <c r="B5385" s="499">
        <v>45670</v>
      </c>
      <c r="C5385" s="500" t="s">
        <v>173</v>
      </c>
      <c r="D5385" s="500" t="s">
        <v>761</v>
      </c>
      <c r="E5385" s="501">
        <v>-10003309.85</v>
      </c>
      <c r="F5385" s="502" t="s">
        <v>878</v>
      </c>
      <c r="G5385" s="100">
        <v>115460882</v>
      </c>
      <c r="H5385" s="530"/>
      <c r="I5385" s="422" t="s">
        <v>525</v>
      </c>
      <c r="J5385" s="484"/>
      <c r="K5385" s="548"/>
      <c r="L5385" s="548"/>
      <c r="M5385" s="548"/>
      <c r="N5385" s="552"/>
    </row>
    <row r="5386" spans="1:14">
      <c r="A5386" s="499">
        <v>45670</v>
      </c>
      <c r="B5386" s="499">
        <v>45671</v>
      </c>
      <c r="C5386" s="500" t="s">
        <v>173</v>
      </c>
      <c r="D5386" s="500" t="s">
        <v>761</v>
      </c>
      <c r="E5386" s="501">
        <v>231197792.66999999</v>
      </c>
      <c r="F5386" s="502" t="s">
        <v>878</v>
      </c>
      <c r="G5386" s="100">
        <v>115460629</v>
      </c>
      <c r="H5386" s="484">
        <v>115460629</v>
      </c>
      <c r="I5386" s="422" t="s">
        <v>819</v>
      </c>
      <c r="J5386" s="484"/>
      <c r="K5386" s="548"/>
      <c r="L5386" s="548"/>
      <c r="M5386" s="548"/>
      <c r="N5386" s="552"/>
    </row>
    <row r="5387" spans="1:14">
      <c r="A5387" s="499">
        <v>45670</v>
      </c>
      <c r="B5387" s="499">
        <v>45671</v>
      </c>
      <c r="C5387" s="500" t="s">
        <v>173</v>
      </c>
      <c r="D5387" s="500" t="s">
        <v>761</v>
      </c>
      <c r="E5387" s="501">
        <v>334282976.68000001</v>
      </c>
      <c r="F5387" s="502" t="s">
        <v>878</v>
      </c>
      <c r="G5387" s="100">
        <v>115460632</v>
      </c>
      <c r="H5387" s="484">
        <v>115460632</v>
      </c>
      <c r="I5387" s="422" t="s">
        <v>592</v>
      </c>
      <c r="J5387" s="484"/>
      <c r="K5387" s="548"/>
      <c r="L5387" s="548"/>
      <c r="M5387" s="548"/>
      <c r="N5387" s="552"/>
    </row>
    <row r="5388" spans="1:14">
      <c r="A5388" s="499">
        <v>45670</v>
      </c>
      <c r="B5388" s="499">
        <v>45671</v>
      </c>
      <c r="C5388" s="500" t="s">
        <v>173</v>
      </c>
      <c r="D5388" s="500" t="s">
        <v>761</v>
      </c>
      <c r="E5388" s="501">
        <v>339408636.41000003</v>
      </c>
      <c r="F5388" s="502" t="s">
        <v>878</v>
      </c>
      <c r="G5388" s="100">
        <v>115460635</v>
      </c>
      <c r="H5388" s="484">
        <v>115460635</v>
      </c>
      <c r="I5388" s="422" t="s">
        <v>693</v>
      </c>
      <c r="J5388" s="484"/>
      <c r="K5388" s="548"/>
      <c r="L5388" s="548"/>
      <c r="M5388" s="548"/>
      <c r="N5388" s="552"/>
    </row>
    <row r="5389" spans="1:14">
      <c r="A5389" s="499">
        <v>45670</v>
      </c>
      <c r="B5389" s="499">
        <v>45671</v>
      </c>
      <c r="C5389" s="500" t="s">
        <v>173</v>
      </c>
      <c r="D5389" s="500" t="s">
        <v>761</v>
      </c>
      <c r="E5389" s="501">
        <v>345211067.29000002</v>
      </c>
      <c r="F5389" s="502" t="s">
        <v>878</v>
      </c>
      <c r="G5389" s="100">
        <v>115460638</v>
      </c>
      <c r="H5389" s="484">
        <v>115460638</v>
      </c>
      <c r="I5389" s="422" t="s">
        <v>680</v>
      </c>
      <c r="J5389" s="484"/>
      <c r="K5389" s="548"/>
      <c r="L5389" s="548"/>
      <c r="M5389" s="548"/>
      <c r="N5389" s="552"/>
    </row>
    <row r="5390" spans="1:14">
      <c r="A5390" s="499">
        <v>45670</v>
      </c>
      <c r="B5390" s="499">
        <v>45671</v>
      </c>
      <c r="C5390" s="500" t="s">
        <v>173</v>
      </c>
      <c r="D5390" s="500" t="s">
        <v>761</v>
      </c>
      <c r="E5390" s="501">
        <v>345231548.13999999</v>
      </c>
      <c r="F5390" s="502" t="s">
        <v>878</v>
      </c>
      <c r="G5390" s="100">
        <v>115460641</v>
      </c>
      <c r="H5390" s="484">
        <v>115460641</v>
      </c>
      <c r="I5390" s="422" t="s">
        <v>604</v>
      </c>
      <c r="J5390" s="484"/>
      <c r="K5390" s="548"/>
      <c r="L5390" s="548"/>
      <c r="M5390" s="548"/>
      <c r="N5390" s="552"/>
    </row>
    <row r="5391" spans="1:14">
      <c r="A5391" s="499">
        <v>45670</v>
      </c>
      <c r="B5391" s="499">
        <v>45671</v>
      </c>
      <c r="C5391" s="500" t="s">
        <v>173</v>
      </c>
      <c r="D5391" s="500" t="s">
        <v>761</v>
      </c>
      <c r="E5391" s="501">
        <v>353381134.32999998</v>
      </c>
      <c r="F5391" s="502" t="s">
        <v>878</v>
      </c>
      <c r="G5391" s="100">
        <v>115460644</v>
      </c>
      <c r="H5391" s="484">
        <v>115460644</v>
      </c>
      <c r="I5391" s="422" t="s">
        <v>671</v>
      </c>
      <c r="J5391" s="484"/>
      <c r="K5391" s="548"/>
      <c r="L5391" s="548"/>
      <c r="M5391" s="548"/>
      <c r="N5391" s="552"/>
    </row>
    <row r="5392" spans="1:14">
      <c r="A5392" s="499">
        <v>45670</v>
      </c>
      <c r="B5392" s="499">
        <v>45671</v>
      </c>
      <c r="C5392" s="500" t="s">
        <v>173</v>
      </c>
      <c r="D5392" s="500" t="s">
        <v>761</v>
      </c>
      <c r="E5392" s="501">
        <v>375206967.82999998</v>
      </c>
      <c r="F5392" s="502" t="s">
        <v>878</v>
      </c>
      <c r="G5392" s="100">
        <v>115460647</v>
      </c>
      <c r="H5392" s="484">
        <v>115460647</v>
      </c>
      <c r="I5392" s="422" t="s">
        <v>821</v>
      </c>
      <c r="J5392" s="484"/>
      <c r="K5392" s="548"/>
      <c r="L5392" s="548"/>
      <c r="M5392" s="548"/>
      <c r="N5392" s="552"/>
    </row>
    <row r="5393" spans="1:14">
      <c r="A5393" s="499">
        <v>45670</v>
      </c>
      <c r="B5393" s="499">
        <v>45671</v>
      </c>
      <c r="C5393" s="500" t="s">
        <v>173</v>
      </c>
      <c r="D5393" s="500" t="s">
        <v>761</v>
      </c>
      <c r="E5393" s="501">
        <v>392260421.74000001</v>
      </c>
      <c r="F5393" s="502" t="s">
        <v>878</v>
      </c>
      <c r="G5393" s="100">
        <v>115460650</v>
      </c>
      <c r="H5393" s="484">
        <v>115460650</v>
      </c>
      <c r="I5393" s="422" t="s">
        <v>692</v>
      </c>
      <c r="J5393" s="484"/>
      <c r="K5393" s="548"/>
      <c r="L5393" s="548"/>
      <c r="M5393" s="548"/>
      <c r="N5393" s="552"/>
    </row>
    <row r="5394" spans="1:14">
      <c r="A5394" s="499">
        <v>45670</v>
      </c>
      <c r="B5394" s="499">
        <v>45671</v>
      </c>
      <c r="C5394" s="500" t="s">
        <v>173</v>
      </c>
      <c r="D5394" s="500" t="s">
        <v>761</v>
      </c>
      <c r="E5394" s="501">
        <v>395476139.76999998</v>
      </c>
      <c r="F5394" s="502" t="s">
        <v>878</v>
      </c>
      <c r="G5394" s="100">
        <v>115460653</v>
      </c>
      <c r="H5394" s="484">
        <v>115460653</v>
      </c>
      <c r="I5394" s="422" t="s">
        <v>693</v>
      </c>
      <c r="J5394" s="484"/>
      <c r="K5394" s="548"/>
      <c r="L5394" s="548"/>
      <c r="M5394" s="548"/>
      <c r="N5394" s="552"/>
    </row>
    <row r="5395" spans="1:14">
      <c r="A5395" s="499">
        <v>45670</v>
      </c>
      <c r="B5395" s="499">
        <v>45671</v>
      </c>
      <c r="C5395" s="500" t="s">
        <v>173</v>
      </c>
      <c r="D5395" s="500" t="s">
        <v>761</v>
      </c>
      <c r="E5395" s="501">
        <v>61028960.850000001</v>
      </c>
      <c r="F5395" s="502" t="s">
        <v>878</v>
      </c>
      <c r="G5395" s="100">
        <v>115460730</v>
      </c>
      <c r="H5395" s="484">
        <v>115460730</v>
      </c>
      <c r="I5395" s="422" t="s">
        <v>596</v>
      </c>
      <c r="J5395" s="484"/>
      <c r="K5395" s="548"/>
      <c r="L5395" s="548"/>
      <c r="M5395" s="548"/>
      <c r="N5395" s="552"/>
    </row>
    <row r="5396" spans="1:14">
      <c r="A5396" s="499">
        <v>45670</v>
      </c>
      <c r="B5396" s="499">
        <v>45671</v>
      </c>
      <c r="C5396" s="500" t="s">
        <v>173</v>
      </c>
      <c r="D5396" s="500" t="s">
        <v>761</v>
      </c>
      <c r="E5396" s="501">
        <v>3001382.37</v>
      </c>
      <c r="F5396" s="502" t="s">
        <v>878</v>
      </c>
      <c r="G5396" s="100">
        <v>115460852</v>
      </c>
      <c r="H5396" s="484">
        <v>115460852</v>
      </c>
      <c r="I5396" s="422" t="s">
        <v>674</v>
      </c>
      <c r="J5396" s="484"/>
      <c r="K5396" s="548"/>
      <c r="L5396" s="548"/>
      <c r="M5396" s="548"/>
      <c r="N5396" s="552"/>
    </row>
    <row r="5397" spans="1:14">
      <c r="A5397" s="499">
        <v>45670</v>
      </c>
      <c r="B5397" s="499">
        <v>45671</v>
      </c>
      <c r="C5397" s="500" t="s">
        <v>173</v>
      </c>
      <c r="D5397" s="500" t="s">
        <v>761</v>
      </c>
      <c r="E5397" s="501">
        <v>10007489.32</v>
      </c>
      <c r="F5397" s="502" t="s">
        <v>878</v>
      </c>
      <c r="G5397" s="100">
        <v>115460882</v>
      </c>
      <c r="H5397" s="484">
        <v>115460882</v>
      </c>
      <c r="I5397" s="422" t="s">
        <v>525</v>
      </c>
      <c r="J5397" s="484"/>
      <c r="K5397" s="548"/>
      <c r="L5397" s="548"/>
      <c r="M5397" s="548"/>
      <c r="N5397" s="552"/>
    </row>
    <row r="5398" spans="1:14">
      <c r="A5398" s="499">
        <v>45670</v>
      </c>
      <c r="B5398" s="499">
        <v>45670</v>
      </c>
      <c r="C5398" s="500" t="s">
        <v>173</v>
      </c>
      <c r="D5398" s="500" t="s">
        <v>759</v>
      </c>
      <c r="E5398" s="501">
        <v>-666272049.00999999</v>
      </c>
      <c r="F5398" s="502" t="s">
        <v>878</v>
      </c>
      <c r="G5398" s="100">
        <v>115463056</v>
      </c>
      <c r="H5398" s="530"/>
      <c r="I5398" s="422" t="s">
        <v>689</v>
      </c>
      <c r="J5398" s="484"/>
      <c r="K5398" s="548"/>
      <c r="L5398" s="548"/>
      <c r="M5398" s="548"/>
      <c r="N5398" s="552"/>
    </row>
    <row r="5399" spans="1:14">
      <c r="A5399" s="499">
        <v>45670</v>
      </c>
      <c r="B5399" s="499">
        <v>45670</v>
      </c>
      <c r="C5399" s="500" t="s">
        <v>173</v>
      </c>
      <c r="D5399" s="500" t="s">
        <v>759</v>
      </c>
      <c r="E5399" s="501">
        <v>-205077334.19999999</v>
      </c>
      <c r="F5399" s="502" t="s">
        <v>878</v>
      </c>
      <c r="G5399" s="100">
        <v>115463061</v>
      </c>
      <c r="H5399" s="530"/>
      <c r="I5399" s="422" t="s">
        <v>678</v>
      </c>
      <c r="J5399" s="484"/>
      <c r="K5399" s="548"/>
      <c r="L5399" s="548"/>
      <c r="M5399" s="548"/>
      <c r="N5399" s="552"/>
    </row>
    <row r="5400" spans="1:14">
      <c r="A5400" s="499">
        <v>45670</v>
      </c>
      <c r="B5400" s="499">
        <v>45670</v>
      </c>
      <c r="C5400" s="500" t="s">
        <v>173</v>
      </c>
      <c r="D5400" s="500" t="s">
        <v>759</v>
      </c>
      <c r="E5400" s="501">
        <v>-1000882288</v>
      </c>
      <c r="F5400" s="502" t="s">
        <v>878</v>
      </c>
      <c r="G5400" s="100">
        <v>115463845</v>
      </c>
      <c r="H5400" s="530"/>
      <c r="I5400" s="422" t="s">
        <v>829</v>
      </c>
      <c r="J5400" s="484"/>
      <c r="K5400" s="548"/>
      <c r="L5400" s="548"/>
      <c r="M5400" s="548"/>
      <c r="N5400" s="552"/>
    </row>
    <row r="5401" spans="1:14">
      <c r="A5401" s="499">
        <v>45670</v>
      </c>
      <c r="B5401" s="499">
        <v>45670</v>
      </c>
      <c r="C5401" s="500" t="s">
        <v>173</v>
      </c>
      <c r="D5401" s="500" t="s">
        <v>759</v>
      </c>
      <c r="E5401" s="501">
        <v>-138121755.74000001</v>
      </c>
      <c r="F5401" s="502" t="s">
        <v>878</v>
      </c>
      <c r="G5401" s="100">
        <v>115463848</v>
      </c>
      <c r="H5401" s="530"/>
      <c r="I5401" s="422" t="s">
        <v>829</v>
      </c>
      <c r="J5401" s="484"/>
      <c r="K5401" s="548"/>
      <c r="L5401" s="548"/>
      <c r="M5401" s="548"/>
      <c r="N5401" s="552"/>
    </row>
    <row r="5402" spans="1:14">
      <c r="A5402" s="499">
        <v>45670</v>
      </c>
      <c r="B5402" s="499">
        <v>45670</v>
      </c>
      <c r="C5402" s="500" t="s">
        <v>173</v>
      </c>
      <c r="D5402" s="500" t="s">
        <v>759</v>
      </c>
      <c r="E5402" s="501">
        <v>-7006788.0300000003</v>
      </c>
      <c r="F5402" s="502" t="s">
        <v>878</v>
      </c>
      <c r="G5402" s="100">
        <v>115477499</v>
      </c>
      <c r="H5402" s="530"/>
      <c r="I5402" s="422" t="s">
        <v>684</v>
      </c>
      <c r="J5402" s="484"/>
      <c r="K5402" s="548"/>
      <c r="L5402" s="548"/>
      <c r="M5402" s="548"/>
      <c r="N5402" s="552"/>
    </row>
    <row r="5403" spans="1:14">
      <c r="A5403" s="499">
        <v>45670</v>
      </c>
      <c r="B5403" s="499">
        <v>45671</v>
      </c>
      <c r="C5403" s="500" t="s">
        <v>173</v>
      </c>
      <c r="D5403" s="500" t="s">
        <v>759</v>
      </c>
      <c r="E5403" s="501">
        <v>666541295.92999995</v>
      </c>
      <c r="F5403" s="502" t="s">
        <v>878</v>
      </c>
      <c r="G5403" s="100">
        <v>115463056</v>
      </c>
      <c r="H5403" s="484">
        <v>115463056</v>
      </c>
      <c r="I5403" s="422" t="s">
        <v>689</v>
      </c>
      <c r="J5403" s="484"/>
      <c r="K5403" s="548"/>
      <c r="L5403" s="548"/>
      <c r="M5403" s="548"/>
      <c r="N5403" s="552"/>
    </row>
    <row r="5404" spans="1:14">
      <c r="A5404" s="499">
        <v>45670</v>
      </c>
      <c r="B5404" s="499">
        <v>45671</v>
      </c>
      <c r="C5404" s="500" t="s">
        <v>173</v>
      </c>
      <c r="D5404" s="500" t="s">
        <v>759</v>
      </c>
      <c r="E5404" s="501">
        <v>205160207.91999999</v>
      </c>
      <c r="F5404" s="502" t="s">
        <v>878</v>
      </c>
      <c r="G5404" s="100">
        <v>115463061</v>
      </c>
      <c r="H5404" s="484">
        <v>115463061</v>
      </c>
      <c r="I5404" s="422" t="s">
        <v>678</v>
      </c>
      <c r="J5404" s="484"/>
      <c r="K5404" s="548"/>
      <c r="L5404" s="548"/>
      <c r="M5404" s="548"/>
      <c r="N5404" s="552"/>
    </row>
    <row r="5405" spans="1:14">
      <c r="A5405" s="499">
        <v>45670</v>
      </c>
      <c r="B5405" s="499">
        <v>45671</v>
      </c>
      <c r="C5405" s="500" t="s">
        <v>173</v>
      </c>
      <c r="D5405" s="500" t="s">
        <v>759</v>
      </c>
      <c r="E5405" s="501">
        <v>1001279898.77</v>
      </c>
      <c r="F5405" s="502" t="s">
        <v>878</v>
      </c>
      <c r="G5405" s="100">
        <v>115463845</v>
      </c>
      <c r="H5405" s="484">
        <v>115463845</v>
      </c>
      <c r="I5405" s="422" t="s">
        <v>829</v>
      </c>
      <c r="J5405" s="484"/>
      <c r="K5405" s="548"/>
      <c r="L5405" s="548"/>
      <c r="M5405" s="548"/>
      <c r="N5405" s="552"/>
    </row>
    <row r="5406" spans="1:14">
      <c r="A5406" s="499">
        <v>45670</v>
      </c>
      <c r="B5406" s="499">
        <v>45671</v>
      </c>
      <c r="C5406" s="500" t="s">
        <v>173</v>
      </c>
      <c r="D5406" s="500" t="s">
        <v>759</v>
      </c>
      <c r="E5406" s="501">
        <v>138176626.03</v>
      </c>
      <c r="F5406" s="502" t="s">
        <v>878</v>
      </c>
      <c r="G5406" s="100">
        <v>115463848</v>
      </c>
      <c r="H5406" s="484">
        <v>115463848</v>
      </c>
      <c r="I5406" s="422" t="s">
        <v>829</v>
      </c>
      <c r="J5406" s="484"/>
      <c r="K5406" s="548"/>
      <c r="L5406" s="548"/>
      <c r="M5406" s="548"/>
      <c r="N5406" s="552"/>
    </row>
    <row r="5407" spans="1:14">
      <c r="A5407" s="499">
        <v>45670</v>
      </c>
      <c r="B5407" s="499">
        <v>45671</v>
      </c>
      <c r="C5407" s="500" t="s">
        <v>173</v>
      </c>
      <c r="D5407" s="500" t="s">
        <v>759</v>
      </c>
      <c r="E5407" s="501">
        <v>7009417.9800000004</v>
      </c>
      <c r="F5407" s="502" t="s">
        <v>878</v>
      </c>
      <c r="G5407" s="100">
        <v>115477499</v>
      </c>
      <c r="H5407" s="484">
        <v>115477499</v>
      </c>
      <c r="I5407" s="422" t="s">
        <v>684</v>
      </c>
      <c r="J5407" s="484"/>
      <c r="K5407" s="548"/>
      <c r="L5407" s="548"/>
      <c r="M5407" s="548"/>
      <c r="N5407" s="552"/>
    </row>
    <row r="5408" spans="1:14">
      <c r="A5408" s="499">
        <v>45670</v>
      </c>
      <c r="B5408" s="499">
        <v>45670</v>
      </c>
      <c r="C5408" s="500" t="s">
        <v>173</v>
      </c>
      <c r="D5408" s="500" t="s">
        <v>760</v>
      </c>
      <c r="E5408" s="501">
        <v>-299112794.75999999</v>
      </c>
      <c r="F5408" s="502" t="s">
        <v>878</v>
      </c>
      <c r="G5408" s="100">
        <v>115462828</v>
      </c>
      <c r="H5408" s="530"/>
      <c r="I5408" s="422" t="s">
        <v>678</v>
      </c>
      <c r="J5408" s="484"/>
      <c r="K5408" s="548"/>
      <c r="L5408" s="548"/>
      <c r="M5408" s="548"/>
      <c r="N5408" s="552"/>
    </row>
    <row r="5409" spans="1:14">
      <c r="A5409" s="499">
        <v>45670</v>
      </c>
      <c r="B5409" s="499">
        <v>45671</v>
      </c>
      <c r="C5409" s="500" t="s">
        <v>173</v>
      </c>
      <c r="D5409" s="500" t="s">
        <v>760</v>
      </c>
      <c r="E5409" s="501">
        <v>299233669.11000001</v>
      </c>
      <c r="F5409" s="502" t="s">
        <v>878</v>
      </c>
      <c r="G5409" s="100">
        <v>115462828</v>
      </c>
      <c r="H5409" s="100">
        <v>115462828</v>
      </c>
      <c r="I5409" s="422" t="s">
        <v>678</v>
      </c>
      <c r="J5409" s="484"/>
      <c r="K5409" s="548"/>
      <c r="L5409" s="548"/>
      <c r="M5409" s="548"/>
      <c r="N5409" s="552"/>
    </row>
    <row r="5410" spans="1:14">
      <c r="A5410" s="499">
        <v>45670</v>
      </c>
      <c r="B5410" s="499">
        <v>45670</v>
      </c>
      <c r="C5410" s="500" t="s">
        <v>173</v>
      </c>
      <c r="D5410" s="500" t="s">
        <v>763</v>
      </c>
      <c r="E5410" s="501">
        <v>-5641221167.8199997</v>
      </c>
      <c r="F5410" s="502" t="s">
        <v>878</v>
      </c>
      <c r="G5410" s="100">
        <v>115461362</v>
      </c>
      <c r="H5410" s="530"/>
      <c r="I5410" s="422" t="s">
        <v>1018</v>
      </c>
      <c r="J5410" s="484"/>
      <c r="K5410" s="548"/>
      <c r="L5410" s="548"/>
      <c r="M5410" s="548"/>
      <c r="N5410" s="552"/>
    </row>
    <row r="5411" spans="1:14">
      <c r="A5411" s="499">
        <v>45670</v>
      </c>
      <c r="B5411" s="499">
        <v>45670</v>
      </c>
      <c r="C5411" s="500" t="s">
        <v>173</v>
      </c>
      <c r="D5411" s="500" t="s">
        <v>763</v>
      </c>
      <c r="E5411" s="501">
        <v>-25000980.18</v>
      </c>
      <c r="F5411" s="502" t="s">
        <v>878</v>
      </c>
      <c r="G5411" s="100">
        <v>115461411</v>
      </c>
      <c r="H5411" s="530"/>
      <c r="I5411" s="422" t="s">
        <v>1018</v>
      </c>
      <c r="J5411" s="484"/>
      <c r="K5411" s="548"/>
      <c r="L5411" s="548"/>
      <c r="M5411" s="548"/>
      <c r="N5411" s="552"/>
    </row>
    <row r="5412" spans="1:14">
      <c r="A5412" s="499">
        <v>45670</v>
      </c>
      <c r="B5412" s="499">
        <v>45671</v>
      </c>
      <c r="C5412" s="500" t="s">
        <v>173</v>
      </c>
      <c r="D5412" s="500" t="s">
        <v>763</v>
      </c>
      <c r="E5412" s="501">
        <v>5643585859.5500002</v>
      </c>
      <c r="F5412" s="502" t="s">
        <v>878</v>
      </c>
      <c r="G5412" s="100">
        <v>115461362</v>
      </c>
      <c r="H5412" s="100">
        <v>115461362</v>
      </c>
      <c r="I5412" s="422" t="s">
        <v>1018</v>
      </c>
      <c r="J5412" s="484"/>
      <c r="K5412" s="548"/>
      <c r="L5412" s="548"/>
      <c r="M5412" s="548"/>
      <c r="N5412" s="552"/>
    </row>
    <row r="5413" spans="1:14">
      <c r="A5413" s="499">
        <v>45670</v>
      </c>
      <c r="B5413" s="499">
        <v>45671</v>
      </c>
      <c r="C5413" s="500" t="s">
        <v>173</v>
      </c>
      <c r="D5413" s="500" t="s">
        <v>763</v>
      </c>
      <c r="E5413" s="501">
        <v>25011460.109999999</v>
      </c>
      <c r="F5413" s="502" t="s">
        <v>878</v>
      </c>
      <c r="G5413" s="100">
        <v>115461411</v>
      </c>
      <c r="H5413" s="100">
        <v>115461411</v>
      </c>
      <c r="I5413" s="422" t="s">
        <v>1018</v>
      </c>
      <c r="J5413" s="484"/>
      <c r="K5413" s="548"/>
      <c r="L5413" s="548"/>
      <c r="M5413" s="548"/>
      <c r="N5413" s="552"/>
    </row>
    <row r="5414" spans="1:14">
      <c r="A5414" s="499">
        <v>45671</v>
      </c>
      <c r="B5414" s="499">
        <v>45671</v>
      </c>
      <c r="C5414" s="500" t="s">
        <v>173</v>
      </c>
      <c r="D5414" s="500" t="s">
        <v>761</v>
      </c>
      <c r="E5414" s="501">
        <v>-3172052068.3800001</v>
      </c>
      <c r="F5414" s="502" t="s">
        <v>878</v>
      </c>
      <c r="G5414" s="100">
        <v>115492958</v>
      </c>
      <c r="H5414" s="530"/>
      <c r="I5414" s="422" t="s">
        <v>721</v>
      </c>
      <c r="J5414" s="484"/>
      <c r="K5414" s="548"/>
      <c r="L5414" s="548"/>
      <c r="M5414" s="548"/>
      <c r="N5414" s="552"/>
    </row>
    <row r="5415" spans="1:14">
      <c r="A5415" s="499">
        <v>45671</v>
      </c>
      <c r="B5415" s="499">
        <v>45671</v>
      </c>
      <c r="C5415" s="500" t="s">
        <v>173</v>
      </c>
      <c r="D5415" s="500" t="s">
        <v>761</v>
      </c>
      <c r="E5415" s="501">
        <v>-12002915.82</v>
      </c>
      <c r="F5415" s="502" t="s">
        <v>878</v>
      </c>
      <c r="G5415" s="100">
        <v>115494303</v>
      </c>
      <c r="H5415" s="530"/>
      <c r="I5415" s="422" t="s">
        <v>1013</v>
      </c>
      <c r="J5415" s="484"/>
      <c r="K5415" s="548"/>
      <c r="L5415" s="548"/>
      <c r="M5415" s="548"/>
      <c r="N5415" s="552"/>
    </row>
    <row r="5416" spans="1:14">
      <c r="A5416" s="499">
        <v>45671</v>
      </c>
      <c r="B5416" s="499">
        <v>45671</v>
      </c>
      <c r="C5416" s="500" t="s">
        <v>173</v>
      </c>
      <c r="D5416" s="500" t="s">
        <v>761</v>
      </c>
      <c r="E5416" s="501">
        <v>-2000485.97</v>
      </c>
      <c r="F5416" s="502" t="s">
        <v>878</v>
      </c>
      <c r="G5416" s="100">
        <v>115495125</v>
      </c>
      <c r="H5416" s="530"/>
      <c r="I5416" s="422" t="s">
        <v>1013</v>
      </c>
      <c r="J5416" s="484"/>
      <c r="K5416" s="548"/>
      <c r="L5416" s="548"/>
      <c r="M5416" s="548"/>
      <c r="N5416" s="552"/>
    </row>
    <row r="5417" spans="1:14">
      <c r="A5417" s="499">
        <v>45671</v>
      </c>
      <c r="B5417" s="499">
        <v>45672</v>
      </c>
      <c r="C5417" s="500" t="s">
        <v>173</v>
      </c>
      <c r="D5417" s="500" t="s">
        <v>761</v>
      </c>
      <c r="E5417" s="501">
        <v>3173324365.4299998</v>
      </c>
      <c r="F5417" s="502" t="s">
        <v>878</v>
      </c>
      <c r="G5417" s="100">
        <v>115492958</v>
      </c>
      <c r="H5417" s="484">
        <v>115492958</v>
      </c>
      <c r="I5417" s="422" t="s">
        <v>721</v>
      </c>
      <c r="J5417" s="484"/>
      <c r="K5417" s="548"/>
      <c r="L5417" s="548"/>
      <c r="M5417" s="548"/>
      <c r="N5417" s="552"/>
    </row>
    <row r="5418" spans="1:14">
      <c r="A5418" s="499">
        <v>45671</v>
      </c>
      <c r="B5418" s="499">
        <v>45672</v>
      </c>
      <c r="C5418" s="500" t="s">
        <v>173</v>
      </c>
      <c r="D5418" s="500" t="s">
        <v>761</v>
      </c>
      <c r="E5418" s="501">
        <v>12007730.140000001</v>
      </c>
      <c r="F5418" s="502" t="s">
        <v>878</v>
      </c>
      <c r="G5418" s="100">
        <v>115494303</v>
      </c>
      <c r="H5418" s="484">
        <v>115494303</v>
      </c>
      <c r="I5418" s="422" t="s">
        <v>1013</v>
      </c>
      <c r="J5418" s="484"/>
      <c r="K5418" s="548"/>
      <c r="L5418" s="548"/>
      <c r="M5418" s="548"/>
      <c r="N5418" s="552"/>
    </row>
    <row r="5419" spans="1:14">
      <c r="A5419" s="499">
        <v>45671</v>
      </c>
      <c r="B5419" s="499">
        <v>45672</v>
      </c>
      <c r="C5419" s="500" t="s">
        <v>173</v>
      </c>
      <c r="D5419" s="500" t="s">
        <v>761</v>
      </c>
      <c r="E5419" s="501">
        <v>2001288.36</v>
      </c>
      <c r="F5419" s="502" t="s">
        <v>878</v>
      </c>
      <c r="G5419" s="100">
        <v>115495125</v>
      </c>
      <c r="H5419" s="484">
        <v>115495125</v>
      </c>
      <c r="I5419" s="422" t="s">
        <v>1013</v>
      </c>
      <c r="J5419" s="484"/>
      <c r="K5419" s="548"/>
      <c r="L5419" s="548"/>
      <c r="M5419" s="548"/>
      <c r="N5419" s="552"/>
    </row>
    <row r="5420" spans="1:14">
      <c r="A5420" s="499">
        <v>45671</v>
      </c>
      <c r="B5420" s="499">
        <v>45671</v>
      </c>
      <c r="C5420" s="500" t="s">
        <v>173</v>
      </c>
      <c r="D5420" s="500" t="s">
        <v>759</v>
      </c>
      <c r="E5420" s="501">
        <v>-2010996075.5999999</v>
      </c>
      <c r="F5420" s="502" t="s">
        <v>878</v>
      </c>
      <c r="G5420" s="100">
        <v>115492934</v>
      </c>
      <c r="H5420" s="530"/>
      <c r="I5420" s="422" t="s">
        <v>696</v>
      </c>
      <c r="J5420" s="484"/>
      <c r="K5420" s="548"/>
      <c r="L5420" s="548"/>
      <c r="M5420" s="548"/>
      <c r="N5420" s="552"/>
    </row>
    <row r="5421" spans="1:14">
      <c r="A5421" s="499">
        <v>45671</v>
      </c>
      <c r="B5421" s="499">
        <v>45671</v>
      </c>
      <c r="C5421" s="500" t="s">
        <v>173</v>
      </c>
      <c r="D5421" s="500" t="s">
        <v>759</v>
      </c>
      <c r="E5421" s="501">
        <v>-8001943.8799999999</v>
      </c>
      <c r="F5421" s="502" t="s">
        <v>878</v>
      </c>
      <c r="G5421" s="100">
        <v>115494297</v>
      </c>
      <c r="H5421" s="530"/>
      <c r="I5421" s="422" t="s">
        <v>1013</v>
      </c>
      <c r="J5421" s="484"/>
      <c r="K5421" s="548"/>
      <c r="L5421" s="548"/>
      <c r="M5421" s="548"/>
      <c r="N5421" s="552"/>
    </row>
    <row r="5422" spans="1:14">
      <c r="A5422" s="499">
        <v>45671</v>
      </c>
      <c r="B5422" s="499">
        <v>45672</v>
      </c>
      <c r="C5422" s="500" t="s">
        <v>173</v>
      </c>
      <c r="D5422" s="500" t="s">
        <v>759</v>
      </c>
      <c r="E5422" s="501">
        <v>2011800474.03</v>
      </c>
      <c r="F5422" s="502" t="s">
        <v>878</v>
      </c>
      <c r="G5422" s="100">
        <v>115492934</v>
      </c>
      <c r="H5422" s="484">
        <v>115492934</v>
      </c>
      <c r="I5422" s="422" t="s">
        <v>696</v>
      </c>
      <c r="J5422" s="484"/>
      <c r="K5422" s="548"/>
      <c r="L5422" s="548"/>
      <c r="M5422" s="548"/>
      <c r="N5422" s="552"/>
    </row>
    <row r="5423" spans="1:14">
      <c r="A5423" s="499">
        <v>45671</v>
      </c>
      <c r="B5423" s="499">
        <v>45672</v>
      </c>
      <c r="C5423" s="500" t="s">
        <v>173</v>
      </c>
      <c r="D5423" s="500" t="s">
        <v>759</v>
      </c>
      <c r="E5423" s="501">
        <v>8005122.7300000004</v>
      </c>
      <c r="F5423" s="502" t="s">
        <v>878</v>
      </c>
      <c r="G5423" s="100">
        <v>115494297</v>
      </c>
      <c r="H5423" s="484">
        <v>115494297</v>
      </c>
      <c r="I5423" s="422" t="s">
        <v>1013</v>
      </c>
      <c r="J5423" s="484"/>
      <c r="K5423" s="548"/>
      <c r="L5423" s="548"/>
      <c r="M5423" s="548"/>
      <c r="N5423" s="552"/>
    </row>
    <row r="5424" spans="1:14">
      <c r="A5424" s="499">
        <v>45671</v>
      </c>
      <c r="B5424" s="499">
        <v>45671</v>
      </c>
      <c r="C5424" s="500" t="s">
        <v>173</v>
      </c>
      <c r="D5424" s="500" t="s">
        <v>760</v>
      </c>
      <c r="E5424" s="501">
        <v>-2000670.31</v>
      </c>
      <c r="F5424" s="502" t="s">
        <v>878</v>
      </c>
      <c r="G5424" s="100">
        <v>115489380</v>
      </c>
      <c r="H5424" s="530"/>
      <c r="I5424" s="422" t="s">
        <v>631</v>
      </c>
      <c r="J5424" s="484"/>
      <c r="K5424" s="548"/>
      <c r="L5424" s="548"/>
      <c r="M5424" s="548"/>
      <c r="N5424" s="552"/>
    </row>
    <row r="5425" spans="1:14">
      <c r="A5425" s="499">
        <v>45671</v>
      </c>
      <c r="B5425" s="499">
        <v>45671</v>
      </c>
      <c r="C5425" s="500" t="s">
        <v>173</v>
      </c>
      <c r="D5425" s="500" t="s">
        <v>760</v>
      </c>
      <c r="E5425" s="501">
        <v>-295022548.38</v>
      </c>
      <c r="F5425" s="502" t="s">
        <v>878</v>
      </c>
      <c r="G5425" s="100">
        <v>115489488</v>
      </c>
      <c r="H5425" s="530"/>
      <c r="I5425" s="422" t="s">
        <v>550</v>
      </c>
      <c r="J5425" s="484"/>
      <c r="K5425" s="548"/>
      <c r="L5425" s="548">
        <v>-1</v>
      </c>
      <c r="M5425" s="548"/>
      <c r="N5425" s="552"/>
    </row>
    <row r="5426" spans="1:14">
      <c r="A5426" s="499">
        <v>45671</v>
      </c>
      <c r="B5426" s="499">
        <v>45672</v>
      </c>
      <c r="C5426" s="500" t="s">
        <v>173</v>
      </c>
      <c r="D5426" s="500" t="s">
        <v>760</v>
      </c>
      <c r="E5426" s="501">
        <v>2001472.77</v>
      </c>
      <c r="F5426" s="502" t="s">
        <v>878</v>
      </c>
      <c r="G5426" s="100">
        <v>115489380</v>
      </c>
      <c r="H5426" s="100">
        <v>115489380</v>
      </c>
      <c r="I5426" s="422" t="s">
        <v>631</v>
      </c>
      <c r="J5426" s="484"/>
      <c r="K5426" s="548"/>
      <c r="L5426" s="548"/>
      <c r="M5426" s="548"/>
      <c r="N5426" s="552"/>
    </row>
    <row r="5427" spans="1:14">
      <c r="A5427" s="499">
        <v>45671</v>
      </c>
      <c r="B5427" s="499">
        <v>45672</v>
      </c>
      <c r="C5427" s="500" t="s">
        <v>173</v>
      </c>
      <c r="D5427" s="500" t="s">
        <v>760</v>
      </c>
      <c r="E5427" s="501">
        <v>295140879.89999998</v>
      </c>
      <c r="F5427" s="502" t="s">
        <v>878</v>
      </c>
      <c r="G5427" s="100">
        <v>115489488</v>
      </c>
      <c r="H5427" s="100">
        <v>115489488</v>
      </c>
      <c r="I5427" s="422" t="s">
        <v>550</v>
      </c>
      <c r="J5427" s="484"/>
      <c r="K5427" s="548"/>
      <c r="L5427" s="548"/>
      <c r="M5427" s="548"/>
      <c r="N5427" s="552"/>
    </row>
    <row r="5428" spans="1:14">
      <c r="A5428" s="499">
        <v>45671</v>
      </c>
      <c r="B5428" s="499">
        <v>45671</v>
      </c>
      <c r="C5428" s="500" t="s">
        <v>173</v>
      </c>
      <c r="D5428" s="500" t="s">
        <v>763</v>
      </c>
      <c r="E5428" s="501">
        <v>-2359624132.4299998</v>
      </c>
      <c r="F5428" s="502" t="s">
        <v>878</v>
      </c>
      <c r="G5428" s="100">
        <v>115489521</v>
      </c>
      <c r="H5428" s="530"/>
      <c r="I5428" s="422" t="s">
        <v>713</v>
      </c>
      <c r="J5428" s="484"/>
      <c r="K5428" s="548"/>
      <c r="L5428" s="548"/>
      <c r="M5428" s="548"/>
      <c r="N5428" s="552"/>
    </row>
    <row r="5429" spans="1:14">
      <c r="A5429" s="499">
        <v>45671</v>
      </c>
      <c r="B5429" s="499">
        <v>45671</v>
      </c>
      <c r="C5429" s="500" t="s">
        <v>173</v>
      </c>
      <c r="D5429" s="500" t="s">
        <v>763</v>
      </c>
      <c r="E5429" s="501">
        <v>-1103492904.23</v>
      </c>
      <c r="F5429" s="502" t="s">
        <v>878</v>
      </c>
      <c r="G5429" s="100">
        <v>115489524</v>
      </c>
      <c r="H5429" s="530"/>
      <c r="I5429" s="422" t="s">
        <v>658</v>
      </c>
      <c r="J5429" s="484"/>
      <c r="K5429" s="548"/>
      <c r="L5429" s="548"/>
      <c r="M5429" s="548"/>
      <c r="N5429" s="552"/>
    </row>
    <row r="5430" spans="1:14">
      <c r="A5430" s="499">
        <v>45671</v>
      </c>
      <c r="B5430" s="499">
        <v>45671</v>
      </c>
      <c r="C5430" s="500" t="s">
        <v>173</v>
      </c>
      <c r="D5430" s="500" t="s">
        <v>763</v>
      </c>
      <c r="E5430" s="501">
        <v>-1129409262.5</v>
      </c>
      <c r="F5430" s="502" t="s">
        <v>878</v>
      </c>
      <c r="G5430" s="100">
        <v>115489527</v>
      </c>
      <c r="H5430" s="530"/>
      <c r="I5430" s="422" t="s">
        <v>604</v>
      </c>
      <c r="J5430" s="484"/>
      <c r="K5430" s="548"/>
      <c r="L5430" s="548"/>
      <c r="M5430" s="548"/>
      <c r="N5430" s="552"/>
    </row>
    <row r="5431" spans="1:14">
      <c r="A5431" s="499">
        <v>45671</v>
      </c>
      <c r="B5431" s="499">
        <v>45671</v>
      </c>
      <c r="C5431" s="500" t="s">
        <v>173</v>
      </c>
      <c r="D5431" s="500" t="s">
        <v>763</v>
      </c>
      <c r="E5431" s="501">
        <v>-1053895066.85</v>
      </c>
      <c r="F5431" s="502" t="s">
        <v>878</v>
      </c>
      <c r="G5431" s="100">
        <v>115489530</v>
      </c>
      <c r="H5431" s="530"/>
      <c r="I5431" s="422" t="s">
        <v>685</v>
      </c>
      <c r="J5431" s="484"/>
      <c r="K5431" s="548"/>
      <c r="L5431" s="548"/>
      <c r="M5431" s="548"/>
      <c r="N5431" s="552"/>
    </row>
    <row r="5432" spans="1:14">
      <c r="A5432" s="499">
        <v>45671</v>
      </c>
      <c r="B5432" s="499">
        <v>45671</v>
      </c>
      <c r="C5432" s="500" t="s">
        <v>173</v>
      </c>
      <c r="D5432" s="500" t="s">
        <v>763</v>
      </c>
      <c r="E5432" s="501">
        <v>-22006620.239999998</v>
      </c>
      <c r="F5432" s="502" t="s">
        <v>878</v>
      </c>
      <c r="G5432" s="100">
        <v>115489553</v>
      </c>
      <c r="H5432" s="530"/>
      <c r="I5432" s="422" t="s">
        <v>717</v>
      </c>
      <c r="J5432" s="484"/>
      <c r="K5432" s="548"/>
      <c r="L5432" s="548"/>
      <c r="M5432" s="548"/>
      <c r="N5432" s="552"/>
    </row>
    <row r="5433" spans="1:14">
      <c r="A5433" s="499">
        <v>45671</v>
      </c>
      <c r="B5433" s="499">
        <v>45672</v>
      </c>
      <c r="C5433" s="500" t="s">
        <v>173</v>
      </c>
      <c r="D5433" s="500" t="s">
        <v>763</v>
      </c>
      <c r="E5433" s="501">
        <v>2360564749.7199998</v>
      </c>
      <c r="F5433" s="502" t="s">
        <v>878</v>
      </c>
      <c r="G5433" s="100">
        <v>115489521</v>
      </c>
      <c r="H5433" s="484">
        <v>115489521</v>
      </c>
      <c r="I5433" s="422" t="s">
        <v>713</v>
      </c>
      <c r="J5433" s="484"/>
      <c r="K5433" s="548"/>
      <c r="L5433" s="548"/>
      <c r="M5433" s="548"/>
      <c r="N5433" s="552"/>
    </row>
    <row r="5434" spans="1:14">
      <c r="A5434" s="499">
        <v>45671</v>
      </c>
      <c r="B5434" s="499">
        <v>45672</v>
      </c>
      <c r="C5434" s="500" t="s">
        <v>173</v>
      </c>
      <c r="D5434" s="500" t="s">
        <v>763</v>
      </c>
      <c r="E5434" s="501">
        <v>1103931293.24</v>
      </c>
      <c r="F5434" s="502" t="s">
        <v>878</v>
      </c>
      <c r="G5434" s="100">
        <v>115489524</v>
      </c>
      <c r="H5434" s="484">
        <v>115489524</v>
      </c>
      <c r="I5434" s="422" t="s">
        <v>658</v>
      </c>
      <c r="J5434" s="484"/>
      <c r="K5434" s="548"/>
      <c r="L5434" s="548"/>
      <c r="M5434" s="548"/>
      <c r="N5434" s="552"/>
    </row>
    <row r="5435" spans="1:14">
      <c r="A5435" s="499">
        <v>45671</v>
      </c>
      <c r="B5435" s="499">
        <v>45672</v>
      </c>
      <c r="C5435" s="500" t="s">
        <v>173</v>
      </c>
      <c r="D5435" s="500" t="s">
        <v>763</v>
      </c>
      <c r="E5435" s="501">
        <v>1129857947.4000001</v>
      </c>
      <c r="F5435" s="502" t="s">
        <v>878</v>
      </c>
      <c r="G5435" s="100">
        <v>115489527</v>
      </c>
      <c r="H5435" s="484">
        <v>115489527</v>
      </c>
      <c r="I5435" s="422" t="s">
        <v>604</v>
      </c>
      <c r="J5435" s="484"/>
      <c r="K5435" s="548"/>
      <c r="L5435" s="548"/>
      <c r="M5435" s="548"/>
      <c r="N5435" s="552"/>
    </row>
    <row r="5436" spans="1:14">
      <c r="A5436" s="499">
        <v>45671</v>
      </c>
      <c r="B5436" s="499">
        <v>45672</v>
      </c>
      <c r="C5436" s="500" t="s">
        <v>173</v>
      </c>
      <c r="D5436" s="500" t="s">
        <v>763</v>
      </c>
      <c r="E5436" s="501">
        <v>1054313751.9299999</v>
      </c>
      <c r="F5436" s="502" t="s">
        <v>878</v>
      </c>
      <c r="G5436" s="100">
        <v>115489530</v>
      </c>
      <c r="H5436" s="484">
        <v>115489530</v>
      </c>
      <c r="I5436" s="422" t="s">
        <v>685</v>
      </c>
      <c r="J5436" s="484"/>
      <c r="K5436" s="548"/>
      <c r="L5436" s="548"/>
      <c r="M5436" s="548"/>
      <c r="N5436" s="552"/>
    </row>
    <row r="5437" spans="1:14">
      <c r="A5437" s="499">
        <v>45671</v>
      </c>
      <c r="B5437" s="499">
        <v>45672</v>
      </c>
      <c r="C5437" s="500" t="s">
        <v>173</v>
      </c>
      <c r="D5437" s="500" t="s">
        <v>763</v>
      </c>
      <c r="E5437" s="501">
        <v>22015365.609999999</v>
      </c>
      <c r="F5437" s="502" t="s">
        <v>878</v>
      </c>
      <c r="G5437" s="100">
        <v>115489553</v>
      </c>
      <c r="H5437" s="484">
        <v>115489553</v>
      </c>
      <c r="I5437" s="422" t="s">
        <v>717</v>
      </c>
      <c r="J5437" s="484"/>
      <c r="K5437" s="548"/>
      <c r="L5437" s="548"/>
      <c r="M5437" s="548"/>
      <c r="N5437" s="552"/>
    </row>
    <row r="5438" spans="1:14">
      <c r="A5438" s="499">
        <v>45672</v>
      </c>
      <c r="B5438" s="499">
        <v>45672</v>
      </c>
      <c r="C5438" s="500" t="s">
        <v>173</v>
      </c>
      <c r="D5438" s="500" t="s">
        <v>761</v>
      </c>
      <c r="E5438" s="501">
        <v>-3174006685.02</v>
      </c>
      <c r="F5438" s="502" t="s">
        <v>878</v>
      </c>
      <c r="G5438" s="100">
        <v>115515114</v>
      </c>
      <c r="H5438" s="530"/>
      <c r="I5438" s="422" t="s">
        <v>716</v>
      </c>
      <c r="J5438" s="484"/>
      <c r="K5438" s="548"/>
      <c r="L5438" s="548"/>
      <c r="M5438" s="548"/>
      <c r="N5438" s="552"/>
    </row>
    <row r="5439" spans="1:14">
      <c r="A5439" s="499">
        <v>45672</v>
      </c>
      <c r="B5439" s="499">
        <v>45672</v>
      </c>
      <c r="C5439" s="500" t="s">
        <v>173</v>
      </c>
      <c r="D5439" s="500" t="s">
        <v>761</v>
      </c>
      <c r="E5439" s="501">
        <v>-13002775.24</v>
      </c>
      <c r="F5439" s="502" t="s">
        <v>878</v>
      </c>
      <c r="G5439" s="100">
        <v>115515296</v>
      </c>
      <c r="H5439" s="530"/>
      <c r="I5439" s="422" t="s">
        <v>816</v>
      </c>
      <c r="J5439" s="484"/>
      <c r="K5439" s="548"/>
      <c r="L5439" s="548"/>
      <c r="M5439" s="548"/>
      <c r="N5439" s="552"/>
    </row>
    <row r="5440" spans="1:14">
      <c r="A5440" s="499">
        <v>45672</v>
      </c>
      <c r="B5440" s="499">
        <v>45673</v>
      </c>
      <c r="C5440" s="500" t="s">
        <v>173</v>
      </c>
      <c r="D5440" s="500" t="s">
        <v>761</v>
      </c>
      <c r="E5440" s="501">
        <v>3175293679.5100002</v>
      </c>
      <c r="F5440" s="502" t="s">
        <v>878</v>
      </c>
      <c r="G5440" s="100">
        <v>115515114</v>
      </c>
      <c r="H5440" s="484">
        <v>115515114</v>
      </c>
      <c r="I5440" s="422" t="s">
        <v>716</v>
      </c>
      <c r="J5440" s="484"/>
      <c r="K5440" s="548"/>
      <c r="L5440" s="548"/>
      <c r="M5440" s="548"/>
      <c r="N5440" s="552"/>
    </row>
    <row r="5441" spans="1:14">
      <c r="A5441" s="499">
        <v>45672</v>
      </c>
      <c r="B5441" s="499">
        <v>45673</v>
      </c>
      <c r="C5441" s="500" t="s">
        <v>173</v>
      </c>
      <c r="D5441" s="500" t="s">
        <v>761</v>
      </c>
      <c r="E5441" s="501">
        <v>13008065.41</v>
      </c>
      <c r="F5441" s="502" t="s">
        <v>878</v>
      </c>
      <c r="G5441" s="100">
        <v>115515296</v>
      </c>
      <c r="H5441" s="484">
        <v>115515296</v>
      </c>
      <c r="I5441" s="422" t="s">
        <v>816</v>
      </c>
      <c r="J5441" s="484"/>
      <c r="K5441" s="548"/>
      <c r="L5441" s="548"/>
      <c r="M5441" s="548"/>
      <c r="N5441" s="552"/>
    </row>
    <row r="5442" spans="1:14">
      <c r="A5442" s="499">
        <v>45672</v>
      </c>
      <c r="B5442" s="499">
        <v>45672</v>
      </c>
      <c r="C5442" s="500" t="s">
        <v>173</v>
      </c>
      <c r="D5442" s="500" t="s">
        <v>759</v>
      </c>
      <c r="E5442" s="501">
        <v>-1059660172.13</v>
      </c>
      <c r="F5442" s="502" t="s">
        <v>878</v>
      </c>
      <c r="G5442" s="100">
        <v>115515480</v>
      </c>
      <c r="H5442" s="530"/>
      <c r="I5442" s="422" t="s">
        <v>682</v>
      </c>
      <c r="J5442" s="484"/>
      <c r="K5442" s="548"/>
      <c r="L5442" s="548"/>
      <c r="M5442" s="548"/>
      <c r="N5442" s="552"/>
    </row>
    <row r="5443" spans="1:14">
      <c r="A5443" s="499">
        <v>45672</v>
      </c>
      <c r="B5443" s="499">
        <v>45672</v>
      </c>
      <c r="C5443" s="500" t="s">
        <v>173</v>
      </c>
      <c r="D5443" s="500" t="s">
        <v>759</v>
      </c>
      <c r="E5443" s="501">
        <v>-1819353501</v>
      </c>
      <c r="F5443" s="502" t="s">
        <v>878</v>
      </c>
      <c r="G5443" s="100">
        <v>115515484</v>
      </c>
      <c r="H5443" s="530"/>
      <c r="I5443" s="422" t="s">
        <v>604</v>
      </c>
      <c r="J5443" s="484"/>
      <c r="K5443" s="548"/>
      <c r="L5443" s="548"/>
      <c r="M5443" s="548"/>
      <c r="N5443" s="552"/>
    </row>
    <row r="5444" spans="1:14">
      <c r="A5444" s="499">
        <v>45672</v>
      </c>
      <c r="B5444" s="499">
        <v>45672</v>
      </c>
      <c r="C5444" s="500" t="s">
        <v>173</v>
      </c>
      <c r="D5444" s="500" t="s">
        <v>759</v>
      </c>
      <c r="E5444" s="501">
        <v>-1114813518.55</v>
      </c>
      <c r="F5444" s="502" t="s">
        <v>878</v>
      </c>
      <c r="G5444" s="100">
        <v>115515533</v>
      </c>
      <c r="H5444" s="530"/>
      <c r="I5444" s="422" t="s">
        <v>680</v>
      </c>
      <c r="J5444" s="484"/>
      <c r="K5444" s="548"/>
      <c r="L5444" s="548"/>
      <c r="M5444" s="548"/>
      <c r="N5444" s="552"/>
    </row>
    <row r="5445" spans="1:14">
      <c r="A5445" s="499">
        <v>45672</v>
      </c>
      <c r="B5445" s="499">
        <v>45672</v>
      </c>
      <c r="C5445" s="500" t="s">
        <v>173</v>
      </c>
      <c r="D5445" s="500" t="s">
        <v>759</v>
      </c>
      <c r="E5445" s="501">
        <v>-2007056108.8499999</v>
      </c>
      <c r="F5445" s="502" t="s">
        <v>878</v>
      </c>
      <c r="G5445" s="100">
        <v>115518994</v>
      </c>
      <c r="H5445" s="530"/>
      <c r="I5445" s="422" t="s">
        <v>654</v>
      </c>
      <c r="J5445" s="484"/>
      <c r="K5445" s="548"/>
      <c r="L5445" s="548"/>
      <c r="M5445" s="548"/>
      <c r="N5445" s="552"/>
    </row>
    <row r="5446" spans="1:14">
      <c r="A5446" s="499">
        <v>45672</v>
      </c>
      <c r="B5446" s="499">
        <v>45672</v>
      </c>
      <c r="C5446" s="500" t="s">
        <v>173</v>
      </c>
      <c r="D5446" s="500" t="s">
        <v>759</v>
      </c>
      <c r="E5446" s="501">
        <v>-8004315.5599999996</v>
      </c>
      <c r="F5446" s="502" t="s">
        <v>878</v>
      </c>
      <c r="G5446" s="100">
        <v>115521827</v>
      </c>
      <c r="H5446" s="530"/>
      <c r="I5446" s="422" t="s">
        <v>678</v>
      </c>
      <c r="J5446" s="484"/>
      <c r="K5446" s="548"/>
      <c r="L5446" s="548"/>
      <c r="M5446" s="548"/>
      <c r="N5446" s="552"/>
    </row>
    <row r="5447" spans="1:14">
      <c r="A5447" s="499">
        <v>45672</v>
      </c>
      <c r="B5447" s="499">
        <v>45679</v>
      </c>
      <c r="C5447" s="500" t="s">
        <v>173</v>
      </c>
      <c r="D5447" s="500" t="s">
        <v>759</v>
      </c>
      <c r="E5447" s="501">
        <v>1062708509.61</v>
      </c>
      <c r="F5447" s="502" t="s">
        <v>878</v>
      </c>
      <c r="G5447" s="100">
        <v>115515480</v>
      </c>
      <c r="H5447" s="100">
        <v>115515480</v>
      </c>
      <c r="I5447" s="422" t="s">
        <v>682</v>
      </c>
      <c r="J5447" s="484"/>
      <c r="K5447" s="548"/>
      <c r="L5447" s="548"/>
      <c r="M5447" s="548"/>
      <c r="N5447" s="552"/>
    </row>
    <row r="5448" spans="1:14">
      <c r="A5448" s="499">
        <v>45672</v>
      </c>
      <c r="B5448" s="499">
        <v>45679</v>
      </c>
      <c r="C5448" s="500" t="s">
        <v>173</v>
      </c>
      <c r="D5448" s="500" t="s">
        <v>759</v>
      </c>
      <c r="E5448" s="501">
        <v>1824587257.6500001</v>
      </c>
      <c r="F5448" s="502" t="s">
        <v>878</v>
      </c>
      <c r="G5448" s="100">
        <v>115515484</v>
      </c>
      <c r="H5448" s="100">
        <v>115515484</v>
      </c>
      <c r="I5448" s="422" t="s">
        <v>604</v>
      </c>
      <c r="J5448" s="484"/>
      <c r="K5448" s="548"/>
      <c r="L5448" s="548"/>
      <c r="M5448" s="548"/>
      <c r="N5448" s="552"/>
    </row>
    <row r="5449" spans="1:14">
      <c r="A5449" s="499">
        <v>45672</v>
      </c>
      <c r="B5449" s="499">
        <v>45679</v>
      </c>
      <c r="C5449" s="500" t="s">
        <v>173</v>
      </c>
      <c r="D5449" s="500" t="s">
        <v>759</v>
      </c>
      <c r="E5449" s="501">
        <v>1118020516.3399999</v>
      </c>
      <c r="F5449" s="502" t="s">
        <v>878</v>
      </c>
      <c r="G5449" s="100">
        <v>115515533</v>
      </c>
      <c r="H5449" s="100">
        <v>115515533</v>
      </c>
      <c r="I5449" s="422" t="s">
        <v>680</v>
      </c>
      <c r="J5449" s="484"/>
      <c r="K5449" s="548"/>
      <c r="L5449" s="548"/>
      <c r="M5449" s="548"/>
      <c r="N5449" s="552"/>
    </row>
    <row r="5450" spans="1:14">
      <c r="A5450" s="499">
        <v>45672</v>
      </c>
      <c r="B5450" s="499">
        <v>45673</v>
      </c>
      <c r="C5450" s="500" t="s">
        <v>173</v>
      </c>
      <c r="D5450" s="500" t="s">
        <v>759</v>
      </c>
      <c r="E5450" s="501">
        <v>2007869923.3599999</v>
      </c>
      <c r="F5450" s="502" t="s">
        <v>878</v>
      </c>
      <c r="G5450" s="100">
        <v>115518994</v>
      </c>
      <c r="H5450" s="100">
        <v>115518994</v>
      </c>
      <c r="I5450" s="422" t="s">
        <v>654</v>
      </c>
      <c r="J5450" s="484"/>
      <c r="K5450" s="548"/>
      <c r="L5450" s="548"/>
      <c r="M5450" s="548"/>
      <c r="N5450" s="552"/>
    </row>
    <row r="5451" spans="1:14">
      <c r="A5451" s="499">
        <v>45672</v>
      </c>
      <c r="B5451" s="499">
        <v>45673</v>
      </c>
      <c r="C5451" s="500" t="s">
        <v>173</v>
      </c>
      <c r="D5451" s="500" t="s">
        <v>759</v>
      </c>
      <c r="E5451" s="501">
        <v>8007528.25</v>
      </c>
      <c r="F5451" s="502" t="s">
        <v>878</v>
      </c>
      <c r="G5451" s="100">
        <v>115521827</v>
      </c>
      <c r="H5451" s="100">
        <v>115521827</v>
      </c>
      <c r="I5451" s="422" t="s">
        <v>678</v>
      </c>
      <c r="J5451" s="484"/>
      <c r="K5451" s="548"/>
      <c r="L5451" s="548"/>
      <c r="M5451" s="548"/>
      <c r="N5451" s="552"/>
    </row>
    <row r="5452" spans="1:14">
      <c r="A5452" s="499">
        <v>45672</v>
      </c>
      <c r="B5452" s="499">
        <v>45672</v>
      </c>
      <c r="C5452" s="500" t="s">
        <v>173</v>
      </c>
      <c r="D5452" s="500" t="s">
        <v>760</v>
      </c>
      <c r="E5452" s="501">
        <v>-302140213.47000003</v>
      </c>
      <c r="F5452" s="502" t="s">
        <v>878</v>
      </c>
      <c r="G5452" s="100">
        <v>115513704</v>
      </c>
      <c r="H5452" s="530"/>
      <c r="I5452" s="422" t="s">
        <v>652</v>
      </c>
      <c r="J5452" s="484"/>
      <c r="K5452" s="548"/>
      <c r="L5452" s="548"/>
      <c r="M5452" s="548"/>
      <c r="N5452" s="552"/>
    </row>
    <row r="5453" spans="1:14">
      <c r="A5453" s="499">
        <v>45672</v>
      </c>
      <c r="B5453" s="499">
        <v>45673</v>
      </c>
      <c r="C5453" s="500" t="s">
        <v>173</v>
      </c>
      <c r="D5453" s="500" t="s">
        <v>760</v>
      </c>
      <c r="E5453" s="501">
        <v>302261069.56</v>
      </c>
      <c r="F5453" s="502" t="s">
        <v>878</v>
      </c>
      <c r="G5453" s="100">
        <v>115513704</v>
      </c>
      <c r="H5453" s="100">
        <v>115513704</v>
      </c>
      <c r="I5453" s="422" t="s">
        <v>652</v>
      </c>
      <c r="J5453" s="484"/>
      <c r="K5453" s="548"/>
      <c r="L5453" s="548"/>
      <c r="M5453" s="548"/>
      <c r="N5453" s="552"/>
    </row>
    <row r="5454" spans="1:14">
      <c r="A5454" s="499">
        <v>45672</v>
      </c>
      <c r="B5454" s="499">
        <v>45672</v>
      </c>
      <c r="C5454" s="500" t="s">
        <v>173</v>
      </c>
      <c r="D5454" s="500" t="s">
        <v>764</v>
      </c>
      <c r="E5454" s="501">
        <v>-2000164.42</v>
      </c>
      <c r="F5454" s="502" t="s">
        <v>878</v>
      </c>
      <c r="G5454" s="100">
        <v>115514230</v>
      </c>
      <c r="H5454" s="530"/>
      <c r="I5454" s="422" t="s">
        <v>631</v>
      </c>
      <c r="J5454" s="484"/>
      <c r="K5454" s="548"/>
      <c r="L5454" s="548"/>
      <c r="M5454" s="548"/>
      <c r="N5454" s="552"/>
    </row>
    <row r="5455" spans="1:14">
      <c r="A5455" s="499">
        <v>45672</v>
      </c>
      <c r="B5455" s="499">
        <v>45672</v>
      </c>
      <c r="C5455" s="500" t="s">
        <v>173</v>
      </c>
      <c r="D5455" s="500" t="s">
        <v>764</v>
      </c>
      <c r="E5455" s="501">
        <v>-2047494128.3299999</v>
      </c>
      <c r="F5455" s="502" t="s">
        <v>878</v>
      </c>
      <c r="G5455" s="100">
        <v>115514285</v>
      </c>
      <c r="H5455" s="530"/>
      <c r="I5455" s="422" t="s">
        <v>680</v>
      </c>
      <c r="J5455" s="484"/>
      <c r="K5455" s="548"/>
      <c r="L5455" s="548"/>
      <c r="M5455" s="548"/>
      <c r="N5455" s="552"/>
    </row>
    <row r="5456" spans="1:14">
      <c r="A5456" s="499">
        <v>45672</v>
      </c>
      <c r="B5456" s="499">
        <v>45672</v>
      </c>
      <c r="C5456" s="500" t="s">
        <v>173</v>
      </c>
      <c r="D5456" s="500" t="s">
        <v>764</v>
      </c>
      <c r="E5456" s="501">
        <v>-8005842.1399999997</v>
      </c>
      <c r="F5456" s="502" t="s">
        <v>878</v>
      </c>
      <c r="G5456" s="100">
        <v>115514532</v>
      </c>
      <c r="H5456" s="530"/>
      <c r="I5456" s="422" t="s">
        <v>680</v>
      </c>
      <c r="J5456" s="484"/>
      <c r="K5456" s="548"/>
      <c r="L5456" s="548"/>
      <c r="M5456" s="548"/>
      <c r="N5456" s="552"/>
    </row>
    <row r="5457" spans="1:14">
      <c r="A5457" s="499">
        <v>45672</v>
      </c>
      <c r="B5457" s="499">
        <v>45679</v>
      </c>
      <c r="C5457" s="500" t="s">
        <v>173</v>
      </c>
      <c r="D5457" s="500" t="s">
        <v>764</v>
      </c>
      <c r="E5457" s="501">
        <v>2005914.48</v>
      </c>
      <c r="F5457" s="502" t="s">
        <v>878</v>
      </c>
      <c r="G5457" s="100">
        <v>115514230</v>
      </c>
      <c r="H5457" s="484">
        <v>115514230</v>
      </c>
      <c r="I5457" s="422" t="s">
        <v>631</v>
      </c>
      <c r="J5457" s="484"/>
      <c r="K5457" s="548"/>
      <c r="L5457" s="548"/>
      <c r="M5457" s="548"/>
      <c r="N5457" s="552"/>
    </row>
    <row r="5458" spans="1:14">
      <c r="A5458" s="499">
        <v>45672</v>
      </c>
      <c r="B5458" s="499">
        <v>45679</v>
      </c>
      <c r="C5458" s="500" t="s">
        <v>173</v>
      </c>
      <c r="D5458" s="500" t="s">
        <v>764</v>
      </c>
      <c r="E5458" s="501">
        <v>2053380253.23</v>
      </c>
      <c r="F5458" s="502" t="s">
        <v>878</v>
      </c>
      <c r="G5458" s="100">
        <v>115514285</v>
      </c>
      <c r="H5458" s="484">
        <v>115514285</v>
      </c>
      <c r="I5458" s="422" t="s">
        <v>680</v>
      </c>
      <c r="J5458" s="484"/>
      <c r="K5458" s="548"/>
      <c r="L5458" s="548"/>
      <c r="M5458" s="548"/>
      <c r="N5458" s="552"/>
    </row>
    <row r="5459" spans="1:14">
      <c r="A5459" s="499">
        <v>45672</v>
      </c>
      <c r="B5459" s="499">
        <v>45679</v>
      </c>
      <c r="C5459" s="500" t="s">
        <v>173</v>
      </c>
      <c r="D5459" s="500" t="s">
        <v>764</v>
      </c>
      <c r="E5459" s="501">
        <v>8028857.29</v>
      </c>
      <c r="F5459" s="502" t="s">
        <v>878</v>
      </c>
      <c r="G5459" s="100">
        <v>115514532</v>
      </c>
      <c r="H5459" s="484">
        <v>115514532</v>
      </c>
      <c r="I5459" s="422" t="s">
        <v>680</v>
      </c>
      <c r="J5459" s="484"/>
      <c r="K5459" s="548"/>
      <c r="L5459" s="548"/>
      <c r="M5459" s="548"/>
      <c r="N5459" s="552"/>
    </row>
    <row r="5460" spans="1:14">
      <c r="A5460" s="499">
        <v>45672</v>
      </c>
      <c r="B5460" s="499">
        <v>45672</v>
      </c>
      <c r="C5460" s="500" t="s">
        <v>173</v>
      </c>
      <c r="D5460" s="500" t="s">
        <v>763</v>
      </c>
      <c r="E5460" s="501">
        <v>-5004787680</v>
      </c>
      <c r="F5460" s="502" t="s">
        <v>878</v>
      </c>
      <c r="G5460" s="100">
        <v>115517145</v>
      </c>
      <c r="H5460" s="530"/>
      <c r="I5460" s="422" t="s">
        <v>674</v>
      </c>
      <c r="J5460" s="484"/>
      <c r="K5460" s="548"/>
      <c r="L5460" s="548"/>
      <c r="M5460" s="548"/>
      <c r="N5460" s="552"/>
    </row>
    <row r="5461" spans="1:14">
      <c r="A5461" s="499">
        <v>45672</v>
      </c>
      <c r="B5461" s="499">
        <v>45672</v>
      </c>
      <c r="C5461" s="500" t="s">
        <v>173</v>
      </c>
      <c r="D5461" s="500" t="s">
        <v>763</v>
      </c>
      <c r="E5461" s="501">
        <v>-72040565.379999995</v>
      </c>
      <c r="F5461" s="502" t="s">
        <v>878</v>
      </c>
      <c r="G5461" s="100">
        <v>115517148</v>
      </c>
      <c r="H5461" s="530"/>
      <c r="I5461" s="422" t="s">
        <v>656</v>
      </c>
      <c r="J5461" s="484"/>
      <c r="K5461" s="548"/>
      <c r="L5461" s="548"/>
      <c r="M5461" s="548"/>
      <c r="N5461" s="552"/>
    </row>
    <row r="5462" spans="1:14">
      <c r="A5462" s="499">
        <v>45672</v>
      </c>
      <c r="B5462" s="499">
        <v>45672</v>
      </c>
      <c r="C5462" s="500" t="s">
        <v>173</v>
      </c>
      <c r="D5462" s="500" t="s">
        <v>763</v>
      </c>
      <c r="E5462" s="501">
        <v>-574177101.96000004</v>
      </c>
      <c r="F5462" s="502" t="s">
        <v>878</v>
      </c>
      <c r="G5462" s="100">
        <v>115517151</v>
      </c>
      <c r="H5462" s="530"/>
      <c r="I5462" s="422" t="s">
        <v>821</v>
      </c>
      <c r="J5462" s="484"/>
      <c r="K5462" s="548"/>
      <c r="L5462" s="548"/>
      <c r="M5462" s="548"/>
      <c r="N5462" s="552"/>
    </row>
    <row r="5463" spans="1:14">
      <c r="A5463" s="499">
        <v>45672</v>
      </c>
      <c r="B5463" s="499">
        <v>45672</v>
      </c>
      <c r="C5463" s="500" t="s">
        <v>173</v>
      </c>
      <c r="D5463" s="500" t="s">
        <v>763</v>
      </c>
      <c r="E5463" s="501">
        <v>-20014696.800000001</v>
      </c>
      <c r="F5463" s="502" t="s">
        <v>878</v>
      </c>
      <c r="G5463" s="100">
        <v>115517189</v>
      </c>
      <c r="H5463" s="530"/>
      <c r="I5463" s="422" t="s">
        <v>711</v>
      </c>
      <c r="J5463" s="484"/>
      <c r="K5463" s="548"/>
      <c r="L5463" s="548"/>
      <c r="M5463" s="548"/>
      <c r="N5463" s="552"/>
    </row>
    <row r="5464" spans="1:14">
      <c r="A5464" s="499">
        <v>45672</v>
      </c>
      <c r="B5464" s="499">
        <v>45673</v>
      </c>
      <c r="C5464" s="500" t="s">
        <v>173</v>
      </c>
      <c r="D5464" s="500" t="s">
        <v>763</v>
      </c>
      <c r="E5464" s="501">
        <v>5006807420.3400002</v>
      </c>
      <c r="F5464" s="502" t="s">
        <v>878</v>
      </c>
      <c r="G5464" s="100">
        <v>115517145</v>
      </c>
      <c r="H5464" s="484">
        <v>115517145</v>
      </c>
      <c r="I5464" s="422" t="s">
        <v>674</v>
      </c>
      <c r="J5464" s="484"/>
      <c r="K5464" s="548"/>
      <c r="L5464" s="548"/>
      <c r="M5464" s="548"/>
      <c r="N5464" s="552"/>
    </row>
    <row r="5465" spans="1:14">
      <c r="A5465" s="499">
        <v>45672</v>
      </c>
      <c r="B5465" s="499">
        <v>45673</v>
      </c>
      <c r="C5465" s="500" t="s">
        <v>173</v>
      </c>
      <c r="D5465" s="500" t="s">
        <v>763</v>
      </c>
      <c r="E5465" s="501">
        <v>72069579.170000002</v>
      </c>
      <c r="F5465" s="502" t="s">
        <v>878</v>
      </c>
      <c r="G5465" s="100">
        <v>115517148</v>
      </c>
      <c r="H5465" s="484">
        <v>115517148</v>
      </c>
      <c r="I5465" s="422" t="s">
        <v>656</v>
      </c>
      <c r="J5465" s="484"/>
      <c r="K5465" s="548"/>
      <c r="L5465" s="548"/>
      <c r="M5465" s="548"/>
      <c r="N5465" s="552"/>
    </row>
    <row r="5466" spans="1:14">
      <c r="A5466" s="499">
        <v>45672</v>
      </c>
      <c r="B5466" s="499">
        <v>45673</v>
      </c>
      <c r="C5466" s="500" t="s">
        <v>173</v>
      </c>
      <c r="D5466" s="500" t="s">
        <v>763</v>
      </c>
      <c r="E5466" s="501">
        <v>574408347.46000004</v>
      </c>
      <c r="F5466" s="502" t="s">
        <v>878</v>
      </c>
      <c r="G5466" s="100">
        <v>115517151</v>
      </c>
      <c r="H5466" s="484">
        <v>115517151</v>
      </c>
      <c r="I5466" s="422" t="s">
        <v>821</v>
      </c>
      <c r="J5466" s="484"/>
      <c r="K5466" s="548"/>
      <c r="L5466" s="548"/>
      <c r="M5466" s="548"/>
      <c r="N5466" s="552"/>
    </row>
    <row r="5467" spans="1:14">
      <c r="A5467" s="499">
        <v>45672</v>
      </c>
      <c r="B5467" s="499">
        <v>45673</v>
      </c>
      <c r="C5467" s="500" t="s">
        <v>173</v>
      </c>
      <c r="D5467" s="500" t="s">
        <v>763</v>
      </c>
      <c r="E5467" s="501">
        <v>20022768.48</v>
      </c>
      <c r="F5467" s="502" t="s">
        <v>878</v>
      </c>
      <c r="G5467" s="100">
        <v>115517189</v>
      </c>
      <c r="H5467" s="484">
        <v>115517189</v>
      </c>
      <c r="I5467" s="422" t="s">
        <v>711</v>
      </c>
      <c r="J5467" s="484"/>
      <c r="K5467" s="548"/>
      <c r="L5467" s="548"/>
      <c r="M5467" s="548"/>
      <c r="N5467" s="552"/>
    </row>
    <row r="5468" spans="1:14">
      <c r="A5468" s="499">
        <v>45673</v>
      </c>
      <c r="B5468" s="499">
        <v>45673</v>
      </c>
      <c r="C5468" s="500" t="s">
        <v>173</v>
      </c>
      <c r="D5468" s="500" t="s">
        <v>761</v>
      </c>
      <c r="E5468" s="501">
        <v>-268171855</v>
      </c>
      <c r="F5468" s="502" t="s">
        <v>878</v>
      </c>
      <c r="G5468" s="100">
        <v>115541276</v>
      </c>
      <c r="H5468" s="530"/>
      <c r="I5468" s="422" t="s">
        <v>696</v>
      </c>
      <c r="J5468" s="484"/>
      <c r="K5468" s="548"/>
      <c r="L5468" s="548"/>
      <c r="M5468" s="548"/>
      <c r="N5468" s="552"/>
    </row>
    <row r="5469" spans="1:14">
      <c r="A5469" s="499">
        <v>45673</v>
      </c>
      <c r="B5469" s="499">
        <v>45673</v>
      </c>
      <c r="C5469" s="500" t="s">
        <v>173</v>
      </c>
      <c r="D5469" s="500" t="s">
        <v>761</v>
      </c>
      <c r="E5469" s="501">
        <v>-1298270971.78</v>
      </c>
      <c r="F5469" s="502" t="s">
        <v>878</v>
      </c>
      <c r="G5469" s="100">
        <v>115541375</v>
      </c>
      <c r="H5469" s="530"/>
      <c r="I5469" s="422" t="s">
        <v>525</v>
      </c>
      <c r="J5469" s="484"/>
      <c r="K5469" s="548"/>
      <c r="L5469" s="548"/>
      <c r="M5469" s="548"/>
      <c r="N5469" s="552"/>
    </row>
    <row r="5470" spans="1:14">
      <c r="A5470" s="499">
        <v>45673</v>
      </c>
      <c r="B5470" s="499">
        <v>45673</v>
      </c>
      <c r="C5470" s="500" t="s">
        <v>173</v>
      </c>
      <c r="D5470" s="500" t="s">
        <v>761</v>
      </c>
      <c r="E5470" s="501">
        <v>-906156542.29999995</v>
      </c>
      <c r="F5470" s="502" t="s">
        <v>878</v>
      </c>
      <c r="G5470" s="100">
        <v>115541402</v>
      </c>
      <c r="H5470" s="530"/>
      <c r="I5470" s="422" t="s">
        <v>678</v>
      </c>
      <c r="J5470" s="484"/>
      <c r="K5470" s="548"/>
      <c r="L5470" s="548"/>
      <c r="M5470" s="548"/>
      <c r="N5470" s="552"/>
    </row>
    <row r="5471" spans="1:14">
      <c r="A5471" s="499">
        <v>45673</v>
      </c>
      <c r="B5471" s="499">
        <v>45673</v>
      </c>
      <c r="C5471" s="500" t="s">
        <v>173</v>
      </c>
      <c r="D5471" s="500" t="s">
        <v>761</v>
      </c>
      <c r="E5471" s="501">
        <v>-8000001.3600000003</v>
      </c>
      <c r="F5471" s="502" t="s">
        <v>878</v>
      </c>
      <c r="G5471" s="100">
        <v>115541512</v>
      </c>
      <c r="H5471" s="530"/>
      <c r="I5471" s="422" t="s">
        <v>811</v>
      </c>
      <c r="J5471" s="484"/>
      <c r="K5471" s="548"/>
      <c r="L5471" s="548"/>
      <c r="M5471" s="548"/>
      <c r="N5471" s="552"/>
    </row>
    <row r="5472" spans="1:14">
      <c r="A5472" s="499">
        <v>45673</v>
      </c>
      <c r="B5472" s="499">
        <v>45674</v>
      </c>
      <c r="C5472" s="500" t="s">
        <v>173</v>
      </c>
      <c r="D5472" s="500" t="s">
        <v>761</v>
      </c>
      <c r="E5472" s="501">
        <v>268280960.53999999</v>
      </c>
      <c r="F5472" s="502" t="s">
        <v>878</v>
      </c>
      <c r="G5472" s="100">
        <v>115541276</v>
      </c>
      <c r="H5472" s="484">
        <v>115541276</v>
      </c>
      <c r="I5472" s="422" t="s">
        <v>696</v>
      </c>
      <c r="J5472" s="484"/>
      <c r="K5472" s="548"/>
      <c r="L5472" s="548"/>
      <c r="M5472" s="548"/>
      <c r="N5472" s="552"/>
    </row>
    <row r="5473" spans="1:25">
      <c r="A5473" s="499">
        <v>45673</v>
      </c>
      <c r="B5473" s="499">
        <v>45674</v>
      </c>
      <c r="C5473" s="500" t="s">
        <v>173</v>
      </c>
      <c r="D5473" s="500" t="s">
        <v>761</v>
      </c>
      <c r="E5473" s="501">
        <v>1298799172.4400001</v>
      </c>
      <c r="F5473" s="502" t="s">
        <v>878</v>
      </c>
      <c r="G5473" s="100">
        <v>115541375</v>
      </c>
      <c r="H5473" s="484">
        <v>115541375</v>
      </c>
      <c r="I5473" s="422" t="s">
        <v>525</v>
      </c>
      <c r="J5473" s="484"/>
      <c r="K5473" s="548"/>
      <c r="L5473" s="548"/>
      <c r="M5473" s="548"/>
      <c r="N5473" s="552"/>
    </row>
    <row r="5474" spans="1:25">
      <c r="A5474" s="499">
        <v>45673</v>
      </c>
      <c r="B5474" s="499">
        <v>45674</v>
      </c>
      <c r="C5474" s="500" t="s">
        <v>173</v>
      </c>
      <c r="D5474" s="500" t="s">
        <v>761</v>
      </c>
      <c r="E5474" s="501">
        <v>906525211.47000003</v>
      </c>
      <c r="F5474" s="502" t="s">
        <v>878</v>
      </c>
      <c r="G5474" s="100">
        <v>115541402</v>
      </c>
      <c r="H5474" s="484">
        <v>115541402</v>
      </c>
      <c r="I5474" s="422" t="s">
        <v>678</v>
      </c>
      <c r="J5474" s="484"/>
      <c r="K5474" s="548"/>
      <c r="L5474" s="548"/>
      <c r="M5474" s="548"/>
      <c r="N5474" s="552"/>
    </row>
    <row r="5475" spans="1:25">
      <c r="A5475" s="499">
        <v>45673</v>
      </c>
      <c r="B5475" s="499">
        <v>45674</v>
      </c>
      <c r="C5475" s="500" t="s">
        <v>173</v>
      </c>
      <c r="D5475" s="500" t="s">
        <v>761</v>
      </c>
      <c r="E5475" s="501">
        <v>8003245.2000000002</v>
      </c>
      <c r="F5475" s="502" t="s">
        <v>878</v>
      </c>
      <c r="G5475" s="100">
        <v>115541512</v>
      </c>
      <c r="H5475" s="484">
        <v>115541512</v>
      </c>
      <c r="I5475" s="422" t="s">
        <v>811</v>
      </c>
      <c r="J5475" s="484"/>
      <c r="K5475" s="548"/>
      <c r="L5475" s="548"/>
      <c r="M5475" s="548"/>
      <c r="N5475" s="552"/>
    </row>
    <row r="5476" spans="1:25" ht="15">
      <c r="A5476" s="499">
        <v>45671</v>
      </c>
      <c r="B5476" s="499">
        <v>45673</v>
      </c>
      <c r="C5476" s="500" t="s">
        <v>173</v>
      </c>
      <c r="D5476" s="500" t="s">
        <v>761</v>
      </c>
      <c r="E5476" s="501">
        <v>-227969916.66999999</v>
      </c>
      <c r="F5476" s="502" t="s">
        <v>906</v>
      </c>
      <c r="G5476" s="100" t="s">
        <v>446</v>
      </c>
      <c r="H5476" s="530"/>
      <c r="I5476" s="422" t="s">
        <v>689</v>
      </c>
      <c r="J5476" s="484"/>
      <c r="K5476" s="548">
        <v>115500692</v>
      </c>
      <c r="L5476" s="549">
        <v>86.158799999999999</v>
      </c>
      <c r="M5476" s="549">
        <f>E5476*(-1)/(N5476*O5476)*100</f>
        <v>91.187966668000001</v>
      </c>
      <c r="N5476" s="549">
        <v>250000</v>
      </c>
      <c r="O5476" s="539">
        <f>VLOOKUP(G5476,Справочник!A:J,10,0)</f>
        <v>1000</v>
      </c>
      <c r="T5476" s="554">
        <v>13.67</v>
      </c>
      <c r="U5476" s="538">
        <v>0</v>
      </c>
      <c r="V5476" s="538">
        <v>22796.99</v>
      </c>
      <c r="W5476" s="550">
        <f>VLOOKUP(G5476,Справочник!A:C,3,0)</f>
        <v>0.1065</v>
      </c>
      <c r="X5476" s="539" t="str">
        <f>VLOOKUP(G5476,Справочник!A:G,7,0)</f>
        <v>Министерство финансов Республики Казахстан</v>
      </c>
      <c r="Y5476" s="551">
        <f>VLOOKUP(G5476,Справочник!A:B,2,0)</f>
        <v>48421</v>
      </c>
    </row>
    <row r="5477" spans="1:25" ht="15">
      <c r="A5477" s="499">
        <v>45671</v>
      </c>
      <c r="B5477" s="499">
        <v>45673</v>
      </c>
      <c r="C5477" s="500" t="s">
        <v>173</v>
      </c>
      <c r="D5477" s="500" t="s">
        <v>761</v>
      </c>
      <c r="E5477" s="501">
        <v>-278170150</v>
      </c>
      <c r="F5477" s="502" t="s">
        <v>906</v>
      </c>
      <c r="G5477" s="100" t="s">
        <v>390</v>
      </c>
      <c r="H5477" s="530"/>
      <c r="I5477" s="422" t="s">
        <v>675</v>
      </c>
      <c r="J5477" s="484"/>
      <c r="K5477" s="548">
        <v>115500762</v>
      </c>
      <c r="L5477" s="549">
        <v>90.425799999999995</v>
      </c>
      <c r="M5477" s="549">
        <f>E5477*(-1)/(N5477*O5477)*100</f>
        <v>92.723383333333331</v>
      </c>
      <c r="N5477" s="549">
        <v>300000</v>
      </c>
      <c r="O5477" s="539">
        <f>VLOOKUP(G5477,Справочник!A:J,10,0)</f>
        <v>1000</v>
      </c>
      <c r="T5477" s="554">
        <v>13.85</v>
      </c>
      <c r="U5477" s="538">
        <v>0</v>
      </c>
      <c r="V5477" s="538">
        <v>27817.02</v>
      </c>
      <c r="W5477" s="550">
        <f>VLOOKUP(G5477,Справочник!A:C,3,0)</f>
        <v>0.1047</v>
      </c>
      <c r="X5477" s="539" t="str">
        <f>VLOOKUP(G5477,Справочник!A:G,7,0)</f>
        <v>Министерство финансов Республики Казахстан</v>
      </c>
      <c r="Y5477" s="551">
        <f>VLOOKUP(G5477,Справочник!A:B,2,0)</f>
        <v>47053</v>
      </c>
    </row>
    <row r="5478" spans="1:25" ht="15">
      <c r="A5478" s="499">
        <v>45671</v>
      </c>
      <c r="B5478" s="499">
        <v>45673</v>
      </c>
      <c r="C5478" s="500" t="s">
        <v>173</v>
      </c>
      <c r="D5478" s="500" t="s">
        <v>761</v>
      </c>
      <c r="E5478" s="501">
        <v>-199999698.19</v>
      </c>
      <c r="F5478" s="502" t="s">
        <v>906</v>
      </c>
      <c r="G5478" s="100" t="s">
        <v>390</v>
      </c>
      <c r="H5478" s="530"/>
      <c r="I5478" s="422" t="s">
        <v>675</v>
      </c>
      <c r="J5478" s="484"/>
      <c r="K5478" s="548">
        <v>115500764</v>
      </c>
      <c r="L5478" s="549">
        <v>90.843800000000002</v>
      </c>
      <c r="M5478" s="549">
        <f>E5478*(-1)/(N5478*O5478)*100</f>
        <v>93.141383333255718</v>
      </c>
      <c r="N5478" s="549">
        <v>214727</v>
      </c>
      <c r="O5478" s="539">
        <f>VLOOKUP(G5478,Справочник!A:J,10,0)</f>
        <v>1000</v>
      </c>
      <c r="T5478" s="554">
        <v>13.69</v>
      </c>
      <c r="U5478" s="538">
        <v>0</v>
      </c>
      <c r="V5478" s="538">
        <v>19999.97</v>
      </c>
      <c r="W5478" s="550">
        <f>VLOOKUP(G5478,Справочник!A:C,3,0)</f>
        <v>0.1047</v>
      </c>
      <c r="X5478" s="539" t="str">
        <f>VLOOKUP(G5478,Справочник!A:G,7,0)</f>
        <v>Министерство финансов Республики Казахстан</v>
      </c>
      <c r="Y5478" s="551">
        <f>VLOOKUP(G5478,Справочник!A:B,2,0)</f>
        <v>47053</v>
      </c>
    </row>
    <row r="5479" spans="1:25">
      <c r="A5479" s="499">
        <v>45673</v>
      </c>
      <c r="B5479" s="499">
        <v>45673</v>
      </c>
      <c r="C5479" s="500" t="s">
        <v>173</v>
      </c>
      <c r="D5479" s="500" t="s">
        <v>759</v>
      </c>
      <c r="E5479" s="501">
        <v>-1521111687.03</v>
      </c>
      <c r="F5479" s="502" t="s">
        <v>878</v>
      </c>
      <c r="G5479" s="100">
        <v>115543400</v>
      </c>
      <c r="H5479" s="530"/>
      <c r="I5479" s="422" t="s">
        <v>604</v>
      </c>
      <c r="J5479" s="484"/>
      <c r="K5479" s="548"/>
      <c r="L5479" s="548"/>
      <c r="M5479" s="548"/>
      <c r="N5479" s="552"/>
    </row>
    <row r="5480" spans="1:25">
      <c r="A5480" s="499">
        <v>45673</v>
      </c>
      <c r="B5480" s="499">
        <v>45673</v>
      </c>
      <c r="C5480" s="500" t="s">
        <v>173</v>
      </c>
      <c r="D5480" s="500" t="s">
        <v>759</v>
      </c>
      <c r="E5480" s="501">
        <v>-424047601.25</v>
      </c>
      <c r="F5480" s="502" t="s">
        <v>878</v>
      </c>
      <c r="G5480" s="100">
        <v>115543956</v>
      </c>
      <c r="H5480" s="530"/>
      <c r="I5480" s="422" t="s">
        <v>550</v>
      </c>
      <c r="J5480" s="484"/>
      <c r="K5480" s="548"/>
      <c r="L5480" s="548"/>
      <c r="M5480" s="548"/>
      <c r="N5480" s="552"/>
    </row>
    <row r="5481" spans="1:25">
      <c r="A5481" s="499">
        <v>45673</v>
      </c>
      <c r="B5481" s="499">
        <v>45673</v>
      </c>
      <c r="C5481" s="500" t="s">
        <v>173</v>
      </c>
      <c r="D5481" s="500" t="s">
        <v>759</v>
      </c>
      <c r="E5481" s="501">
        <v>-70031342.090000004</v>
      </c>
      <c r="F5481" s="502" t="s">
        <v>878</v>
      </c>
      <c r="G5481" s="100">
        <v>115552013</v>
      </c>
      <c r="H5481" s="530"/>
      <c r="I5481" s="422" t="s">
        <v>1013</v>
      </c>
      <c r="J5481" s="484"/>
      <c r="K5481" s="548"/>
      <c r="L5481" s="548"/>
      <c r="M5481" s="548"/>
      <c r="N5481" s="552"/>
    </row>
    <row r="5482" spans="1:25">
      <c r="A5482" s="499">
        <v>45673</v>
      </c>
      <c r="B5482" s="499">
        <v>45674</v>
      </c>
      <c r="C5482" s="500" t="s">
        <v>173</v>
      </c>
      <c r="D5482" s="500" t="s">
        <v>759</v>
      </c>
      <c r="E5482" s="501">
        <v>1521732629.8299999</v>
      </c>
      <c r="F5482" s="502" t="s">
        <v>878</v>
      </c>
      <c r="G5482" s="100">
        <v>115543400</v>
      </c>
      <c r="H5482" s="484">
        <v>115543400</v>
      </c>
      <c r="I5482" s="422" t="s">
        <v>604</v>
      </c>
      <c r="J5482" s="484"/>
      <c r="K5482" s="548"/>
      <c r="L5482" s="548"/>
      <c r="M5482" s="548"/>
      <c r="N5482" s="552"/>
    </row>
    <row r="5483" spans="1:25">
      <c r="A5483" s="499">
        <v>45673</v>
      </c>
      <c r="B5483" s="499">
        <v>45674</v>
      </c>
      <c r="C5483" s="500" t="s">
        <v>173</v>
      </c>
      <c r="D5483" s="500" t="s">
        <v>759</v>
      </c>
      <c r="E5483" s="501">
        <v>424220704.44999999</v>
      </c>
      <c r="F5483" s="502" t="s">
        <v>878</v>
      </c>
      <c r="G5483" s="100">
        <v>115543956</v>
      </c>
      <c r="H5483" s="484">
        <v>115543956</v>
      </c>
      <c r="I5483" s="422" t="s">
        <v>550</v>
      </c>
      <c r="J5483" s="484"/>
      <c r="K5483" s="548"/>
      <c r="L5483" s="548"/>
      <c r="M5483" s="548"/>
      <c r="N5483" s="552"/>
    </row>
    <row r="5484" spans="1:25">
      <c r="A5484" s="499">
        <v>45673</v>
      </c>
      <c r="B5484" s="499">
        <v>45674</v>
      </c>
      <c r="C5484" s="500" t="s">
        <v>173</v>
      </c>
      <c r="D5484" s="500" t="s">
        <v>759</v>
      </c>
      <c r="E5484" s="501">
        <v>70059738.359999999</v>
      </c>
      <c r="F5484" s="502" t="s">
        <v>878</v>
      </c>
      <c r="G5484" s="100">
        <v>115552013</v>
      </c>
      <c r="H5484" s="484">
        <v>115552013</v>
      </c>
      <c r="I5484" s="422" t="s">
        <v>1013</v>
      </c>
      <c r="J5484" s="484"/>
      <c r="K5484" s="548"/>
      <c r="L5484" s="548"/>
      <c r="M5484" s="548"/>
      <c r="N5484" s="552"/>
    </row>
    <row r="5485" spans="1:25">
      <c r="A5485" s="499">
        <v>45673</v>
      </c>
      <c r="B5485" s="499">
        <v>45673</v>
      </c>
      <c r="C5485" s="500" t="s">
        <v>173</v>
      </c>
      <c r="D5485" s="500" t="s">
        <v>760</v>
      </c>
      <c r="E5485" s="501">
        <v>-300091280.39999998</v>
      </c>
      <c r="F5485" s="502" t="s">
        <v>878</v>
      </c>
      <c r="G5485" s="100">
        <v>115541445</v>
      </c>
      <c r="H5485" s="530"/>
      <c r="I5485" s="422" t="s">
        <v>673</v>
      </c>
      <c r="J5485" s="484"/>
      <c r="K5485" s="548"/>
      <c r="L5485" s="548"/>
      <c r="M5485" s="548"/>
      <c r="N5485" s="552"/>
    </row>
    <row r="5486" spans="1:25">
      <c r="A5486" s="499">
        <v>45673</v>
      </c>
      <c r="B5486" s="499">
        <v>45674</v>
      </c>
      <c r="C5486" s="500" t="s">
        <v>173</v>
      </c>
      <c r="D5486" s="500" t="s">
        <v>760</v>
      </c>
      <c r="E5486" s="501">
        <v>300213782.58999997</v>
      </c>
      <c r="F5486" s="502" t="s">
        <v>878</v>
      </c>
      <c r="G5486" s="100">
        <v>115541445</v>
      </c>
      <c r="H5486" s="100">
        <v>115541445</v>
      </c>
      <c r="I5486" s="422" t="s">
        <v>673</v>
      </c>
      <c r="J5486" s="484"/>
      <c r="K5486" s="548"/>
      <c r="L5486" s="548"/>
      <c r="M5486" s="548"/>
      <c r="N5486" s="552"/>
    </row>
    <row r="5487" spans="1:25">
      <c r="A5487" s="499">
        <v>45673</v>
      </c>
      <c r="B5487" s="499">
        <v>45673</v>
      </c>
      <c r="C5487" s="500" t="s">
        <v>173</v>
      </c>
      <c r="D5487" s="500" t="s">
        <v>763</v>
      </c>
      <c r="E5487" s="501">
        <v>-1943918495.97</v>
      </c>
      <c r="F5487" s="502" t="s">
        <v>878</v>
      </c>
      <c r="G5487" s="100">
        <v>115540225</v>
      </c>
      <c r="H5487" s="530"/>
      <c r="I5487" s="422" t="s">
        <v>652</v>
      </c>
      <c r="J5487" s="484"/>
      <c r="K5487" s="548"/>
      <c r="L5487" s="548"/>
      <c r="M5487" s="548"/>
      <c r="N5487" s="552"/>
    </row>
    <row r="5488" spans="1:25">
      <c r="A5488" s="499">
        <v>45673</v>
      </c>
      <c r="B5488" s="499">
        <v>45673</v>
      </c>
      <c r="C5488" s="500" t="s">
        <v>173</v>
      </c>
      <c r="D5488" s="500" t="s">
        <v>763</v>
      </c>
      <c r="E5488" s="501">
        <v>-3708550543.3200002</v>
      </c>
      <c r="F5488" s="502" t="s">
        <v>878</v>
      </c>
      <c r="G5488" s="100">
        <v>115540228</v>
      </c>
      <c r="H5488" s="530"/>
      <c r="I5488" s="422" t="s">
        <v>716</v>
      </c>
      <c r="J5488" s="484"/>
      <c r="K5488" s="548"/>
      <c r="L5488" s="548"/>
      <c r="M5488" s="548"/>
      <c r="N5488" s="552"/>
    </row>
    <row r="5489" spans="1:14">
      <c r="A5489" s="499">
        <v>45673</v>
      </c>
      <c r="B5489" s="499">
        <v>45673</v>
      </c>
      <c r="C5489" s="500" t="s">
        <v>173</v>
      </c>
      <c r="D5489" s="500" t="s">
        <v>763</v>
      </c>
      <c r="E5489" s="501">
        <v>-21006041.550000001</v>
      </c>
      <c r="F5489" s="502" t="s">
        <v>878</v>
      </c>
      <c r="G5489" s="100">
        <v>115540266</v>
      </c>
      <c r="H5489" s="530"/>
      <c r="I5489" s="422" t="s">
        <v>674</v>
      </c>
      <c r="J5489" s="484"/>
      <c r="K5489" s="548"/>
      <c r="L5489" s="548"/>
      <c r="M5489" s="548"/>
      <c r="N5489" s="552"/>
    </row>
    <row r="5490" spans="1:14">
      <c r="A5490" s="499">
        <v>45673</v>
      </c>
      <c r="B5490" s="499">
        <v>45674</v>
      </c>
      <c r="C5490" s="500" t="s">
        <v>173</v>
      </c>
      <c r="D5490" s="500" t="s">
        <v>763</v>
      </c>
      <c r="E5490" s="501">
        <v>1944701389.1700001</v>
      </c>
      <c r="F5490" s="502" t="s">
        <v>878</v>
      </c>
      <c r="G5490" s="100">
        <v>115540225</v>
      </c>
      <c r="H5490" s="484">
        <v>115540225</v>
      </c>
      <c r="I5490" s="422" t="s">
        <v>652</v>
      </c>
      <c r="J5490" s="484"/>
      <c r="K5490" s="548"/>
      <c r="L5490" s="548"/>
      <c r="M5490" s="548"/>
      <c r="N5490" s="552"/>
    </row>
    <row r="5491" spans="1:14">
      <c r="A5491" s="499">
        <v>45673</v>
      </c>
      <c r="B5491" s="499">
        <v>45674</v>
      </c>
      <c r="C5491" s="500" t="s">
        <v>173</v>
      </c>
      <c r="D5491" s="500" t="s">
        <v>763</v>
      </c>
      <c r="E5491" s="501">
        <v>3710044123.9499998</v>
      </c>
      <c r="F5491" s="502" t="s">
        <v>878</v>
      </c>
      <c r="G5491" s="100">
        <v>115540228</v>
      </c>
      <c r="H5491" s="484">
        <v>115540228</v>
      </c>
      <c r="I5491" s="422" t="s">
        <v>716</v>
      </c>
      <c r="J5491" s="484"/>
      <c r="K5491" s="548"/>
      <c r="L5491" s="548"/>
      <c r="M5491" s="548"/>
      <c r="N5491" s="552"/>
    </row>
    <row r="5492" spans="1:14">
      <c r="A5492" s="499">
        <v>45673</v>
      </c>
      <c r="B5492" s="499">
        <v>45674</v>
      </c>
      <c r="C5492" s="500" t="s">
        <v>173</v>
      </c>
      <c r="D5492" s="500" t="s">
        <v>763</v>
      </c>
      <c r="E5492" s="501">
        <v>21014501.52</v>
      </c>
      <c r="F5492" s="502" t="s">
        <v>878</v>
      </c>
      <c r="G5492" s="100">
        <v>115540266</v>
      </c>
      <c r="H5492" s="484">
        <v>115540266</v>
      </c>
      <c r="I5492" s="422" t="s">
        <v>674</v>
      </c>
      <c r="J5492" s="484"/>
      <c r="K5492" s="548"/>
      <c r="L5492" s="548"/>
      <c r="M5492" s="548"/>
      <c r="N5492" s="552"/>
    </row>
    <row r="5493" spans="1:14">
      <c r="A5493" s="499">
        <v>45674</v>
      </c>
      <c r="B5493" s="499">
        <v>45674</v>
      </c>
      <c r="C5493" s="500" t="s">
        <v>173</v>
      </c>
      <c r="D5493" s="500" t="s">
        <v>761</v>
      </c>
      <c r="E5493" s="501">
        <v>-2473926652.0799999</v>
      </c>
      <c r="F5493" s="502" t="s">
        <v>878</v>
      </c>
      <c r="G5493" s="100">
        <v>115566420</v>
      </c>
      <c r="H5493" s="530"/>
      <c r="I5493" s="422" t="s">
        <v>829</v>
      </c>
      <c r="J5493" s="484"/>
      <c r="K5493" s="548"/>
      <c r="L5493" s="548"/>
      <c r="M5493" s="548"/>
      <c r="N5493" s="552"/>
    </row>
    <row r="5494" spans="1:14">
      <c r="A5494" s="499">
        <v>45674</v>
      </c>
      <c r="B5494" s="499">
        <v>45674</v>
      </c>
      <c r="C5494" s="500" t="s">
        <v>173</v>
      </c>
      <c r="D5494" s="500" t="s">
        <v>761</v>
      </c>
      <c r="E5494" s="501">
        <v>-9003286.4800000004</v>
      </c>
      <c r="F5494" s="502" t="s">
        <v>878</v>
      </c>
      <c r="G5494" s="100">
        <v>115568015</v>
      </c>
      <c r="H5494" s="530"/>
      <c r="I5494" s="422" t="s">
        <v>1013</v>
      </c>
      <c r="J5494" s="484"/>
      <c r="K5494" s="548"/>
      <c r="L5494" s="548"/>
      <c r="M5494" s="548"/>
      <c r="N5494" s="552"/>
    </row>
    <row r="5495" spans="1:14">
      <c r="A5495" s="499">
        <v>45674</v>
      </c>
      <c r="B5495" s="499">
        <v>45677</v>
      </c>
      <c r="C5495" s="500" t="s">
        <v>173</v>
      </c>
      <c r="D5495" s="500" t="s">
        <v>761</v>
      </c>
      <c r="E5495" s="501">
        <v>2476976698.6399999</v>
      </c>
      <c r="F5495" s="502" t="s">
        <v>878</v>
      </c>
      <c r="G5495" s="100">
        <v>115566420</v>
      </c>
      <c r="H5495" s="484">
        <v>115566420</v>
      </c>
      <c r="I5495" s="422" t="s">
        <v>829</v>
      </c>
      <c r="J5495" s="484"/>
      <c r="K5495" s="548"/>
      <c r="L5495" s="548"/>
      <c r="M5495" s="548"/>
      <c r="N5495" s="552"/>
    </row>
    <row r="5496" spans="1:14">
      <c r="A5496" s="499">
        <v>45674</v>
      </c>
      <c r="B5496" s="499">
        <v>45677</v>
      </c>
      <c r="C5496" s="500" t="s">
        <v>173</v>
      </c>
      <c r="D5496" s="500" t="s">
        <v>761</v>
      </c>
      <c r="E5496" s="501">
        <v>9014386.4199999999</v>
      </c>
      <c r="F5496" s="502" t="s">
        <v>878</v>
      </c>
      <c r="G5496" s="100">
        <v>115568015</v>
      </c>
      <c r="H5496" s="484">
        <v>115568015</v>
      </c>
      <c r="I5496" s="422" t="s">
        <v>1013</v>
      </c>
      <c r="J5496" s="484"/>
      <c r="K5496" s="548"/>
      <c r="L5496" s="548"/>
      <c r="M5496" s="548"/>
      <c r="N5496" s="552"/>
    </row>
    <row r="5497" spans="1:14">
      <c r="A5497" s="499">
        <v>45674</v>
      </c>
      <c r="B5497" s="499">
        <v>45674</v>
      </c>
      <c r="C5497" s="500" t="s">
        <v>173</v>
      </c>
      <c r="D5497" s="500" t="s">
        <v>759</v>
      </c>
      <c r="E5497" s="501">
        <v>-2007732884.95</v>
      </c>
      <c r="F5497" s="502" t="s">
        <v>878</v>
      </c>
      <c r="G5497" s="100">
        <v>115568018</v>
      </c>
      <c r="H5497" s="530"/>
      <c r="I5497" s="422" t="s">
        <v>1013</v>
      </c>
      <c r="J5497" s="484"/>
      <c r="K5497" s="548"/>
      <c r="L5497" s="548"/>
      <c r="M5497" s="548"/>
      <c r="N5497" s="552"/>
    </row>
    <row r="5498" spans="1:14">
      <c r="A5498" s="499">
        <v>45674</v>
      </c>
      <c r="B5498" s="499">
        <v>45674</v>
      </c>
      <c r="C5498" s="500" t="s">
        <v>173</v>
      </c>
      <c r="D5498" s="500" t="s">
        <v>759</v>
      </c>
      <c r="E5498" s="501">
        <v>-9000663.3599999994</v>
      </c>
      <c r="F5498" s="502" t="s">
        <v>878</v>
      </c>
      <c r="G5498" s="100">
        <v>115571630</v>
      </c>
      <c r="H5498" s="530"/>
      <c r="I5498" s="422" t="s">
        <v>1018</v>
      </c>
      <c r="J5498" s="484"/>
      <c r="K5498" s="548"/>
      <c r="L5498" s="548"/>
      <c r="M5498" s="548"/>
      <c r="N5498" s="552"/>
    </row>
    <row r="5499" spans="1:14">
      <c r="A5499" s="499">
        <v>45674</v>
      </c>
      <c r="B5499" s="499">
        <v>45677</v>
      </c>
      <c r="C5499" s="500" t="s">
        <v>173</v>
      </c>
      <c r="D5499" s="500" t="s">
        <v>759</v>
      </c>
      <c r="E5499" s="501">
        <v>2010208172.0699999</v>
      </c>
      <c r="F5499" s="502" t="s">
        <v>878</v>
      </c>
      <c r="G5499" s="100">
        <v>115568018</v>
      </c>
      <c r="H5499" s="100">
        <v>115568018</v>
      </c>
      <c r="I5499" s="422" t="s">
        <v>1013</v>
      </c>
      <c r="J5499" s="484"/>
      <c r="K5499" s="548"/>
      <c r="L5499" s="548"/>
      <c r="M5499" s="548"/>
      <c r="N5499" s="552"/>
    </row>
    <row r="5500" spans="1:14">
      <c r="A5500" s="499">
        <v>45674</v>
      </c>
      <c r="B5500" s="499">
        <v>45677</v>
      </c>
      <c r="C5500" s="500" t="s">
        <v>173</v>
      </c>
      <c r="D5500" s="500" t="s">
        <v>759</v>
      </c>
      <c r="E5500" s="501">
        <v>9011672.7699999996</v>
      </c>
      <c r="F5500" s="502" t="s">
        <v>878</v>
      </c>
      <c r="G5500" s="100">
        <v>115571630</v>
      </c>
      <c r="H5500" s="100">
        <v>115571630</v>
      </c>
      <c r="I5500" s="422" t="s">
        <v>1018</v>
      </c>
      <c r="J5500" s="484"/>
      <c r="K5500" s="548"/>
      <c r="L5500" s="548"/>
      <c r="M5500" s="548"/>
      <c r="N5500" s="552">
        <v>-1</v>
      </c>
    </row>
    <row r="5501" spans="1:14">
      <c r="A5501" s="499">
        <v>45674</v>
      </c>
      <c r="B5501" s="499">
        <v>45674</v>
      </c>
      <c r="C5501" s="500" t="s">
        <v>173</v>
      </c>
      <c r="D5501" s="500" t="s">
        <v>760</v>
      </c>
      <c r="E5501" s="501">
        <v>-172156553.71000001</v>
      </c>
      <c r="F5501" s="502" t="s">
        <v>878</v>
      </c>
      <c r="G5501" s="100">
        <v>115563542</v>
      </c>
      <c r="H5501" s="530"/>
      <c r="I5501" s="422" t="s">
        <v>676</v>
      </c>
      <c r="J5501" s="484"/>
      <c r="K5501" s="548"/>
      <c r="L5501" s="548"/>
      <c r="M5501" s="548"/>
      <c r="N5501" s="552"/>
    </row>
    <row r="5502" spans="1:14">
      <c r="A5502" s="499">
        <v>45674</v>
      </c>
      <c r="B5502" s="499">
        <v>45674</v>
      </c>
      <c r="C5502" s="500" t="s">
        <v>173</v>
      </c>
      <c r="D5502" s="500" t="s">
        <v>760</v>
      </c>
      <c r="E5502" s="501">
        <v>-126102755.52</v>
      </c>
      <c r="F5502" s="502" t="s">
        <v>878</v>
      </c>
      <c r="G5502" s="100">
        <v>115563569</v>
      </c>
      <c r="H5502" s="530"/>
      <c r="I5502" s="422" t="s">
        <v>695</v>
      </c>
      <c r="J5502" s="484"/>
      <c r="K5502" s="548"/>
      <c r="L5502" s="548"/>
      <c r="M5502" s="548"/>
      <c r="N5502" s="552"/>
    </row>
    <row r="5503" spans="1:14">
      <c r="A5503" s="499">
        <v>45674</v>
      </c>
      <c r="B5503" s="499">
        <v>45674</v>
      </c>
      <c r="C5503" s="500" t="s">
        <v>173</v>
      </c>
      <c r="D5503" s="500" t="s">
        <v>760</v>
      </c>
      <c r="E5503" s="501">
        <v>-6004375.9800000004</v>
      </c>
      <c r="F5503" s="502" t="s">
        <v>878</v>
      </c>
      <c r="G5503" s="100">
        <v>115565954</v>
      </c>
      <c r="H5503" s="530"/>
      <c r="I5503" s="422" t="s">
        <v>687</v>
      </c>
      <c r="J5503" s="484"/>
      <c r="K5503" s="548"/>
      <c r="L5503" s="548"/>
      <c r="M5503" s="548"/>
      <c r="N5503" s="552"/>
    </row>
    <row r="5504" spans="1:14">
      <c r="A5504" s="499">
        <v>45674</v>
      </c>
      <c r="B5504" s="499">
        <v>45677</v>
      </c>
      <c r="C5504" s="500" t="s">
        <v>173</v>
      </c>
      <c r="D5504" s="500" t="s">
        <v>760</v>
      </c>
      <c r="E5504" s="501">
        <v>172368801.52000001</v>
      </c>
      <c r="F5504" s="502" t="s">
        <v>878</v>
      </c>
      <c r="G5504" s="100">
        <v>115563542</v>
      </c>
      <c r="H5504" s="484">
        <v>115563542</v>
      </c>
      <c r="I5504" s="422" t="s">
        <v>676</v>
      </c>
      <c r="J5504" s="484"/>
      <c r="K5504" s="548"/>
      <c r="L5504" s="548"/>
      <c r="M5504" s="548"/>
      <c r="N5504" s="552"/>
    </row>
    <row r="5505" spans="1:14">
      <c r="A5505" s="499">
        <v>45674</v>
      </c>
      <c r="B5505" s="499">
        <v>45677</v>
      </c>
      <c r="C5505" s="500" t="s">
        <v>173</v>
      </c>
      <c r="D5505" s="500" t="s">
        <v>760</v>
      </c>
      <c r="E5505" s="501">
        <v>126258224.67</v>
      </c>
      <c r="F5505" s="502" t="s">
        <v>878</v>
      </c>
      <c r="G5505" s="100">
        <v>115563569</v>
      </c>
      <c r="H5505" s="484">
        <v>115563569</v>
      </c>
      <c r="I5505" s="422" t="s">
        <v>695</v>
      </c>
      <c r="J5505" s="484"/>
      <c r="K5505" s="548"/>
      <c r="L5505" s="548"/>
      <c r="M5505" s="548"/>
      <c r="N5505" s="552"/>
    </row>
    <row r="5506" spans="1:14">
      <c r="A5506" s="499">
        <v>45674</v>
      </c>
      <c r="B5506" s="499">
        <v>45677</v>
      </c>
      <c r="C5506" s="500" t="s">
        <v>173</v>
      </c>
      <c r="D5506" s="500" t="s">
        <v>760</v>
      </c>
      <c r="E5506" s="501">
        <v>6011729.2800000003</v>
      </c>
      <c r="F5506" s="502" t="s">
        <v>878</v>
      </c>
      <c r="G5506" s="100">
        <v>115565954</v>
      </c>
      <c r="H5506" s="484">
        <v>115565954</v>
      </c>
      <c r="I5506" s="422" t="s">
        <v>687</v>
      </c>
      <c r="J5506" s="484"/>
      <c r="K5506" s="548"/>
      <c r="L5506" s="548"/>
      <c r="M5506" s="548"/>
      <c r="N5506" s="552"/>
    </row>
    <row r="5507" spans="1:14">
      <c r="A5507" s="499">
        <v>45674</v>
      </c>
      <c r="B5507" s="499">
        <v>45674</v>
      </c>
      <c r="C5507" s="500" t="s">
        <v>173</v>
      </c>
      <c r="D5507" s="500" t="s">
        <v>763</v>
      </c>
      <c r="E5507" s="501">
        <v>-828770890.36000001</v>
      </c>
      <c r="F5507" s="502" t="s">
        <v>878</v>
      </c>
      <c r="G5507" s="100">
        <v>115564802</v>
      </c>
      <c r="H5507" s="530"/>
      <c r="I5507" s="422" t="s">
        <v>596</v>
      </c>
      <c r="J5507" s="484"/>
      <c r="K5507" s="548"/>
      <c r="L5507" s="548"/>
      <c r="M5507" s="548"/>
      <c r="N5507" s="552"/>
    </row>
    <row r="5508" spans="1:14">
      <c r="A5508" s="499">
        <v>45674</v>
      </c>
      <c r="B5508" s="499">
        <v>45674</v>
      </c>
      <c r="C5508" s="500" t="s">
        <v>173</v>
      </c>
      <c r="D5508" s="500" t="s">
        <v>763</v>
      </c>
      <c r="E5508" s="501">
        <v>-1288670452.4300001</v>
      </c>
      <c r="F5508" s="502" t="s">
        <v>878</v>
      </c>
      <c r="G5508" s="100">
        <v>115564805</v>
      </c>
      <c r="H5508" s="530"/>
      <c r="I5508" s="422" t="s">
        <v>635</v>
      </c>
      <c r="J5508" s="484"/>
      <c r="K5508" s="548"/>
      <c r="L5508" s="548"/>
      <c r="M5508" s="548"/>
      <c r="N5508" s="552"/>
    </row>
    <row r="5509" spans="1:14">
      <c r="A5509" s="499">
        <v>45674</v>
      </c>
      <c r="B5509" s="499">
        <v>45674</v>
      </c>
      <c r="C5509" s="500" t="s">
        <v>173</v>
      </c>
      <c r="D5509" s="500" t="s">
        <v>763</v>
      </c>
      <c r="E5509" s="501">
        <v>-792767192.98000002</v>
      </c>
      <c r="F5509" s="502" t="s">
        <v>878</v>
      </c>
      <c r="G5509" s="100">
        <v>115564808</v>
      </c>
      <c r="H5509" s="530"/>
      <c r="I5509" s="422" t="s">
        <v>686</v>
      </c>
      <c r="J5509" s="484"/>
      <c r="K5509" s="548"/>
      <c r="L5509" s="548"/>
      <c r="M5509" s="548"/>
      <c r="N5509" s="552"/>
    </row>
    <row r="5510" spans="1:14">
      <c r="A5510" s="499">
        <v>45674</v>
      </c>
      <c r="B5510" s="499">
        <v>45674</v>
      </c>
      <c r="C5510" s="500" t="s">
        <v>173</v>
      </c>
      <c r="D5510" s="500" t="s">
        <v>763</v>
      </c>
      <c r="E5510" s="501">
        <v>-126046010.70999999</v>
      </c>
      <c r="F5510" s="502" t="s">
        <v>878</v>
      </c>
      <c r="G5510" s="100">
        <v>115564811</v>
      </c>
      <c r="H5510" s="530"/>
      <c r="I5510" s="422" t="s">
        <v>1013</v>
      </c>
      <c r="J5510" s="484"/>
      <c r="K5510" s="548"/>
      <c r="L5510" s="548"/>
      <c r="M5510" s="548"/>
      <c r="N5510" s="552"/>
    </row>
    <row r="5511" spans="1:14">
      <c r="A5511" s="499">
        <v>45674</v>
      </c>
      <c r="B5511" s="499">
        <v>45674</v>
      </c>
      <c r="C5511" s="500" t="s">
        <v>173</v>
      </c>
      <c r="D5511" s="500" t="s">
        <v>763</v>
      </c>
      <c r="E5511" s="501">
        <v>-1823909305.1099999</v>
      </c>
      <c r="F5511" s="502" t="s">
        <v>878</v>
      </c>
      <c r="G5511" s="100">
        <v>115564814</v>
      </c>
      <c r="H5511" s="530"/>
      <c r="I5511" s="422" t="s">
        <v>652</v>
      </c>
      <c r="J5511" s="484"/>
      <c r="K5511" s="548"/>
      <c r="L5511" s="548"/>
      <c r="M5511" s="548"/>
      <c r="N5511" s="552"/>
    </row>
    <row r="5512" spans="1:14">
      <c r="A5512" s="499">
        <v>45674</v>
      </c>
      <c r="B5512" s="499">
        <v>45674</v>
      </c>
      <c r="C5512" s="500" t="s">
        <v>173</v>
      </c>
      <c r="D5512" s="500" t="s">
        <v>763</v>
      </c>
      <c r="E5512" s="501">
        <v>-121010924.27</v>
      </c>
      <c r="F5512" s="502" t="s">
        <v>878</v>
      </c>
      <c r="G5512" s="100">
        <v>115564819</v>
      </c>
      <c r="H5512" s="530"/>
      <c r="I5512" s="422" t="s">
        <v>833</v>
      </c>
      <c r="J5512" s="484"/>
      <c r="K5512" s="548"/>
      <c r="L5512" s="548"/>
      <c r="M5512" s="548"/>
      <c r="N5512" s="552"/>
    </row>
    <row r="5513" spans="1:14">
      <c r="A5513" s="499">
        <v>45674</v>
      </c>
      <c r="B5513" s="499">
        <v>45674</v>
      </c>
      <c r="C5513" s="500" t="s">
        <v>173</v>
      </c>
      <c r="D5513" s="500" t="s">
        <v>763</v>
      </c>
      <c r="E5513" s="501">
        <v>-673490839.09000003</v>
      </c>
      <c r="F5513" s="502" t="s">
        <v>878</v>
      </c>
      <c r="G5513" s="100">
        <v>115564822</v>
      </c>
      <c r="H5513" s="530"/>
      <c r="I5513" s="422" t="s">
        <v>687</v>
      </c>
      <c r="J5513" s="484"/>
      <c r="K5513" s="548"/>
      <c r="L5513" s="548"/>
      <c r="M5513" s="548"/>
      <c r="N5513" s="552"/>
    </row>
    <row r="5514" spans="1:14">
      <c r="A5514" s="499">
        <v>45674</v>
      </c>
      <c r="B5514" s="499">
        <v>45674</v>
      </c>
      <c r="C5514" s="500" t="s">
        <v>173</v>
      </c>
      <c r="D5514" s="500" t="s">
        <v>763</v>
      </c>
      <c r="E5514" s="501">
        <v>-21008653.530000001</v>
      </c>
      <c r="F5514" s="502" t="s">
        <v>878</v>
      </c>
      <c r="G5514" s="100">
        <v>115564878</v>
      </c>
      <c r="H5514" s="530"/>
      <c r="I5514" s="422" t="s">
        <v>681</v>
      </c>
      <c r="J5514" s="484"/>
      <c r="K5514" s="548"/>
      <c r="L5514" s="548"/>
      <c r="M5514" s="548"/>
      <c r="N5514" s="552"/>
    </row>
    <row r="5515" spans="1:14">
      <c r="A5515" s="499">
        <v>45674</v>
      </c>
      <c r="B5515" s="499">
        <v>45677</v>
      </c>
      <c r="C5515" s="500" t="s">
        <v>173</v>
      </c>
      <c r="D5515" s="500" t="s">
        <v>763</v>
      </c>
      <c r="E5515" s="501">
        <v>829782458.59000003</v>
      </c>
      <c r="F5515" s="502" t="s">
        <v>878</v>
      </c>
      <c r="G5515" s="100">
        <v>115564802</v>
      </c>
      <c r="H5515" s="100">
        <v>115564802</v>
      </c>
      <c r="I5515" s="422" t="s">
        <v>596</v>
      </c>
      <c r="J5515" s="484"/>
      <c r="K5515" s="548"/>
      <c r="L5515" s="548"/>
      <c r="M5515" s="548"/>
      <c r="N5515" s="552"/>
    </row>
    <row r="5516" spans="1:14">
      <c r="A5516" s="499">
        <v>45674</v>
      </c>
      <c r="B5516" s="499">
        <v>45677</v>
      </c>
      <c r="C5516" s="500" t="s">
        <v>173</v>
      </c>
      <c r="D5516" s="500" t="s">
        <v>763</v>
      </c>
      <c r="E5516" s="501">
        <v>1290243357.6900001</v>
      </c>
      <c r="F5516" s="502" t="s">
        <v>878</v>
      </c>
      <c r="G5516" s="100">
        <v>115564805</v>
      </c>
      <c r="H5516" s="100">
        <v>115564805</v>
      </c>
      <c r="I5516" s="422" t="s">
        <v>635</v>
      </c>
      <c r="J5516" s="484"/>
      <c r="K5516" s="548"/>
      <c r="L5516" s="548"/>
      <c r="M5516" s="548"/>
      <c r="N5516" s="552"/>
    </row>
    <row r="5517" spans="1:14">
      <c r="A5517" s="499">
        <v>45674</v>
      </c>
      <c r="B5517" s="499">
        <v>45677</v>
      </c>
      <c r="C5517" s="500" t="s">
        <v>173</v>
      </c>
      <c r="D5517" s="500" t="s">
        <v>763</v>
      </c>
      <c r="E5517" s="501">
        <v>793734816.38</v>
      </c>
      <c r="F5517" s="502" t="s">
        <v>878</v>
      </c>
      <c r="G5517" s="100">
        <v>115564808</v>
      </c>
      <c r="H5517" s="100">
        <v>115564808</v>
      </c>
      <c r="I5517" s="422" t="s">
        <v>686</v>
      </c>
      <c r="J5517" s="484"/>
      <c r="K5517" s="548"/>
      <c r="L5517" s="548"/>
      <c r="M5517" s="548"/>
      <c r="N5517" s="552"/>
    </row>
    <row r="5518" spans="1:14">
      <c r="A5518" s="499">
        <v>45674</v>
      </c>
      <c r="B5518" s="499">
        <v>45677</v>
      </c>
      <c r="C5518" s="500" t="s">
        <v>173</v>
      </c>
      <c r="D5518" s="500" t="s">
        <v>763</v>
      </c>
      <c r="E5518" s="501">
        <v>126199857.98</v>
      </c>
      <c r="F5518" s="502" t="s">
        <v>878</v>
      </c>
      <c r="G5518" s="100">
        <v>115564811</v>
      </c>
      <c r="H5518" s="100">
        <v>115564811</v>
      </c>
      <c r="I5518" s="422" t="s">
        <v>1013</v>
      </c>
      <c r="J5518" s="484"/>
      <c r="K5518" s="548"/>
      <c r="L5518" s="548"/>
      <c r="M5518" s="548"/>
      <c r="N5518" s="552"/>
    </row>
    <row r="5519" spans="1:14">
      <c r="A5519" s="499">
        <v>45674</v>
      </c>
      <c r="B5519" s="499">
        <v>45677</v>
      </c>
      <c r="C5519" s="500" t="s">
        <v>173</v>
      </c>
      <c r="D5519" s="500" t="s">
        <v>763</v>
      </c>
      <c r="E5519" s="501">
        <v>1826135488.8599999</v>
      </c>
      <c r="F5519" s="502" t="s">
        <v>878</v>
      </c>
      <c r="G5519" s="100">
        <v>115564814</v>
      </c>
      <c r="H5519" s="100">
        <v>115564814</v>
      </c>
      <c r="I5519" s="422" t="s">
        <v>652</v>
      </c>
      <c r="J5519" s="484"/>
      <c r="K5519" s="548"/>
      <c r="L5519" s="548"/>
      <c r="M5519" s="548"/>
      <c r="N5519" s="552"/>
    </row>
    <row r="5520" spans="1:14">
      <c r="A5520" s="499">
        <v>45674</v>
      </c>
      <c r="B5520" s="499">
        <v>45677</v>
      </c>
      <c r="C5520" s="500" t="s">
        <v>173</v>
      </c>
      <c r="D5520" s="500" t="s">
        <v>763</v>
      </c>
      <c r="E5520" s="501">
        <v>121158623.90000001</v>
      </c>
      <c r="F5520" s="502" t="s">
        <v>878</v>
      </c>
      <c r="G5520" s="100">
        <v>115564819</v>
      </c>
      <c r="H5520" s="100">
        <v>115564819</v>
      </c>
      <c r="I5520" s="422" t="s">
        <v>833</v>
      </c>
      <c r="J5520" s="484"/>
      <c r="K5520" s="548"/>
      <c r="L5520" s="548"/>
      <c r="M5520" s="548"/>
      <c r="N5520" s="552"/>
    </row>
    <row r="5521" spans="1:25">
      <c r="A5521" s="499">
        <v>45674</v>
      </c>
      <c r="B5521" s="499">
        <v>45677</v>
      </c>
      <c r="C5521" s="500" t="s">
        <v>173</v>
      </c>
      <c r="D5521" s="500" t="s">
        <v>763</v>
      </c>
      <c r="E5521" s="501">
        <v>674312866.95000005</v>
      </c>
      <c r="F5521" s="502" t="s">
        <v>878</v>
      </c>
      <c r="G5521" s="100">
        <v>115564822</v>
      </c>
      <c r="H5521" s="100">
        <v>115564822</v>
      </c>
      <c r="I5521" s="422" t="s">
        <v>687</v>
      </c>
      <c r="J5521" s="484"/>
      <c r="K5521" s="548"/>
      <c r="L5521" s="548"/>
      <c r="M5521" s="548"/>
      <c r="N5521" s="552"/>
    </row>
    <row r="5522" spans="1:25">
      <c r="A5522" s="499">
        <v>45674</v>
      </c>
      <c r="B5522" s="499">
        <v>45677</v>
      </c>
      <c r="C5522" s="500" t="s">
        <v>173</v>
      </c>
      <c r="D5522" s="500" t="s">
        <v>763</v>
      </c>
      <c r="E5522" s="501">
        <v>21034313.039999999</v>
      </c>
      <c r="F5522" s="502" t="s">
        <v>878</v>
      </c>
      <c r="G5522" s="100">
        <v>115564878</v>
      </c>
      <c r="H5522" s="100">
        <v>115564878</v>
      </c>
      <c r="I5522" s="422" t="s">
        <v>681</v>
      </c>
      <c r="J5522" s="484"/>
      <c r="K5522" s="548"/>
      <c r="L5522" s="548"/>
      <c r="M5522" s="548"/>
      <c r="N5522" s="552"/>
    </row>
    <row r="5523" spans="1:25">
      <c r="A5523" s="499">
        <v>45677</v>
      </c>
      <c r="B5523" s="499">
        <v>45677</v>
      </c>
      <c r="C5523" s="500" t="s">
        <v>173</v>
      </c>
      <c r="D5523" s="500" t="s">
        <v>762</v>
      </c>
      <c r="E5523" s="501">
        <v>-4627452564</v>
      </c>
      <c r="F5523" s="502" t="s">
        <v>878</v>
      </c>
      <c r="G5523" s="100">
        <v>115588050</v>
      </c>
      <c r="H5523" s="530"/>
      <c r="I5523" s="422" t="s">
        <v>678</v>
      </c>
      <c r="J5523" s="484"/>
      <c r="K5523" s="548"/>
      <c r="L5523" s="548"/>
      <c r="M5523" s="548"/>
      <c r="N5523" s="552"/>
    </row>
    <row r="5524" spans="1:25">
      <c r="A5524" s="499">
        <v>45677</v>
      </c>
      <c r="B5524" s="499">
        <v>45677</v>
      </c>
      <c r="C5524" s="500" t="s">
        <v>173</v>
      </c>
      <c r="D5524" s="500" t="s">
        <v>762</v>
      </c>
      <c r="E5524" s="501">
        <v>-19013708.960000001</v>
      </c>
      <c r="F5524" s="502" t="s">
        <v>878</v>
      </c>
      <c r="G5524" s="100">
        <v>115589126</v>
      </c>
      <c r="H5524" s="530"/>
      <c r="I5524" s="422" t="s">
        <v>673</v>
      </c>
      <c r="J5524" s="484"/>
      <c r="K5524" s="548"/>
      <c r="L5524" s="548"/>
      <c r="M5524" s="548"/>
      <c r="N5524" s="552"/>
    </row>
    <row r="5525" spans="1:25">
      <c r="A5525" s="499">
        <v>45677</v>
      </c>
      <c r="B5525" s="499">
        <v>45678</v>
      </c>
      <c r="C5525" s="500" t="s">
        <v>173</v>
      </c>
      <c r="D5525" s="500" t="s">
        <v>762</v>
      </c>
      <c r="E5525" s="501">
        <v>4629331461.8800001</v>
      </c>
      <c r="F5525" s="502" t="s">
        <v>878</v>
      </c>
      <c r="G5525" s="100">
        <v>115588050</v>
      </c>
      <c r="H5525" s="100">
        <v>115588050</v>
      </c>
      <c r="I5525" s="422" t="s">
        <v>678</v>
      </c>
      <c r="J5525" s="484"/>
      <c r="K5525" s="548"/>
      <c r="L5525" s="548"/>
      <c r="M5525" s="548"/>
      <c r="N5525" s="552"/>
    </row>
    <row r="5526" spans="1:25">
      <c r="A5526" s="499">
        <v>45677</v>
      </c>
      <c r="B5526" s="499">
        <v>45678</v>
      </c>
      <c r="C5526" s="500" t="s">
        <v>173</v>
      </c>
      <c r="D5526" s="500" t="s">
        <v>762</v>
      </c>
      <c r="E5526" s="501">
        <v>19021429.149999999</v>
      </c>
      <c r="F5526" s="502" t="s">
        <v>878</v>
      </c>
      <c r="G5526" s="100">
        <v>115589126</v>
      </c>
      <c r="H5526" s="100">
        <v>115589126</v>
      </c>
      <c r="I5526" s="422" t="s">
        <v>673</v>
      </c>
      <c r="J5526" s="484"/>
      <c r="K5526" s="548"/>
      <c r="L5526" s="548"/>
      <c r="M5526" s="548"/>
      <c r="N5526" s="552"/>
    </row>
    <row r="5527" spans="1:25">
      <c r="A5527" s="499">
        <v>45677</v>
      </c>
      <c r="B5527" s="499">
        <v>45677</v>
      </c>
      <c r="C5527" s="500" t="s">
        <v>173</v>
      </c>
      <c r="D5527" s="500" t="s">
        <v>761</v>
      </c>
      <c r="E5527" s="501">
        <v>-1111374221.46</v>
      </c>
      <c r="F5527" s="502" t="s">
        <v>878</v>
      </c>
      <c r="G5527" s="100">
        <v>115587896</v>
      </c>
      <c r="H5527" s="530"/>
      <c r="I5527" s="422" t="s">
        <v>637</v>
      </c>
      <c r="J5527" s="484"/>
      <c r="K5527" s="548"/>
      <c r="L5527" s="548"/>
      <c r="M5527" s="548"/>
      <c r="N5527" s="552"/>
    </row>
    <row r="5528" spans="1:25">
      <c r="A5528" s="499">
        <v>45677</v>
      </c>
      <c r="B5528" s="499">
        <v>45677</v>
      </c>
      <c r="C5528" s="500" t="s">
        <v>173</v>
      </c>
      <c r="D5528" s="500" t="s">
        <v>761</v>
      </c>
      <c r="E5528" s="501">
        <v>-1163391736.78</v>
      </c>
      <c r="F5528" s="502" t="s">
        <v>878</v>
      </c>
      <c r="G5528" s="100">
        <v>115587996</v>
      </c>
      <c r="H5528" s="530"/>
      <c r="I5528" s="422" t="s">
        <v>637</v>
      </c>
      <c r="J5528" s="484"/>
      <c r="K5528" s="548"/>
      <c r="L5528" s="548"/>
      <c r="M5528" s="548"/>
      <c r="N5528" s="552"/>
    </row>
    <row r="5529" spans="1:25">
      <c r="A5529" s="499">
        <v>45677</v>
      </c>
      <c r="B5529" s="499">
        <v>45677</v>
      </c>
      <c r="C5529" s="500" t="s">
        <v>173</v>
      </c>
      <c r="D5529" s="500" t="s">
        <v>761</v>
      </c>
      <c r="E5529" s="501">
        <v>-9007375.1199999992</v>
      </c>
      <c r="F5529" s="502" t="s">
        <v>878</v>
      </c>
      <c r="G5529" s="100">
        <v>115589284</v>
      </c>
      <c r="H5529" s="530"/>
      <c r="I5529" s="422" t="s">
        <v>604</v>
      </c>
      <c r="J5529" s="484"/>
      <c r="K5529" s="548"/>
      <c r="L5529" s="548"/>
      <c r="M5529" s="548"/>
      <c r="N5529" s="552"/>
    </row>
    <row r="5530" spans="1:25">
      <c r="A5530" s="499">
        <v>45677</v>
      </c>
      <c r="B5530" s="499">
        <v>45678</v>
      </c>
      <c r="C5530" s="500" t="s">
        <v>173</v>
      </c>
      <c r="D5530" s="500" t="s">
        <v>761</v>
      </c>
      <c r="E5530" s="501">
        <v>1111830950.5899999</v>
      </c>
      <c r="F5530" s="502" t="s">
        <v>878</v>
      </c>
      <c r="G5530" s="100">
        <v>115587896</v>
      </c>
      <c r="H5530" s="484">
        <v>115587896</v>
      </c>
      <c r="I5530" s="422" t="s">
        <v>637</v>
      </c>
      <c r="J5530" s="484"/>
      <c r="K5530" s="548"/>
      <c r="L5530" s="548"/>
      <c r="M5530" s="548"/>
      <c r="N5530" s="552"/>
    </row>
    <row r="5531" spans="1:25">
      <c r="A5531" s="499">
        <v>45677</v>
      </c>
      <c r="B5531" s="499">
        <v>45678</v>
      </c>
      <c r="C5531" s="500" t="s">
        <v>173</v>
      </c>
      <c r="D5531" s="500" t="s">
        <v>761</v>
      </c>
      <c r="E5531" s="501">
        <v>1163869842.97</v>
      </c>
      <c r="F5531" s="502" t="s">
        <v>878</v>
      </c>
      <c r="G5531" s="100">
        <v>115587996</v>
      </c>
      <c r="H5531" s="484">
        <v>115587996</v>
      </c>
      <c r="I5531" s="422" t="s">
        <v>637</v>
      </c>
      <c r="J5531" s="484"/>
      <c r="K5531" s="548"/>
      <c r="L5531" s="548"/>
      <c r="M5531" s="548"/>
      <c r="N5531" s="552"/>
    </row>
    <row r="5532" spans="1:25">
      <c r="A5532" s="499">
        <v>45677</v>
      </c>
      <c r="B5532" s="499">
        <v>45678</v>
      </c>
      <c r="C5532" s="500" t="s">
        <v>173</v>
      </c>
      <c r="D5532" s="500" t="s">
        <v>761</v>
      </c>
      <c r="E5532" s="501">
        <v>9011076.7799999993</v>
      </c>
      <c r="F5532" s="502" t="s">
        <v>878</v>
      </c>
      <c r="G5532" s="100">
        <v>115589284</v>
      </c>
      <c r="H5532" s="484">
        <v>115589284</v>
      </c>
      <c r="I5532" s="422" t="s">
        <v>604</v>
      </c>
      <c r="J5532" s="484"/>
      <c r="K5532" s="548"/>
      <c r="L5532" s="548"/>
      <c r="M5532" s="548"/>
      <c r="N5532" s="552"/>
    </row>
    <row r="5533" spans="1:25" ht="15">
      <c r="A5533" s="499">
        <v>45673</v>
      </c>
      <c r="B5533" s="499">
        <v>45677</v>
      </c>
      <c r="C5533" s="500" t="s">
        <v>173</v>
      </c>
      <c r="D5533" s="500" t="s">
        <v>761</v>
      </c>
      <c r="E5533" s="501">
        <v>-202365866.66999999</v>
      </c>
      <c r="F5533" s="502" t="s">
        <v>906</v>
      </c>
      <c r="G5533" s="100" t="s">
        <v>61</v>
      </c>
      <c r="H5533" s="530"/>
      <c r="I5533" s="526" t="s">
        <v>717</v>
      </c>
      <c r="J5533" s="484"/>
      <c r="K5533" s="548">
        <v>115550593</v>
      </c>
      <c r="L5533" s="549">
        <v>63.391399999999997</v>
      </c>
      <c r="M5533" s="549">
        <f>E5533*(-1)/(N5533*O5533)*100</f>
        <v>67.455288889999991</v>
      </c>
      <c r="N5533" s="549">
        <v>300000</v>
      </c>
      <c r="O5533" s="539">
        <f>VLOOKUP(G5533,Справочник!A:J,10,0)</f>
        <v>1000</v>
      </c>
      <c r="T5533" s="554">
        <v>13.78</v>
      </c>
      <c r="U5533" s="538">
        <v>10118.290000000001</v>
      </c>
      <c r="V5533" s="538">
        <v>20236.59</v>
      </c>
      <c r="W5533" s="550">
        <f>VLOOKUP(G5533,Справочник!A:C,3,0)</f>
        <v>5.5E-2</v>
      </c>
      <c r="X5533" s="539" t="str">
        <f>VLOOKUP(G5533,Справочник!A:G,7,0)</f>
        <v>Министерство финансов Республики Казахстан</v>
      </c>
      <c r="Y5533" s="551">
        <f>VLOOKUP(G5533,Справочник!A:B,2,0)</f>
        <v>48328</v>
      </c>
    </row>
    <row r="5534" spans="1:25">
      <c r="A5534" s="499">
        <v>45677</v>
      </c>
      <c r="B5534" s="499">
        <v>45677</v>
      </c>
      <c r="C5534" s="500" t="s">
        <v>173</v>
      </c>
      <c r="D5534" s="500" t="s">
        <v>759</v>
      </c>
      <c r="E5534" s="501">
        <v>-2011450263.24</v>
      </c>
      <c r="F5534" s="502" t="s">
        <v>878</v>
      </c>
      <c r="G5534" s="100">
        <v>115587446</v>
      </c>
      <c r="H5534" s="530"/>
      <c r="I5534" s="422" t="s">
        <v>673</v>
      </c>
      <c r="J5534" s="484"/>
      <c r="K5534" s="548"/>
      <c r="L5534" s="548"/>
      <c r="M5534" s="548"/>
      <c r="N5534" s="552"/>
    </row>
    <row r="5535" spans="1:25">
      <c r="A5535" s="499">
        <v>45677</v>
      </c>
      <c r="B5535" s="499">
        <v>45677</v>
      </c>
      <c r="C5535" s="500" t="s">
        <v>173</v>
      </c>
      <c r="D5535" s="500" t="s">
        <v>759</v>
      </c>
      <c r="E5535" s="501">
        <v>-7005050.6699999999</v>
      </c>
      <c r="F5535" s="502" t="s">
        <v>878</v>
      </c>
      <c r="G5535" s="100">
        <v>115587486</v>
      </c>
      <c r="H5535" s="530"/>
      <c r="I5535" s="422" t="s">
        <v>673</v>
      </c>
      <c r="J5535" s="484"/>
      <c r="K5535" s="548"/>
      <c r="L5535" s="548"/>
      <c r="M5535" s="548"/>
      <c r="N5535" s="552"/>
    </row>
    <row r="5536" spans="1:25">
      <c r="A5536" s="499">
        <v>45677</v>
      </c>
      <c r="B5536" s="499">
        <v>45678</v>
      </c>
      <c r="C5536" s="500" t="s">
        <v>173</v>
      </c>
      <c r="D5536" s="500" t="s">
        <v>759</v>
      </c>
      <c r="E5536" s="501">
        <v>2012265898.0599999</v>
      </c>
      <c r="F5536" s="502" t="s">
        <v>878</v>
      </c>
      <c r="G5536" s="100">
        <v>115587446</v>
      </c>
      <c r="H5536" s="484">
        <v>115587446</v>
      </c>
      <c r="I5536" s="422" t="s">
        <v>673</v>
      </c>
      <c r="J5536" s="484"/>
      <c r="K5536" s="548"/>
      <c r="L5536" s="548"/>
      <c r="M5536" s="548"/>
      <c r="N5536" s="552"/>
    </row>
    <row r="5537" spans="1:14">
      <c r="A5537" s="499">
        <v>45677</v>
      </c>
      <c r="B5537" s="499">
        <v>45678</v>
      </c>
      <c r="C5537" s="500" t="s">
        <v>173</v>
      </c>
      <c r="D5537" s="500" t="s">
        <v>759</v>
      </c>
      <c r="E5537" s="501">
        <v>7007891.1900000004</v>
      </c>
      <c r="F5537" s="502" t="s">
        <v>878</v>
      </c>
      <c r="G5537" s="100">
        <v>115587486</v>
      </c>
      <c r="H5537" s="484">
        <v>115587486</v>
      </c>
      <c r="I5537" s="422" t="s">
        <v>673</v>
      </c>
      <c r="J5537" s="484"/>
      <c r="K5537" s="548"/>
      <c r="L5537" s="548"/>
      <c r="M5537" s="548"/>
      <c r="N5537" s="552"/>
    </row>
    <row r="5538" spans="1:14">
      <c r="A5538" s="499">
        <v>45677</v>
      </c>
      <c r="B5538" s="499">
        <v>45677</v>
      </c>
      <c r="C5538" s="500" t="s">
        <v>173</v>
      </c>
      <c r="D5538" s="500" t="s">
        <v>760</v>
      </c>
      <c r="E5538" s="501">
        <v>-283107373.88</v>
      </c>
      <c r="F5538" s="502" t="s">
        <v>878</v>
      </c>
      <c r="G5538" s="100">
        <v>115585739</v>
      </c>
      <c r="H5538" s="530"/>
      <c r="I5538" s="422" t="s">
        <v>602</v>
      </c>
      <c r="J5538" s="484"/>
      <c r="K5538" s="548"/>
      <c r="L5538" s="548"/>
      <c r="M5538" s="548"/>
      <c r="N5538" s="552"/>
    </row>
    <row r="5539" spans="1:14">
      <c r="A5539" s="499">
        <v>45677</v>
      </c>
      <c r="B5539" s="499">
        <v>45677</v>
      </c>
      <c r="C5539" s="500" t="s">
        <v>173</v>
      </c>
      <c r="D5539" s="500" t="s">
        <v>760</v>
      </c>
      <c r="E5539" s="501">
        <v>-15009521.220000001</v>
      </c>
      <c r="F5539" s="502" t="s">
        <v>878</v>
      </c>
      <c r="G5539" s="100">
        <v>115585742</v>
      </c>
      <c r="H5539" s="530"/>
      <c r="I5539" s="422" t="s">
        <v>695</v>
      </c>
      <c r="J5539" s="484"/>
      <c r="K5539" s="548"/>
      <c r="L5539" s="548"/>
      <c r="M5539" s="548"/>
      <c r="N5539" s="552"/>
    </row>
    <row r="5540" spans="1:14">
      <c r="A5540" s="499">
        <v>45677</v>
      </c>
      <c r="B5540" s="499">
        <v>45677</v>
      </c>
      <c r="C5540" s="500" t="s">
        <v>173</v>
      </c>
      <c r="D5540" s="500" t="s">
        <v>760</v>
      </c>
      <c r="E5540" s="501">
        <v>-6002276.4800000004</v>
      </c>
      <c r="F5540" s="502" t="s">
        <v>878</v>
      </c>
      <c r="G5540" s="100">
        <v>115586378</v>
      </c>
      <c r="H5540" s="530"/>
      <c r="I5540" s="422" t="s">
        <v>602</v>
      </c>
      <c r="J5540" s="484"/>
      <c r="K5540" s="548"/>
      <c r="L5540" s="548"/>
      <c r="M5540" s="548"/>
      <c r="N5540" s="552"/>
    </row>
    <row r="5541" spans="1:14">
      <c r="A5541" s="499">
        <v>45677</v>
      </c>
      <c r="B5541" s="499">
        <v>45678</v>
      </c>
      <c r="C5541" s="500" t="s">
        <v>173</v>
      </c>
      <c r="D5541" s="500" t="s">
        <v>760</v>
      </c>
      <c r="E5541" s="501">
        <v>283223719.38</v>
      </c>
      <c r="F5541" s="502" t="s">
        <v>878</v>
      </c>
      <c r="G5541" s="100">
        <v>115585739</v>
      </c>
      <c r="H5541" s="484">
        <v>115585739</v>
      </c>
      <c r="I5541" s="422" t="s">
        <v>602</v>
      </c>
      <c r="J5541" s="484"/>
      <c r="K5541" s="548"/>
      <c r="L5541" s="548"/>
      <c r="M5541" s="548"/>
      <c r="N5541" s="552"/>
    </row>
    <row r="5542" spans="1:14">
      <c r="A5542" s="499">
        <v>45677</v>
      </c>
      <c r="B5542" s="499">
        <v>45678</v>
      </c>
      <c r="C5542" s="500" t="s">
        <v>173</v>
      </c>
      <c r="D5542" s="500" t="s">
        <v>760</v>
      </c>
      <c r="E5542" s="501">
        <v>15015689.52</v>
      </c>
      <c r="F5542" s="502" t="s">
        <v>878</v>
      </c>
      <c r="G5542" s="100">
        <v>115585742</v>
      </c>
      <c r="H5542" s="484">
        <v>115585742</v>
      </c>
      <c r="I5542" s="422" t="s">
        <v>695</v>
      </c>
      <c r="J5542" s="484"/>
      <c r="K5542" s="548"/>
      <c r="L5542" s="548"/>
      <c r="M5542" s="548"/>
      <c r="N5542" s="552"/>
    </row>
    <row r="5543" spans="1:14">
      <c r="A5543" s="499">
        <v>45677</v>
      </c>
      <c r="B5543" s="499">
        <v>45678</v>
      </c>
      <c r="C5543" s="500" t="s">
        <v>173</v>
      </c>
      <c r="D5543" s="500" t="s">
        <v>760</v>
      </c>
      <c r="E5543" s="501">
        <v>6004743.1699999999</v>
      </c>
      <c r="F5543" s="502" t="s">
        <v>878</v>
      </c>
      <c r="G5543" s="100">
        <v>115586378</v>
      </c>
      <c r="H5543" s="484">
        <v>115586378</v>
      </c>
      <c r="I5543" s="422" t="s">
        <v>602</v>
      </c>
      <c r="J5543" s="484"/>
      <c r="K5543" s="548"/>
      <c r="L5543" s="548"/>
      <c r="M5543" s="548"/>
      <c r="N5543" s="552"/>
    </row>
    <row r="5544" spans="1:14">
      <c r="A5544" s="499">
        <v>45677</v>
      </c>
      <c r="B5544" s="499">
        <v>45677</v>
      </c>
      <c r="C5544" s="500" t="s">
        <v>173</v>
      </c>
      <c r="D5544" s="500" t="s">
        <v>763</v>
      </c>
      <c r="E5544" s="501">
        <v>-2017219147.05</v>
      </c>
      <c r="F5544" s="502" t="s">
        <v>878</v>
      </c>
      <c r="G5544" s="100">
        <v>115586680</v>
      </c>
      <c r="H5544" s="530"/>
      <c r="I5544" s="422" t="s">
        <v>687</v>
      </c>
      <c r="J5544" s="484"/>
      <c r="K5544" s="548"/>
      <c r="L5544" s="548"/>
      <c r="M5544" s="548"/>
      <c r="N5544" s="552"/>
    </row>
    <row r="5545" spans="1:14">
      <c r="A5545" s="499">
        <v>45677</v>
      </c>
      <c r="B5545" s="499">
        <v>45677</v>
      </c>
      <c r="C5545" s="500" t="s">
        <v>173</v>
      </c>
      <c r="D5545" s="500" t="s">
        <v>763</v>
      </c>
      <c r="E5545" s="501">
        <v>-850410699.60000002</v>
      </c>
      <c r="F5545" s="502" t="s">
        <v>878</v>
      </c>
      <c r="G5545" s="100">
        <v>115586683</v>
      </c>
      <c r="H5545" s="530"/>
      <c r="I5545" s="422" t="s">
        <v>657</v>
      </c>
      <c r="J5545" s="484"/>
      <c r="K5545" s="548"/>
      <c r="L5545" s="548"/>
      <c r="M5545" s="548"/>
      <c r="N5545" s="552"/>
    </row>
    <row r="5546" spans="1:14">
      <c r="A5546" s="499">
        <v>45677</v>
      </c>
      <c r="B5546" s="499">
        <v>45677</v>
      </c>
      <c r="C5546" s="500" t="s">
        <v>173</v>
      </c>
      <c r="D5546" s="500" t="s">
        <v>763</v>
      </c>
      <c r="E5546" s="501">
        <v>-2791737977.4899998</v>
      </c>
      <c r="F5546" s="502" t="s">
        <v>878</v>
      </c>
      <c r="G5546" s="100">
        <v>115586686</v>
      </c>
      <c r="H5546" s="530"/>
      <c r="I5546" s="422" t="s">
        <v>652</v>
      </c>
      <c r="J5546" s="484"/>
      <c r="K5546" s="548"/>
      <c r="L5546" s="548"/>
      <c r="M5546" s="548"/>
      <c r="N5546" s="552"/>
    </row>
    <row r="5547" spans="1:14">
      <c r="A5547" s="499">
        <v>45677</v>
      </c>
      <c r="B5547" s="499">
        <v>45677</v>
      </c>
      <c r="C5547" s="500" t="s">
        <v>173</v>
      </c>
      <c r="D5547" s="500" t="s">
        <v>763</v>
      </c>
      <c r="E5547" s="501">
        <v>-23014327.41</v>
      </c>
      <c r="F5547" s="502" t="s">
        <v>878</v>
      </c>
      <c r="G5547" s="100">
        <v>115586698</v>
      </c>
      <c r="H5547" s="530"/>
      <c r="I5547" s="422" t="s">
        <v>652</v>
      </c>
      <c r="J5547" s="484"/>
      <c r="K5547" s="548"/>
      <c r="L5547" s="548"/>
      <c r="M5547" s="548"/>
      <c r="N5547" s="552"/>
    </row>
    <row r="5548" spans="1:14">
      <c r="A5548" s="499">
        <v>45677</v>
      </c>
      <c r="B5548" s="499">
        <v>45678</v>
      </c>
      <c r="C5548" s="500" t="s">
        <v>173</v>
      </c>
      <c r="D5548" s="500" t="s">
        <v>763</v>
      </c>
      <c r="E5548" s="501">
        <v>2018039851.28</v>
      </c>
      <c r="F5548" s="502" t="s">
        <v>878</v>
      </c>
      <c r="G5548" s="100">
        <v>115586680</v>
      </c>
      <c r="H5548" s="484">
        <v>115586680</v>
      </c>
      <c r="I5548" s="422" t="s">
        <v>687</v>
      </c>
      <c r="J5548" s="484"/>
      <c r="K5548" s="548"/>
      <c r="L5548" s="548"/>
      <c r="M5548" s="548"/>
      <c r="N5548" s="552"/>
    </row>
    <row r="5549" spans="1:14">
      <c r="A5549" s="499">
        <v>45677</v>
      </c>
      <c r="B5549" s="499">
        <v>45678</v>
      </c>
      <c r="C5549" s="500" t="s">
        <v>173</v>
      </c>
      <c r="D5549" s="500" t="s">
        <v>763</v>
      </c>
      <c r="E5549" s="501">
        <v>850756688.61000001</v>
      </c>
      <c r="F5549" s="502" t="s">
        <v>878</v>
      </c>
      <c r="G5549" s="100">
        <v>115586683</v>
      </c>
      <c r="H5549" s="484">
        <v>115586683</v>
      </c>
      <c r="I5549" s="422" t="s">
        <v>657</v>
      </c>
      <c r="J5549" s="484"/>
      <c r="K5549" s="548"/>
      <c r="L5549" s="548"/>
      <c r="M5549" s="548"/>
      <c r="N5549" s="552"/>
    </row>
    <row r="5550" spans="1:14">
      <c r="A5550" s="499">
        <v>45677</v>
      </c>
      <c r="B5550" s="499">
        <v>45678</v>
      </c>
      <c r="C5550" s="500" t="s">
        <v>173</v>
      </c>
      <c r="D5550" s="500" t="s">
        <v>763</v>
      </c>
      <c r="E5550" s="501">
        <v>2792873794.1700001</v>
      </c>
      <c r="F5550" s="502" t="s">
        <v>878</v>
      </c>
      <c r="G5550" s="100">
        <v>115586686</v>
      </c>
      <c r="H5550" s="484">
        <v>115586686</v>
      </c>
      <c r="I5550" s="422" t="s">
        <v>652</v>
      </c>
      <c r="J5550" s="484"/>
      <c r="K5550" s="548"/>
      <c r="L5550" s="548"/>
      <c r="M5550" s="548"/>
      <c r="N5550" s="552"/>
    </row>
    <row r="5551" spans="1:14">
      <c r="A5551" s="499">
        <v>45677</v>
      </c>
      <c r="B5551" s="499">
        <v>45678</v>
      </c>
      <c r="C5551" s="500" t="s">
        <v>173</v>
      </c>
      <c r="D5551" s="500" t="s">
        <v>763</v>
      </c>
      <c r="E5551" s="501">
        <v>23023690.77</v>
      </c>
      <c r="F5551" s="502" t="s">
        <v>878</v>
      </c>
      <c r="G5551" s="100">
        <v>115586698</v>
      </c>
      <c r="H5551" s="484">
        <v>115586698</v>
      </c>
      <c r="I5551" s="422" t="s">
        <v>652</v>
      </c>
      <c r="J5551" s="484"/>
      <c r="K5551" s="548"/>
      <c r="L5551" s="548"/>
      <c r="M5551" s="548"/>
      <c r="N5551" s="552"/>
    </row>
    <row r="5552" spans="1:14">
      <c r="A5552" s="499">
        <v>45678</v>
      </c>
      <c r="B5552" s="499">
        <v>45678</v>
      </c>
      <c r="C5552" s="500" t="s">
        <v>173</v>
      </c>
      <c r="D5552" s="500" t="s">
        <v>761</v>
      </c>
      <c r="E5552" s="501">
        <v>-402156759.10000002</v>
      </c>
      <c r="F5552" s="502" t="s">
        <v>878</v>
      </c>
      <c r="G5552" s="100">
        <v>115609054</v>
      </c>
      <c r="H5552" s="530"/>
      <c r="I5552" s="422" t="s">
        <v>652</v>
      </c>
      <c r="J5552" s="484"/>
      <c r="K5552" s="548"/>
      <c r="L5552" s="548"/>
      <c r="M5552" s="548"/>
      <c r="N5552" s="552"/>
    </row>
    <row r="5553" spans="1:25">
      <c r="A5553" s="499">
        <v>45678</v>
      </c>
      <c r="B5553" s="499">
        <v>45678</v>
      </c>
      <c r="C5553" s="500" t="s">
        <v>173</v>
      </c>
      <c r="D5553" s="500" t="s">
        <v>761</v>
      </c>
      <c r="E5553" s="501">
        <v>-1873621997.0799999</v>
      </c>
      <c r="F5553" s="502" t="s">
        <v>878</v>
      </c>
      <c r="G5553" s="100">
        <v>115609078</v>
      </c>
      <c r="H5553" s="530"/>
      <c r="I5553" s="422" t="s">
        <v>717</v>
      </c>
      <c r="J5553" s="484"/>
      <c r="K5553" s="548"/>
      <c r="L5553" s="548"/>
      <c r="M5553" s="548"/>
      <c r="N5553" s="552"/>
    </row>
    <row r="5554" spans="1:25">
      <c r="A5554" s="499">
        <v>45678</v>
      </c>
      <c r="B5554" s="499">
        <v>45678</v>
      </c>
      <c r="C5554" s="500" t="s">
        <v>173</v>
      </c>
      <c r="D5554" s="500" t="s">
        <v>761</v>
      </c>
      <c r="E5554" s="501">
        <v>-9002988.7699999996</v>
      </c>
      <c r="F5554" s="502" t="s">
        <v>878</v>
      </c>
      <c r="G5554" s="100">
        <v>115609187</v>
      </c>
      <c r="H5554" s="530"/>
      <c r="I5554" s="422" t="s">
        <v>717</v>
      </c>
      <c r="J5554" s="484"/>
      <c r="K5554" s="548"/>
      <c r="L5554" s="548"/>
      <c r="M5554" s="548"/>
      <c r="N5554" s="552"/>
    </row>
    <row r="5555" spans="1:25">
      <c r="A5555" s="499">
        <v>45678</v>
      </c>
      <c r="B5555" s="499">
        <v>45679</v>
      </c>
      <c r="C5555" s="500" t="s">
        <v>173</v>
      </c>
      <c r="D5555" s="500" t="s">
        <v>761</v>
      </c>
      <c r="E5555" s="501">
        <v>402319825.39999998</v>
      </c>
      <c r="F5555" s="502" t="s">
        <v>878</v>
      </c>
      <c r="G5555" s="100">
        <v>115609054</v>
      </c>
      <c r="H5555" s="484">
        <v>115609054</v>
      </c>
      <c r="I5555" s="422" t="s">
        <v>652</v>
      </c>
      <c r="J5555" s="484"/>
      <c r="K5555" s="548"/>
      <c r="L5555" s="548"/>
      <c r="M5555" s="548"/>
      <c r="N5555" s="552"/>
    </row>
    <row r="5556" spans="1:25">
      <c r="A5556" s="499">
        <v>45678</v>
      </c>
      <c r="B5556" s="499">
        <v>45679</v>
      </c>
      <c r="C5556" s="500" t="s">
        <v>173</v>
      </c>
      <c r="D5556" s="500" t="s">
        <v>761</v>
      </c>
      <c r="E5556" s="501">
        <v>1874381712.3</v>
      </c>
      <c r="F5556" s="502" t="s">
        <v>878</v>
      </c>
      <c r="G5556" s="100">
        <v>115609078</v>
      </c>
      <c r="H5556" s="484">
        <v>115609078</v>
      </c>
      <c r="I5556" s="422" t="s">
        <v>717</v>
      </c>
      <c r="J5556" s="484"/>
      <c r="K5556" s="548"/>
      <c r="L5556" s="548"/>
      <c r="M5556" s="548"/>
      <c r="N5556" s="552"/>
    </row>
    <row r="5557" spans="1:25">
      <c r="A5557" s="499">
        <v>45678</v>
      </c>
      <c r="B5557" s="499">
        <v>45679</v>
      </c>
      <c r="C5557" s="500" t="s">
        <v>173</v>
      </c>
      <c r="D5557" s="500" t="s">
        <v>761</v>
      </c>
      <c r="E5557" s="501">
        <v>9006639.3000000007</v>
      </c>
      <c r="F5557" s="502" t="s">
        <v>878</v>
      </c>
      <c r="G5557" s="100">
        <v>115609187</v>
      </c>
      <c r="H5557" s="484">
        <v>115609187</v>
      </c>
      <c r="I5557" s="422" t="s">
        <v>717</v>
      </c>
      <c r="J5557" s="484"/>
      <c r="K5557" s="548"/>
      <c r="L5557" s="548"/>
      <c r="M5557" s="548"/>
      <c r="N5557" s="552"/>
    </row>
    <row r="5558" spans="1:25" ht="15">
      <c r="A5558" s="499">
        <v>45678</v>
      </c>
      <c r="B5558" s="499">
        <v>45680</v>
      </c>
      <c r="C5558" s="500" t="s">
        <v>173</v>
      </c>
      <c r="D5558" s="500" t="s">
        <v>761</v>
      </c>
      <c r="E5558" s="501">
        <v>-157353400</v>
      </c>
      <c r="F5558" s="502" t="s">
        <v>906</v>
      </c>
      <c r="G5558" s="100" t="s">
        <v>94</v>
      </c>
      <c r="H5558" s="530"/>
      <c r="I5558" s="526" t="s">
        <v>716</v>
      </c>
      <c r="J5558" s="484"/>
      <c r="K5558" s="548">
        <v>115627145</v>
      </c>
      <c r="L5558" s="549">
        <v>70.411699999999996</v>
      </c>
      <c r="M5558" s="549">
        <f>E5558*(-1)/(N5558*O5558)*100</f>
        <v>78.676699999999997</v>
      </c>
      <c r="N5558" s="549">
        <v>200000</v>
      </c>
      <c r="O5558" s="539">
        <f>VLOOKUP(G5558,Справочник!A:J,10,0)</f>
        <v>1000</v>
      </c>
      <c r="T5558" s="554">
        <v>13.89</v>
      </c>
      <c r="U5558" s="554">
        <v>0</v>
      </c>
      <c r="V5558" s="554">
        <v>15735.34</v>
      </c>
      <c r="W5558" s="550">
        <f>VLOOKUP(G5558,Справочник!A:C,3,0)</f>
        <v>8.6999999999999994E-2</v>
      </c>
      <c r="X5558" s="539" t="str">
        <f>VLOOKUP(G5558,Справочник!A:G,7,0)</f>
        <v>Министерство финансов Республики Казахстан</v>
      </c>
      <c r="Y5558" s="551" t="str">
        <f>VLOOKUP(G5558,Справочник!A:B,2,0)</f>
        <v>11.02.2037</v>
      </c>
    </row>
    <row r="5559" spans="1:25">
      <c r="A5559" s="499">
        <v>45678</v>
      </c>
      <c r="B5559" s="499">
        <v>45678</v>
      </c>
      <c r="C5559" s="500" t="s">
        <v>173</v>
      </c>
      <c r="D5559" s="500" t="s">
        <v>760</v>
      </c>
      <c r="E5559" s="501">
        <v>-295150142.07999998</v>
      </c>
      <c r="F5559" s="502" t="s">
        <v>878</v>
      </c>
      <c r="G5559" s="100">
        <v>115607409</v>
      </c>
      <c r="H5559" s="530"/>
      <c r="I5559" s="422" t="s">
        <v>637</v>
      </c>
      <c r="J5559" s="484"/>
      <c r="K5559" s="548"/>
      <c r="L5559" s="548"/>
      <c r="M5559" s="548"/>
      <c r="N5559" s="552"/>
    </row>
    <row r="5560" spans="1:25">
      <c r="A5560" s="499">
        <v>45678</v>
      </c>
      <c r="B5560" s="499">
        <v>45678</v>
      </c>
      <c r="C5560" s="500" t="s">
        <v>173</v>
      </c>
      <c r="D5560" s="500" t="s">
        <v>760</v>
      </c>
      <c r="E5560" s="501">
        <v>-9002595.9199999999</v>
      </c>
      <c r="F5560" s="502" t="s">
        <v>878</v>
      </c>
      <c r="G5560" s="100">
        <v>115607507</v>
      </c>
      <c r="H5560" s="530"/>
      <c r="I5560" s="422" t="s">
        <v>635</v>
      </c>
      <c r="J5560" s="484"/>
      <c r="K5560" s="548"/>
      <c r="L5560" s="548"/>
      <c r="M5560" s="548"/>
      <c r="N5560" s="552"/>
    </row>
    <row r="5561" spans="1:25">
      <c r="A5561" s="499">
        <v>45678</v>
      </c>
      <c r="B5561" s="499">
        <v>45678</v>
      </c>
      <c r="C5561" s="500" t="s">
        <v>173</v>
      </c>
      <c r="D5561" s="500" t="s">
        <v>760</v>
      </c>
      <c r="E5561" s="501">
        <v>-161117193.50999999</v>
      </c>
      <c r="F5561" s="502" t="s">
        <v>878</v>
      </c>
      <c r="G5561" s="100">
        <v>115620423</v>
      </c>
      <c r="H5561" s="530"/>
      <c r="I5561" s="422" t="s">
        <v>685</v>
      </c>
      <c r="J5561" s="484"/>
      <c r="K5561" s="548"/>
      <c r="L5561" s="548"/>
      <c r="M5561" s="548"/>
      <c r="N5561" s="552"/>
    </row>
    <row r="5562" spans="1:25">
      <c r="A5562" s="499">
        <v>45678</v>
      </c>
      <c r="B5562" s="499">
        <v>45679</v>
      </c>
      <c r="C5562" s="500" t="s">
        <v>173</v>
      </c>
      <c r="D5562" s="500" t="s">
        <v>760</v>
      </c>
      <c r="E5562" s="501">
        <v>295270222.89999998</v>
      </c>
      <c r="F5562" s="502" t="s">
        <v>878</v>
      </c>
      <c r="G5562" s="100">
        <v>115607409</v>
      </c>
      <c r="H5562" s="484">
        <v>115607409</v>
      </c>
      <c r="I5562" s="422" t="s">
        <v>637</v>
      </c>
      <c r="J5562" s="484"/>
      <c r="K5562" s="548"/>
      <c r="L5562" s="548"/>
      <c r="M5562" s="548"/>
      <c r="N5562" s="552"/>
    </row>
    <row r="5563" spans="1:25">
      <c r="A5563" s="499">
        <v>45678</v>
      </c>
      <c r="B5563" s="499">
        <v>45679</v>
      </c>
      <c r="C5563" s="500" t="s">
        <v>173</v>
      </c>
      <c r="D5563" s="500" t="s">
        <v>760</v>
      </c>
      <c r="E5563" s="501">
        <v>9006258.5999999996</v>
      </c>
      <c r="F5563" s="502" t="s">
        <v>878</v>
      </c>
      <c r="G5563" s="100">
        <v>115607507</v>
      </c>
      <c r="H5563" s="484">
        <v>115607507</v>
      </c>
      <c r="I5563" s="422" t="s">
        <v>635</v>
      </c>
      <c r="J5563" s="484"/>
      <c r="K5563" s="548"/>
      <c r="L5563" s="548"/>
      <c r="M5563" s="548"/>
      <c r="N5563" s="552"/>
    </row>
    <row r="5564" spans="1:25">
      <c r="A5564" s="499">
        <v>45678</v>
      </c>
      <c r="B5564" s="499">
        <v>45679</v>
      </c>
      <c r="C5564" s="500" t="s">
        <v>173</v>
      </c>
      <c r="D5564" s="500" t="s">
        <v>760</v>
      </c>
      <c r="E5564" s="501">
        <v>161181198.97</v>
      </c>
      <c r="F5564" s="502" t="s">
        <v>878</v>
      </c>
      <c r="G5564" s="100">
        <v>115620423</v>
      </c>
      <c r="H5564" s="484">
        <v>115620423</v>
      </c>
      <c r="I5564" s="422" t="s">
        <v>685</v>
      </c>
      <c r="J5564" s="484"/>
      <c r="K5564" s="548"/>
      <c r="L5564" s="548"/>
      <c r="M5564" s="548"/>
      <c r="N5564" s="552"/>
    </row>
    <row r="5565" spans="1:25">
      <c r="A5565" s="499">
        <v>45678</v>
      </c>
      <c r="B5565" s="499">
        <v>45678</v>
      </c>
      <c r="C5565" s="500" t="s">
        <v>173</v>
      </c>
      <c r="D5565" s="500" t="s">
        <v>763</v>
      </c>
      <c r="E5565" s="501">
        <v>-956884892.72000003</v>
      </c>
      <c r="F5565" s="502" t="s">
        <v>878</v>
      </c>
      <c r="G5565" s="100">
        <v>115607798</v>
      </c>
      <c r="H5565" s="530"/>
      <c r="I5565" s="422" t="s">
        <v>682</v>
      </c>
      <c r="J5565" s="484"/>
      <c r="K5565" s="548"/>
      <c r="L5565" s="548"/>
      <c r="M5565" s="548"/>
      <c r="N5565" s="552">
        <v>-1</v>
      </c>
    </row>
    <row r="5566" spans="1:25">
      <c r="A5566" s="499">
        <v>45678</v>
      </c>
      <c r="B5566" s="499">
        <v>45678</v>
      </c>
      <c r="C5566" s="500" t="s">
        <v>173</v>
      </c>
      <c r="D5566" s="500" t="s">
        <v>763</v>
      </c>
      <c r="E5566" s="501">
        <v>-3070205174.8200002</v>
      </c>
      <c r="F5566" s="502" t="s">
        <v>878</v>
      </c>
      <c r="G5566" s="100">
        <v>115607804</v>
      </c>
      <c r="H5566" s="530"/>
      <c r="I5566" s="422" t="s">
        <v>670</v>
      </c>
      <c r="J5566" s="484"/>
      <c r="K5566" s="548"/>
      <c r="L5566" s="548"/>
      <c r="M5566" s="548"/>
      <c r="N5566" s="552"/>
    </row>
    <row r="5567" spans="1:25">
      <c r="A5567" s="499">
        <v>45678</v>
      </c>
      <c r="B5567" s="499">
        <v>45678</v>
      </c>
      <c r="C5567" s="500" t="s">
        <v>173</v>
      </c>
      <c r="D5567" s="500" t="s">
        <v>763</v>
      </c>
      <c r="E5567" s="501">
        <v>-1014700927.5</v>
      </c>
      <c r="F5567" s="502" t="s">
        <v>878</v>
      </c>
      <c r="G5567" s="100">
        <v>115607812</v>
      </c>
      <c r="H5567" s="530"/>
      <c r="I5567" s="422" t="s">
        <v>715</v>
      </c>
      <c r="J5567" s="484"/>
      <c r="K5567" s="548"/>
      <c r="L5567" s="548"/>
      <c r="M5567" s="548"/>
      <c r="N5567" s="552"/>
    </row>
    <row r="5568" spans="1:25">
      <c r="A5568" s="499">
        <v>45678</v>
      </c>
      <c r="B5568" s="499">
        <v>45678</v>
      </c>
      <c r="C5568" s="500" t="s">
        <v>173</v>
      </c>
      <c r="D5568" s="500" t="s">
        <v>763</v>
      </c>
      <c r="E5568" s="501">
        <v>-621023750.76999998</v>
      </c>
      <c r="F5568" s="502" t="s">
        <v>878</v>
      </c>
      <c r="G5568" s="100">
        <v>115607906</v>
      </c>
      <c r="H5568" s="530"/>
      <c r="I5568" s="422" t="s">
        <v>1018</v>
      </c>
      <c r="J5568" s="484"/>
      <c r="K5568" s="548"/>
      <c r="L5568" s="548"/>
      <c r="M5568" s="548"/>
      <c r="N5568" s="552"/>
    </row>
    <row r="5569" spans="1:14">
      <c r="A5569" s="499">
        <v>45678</v>
      </c>
      <c r="B5569" s="499">
        <v>45678</v>
      </c>
      <c r="C5569" s="500" t="s">
        <v>173</v>
      </c>
      <c r="D5569" s="500" t="s">
        <v>763</v>
      </c>
      <c r="E5569" s="501">
        <v>-22001402.91</v>
      </c>
      <c r="F5569" s="502" t="s">
        <v>878</v>
      </c>
      <c r="G5569" s="100">
        <v>115607942</v>
      </c>
      <c r="H5569" s="530"/>
      <c r="I5569" s="422" t="s">
        <v>633</v>
      </c>
      <c r="J5569" s="484"/>
      <c r="K5569" s="548"/>
      <c r="L5569" s="548"/>
      <c r="M5569" s="548"/>
      <c r="N5569" s="552"/>
    </row>
    <row r="5570" spans="1:14">
      <c r="A5570" s="499">
        <v>45678</v>
      </c>
      <c r="B5570" s="499">
        <v>45678</v>
      </c>
      <c r="C5570" s="500" t="s">
        <v>173</v>
      </c>
      <c r="D5570" s="500" t="s">
        <v>763</v>
      </c>
      <c r="E5570" s="501">
        <v>-134008544.98</v>
      </c>
      <c r="F5570" s="502" t="s">
        <v>878</v>
      </c>
      <c r="G5570" s="100">
        <v>115618369</v>
      </c>
      <c r="H5570" s="530"/>
      <c r="I5570" s="422" t="s">
        <v>633</v>
      </c>
      <c r="J5570" s="484"/>
      <c r="K5570" s="548"/>
      <c r="L5570" s="548"/>
      <c r="M5570" s="548"/>
      <c r="N5570" s="552"/>
    </row>
    <row r="5571" spans="1:14">
      <c r="A5571" s="499">
        <v>45678</v>
      </c>
      <c r="B5571" s="499">
        <v>45678</v>
      </c>
      <c r="C5571" s="500" t="s">
        <v>173</v>
      </c>
      <c r="D5571" s="500" t="s">
        <v>763</v>
      </c>
      <c r="E5571" s="501">
        <v>-1000063.77</v>
      </c>
      <c r="F5571" s="502" t="s">
        <v>878</v>
      </c>
      <c r="G5571" s="100">
        <v>115618384</v>
      </c>
      <c r="H5571" s="530"/>
      <c r="I5571" s="422" t="s">
        <v>633</v>
      </c>
      <c r="J5571" s="484"/>
      <c r="K5571" s="548"/>
      <c r="L5571" s="548"/>
      <c r="M5571" s="548"/>
      <c r="N5571" s="552"/>
    </row>
    <row r="5572" spans="1:14">
      <c r="A5572" s="499">
        <v>45678</v>
      </c>
      <c r="B5572" s="499">
        <v>45679</v>
      </c>
      <c r="C5572" s="500" t="s">
        <v>173</v>
      </c>
      <c r="D5572" s="500" t="s">
        <v>763</v>
      </c>
      <c r="E5572" s="501">
        <v>957270268.27999997</v>
      </c>
      <c r="F5572" s="502" t="s">
        <v>878</v>
      </c>
      <c r="G5572" s="100">
        <v>115607798</v>
      </c>
      <c r="H5572" s="484">
        <v>115607798</v>
      </c>
      <c r="I5572" s="422" t="s">
        <v>682</v>
      </c>
      <c r="J5572" s="484"/>
      <c r="K5572" s="548"/>
      <c r="L5572" s="548"/>
      <c r="M5572" s="548"/>
      <c r="N5572" s="552"/>
    </row>
    <row r="5573" spans="1:14">
      <c r="A5573" s="499">
        <v>45678</v>
      </c>
      <c r="B5573" s="499">
        <v>45679</v>
      </c>
      <c r="C5573" s="500" t="s">
        <v>173</v>
      </c>
      <c r="D5573" s="500" t="s">
        <v>763</v>
      </c>
      <c r="E5573" s="501">
        <v>3071441668.4099998</v>
      </c>
      <c r="F5573" s="502" t="s">
        <v>878</v>
      </c>
      <c r="G5573" s="100">
        <v>115607804</v>
      </c>
      <c r="H5573" s="484">
        <v>115607804</v>
      </c>
      <c r="I5573" s="422" t="s">
        <v>670</v>
      </c>
      <c r="J5573" s="484"/>
      <c r="K5573" s="548"/>
      <c r="L5573" s="548"/>
      <c r="M5573" s="548"/>
      <c r="N5573" s="552"/>
    </row>
    <row r="5574" spans="1:14">
      <c r="A5574" s="499">
        <v>45678</v>
      </c>
      <c r="B5574" s="499">
        <v>45679</v>
      </c>
      <c r="C5574" s="500" t="s">
        <v>173</v>
      </c>
      <c r="D5574" s="500" t="s">
        <v>763</v>
      </c>
      <c r="E5574" s="501">
        <v>1015109587.87</v>
      </c>
      <c r="F5574" s="502" t="s">
        <v>878</v>
      </c>
      <c r="G5574" s="100">
        <v>115607812</v>
      </c>
      <c r="H5574" s="484">
        <v>115607812</v>
      </c>
      <c r="I5574" s="422" t="s">
        <v>715</v>
      </c>
      <c r="J5574" s="484"/>
      <c r="K5574" s="548"/>
      <c r="L5574" s="548"/>
      <c r="M5574" s="548"/>
      <c r="N5574" s="552"/>
    </row>
    <row r="5575" spans="1:14">
      <c r="A5575" s="499">
        <v>45678</v>
      </c>
      <c r="B5575" s="499">
        <v>45679</v>
      </c>
      <c r="C5575" s="500" t="s">
        <v>173</v>
      </c>
      <c r="D5575" s="500" t="s">
        <v>763</v>
      </c>
      <c r="E5575" s="501">
        <v>621273861.71000004</v>
      </c>
      <c r="F5575" s="502" t="s">
        <v>878</v>
      </c>
      <c r="G5575" s="100">
        <v>115607906</v>
      </c>
      <c r="H5575" s="484">
        <v>115607906</v>
      </c>
      <c r="I5575" s="422" t="s">
        <v>1018</v>
      </c>
      <c r="J5575" s="484"/>
      <c r="K5575" s="548"/>
      <c r="L5575" s="548"/>
      <c r="M5575" s="548"/>
      <c r="N5575" s="552"/>
    </row>
    <row r="5576" spans="1:14">
      <c r="A5576" s="499">
        <v>45678</v>
      </c>
      <c r="B5576" s="499">
        <v>45679</v>
      </c>
      <c r="C5576" s="500" t="s">
        <v>173</v>
      </c>
      <c r="D5576" s="500" t="s">
        <v>763</v>
      </c>
      <c r="E5576" s="501">
        <v>22010263.809999999</v>
      </c>
      <c r="F5576" s="502" t="s">
        <v>878</v>
      </c>
      <c r="G5576" s="100">
        <v>115607942</v>
      </c>
      <c r="H5576" s="484">
        <v>115607942</v>
      </c>
      <c r="I5576" s="422" t="s">
        <v>633</v>
      </c>
      <c r="J5576" s="484"/>
      <c r="K5576" s="548"/>
      <c r="L5576" s="548"/>
      <c r="M5576" s="548"/>
      <c r="N5576" s="552"/>
    </row>
    <row r="5577" spans="1:14">
      <c r="A5577" s="499">
        <v>45678</v>
      </c>
      <c r="B5577" s="499">
        <v>45679</v>
      </c>
      <c r="C5577" s="500" t="s">
        <v>173</v>
      </c>
      <c r="D5577" s="500" t="s">
        <v>763</v>
      </c>
      <c r="E5577" s="501">
        <v>134062699.12</v>
      </c>
      <c r="F5577" s="502" t="s">
        <v>878</v>
      </c>
      <c r="G5577" s="100">
        <v>115618369</v>
      </c>
      <c r="H5577" s="484">
        <v>115618369</v>
      </c>
      <c r="I5577" s="422" t="s">
        <v>633</v>
      </c>
      <c r="J5577" s="484"/>
      <c r="K5577" s="548"/>
      <c r="L5577" s="548"/>
      <c r="M5577" s="548"/>
      <c r="N5577" s="552"/>
    </row>
    <row r="5578" spans="1:14">
      <c r="A5578" s="499">
        <v>45678</v>
      </c>
      <c r="B5578" s="499">
        <v>45679</v>
      </c>
      <c r="C5578" s="500" t="s">
        <v>173</v>
      </c>
      <c r="D5578" s="500" t="s">
        <v>763</v>
      </c>
      <c r="E5578" s="501">
        <v>1000467.91</v>
      </c>
      <c r="F5578" s="502" t="s">
        <v>878</v>
      </c>
      <c r="G5578" s="100">
        <v>115618384</v>
      </c>
      <c r="H5578" s="484">
        <v>115618384</v>
      </c>
      <c r="I5578" s="422" t="s">
        <v>633</v>
      </c>
      <c r="J5578" s="484"/>
      <c r="K5578" s="548"/>
      <c r="L5578" s="548"/>
      <c r="M5578" s="548"/>
      <c r="N5578" s="552"/>
    </row>
    <row r="5579" spans="1:14">
      <c r="A5579" s="499">
        <v>45678</v>
      </c>
      <c r="B5579" s="499">
        <v>45678</v>
      </c>
      <c r="C5579" s="500" t="s">
        <v>173</v>
      </c>
      <c r="D5579" s="500" t="s">
        <v>762</v>
      </c>
      <c r="E5579" s="501">
        <v>-1069377805.98</v>
      </c>
      <c r="F5579" s="502" t="s">
        <v>878</v>
      </c>
      <c r="G5579" s="100">
        <v>115610465</v>
      </c>
      <c r="H5579" s="530"/>
      <c r="I5579" s="422" t="s">
        <v>680</v>
      </c>
      <c r="J5579" s="484"/>
      <c r="K5579" s="548"/>
      <c r="L5579" s="548"/>
      <c r="M5579" s="548"/>
      <c r="N5579" s="552"/>
    </row>
    <row r="5580" spans="1:14">
      <c r="A5580" s="499">
        <v>45678</v>
      </c>
      <c r="B5580" s="499">
        <v>45678</v>
      </c>
      <c r="C5580" s="500" t="s">
        <v>173</v>
      </c>
      <c r="D5580" s="500" t="s">
        <v>762</v>
      </c>
      <c r="E5580" s="501">
        <v>-3561258175.1999998</v>
      </c>
      <c r="F5580" s="502" t="s">
        <v>878</v>
      </c>
      <c r="G5580" s="100">
        <v>115610468</v>
      </c>
      <c r="H5580" s="530"/>
      <c r="I5580" s="422" t="s">
        <v>680</v>
      </c>
      <c r="J5580" s="484"/>
      <c r="K5580" s="548"/>
      <c r="L5580" s="548"/>
      <c r="M5580" s="548"/>
      <c r="N5580" s="552"/>
    </row>
    <row r="5581" spans="1:14">
      <c r="A5581" s="499">
        <v>45678</v>
      </c>
      <c r="B5581" s="499">
        <v>45678</v>
      </c>
      <c r="C5581" s="500" t="s">
        <v>173</v>
      </c>
      <c r="D5581" s="500" t="s">
        <v>762</v>
      </c>
      <c r="E5581" s="501">
        <v>-20007068.399999999</v>
      </c>
      <c r="F5581" s="502" t="s">
        <v>878</v>
      </c>
      <c r="G5581" s="100">
        <v>115610546</v>
      </c>
      <c r="H5581" s="530"/>
      <c r="I5581" s="422" t="s">
        <v>680</v>
      </c>
      <c r="J5581" s="484"/>
      <c r="K5581" s="548"/>
      <c r="L5581" s="548"/>
      <c r="M5581" s="548"/>
      <c r="N5581" s="552"/>
    </row>
    <row r="5582" spans="1:14">
      <c r="A5582" s="499">
        <v>45678</v>
      </c>
      <c r="B5582" s="499">
        <v>45685</v>
      </c>
      <c r="C5582" s="500" t="s">
        <v>173</v>
      </c>
      <c r="D5582" s="500" t="s">
        <v>762</v>
      </c>
      <c r="E5582" s="501">
        <v>1072454098.3</v>
      </c>
      <c r="F5582" s="502" t="s">
        <v>878</v>
      </c>
      <c r="G5582" s="100">
        <v>115610465</v>
      </c>
      <c r="H5582" s="484">
        <v>115610465</v>
      </c>
      <c r="I5582" s="422" t="s">
        <v>680</v>
      </c>
      <c r="J5582" s="484"/>
      <c r="K5582" s="548"/>
      <c r="L5582" s="548"/>
      <c r="M5582" s="548"/>
      <c r="N5582" s="552"/>
    </row>
    <row r="5583" spans="1:14">
      <c r="A5583" s="499">
        <v>45678</v>
      </c>
      <c r="B5583" s="499">
        <v>45685</v>
      </c>
      <c r="C5583" s="500" t="s">
        <v>173</v>
      </c>
      <c r="D5583" s="500" t="s">
        <v>762</v>
      </c>
      <c r="E5583" s="501">
        <v>3571502890.5</v>
      </c>
      <c r="F5583" s="502" t="s">
        <v>878</v>
      </c>
      <c r="G5583" s="100">
        <v>115610468</v>
      </c>
      <c r="H5583" s="484">
        <v>115610468</v>
      </c>
      <c r="I5583" s="422" t="s">
        <v>680</v>
      </c>
      <c r="J5583" s="484"/>
      <c r="K5583" s="548"/>
      <c r="L5583" s="548"/>
      <c r="M5583" s="548"/>
      <c r="N5583" s="552"/>
    </row>
    <row r="5584" spans="1:14">
      <c r="A5584" s="499">
        <v>45678</v>
      </c>
      <c r="B5584" s="499">
        <v>45685</v>
      </c>
      <c r="C5584" s="500" t="s">
        <v>173</v>
      </c>
      <c r="D5584" s="500" t="s">
        <v>762</v>
      </c>
      <c r="E5584" s="501">
        <v>20064622.98</v>
      </c>
      <c r="F5584" s="502" t="s">
        <v>878</v>
      </c>
      <c r="G5584" s="100">
        <v>115610546</v>
      </c>
      <c r="H5584" s="484">
        <v>115610546</v>
      </c>
      <c r="I5584" s="422" t="s">
        <v>680</v>
      </c>
      <c r="J5584" s="484"/>
      <c r="K5584" s="548"/>
      <c r="L5584" s="548"/>
      <c r="M5584" s="548"/>
      <c r="N5584" s="552">
        <v>-1</v>
      </c>
    </row>
    <row r="5585" spans="1:14">
      <c r="A5585" s="499">
        <v>45678</v>
      </c>
      <c r="B5585" s="499">
        <v>45678</v>
      </c>
      <c r="C5585" s="500" t="s">
        <v>173</v>
      </c>
      <c r="D5585" s="500" t="s">
        <v>759</v>
      </c>
      <c r="E5585" s="501">
        <v>-1325499302.4000001</v>
      </c>
      <c r="F5585" s="502" t="s">
        <v>878</v>
      </c>
      <c r="G5585" s="100">
        <v>115606437</v>
      </c>
      <c r="H5585" s="530"/>
      <c r="I5585" s="422" t="s">
        <v>592</v>
      </c>
      <c r="J5585" s="484"/>
      <c r="K5585" s="548"/>
      <c r="L5585" s="548"/>
      <c r="M5585" s="548"/>
      <c r="N5585" s="552"/>
    </row>
    <row r="5586" spans="1:14">
      <c r="A5586" s="499">
        <v>45678</v>
      </c>
      <c r="B5586" s="499">
        <v>45678</v>
      </c>
      <c r="C5586" s="500" t="s">
        <v>173</v>
      </c>
      <c r="D5586" s="500" t="s">
        <v>759</v>
      </c>
      <c r="E5586" s="501">
        <v>-1000435.71</v>
      </c>
      <c r="F5586" s="502" t="s">
        <v>878</v>
      </c>
      <c r="G5586" s="100">
        <v>115606442</v>
      </c>
      <c r="H5586" s="530"/>
      <c r="I5586" s="422" t="s">
        <v>598</v>
      </c>
      <c r="J5586" s="484"/>
      <c r="K5586" s="548"/>
      <c r="L5586" s="548"/>
      <c r="M5586" s="548"/>
      <c r="N5586" s="552"/>
    </row>
    <row r="5587" spans="1:14">
      <c r="A5587" s="499">
        <v>45678</v>
      </c>
      <c r="B5587" s="499">
        <v>45678</v>
      </c>
      <c r="C5587" s="500" t="s">
        <v>173</v>
      </c>
      <c r="D5587" s="500" t="s">
        <v>759</v>
      </c>
      <c r="E5587" s="501">
        <v>-1000376.83</v>
      </c>
      <c r="F5587" s="502" t="s">
        <v>878</v>
      </c>
      <c r="G5587" s="100">
        <v>115606445</v>
      </c>
      <c r="H5587" s="530"/>
      <c r="I5587" s="422" t="s">
        <v>592</v>
      </c>
      <c r="J5587" s="484"/>
      <c r="K5587" s="548"/>
      <c r="L5587" s="548"/>
      <c r="M5587" s="548"/>
      <c r="N5587" s="552"/>
    </row>
    <row r="5588" spans="1:14">
      <c r="A5588" s="499">
        <v>45678</v>
      </c>
      <c r="B5588" s="499">
        <v>45678</v>
      </c>
      <c r="C5588" s="500" t="s">
        <v>173</v>
      </c>
      <c r="D5588" s="500" t="s">
        <v>759</v>
      </c>
      <c r="E5588" s="501">
        <v>-1000443.86</v>
      </c>
      <c r="F5588" s="502" t="s">
        <v>878</v>
      </c>
      <c r="G5588" s="100">
        <v>115606448</v>
      </c>
      <c r="H5588" s="530"/>
      <c r="I5588" s="422" t="s">
        <v>596</v>
      </c>
      <c r="J5588" s="484"/>
      <c r="K5588" s="548"/>
      <c r="L5588" s="548"/>
      <c r="M5588" s="548"/>
      <c r="N5588" s="552"/>
    </row>
    <row r="5589" spans="1:14">
      <c r="A5589" s="499">
        <v>45678</v>
      </c>
      <c r="B5589" s="499">
        <v>45678</v>
      </c>
      <c r="C5589" s="500" t="s">
        <v>173</v>
      </c>
      <c r="D5589" s="500" t="s">
        <v>759</v>
      </c>
      <c r="E5589" s="501">
        <v>-1000720.42</v>
      </c>
      <c r="F5589" s="502" t="s">
        <v>878</v>
      </c>
      <c r="G5589" s="100">
        <v>115606451</v>
      </c>
      <c r="H5589" s="530"/>
      <c r="I5589" s="422" t="s">
        <v>713</v>
      </c>
      <c r="J5589" s="484"/>
      <c r="K5589" s="548"/>
      <c r="L5589" s="548"/>
      <c r="M5589" s="548"/>
      <c r="N5589" s="552"/>
    </row>
    <row r="5590" spans="1:14">
      <c r="A5590" s="499">
        <v>45678</v>
      </c>
      <c r="B5590" s="499">
        <v>45678</v>
      </c>
      <c r="C5590" s="500" t="s">
        <v>173</v>
      </c>
      <c r="D5590" s="500" t="s">
        <v>759</v>
      </c>
      <c r="E5590" s="501">
        <v>-1000388.15</v>
      </c>
      <c r="F5590" s="502" t="s">
        <v>878</v>
      </c>
      <c r="G5590" s="100">
        <v>115606454</v>
      </c>
      <c r="H5590" s="530"/>
      <c r="I5590" s="422" t="s">
        <v>676</v>
      </c>
      <c r="J5590" s="484"/>
      <c r="K5590" s="548"/>
      <c r="L5590" s="548"/>
      <c r="M5590" s="548"/>
      <c r="N5590" s="552"/>
    </row>
    <row r="5591" spans="1:14">
      <c r="A5591" s="499">
        <v>45678</v>
      </c>
      <c r="B5591" s="499">
        <v>45678</v>
      </c>
      <c r="C5591" s="500" t="s">
        <v>173</v>
      </c>
      <c r="D5591" s="500" t="s">
        <v>759</v>
      </c>
      <c r="E5591" s="501">
        <v>-1000737.79</v>
      </c>
      <c r="F5591" s="502" t="s">
        <v>878</v>
      </c>
      <c r="G5591" s="100">
        <v>115606457</v>
      </c>
      <c r="H5591" s="530"/>
      <c r="I5591" s="422" t="s">
        <v>696</v>
      </c>
      <c r="J5591" s="484"/>
      <c r="K5591" s="548"/>
      <c r="L5591" s="548"/>
      <c r="M5591" s="548"/>
      <c r="N5591" s="552"/>
    </row>
    <row r="5592" spans="1:14">
      <c r="A5592" s="499">
        <v>45678</v>
      </c>
      <c r="B5592" s="499">
        <v>45678</v>
      </c>
      <c r="C5592" s="500" t="s">
        <v>173</v>
      </c>
      <c r="D5592" s="500" t="s">
        <v>759</v>
      </c>
      <c r="E5592" s="501">
        <v>-1000303.14</v>
      </c>
      <c r="F5592" s="502" t="s">
        <v>878</v>
      </c>
      <c r="G5592" s="100">
        <v>115606460</v>
      </c>
      <c r="H5592" s="530"/>
      <c r="I5592" s="422" t="s">
        <v>695</v>
      </c>
      <c r="J5592" s="484"/>
      <c r="K5592" s="548"/>
      <c r="L5592" s="548"/>
      <c r="M5592" s="548"/>
      <c r="N5592" s="552"/>
    </row>
    <row r="5593" spans="1:14">
      <c r="A5593" s="499">
        <v>45678</v>
      </c>
      <c r="B5593" s="499">
        <v>45678</v>
      </c>
      <c r="C5593" s="500" t="s">
        <v>173</v>
      </c>
      <c r="D5593" s="500" t="s">
        <v>759</v>
      </c>
      <c r="E5593" s="501">
        <v>-1000726.91</v>
      </c>
      <c r="F5593" s="502" t="s">
        <v>878</v>
      </c>
      <c r="G5593" s="100">
        <v>115606463</v>
      </c>
      <c r="H5593" s="530"/>
      <c r="I5593" s="422" t="s">
        <v>602</v>
      </c>
      <c r="J5593" s="484"/>
      <c r="K5593" s="548"/>
      <c r="L5593" s="548"/>
      <c r="M5593" s="548"/>
      <c r="N5593" s="552"/>
    </row>
    <row r="5594" spans="1:14">
      <c r="A5594" s="499">
        <v>45678</v>
      </c>
      <c r="B5594" s="499">
        <v>45678</v>
      </c>
      <c r="C5594" s="500" t="s">
        <v>173</v>
      </c>
      <c r="D5594" s="500" t="s">
        <v>759</v>
      </c>
      <c r="E5594" s="501">
        <v>-1000376.83</v>
      </c>
      <c r="F5594" s="502" t="s">
        <v>878</v>
      </c>
      <c r="G5594" s="100">
        <v>115606466</v>
      </c>
      <c r="H5594" s="530"/>
      <c r="I5594" s="422" t="s">
        <v>592</v>
      </c>
      <c r="J5594" s="484"/>
      <c r="K5594" s="548"/>
      <c r="L5594" s="548"/>
      <c r="M5594" s="548"/>
      <c r="N5594" s="552"/>
    </row>
    <row r="5595" spans="1:14">
      <c r="A5595" s="499">
        <v>45678</v>
      </c>
      <c r="B5595" s="499">
        <v>45678</v>
      </c>
      <c r="C5595" s="500" t="s">
        <v>173</v>
      </c>
      <c r="D5595" s="500" t="s">
        <v>759</v>
      </c>
      <c r="E5595" s="501">
        <v>-2000640.22</v>
      </c>
      <c r="F5595" s="502" t="s">
        <v>878</v>
      </c>
      <c r="G5595" s="100">
        <v>115606469</v>
      </c>
      <c r="H5595" s="530"/>
      <c r="I5595" s="422" t="s">
        <v>588</v>
      </c>
      <c r="J5595" s="484"/>
      <c r="K5595" s="548"/>
      <c r="L5595" s="548"/>
      <c r="M5595" s="548"/>
      <c r="N5595" s="552"/>
    </row>
    <row r="5596" spans="1:14">
      <c r="A5596" s="499">
        <v>45678</v>
      </c>
      <c r="B5596" s="499">
        <v>45678</v>
      </c>
      <c r="C5596" s="500" t="s">
        <v>173</v>
      </c>
      <c r="D5596" s="500" t="s">
        <v>759</v>
      </c>
      <c r="E5596" s="501">
        <v>-3002607.2</v>
      </c>
      <c r="F5596" s="502" t="s">
        <v>878</v>
      </c>
      <c r="G5596" s="100">
        <v>115606472</v>
      </c>
      <c r="H5596" s="530"/>
      <c r="I5596" s="422" t="s">
        <v>817</v>
      </c>
      <c r="J5596" s="484"/>
      <c r="K5596" s="548"/>
      <c r="L5596" s="548"/>
      <c r="M5596" s="548"/>
      <c r="N5596" s="552"/>
    </row>
    <row r="5597" spans="1:14">
      <c r="A5597" s="499">
        <v>45678</v>
      </c>
      <c r="B5597" s="499">
        <v>45678</v>
      </c>
      <c r="C5597" s="500" t="s">
        <v>173</v>
      </c>
      <c r="D5597" s="500" t="s">
        <v>759</v>
      </c>
      <c r="E5597" s="501">
        <v>-3002180.74</v>
      </c>
      <c r="F5597" s="502" t="s">
        <v>878</v>
      </c>
      <c r="G5597" s="100">
        <v>115606475</v>
      </c>
      <c r="H5597" s="530"/>
      <c r="I5597" s="422" t="s">
        <v>602</v>
      </c>
      <c r="J5597" s="484"/>
      <c r="K5597" s="548"/>
      <c r="L5597" s="548"/>
      <c r="M5597" s="548"/>
      <c r="N5597" s="552"/>
    </row>
    <row r="5598" spans="1:14">
      <c r="A5598" s="499">
        <v>45678</v>
      </c>
      <c r="B5598" s="499">
        <v>45678</v>
      </c>
      <c r="C5598" s="500" t="s">
        <v>173</v>
      </c>
      <c r="D5598" s="500" t="s">
        <v>759</v>
      </c>
      <c r="E5598" s="501">
        <v>-3000535.29</v>
      </c>
      <c r="F5598" s="502" t="s">
        <v>878</v>
      </c>
      <c r="G5598" s="100">
        <v>115606478</v>
      </c>
      <c r="H5598" s="530"/>
      <c r="I5598" s="422" t="s">
        <v>550</v>
      </c>
      <c r="J5598" s="484"/>
      <c r="K5598" s="548"/>
      <c r="L5598" s="548"/>
      <c r="M5598" s="548"/>
      <c r="N5598" s="552"/>
    </row>
    <row r="5599" spans="1:14">
      <c r="A5599" s="499">
        <v>45678</v>
      </c>
      <c r="B5599" s="499">
        <v>45678</v>
      </c>
      <c r="C5599" s="500" t="s">
        <v>173</v>
      </c>
      <c r="D5599" s="500" t="s">
        <v>759</v>
      </c>
      <c r="E5599" s="501">
        <v>-4003629.24</v>
      </c>
      <c r="F5599" s="502" t="s">
        <v>878</v>
      </c>
      <c r="G5599" s="100">
        <v>115606481</v>
      </c>
      <c r="H5599" s="530"/>
      <c r="I5599" s="422" t="s">
        <v>604</v>
      </c>
      <c r="J5599" s="484"/>
      <c r="K5599" s="548"/>
      <c r="L5599" s="548"/>
      <c r="M5599" s="548"/>
      <c r="N5599" s="552"/>
    </row>
    <row r="5600" spans="1:14">
      <c r="A5600" s="499">
        <v>45678</v>
      </c>
      <c r="B5600" s="499">
        <v>45678</v>
      </c>
      <c r="C5600" s="500" t="s">
        <v>173</v>
      </c>
      <c r="D5600" s="500" t="s">
        <v>759</v>
      </c>
      <c r="E5600" s="501">
        <v>-4001507.33</v>
      </c>
      <c r="F5600" s="502" t="s">
        <v>878</v>
      </c>
      <c r="G5600" s="100">
        <v>115606484</v>
      </c>
      <c r="H5600" s="530"/>
      <c r="I5600" s="422" t="s">
        <v>592</v>
      </c>
      <c r="J5600" s="484"/>
      <c r="K5600" s="548"/>
      <c r="L5600" s="548"/>
      <c r="M5600" s="548"/>
      <c r="N5600" s="552"/>
    </row>
    <row r="5601" spans="1:14">
      <c r="A5601" s="499">
        <v>45678</v>
      </c>
      <c r="B5601" s="499">
        <v>45678</v>
      </c>
      <c r="C5601" s="500" t="s">
        <v>173</v>
      </c>
      <c r="D5601" s="500" t="s">
        <v>759</v>
      </c>
      <c r="E5601" s="501">
        <v>-4003629.24</v>
      </c>
      <c r="F5601" s="502" t="s">
        <v>878</v>
      </c>
      <c r="G5601" s="100">
        <v>115606487</v>
      </c>
      <c r="H5601" s="530"/>
      <c r="I5601" s="422" t="s">
        <v>604</v>
      </c>
      <c r="J5601" s="484"/>
      <c r="K5601" s="548"/>
      <c r="L5601" s="548"/>
      <c r="M5601" s="548"/>
      <c r="N5601" s="552"/>
    </row>
    <row r="5602" spans="1:14">
      <c r="A5602" s="499">
        <v>45678</v>
      </c>
      <c r="B5602" s="499">
        <v>45678</v>
      </c>
      <c r="C5602" s="500" t="s">
        <v>173</v>
      </c>
      <c r="D5602" s="500" t="s">
        <v>759</v>
      </c>
      <c r="E5602" s="501">
        <v>-5001603.32</v>
      </c>
      <c r="F5602" s="502" t="s">
        <v>878</v>
      </c>
      <c r="G5602" s="100">
        <v>115606490</v>
      </c>
      <c r="H5602" s="530"/>
      <c r="I5602" s="422" t="s">
        <v>709</v>
      </c>
      <c r="J5602" s="484"/>
      <c r="K5602" s="548"/>
      <c r="L5602" s="548"/>
      <c r="M5602" s="548"/>
      <c r="N5602" s="552"/>
    </row>
    <row r="5603" spans="1:14">
      <c r="A5603" s="499">
        <v>45678</v>
      </c>
      <c r="B5603" s="499">
        <v>45678</v>
      </c>
      <c r="C5603" s="500" t="s">
        <v>173</v>
      </c>
      <c r="D5603" s="500" t="s">
        <v>759</v>
      </c>
      <c r="E5603" s="501">
        <v>-5001940.75</v>
      </c>
      <c r="F5603" s="502" t="s">
        <v>878</v>
      </c>
      <c r="G5603" s="100">
        <v>115606493</v>
      </c>
      <c r="H5603" s="530"/>
      <c r="I5603" s="422" t="s">
        <v>676</v>
      </c>
      <c r="J5603" s="484"/>
      <c r="K5603" s="548"/>
      <c r="L5603" s="548"/>
      <c r="M5603" s="548"/>
      <c r="N5603" s="552"/>
    </row>
    <row r="5604" spans="1:14">
      <c r="A5604" s="499">
        <v>45678</v>
      </c>
      <c r="B5604" s="499">
        <v>45678</v>
      </c>
      <c r="C5604" s="500" t="s">
        <v>173</v>
      </c>
      <c r="D5604" s="500" t="s">
        <v>759</v>
      </c>
      <c r="E5604" s="501">
        <v>-5000050.82</v>
      </c>
      <c r="F5604" s="502" t="s">
        <v>878</v>
      </c>
      <c r="G5604" s="100">
        <v>115606496</v>
      </c>
      <c r="H5604" s="530"/>
      <c r="I5604" s="422" t="s">
        <v>600</v>
      </c>
      <c r="J5604" s="484"/>
      <c r="K5604" s="548"/>
      <c r="L5604" s="548"/>
      <c r="M5604" s="548"/>
      <c r="N5604" s="552"/>
    </row>
    <row r="5605" spans="1:14">
      <c r="A5605" s="499">
        <v>45678</v>
      </c>
      <c r="B5605" s="499">
        <v>45678</v>
      </c>
      <c r="C5605" s="500" t="s">
        <v>173</v>
      </c>
      <c r="D5605" s="500" t="s">
        <v>759</v>
      </c>
      <c r="E5605" s="501">
        <v>-5001884.16</v>
      </c>
      <c r="F5605" s="502" t="s">
        <v>878</v>
      </c>
      <c r="G5605" s="100">
        <v>115606499</v>
      </c>
      <c r="H5605" s="530"/>
      <c r="I5605" s="422" t="s">
        <v>592</v>
      </c>
      <c r="J5605" s="484"/>
      <c r="K5605" s="548"/>
      <c r="L5605" s="548"/>
      <c r="M5605" s="548"/>
      <c r="N5605" s="552"/>
    </row>
    <row r="5606" spans="1:14">
      <c r="A5606" s="499">
        <v>45678</v>
      </c>
      <c r="B5606" s="499">
        <v>45678</v>
      </c>
      <c r="C5606" s="500" t="s">
        <v>173</v>
      </c>
      <c r="D5606" s="500" t="s">
        <v>759</v>
      </c>
      <c r="E5606" s="501">
        <v>-5001955.99</v>
      </c>
      <c r="F5606" s="502" t="s">
        <v>878</v>
      </c>
      <c r="G5606" s="100">
        <v>115606502</v>
      </c>
      <c r="H5606" s="530"/>
      <c r="I5606" s="422" t="s">
        <v>525</v>
      </c>
      <c r="J5606" s="484"/>
      <c r="K5606" s="548"/>
      <c r="L5606" s="548"/>
      <c r="M5606" s="548"/>
      <c r="N5606" s="552"/>
    </row>
    <row r="5607" spans="1:14">
      <c r="A5607" s="499">
        <v>45678</v>
      </c>
      <c r="B5607" s="499">
        <v>45678</v>
      </c>
      <c r="C5607" s="500" t="s">
        <v>173</v>
      </c>
      <c r="D5607" s="500" t="s">
        <v>759</v>
      </c>
      <c r="E5607" s="501">
        <v>-7004757.6900000004</v>
      </c>
      <c r="F5607" s="502" t="s">
        <v>878</v>
      </c>
      <c r="G5607" s="100">
        <v>115606505</v>
      </c>
      <c r="H5607" s="530"/>
      <c r="I5607" s="422" t="s">
        <v>674</v>
      </c>
      <c r="J5607" s="484"/>
      <c r="K5607" s="548"/>
      <c r="L5607" s="548"/>
      <c r="M5607" s="548"/>
      <c r="N5607" s="552"/>
    </row>
    <row r="5608" spans="1:14">
      <c r="A5608" s="499">
        <v>45678</v>
      </c>
      <c r="B5608" s="499">
        <v>45678</v>
      </c>
      <c r="C5608" s="500" t="s">
        <v>173</v>
      </c>
      <c r="D5608" s="500" t="s">
        <v>759</v>
      </c>
      <c r="E5608" s="501">
        <v>-7001249.0099999998</v>
      </c>
      <c r="F5608" s="502" t="s">
        <v>878</v>
      </c>
      <c r="G5608" s="100">
        <v>115606508</v>
      </c>
      <c r="H5608" s="530"/>
      <c r="I5608" s="422" t="s">
        <v>550</v>
      </c>
      <c r="J5608" s="484"/>
      <c r="K5608" s="548"/>
      <c r="L5608" s="548"/>
      <c r="M5608" s="548"/>
      <c r="N5608" s="552"/>
    </row>
    <row r="5609" spans="1:14">
      <c r="A5609" s="499">
        <v>45678</v>
      </c>
      <c r="B5609" s="499">
        <v>45678</v>
      </c>
      <c r="C5609" s="500" t="s">
        <v>173</v>
      </c>
      <c r="D5609" s="500" t="s">
        <v>759</v>
      </c>
      <c r="E5609" s="501">
        <v>-7002717.0499999998</v>
      </c>
      <c r="F5609" s="502" t="s">
        <v>878</v>
      </c>
      <c r="G5609" s="100">
        <v>115606511</v>
      </c>
      <c r="H5609" s="530"/>
      <c r="I5609" s="422" t="s">
        <v>676</v>
      </c>
      <c r="J5609" s="484"/>
      <c r="K5609" s="548"/>
      <c r="L5609" s="548"/>
      <c r="M5609" s="548"/>
      <c r="N5609" s="552"/>
    </row>
    <row r="5610" spans="1:14">
      <c r="A5610" s="499">
        <v>45678</v>
      </c>
      <c r="B5610" s="499">
        <v>45678</v>
      </c>
      <c r="C5610" s="500" t="s">
        <v>173</v>
      </c>
      <c r="D5610" s="500" t="s">
        <v>759</v>
      </c>
      <c r="E5610" s="501">
        <v>-362290228.79000002</v>
      </c>
      <c r="F5610" s="502" t="s">
        <v>878</v>
      </c>
      <c r="G5610" s="100">
        <v>115606514</v>
      </c>
      <c r="H5610" s="530"/>
      <c r="I5610" s="422" t="s">
        <v>708</v>
      </c>
      <c r="J5610" s="484"/>
      <c r="K5610" s="548"/>
      <c r="L5610" s="548"/>
      <c r="M5610" s="548"/>
      <c r="N5610" s="552"/>
    </row>
    <row r="5611" spans="1:14">
      <c r="A5611" s="499">
        <v>45678</v>
      </c>
      <c r="B5611" s="499">
        <v>45678</v>
      </c>
      <c r="C5611" s="500" t="s">
        <v>173</v>
      </c>
      <c r="D5611" s="500" t="s">
        <v>759</v>
      </c>
      <c r="E5611" s="501">
        <v>-246086941.31999999</v>
      </c>
      <c r="F5611" s="502" t="s">
        <v>878</v>
      </c>
      <c r="G5611" s="100">
        <v>115606517</v>
      </c>
      <c r="H5611" s="530"/>
      <c r="I5611" s="422" t="s">
        <v>680</v>
      </c>
      <c r="J5611" s="484"/>
      <c r="K5611" s="548"/>
      <c r="L5611" s="548"/>
      <c r="M5611" s="548"/>
      <c r="N5611" s="552"/>
    </row>
    <row r="5612" spans="1:14">
      <c r="A5612" s="499">
        <v>45678</v>
      </c>
      <c r="B5612" s="499">
        <v>45678</v>
      </c>
      <c r="C5612" s="500" t="s">
        <v>173</v>
      </c>
      <c r="D5612" s="500" t="s">
        <v>759</v>
      </c>
      <c r="E5612" s="501">
        <v>-8003119.5800000001</v>
      </c>
      <c r="F5612" s="502" t="s">
        <v>878</v>
      </c>
      <c r="G5612" s="100">
        <v>115606553</v>
      </c>
      <c r="H5612" s="530"/>
      <c r="I5612" s="422" t="s">
        <v>652</v>
      </c>
      <c r="J5612" s="484"/>
      <c r="K5612" s="548"/>
      <c r="L5612" s="548"/>
      <c r="M5612" s="548"/>
      <c r="N5612" s="552"/>
    </row>
    <row r="5613" spans="1:14">
      <c r="A5613" s="499">
        <v>45678</v>
      </c>
      <c r="B5613" s="499">
        <v>45679</v>
      </c>
      <c r="C5613" s="500" t="s">
        <v>173</v>
      </c>
      <c r="D5613" s="500" t="s">
        <v>759</v>
      </c>
      <c r="E5613" s="501">
        <v>1326033133.6300001</v>
      </c>
      <c r="F5613" s="502" t="s">
        <v>878</v>
      </c>
      <c r="G5613" s="100">
        <v>115606437</v>
      </c>
      <c r="H5613" s="100">
        <v>115606437</v>
      </c>
      <c r="I5613" s="422" t="s">
        <v>592</v>
      </c>
      <c r="J5613" s="484"/>
      <c r="K5613" s="548"/>
      <c r="L5613" s="548"/>
      <c r="M5613" s="548"/>
      <c r="N5613" s="552"/>
    </row>
    <row r="5614" spans="1:14">
      <c r="A5614" s="499">
        <v>45678</v>
      </c>
      <c r="B5614" s="499">
        <v>45679</v>
      </c>
      <c r="C5614" s="500" t="s">
        <v>173</v>
      </c>
      <c r="D5614" s="500" t="s">
        <v>759</v>
      </c>
      <c r="E5614" s="501">
        <v>1000838.63</v>
      </c>
      <c r="F5614" s="502" t="s">
        <v>878</v>
      </c>
      <c r="G5614" s="100">
        <v>115606442</v>
      </c>
      <c r="H5614" s="100">
        <v>115606442</v>
      </c>
      <c r="I5614" s="422" t="s">
        <v>598</v>
      </c>
      <c r="J5614" s="484"/>
      <c r="K5614" s="548"/>
      <c r="L5614" s="548"/>
      <c r="M5614" s="548"/>
      <c r="N5614" s="552"/>
    </row>
    <row r="5615" spans="1:14">
      <c r="A5615" s="499">
        <v>45678</v>
      </c>
      <c r="B5615" s="499">
        <v>45679</v>
      </c>
      <c r="C5615" s="500" t="s">
        <v>173</v>
      </c>
      <c r="D5615" s="500" t="s">
        <v>759</v>
      </c>
      <c r="E5615" s="501">
        <v>1000779.72</v>
      </c>
      <c r="F5615" s="502" t="s">
        <v>878</v>
      </c>
      <c r="G5615" s="100">
        <v>115606445</v>
      </c>
      <c r="H5615" s="100">
        <v>115606445</v>
      </c>
      <c r="I5615" s="422" t="s">
        <v>592</v>
      </c>
      <c r="J5615" s="484"/>
      <c r="K5615" s="548"/>
      <c r="L5615" s="548"/>
      <c r="M5615" s="548"/>
      <c r="N5615" s="552"/>
    </row>
    <row r="5616" spans="1:14">
      <c r="A5616" s="499">
        <v>45678</v>
      </c>
      <c r="B5616" s="499">
        <v>45679</v>
      </c>
      <c r="C5616" s="500" t="s">
        <v>173</v>
      </c>
      <c r="D5616" s="500" t="s">
        <v>759</v>
      </c>
      <c r="E5616" s="501">
        <v>1000846.78</v>
      </c>
      <c r="F5616" s="502" t="s">
        <v>878</v>
      </c>
      <c r="G5616" s="100">
        <v>115606448</v>
      </c>
      <c r="H5616" s="100">
        <v>115606448</v>
      </c>
      <c r="I5616" s="422" t="s">
        <v>596</v>
      </c>
      <c r="J5616" s="484"/>
      <c r="K5616" s="548"/>
      <c r="L5616" s="548"/>
      <c r="M5616" s="548"/>
      <c r="N5616" s="552"/>
    </row>
    <row r="5617" spans="1:14">
      <c r="A5617" s="499">
        <v>45678</v>
      </c>
      <c r="B5617" s="499">
        <v>45679</v>
      </c>
      <c r="C5617" s="500" t="s">
        <v>173</v>
      </c>
      <c r="D5617" s="500" t="s">
        <v>759</v>
      </c>
      <c r="E5617" s="501">
        <v>1001123.45</v>
      </c>
      <c r="F5617" s="502" t="s">
        <v>878</v>
      </c>
      <c r="G5617" s="100">
        <v>115606451</v>
      </c>
      <c r="H5617" s="100">
        <v>115606451</v>
      </c>
      <c r="I5617" s="422" t="s">
        <v>713</v>
      </c>
      <c r="J5617" s="484"/>
      <c r="K5617" s="548"/>
      <c r="L5617" s="548"/>
      <c r="M5617" s="548"/>
      <c r="N5617" s="552"/>
    </row>
    <row r="5618" spans="1:14">
      <c r="A5618" s="499">
        <v>45678</v>
      </c>
      <c r="B5618" s="499">
        <v>45679</v>
      </c>
      <c r="C5618" s="500" t="s">
        <v>173</v>
      </c>
      <c r="D5618" s="500" t="s">
        <v>759</v>
      </c>
      <c r="E5618" s="501">
        <v>1000791.05</v>
      </c>
      <c r="F5618" s="502" t="s">
        <v>878</v>
      </c>
      <c r="G5618" s="100">
        <v>115606454</v>
      </c>
      <c r="H5618" s="100">
        <v>115606454</v>
      </c>
      <c r="I5618" s="422" t="s">
        <v>676</v>
      </c>
      <c r="J5618" s="484"/>
      <c r="K5618" s="548"/>
      <c r="L5618" s="548"/>
      <c r="M5618" s="548"/>
      <c r="N5618" s="552"/>
    </row>
    <row r="5619" spans="1:14">
      <c r="A5619" s="499">
        <v>45678</v>
      </c>
      <c r="B5619" s="499">
        <v>45679</v>
      </c>
      <c r="C5619" s="500" t="s">
        <v>173</v>
      </c>
      <c r="D5619" s="500" t="s">
        <v>759</v>
      </c>
      <c r="E5619" s="501">
        <v>1001140.83</v>
      </c>
      <c r="F5619" s="502" t="s">
        <v>878</v>
      </c>
      <c r="G5619" s="100">
        <v>115606457</v>
      </c>
      <c r="H5619" s="100">
        <v>115606457</v>
      </c>
      <c r="I5619" s="422" t="s">
        <v>696</v>
      </c>
      <c r="J5619" s="484"/>
      <c r="K5619" s="548"/>
      <c r="L5619" s="548"/>
      <c r="M5619" s="548"/>
      <c r="N5619" s="552"/>
    </row>
    <row r="5620" spans="1:14">
      <c r="A5620" s="499">
        <v>45678</v>
      </c>
      <c r="B5620" s="499">
        <v>45679</v>
      </c>
      <c r="C5620" s="500" t="s">
        <v>173</v>
      </c>
      <c r="D5620" s="500" t="s">
        <v>759</v>
      </c>
      <c r="E5620" s="501">
        <v>1000706</v>
      </c>
      <c r="F5620" s="502" t="s">
        <v>878</v>
      </c>
      <c r="G5620" s="100">
        <v>115606460</v>
      </c>
      <c r="H5620" s="100">
        <v>115606460</v>
      </c>
      <c r="I5620" s="422" t="s">
        <v>695</v>
      </c>
      <c r="J5620" s="484"/>
      <c r="K5620" s="548"/>
      <c r="L5620" s="548"/>
      <c r="M5620" s="548"/>
      <c r="N5620" s="552"/>
    </row>
    <row r="5621" spans="1:14">
      <c r="A5621" s="499">
        <v>45678</v>
      </c>
      <c r="B5621" s="499">
        <v>45679</v>
      </c>
      <c r="C5621" s="500" t="s">
        <v>173</v>
      </c>
      <c r="D5621" s="500" t="s">
        <v>759</v>
      </c>
      <c r="E5621" s="501">
        <v>1001129.94</v>
      </c>
      <c r="F5621" s="502" t="s">
        <v>878</v>
      </c>
      <c r="G5621" s="100">
        <v>115606463</v>
      </c>
      <c r="H5621" s="100">
        <v>115606463</v>
      </c>
      <c r="I5621" s="422" t="s">
        <v>602</v>
      </c>
      <c r="J5621" s="484"/>
      <c r="K5621" s="548"/>
      <c r="L5621" s="548"/>
      <c r="M5621" s="548"/>
      <c r="N5621" s="552"/>
    </row>
    <row r="5622" spans="1:14">
      <c r="A5622" s="499">
        <v>45678</v>
      </c>
      <c r="B5622" s="499">
        <v>45679</v>
      </c>
      <c r="C5622" s="500" t="s">
        <v>173</v>
      </c>
      <c r="D5622" s="500" t="s">
        <v>759</v>
      </c>
      <c r="E5622" s="501">
        <v>1000779.72</v>
      </c>
      <c r="F5622" s="502" t="s">
        <v>878</v>
      </c>
      <c r="G5622" s="100">
        <v>115606466</v>
      </c>
      <c r="H5622" s="100">
        <v>115606466</v>
      </c>
      <c r="I5622" s="422" t="s">
        <v>592</v>
      </c>
      <c r="J5622" s="484"/>
      <c r="K5622" s="548"/>
      <c r="L5622" s="548"/>
      <c r="M5622" s="548"/>
      <c r="N5622" s="552"/>
    </row>
    <row r="5623" spans="1:14">
      <c r="A5623" s="499">
        <v>45678</v>
      </c>
      <c r="B5623" s="499">
        <v>45679</v>
      </c>
      <c r="C5623" s="500" t="s">
        <v>173</v>
      </c>
      <c r="D5623" s="500" t="s">
        <v>759</v>
      </c>
      <c r="E5623" s="501">
        <v>2001445.96</v>
      </c>
      <c r="F5623" s="502" t="s">
        <v>878</v>
      </c>
      <c r="G5623" s="100">
        <v>115606469</v>
      </c>
      <c r="H5623" s="100">
        <v>115606469</v>
      </c>
      <c r="I5623" s="422" t="s">
        <v>588</v>
      </c>
      <c r="J5623" s="484"/>
      <c r="K5623" s="548"/>
      <c r="L5623" s="548"/>
      <c r="M5623" s="548"/>
      <c r="N5623" s="552"/>
    </row>
    <row r="5624" spans="1:14">
      <c r="A5624" s="499">
        <v>45678</v>
      </c>
      <c r="B5624" s="499">
        <v>45679</v>
      </c>
      <c r="C5624" s="500" t="s">
        <v>173</v>
      </c>
      <c r="D5624" s="500" t="s">
        <v>759</v>
      </c>
      <c r="E5624" s="501">
        <v>3003816.47</v>
      </c>
      <c r="F5624" s="502" t="s">
        <v>878</v>
      </c>
      <c r="G5624" s="100">
        <v>115606472</v>
      </c>
      <c r="H5624" s="100">
        <v>115606472</v>
      </c>
      <c r="I5624" s="422" t="s">
        <v>817</v>
      </c>
      <c r="J5624" s="484"/>
      <c r="K5624" s="548"/>
      <c r="L5624" s="548"/>
      <c r="M5624" s="548"/>
      <c r="N5624" s="552"/>
    </row>
    <row r="5625" spans="1:14">
      <c r="A5625" s="499">
        <v>45678</v>
      </c>
      <c r="B5625" s="499">
        <v>45679</v>
      </c>
      <c r="C5625" s="500" t="s">
        <v>173</v>
      </c>
      <c r="D5625" s="500" t="s">
        <v>759</v>
      </c>
      <c r="E5625" s="501">
        <v>3003389.84</v>
      </c>
      <c r="F5625" s="502" t="s">
        <v>878</v>
      </c>
      <c r="G5625" s="100">
        <v>115606475</v>
      </c>
      <c r="H5625" s="100">
        <v>115606475</v>
      </c>
      <c r="I5625" s="422" t="s">
        <v>602</v>
      </c>
      <c r="J5625" s="484"/>
      <c r="K5625" s="548"/>
      <c r="L5625" s="548"/>
      <c r="M5625" s="548"/>
      <c r="N5625" s="552"/>
    </row>
    <row r="5626" spans="1:14">
      <c r="A5626" s="499">
        <v>45678</v>
      </c>
      <c r="B5626" s="499">
        <v>45679</v>
      </c>
      <c r="C5626" s="500" t="s">
        <v>173</v>
      </c>
      <c r="D5626" s="500" t="s">
        <v>759</v>
      </c>
      <c r="E5626" s="501">
        <v>3001743.72</v>
      </c>
      <c r="F5626" s="502" t="s">
        <v>878</v>
      </c>
      <c r="G5626" s="100">
        <v>115606478</v>
      </c>
      <c r="H5626" s="100">
        <v>115606478</v>
      </c>
      <c r="I5626" s="422" t="s">
        <v>550</v>
      </c>
      <c r="J5626" s="484"/>
      <c r="K5626" s="548"/>
      <c r="L5626" s="548"/>
      <c r="M5626" s="548"/>
      <c r="N5626" s="552"/>
    </row>
    <row r="5627" spans="1:14">
      <c r="A5627" s="499">
        <v>45678</v>
      </c>
      <c r="B5627" s="499">
        <v>45679</v>
      </c>
      <c r="C5627" s="500" t="s">
        <v>173</v>
      </c>
      <c r="D5627" s="500" t="s">
        <v>759</v>
      </c>
      <c r="E5627" s="501">
        <v>4005241.66</v>
      </c>
      <c r="F5627" s="502" t="s">
        <v>878</v>
      </c>
      <c r="G5627" s="100">
        <v>115606481</v>
      </c>
      <c r="H5627" s="100">
        <v>115606481</v>
      </c>
      <c r="I5627" s="422" t="s">
        <v>604</v>
      </c>
      <c r="J5627" s="484"/>
      <c r="K5627" s="548"/>
      <c r="L5627" s="548"/>
      <c r="M5627" s="548"/>
      <c r="N5627" s="552"/>
    </row>
    <row r="5628" spans="1:14">
      <c r="A5628" s="499">
        <v>45678</v>
      </c>
      <c r="B5628" s="499">
        <v>45679</v>
      </c>
      <c r="C5628" s="500" t="s">
        <v>173</v>
      </c>
      <c r="D5628" s="500" t="s">
        <v>759</v>
      </c>
      <c r="E5628" s="501">
        <v>4003118.9</v>
      </c>
      <c r="F5628" s="502" t="s">
        <v>878</v>
      </c>
      <c r="G5628" s="100">
        <v>115606484</v>
      </c>
      <c r="H5628" s="100">
        <v>115606484</v>
      </c>
      <c r="I5628" s="422" t="s">
        <v>592</v>
      </c>
      <c r="J5628" s="484"/>
      <c r="K5628" s="548"/>
      <c r="L5628" s="548"/>
      <c r="M5628" s="548"/>
      <c r="N5628" s="552"/>
    </row>
    <row r="5629" spans="1:14">
      <c r="A5629" s="499">
        <v>45678</v>
      </c>
      <c r="B5629" s="499">
        <v>45679</v>
      </c>
      <c r="C5629" s="500" t="s">
        <v>173</v>
      </c>
      <c r="D5629" s="500" t="s">
        <v>759</v>
      </c>
      <c r="E5629" s="501">
        <v>4005241.66</v>
      </c>
      <c r="F5629" s="502" t="s">
        <v>878</v>
      </c>
      <c r="G5629" s="100">
        <v>115606487</v>
      </c>
      <c r="H5629" s="100">
        <v>115606487</v>
      </c>
      <c r="I5629" s="422" t="s">
        <v>604</v>
      </c>
      <c r="J5629" s="484"/>
      <c r="K5629" s="548"/>
      <c r="L5629" s="548"/>
      <c r="M5629" s="548"/>
      <c r="N5629" s="552"/>
    </row>
    <row r="5630" spans="1:14">
      <c r="A5630" s="499">
        <v>45678</v>
      </c>
      <c r="B5630" s="499">
        <v>45679</v>
      </c>
      <c r="C5630" s="500" t="s">
        <v>173</v>
      </c>
      <c r="D5630" s="500" t="s">
        <v>759</v>
      </c>
      <c r="E5630" s="501">
        <v>5003617.66</v>
      </c>
      <c r="F5630" s="502" t="s">
        <v>878</v>
      </c>
      <c r="G5630" s="100">
        <v>115606490</v>
      </c>
      <c r="H5630" s="100">
        <v>115606490</v>
      </c>
      <c r="I5630" s="422" t="s">
        <v>709</v>
      </c>
      <c r="J5630" s="484"/>
      <c r="K5630" s="548"/>
      <c r="L5630" s="548"/>
      <c r="M5630" s="548"/>
      <c r="N5630" s="552"/>
    </row>
    <row r="5631" spans="1:14">
      <c r="A5631" s="499">
        <v>45678</v>
      </c>
      <c r="B5631" s="499">
        <v>45679</v>
      </c>
      <c r="C5631" s="500" t="s">
        <v>173</v>
      </c>
      <c r="D5631" s="500" t="s">
        <v>759</v>
      </c>
      <c r="E5631" s="501">
        <v>5003955.2300000004</v>
      </c>
      <c r="F5631" s="502" t="s">
        <v>878</v>
      </c>
      <c r="G5631" s="100">
        <v>115606493</v>
      </c>
      <c r="H5631" s="100">
        <v>115606493</v>
      </c>
      <c r="I5631" s="422" t="s">
        <v>676</v>
      </c>
      <c r="J5631" s="484"/>
      <c r="K5631" s="548"/>
      <c r="L5631" s="548"/>
      <c r="M5631" s="548"/>
      <c r="N5631" s="552"/>
    </row>
    <row r="5632" spans="1:14">
      <c r="A5632" s="499">
        <v>45678</v>
      </c>
      <c r="B5632" s="499">
        <v>45679</v>
      </c>
      <c r="C5632" s="500" t="s">
        <v>173</v>
      </c>
      <c r="D5632" s="500" t="s">
        <v>759</v>
      </c>
      <c r="E5632" s="501">
        <v>5002064.54</v>
      </c>
      <c r="F5632" s="502" t="s">
        <v>878</v>
      </c>
      <c r="G5632" s="100">
        <v>115606496</v>
      </c>
      <c r="H5632" s="100">
        <v>115606496</v>
      </c>
      <c r="I5632" s="422" t="s">
        <v>600</v>
      </c>
      <c r="J5632" s="484"/>
      <c r="K5632" s="548"/>
      <c r="L5632" s="548"/>
      <c r="M5632" s="548"/>
      <c r="N5632" s="552"/>
    </row>
    <row r="5633" spans="1:14">
      <c r="A5633" s="499">
        <v>45678</v>
      </c>
      <c r="B5633" s="499">
        <v>45679</v>
      </c>
      <c r="C5633" s="500" t="s">
        <v>173</v>
      </c>
      <c r="D5633" s="500" t="s">
        <v>759</v>
      </c>
      <c r="E5633" s="501">
        <v>5003898.62</v>
      </c>
      <c r="F5633" s="502" t="s">
        <v>878</v>
      </c>
      <c r="G5633" s="100">
        <v>115606499</v>
      </c>
      <c r="H5633" s="100">
        <v>115606499</v>
      </c>
      <c r="I5633" s="422" t="s">
        <v>592</v>
      </c>
      <c r="J5633" s="484"/>
      <c r="K5633" s="548"/>
      <c r="L5633" s="548"/>
      <c r="M5633" s="548"/>
      <c r="N5633" s="552"/>
    </row>
    <row r="5634" spans="1:14">
      <c r="A5634" s="499">
        <v>45678</v>
      </c>
      <c r="B5634" s="499">
        <v>45679</v>
      </c>
      <c r="C5634" s="500" t="s">
        <v>173</v>
      </c>
      <c r="D5634" s="500" t="s">
        <v>759</v>
      </c>
      <c r="E5634" s="501">
        <v>5003970.4800000004</v>
      </c>
      <c r="F5634" s="502" t="s">
        <v>878</v>
      </c>
      <c r="G5634" s="100">
        <v>115606502</v>
      </c>
      <c r="H5634" s="100">
        <v>115606502</v>
      </c>
      <c r="I5634" s="422" t="s">
        <v>525</v>
      </c>
      <c r="J5634" s="484"/>
      <c r="K5634" s="548"/>
      <c r="L5634" s="548"/>
      <c r="M5634" s="548"/>
      <c r="N5634" s="552"/>
    </row>
    <row r="5635" spans="1:14">
      <c r="A5635" s="499">
        <v>45678</v>
      </c>
      <c r="B5635" s="499">
        <v>45679</v>
      </c>
      <c r="C5635" s="500" t="s">
        <v>173</v>
      </c>
      <c r="D5635" s="500" t="s">
        <v>759</v>
      </c>
      <c r="E5635" s="501">
        <v>7007578.7800000003</v>
      </c>
      <c r="F5635" s="502" t="s">
        <v>878</v>
      </c>
      <c r="G5635" s="100">
        <v>115606505</v>
      </c>
      <c r="H5635" s="100">
        <v>115606505</v>
      </c>
      <c r="I5635" s="422" t="s">
        <v>674</v>
      </c>
      <c r="J5635" s="484"/>
      <c r="K5635" s="548"/>
      <c r="L5635" s="548"/>
      <c r="M5635" s="548"/>
      <c r="N5635" s="552"/>
    </row>
    <row r="5636" spans="1:14">
      <c r="A5636" s="499">
        <v>45678</v>
      </c>
      <c r="B5636" s="499">
        <v>45679</v>
      </c>
      <c r="C5636" s="500" t="s">
        <v>173</v>
      </c>
      <c r="D5636" s="500" t="s">
        <v>759</v>
      </c>
      <c r="E5636" s="501">
        <v>7004068.6900000004</v>
      </c>
      <c r="F5636" s="502" t="s">
        <v>878</v>
      </c>
      <c r="G5636" s="100">
        <v>115606508</v>
      </c>
      <c r="H5636" s="100">
        <v>115606508</v>
      </c>
      <c r="I5636" s="422" t="s">
        <v>550</v>
      </c>
      <c r="J5636" s="484"/>
      <c r="K5636" s="548"/>
      <c r="L5636" s="548"/>
      <c r="M5636" s="548"/>
      <c r="N5636" s="552"/>
    </row>
    <row r="5637" spans="1:14">
      <c r="A5637" s="499">
        <v>45678</v>
      </c>
      <c r="B5637" s="499">
        <v>45679</v>
      </c>
      <c r="C5637" s="500" t="s">
        <v>173</v>
      </c>
      <c r="D5637" s="500" t="s">
        <v>759</v>
      </c>
      <c r="E5637" s="501">
        <v>7005537.3200000003</v>
      </c>
      <c r="F5637" s="502" t="s">
        <v>878</v>
      </c>
      <c r="G5637" s="100">
        <v>115606511</v>
      </c>
      <c r="H5637" s="100">
        <v>115606511</v>
      </c>
      <c r="I5637" s="422" t="s">
        <v>676</v>
      </c>
      <c r="J5637" s="484"/>
      <c r="K5637" s="548"/>
      <c r="L5637" s="548"/>
      <c r="M5637" s="548"/>
      <c r="N5637" s="552"/>
    </row>
    <row r="5638" spans="1:14">
      <c r="A5638" s="499">
        <v>45678</v>
      </c>
      <c r="B5638" s="499">
        <v>45679</v>
      </c>
      <c r="C5638" s="500" t="s">
        <v>173</v>
      </c>
      <c r="D5638" s="500" t="s">
        <v>759</v>
      </c>
      <c r="E5638" s="501">
        <v>362436137.45999998</v>
      </c>
      <c r="F5638" s="502" t="s">
        <v>878</v>
      </c>
      <c r="G5638" s="100">
        <v>115606514</v>
      </c>
      <c r="H5638" s="100">
        <v>115606514</v>
      </c>
      <c r="I5638" s="422" t="s">
        <v>708</v>
      </c>
      <c r="J5638" s="484"/>
      <c r="K5638" s="548"/>
      <c r="L5638" s="548"/>
      <c r="M5638" s="548"/>
      <c r="N5638" s="552"/>
    </row>
    <row r="5639" spans="1:14">
      <c r="A5639" s="499">
        <v>45678</v>
      </c>
      <c r="B5639" s="499">
        <v>45679</v>
      </c>
      <c r="C5639" s="500" t="s">
        <v>173</v>
      </c>
      <c r="D5639" s="500" t="s">
        <v>759</v>
      </c>
      <c r="E5639" s="501">
        <v>246186050.31</v>
      </c>
      <c r="F5639" s="502" t="s">
        <v>878</v>
      </c>
      <c r="G5639" s="100">
        <v>115606517</v>
      </c>
      <c r="H5639" s="100">
        <v>115606517</v>
      </c>
      <c r="I5639" s="422" t="s">
        <v>680</v>
      </c>
      <c r="J5639" s="484"/>
      <c r="K5639" s="548"/>
      <c r="L5639" s="548"/>
      <c r="M5639" s="548"/>
      <c r="N5639" s="552"/>
    </row>
    <row r="5640" spans="1:14">
      <c r="A5640" s="499">
        <v>45678</v>
      </c>
      <c r="B5640" s="499">
        <v>45679</v>
      </c>
      <c r="C5640" s="500" t="s">
        <v>173</v>
      </c>
      <c r="D5640" s="500" t="s">
        <v>759</v>
      </c>
      <c r="E5640" s="501">
        <v>8006309.8600000003</v>
      </c>
      <c r="F5640" s="502" t="s">
        <v>878</v>
      </c>
      <c r="G5640" s="100">
        <v>115606553</v>
      </c>
      <c r="H5640" s="100">
        <v>115606553</v>
      </c>
      <c r="I5640" s="422" t="s">
        <v>652</v>
      </c>
      <c r="J5640" s="484"/>
      <c r="K5640" s="548"/>
      <c r="L5640" s="548"/>
      <c r="M5640" s="548"/>
      <c r="N5640" s="552"/>
    </row>
    <row r="5641" spans="1:14">
      <c r="A5641" s="499">
        <v>45678</v>
      </c>
      <c r="B5641" s="499">
        <v>45678</v>
      </c>
      <c r="C5641" s="500" t="s">
        <v>173</v>
      </c>
      <c r="D5641" s="500" t="s">
        <v>759</v>
      </c>
      <c r="E5641" s="501">
        <v>266750000</v>
      </c>
      <c r="F5641" s="502" t="s">
        <v>381</v>
      </c>
      <c r="G5641" s="100" t="s">
        <v>473</v>
      </c>
      <c r="H5641" s="530"/>
      <c r="I5641" s="422"/>
      <c r="K5641" s="548"/>
      <c r="L5641" s="548"/>
      <c r="M5641" s="548"/>
      <c r="N5641" s="552"/>
    </row>
    <row r="5642" spans="1:14">
      <c r="A5642" s="499">
        <v>45678</v>
      </c>
      <c r="B5642" s="499">
        <v>45678</v>
      </c>
      <c r="C5642" s="500" t="s">
        <v>173</v>
      </c>
      <c r="D5642" s="500" t="s">
        <v>762</v>
      </c>
      <c r="E5642" s="501">
        <v>256613500</v>
      </c>
      <c r="F5642" s="502" t="s">
        <v>381</v>
      </c>
      <c r="G5642" s="100" t="s">
        <v>473</v>
      </c>
      <c r="H5642" s="530"/>
      <c r="I5642" s="422"/>
      <c r="K5642" s="548"/>
      <c r="L5642" s="548"/>
      <c r="M5642" s="548"/>
      <c r="N5642" s="552"/>
    </row>
    <row r="5643" spans="1:14">
      <c r="A5643" s="499">
        <v>45678</v>
      </c>
      <c r="B5643" s="499">
        <v>45678</v>
      </c>
      <c r="C5643" s="500" t="s">
        <v>173</v>
      </c>
      <c r="D5643" s="500" t="s">
        <v>760</v>
      </c>
      <c r="E5643" s="501">
        <v>161117000</v>
      </c>
      <c r="F5643" s="502" t="s">
        <v>381</v>
      </c>
      <c r="G5643" s="100" t="s">
        <v>473</v>
      </c>
      <c r="H5643" s="530"/>
      <c r="I5643" s="422"/>
      <c r="K5643" s="548"/>
      <c r="L5643" s="548"/>
      <c r="M5643" s="548"/>
      <c r="N5643" s="552"/>
    </row>
    <row r="5644" spans="1:14">
      <c r="A5644" s="499">
        <v>45678</v>
      </c>
      <c r="B5644" s="499">
        <v>45678</v>
      </c>
      <c r="C5644" s="500" t="s">
        <v>173</v>
      </c>
      <c r="D5644" s="500" t="s">
        <v>761</v>
      </c>
      <c r="E5644" s="501">
        <v>58685000</v>
      </c>
      <c r="F5644" s="502" t="s">
        <v>381</v>
      </c>
      <c r="G5644" s="100" t="s">
        <v>473</v>
      </c>
      <c r="H5644" s="530"/>
      <c r="I5644" s="422"/>
      <c r="K5644" s="548"/>
      <c r="L5644" s="548"/>
      <c r="M5644" s="548"/>
      <c r="N5644" s="552"/>
    </row>
    <row r="5645" spans="1:14">
      <c r="A5645" s="499">
        <v>45678</v>
      </c>
      <c r="B5645" s="499">
        <v>45678</v>
      </c>
      <c r="C5645" s="500" t="s">
        <v>173</v>
      </c>
      <c r="D5645" s="500" t="s">
        <v>763</v>
      </c>
      <c r="E5645" s="501">
        <v>134975500</v>
      </c>
      <c r="F5645" s="502" t="s">
        <v>381</v>
      </c>
      <c r="G5645" s="100" t="s">
        <v>473</v>
      </c>
      <c r="H5645" s="530"/>
      <c r="I5645" s="422"/>
      <c r="K5645" s="548"/>
      <c r="L5645" s="548"/>
      <c r="M5645" s="548"/>
      <c r="N5645" s="552"/>
    </row>
    <row r="5646" spans="1:14">
      <c r="A5646" s="499">
        <v>45678</v>
      </c>
      <c r="B5646" s="499">
        <v>45678</v>
      </c>
      <c r="C5646" s="500" t="s">
        <v>173</v>
      </c>
      <c r="D5646" s="500" t="s">
        <v>764</v>
      </c>
      <c r="E5646" s="501">
        <v>107287223.45</v>
      </c>
      <c r="F5646" s="502" t="s">
        <v>381</v>
      </c>
      <c r="G5646" s="100" t="s">
        <v>473</v>
      </c>
      <c r="H5646" s="530"/>
      <c r="I5646" s="422"/>
      <c r="K5646" s="548"/>
      <c r="L5646" s="548"/>
      <c r="M5646" s="548"/>
      <c r="N5646" s="552"/>
    </row>
    <row r="5647" spans="1:14">
      <c r="A5647" s="499">
        <v>45679</v>
      </c>
      <c r="B5647" s="499">
        <v>45679</v>
      </c>
      <c r="C5647" s="500" t="s">
        <v>173</v>
      </c>
      <c r="D5647" s="500" t="s">
        <v>762</v>
      </c>
      <c r="E5647" s="501">
        <v>-255073491.25999999</v>
      </c>
      <c r="F5647" s="502" t="s">
        <v>878</v>
      </c>
      <c r="G5647" s="100">
        <v>115632775</v>
      </c>
      <c r="H5647" s="530"/>
      <c r="I5647" s="422" t="s">
        <v>631</v>
      </c>
      <c r="J5647" s="484"/>
      <c r="K5647" s="548"/>
      <c r="L5647" s="548"/>
      <c r="M5647" s="548"/>
      <c r="N5647" s="552"/>
    </row>
    <row r="5648" spans="1:14">
      <c r="A5648" s="499">
        <v>45679</v>
      </c>
      <c r="B5648" s="499">
        <v>45686</v>
      </c>
      <c r="C5648" s="500" t="s">
        <v>173</v>
      </c>
      <c r="D5648" s="500" t="s">
        <v>762</v>
      </c>
      <c r="E5648" s="501">
        <v>255809710.22999999</v>
      </c>
      <c r="F5648" s="502" t="s">
        <v>878</v>
      </c>
      <c r="G5648" s="100">
        <v>115632775</v>
      </c>
      <c r="H5648" s="100">
        <v>115632775</v>
      </c>
      <c r="I5648" s="422" t="s">
        <v>631</v>
      </c>
      <c r="J5648" s="484"/>
      <c r="K5648" s="548"/>
      <c r="L5648" s="548"/>
      <c r="M5648" s="548"/>
      <c r="N5648" s="552"/>
    </row>
    <row r="5649" spans="1:25">
      <c r="A5649" s="499">
        <v>45679</v>
      </c>
      <c r="B5649" s="499">
        <v>45679</v>
      </c>
      <c r="C5649" s="500" t="s">
        <v>173</v>
      </c>
      <c r="D5649" s="500" t="s">
        <v>761</v>
      </c>
      <c r="E5649" s="501">
        <v>-2335154741.8299999</v>
      </c>
      <c r="F5649" s="502" t="s">
        <v>878</v>
      </c>
      <c r="G5649" s="100">
        <v>115634947</v>
      </c>
      <c r="H5649" s="530"/>
      <c r="I5649" s="422" t="s">
        <v>670</v>
      </c>
      <c r="J5649" s="484"/>
      <c r="K5649" s="548"/>
      <c r="L5649" s="548"/>
      <c r="M5649" s="548"/>
      <c r="N5649" s="552"/>
    </row>
    <row r="5650" spans="1:25">
      <c r="A5650" s="499">
        <v>45679</v>
      </c>
      <c r="B5650" s="499">
        <v>45679</v>
      </c>
      <c r="C5650" s="500" t="s">
        <v>173</v>
      </c>
      <c r="D5650" s="500" t="s">
        <v>761</v>
      </c>
      <c r="E5650" s="501">
        <v>-8003957.9800000004</v>
      </c>
      <c r="F5650" s="502" t="s">
        <v>878</v>
      </c>
      <c r="G5650" s="100">
        <v>115635001</v>
      </c>
      <c r="H5650" s="530"/>
      <c r="I5650" s="422" t="s">
        <v>670</v>
      </c>
      <c r="J5650" s="484"/>
      <c r="K5650" s="548"/>
      <c r="L5650" s="548"/>
      <c r="M5650" s="548"/>
      <c r="N5650" s="552"/>
    </row>
    <row r="5651" spans="1:25">
      <c r="A5651" s="499">
        <v>45679</v>
      </c>
      <c r="B5651" s="499">
        <v>45680</v>
      </c>
      <c r="C5651" s="500" t="s">
        <v>173</v>
      </c>
      <c r="D5651" s="500" t="s">
        <v>761</v>
      </c>
      <c r="E5651" s="501">
        <v>2336104797.9400001</v>
      </c>
      <c r="F5651" s="502" t="s">
        <v>878</v>
      </c>
      <c r="G5651" s="100">
        <v>115634947</v>
      </c>
      <c r="H5651" s="484">
        <v>115634947</v>
      </c>
      <c r="I5651" s="422" t="s">
        <v>670</v>
      </c>
      <c r="J5651" s="484"/>
      <c r="K5651" s="548"/>
      <c r="L5651" s="548"/>
      <c r="M5651" s="548"/>
      <c r="N5651" s="552"/>
    </row>
    <row r="5652" spans="1:25">
      <c r="A5652" s="499">
        <v>45679</v>
      </c>
      <c r="B5652" s="499">
        <v>45680</v>
      </c>
      <c r="C5652" s="500" t="s">
        <v>173</v>
      </c>
      <c r="D5652" s="500" t="s">
        <v>761</v>
      </c>
      <c r="E5652" s="501">
        <v>8007214.3799999999</v>
      </c>
      <c r="F5652" s="502" t="s">
        <v>878</v>
      </c>
      <c r="G5652" s="100">
        <v>115635001</v>
      </c>
      <c r="H5652" s="484">
        <v>115635001</v>
      </c>
      <c r="I5652" s="422" t="s">
        <v>670</v>
      </c>
      <c r="J5652" s="484"/>
      <c r="K5652" s="548"/>
      <c r="L5652" s="548"/>
      <c r="M5652" s="548"/>
      <c r="N5652" s="552"/>
    </row>
    <row r="5653" spans="1:25">
      <c r="A5653" s="499">
        <v>45679</v>
      </c>
      <c r="B5653" s="499">
        <v>45681</v>
      </c>
      <c r="C5653" s="500" t="s">
        <v>173</v>
      </c>
      <c r="D5653" s="500" t="s">
        <v>761</v>
      </c>
      <c r="E5653" s="501">
        <v>447802250</v>
      </c>
      <c r="F5653" s="502" t="s">
        <v>912</v>
      </c>
      <c r="G5653" s="100" t="s">
        <v>59</v>
      </c>
      <c r="H5653" s="530"/>
      <c r="I5653" s="422" t="s">
        <v>59</v>
      </c>
      <c r="J5653" s="484"/>
      <c r="K5653" s="548"/>
      <c r="L5653" s="548"/>
      <c r="M5653" s="548"/>
      <c r="N5653" s="552"/>
      <c r="W5653" s="550">
        <f>VLOOKUP(G5653,Справочник!A:C,3,0)</f>
        <v>5.4900000000000004E-2</v>
      </c>
      <c r="X5653" s="539" t="str">
        <f>VLOOKUP(G5653,Справочник!A:G,7,0)</f>
        <v>Министерство финансов Республики Казахстан</v>
      </c>
      <c r="Y5653" s="551" t="str">
        <f>VLOOKUP(G5653,Справочник!A:B,2,0)</f>
        <v>27.03.2027</v>
      </c>
    </row>
    <row r="5654" spans="1:25">
      <c r="A5654" s="499">
        <v>45679</v>
      </c>
      <c r="B5654" s="499">
        <v>45679</v>
      </c>
      <c r="C5654" s="500" t="s">
        <v>173</v>
      </c>
      <c r="D5654" s="500" t="s">
        <v>760</v>
      </c>
      <c r="E5654" s="501">
        <v>-77055797.280000001</v>
      </c>
      <c r="F5654" s="502" t="s">
        <v>878</v>
      </c>
      <c r="G5654" s="100" t="s">
        <v>1027</v>
      </c>
      <c r="H5654" s="530"/>
      <c r="I5654" s="422" t="s">
        <v>680</v>
      </c>
      <c r="J5654" s="484"/>
      <c r="K5654" s="548"/>
      <c r="L5654" s="548"/>
      <c r="M5654" s="548"/>
      <c r="N5654" s="552"/>
    </row>
    <row r="5655" spans="1:25">
      <c r="A5655" s="499">
        <v>45679</v>
      </c>
      <c r="B5655" s="499">
        <v>45679</v>
      </c>
      <c r="C5655" s="500" t="s">
        <v>173</v>
      </c>
      <c r="D5655" s="500" t="s">
        <v>760</v>
      </c>
      <c r="E5655" s="501">
        <v>-221160505.88999999</v>
      </c>
      <c r="F5655" s="502" t="s">
        <v>878</v>
      </c>
      <c r="G5655" s="100">
        <v>115629649</v>
      </c>
      <c r="H5655" s="530"/>
      <c r="I5655" s="422" t="s">
        <v>691</v>
      </c>
      <c r="J5655" s="484"/>
      <c r="K5655" s="548"/>
      <c r="L5655" s="548"/>
      <c r="M5655" s="548"/>
      <c r="N5655" s="552"/>
    </row>
    <row r="5656" spans="1:25">
      <c r="A5656" s="499">
        <v>45679</v>
      </c>
      <c r="B5656" s="499">
        <v>45679</v>
      </c>
      <c r="C5656" s="500" t="s">
        <v>173</v>
      </c>
      <c r="D5656" s="500" t="s">
        <v>760</v>
      </c>
      <c r="E5656" s="501">
        <v>-166080819.59</v>
      </c>
      <c r="F5656" s="502" t="s">
        <v>878</v>
      </c>
      <c r="G5656" s="100">
        <v>115630132</v>
      </c>
      <c r="H5656" s="530"/>
      <c r="I5656" s="422" t="s">
        <v>715</v>
      </c>
      <c r="J5656" s="484"/>
      <c r="K5656" s="548"/>
      <c r="L5656" s="548"/>
      <c r="M5656" s="548"/>
      <c r="N5656" s="552"/>
    </row>
    <row r="5657" spans="1:25">
      <c r="A5657" s="499">
        <v>45679</v>
      </c>
      <c r="B5657" s="499">
        <v>45680</v>
      </c>
      <c r="C5657" s="500" t="s">
        <v>173</v>
      </c>
      <c r="D5657" s="500" t="s">
        <v>760</v>
      </c>
      <c r="E5657" s="501">
        <v>77087252.930000007</v>
      </c>
      <c r="F5657" s="502" t="s">
        <v>878</v>
      </c>
      <c r="G5657" s="100">
        <v>115629578</v>
      </c>
      <c r="H5657" s="484">
        <v>115629578</v>
      </c>
      <c r="I5657" s="422" t="s">
        <v>680</v>
      </c>
      <c r="J5657" s="484"/>
      <c r="K5657" s="548"/>
      <c r="L5657" s="548"/>
      <c r="M5657" s="548"/>
      <c r="N5657" s="552"/>
    </row>
    <row r="5658" spans="1:25">
      <c r="A5658" s="499">
        <v>45679</v>
      </c>
      <c r="B5658" s="499">
        <v>45680</v>
      </c>
      <c r="C5658" s="500" t="s">
        <v>173</v>
      </c>
      <c r="D5658" s="500" t="s">
        <v>760</v>
      </c>
      <c r="E5658" s="501">
        <v>221250787.84999999</v>
      </c>
      <c r="F5658" s="502" t="s">
        <v>878</v>
      </c>
      <c r="G5658" s="100">
        <v>115629649</v>
      </c>
      <c r="H5658" s="484">
        <v>115629649</v>
      </c>
      <c r="I5658" s="422" t="s">
        <v>691</v>
      </c>
      <c r="J5658" s="484"/>
      <c r="K5658" s="548"/>
      <c r="L5658" s="548"/>
      <c r="M5658" s="548"/>
      <c r="N5658" s="552"/>
    </row>
    <row r="5659" spans="1:25">
      <c r="A5659" s="499">
        <v>45679</v>
      </c>
      <c r="B5659" s="499">
        <v>45680</v>
      </c>
      <c r="C5659" s="500" t="s">
        <v>173</v>
      </c>
      <c r="D5659" s="500" t="s">
        <v>760</v>
      </c>
      <c r="E5659" s="501">
        <v>166148616.97</v>
      </c>
      <c r="F5659" s="502" t="s">
        <v>878</v>
      </c>
      <c r="G5659" s="100">
        <v>115630132</v>
      </c>
      <c r="H5659" s="484">
        <v>115630132</v>
      </c>
      <c r="I5659" s="422" t="s">
        <v>715</v>
      </c>
      <c r="J5659" s="484"/>
      <c r="K5659" s="548"/>
      <c r="L5659" s="548"/>
      <c r="M5659" s="548"/>
      <c r="N5659" s="552"/>
    </row>
    <row r="5660" spans="1:25">
      <c r="A5660" s="499">
        <v>45679</v>
      </c>
      <c r="B5660" s="499">
        <v>45679</v>
      </c>
      <c r="C5660" s="500" t="s">
        <v>173</v>
      </c>
      <c r="D5660" s="500" t="s">
        <v>764</v>
      </c>
      <c r="E5660" s="501">
        <v>-2055488410.5599999</v>
      </c>
      <c r="F5660" s="502" t="s">
        <v>878</v>
      </c>
      <c r="G5660" s="100">
        <v>115629155</v>
      </c>
      <c r="H5660" s="530"/>
      <c r="I5660" s="422" t="s">
        <v>680</v>
      </c>
      <c r="J5660" s="484"/>
      <c r="K5660" s="548"/>
      <c r="L5660" s="548"/>
      <c r="M5660" s="548"/>
      <c r="N5660" s="552"/>
    </row>
    <row r="5661" spans="1:25">
      <c r="A5661" s="499">
        <v>45679</v>
      </c>
      <c r="B5661" s="499">
        <v>45679</v>
      </c>
      <c r="C5661" s="500" t="s">
        <v>173</v>
      </c>
      <c r="D5661" s="500" t="s">
        <v>764</v>
      </c>
      <c r="E5661" s="501">
        <v>-2000576.4</v>
      </c>
      <c r="F5661" s="502" t="s">
        <v>878</v>
      </c>
      <c r="G5661" s="100">
        <v>115631900</v>
      </c>
      <c r="H5661" s="530"/>
      <c r="I5661" s="422" t="s">
        <v>631</v>
      </c>
      <c r="J5661" s="484"/>
      <c r="K5661" s="548"/>
      <c r="L5661" s="548"/>
      <c r="M5661" s="548"/>
      <c r="N5661" s="552"/>
    </row>
    <row r="5662" spans="1:25">
      <c r="A5662" s="499">
        <v>45679</v>
      </c>
      <c r="B5662" s="499">
        <v>45679</v>
      </c>
      <c r="C5662" s="500" t="s">
        <v>173</v>
      </c>
      <c r="D5662" s="500" t="s">
        <v>764</v>
      </c>
      <c r="E5662" s="501">
        <v>-113032566.70999999</v>
      </c>
      <c r="F5662" s="502" t="s">
        <v>878</v>
      </c>
      <c r="G5662" s="100">
        <v>115632351</v>
      </c>
      <c r="H5662" s="530"/>
      <c r="I5662" s="422" t="s">
        <v>631</v>
      </c>
      <c r="J5662" s="484"/>
      <c r="K5662" s="548"/>
      <c r="L5662" s="548"/>
      <c r="M5662" s="548"/>
      <c r="N5662" s="552"/>
    </row>
    <row r="5663" spans="1:25">
      <c r="A5663" s="499">
        <v>45679</v>
      </c>
      <c r="B5663" s="499">
        <v>45686</v>
      </c>
      <c r="C5663" s="500" t="s">
        <v>173</v>
      </c>
      <c r="D5663" s="500" t="s">
        <v>764</v>
      </c>
      <c r="E5663" s="501">
        <v>2061421169.5799999</v>
      </c>
      <c r="F5663" s="502" t="s">
        <v>878</v>
      </c>
      <c r="G5663" s="100">
        <v>115629155</v>
      </c>
      <c r="H5663" s="484">
        <v>115629155</v>
      </c>
      <c r="I5663" s="422" t="s">
        <v>680</v>
      </c>
      <c r="J5663" s="484"/>
      <c r="K5663" s="548"/>
      <c r="L5663" s="548"/>
      <c r="M5663" s="548"/>
      <c r="N5663" s="552"/>
    </row>
    <row r="5664" spans="1:25">
      <c r="A5664" s="499">
        <v>45679</v>
      </c>
      <c r="B5664" s="499">
        <v>45686</v>
      </c>
      <c r="C5664" s="500" t="s">
        <v>173</v>
      </c>
      <c r="D5664" s="500" t="s">
        <v>764</v>
      </c>
      <c r="E5664" s="501">
        <v>2006350.67</v>
      </c>
      <c r="F5664" s="502" t="s">
        <v>878</v>
      </c>
      <c r="G5664" s="100">
        <v>115631900</v>
      </c>
      <c r="H5664" s="484">
        <v>115631900</v>
      </c>
      <c r="I5664" s="422" t="s">
        <v>631</v>
      </c>
      <c r="J5664" s="484"/>
      <c r="K5664" s="548"/>
      <c r="L5664" s="548"/>
      <c r="M5664" s="548"/>
      <c r="N5664" s="552"/>
    </row>
    <row r="5665" spans="1:14">
      <c r="A5665" s="499">
        <v>45679</v>
      </c>
      <c r="B5665" s="499">
        <v>45686</v>
      </c>
      <c r="C5665" s="500" t="s">
        <v>173</v>
      </c>
      <c r="D5665" s="500" t="s">
        <v>764</v>
      </c>
      <c r="E5665" s="501">
        <v>113358812.76000001</v>
      </c>
      <c r="F5665" s="502" t="s">
        <v>878</v>
      </c>
      <c r="G5665" s="100">
        <v>115632351</v>
      </c>
      <c r="H5665" s="484">
        <v>115632351</v>
      </c>
      <c r="I5665" s="422" t="s">
        <v>631</v>
      </c>
      <c r="J5665" s="484"/>
      <c r="K5665" s="548"/>
      <c r="L5665" s="548"/>
      <c r="M5665" s="548"/>
      <c r="N5665" s="552"/>
    </row>
    <row r="5666" spans="1:14">
      <c r="A5666" s="499">
        <v>45679</v>
      </c>
      <c r="B5666" s="499">
        <v>45679</v>
      </c>
      <c r="C5666" s="500" t="s">
        <v>173</v>
      </c>
      <c r="D5666" s="500" t="s">
        <v>763</v>
      </c>
      <c r="E5666" s="501">
        <v>-5799150491.1499996</v>
      </c>
      <c r="F5666" s="502" t="s">
        <v>878</v>
      </c>
      <c r="G5666" s="100">
        <v>115630658</v>
      </c>
      <c r="H5666" s="530"/>
      <c r="I5666" s="422" t="s">
        <v>604</v>
      </c>
      <c r="J5666" s="484"/>
      <c r="K5666" s="548"/>
      <c r="L5666" s="548"/>
      <c r="M5666" s="548"/>
      <c r="N5666" s="552"/>
    </row>
    <row r="5667" spans="1:14">
      <c r="A5667" s="499">
        <v>45679</v>
      </c>
      <c r="B5667" s="499">
        <v>45679</v>
      </c>
      <c r="C5667" s="500" t="s">
        <v>173</v>
      </c>
      <c r="D5667" s="500" t="s">
        <v>763</v>
      </c>
      <c r="E5667" s="501">
        <v>-23020972.690000001</v>
      </c>
      <c r="F5667" s="502" t="s">
        <v>878</v>
      </c>
      <c r="G5667" s="100">
        <v>115630716</v>
      </c>
      <c r="H5667" s="530"/>
      <c r="I5667" s="422" t="s">
        <v>829</v>
      </c>
      <c r="J5667" s="484"/>
      <c r="K5667" s="548"/>
      <c r="L5667" s="548"/>
      <c r="M5667" s="548"/>
      <c r="N5667" s="552"/>
    </row>
    <row r="5668" spans="1:14">
      <c r="A5668" s="499">
        <v>45679</v>
      </c>
      <c r="B5668" s="499">
        <v>45680</v>
      </c>
      <c r="C5668" s="500" t="s">
        <v>173</v>
      </c>
      <c r="D5668" s="500" t="s">
        <v>763</v>
      </c>
      <c r="E5668" s="501">
        <v>5801501975.1800003</v>
      </c>
      <c r="F5668" s="502" t="s">
        <v>878</v>
      </c>
      <c r="G5668" s="100">
        <v>115630658</v>
      </c>
      <c r="H5668" s="100">
        <v>115630658</v>
      </c>
      <c r="I5668" s="422" t="s">
        <v>604</v>
      </c>
      <c r="J5668" s="484"/>
      <c r="K5668" s="548"/>
      <c r="L5668" s="548"/>
      <c r="M5668" s="548"/>
      <c r="N5668" s="552"/>
    </row>
    <row r="5669" spans="1:14">
      <c r="A5669" s="499">
        <v>45679</v>
      </c>
      <c r="B5669" s="499">
        <v>45680</v>
      </c>
      <c r="C5669" s="500" t="s">
        <v>173</v>
      </c>
      <c r="D5669" s="500" t="s">
        <v>763</v>
      </c>
      <c r="E5669" s="501">
        <v>23030307.41</v>
      </c>
      <c r="F5669" s="502" t="s">
        <v>878</v>
      </c>
      <c r="G5669" s="100">
        <v>115630716</v>
      </c>
      <c r="H5669" s="100">
        <v>115630716</v>
      </c>
      <c r="I5669" s="422" t="s">
        <v>829</v>
      </c>
      <c r="J5669" s="484"/>
      <c r="K5669" s="548"/>
      <c r="L5669" s="548"/>
      <c r="M5669" s="548"/>
      <c r="N5669" s="552"/>
    </row>
    <row r="5670" spans="1:14">
      <c r="A5670" s="499">
        <v>45679</v>
      </c>
      <c r="B5670" s="499">
        <v>45679</v>
      </c>
      <c r="C5670" s="500" t="s">
        <v>173</v>
      </c>
      <c r="D5670" s="500" t="s">
        <v>759</v>
      </c>
      <c r="E5670" s="501">
        <v>-1997820727.0599999</v>
      </c>
      <c r="F5670" s="502" t="s">
        <v>878</v>
      </c>
      <c r="G5670" s="100">
        <v>115629705</v>
      </c>
      <c r="H5670" s="530"/>
      <c r="I5670" s="422" t="s">
        <v>652</v>
      </c>
      <c r="J5670" s="484"/>
      <c r="K5670" s="548"/>
      <c r="L5670" s="548"/>
      <c r="M5670" s="548"/>
      <c r="N5670" s="552"/>
    </row>
    <row r="5671" spans="1:14">
      <c r="A5671" s="499">
        <v>45679</v>
      </c>
      <c r="B5671" s="499">
        <v>45679</v>
      </c>
      <c r="C5671" s="500" t="s">
        <v>173</v>
      </c>
      <c r="D5671" s="500" t="s">
        <v>759</v>
      </c>
      <c r="E5671" s="501">
        <v>-642064071.60000002</v>
      </c>
      <c r="F5671" s="502" t="s">
        <v>878</v>
      </c>
      <c r="G5671" s="100">
        <v>115629823</v>
      </c>
      <c r="H5671" s="530"/>
      <c r="I5671" s="422" t="s">
        <v>675</v>
      </c>
      <c r="J5671" s="484"/>
      <c r="K5671" s="548"/>
      <c r="L5671" s="548"/>
      <c r="M5671" s="548"/>
      <c r="N5671" s="552"/>
    </row>
    <row r="5672" spans="1:14">
      <c r="A5672" s="499">
        <v>45679</v>
      </c>
      <c r="B5672" s="499">
        <v>45679</v>
      </c>
      <c r="C5672" s="500" t="s">
        <v>173</v>
      </c>
      <c r="D5672" s="500" t="s">
        <v>759</v>
      </c>
      <c r="E5672" s="501">
        <v>-3636080413.4299998</v>
      </c>
      <c r="F5672" s="502" t="s">
        <v>878</v>
      </c>
      <c r="G5672" s="100">
        <v>115629826</v>
      </c>
      <c r="H5672" s="530"/>
      <c r="I5672" s="422" t="s">
        <v>689</v>
      </c>
      <c r="J5672" s="484"/>
      <c r="K5672" s="548"/>
      <c r="L5672" s="548"/>
      <c r="M5672" s="548"/>
      <c r="N5672" s="552"/>
    </row>
    <row r="5673" spans="1:14">
      <c r="A5673" s="499">
        <v>45679</v>
      </c>
      <c r="B5673" s="499">
        <v>45679</v>
      </c>
      <c r="C5673" s="500" t="s">
        <v>173</v>
      </c>
      <c r="D5673" s="500" t="s">
        <v>759</v>
      </c>
      <c r="E5673" s="501">
        <v>-17014414.27</v>
      </c>
      <c r="F5673" s="502" t="s">
        <v>878</v>
      </c>
      <c r="G5673" s="100">
        <v>115629838</v>
      </c>
      <c r="H5673" s="530"/>
      <c r="I5673" s="422" t="s">
        <v>689</v>
      </c>
      <c r="J5673" s="484"/>
      <c r="K5673" s="548"/>
      <c r="L5673" s="548"/>
      <c r="M5673" s="548"/>
      <c r="N5673" s="552"/>
    </row>
    <row r="5674" spans="1:14">
      <c r="A5674" s="499">
        <v>45679</v>
      </c>
      <c r="B5674" s="499">
        <v>45680</v>
      </c>
      <c r="C5674" s="500" t="s">
        <v>173</v>
      </c>
      <c r="D5674" s="500" t="s">
        <v>759</v>
      </c>
      <c r="E5674" s="501">
        <v>1998636275.8</v>
      </c>
      <c r="F5674" s="502" t="s">
        <v>878</v>
      </c>
      <c r="G5674" s="100">
        <v>115629705</v>
      </c>
      <c r="H5674" s="100">
        <v>115629705</v>
      </c>
      <c r="I5674" s="422" t="s">
        <v>652</v>
      </c>
      <c r="J5674" s="484"/>
      <c r="K5674" s="548"/>
      <c r="L5674" s="548"/>
      <c r="M5674" s="548"/>
      <c r="N5674" s="552"/>
    </row>
    <row r="5675" spans="1:14">
      <c r="A5675" s="499">
        <v>45679</v>
      </c>
      <c r="B5675" s="499">
        <v>45686</v>
      </c>
      <c r="C5675" s="500" t="s">
        <v>173</v>
      </c>
      <c r="D5675" s="500" t="s">
        <v>759</v>
      </c>
      <c r="E5675" s="501">
        <v>643911117.53999996</v>
      </c>
      <c r="F5675" s="502" t="s">
        <v>878</v>
      </c>
      <c r="G5675" s="100">
        <v>115629823</v>
      </c>
      <c r="H5675" s="100">
        <v>115629823</v>
      </c>
      <c r="I5675" s="422" t="s">
        <v>675</v>
      </c>
      <c r="J5675" s="484"/>
      <c r="K5675" s="548"/>
      <c r="L5675" s="548"/>
      <c r="M5675" s="548"/>
      <c r="N5675" s="552"/>
    </row>
    <row r="5676" spans="1:14">
      <c r="A5676" s="499">
        <v>45679</v>
      </c>
      <c r="B5676" s="499">
        <v>45686</v>
      </c>
      <c r="C5676" s="500" t="s">
        <v>173</v>
      </c>
      <c r="D5676" s="500" t="s">
        <v>759</v>
      </c>
      <c r="E5676" s="501">
        <v>3646540440.52</v>
      </c>
      <c r="F5676" s="502" t="s">
        <v>878</v>
      </c>
      <c r="G5676" s="100">
        <v>115629826</v>
      </c>
      <c r="H5676" s="100">
        <v>115629826</v>
      </c>
      <c r="I5676" s="422" t="s">
        <v>689</v>
      </c>
      <c r="J5676" s="484"/>
      <c r="K5676" s="548"/>
      <c r="L5676" s="548"/>
      <c r="M5676" s="548"/>
      <c r="N5676" s="552"/>
    </row>
    <row r="5677" spans="1:14">
      <c r="A5677" s="499">
        <v>45679</v>
      </c>
      <c r="B5677" s="499">
        <v>45686</v>
      </c>
      <c r="C5677" s="500" t="s">
        <v>173</v>
      </c>
      <c r="D5677" s="500" t="s">
        <v>759</v>
      </c>
      <c r="E5677" s="501">
        <v>17063360.170000002</v>
      </c>
      <c r="F5677" s="502" t="s">
        <v>878</v>
      </c>
      <c r="G5677" s="100">
        <v>115629838</v>
      </c>
      <c r="H5677" s="100">
        <v>115629838</v>
      </c>
      <c r="I5677" s="422" t="s">
        <v>689</v>
      </c>
      <c r="J5677" s="484"/>
      <c r="K5677" s="548"/>
      <c r="L5677" s="548"/>
      <c r="M5677" s="548"/>
      <c r="N5677" s="552"/>
    </row>
    <row r="5678" spans="1:14">
      <c r="A5678" s="499">
        <v>45680</v>
      </c>
      <c r="B5678" s="499">
        <v>45680</v>
      </c>
      <c r="C5678" s="500" t="s">
        <v>173</v>
      </c>
      <c r="D5678" s="500" t="s">
        <v>761</v>
      </c>
      <c r="E5678" s="501">
        <v>-2000572369.4200001</v>
      </c>
      <c r="F5678" s="502" t="s">
        <v>878</v>
      </c>
      <c r="G5678" s="100">
        <v>115652728</v>
      </c>
      <c r="H5678" s="530"/>
      <c r="I5678" s="422" t="s">
        <v>686</v>
      </c>
      <c r="J5678" s="484"/>
      <c r="K5678" s="548"/>
      <c r="L5678" s="548"/>
      <c r="M5678" s="548"/>
      <c r="N5678" s="552"/>
    </row>
    <row r="5679" spans="1:14">
      <c r="A5679" s="499">
        <v>45680</v>
      </c>
      <c r="B5679" s="499">
        <v>45680</v>
      </c>
      <c r="C5679" s="500" t="s">
        <v>173</v>
      </c>
      <c r="D5679" s="500" t="s">
        <v>761</v>
      </c>
      <c r="E5679" s="501">
        <v>-178151646.74000001</v>
      </c>
      <c r="F5679" s="502" t="s">
        <v>878</v>
      </c>
      <c r="G5679" s="100">
        <v>115652731</v>
      </c>
      <c r="H5679" s="530"/>
      <c r="I5679" s="422" t="s">
        <v>525</v>
      </c>
      <c r="J5679" s="484"/>
      <c r="K5679" s="548"/>
      <c r="L5679" s="548"/>
      <c r="M5679" s="548"/>
      <c r="N5679" s="552"/>
    </row>
    <row r="5680" spans="1:14">
      <c r="A5680" s="499">
        <v>45680</v>
      </c>
      <c r="B5680" s="499">
        <v>45680</v>
      </c>
      <c r="C5680" s="500" t="s">
        <v>173</v>
      </c>
      <c r="D5680" s="500" t="s">
        <v>761</v>
      </c>
      <c r="E5680" s="501">
        <v>-8000667.1399999997</v>
      </c>
      <c r="F5680" s="502" t="s">
        <v>878</v>
      </c>
      <c r="G5680" s="100">
        <v>115652913</v>
      </c>
      <c r="H5680" s="530"/>
      <c r="I5680" s="422" t="s">
        <v>657</v>
      </c>
      <c r="J5680" s="484"/>
      <c r="K5680" s="548"/>
      <c r="L5680" s="548"/>
      <c r="M5680" s="548"/>
      <c r="N5680" s="552"/>
    </row>
    <row r="5681" spans="1:14">
      <c r="A5681" s="499">
        <v>45680</v>
      </c>
      <c r="B5681" s="499">
        <v>45681</v>
      </c>
      <c r="C5681" s="500" t="s">
        <v>173</v>
      </c>
      <c r="D5681" s="500" t="s">
        <v>761</v>
      </c>
      <c r="E5681" s="501">
        <v>2001394522.45</v>
      </c>
      <c r="F5681" s="502" t="s">
        <v>878</v>
      </c>
      <c r="G5681" s="100">
        <v>115652728</v>
      </c>
      <c r="H5681" s="484">
        <v>115652728</v>
      </c>
      <c r="I5681" s="422" t="s">
        <v>686</v>
      </c>
      <c r="J5681" s="484"/>
      <c r="K5681" s="548"/>
      <c r="L5681" s="548"/>
      <c r="M5681" s="548"/>
      <c r="N5681" s="552"/>
    </row>
    <row r="5682" spans="1:14">
      <c r="A5682" s="499">
        <v>45680</v>
      </c>
      <c r="B5682" s="499">
        <v>45681</v>
      </c>
      <c r="C5682" s="500" t="s">
        <v>173</v>
      </c>
      <c r="D5682" s="500" t="s">
        <v>761</v>
      </c>
      <c r="E5682" s="501">
        <v>178224859.75</v>
      </c>
      <c r="F5682" s="502" t="s">
        <v>878</v>
      </c>
      <c r="G5682" s="100">
        <v>115652731</v>
      </c>
      <c r="H5682" s="484">
        <v>115652731</v>
      </c>
      <c r="I5682" s="422" t="s">
        <v>525</v>
      </c>
      <c r="J5682" s="484"/>
      <c r="K5682" s="548"/>
      <c r="L5682" s="548"/>
      <c r="M5682" s="548"/>
      <c r="N5682" s="552">
        <v>-1</v>
      </c>
    </row>
    <row r="5683" spans="1:14">
      <c r="A5683" s="499">
        <v>45680</v>
      </c>
      <c r="B5683" s="499">
        <v>45681</v>
      </c>
      <c r="C5683" s="500" t="s">
        <v>173</v>
      </c>
      <c r="D5683" s="500" t="s">
        <v>761</v>
      </c>
      <c r="E5683" s="501">
        <v>8003955.0899999999</v>
      </c>
      <c r="F5683" s="502" t="s">
        <v>878</v>
      </c>
      <c r="G5683" s="100">
        <v>115652913</v>
      </c>
      <c r="H5683" s="484">
        <v>115652913</v>
      </c>
      <c r="I5683" s="422" t="s">
        <v>657</v>
      </c>
      <c r="J5683" s="484"/>
      <c r="K5683" s="548"/>
      <c r="L5683" s="548"/>
      <c r="M5683" s="548"/>
      <c r="N5683" s="552"/>
    </row>
    <row r="5684" spans="1:14">
      <c r="A5684" s="499">
        <v>45680</v>
      </c>
      <c r="B5684" s="499">
        <v>45680</v>
      </c>
      <c r="C5684" s="500" t="s">
        <v>173</v>
      </c>
      <c r="D5684" s="500" t="s">
        <v>759</v>
      </c>
      <c r="E5684" s="501">
        <v>-64052423.549999997</v>
      </c>
      <c r="F5684" s="502" t="s">
        <v>878</v>
      </c>
      <c r="G5684" s="100">
        <v>115652096</v>
      </c>
      <c r="H5684" s="530"/>
      <c r="I5684" s="422" t="s">
        <v>675</v>
      </c>
      <c r="J5684" s="484"/>
      <c r="K5684" s="548"/>
      <c r="L5684" s="548"/>
      <c r="M5684" s="548"/>
      <c r="N5684" s="552"/>
    </row>
    <row r="5685" spans="1:14">
      <c r="A5685" s="499">
        <v>45680</v>
      </c>
      <c r="B5685" s="499">
        <v>45680</v>
      </c>
      <c r="C5685" s="500" t="s">
        <v>173</v>
      </c>
      <c r="D5685" s="500" t="s">
        <v>759</v>
      </c>
      <c r="E5685" s="501">
        <v>-634219446.41999996</v>
      </c>
      <c r="F5685" s="502" t="s">
        <v>878</v>
      </c>
      <c r="G5685" s="100">
        <v>115652099</v>
      </c>
      <c r="H5685" s="530"/>
      <c r="I5685" s="422" t="s">
        <v>684</v>
      </c>
      <c r="J5685" s="484"/>
      <c r="K5685" s="548"/>
      <c r="L5685" s="548"/>
      <c r="M5685" s="548"/>
      <c r="N5685" s="552"/>
    </row>
    <row r="5686" spans="1:14">
      <c r="A5686" s="499">
        <v>45680</v>
      </c>
      <c r="B5686" s="499">
        <v>45680</v>
      </c>
      <c r="C5686" s="500" t="s">
        <v>173</v>
      </c>
      <c r="D5686" s="500" t="s">
        <v>759</v>
      </c>
      <c r="E5686" s="501">
        <v>-638360750.08000004</v>
      </c>
      <c r="F5686" s="502" t="s">
        <v>878</v>
      </c>
      <c r="G5686" s="100">
        <v>115652102</v>
      </c>
      <c r="H5686" s="530"/>
      <c r="I5686" s="422" t="s">
        <v>696</v>
      </c>
      <c r="J5686" s="484"/>
      <c r="K5686" s="548"/>
      <c r="L5686" s="548"/>
      <c r="M5686" s="548"/>
      <c r="N5686" s="552"/>
    </row>
    <row r="5687" spans="1:14">
      <c r="A5687" s="499">
        <v>45680</v>
      </c>
      <c r="B5687" s="499">
        <v>45680</v>
      </c>
      <c r="C5687" s="500" t="s">
        <v>173</v>
      </c>
      <c r="D5687" s="500" t="s">
        <v>759</v>
      </c>
      <c r="E5687" s="501">
        <v>-489077498.68000001</v>
      </c>
      <c r="F5687" s="502" t="s">
        <v>878</v>
      </c>
      <c r="G5687" s="100">
        <v>115652105</v>
      </c>
      <c r="H5687" s="530"/>
      <c r="I5687" s="422" t="s">
        <v>695</v>
      </c>
      <c r="J5687" s="484"/>
      <c r="K5687" s="548"/>
      <c r="L5687" s="548"/>
      <c r="M5687" s="548"/>
      <c r="N5687" s="552"/>
    </row>
    <row r="5688" spans="1:14">
      <c r="A5688" s="499">
        <v>45680</v>
      </c>
      <c r="B5688" s="499">
        <v>45680</v>
      </c>
      <c r="C5688" s="500" t="s">
        <v>173</v>
      </c>
      <c r="D5688" s="500" t="s">
        <v>759</v>
      </c>
      <c r="E5688" s="501">
        <v>-7000211.1200000001</v>
      </c>
      <c r="F5688" s="502" t="s">
        <v>878</v>
      </c>
      <c r="G5688" s="100">
        <v>115652201</v>
      </c>
      <c r="H5688" s="530"/>
      <c r="I5688" s="422" t="s">
        <v>652</v>
      </c>
      <c r="J5688" s="484"/>
      <c r="K5688" s="548"/>
      <c r="L5688" s="548"/>
      <c r="M5688" s="548"/>
      <c r="N5688" s="552"/>
    </row>
    <row r="5689" spans="1:14">
      <c r="A5689" s="499">
        <v>45680</v>
      </c>
      <c r="B5689" s="499">
        <v>45681</v>
      </c>
      <c r="C5689" s="500" t="s">
        <v>173</v>
      </c>
      <c r="D5689" s="500" t="s">
        <v>759</v>
      </c>
      <c r="E5689" s="501">
        <v>64078676.270000003</v>
      </c>
      <c r="F5689" s="502" t="s">
        <v>878</v>
      </c>
      <c r="G5689" s="100">
        <v>115652096</v>
      </c>
      <c r="H5689" s="484">
        <v>115652096</v>
      </c>
      <c r="I5689" s="422" t="s">
        <v>675</v>
      </c>
      <c r="J5689" s="484"/>
      <c r="K5689" s="548"/>
      <c r="L5689" s="548"/>
      <c r="M5689" s="548"/>
      <c r="N5689" s="552"/>
    </row>
    <row r="5690" spans="1:14">
      <c r="A5690" s="499">
        <v>45680</v>
      </c>
      <c r="B5690" s="499">
        <v>45681</v>
      </c>
      <c r="C5690" s="500" t="s">
        <v>173</v>
      </c>
      <c r="D5690" s="500" t="s">
        <v>759</v>
      </c>
      <c r="E5690" s="501">
        <v>634479389.50999999</v>
      </c>
      <c r="F5690" s="502" t="s">
        <v>878</v>
      </c>
      <c r="G5690" s="100">
        <v>115652099</v>
      </c>
      <c r="H5690" s="484">
        <v>115652099</v>
      </c>
      <c r="I5690" s="422" t="s">
        <v>684</v>
      </c>
      <c r="J5690" s="484"/>
      <c r="K5690" s="548"/>
      <c r="L5690" s="548"/>
      <c r="M5690" s="548"/>
      <c r="N5690" s="552"/>
    </row>
    <row r="5691" spans="1:14">
      <c r="A5691" s="499">
        <v>45680</v>
      </c>
      <c r="B5691" s="499">
        <v>45681</v>
      </c>
      <c r="C5691" s="500" t="s">
        <v>173</v>
      </c>
      <c r="D5691" s="500" t="s">
        <v>759</v>
      </c>
      <c r="E5691" s="501">
        <v>638622390.53999996</v>
      </c>
      <c r="F5691" s="502" t="s">
        <v>878</v>
      </c>
      <c r="G5691" s="100">
        <v>115652102</v>
      </c>
      <c r="H5691" s="484">
        <v>115652102</v>
      </c>
      <c r="I5691" s="422" t="s">
        <v>696</v>
      </c>
      <c r="J5691" s="484"/>
      <c r="K5691" s="548"/>
      <c r="L5691" s="548"/>
      <c r="M5691" s="548"/>
      <c r="N5691" s="552"/>
    </row>
    <row r="5692" spans="1:14">
      <c r="A5692" s="499">
        <v>45680</v>
      </c>
      <c r="B5692" s="499">
        <v>45681</v>
      </c>
      <c r="C5692" s="500" t="s">
        <v>173</v>
      </c>
      <c r="D5692" s="500" t="s">
        <v>759</v>
      </c>
      <c r="E5692" s="501">
        <v>489277953.45999998</v>
      </c>
      <c r="F5692" s="502" t="s">
        <v>878</v>
      </c>
      <c r="G5692" s="100">
        <v>115652105</v>
      </c>
      <c r="H5692" s="484">
        <v>115652105</v>
      </c>
      <c r="I5692" s="422" t="s">
        <v>695</v>
      </c>
      <c r="J5692" s="484"/>
      <c r="K5692" s="548"/>
      <c r="L5692" s="548"/>
      <c r="M5692" s="548"/>
      <c r="N5692" s="552"/>
    </row>
    <row r="5693" spans="1:14">
      <c r="A5693" s="499">
        <v>45680</v>
      </c>
      <c r="B5693" s="499">
        <v>45681</v>
      </c>
      <c r="C5693" s="500" t="s">
        <v>173</v>
      </c>
      <c r="D5693" s="500" t="s">
        <v>759</v>
      </c>
      <c r="E5693" s="501">
        <v>7003087.9199999999</v>
      </c>
      <c r="F5693" s="502" t="s">
        <v>878</v>
      </c>
      <c r="G5693" s="100">
        <v>115652201</v>
      </c>
      <c r="H5693" s="484">
        <v>115652201</v>
      </c>
      <c r="I5693" s="422" t="s">
        <v>652</v>
      </c>
      <c r="J5693" s="484"/>
      <c r="K5693" s="548"/>
      <c r="L5693" s="548"/>
      <c r="M5693" s="548"/>
      <c r="N5693" s="552"/>
    </row>
    <row r="5694" spans="1:14">
      <c r="A5694" s="499">
        <v>45680</v>
      </c>
      <c r="B5694" s="499">
        <v>45680</v>
      </c>
      <c r="C5694" s="500" t="s">
        <v>173</v>
      </c>
      <c r="D5694" s="500" t="s">
        <v>760</v>
      </c>
      <c r="E5694" s="501">
        <v>-15010536.23</v>
      </c>
      <c r="F5694" s="502" t="s">
        <v>878</v>
      </c>
      <c r="G5694" s="100">
        <v>115651073</v>
      </c>
      <c r="H5694" s="530"/>
      <c r="I5694" s="422" t="s">
        <v>817</v>
      </c>
      <c r="J5694" s="484"/>
      <c r="K5694" s="548"/>
      <c r="L5694" s="548"/>
      <c r="M5694" s="548"/>
      <c r="N5694" s="552"/>
    </row>
    <row r="5695" spans="1:14">
      <c r="A5695" s="499">
        <v>45680</v>
      </c>
      <c r="B5695" s="499">
        <v>45680</v>
      </c>
      <c r="C5695" s="500" t="s">
        <v>173</v>
      </c>
      <c r="D5695" s="500" t="s">
        <v>760</v>
      </c>
      <c r="E5695" s="501">
        <v>-43010773.280000001</v>
      </c>
      <c r="F5695" s="502" t="s">
        <v>878</v>
      </c>
      <c r="G5695" s="100">
        <v>115651076</v>
      </c>
      <c r="H5695" s="530"/>
      <c r="I5695" s="422" t="s">
        <v>550</v>
      </c>
      <c r="J5695" s="484"/>
      <c r="K5695" s="548"/>
      <c r="L5695" s="548"/>
      <c r="M5695" s="548"/>
      <c r="N5695" s="552"/>
    </row>
    <row r="5696" spans="1:14">
      <c r="A5696" s="499">
        <v>45680</v>
      </c>
      <c r="B5696" s="499">
        <v>45680</v>
      </c>
      <c r="C5696" s="500" t="s">
        <v>173</v>
      </c>
      <c r="D5696" s="500" t="s">
        <v>760</v>
      </c>
      <c r="E5696" s="501">
        <v>-240135705.36000001</v>
      </c>
      <c r="F5696" s="502" t="s">
        <v>878</v>
      </c>
      <c r="G5696" s="100">
        <v>115651139</v>
      </c>
      <c r="H5696" s="530"/>
      <c r="I5696" s="422" t="s">
        <v>696</v>
      </c>
      <c r="J5696" s="484"/>
      <c r="K5696" s="548"/>
      <c r="L5696" s="548"/>
      <c r="M5696" s="548"/>
      <c r="N5696" s="552"/>
    </row>
    <row r="5697" spans="1:14">
      <c r="A5697" s="499">
        <v>45680</v>
      </c>
      <c r="B5697" s="499">
        <v>45680</v>
      </c>
      <c r="C5697" s="500" t="s">
        <v>173</v>
      </c>
      <c r="D5697" s="500" t="s">
        <v>760</v>
      </c>
      <c r="E5697" s="501">
        <v>-9000795.0600000005</v>
      </c>
      <c r="F5697" s="502" t="s">
        <v>878</v>
      </c>
      <c r="G5697" s="100">
        <v>115651221</v>
      </c>
      <c r="H5697" s="530"/>
      <c r="I5697" s="422" t="s">
        <v>690</v>
      </c>
      <c r="J5697" s="484"/>
      <c r="K5697" s="548"/>
      <c r="L5697" s="548"/>
      <c r="M5697" s="548"/>
      <c r="N5697" s="552"/>
    </row>
    <row r="5698" spans="1:14">
      <c r="A5698" s="499">
        <v>45680</v>
      </c>
      <c r="B5698" s="499">
        <v>45680</v>
      </c>
      <c r="C5698" s="500" t="s">
        <v>173</v>
      </c>
      <c r="D5698" s="500" t="s">
        <v>760</v>
      </c>
      <c r="E5698" s="501">
        <v>-59024755.159999996</v>
      </c>
      <c r="F5698" s="502" t="s">
        <v>878</v>
      </c>
      <c r="G5698" s="100">
        <v>115651342</v>
      </c>
      <c r="H5698" s="530"/>
      <c r="I5698" s="422" t="s">
        <v>821</v>
      </c>
      <c r="J5698" s="484"/>
      <c r="K5698" s="548"/>
      <c r="L5698" s="548"/>
      <c r="M5698" s="548"/>
      <c r="N5698" s="552"/>
    </row>
    <row r="5699" spans="1:14">
      <c r="A5699" s="499">
        <v>45680</v>
      </c>
      <c r="B5699" s="499">
        <v>45680</v>
      </c>
      <c r="C5699" s="500" t="s">
        <v>173</v>
      </c>
      <c r="D5699" s="500" t="s">
        <v>760</v>
      </c>
      <c r="E5699" s="501">
        <v>-61005253.32</v>
      </c>
      <c r="F5699" s="502" t="s">
        <v>878</v>
      </c>
      <c r="G5699" s="100">
        <v>115651345</v>
      </c>
      <c r="H5699" s="530"/>
      <c r="I5699" s="422" t="s">
        <v>715</v>
      </c>
      <c r="J5699" s="484"/>
      <c r="K5699" s="548"/>
      <c r="L5699" s="548"/>
      <c r="M5699" s="548"/>
      <c r="N5699" s="552"/>
    </row>
    <row r="5700" spans="1:14">
      <c r="A5700" s="499">
        <v>45680</v>
      </c>
      <c r="B5700" s="499">
        <v>45680</v>
      </c>
      <c r="C5700" s="500" t="s">
        <v>173</v>
      </c>
      <c r="D5700" s="500" t="s">
        <v>760</v>
      </c>
      <c r="E5700" s="501">
        <v>-36022357.149999999</v>
      </c>
      <c r="F5700" s="502" t="s">
        <v>878</v>
      </c>
      <c r="G5700" s="100">
        <v>115651348</v>
      </c>
      <c r="H5700" s="530"/>
      <c r="I5700" s="422" t="s">
        <v>602</v>
      </c>
      <c r="J5700" s="484"/>
      <c r="K5700" s="548"/>
      <c r="L5700" s="548"/>
      <c r="M5700" s="548"/>
      <c r="N5700" s="552"/>
    </row>
    <row r="5701" spans="1:14">
      <c r="A5701" s="499">
        <v>45680</v>
      </c>
      <c r="B5701" s="499">
        <v>45681</v>
      </c>
      <c r="C5701" s="500" t="s">
        <v>173</v>
      </c>
      <c r="D5701" s="500" t="s">
        <v>760</v>
      </c>
      <c r="E5701" s="501">
        <v>15016704.939999999</v>
      </c>
      <c r="F5701" s="502" t="s">
        <v>878</v>
      </c>
      <c r="G5701" s="100">
        <v>115651073</v>
      </c>
      <c r="H5701" s="100">
        <v>115651073</v>
      </c>
      <c r="I5701" s="422" t="s">
        <v>817</v>
      </c>
      <c r="J5701" s="484"/>
      <c r="K5701" s="548"/>
      <c r="L5701" s="548"/>
      <c r="M5701" s="548"/>
      <c r="N5701" s="552"/>
    </row>
    <row r="5702" spans="1:14">
      <c r="A5702" s="499">
        <v>45680</v>
      </c>
      <c r="B5702" s="499">
        <v>45681</v>
      </c>
      <c r="C5702" s="500" t="s">
        <v>173</v>
      </c>
      <c r="D5702" s="500" t="s">
        <v>760</v>
      </c>
      <c r="E5702" s="501">
        <v>43028448.939999998</v>
      </c>
      <c r="F5702" s="502" t="s">
        <v>878</v>
      </c>
      <c r="G5702" s="100">
        <v>115651076</v>
      </c>
      <c r="H5702" s="100">
        <v>115651076</v>
      </c>
      <c r="I5702" s="422" t="s">
        <v>550</v>
      </c>
      <c r="J5702" s="484"/>
      <c r="K5702" s="548"/>
      <c r="L5702" s="548"/>
      <c r="M5702" s="548"/>
      <c r="N5702" s="552"/>
    </row>
    <row r="5703" spans="1:14">
      <c r="A5703" s="499">
        <v>45680</v>
      </c>
      <c r="B5703" s="499">
        <v>45681</v>
      </c>
      <c r="C5703" s="500" t="s">
        <v>173</v>
      </c>
      <c r="D5703" s="500" t="s">
        <v>760</v>
      </c>
      <c r="E5703" s="501">
        <v>240234391.27000001</v>
      </c>
      <c r="F5703" s="502" t="s">
        <v>878</v>
      </c>
      <c r="G5703" s="100">
        <v>115651139</v>
      </c>
      <c r="H5703" s="100">
        <v>115651139</v>
      </c>
      <c r="I5703" s="422" t="s">
        <v>696</v>
      </c>
      <c r="J5703" s="484"/>
      <c r="K5703" s="548"/>
      <c r="L5703" s="548"/>
      <c r="M5703" s="548"/>
      <c r="N5703" s="552"/>
    </row>
    <row r="5704" spans="1:14">
      <c r="A5704" s="499">
        <v>45680</v>
      </c>
      <c r="B5704" s="499">
        <v>45681</v>
      </c>
      <c r="C5704" s="500" t="s">
        <v>173</v>
      </c>
      <c r="D5704" s="500" t="s">
        <v>760</v>
      </c>
      <c r="E5704" s="501">
        <v>9004494.0199999996</v>
      </c>
      <c r="F5704" s="502" t="s">
        <v>878</v>
      </c>
      <c r="G5704" s="100">
        <v>115651221</v>
      </c>
      <c r="H5704" s="100">
        <v>115651221</v>
      </c>
      <c r="I5704" s="422" t="s">
        <v>690</v>
      </c>
      <c r="J5704" s="484"/>
      <c r="K5704" s="548"/>
      <c r="L5704" s="548"/>
      <c r="M5704" s="548"/>
      <c r="N5704" s="552"/>
    </row>
    <row r="5705" spans="1:14">
      <c r="A5705" s="499">
        <v>45680</v>
      </c>
      <c r="B5705" s="499">
        <v>45681</v>
      </c>
      <c r="C5705" s="500" t="s">
        <v>173</v>
      </c>
      <c r="D5705" s="500" t="s">
        <v>760</v>
      </c>
      <c r="E5705" s="501">
        <v>59049011.909999996</v>
      </c>
      <c r="F5705" s="502" t="s">
        <v>878</v>
      </c>
      <c r="G5705" s="100">
        <v>115651342</v>
      </c>
      <c r="H5705" s="100">
        <v>115651342</v>
      </c>
      <c r="I5705" s="422" t="s">
        <v>821</v>
      </c>
      <c r="J5705" s="484"/>
      <c r="K5705" s="548"/>
      <c r="L5705" s="548"/>
      <c r="M5705" s="548"/>
      <c r="N5705" s="552"/>
    </row>
    <row r="5706" spans="1:14">
      <c r="A5706" s="499">
        <v>45680</v>
      </c>
      <c r="B5706" s="499">
        <v>45681</v>
      </c>
      <c r="C5706" s="500" t="s">
        <v>173</v>
      </c>
      <c r="D5706" s="500" t="s">
        <v>760</v>
      </c>
      <c r="E5706" s="501">
        <v>61030323.969999999</v>
      </c>
      <c r="F5706" s="502" t="s">
        <v>878</v>
      </c>
      <c r="G5706" s="100">
        <v>115651345</v>
      </c>
      <c r="H5706" s="100">
        <v>115651345</v>
      </c>
      <c r="I5706" s="422" t="s">
        <v>715</v>
      </c>
      <c r="J5706" s="484"/>
      <c r="K5706" s="548"/>
      <c r="L5706" s="548"/>
      <c r="M5706" s="548"/>
      <c r="N5706" s="552"/>
    </row>
    <row r="5707" spans="1:14">
      <c r="A5707" s="499">
        <v>45680</v>
      </c>
      <c r="B5707" s="499">
        <v>45681</v>
      </c>
      <c r="C5707" s="500" t="s">
        <v>173</v>
      </c>
      <c r="D5707" s="500" t="s">
        <v>760</v>
      </c>
      <c r="E5707" s="501">
        <v>36037160.859999999</v>
      </c>
      <c r="F5707" s="502" t="s">
        <v>878</v>
      </c>
      <c r="G5707" s="100">
        <v>115651348</v>
      </c>
      <c r="H5707" s="100">
        <v>115651348</v>
      </c>
      <c r="I5707" s="422" t="s">
        <v>602</v>
      </c>
      <c r="J5707" s="484"/>
      <c r="K5707" s="548"/>
      <c r="L5707" s="548"/>
      <c r="M5707" s="548"/>
      <c r="N5707" s="552"/>
    </row>
    <row r="5708" spans="1:14">
      <c r="A5708" s="499">
        <v>45680</v>
      </c>
      <c r="B5708" s="499">
        <v>45680</v>
      </c>
      <c r="C5708" s="500" t="s">
        <v>173</v>
      </c>
      <c r="D5708" s="500" t="s">
        <v>763</v>
      </c>
      <c r="E5708" s="501">
        <v>-5000150800</v>
      </c>
      <c r="F5708" s="502" t="s">
        <v>878</v>
      </c>
      <c r="G5708" s="100">
        <v>115651902</v>
      </c>
      <c r="H5708" s="530"/>
      <c r="I5708" s="422" t="s">
        <v>652</v>
      </c>
      <c r="J5708" s="484"/>
      <c r="K5708" s="548"/>
      <c r="L5708" s="548"/>
      <c r="M5708" s="548"/>
      <c r="N5708" s="552"/>
    </row>
    <row r="5709" spans="1:14">
      <c r="A5709" s="499">
        <v>45680</v>
      </c>
      <c r="B5709" s="499">
        <v>45680</v>
      </c>
      <c r="C5709" s="500" t="s">
        <v>173</v>
      </c>
      <c r="D5709" s="500" t="s">
        <v>763</v>
      </c>
      <c r="E5709" s="501">
        <v>-798049297.88999999</v>
      </c>
      <c r="F5709" s="502" t="s">
        <v>878</v>
      </c>
      <c r="G5709" s="100">
        <v>115651905</v>
      </c>
      <c r="H5709" s="530"/>
      <c r="I5709" s="422" t="s">
        <v>1018</v>
      </c>
      <c r="J5709" s="484"/>
      <c r="K5709" s="548"/>
      <c r="L5709" s="548"/>
      <c r="M5709" s="548"/>
      <c r="N5709" s="552"/>
    </row>
    <row r="5710" spans="1:14">
      <c r="A5710" s="499">
        <v>45680</v>
      </c>
      <c r="B5710" s="499">
        <v>45680</v>
      </c>
      <c r="C5710" s="500" t="s">
        <v>173</v>
      </c>
      <c r="D5710" s="500" t="s">
        <v>763</v>
      </c>
      <c r="E5710" s="501">
        <v>-26001606.199999999</v>
      </c>
      <c r="F5710" s="502" t="s">
        <v>878</v>
      </c>
      <c r="G5710" s="100">
        <v>115651956</v>
      </c>
      <c r="H5710" s="530"/>
      <c r="I5710" s="422" t="s">
        <v>1018</v>
      </c>
      <c r="J5710" s="484"/>
      <c r="K5710" s="548"/>
      <c r="L5710" s="548"/>
      <c r="M5710" s="548"/>
      <c r="N5710" s="552"/>
    </row>
    <row r="5711" spans="1:14">
      <c r="A5711" s="499">
        <v>45680</v>
      </c>
      <c r="B5711" s="499">
        <v>45681</v>
      </c>
      <c r="C5711" s="500" t="s">
        <v>173</v>
      </c>
      <c r="D5711" s="500" t="s">
        <v>763</v>
      </c>
      <c r="E5711" s="501">
        <v>5002198875.4700003</v>
      </c>
      <c r="F5711" s="502" t="s">
        <v>878</v>
      </c>
      <c r="G5711" s="100">
        <v>115651902</v>
      </c>
      <c r="H5711" s="100">
        <v>115651902</v>
      </c>
      <c r="I5711" s="422" t="s">
        <v>652</v>
      </c>
      <c r="J5711" s="484"/>
      <c r="K5711" s="548"/>
      <c r="L5711" s="548"/>
      <c r="M5711" s="548"/>
      <c r="N5711" s="552"/>
    </row>
    <row r="5712" spans="1:14">
      <c r="A5712" s="499">
        <v>45680</v>
      </c>
      <c r="B5712" s="499">
        <v>45681</v>
      </c>
      <c r="C5712" s="500" t="s">
        <v>173</v>
      </c>
      <c r="D5712" s="500" t="s">
        <v>763</v>
      </c>
      <c r="E5712" s="501">
        <v>798376181.07000005</v>
      </c>
      <c r="F5712" s="502" t="s">
        <v>878</v>
      </c>
      <c r="G5712" s="100">
        <v>115651905</v>
      </c>
      <c r="H5712" s="100">
        <v>115651905</v>
      </c>
      <c r="I5712" s="422" t="s">
        <v>1018</v>
      </c>
      <c r="J5712" s="484"/>
      <c r="K5712" s="548"/>
      <c r="L5712" s="548"/>
      <c r="M5712" s="548"/>
      <c r="N5712" s="552"/>
    </row>
    <row r="5713" spans="1:14">
      <c r="A5713" s="499">
        <v>45680</v>
      </c>
      <c r="B5713" s="499">
        <v>45681</v>
      </c>
      <c r="C5713" s="500" t="s">
        <v>173</v>
      </c>
      <c r="D5713" s="500" t="s">
        <v>763</v>
      </c>
      <c r="E5713" s="501">
        <v>26012256.530000001</v>
      </c>
      <c r="F5713" s="502" t="s">
        <v>878</v>
      </c>
      <c r="G5713" s="100">
        <v>115651956</v>
      </c>
      <c r="H5713" s="100">
        <v>115651956</v>
      </c>
      <c r="I5713" s="422" t="s">
        <v>1018</v>
      </c>
      <c r="J5713" s="484"/>
      <c r="K5713" s="548"/>
      <c r="L5713" s="548"/>
      <c r="M5713" s="548"/>
      <c r="N5713" s="552"/>
    </row>
    <row r="5714" spans="1:14">
      <c r="A5714" s="499">
        <v>45681</v>
      </c>
      <c r="B5714" s="499">
        <v>45681</v>
      </c>
      <c r="C5714" s="500" t="s">
        <v>173</v>
      </c>
      <c r="D5714" s="500" t="s">
        <v>761</v>
      </c>
      <c r="E5714" s="501">
        <v>-527222570.12</v>
      </c>
      <c r="F5714" s="502" t="s">
        <v>878</v>
      </c>
      <c r="G5714" s="100">
        <v>115671013</v>
      </c>
      <c r="H5714" s="530"/>
      <c r="I5714" s="422" t="s">
        <v>633</v>
      </c>
      <c r="J5714" s="484"/>
      <c r="K5714" s="548"/>
      <c r="L5714" s="548"/>
      <c r="M5714" s="548"/>
      <c r="N5714" s="552"/>
    </row>
    <row r="5715" spans="1:14">
      <c r="A5715" s="499">
        <v>45681</v>
      </c>
      <c r="B5715" s="499">
        <v>45681</v>
      </c>
      <c r="C5715" s="500" t="s">
        <v>173</v>
      </c>
      <c r="D5715" s="500" t="s">
        <v>761</v>
      </c>
      <c r="E5715" s="501">
        <v>-2098950561.8399999</v>
      </c>
      <c r="F5715" s="502" t="s">
        <v>878</v>
      </c>
      <c r="G5715" s="100">
        <v>115671018</v>
      </c>
      <c r="H5715" s="530"/>
      <c r="I5715" s="422" t="s">
        <v>686</v>
      </c>
      <c r="J5715" s="484"/>
      <c r="K5715" s="548"/>
      <c r="L5715" s="548"/>
      <c r="M5715" s="548"/>
      <c r="N5715" s="552"/>
    </row>
    <row r="5716" spans="1:14">
      <c r="A5716" s="499">
        <v>45681</v>
      </c>
      <c r="B5716" s="499">
        <v>45681</v>
      </c>
      <c r="C5716" s="500" t="s">
        <v>173</v>
      </c>
      <c r="D5716" s="500" t="s">
        <v>761</v>
      </c>
      <c r="E5716" s="501">
        <v>-11004983.880000001</v>
      </c>
      <c r="F5716" s="502" t="s">
        <v>878</v>
      </c>
      <c r="G5716" s="100">
        <v>115671028</v>
      </c>
      <c r="H5716" s="530"/>
      <c r="I5716" s="422" t="s">
        <v>686</v>
      </c>
      <c r="J5716" s="484"/>
      <c r="K5716" s="548"/>
      <c r="L5716" s="548"/>
      <c r="M5716" s="548"/>
      <c r="N5716" s="552"/>
    </row>
    <row r="5717" spans="1:14">
      <c r="A5717" s="499">
        <v>45681</v>
      </c>
      <c r="B5717" s="499">
        <v>45684</v>
      </c>
      <c r="C5717" s="500" t="s">
        <v>173</v>
      </c>
      <c r="D5717" s="500" t="s">
        <v>761</v>
      </c>
      <c r="E5717" s="501">
        <v>527872570.55000001</v>
      </c>
      <c r="F5717" s="502" t="s">
        <v>878</v>
      </c>
      <c r="G5717" s="100">
        <v>115671013</v>
      </c>
      <c r="H5717" s="484">
        <v>115671013</v>
      </c>
      <c r="I5717" s="422" t="s">
        <v>633</v>
      </c>
      <c r="J5717" s="484"/>
      <c r="K5717" s="548"/>
      <c r="L5717" s="548"/>
      <c r="M5717" s="548"/>
      <c r="N5717" s="552"/>
    </row>
    <row r="5718" spans="1:14">
      <c r="A5718" s="499">
        <v>45681</v>
      </c>
      <c r="B5718" s="499">
        <v>45684</v>
      </c>
      <c r="C5718" s="500" t="s">
        <v>173</v>
      </c>
      <c r="D5718" s="500" t="s">
        <v>761</v>
      </c>
      <c r="E5718" s="501">
        <v>2101538309.1099999</v>
      </c>
      <c r="F5718" s="502" t="s">
        <v>878</v>
      </c>
      <c r="G5718" s="100">
        <v>115671018</v>
      </c>
      <c r="H5718" s="484">
        <v>115671018</v>
      </c>
      <c r="I5718" s="422" t="s">
        <v>686</v>
      </c>
      <c r="J5718" s="484"/>
      <c r="K5718" s="548"/>
      <c r="L5718" s="548"/>
      <c r="M5718" s="548"/>
      <c r="N5718" s="552"/>
    </row>
    <row r="5719" spans="1:14">
      <c r="A5719" s="499">
        <v>45681</v>
      </c>
      <c r="B5719" s="499">
        <v>45684</v>
      </c>
      <c r="C5719" s="500" t="s">
        <v>173</v>
      </c>
      <c r="D5719" s="500" t="s">
        <v>761</v>
      </c>
      <c r="E5719" s="501">
        <v>11018551.67</v>
      </c>
      <c r="F5719" s="502" t="s">
        <v>878</v>
      </c>
      <c r="G5719" s="100">
        <v>115671028</v>
      </c>
      <c r="H5719" s="484">
        <v>115671028</v>
      </c>
      <c r="I5719" s="422" t="s">
        <v>686</v>
      </c>
      <c r="J5719" s="484"/>
      <c r="K5719" s="548"/>
      <c r="L5719" s="548"/>
      <c r="M5719" s="548"/>
      <c r="N5719" s="552"/>
    </row>
    <row r="5720" spans="1:14">
      <c r="A5720" s="499">
        <v>45681</v>
      </c>
      <c r="B5720" s="499">
        <v>45681</v>
      </c>
      <c r="C5720" s="500" t="s">
        <v>173</v>
      </c>
      <c r="D5720" s="500" t="s">
        <v>759</v>
      </c>
      <c r="E5720" s="501">
        <v>-11006963.880000001</v>
      </c>
      <c r="F5720" s="502" t="s">
        <v>878</v>
      </c>
      <c r="G5720" s="100">
        <v>115670152</v>
      </c>
      <c r="H5720" s="530"/>
      <c r="I5720" s="422" t="s">
        <v>701</v>
      </c>
      <c r="J5720" s="484"/>
      <c r="K5720" s="548"/>
      <c r="L5720" s="548">
        <v>-1</v>
      </c>
      <c r="M5720" s="548"/>
      <c r="N5720" s="552"/>
    </row>
    <row r="5721" spans="1:14">
      <c r="A5721" s="499">
        <v>45681</v>
      </c>
      <c r="B5721" s="499">
        <v>45681</v>
      </c>
      <c r="C5721" s="500" t="s">
        <v>173</v>
      </c>
      <c r="D5721" s="500" t="s">
        <v>759</v>
      </c>
      <c r="E5721" s="501">
        <v>-32007546.850000001</v>
      </c>
      <c r="F5721" s="502" t="s">
        <v>878</v>
      </c>
      <c r="G5721" s="100">
        <v>115670155</v>
      </c>
      <c r="H5721" s="530"/>
      <c r="I5721" s="422" t="s">
        <v>657</v>
      </c>
      <c r="J5721" s="484"/>
      <c r="K5721" s="548"/>
      <c r="L5721" s="548"/>
      <c r="M5721" s="548"/>
      <c r="N5721" s="552"/>
    </row>
    <row r="5722" spans="1:14">
      <c r="A5722" s="499">
        <v>45681</v>
      </c>
      <c r="B5722" s="499">
        <v>45681</v>
      </c>
      <c r="C5722" s="500" t="s">
        <v>173</v>
      </c>
      <c r="D5722" s="500" t="s">
        <v>759</v>
      </c>
      <c r="E5722" s="501">
        <v>-48041102.590000004</v>
      </c>
      <c r="F5722" s="502" t="s">
        <v>878</v>
      </c>
      <c r="G5722" s="100">
        <v>115670158</v>
      </c>
      <c r="H5722" s="530"/>
      <c r="I5722" s="422" t="s">
        <v>598</v>
      </c>
      <c r="J5722" s="484"/>
      <c r="K5722" s="548"/>
      <c r="L5722" s="548"/>
      <c r="M5722" s="548"/>
      <c r="N5722" s="552"/>
    </row>
    <row r="5723" spans="1:14">
      <c r="A5723" s="499">
        <v>45681</v>
      </c>
      <c r="B5723" s="499">
        <v>45681</v>
      </c>
      <c r="C5723" s="500" t="s">
        <v>173</v>
      </c>
      <c r="D5723" s="500" t="s">
        <v>759</v>
      </c>
      <c r="E5723" s="501">
        <v>-164006570.5</v>
      </c>
      <c r="F5723" s="502" t="s">
        <v>878</v>
      </c>
      <c r="G5723" s="100">
        <v>115670161</v>
      </c>
      <c r="H5723" s="530"/>
      <c r="I5723" s="422" t="s">
        <v>699</v>
      </c>
      <c r="J5723" s="484"/>
      <c r="K5723" s="548"/>
      <c r="L5723" s="548"/>
      <c r="M5723" s="548"/>
      <c r="N5723" s="552"/>
    </row>
    <row r="5724" spans="1:14">
      <c r="A5724" s="499">
        <v>45681</v>
      </c>
      <c r="B5724" s="499">
        <v>45681</v>
      </c>
      <c r="C5724" s="500" t="s">
        <v>173</v>
      </c>
      <c r="D5724" s="500" t="s">
        <v>759</v>
      </c>
      <c r="E5724" s="501">
        <v>-168039704.94999999</v>
      </c>
      <c r="F5724" s="502" t="s">
        <v>878</v>
      </c>
      <c r="G5724" s="100">
        <v>115670164</v>
      </c>
      <c r="H5724" s="530"/>
      <c r="I5724" s="422" t="s">
        <v>602</v>
      </c>
      <c r="J5724" s="484"/>
      <c r="K5724" s="548"/>
      <c r="L5724" s="548"/>
      <c r="M5724" s="548"/>
      <c r="N5724" s="552"/>
    </row>
    <row r="5725" spans="1:14">
      <c r="A5725" s="499">
        <v>45681</v>
      </c>
      <c r="B5725" s="499">
        <v>45681</v>
      </c>
      <c r="C5725" s="500" t="s">
        <v>173</v>
      </c>
      <c r="D5725" s="500" t="s">
        <v>759</v>
      </c>
      <c r="E5725" s="501">
        <v>-264157415.81</v>
      </c>
      <c r="F5725" s="502" t="s">
        <v>878</v>
      </c>
      <c r="G5725" s="100">
        <v>115670167</v>
      </c>
      <c r="H5725" s="530"/>
      <c r="I5725" s="422" t="s">
        <v>720</v>
      </c>
      <c r="J5725" s="484"/>
      <c r="K5725" s="548"/>
      <c r="L5725" s="548"/>
      <c r="M5725" s="548"/>
      <c r="N5725" s="552"/>
    </row>
    <row r="5726" spans="1:14">
      <c r="A5726" s="499">
        <v>45681</v>
      </c>
      <c r="B5726" s="499">
        <v>45681</v>
      </c>
      <c r="C5726" s="500" t="s">
        <v>173</v>
      </c>
      <c r="D5726" s="500" t="s">
        <v>759</v>
      </c>
      <c r="E5726" s="501">
        <v>-350068861.80000001</v>
      </c>
      <c r="F5726" s="502" t="s">
        <v>878</v>
      </c>
      <c r="G5726" s="100">
        <v>115670170</v>
      </c>
      <c r="H5726" s="530"/>
      <c r="I5726" s="422" t="s">
        <v>670</v>
      </c>
      <c r="J5726" s="484"/>
      <c r="K5726" s="548"/>
      <c r="L5726" s="548"/>
      <c r="M5726" s="548"/>
      <c r="N5726" s="552"/>
    </row>
    <row r="5727" spans="1:14">
      <c r="A5727" s="499">
        <v>45681</v>
      </c>
      <c r="B5727" s="499">
        <v>45681</v>
      </c>
      <c r="C5727" s="500" t="s">
        <v>173</v>
      </c>
      <c r="D5727" s="500" t="s">
        <v>759</v>
      </c>
      <c r="E5727" s="501">
        <v>-1000856.3</v>
      </c>
      <c r="F5727" s="502" t="s">
        <v>878</v>
      </c>
      <c r="G5727" s="100">
        <v>115670181</v>
      </c>
      <c r="H5727" s="530"/>
      <c r="I5727" s="422" t="s">
        <v>598</v>
      </c>
      <c r="J5727" s="484"/>
      <c r="K5727" s="548"/>
      <c r="L5727" s="548"/>
      <c r="M5727" s="548"/>
      <c r="N5727" s="552"/>
    </row>
    <row r="5728" spans="1:14">
      <c r="A5728" s="499">
        <v>45681</v>
      </c>
      <c r="B5728" s="499">
        <v>45681</v>
      </c>
      <c r="C5728" s="500" t="s">
        <v>173</v>
      </c>
      <c r="D5728" s="500" t="s">
        <v>759</v>
      </c>
      <c r="E5728" s="501">
        <v>-1000778.3</v>
      </c>
      <c r="F5728" s="502" t="s">
        <v>878</v>
      </c>
      <c r="G5728" s="100">
        <v>115670184</v>
      </c>
      <c r="H5728" s="530"/>
      <c r="I5728" s="422" t="s">
        <v>592</v>
      </c>
      <c r="J5728" s="484"/>
      <c r="K5728" s="548"/>
      <c r="L5728" s="548"/>
      <c r="M5728" s="548"/>
      <c r="N5728" s="552"/>
    </row>
    <row r="5729" spans="1:14">
      <c r="A5729" s="499">
        <v>45681</v>
      </c>
      <c r="B5729" s="499">
        <v>45681</v>
      </c>
      <c r="C5729" s="500" t="s">
        <v>173</v>
      </c>
      <c r="D5729" s="500" t="s">
        <v>759</v>
      </c>
      <c r="E5729" s="501">
        <v>-1000038.14</v>
      </c>
      <c r="F5729" s="502" t="s">
        <v>878</v>
      </c>
      <c r="G5729" s="100">
        <v>115670187</v>
      </c>
      <c r="H5729" s="530"/>
      <c r="I5729" s="422" t="s">
        <v>596</v>
      </c>
      <c r="J5729" s="484"/>
      <c r="K5729" s="548"/>
      <c r="L5729" s="548"/>
      <c r="M5729" s="548"/>
      <c r="N5729" s="552"/>
    </row>
    <row r="5730" spans="1:14">
      <c r="A5730" s="499">
        <v>45681</v>
      </c>
      <c r="B5730" s="499">
        <v>45681</v>
      </c>
      <c r="C5730" s="500" t="s">
        <v>173</v>
      </c>
      <c r="D5730" s="500" t="s">
        <v>759</v>
      </c>
      <c r="E5730" s="501">
        <v>-1000023.34</v>
      </c>
      <c r="F5730" s="502" t="s">
        <v>878</v>
      </c>
      <c r="G5730" s="100">
        <v>115670190</v>
      </c>
      <c r="H5730" s="530"/>
      <c r="I5730" s="422" t="s">
        <v>713</v>
      </c>
      <c r="J5730" s="484"/>
      <c r="K5730" s="548"/>
      <c r="L5730" s="548"/>
      <c r="M5730" s="548"/>
      <c r="N5730" s="552"/>
    </row>
    <row r="5731" spans="1:14">
      <c r="A5731" s="499">
        <v>45681</v>
      </c>
      <c r="B5731" s="499">
        <v>45681</v>
      </c>
      <c r="C5731" s="500" t="s">
        <v>173</v>
      </c>
      <c r="D5731" s="500" t="s">
        <v>759</v>
      </c>
      <c r="E5731" s="501">
        <v>-1000526.85</v>
      </c>
      <c r="F5731" s="502" t="s">
        <v>878</v>
      </c>
      <c r="G5731" s="100">
        <v>115670193</v>
      </c>
      <c r="H5731" s="530"/>
      <c r="I5731" s="422" t="s">
        <v>676</v>
      </c>
      <c r="J5731" s="484"/>
      <c r="K5731" s="548"/>
      <c r="L5731" s="548"/>
      <c r="M5731" s="548"/>
      <c r="N5731" s="552"/>
    </row>
    <row r="5732" spans="1:14">
      <c r="A5732" s="499">
        <v>45681</v>
      </c>
      <c r="B5732" s="499">
        <v>45681</v>
      </c>
      <c r="C5732" s="500" t="s">
        <v>173</v>
      </c>
      <c r="D5732" s="500" t="s">
        <v>759</v>
      </c>
      <c r="E5732" s="501">
        <v>-1000658.88</v>
      </c>
      <c r="F5732" s="502" t="s">
        <v>878</v>
      </c>
      <c r="G5732" s="100">
        <v>115670196</v>
      </c>
      <c r="H5732" s="530"/>
      <c r="I5732" s="422" t="s">
        <v>696</v>
      </c>
      <c r="J5732" s="484"/>
      <c r="K5732" s="548"/>
      <c r="L5732" s="548"/>
      <c r="M5732" s="548"/>
      <c r="N5732" s="552"/>
    </row>
    <row r="5733" spans="1:14">
      <c r="A5733" s="499">
        <v>45681</v>
      </c>
      <c r="B5733" s="499">
        <v>45681</v>
      </c>
      <c r="C5733" s="500" t="s">
        <v>173</v>
      </c>
      <c r="D5733" s="500" t="s">
        <v>759</v>
      </c>
      <c r="E5733" s="501">
        <v>-1000533.41</v>
      </c>
      <c r="F5733" s="502" t="s">
        <v>878</v>
      </c>
      <c r="G5733" s="100">
        <v>115670199</v>
      </c>
      <c r="H5733" s="530"/>
      <c r="I5733" s="422" t="s">
        <v>695</v>
      </c>
      <c r="J5733" s="484"/>
      <c r="K5733" s="548"/>
      <c r="L5733" s="548"/>
      <c r="M5733" s="548"/>
      <c r="N5733" s="552"/>
    </row>
    <row r="5734" spans="1:14">
      <c r="A5734" s="499">
        <v>45681</v>
      </c>
      <c r="B5734" s="499">
        <v>45681</v>
      </c>
      <c r="C5734" s="500" t="s">
        <v>173</v>
      </c>
      <c r="D5734" s="500" t="s">
        <v>759</v>
      </c>
      <c r="E5734" s="501">
        <v>-1000236.61</v>
      </c>
      <c r="F5734" s="502" t="s">
        <v>878</v>
      </c>
      <c r="G5734" s="100">
        <v>115670202</v>
      </c>
      <c r="H5734" s="530"/>
      <c r="I5734" s="422" t="s">
        <v>550</v>
      </c>
      <c r="J5734" s="484"/>
      <c r="K5734" s="548"/>
      <c r="L5734" s="548"/>
      <c r="M5734" s="548"/>
      <c r="N5734" s="552"/>
    </row>
    <row r="5735" spans="1:14">
      <c r="A5735" s="499">
        <v>45681</v>
      </c>
      <c r="B5735" s="499">
        <v>45681</v>
      </c>
      <c r="C5735" s="500" t="s">
        <v>173</v>
      </c>
      <c r="D5735" s="500" t="s">
        <v>759</v>
      </c>
      <c r="E5735" s="501">
        <v>-1000236.34</v>
      </c>
      <c r="F5735" s="502" t="s">
        <v>878</v>
      </c>
      <c r="G5735" s="100">
        <v>115670205</v>
      </c>
      <c r="H5735" s="530"/>
      <c r="I5735" s="422" t="s">
        <v>602</v>
      </c>
      <c r="J5735" s="484"/>
      <c r="K5735" s="548"/>
      <c r="L5735" s="548"/>
      <c r="M5735" s="548"/>
      <c r="N5735" s="552"/>
    </row>
    <row r="5736" spans="1:14">
      <c r="A5736" s="499">
        <v>45681</v>
      </c>
      <c r="B5736" s="499">
        <v>45681</v>
      </c>
      <c r="C5736" s="500" t="s">
        <v>173</v>
      </c>
      <c r="D5736" s="500" t="s">
        <v>759</v>
      </c>
      <c r="E5736" s="501">
        <v>-1000778.3</v>
      </c>
      <c r="F5736" s="502" t="s">
        <v>878</v>
      </c>
      <c r="G5736" s="100">
        <v>115670208</v>
      </c>
      <c r="H5736" s="530"/>
      <c r="I5736" s="422" t="s">
        <v>592</v>
      </c>
      <c r="J5736" s="484"/>
      <c r="K5736" s="548"/>
      <c r="L5736" s="548"/>
      <c r="M5736" s="548"/>
      <c r="N5736" s="552"/>
    </row>
    <row r="5737" spans="1:14">
      <c r="A5737" s="499">
        <v>45681</v>
      </c>
      <c r="B5737" s="499">
        <v>45681</v>
      </c>
      <c r="C5737" s="500" t="s">
        <v>173</v>
      </c>
      <c r="D5737" s="500" t="s">
        <v>759</v>
      </c>
      <c r="E5737" s="501">
        <v>-3000462.19</v>
      </c>
      <c r="F5737" s="502" t="s">
        <v>878</v>
      </c>
      <c r="G5737" s="100">
        <v>115670211</v>
      </c>
      <c r="H5737" s="530"/>
      <c r="I5737" s="422" t="s">
        <v>817</v>
      </c>
      <c r="J5737" s="484"/>
      <c r="K5737" s="548"/>
      <c r="L5737" s="548"/>
      <c r="M5737" s="548"/>
      <c r="N5737" s="552"/>
    </row>
    <row r="5738" spans="1:14">
      <c r="A5738" s="499">
        <v>45681</v>
      </c>
      <c r="B5738" s="499">
        <v>45681</v>
      </c>
      <c r="C5738" s="500" t="s">
        <v>173</v>
      </c>
      <c r="D5738" s="500" t="s">
        <v>759</v>
      </c>
      <c r="E5738" s="501">
        <v>-3000709.02</v>
      </c>
      <c r="F5738" s="502" t="s">
        <v>878</v>
      </c>
      <c r="G5738" s="100">
        <v>115670214</v>
      </c>
      <c r="H5738" s="530"/>
      <c r="I5738" s="422" t="s">
        <v>602</v>
      </c>
      <c r="J5738" s="484"/>
      <c r="K5738" s="548"/>
      <c r="L5738" s="548"/>
      <c r="M5738" s="548"/>
      <c r="N5738" s="552"/>
    </row>
    <row r="5739" spans="1:14">
      <c r="A5739" s="499">
        <v>45681</v>
      </c>
      <c r="B5739" s="499">
        <v>45681</v>
      </c>
      <c r="C5739" s="500" t="s">
        <v>173</v>
      </c>
      <c r="D5739" s="500" t="s">
        <v>759</v>
      </c>
      <c r="E5739" s="501">
        <v>-3001872.55</v>
      </c>
      <c r="F5739" s="502" t="s">
        <v>878</v>
      </c>
      <c r="G5739" s="100">
        <v>115670217</v>
      </c>
      <c r="H5739" s="530"/>
      <c r="I5739" s="422" t="s">
        <v>604</v>
      </c>
      <c r="J5739" s="484"/>
      <c r="K5739" s="548"/>
      <c r="L5739" s="548"/>
      <c r="M5739" s="548"/>
      <c r="N5739" s="552"/>
    </row>
    <row r="5740" spans="1:14">
      <c r="A5740" s="499">
        <v>45681</v>
      </c>
      <c r="B5740" s="499">
        <v>45681</v>
      </c>
      <c r="C5740" s="500" t="s">
        <v>173</v>
      </c>
      <c r="D5740" s="500" t="s">
        <v>759</v>
      </c>
      <c r="E5740" s="501">
        <v>-4002496.73</v>
      </c>
      <c r="F5740" s="502" t="s">
        <v>878</v>
      </c>
      <c r="G5740" s="100">
        <v>115670220</v>
      </c>
      <c r="H5740" s="530"/>
      <c r="I5740" s="422" t="s">
        <v>604</v>
      </c>
      <c r="J5740" s="484"/>
      <c r="K5740" s="548"/>
      <c r="L5740" s="548"/>
      <c r="M5740" s="548"/>
      <c r="N5740" s="552"/>
    </row>
    <row r="5741" spans="1:14">
      <c r="A5741" s="499">
        <v>45681</v>
      </c>
      <c r="B5741" s="499">
        <v>45681</v>
      </c>
      <c r="C5741" s="500" t="s">
        <v>173</v>
      </c>
      <c r="D5741" s="500" t="s">
        <v>759</v>
      </c>
      <c r="E5741" s="501">
        <v>-4003113.22</v>
      </c>
      <c r="F5741" s="502" t="s">
        <v>878</v>
      </c>
      <c r="G5741" s="100">
        <v>115670223</v>
      </c>
      <c r="H5741" s="530"/>
      <c r="I5741" s="422" t="s">
        <v>592</v>
      </c>
      <c r="J5741" s="484"/>
      <c r="K5741" s="548"/>
      <c r="L5741" s="548"/>
      <c r="M5741" s="548"/>
      <c r="N5741" s="552"/>
    </row>
    <row r="5742" spans="1:14">
      <c r="A5742" s="499">
        <v>45681</v>
      </c>
      <c r="B5742" s="499">
        <v>45681</v>
      </c>
      <c r="C5742" s="500" t="s">
        <v>173</v>
      </c>
      <c r="D5742" s="500" t="s">
        <v>759</v>
      </c>
      <c r="E5742" s="501">
        <v>-4002695.71</v>
      </c>
      <c r="F5742" s="502" t="s">
        <v>878</v>
      </c>
      <c r="G5742" s="100">
        <v>115670226</v>
      </c>
      <c r="H5742" s="530"/>
      <c r="I5742" s="422" t="s">
        <v>709</v>
      </c>
      <c r="J5742" s="484"/>
      <c r="K5742" s="548"/>
      <c r="L5742" s="548"/>
      <c r="M5742" s="548"/>
      <c r="N5742" s="552"/>
    </row>
    <row r="5743" spans="1:14">
      <c r="A5743" s="499">
        <v>45681</v>
      </c>
      <c r="B5743" s="499">
        <v>45681</v>
      </c>
      <c r="C5743" s="500" t="s">
        <v>173</v>
      </c>
      <c r="D5743" s="500" t="s">
        <v>759</v>
      </c>
      <c r="E5743" s="501">
        <v>-5002634.24</v>
      </c>
      <c r="F5743" s="502" t="s">
        <v>878</v>
      </c>
      <c r="G5743" s="100">
        <v>115670229</v>
      </c>
      <c r="H5743" s="530"/>
      <c r="I5743" s="422" t="s">
        <v>676</v>
      </c>
      <c r="J5743" s="484"/>
      <c r="K5743" s="548"/>
      <c r="L5743" s="548"/>
      <c r="M5743" s="548"/>
      <c r="N5743" s="552"/>
    </row>
    <row r="5744" spans="1:14">
      <c r="A5744" s="499">
        <v>45681</v>
      </c>
      <c r="B5744" s="499">
        <v>45681</v>
      </c>
      <c r="C5744" s="500" t="s">
        <v>173</v>
      </c>
      <c r="D5744" s="500" t="s">
        <v>759</v>
      </c>
      <c r="E5744" s="501">
        <v>-5002364.2</v>
      </c>
      <c r="F5744" s="502" t="s">
        <v>878</v>
      </c>
      <c r="G5744" s="100">
        <v>115670232</v>
      </c>
      <c r="H5744" s="530"/>
      <c r="I5744" s="422" t="s">
        <v>600</v>
      </c>
      <c r="J5744" s="484"/>
      <c r="K5744" s="548"/>
      <c r="L5744" s="548"/>
      <c r="M5744" s="548"/>
      <c r="N5744" s="552"/>
    </row>
    <row r="5745" spans="1:14">
      <c r="A5745" s="499">
        <v>45681</v>
      </c>
      <c r="B5745" s="499">
        <v>45681</v>
      </c>
      <c r="C5745" s="500" t="s">
        <v>173</v>
      </c>
      <c r="D5745" s="500" t="s">
        <v>759</v>
      </c>
      <c r="E5745" s="501">
        <v>-6005530.9400000004</v>
      </c>
      <c r="F5745" s="502" t="s">
        <v>878</v>
      </c>
      <c r="G5745" s="100">
        <v>115670235</v>
      </c>
      <c r="H5745" s="530"/>
      <c r="I5745" s="422" t="s">
        <v>674</v>
      </c>
      <c r="J5745" s="484"/>
      <c r="K5745" s="548"/>
      <c r="L5745" s="548"/>
      <c r="M5745" s="548"/>
      <c r="N5745" s="552"/>
    </row>
    <row r="5746" spans="1:14">
      <c r="A5746" s="499">
        <v>45681</v>
      </c>
      <c r="B5746" s="499">
        <v>45681</v>
      </c>
      <c r="C5746" s="500" t="s">
        <v>173</v>
      </c>
      <c r="D5746" s="500" t="s">
        <v>759</v>
      </c>
      <c r="E5746" s="501">
        <v>-7001656.25</v>
      </c>
      <c r="F5746" s="502" t="s">
        <v>878</v>
      </c>
      <c r="G5746" s="100">
        <v>115670238</v>
      </c>
      <c r="H5746" s="530"/>
      <c r="I5746" s="422" t="s">
        <v>550</v>
      </c>
      <c r="J5746" s="484"/>
      <c r="K5746" s="548"/>
      <c r="L5746" s="548"/>
      <c r="M5746" s="548"/>
      <c r="N5746" s="552"/>
    </row>
    <row r="5747" spans="1:14">
      <c r="A5747" s="499">
        <v>45681</v>
      </c>
      <c r="B5747" s="499">
        <v>45681</v>
      </c>
      <c r="C5747" s="500" t="s">
        <v>173</v>
      </c>
      <c r="D5747" s="500" t="s">
        <v>759</v>
      </c>
      <c r="E5747" s="501">
        <v>-7003687.9400000004</v>
      </c>
      <c r="F5747" s="502" t="s">
        <v>878</v>
      </c>
      <c r="G5747" s="100">
        <v>115670241</v>
      </c>
      <c r="H5747" s="530"/>
      <c r="I5747" s="422" t="s">
        <v>676</v>
      </c>
      <c r="J5747" s="484"/>
      <c r="K5747" s="548"/>
      <c r="L5747" s="548"/>
      <c r="M5747" s="548"/>
      <c r="N5747" s="552"/>
    </row>
    <row r="5748" spans="1:14">
      <c r="A5748" s="499">
        <v>45681</v>
      </c>
      <c r="B5748" s="499">
        <v>45681</v>
      </c>
      <c r="C5748" s="500" t="s">
        <v>173</v>
      </c>
      <c r="D5748" s="500" t="s">
        <v>759</v>
      </c>
      <c r="E5748" s="501">
        <v>-7003733.8499999996</v>
      </c>
      <c r="F5748" s="502" t="s">
        <v>878</v>
      </c>
      <c r="G5748" s="100">
        <v>115670244</v>
      </c>
      <c r="H5748" s="530"/>
      <c r="I5748" s="422" t="s">
        <v>695</v>
      </c>
      <c r="J5748" s="484"/>
      <c r="K5748" s="548"/>
      <c r="L5748" s="548"/>
      <c r="M5748" s="548"/>
      <c r="N5748" s="552"/>
    </row>
    <row r="5749" spans="1:14">
      <c r="A5749" s="499">
        <v>45681</v>
      </c>
      <c r="B5749" s="499">
        <v>45681</v>
      </c>
      <c r="C5749" s="500" t="s">
        <v>173</v>
      </c>
      <c r="D5749" s="500" t="s">
        <v>759</v>
      </c>
      <c r="E5749" s="501">
        <v>-7006342.6399999997</v>
      </c>
      <c r="F5749" s="502" t="s">
        <v>878</v>
      </c>
      <c r="G5749" s="100">
        <v>115670247</v>
      </c>
      <c r="H5749" s="530"/>
      <c r="I5749" s="422" t="s">
        <v>821</v>
      </c>
      <c r="J5749" s="484"/>
      <c r="K5749" s="548"/>
      <c r="L5749" s="548"/>
      <c r="M5749" s="548"/>
      <c r="N5749" s="552"/>
    </row>
    <row r="5750" spans="1:14">
      <c r="A5750" s="499">
        <v>45681</v>
      </c>
      <c r="B5750" s="499">
        <v>45681</v>
      </c>
      <c r="C5750" s="500" t="s">
        <v>173</v>
      </c>
      <c r="D5750" s="500" t="s">
        <v>759</v>
      </c>
      <c r="E5750" s="501">
        <v>-8005271.04</v>
      </c>
      <c r="F5750" s="502" t="s">
        <v>878</v>
      </c>
      <c r="G5750" s="100">
        <v>115670250</v>
      </c>
      <c r="H5750" s="530"/>
      <c r="I5750" s="422" t="s">
        <v>696</v>
      </c>
      <c r="J5750" s="484"/>
      <c r="K5750" s="548"/>
      <c r="L5750" s="548"/>
      <c r="M5750" s="548"/>
      <c r="N5750" s="552"/>
    </row>
    <row r="5751" spans="1:14">
      <c r="A5751" s="499">
        <v>45681</v>
      </c>
      <c r="B5751" s="499">
        <v>45681</v>
      </c>
      <c r="C5751" s="500" t="s">
        <v>173</v>
      </c>
      <c r="D5751" s="500" t="s">
        <v>759</v>
      </c>
      <c r="E5751" s="501">
        <v>-9005929.9199999999</v>
      </c>
      <c r="F5751" s="502" t="s">
        <v>878</v>
      </c>
      <c r="G5751" s="100">
        <v>115670253</v>
      </c>
      <c r="H5751" s="530"/>
      <c r="I5751" s="422" t="s">
        <v>696</v>
      </c>
      <c r="J5751" s="484"/>
      <c r="K5751" s="548"/>
      <c r="L5751" s="548"/>
      <c r="M5751" s="548"/>
      <c r="N5751" s="552"/>
    </row>
    <row r="5752" spans="1:14">
      <c r="A5752" s="499">
        <v>45681</v>
      </c>
      <c r="B5752" s="499">
        <v>45681</v>
      </c>
      <c r="C5752" s="500" t="s">
        <v>173</v>
      </c>
      <c r="D5752" s="500" t="s">
        <v>759</v>
      </c>
      <c r="E5752" s="501">
        <v>-9008296.4199999999</v>
      </c>
      <c r="F5752" s="502" t="s">
        <v>878</v>
      </c>
      <c r="G5752" s="100">
        <v>115670256</v>
      </c>
      <c r="H5752" s="530"/>
      <c r="I5752" s="422" t="s">
        <v>674</v>
      </c>
      <c r="J5752" s="484"/>
      <c r="K5752" s="548"/>
      <c r="L5752" s="548"/>
      <c r="M5752" s="548"/>
      <c r="N5752" s="552"/>
    </row>
    <row r="5753" spans="1:14">
      <c r="A5753" s="499">
        <v>45681</v>
      </c>
      <c r="B5753" s="499">
        <v>45681</v>
      </c>
      <c r="C5753" s="500" t="s">
        <v>173</v>
      </c>
      <c r="D5753" s="500" t="s">
        <v>759</v>
      </c>
      <c r="E5753" s="501">
        <v>-10002366.07</v>
      </c>
      <c r="F5753" s="502" t="s">
        <v>878</v>
      </c>
      <c r="G5753" s="100">
        <v>115670259</v>
      </c>
      <c r="H5753" s="530"/>
      <c r="I5753" s="422" t="s">
        <v>550</v>
      </c>
      <c r="J5753" s="484"/>
      <c r="K5753" s="548"/>
      <c r="L5753" s="548"/>
      <c r="M5753" s="548"/>
      <c r="N5753" s="552"/>
    </row>
    <row r="5754" spans="1:14">
      <c r="A5754" s="499">
        <v>45681</v>
      </c>
      <c r="B5754" s="499">
        <v>45681</v>
      </c>
      <c r="C5754" s="500" t="s">
        <v>173</v>
      </c>
      <c r="D5754" s="500" t="s">
        <v>759</v>
      </c>
      <c r="E5754" s="501">
        <v>-10000381.41</v>
      </c>
      <c r="F5754" s="502" t="s">
        <v>878</v>
      </c>
      <c r="G5754" s="100">
        <v>115670262</v>
      </c>
      <c r="H5754" s="530"/>
      <c r="I5754" s="422" t="s">
        <v>596</v>
      </c>
      <c r="J5754" s="484"/>
      <c r="K5754" s="548"/>
      <c r="L5754" s="548"/>
      <c r="M5754" s="548"/>
      <c r="N5754" s="552"/>
    </row>
    <row r="5755" spans="1:14">
      <c r="A5755" s="499">
        <v>45681</v>
      </c>
      <c r="B5755" s="499">
        <v>45681</v>
      </c>
      <c r="C5755" s="500" t="s">
        <v>173</v>
      </c>
      <c r="D5755" s="500" t="s">
        <v>759</v>
      </c>
      <c r="E5755" s="501">
        <v>-10004039.039999999</v>
      </c>
      <c r="F5755" s="502" t="s">
        <v>878</v>
      </c>
      <c r="G5755" s="100">
        <v>115670418</v>
      </c>
      <c r="H5755" s="530"/>
      <c r="I5755" s="422" t="s">
        <v>816</v>
      </c>
      <c r="J5755" s="484"/>
      <c r="K5755" s="548"/>
      <c r="L5755" s="548"/>
      <c r="M5755" s="548"/>
      <c r="N5755" s="552"/>
    </row>
    <row r="5756" spans="1:14">
      <c r="A5756" s="499">
        <v>45681</v>
      </c>
      <c r="B5756" s="499">
        <v>45681</v>
      </c>
      <c r="C5756" s="500" t="s">
        <v>173</v>
      </c>
      <c r="D5756" s="500" t="s">
        <v>759</v>
      </c>
      <c r="E5756" s="501">
        <v>-10006739.279999999</v>
      </c>
      <c r="F5756" s="502" t="s">
        <v>878</v>
      </c>
      <c r="G5756" s="100">
        <v>115670421</v>
      </c>
      <c r="H5756" s="530"/>
      <c r="I5756" s="422" t="s">
        <v>709</v>
      </c>
      <c r="J5756" s="484"/>
      <c r="K5756" s="548"/>
      <c r="L5756" s="548"/>
      <c r="M5756" s="548"/>
      <c r="N5756" s="552"/>
    </row>
    <row r="5757" spans="1:14">
      <c r="A5757" s="499">
        <v>45681</v>
      </c>
      <c r="B5757" s="499">
        <v>45681</v>
      </c>
      <c r="C5757" s="500" t="s">
        <v>173</v>
      </c>
      <c r="D5757" s="500" t="s">
        <v>759</v>
      </c>
      <c r="E5757" s="501">
        <v>-13000908.439999999</v>
      </c>
      <c r="F5757" s="502" t="s">
        <v>878</v>
      </c>
      <c r="G5757" s="100">
        <v>115670424</v>
      </c>
      <c r="H5757" s="530"/>
      <c r="I5757" s="422" t="s">
        <v>525</v>
      </c>
      <c r="J5757" s="484"/>
      <c r="K5757" s="548"/>
      <c r="L5757" s="548"/>
      <c r="M5757" s="548"/>
      <c r="N5757" s="552"/>
    </row>
    <row r="5758" spans="1:14">
      <c r="A5758" s="499">
        <v>45681</v>
      </c>
      <c r="B5758" s="499">
        <v>45681</v>
      </c>
      <c r="C5758" s="500" t="s">
        <v>173</v>
      </c>
      <c r="D5758" s="500" t="s">
        <v>759</v>
      </c>
      <c r="E5758" s="501">
        <v>-15006058.560000001</v>
      </c>
      <c r="F5758" s="502" t="s">
        <v>878</v>
      </c>
      <c r="G5758" s="100">
        <v>115670427</v>
      </c>
      <c r="H5758" s="530"/>
      <c r="I5758" s="422" t="s">
        <v>816</v>
      </c>
      <c r="J5758" s="484"/>
      <c r="K5758" s="548"/>
      <c r="L5758" s="548"/>
      <c r="M5758" s="548"/>
      <c r="N5758" s="552"/>
    </row>
    <row r="5759" spans="1:14">
      <c r="A5759" s="499">
        <v>45681</v>
      </c>
      <c r="B5759" s="499">
        <v>45681</v>
      </c>
      <c r="C5759" s="500" t="s">
        <v>173</v>
      </c>
      <c r="D5759" s="500" t="s">
        <v>759</v>
      </c>
      <c r="E5759" s="501">
        <v>-15010534.25</v>
      </c>
      <c r="F5759" s="502" t="s">
        <v>878</v>
      </c>
      <c r="G5759" s="100">
        <v>115670430</v>
      </c>
      <c r="H5759" s="530"/>
      <c r="I5759" s="422" t="s">
        <v>824</v>
      </c>
      <c r="J5759" s="484"/>
      <c r="K5759" s="548"/>
      <c r="L5759" s="548"/>
      <c r="M5759" s="548"/>
      <c r="N5759" s="552"/>
    </row>
    <row r="5760" spans="1:14">
      <c r="A5760" s="499">
        <v>45681</v>
      </c>
      <c r="B5760" s="499">
        <v>45681</v>
      </c>
      <c r="C5760" s="500" t="s">
        <v>173</v>
      </c>
      <c r="D5760" s="500" t="s">
        <v>759</v>
      </c>
      <c r="E5760" s="501">
        <v>-15008140.67</v>
      </c>
      <c r="F5760" s="502" t="s">
        <v>878</v>
      </c>
      <c r="G5760" s="100">
        <v>115670433</v>
      </c>
      <c r="H5760" s="530"/>
      <c r="I5760" s="422" t="s">
        <v>819</v>
      </c>
      <c r="J5760" s="484"/>
      <c r="K5760" s="548"/>
      <c r="L5760" s="548"/>
      <c r="M5760" s="548"/>
      <c r="N5760" s="552"/>
    </row>
    <row r="5761" spans="1:14">
      <c r="A5761" s="499">
        <v>45681</v>
      </c>
      <c r="B5761" s="499">
        <v>45681</v>
      </c>
      <c r="C5761" s="500" t="s">
        <v>173</v>
      </c>
      <c r="D5761" s="500" t="s">
        <v>759</v>
      </c>
      <c r="E5761" s="501">
        <v>-18004254.100000001</v>
      </c>
      <c r="F5761" s="502" t="s">
        <v>878</v>
      </c>
      <c r="G5761" s="100">
        <v>115670436</v>
      </c>
      <c r="H5761" s="530"/>
      <c r="I5761" s="422" t="s">
        <v>602</v>
      </c>
      <c r="J5761" s="484"/>
      <c r="K5761" s="548"/>
      <c r="L5761" s="548"/>
      <c r="M5761" s="548"/>
      <c r="N5761" s="552"/>
    </row>
    <row r="5762" spans="1:14">
      <c r="A5762" s="499">
        <v>45681</v>
      </c>
      <c r="B5762" s="499">
        <v>45681</v>
      </c>
      <c r="C5762" s="500" t="s">
        <v>173</v>
      </c>
      <c r="D5762" s="500" t="s">
        <v>759</v>
      </c>
      <c r="E5762" s="501">
        <v>-18012130.699999999</v>
      </c>
      <c r="F5762" s="502" t="s">
        <v>878</v>
      </c>
      <c r="G5762" s="100">
        <v>115670439</v>
      </c>
      <c r="H5762" s="530"/>
      <c r="I5762" s="422" t="s">
        <v>709</v>
      </c>
      <c r="J5762" s="484"/>
      <c r="K5762" s="548"/>
      <c r="L5762" s="548"/>
      <c r="M5762" s="548"/>
      <c r="N5762" s="552"/>
    </row>
    <row r="5763" spans="1:14">
      <c r="A5763" s="499">
        <v>45681</v>
      </c>
      <c r="B5763" s="499">
        <v>45681</v>
      </c>
      <c r="C5763" s="500" t="s">
        <v>173</v>
      </c>
      <c r="D5763" s="500" t="s">
        <v>759</v>
      </c>
      <c r="E5763" s="501">
        <v>-19010010.109999999</v>
      </c>
      <c r="F5763" s="502" t="s">
        <v>878</v>
      </c>
      <c r="G5763" s="100">
        <v>115670442</v>
      </c>
      <c r="H5763" s="530"/>
      <c r="I5763" s="422" t="s">
        <v>676</v>
      </c>
      <c r="J5763" s="484"/>
      <c r="K5763" s="548"/>
      <c r="L5763" s="548"/>
      <c r="M5763" s="548"/>
      <c r="N5763" s="552"/>
    </row>
    <row r="5764" spans="1:14">
      <c r="A5764" s="499">
        <v>45681</v>
      </c>
      <c r="B5764" s="499">
        <v>45681</v>
      </c>
      <c r="C5764" s="500" t="s">
        <v>173</v>
      </c>
      <c r="D5764" s="500" t="s">
        <v>759</v>
      </c>
      <c r="E5764" s="501">
        <v>-19007269</v>
      </c>
      <c r="F5764" s="502" t="s">
        <v>878</v>
      </c>
      <c r="G5764" s="100">
        <v>115670446</v>
      </c>
      <c r="H5764" s="530"/>
      <c r="I5764" s="422" t="s">
        <v>690</v>
      </c>
      <c r="J5764" s="484"/>
      <c r="K5764" s="548"/>
      <c r="L5764" s="548"/>
      <c r="M5764" s="548"/>
      <c r="N5764" s="552"/>
    </row>
    <row r="5765" spans="1:14">
      <c r="A5765" s="499">
        <v>45681</v>
      </c>
      <c r="B5765" s="499">
        <v>45681</v>
      </c>
      <c r="C5765" s="500" t="s">
        <v>173</v>
      </c>
      <c r="D5765" s="500" t="s">
        <v>759</v>
      </c>
      <c r="E5765" s="501">
        <v>-19011859.460000001</v>
      </c>
      <c r="F5765" s="502" t="s">
        <v>878</v>
      </c>
      <c r="G5765" s="100">
        <v>115670449</v>
      </c>
      <c r="H5765" s="530"/>
      <c r="I5765" s="422" t="s">
        <v>604</v>
      </c>
      <c r="J5765" s="484"/>
      <c r="K5765" s="548"/>
      <c r="L5765" s="548"/>
      <c r="M5765" s="548"/>
      <c r="N5765" s="552"/>
    </row>
    <row r="5766" spans="1:14">
      <c r="A5766" s="499">
        <v>45681</v>
      </c>
      <c r="B5766" s="499">
        <v>45681</v>
      </c>
      <c r="C5766" s="500" t="s">
        <v>173</v>
      </c>
      <c r="D5766" s="500" t="s">
        <v>759</v>
      </c>
      <c r="E5766" s="501">
        <v>-20010599.719999999</v>
      </c>
      <c r="F5766" s="502" t="s">
        <v>878</v>
      </c>
      <c r="G5766" s="100">
        <v>115670452</v>
      </c>
      <c r="H5766" s="530"/>
      <c r="I5766" s="422" t="s">
        <v>588</v>
      </c>
      <c r="J5766" s="484"/>
      <c r="K5766" s="548"/>
      <c r="L5766" s="548"/>
      <c r="M5766" s="548"/>
      <c r="N5766" s="552"/>
    </row>
    <row r="5767" spans="1:14">
      <c r="A5767" s="499">
        <v>45681</v>
      </c>
      <c r="B5767" s="499">
        <v>45681</v>
      </c>
      <c r="C5767" s="500" t="s">
        <v>173</v>
      </c>
      <c r="D5767" s="500" t="s">
        <v>759</v>
      </c>
      <c r="E5767" s="501">
        <v>-20010536.960000001</v>
      </c>
      <c r="F5767" s="502" t="s">
        <v>878</v>
      </c>
      <c r="G5767" s="100">
        <v>115670455</v>
      </c>
      <c r="H5767" s="530"/>
      <c r="I5767" s="422" t="s">
        <v>676</v>
      </c>
      <c r="J5767" s="484"/>
      <c r="K5767" s="548"/>
      <c r="L5767" s="548"/>
      <c r="M5767" s="548"/>
      <c r="N5767" s="552"/>
    </row>
    <row r="5768" spans="1:14">
      <c r="A5768" s="499">
        <v>45681</v>
      </c>
      <c r="B5768" s="499">
        <v>45681</v>
      </c>
      <c r="C5768" s="500" t="s">
        <v>173</v>
      </c>
      <c r="D5768" s="500" t="s">
        <v>759</v>
      </c>
      <c r="E5768" s="501">
        <v>-20014705.920000002</v>
      </c>
      <c r="F5768" s="502" t="s">
        <v>878</v>
      </c>
      <c r="G5768" s="100">
        <v>115670458</v>
      </c>
      <c r="H5768" s="530"/>
      <c r="I5768" s="422" t="s">
        <v>689</v>
      </c>
      <c r="J5768" s="484"/>
      <c r="K5768" s="548"/>
      <c r="L5768" s="548"/>
      <c r="M5768" s="548"/>
      <c r="N5768" s="552"/>
    </row>
    <row r="5769" spans="1:14">
      <c r="A5769" s="499">
        <v>45681</v>
      </c>
      <c r="B5769" s="499">
        <v>45681</v>
      </c>
      <c r="C5769" s="500" t="s">
        <v>173</v>
      </c>
      <c r="D5769" s="500" t="s">
        <v>759</v>
      </c>
      <c r="E5769" s="501">
        <v>-21004952.620000001</v>
      </c>
      <c r="F5769" s="502" t="s">
        <v>878</v>
      </c>
      <c r="G5769" s="100">
        <v>115670461</v>
      </c>
      <c r="H5769" s="530"/>
      <c r="I5769" s="422" t="s">
        <v>657</v>
      </c>
      <c r="J5769" s="484"/>
      <c r="K5769" s="548"/>
      <c r="L5769" s="548"/>
      <c r="M5769" s="548"/>
      <c r="N5769" s="552"/>
    </row>
    <row r="5770" spans="1:14">
      <c r="A5770" s="499">
        <v>45681</v>
      </c>
      <c r="B5770" s="499">
        <v>45681</v>
      </c>
      <c r="C5770" s="500" t="s">
        <v>173</v>
      </c>
      <c r="D5770" s="500" t="s">
        <v>759</v>
      </c>
      <c r="E5770" s="501">
        <v>-22014495.359999999</v>
      </c>
      <c r="F5770" s="502" t="s">
        <v>878</v>
      </c>
      <c r="G5770" s="100">
        <v>115670464</v>
      </c>
      <c r="H5770" s="530"/>
      <c r="I5770" s="422" t="s">
        <v>696</v>
      </c>
      <c r="J5770" s="484"/>
      <c r="K5770" s="548"/>
      <c r="L5770" s="548"/>
      <c r="M5770" s="548"/>
      <c r="N5770" s="552"/>
    </row>
    <row r="5771" spans="1:14">
      <c r="A5771" s="499">
        <v>45681</v>
      </c>
      <c r="B5771" s="499">
        <v>45681</v>
      </c>
      <c r="C5771" s="500" t="s">
        <v>173</v>
      </c>
      <c r="D5771" s="500" t="s">
        <v>759</v>
      </c>
      <c r="E5771" s="501">
        <v>-23000877.239999998</v>
      </c>
      <c r="F5771" s="502" t="s">
        <v>878</v>
      </c>
      <c r="G5771" s="100">
        <v>115670467</v>
      </c>
      <c r="H5771" s="530"/>
      <c r="I5771" s="422" t="s">
        <v>596</v>
      </c>
      <c r="J5771" s="484"/>
      <c r="K5771" s="548"/>
      <c r="L5771" s="548"/>
      <c r="M5771" s="548"/>
      <c r="N5771" s="552"/>
    </row>
    <row r="5772" spans="1:14">
      <c r="A5772" s="499">
        <v>45681</v>
      </c>
      <c r="B5772" s="499">
        <v>45681</v>
      </c>
      <c r="C5772" s="500" t="s">
        <v>173</v>
      </c>
      <c r="D5772" s="500" t="s">
        <v>759</v>
      </c>
      <c r="E5772" s="501">
        <v>-24002737.440000001</v>
      </c>
      <c r="F5772" s="502" t="s">
        <v>878</v>
      </c>
      <c r="G5772" s="100">
        <v>115670470</v>
      </c>
      <c r="H5772" s="530"/>
      <c r="I5772" s="422" t="s">
        <v>590</v>
      </c>
      <c r="J5772" s="484"/>
      <c r="K5772" s="548"/>
      <c r="L5772" s="548"/>
      <c r="M5772" s="548"/>
      <c r="N5772" s="552"/>
    </row>
    <row r="5773" spans="1:14">
      <c r="A5773" s="499">
        <v>45681</v>
      </c>
      <c r="B5773" s="499">
        <v>45681</v>
      </c>
      <c r="C5773" s="500" t="s">
        <v>173</v>
      </c>
      <c r="D5773" s="500" t="s">
        <v>759</v>
      </c>
      <c r="E5773" s="501">
        <v>-24021746.210000001</v>
      </c>
      <c r="F5773" s="502" t="s">
        <v>878</v>
      </c>
      <c r="G5773" s="100">
        <v>115670473</v>
      </c>
      <c r="H5773" s="530"/>
      <c r="I5773" s="422" t="s">
        <v>821</v>
      </c>
      <c r="J5773" s="484"/>
      <c r="K5773" s="548"/>
      <c r="L5773" s="548"/>
      <c r="M5773" s="548"/>
      <c r="N5773" s="552"/>
    </row>
    <row r="5774" spans="1:14">
      <c r="A5774" s="499">
        <v>45681</v>
      </c>
      <c r="B5774" s="499">
        <v>45681</v>
      </c>
      <c r="C5774" s="500" t="s">
        <v>173</v>
      </c>
      <c r="D5774" s="500" t="s">
        <v>759</v>
      </c>
      <c r="E5774" s="501">
        <v>-25017557.079999998</v>
      </c>
      <c r="F5774" s="502" t="s">
        <v>878</v>
      </c>
      <c r="G5774" s="100">
        <v>115670476</v>
      </c>
      <c r="H5774" s="530"/>
      <c r="I5774" s="422" t="s">
        <v>824</v>
      </c>
      <c r="J5774" s="484"/>
      <c r="K5774" s="548"/>
      <c r="L5774" s="548"/>
      <c r="M5774" s="548"/>
      <c r="N5774" s="552"/>
    </row>
    <row r="5775" spans="1:14">
      <c r="A5775" s="499">
        <v>45681</v>
      </c>
      <c r="B5775" s="499">
        <v>45681</v>
      </c>
      <c r="C5775" s="500" t="s">
        <v>173</v>
      </c>
      <c r="D5775" s="500" t="s">
        <v>759</v>
      </c>
      <c r="E5775" s="501">
        <v>-25021407.600000001</v>
      </c>
      <c r="F5775" s="502" t="s">
        <v>878</v>
      </c>
      <c r="G5775" s="100">
        <v>115670479</v>
      </c>
      <c r="H5775" s="530"/>
      <c r="I5775" s="422" t="s">
        <v>598</v>
      </c>
      <c r="J5775" s="484"/>
      <c r="K5775" s="548"/>
      <c r="L5775" s="548"/>
      <c r="M5775" s="548"/>
      <c r="N5775" s="552"/>
    </row>
    <row r="5776" spans="1:14">
      <c r="A5776" s="499">
        <v>45681</v>
      </c>
      <c r="B5776" s="499">
        <v>45681</v>
      </c>
      <c r="C5776" s="500" t="s">
        <v>173</v>
      </c>
      <c r="D5776" s="500" t="s">
        <v>759</v>
      </c>
      <c r="E5776" s="501">
        <v>-25002851.5</v>
      </c>
      <c r="F5776" s="502" t="s">
        <v>878</v>
      </c>
      <c r="G5776" s="100">
        <v>115670482</v>
      </c>
      <c r="H5776" s="530"/>
      <c r="I5776" s="422" t="s">
        <v>590</v>
      </c>
      <c r="J5776" s="484"/>
      <c r="K5776" s="548"/>
      <c r="L5776" s="548"/>
      <c r="M5776" s="548"/>
      <c r="N5776" s="552"/>
    </row>
    <row r="5777" spans="1:14">
      <c r="A5777" s="499">
        <v>45681</v>
      </c>
      <c r="B5777" s="499">
        <v>45681</v>
      </c>
      <c r="C5777" s="500" t="s">
        <v>173</v>
      </c>
      <c r="D5777" s="500" t="s">
        <v>759</v>
      </c>
      <c r="E5777" s="501">
        <v>-25002141.449999999</v>
      </c>
      <c r="F5777" s="502" t="s">
        <v>878</v>
      </c>
      <c r="G5777" s="100">
        <v>115670485</v>
      </c>
      <c r="H5777" s="530"/>
      <c r="I5777" s="422" t="s">
        <v>717</v>
      </c>
      <c r="J5777" s="484"/>
      <c r="K5777" s="548"/>
      <c r="L5777" s="548"/>
      <c r="M5777" s="548"/>
      <c r="N5777" s="552"/>
    </row>
    <row r="5778" spans="1:14">
      <c r="A5778" s="499">
        <v>45681</v>
      </c>
      <c r="B5778" s="499">
        <v>45681</v>
      </c>
      <c r="C5778" s="500" t="s">
        <v>173</v>
      </c>
      <c r="D5778" s="500" t="s">
        <v>759</v>
      </c>
      <c r="E5778" s="501">
        <v>-26006151.789999999</v>
      </c>
      <c r="F5778" s="502" t="s">
        <v>878</v>
      </c>
      <c r="G5778" s="100">
        <v>115670491</v>
      </c>
      <c r="H5778" s="530"/>
      <c r="I5778" s="422" t="s">
        <v>550</v>
      </c>
      <c r="J5778" s="484"/>
      <c r="K5778" s="548"/>
      <c r="L5778" s="548"/>
      <c r="M5778" s="548"/>
      <c r="N5778" s="552"/>
    </row>
    <row r="5779" spans="1:14">
      <c r="A5779" s="499">
        <v>45681</v>
      </c>
      <c r="B5779" s="499">
        <v>45681</v>
      </c>
      <c r="C5779" s="500" t="s">
        <v>173</v>
      </c>
      <c r="D5779" s="500" t="s">
        <v>759</v>
      </c>
      <c r="E5779" s="501">
        <v>-28014935.399999999</v>
      </c>
      <c r="F5779" s="502" t="s">
        <v>878</v>
      </c>
      <c r="G5779" s="100">
        <v>115670494</v>
      </c>
      <c r="H5779" s="530"/>
      <c r="I5779" s="422" t="s">
        <v>695</v>
      </c>
      <c r="J5779" s="484"/>
      <c r="K5779" s="548"/>
      <c r="L5779" s="548"/>
      <c r="M5779" s="548"/>
      <c r="N5779" s="552"/>
    </row>
    <row r="5780" spans="1:14">
      <c r="A5780" s="499">
        <v>45681</v>
      </c>
      <c r="B5780" s="499">
        <v>45681</v>
      </c>
      <c r="C5780" s="500" t="s">
        <v>173</v>
      </c>
      <c r="D5780" s="500" t="s">
        <v>759</v>
      </c>
      <c r="E5780" s="501">
        <v>-29015738.620000001</v>
      </c>
      <c r="F5780" s="502" t="s">
        <v>878</v>
      </c>
      <c r="G5780" s="100">
        <v>115670497</v>
      </c>
      <c r="H5780" s="530"/>
      <c r="I5780" s="422" t="s">
        <v>819</v>
      </c>
      <c r="J5780" s="484"/>
      <c r="K5780" s="548"/>
      <c r="L5780" s="548"/>
      <c r="M5780" s="548"/>
      <c r="N5780" s="552"/>
    </row>
    <row r="5781" spans="1:14">
      <c r="A5781" s="499">
        <v>45681</v>
      </c>
      <c r="B5781" s="499">
        <v>45681</v>
      </c>
      <c r="C5781" s="500" t="s">
        <v>173</v>
      </c>
      <c r="D5781" s="500" t="s">
        <v>759</v>
      </c>
      <c r="E5781" s="501">
        <v>-29020976.309999999</v>
      </c>
      <c r="F5781" s="502" t="s">
        <v>878</v>
      </c>
      <c r="G5781" s="100">
        <v>115670500</v>
      </c>
      <c r="H5781" s="530"/>
      <c r="I5781" s="422" t="s">
        <v>715</v>
      </c>
      <c r="J5781" s="484"/>
      <c r="K5781" s="548"/>
      <c r="L5781" s="548"/>
      <c r="M5781" s="548"/>
      <c r="N5781" s="552"/>
    </row>
    <row r="5782" spans="1:14">
      <c r="A5782" s="499">
        <v>45681</v>
      </c>
      <c r="B5782" s="499">
        <v>45681</v>
      </c>
      <c r="C5782" s="500" t="s">
        <v>173</v>
      </c>
      <c r="D5782" s="500" t="s">
        <v>759</v>
      </c>
      <c r="E5782" s="501">
        <v>-33015855.440000001</v>
      </c>
      <c r="F5782" s="502" t="s">
        <v>878</v>
      </c>
      <c r="G5782" s="100">
        <v>115670503</v>
      </c>
      <c r="H5782" s="530"/>
      <c r="I5782" s="422" t="s">
        <v>694</v>
      </c>
      <c r="J5782" s="484"/>
      <c r="K5782" s="548"/>
      <c r="L5782" s="548"/>
      <c r="M5782" s="548"/>
      <c r="N5782" s="552"/>
    </row>
    <row r="5783" spans="1:14">
      <c r="A5783" s="499">
        <v>45681</v>
      </c>
      <c r="B5783" s="499">
        <v>45681</v>
      </c>
      <c r="C5783" s="500" t="s">
        <v>173</v>
      </c>
      <c r="D5783" s="500" t="s">
        <v>759</v>
      </c>
      <c r="E5783" s="501">
        <v>-35032263.840000004</v>
      </c>
      <c r="F5783" s="502" t="s">
        <v>878</v>
      </c>
      <c r="G5783" s="100">
        <v>115670506</v>
      </c>
      <c r="H5783" s="530"/>
      <c r="I5783" s="422" t="s">
        <v>674</v>
      </c>
      <c r="J5783" s="484"/>
      <c r="K5783" s="548"/>
      <c r="L5783" s="548"/>
      <c r="M5783" s="548"/>
      <c r="N5783" s="552"/>
    </row>
    <row r="5784" spans="1:14">
      <c r="A5784" s="499">
        <v>45681</v>
      </c>
      <c r="B5784" s="499">
        <v>45681</v>
      </c>
      <c r="C5784" s="500" t="s">
        <v>173</v>
      </c>
      <c r="D5784" s="500" t="s">
        <v>759</v>
      </c>
      <c r="E5784" s="501">
        <v>-38018960.479999997</v>
      </c>
      <c r="F5784" s="502" t="s">
        <v>878</v>
      </c>
      <c r="G5784" s="100">
        <v>115670509</v>
      </c>
      <c r="H5784" s="530"/>
      <c r="I5784" s="422" t="s">
        <v>693</v>
      </c>
      <c r="J5784" s="484"/>
      <c r="K5784" s="548"/>
      <c r="L5784" s="548"/>
      <c r="M5784" s="548"/>
      <c r="N5784" s="552"/>
    </row>
    <row r="5785" spans="1:14">
      <c r="A5785" s="499">
        <v>45681</v>
      </c>
      <c r="B5785" s="499">
        <v>45681</v>
      </c>
      <c r="C5785" s="500" t="s">
        <v>173</v>
      </c>
      <c r="D5785" s="500" t="s">
        <v>759</v>
      </c>
      <c r="E5785" s="501">
        <v>-38027486.200000003</v>
      </c>
      <c r="F5785" s="502" t="s">
        <v>878</v>
      </c>
      <c r="G5785" s="100">
        <v>115670512</v>
      </c>
      <c r="H5785" s="530"/>
      <c r="I5785" s="422" t="s">
        <v>715</v>
      </c>
      <c r="J5785" s="484"/>
      <c r="K5785" s="548"/>
      <c r="L5785" s="548"/>
      <c r="M5785" s="548"/>
      <c r="N5785" s="552"/>
    </row>
    <row r="5786" spans="1:14">
      <c r="A5786" s="499">
        <v>45681</v>
      </c>
      <c r="B5786" s="499">
        <v>45681</v>
      </c>
      <c r="C5786" s="500" t="s">
        <v>173</v>
      </c>
      <c r="D5786" s="500" t="s">
        <v>759</v>
      </c>
      <c r="E5786" s="501">
        <v>-131014515.59</v>
      </c>
      <c r="F5786" s="502" t="s">
        <v>878</v>
      </c>
      <c r="G5786" s="100">
        <v>115670710</v>
      </c>
      <c r="H5786" s="530"/>
      <c r="I5786" s="422" t="s">
        <v>635</v>
      </c>
      <c r="J5786" s="484"/>
      <c r="K5786" s="548"/>
      <c r="L5786" s="548"/>
      <c r="M5786" s="548"/>
      <c r="N5786" s="552"/>
    </row>
    <row r="5787" spans="1:14">
      <c r="A5787" s="499">
        <v>45681</v>
      </c>
      <c r="B5787" s="499">
        <v>45681</v>
      </c>
      <c r="C5787" s="500" t="s">
        <v>173</v>
      </c>
      <c r="D5787" s="500" t="s">
        <v>759</v>
      </c>
      <c r="E5787" s="501">
        <v>-8003378.6699999999</v>
      </c>
      <c r="F5787" s="502" t="s">
        <v>878</v>
      </c>
      <c r="G5787" s="100">
        <v>115670991</v>
      </c>
      <c r="H5787" s="530"/>
      <c r="I5787" s="422" t="s">
        <v>633</v>
      </c>
      <c r="J5787" s="484"/>
      <c r="K5787" s="548"/>
      <c r="L5787" s="548"/>
      <c r="M5787" s="548"/>
      <c r="N5787" s="552"/>
    </row>
    <row r="5788" spans="1:14">
      <c r="A5788" s="499">
        <v>45681</v>
      </c>
      <c r="B5788" s="499">
        <v>45684</v>
      </c>
      <c r="C5788" s="500" t="s">
        <v>173</v>
      </c>
      <c r="D5788" s="500" t="s">
        <v>759</v>
      </c>
      <c r="E5788" s="501">
        <v>11020425.550000001</v>
      </c>
      <c r="F5788" s="502" t="s">
        <v>878</v>
      </c>
      <c r="G5788" s="100">
        <v>115670152</v>
      </c>
      <c r="H5788" s="100">
        <v>115670152</v>
      </c>
      <c r="I5788" s="422" t="s">
        <v>701</v>
      </c>
      <c r="J5788" s="484"/>
      <c r="K5788" s="548"/>
      <c r="L5788" s="548"/>
      <c r="M5788" s="548"/>
      <c r="N5788" s="552"/>
    </row>
    <row r="5789" spans="1:14">
      <c r="A5789" s="499">
        <v>45681</v>
      </c>
      <c r="B5789" s="499">
        <v>45684</v>
      </c>
      <c r="C5789" s="500" t="s">
        <v>173</v>
      </c>
      <c r="D5789" s="500" t="s">
        <v>759</v>
      </c>
      <c r="E5789" s="501">
        <v>32046692.52</v>
      </c>
      <c r="F5789" s="502" t="s">
        <v>878</v>
      </c>
      <c r="G5789" s="100">
        <v>115670155</v>
      </c>
      <c r="H5789" s="100">
        <v>115670155</v>
      </c>
      <c r="I5789" s="422" t="s">
        <v>657</v>
      </c>
      <c r="J5789" s="484"/>
      <c r="K5789" s="548"/>
      <c r="L5789" s="548"/>
      <c r="M5789" s="548"/>
      <c r="N5789" s="552"/>
    </row>
    <row r="5790" spans="1:14">
      <c r="A5790" s="499">
        <v>45681</v>
      </c>
      <c r="B5790" s="499">
        <v>45684</v>
      </c>
      <c r="C5790" s="500" t="s">
        <v>173</v>
      </c>
      <c r="D5790" s="500" t="s">
        <v>759</v>
      </c>
      <c r="E5790" s="501">
        <v>48099857.520000003</v>
      </c>
      <c r="F5790" s="502" t="s">
        <v>878</v>
      </c>
      <c r="G5790" s="100">
        <v>115670158</v>
      </c>
      <c r="H5790" s="100">
        <v>115670158</v>
      </c>
      <c r="I5790" s="422" t="s">
        <v>598</v>
      </c>
      <c r="J5790" s="484"/>
      <c r="K5790" s="548"/>
      <c r="L5790" s="548"/>
      <c r="M5790" s="548"/>
      <c r="N5790" s="552"/>
    </row>
    <row r="5791" spans="1:14">
      <c r="A5791" s="499">
        <v>45681</v>
      </c>
      <c r="B5791" s="499">
        <v>45684</v>
      </c>
      <c r="C5791" s="500" t="s">
        <v>173</v>
      </c>
      <c r="D5791" s="500" t="s">
        <v>759</v>
      </c>
      <c r="E5791" s="501">
        <v>164207152.78</v>
      </c>
      <c r="F5791" s="502" t="s">
        <v>878</v>
      </c>
      <c r="G5791" s="100">
        <v>115670161</v>
      </c>
      <c r="H5791" s="100">
        <v>115670161</v>
      </c>
      <c r="I5791" s="422" t="s">
        <v>699</v>
      </c>
      <c r="J5791" s="484"/>
      <c r="K5791" s="548"/>
      <c r="L5791" s="548"/>
      <c r="M5791" s="548"/>
      <c r="N5791" s="552"/>
    </row>
    <row r="5792" spans="1:14">
      <c r="A5792" s="499">
        <v>45681</v>
      </c>
      <c r="B5792" s="499">
        <v>45684</v>
      </c>
      <c r="C5792" s="500" t="s">
        <v>173</v>
      </c>
      <c r="D5792" s="500" t="s">
        <v>759</v>
      </c>
      <c r="E5792" s="501">
        <v>168245219.81</v>
      </c>
      <c r="F5792" s="502" t="s">
        <v>878</v>
      </c>
      <c r="G5792" s="100">
        <v>115670164</v>
      </c>
      <c r="H5792" s="100">
        <v>115670164</v>
      </c>
      <c r="I5792" s="422" t="s">
        <v>602</v>
      </c>
      <c r="J5792" s="484"/>
      <c r="K5792" s="548"/>
      <c r="L5792" s="548"/>
      <c r="M5792" s="548"/>
      <c r="N5792" s="552"/>
    </row>
    <row r="5793" spans="1:14">
      <c r="A5793" s="499">
        <v>45681</v>
      </c>
      <c r="B5793" s="499">
        <v>45684</v>
      </c>
      <c r="C5793" s="500" t="s">
        <v>173</v>
      </c>
      <c r="D5793" s="500" t="s">
        <v>759</v>
      </c>
      <c r="E5793" s="501">
        <v>264480483.94999999</v>
      </c>
      <c r="F5793" s="502" t="s">
        <v>878</v>
      </c>
      <c r="G5793" s="100">
        <v>115670167</v>
      </c>
      <c r="H5793" s="100">
        <v>115670167</v>
      </c>
      <c r="I5793" s="422" t="s">
        <v>720</v>
      </c>
      <c r="J5793" s="484"/>
      <c r="K5793" s="548"/>
      <c r="L5793" s="548"/>
      <c r="M5793" s="548"/>
      <c r="N5793" s="552"/>
    </row>
    <row r="5794" spans="1:14">
      <c r="A5794" s="499">
        <v>45681</v>
      </c>
      <c r="B5794" s="499">
        <v>45684</v>
      </c>
      <c r="C5794" s="500" t="s">
        <v>173</v>
      </c>
      <c r="D5794" s="500" t="s">
        <v>759</v>
      </c>
      <c r="E5794" s="501">
        <v>350497000.81</v>
      </c>
      <c r="F5794" s="502" t="s">
        <v>878</v>
      </c>
      <c r="G5794" s="100">
        <v>115670170</v>
      </c>
      <c r="H5794" s="100">
        <v>115670170</v>
      </c>
      <c r="I5794" s="422" t="s">
        <v>670</v>
      </c>
      <c r="J5794" s="484"/>
      <c r="K5794" s="548"/>
      <c r="L5794" s="548"/>
      <c r="M5794" s="548"/>
      <c r="N5794" s="552"/>
    </row>
    <row r="5795" spans="1:14">
      <c r="A5795" s="499">
        <v>45681</v>
      </c>
      <c r="B5795" s="499">
        <v>45684</v>
      </c>
      <c r="C5795" s="500" t="s">
        <v>173</v>
      </c>
      <c r="D5795" s="500" t="s">
        <v>759</v>
      </c>
      <c r="E5795" s="501">
        <v>1002080.36</v>
      </c>
      <c r="F5795" s="502" t="s">
        <v>878</v>
      </c>
      <c r="G5795" s="100">
        <v>115670181</v>
      </c>
      <c r="H5795" s="100">
        <v>115670181</v>
      </c>
      <c r="I5795" s="422" t="s">
        <v>598</v>
      </c>
      <c r="J5795" s="484"/>
      <c r="K5795" s="548"/>
      <c r="L5795" s="548"/>
      <c r="M5795" s="548"/>
      <c r="N5795" s="552"/>
    </row>
    <row r="5796" spans="1:14">
      <c r="A5796" s="499">
        <v>45681</v>
      </c>
      <c r="B5796" s="499">
        <v>45684</v>
      </c>
      <c r="C5796" s="500" t="s">
        <v>173</v>
      </c>
      <c r="D5796" s="500" t="s">
        <v>759</v>
      </c>
      <c r="E5796" s="501">
        <v>1002002.27</v>
      </c>
      <c r="F5796" s="502" t="s">
        <v>878</v>
      </c>
      <c r="G5796" s="100">
        <v>115670184</v>
      </c>
      <c r="H5796" s="100">
        <v>115670184</v>
      </c>
      <c r="I5796" s="422" t="s">
        <v>592</v>
      </c>
      <c r="J5796" s="484"/>
      <c r="K5796" s="548"/>
      <c r="L5796" s="548"/>
      <c r="M5796" s="548"/>
      <c r="N5796" s="552"/>
    </row>
    <row r="5797" spans="1:14">
      <c r="A5797" s="499">
        <v>45681</v>
      </c>
      <c r="B5797" s="499">
        <v>45684</v>
      </c>
      <c r="C5797" s="500" t="s">
        <v>173</v>
      </c>
      <c r="D5797" s="500" t="s">
        <v>759</v>
      </c>
      <c r="E5797" s="501">
        <v>1001261.2</v>
      </c>
      <c r="F5797" s="502" t="s">
        <v>878</v>
      </c>
      <c r="G5797" s="100">
        <v>115670187</v>
      </c>
      <c r="H5797" s="100">
        <v>115670187</v>
      </c>
      <c r="I5797" s="422" t="s">
        <v>596</v>
      </c>
      <c r="J5797" s="484"/>
      <c r="K5797" s="548"/>
      <c r="L5797" s="548"/>
      <c r="M5797" s="548"/>
      <c r="N5797" s="552"/>
    </row>
    <row r="5798" spans="1:14">
      <c r="A5798" s="499">
        <v>45681</v>
      </c>
      <c r="B5798" s="499">
        <v>45684</v>
      </c>
      <c r="C5798" s="500" t="s">
        <v>173</v>
      </c>
      <c r="D5798" s="500" t="s">
        <v>759</v>
      </c>
      <c r="E5798" s="501">
        <v>1001246.38</v>
      </c>
      <c r="F5798" s="502" t="s">
        <v>878</v>
      </c>
      <c r="G5798" s="100">
        <v>115670190</v>
      </c>
      <c r="H5798" s="100">
        <v>115670190</v>
      </c>
      <c r="I5798" s="422" t="s">
        <v>713</v>
      </c>
      <c r="J5798" s="484"/>
      <c r="K5798" s="548"/>
      <c r="L5798" s="548"/>
      <c r="M5798" s="548"/>
      <c r="N5798" s="552"/>
    </row>
    <row r="5799" spans="1:14">
      <c r="A5799" s="499">
        <v>45681</v>
      </c>
      <c r="B5799" s="499">
        <v>45684</v>
      </c>
      <c r="C5799" s="500" t="s">
        <v>173</v>
      </c>
      <c r="D5799" s="500" t="s">
        <v>759</v>
      </c>
      <c r="E5799" s="501">
        <v>1001750.51</v>
      </c>
      <c r="F5799" s="502" t="s">
        <v>878</v>
      </c>
      <c r="G5799" s="100">
        <v>115670193</v>
      </c>
      <c r="H5799" s="100">
        <v>115670193</v>
      </c>
      <c r="I5799" s="422" t="s">
        <v>676</v>
      </c>
      <c r="J5799" s="484"/>
      <c r="K5799" s="548"/>
      <c r="L5799" s="548"/>
      <c r="M5799" s="548"/>
      <c r="N5799" s="552"/>
    </row>
    <row r="5800" spans="1:14">
      <c r="A5800" s="499">
        <v>45681</v>
      </c>
      <c r="B5800" s="499">
        <v>45684</v>
      </c>
      <c r="C5800" s="500" t="s">
        <v>173</v>
      </c>
      <c r="D5800" s="500" t="s">
        <v>759</v>
      </c>
      <c r="E5800" s="501">
        <v>1001882.7</v>
      </c>
      <c r="F5800" s="502" t="s">
        <v>878</v>
      </c>
      <c r="G5800" s="100">
        <v>115670196</v>
      </c>
      <c r="H5800" s="100">
        <v>115670196</v>
      </c>
      <c r="I5800" s="422" t="s">
        <v>696</v>
      </c>
      <c r="J5800" s="484"/>
      <c r="K5800" s="548"/>
      <c r="L5800" s="548"/>
      <c r="M5800" s="548"/>
      <c r="N5800" s="552"/>
    </row>
    <row r="5801" spans="1:14">
      <c r="A5801" s="499">
        <v>45681</v>
      </c>
      <c r="B5801" s="499">
        <v>45684</v>
      </c>
      <c r="C5801" s="500" t="s">
        <v>173</v>
      </c>
      <c r="D5801" s="500" t="s">
        <v>759</v>
      </c>
      <c r="E5801" s="501">
        <v>1001757.08</v>
      </c>
      <c r="F5801" s="502" t="s">
        <v>878</v>
      </c>
      <c r="G5801" s="100">
        <v>115670199</v>
      </c>
      <c r="H5801" s="100">
        <v>115670199</v>
      </c>
      <c r="I5801" s="422" t="s">
        <v>695</v>
      </c>
      <c r="J5801" s="484"/>
      <c r="K5801" s="548"/>
      <c r="L5801" s="548"/>
      <c r="M5801" s="548"/>
      <c r="N5801" s="552"/>
    </row>
    <row r="5802" spans="1:14">
      <c r="A5802" s="499">
        <v>45681</v>
      </c>
      <c r="B5802" s="499">
        <v>45684</v>
      </c>
      <c r="C5802" s="500" t="s">
        <v>173</v>
      </c>
      <c r="D5802" s="500" t="s">
        <v>759</v>
      </c>
      <c r="E5802" s="501">
        <v>1001459.91</v>
      </c>
      <c r="F5802" s="502" t="s">
        <v>878</v>
      </c>
      <c r="G5802" s="100">
        <v>115670202</v>
      </c>
      <c r="H5802" s="100">
        <v>115670202</v>
      </c>
      <c r="I5802" s="422" t="s">
        <v>550</v>
      </c>
      <c r="J5802" s="484"/>
      <c r="K5802" s="548"/>
      <c r="L5802" s="548"/>
      <c r="M5802" s="548"/>
      <c r="N5802" s="552"/>
    </row>
    <row r="5803" spans="1:14">
      <c r="A5803" s="499">
        <v>45681</v>
      </c>
      <c r="B5803" s="499">
        <v>45684</v>
      </c>
      <c r="C5803" s="500" t="s">
        <v>173</v>
      </c>
      <c r="D5803" s="500" t="s">
        <v>759</v>
      </c>
      <c r="E5803" s="501">
        <v>1001459.64</v>
      </c>
      <c r="F5803" s="502" t="s">
        <v>878</v>
      </c>
      <c r="G5803" s="100">
        <v>115670205</v>
      </c>
      <c r="H5803" s="100">
        <v>115670205</v>
      </c>
      <c r="I5803" s="422" t="s">
        <v>602</v>
      </c>
      <c r="J5803" s="484"/>
      <c r="K5803" s="548"/>
      <c r="L5803" s="548"/>
      <c r="M5803" s="548"/>
      <c r="N5803" s="552"/>
    </row>
    <row r="5804" spans="1:14">
      <c r="A5804" s="499">
        <v>45681</v>
      </c>
      <c r="B5804" s="499">
        <v>45684</v>
      </c>
      <c r="C5804" s="500" t="s">
        <v>173</v>
      </c>
      <c r="D5804" s="500" t="s">
        <v>759</v>
      </c>
      <c r="E5804" s="501">
        <v>1002002.27</v>
      </c>
      <c r="F5804" s="502" t="s">
        <v>878</v>
      </c>
      <c r="G5804" s="100">
        <v>115670208</v>
      </c>
      <c r="H5804" s="100">
        <v>115670208</v>
      </c>
      <c r="I5804" s="422" t="s">
        <v>592</v>
      </c>
      <c r="J5804" s="484"/>
      <c r="K5804" s="548"/>
      <c r="L5804" s="548"/>
      <c r="M5804" s="548"/>
      <c r="N5804" s="552"/>
    </row>
    <row r="5805" spans="1:14">
      <c r="A5805" s="499">
        <v>45681</v>
      </c>
      <c r="B5805" s="499">
        <v>45684</v>
      </c>
      <c r="C5805" s="500" t="s">
        <v>173</v>
      </c>
      <c r="D5805" s="500" t="s">
        <v>759</v>
      </c>
      <c r="E5805" s="501">
        <v>3004131.8</v>
      </c>
      <c r="F5805" s="502" t="s">
        <v>878</v>
      </c>
      <c r="G5805" s="100">
        <v>115670211</v>
      </c>
      <c r="H5805" s="100">
        <v>115670211</v>
      </c>
      <c r="I5805" s="422" t="s">
        <v>817</v>
      </c>
      <c r="J5805" s="484"/>
      <c r="K5805" s="548"/>
      <c r="L5805" s="548"/>
      <c r="M5805" s="548"/>
      <c r="N5805" s="552"/>
    </row>
    <row r="5806" spans="1:14">
      <c r="A5806" s="499">
        <v>45681</v>
      </c>
      <c r="B5806" s="499">
        <v>45684</v>
      </c>
      <c r="C5806" s="500" t="s">
        <v>173</v>
      </c>
      <c r="D5806" s="500" t="s">
        <v>759</v>
      </c>
      <c r="E5806" s="501">
        <v>3004378.93</v>
      </c>
      <c r="F5806" s="502" t="s">
        <v>878</v>
      </c>
      <c r="G5806" s="100">
        <v>115670214</v>
      </c>
      <c r="H5806" s="100">
        <v>115670214</v>
      </c>
      <c r="I5806" s="422" t="s">
        <v>602</v>
      </c>
      <c r="J5806" s="484"/>
      <c r="K5806" s="548"/>
      <c r="L5806" s="548"/>
      <c r="M5806" s="548"/>
      <c r="N5806" s="552"/>
    </row>
    <row r="5807" spans="1:14">
      <c r="A5807" s="499">
        <v>45681</v>
      </c>
      <c r="B5807" s="499">
        <v>45684</v>
      </c>
      <c r="C5807" s="500" t="s">
        <v>173</v>
      </c>
      <c r="D5807" s="500" t="s">
        <v>759</v>
      </c>
      <c r="E5807" s="501">
        <v>3005543.88</v>
      </c>
      <c r="F5807" s="502" t="s">
        <v>878</v>
      </c>
      <c r="G5807" s="100">
        <v>115670217</v>
      </c>
      <c r="H5807" s="100">
        <v>115670217</v>
      </c>
      <c r="I5807" s="422" t="s">
        <v>604</v>
      </c>
      <c r="J5807" s="484"/>
      <c r="K5807" s="548"/>
      <c r="L5807" s="548"/>
      <c r="M5807" s="548"/>
      <c r="N5807" s="552"/>
    </row>
    <row r="5808" spans="1:14">
      <c r="A5808" s="499">
        <v>45681</v>
      </c>
      <c r="B5808" s="499">
        <v>45684</v>
      </c>
      <c r="C5808" s="500" t="s">
        <v>173</v>
      </c>
      <c r="D5808" s="500" t="s">
        <v>759</v>
      </c>
      <c r="E5808" s="501">
        <v>4007391.84</v>
      </c>
      <c r="F5808" s="502" t="s">
        <v>878</v>
      </c>
      <c r="G5808" s="100">
        <v>115670220</v>
      </c>
      <c r="H5808" s="100">
        <v>115670220</v>
      </c>
      <c r="I5808" s="422" t="s">
        <v>604</v>
      </c>
      <c r="J5808" s="484"/>
      <c r="K5808" s="548"/>
      <c r="L5808" s="548"/>
      <c r="M5808" s="548"/>
      <c r="N5808" s="552"/>
    </row>
    <row r="5809" spans="1:14">
      <c r="A5809" s="499">
        <v>45681</v>
      </c>
      <c r="B5809" s="499">
        <v>45684</v>
      </c>
      <c r="C5809" s="500" t="s">
        <v>173</v>
      </c>
      <c r="D5809" s="500" t="s">
        <v>759</v>
      </c>
      <c r="E5809" s="501">
        <v>4008009.08</v>
      </c>
      <c r="F5809" s="502" t="s">
        <v>878</v>
      </c>
      <c r="G5809" s="100">
        <v>115670223</v>
      </c>
      <c r="H5809" s="100">
        <v>115670223</v>
      </c>
      <c r="I5809" s="422" t="s">
        <v>592</v>
      </c>
      <c r="J5809" s="484"/>
      <c r="K5809" s="548"/>
      <c r="L5809" s="548"/>
      <c r="M5809" s="548"/>
      <c r="N5809" s="552"/>
    </row>
    <row r="5810" spans="1:14">
      <c r="A5810" s="499">
        <v>45681</v>
      </c>
      <c r="B5810" s="499">
        <v>45684</v>
      </c>
      <c r="C5810" s="500" t="s">
        <v>173</v>
      </c>
      <c r="D5810" s="500" t="s">
        <v>759</v>
      </c>
      <c r="E5810" s="501">
        <v>4007591.06</v>
      </c>
      <c r="F5810" s="502" t="s">
        <v>878</v>
      </c>
      <c r="G5810" s="100">
        <v>115670226</v>
      </c>
      <c r="H5810" s="100">
        <v>115670226</v>
      </c>
      <c r="I5810" s="422" t="s">
        <v>709</v>
      </c>
      <c r="J5810" s="484"/>
      <c r="K5810" s="548"/>
      <c r="L5810" s="548"/>
      <c r="M5810" s="548"/>
      <c r="N5810" s="552"/>
    </row>
    <row r="5811" spans="1:14">
      <c r="A5811" s="499">
        <v>45681</v>
      </c>
      <c r="B5811" s="499">
        <v>45684</v>
      </c>
      <c r="C5811" s="500" t="s">
        <v>173</v>
      </c>
      <c r="D5811" s="500" t="s">
        <v>759</v>
      </c>
      <c r="E5811" s="501">
        <v>5008752.53</v>
      </c>
      <c r="F5811" s="502" t="s">
        <v>878</v>
      </c>
      <c r="G5811" s="100">
        <v>115670229</v>
      </c>
      <c r="H5811" s="100">
        <v>115670229</v>
      </c>
      <c r="I5811" s="422" t="s">
        <v>676</v>
      </c>
      <c r="J5811" s="484"/>
      <c r="K5811" s="548"/>
      <c r="L5811" s="548"/>
      <c r="M5811" s="548"/>
      <c r="N5811" s="552"/>
    </row>
    <row r="5812" spans="1:14">
      <c r="A5812" s="499">
        <v>45681</v>
      </c>
      <c r="B5812" s="499">
        <v>45684</v>
      </c>
      <c r="C5812" s="500" t="s">
        <v>173</v>
      </c>
      <c r="D5812" s="500" t="s">
        <v>759</v>
      </c>
      <c r="E5812" s="501">
        <v>5008482.16</v>
      </c>
      <c r="F5812" s="502" t="s">
        <v>878</v>
      </c>
      <c r="G5812" s="100">
        <v>115670232</v>
      </c>
      <c r="H5812" s="100">
        <v>115670232</v>
      </c>
      <c r="I5812" s="422" t="s">
        <v>600</v>
      </c>
      <c r="J5812" s="484"/>
      <c r="K5812" s="548"/>
      <c r="L5812" s="548"/>
      <c r="M5812" s="548"/>
      <c r="N5812" s="552"/>
    </row>
    <row r="5813" spans="1:14">
      <c r="A5813" s="499">
        <v>45681</v>
      </c>
      <c r="B5813" s="499">
        <v>45684</v>
      </c>
      <c r="C5813" s="500" t="s">
        <v>173</v>
      </c>
      <c r="D5813" s="500" t="s">
        <v>759</v>
      </c>
      <c r="E5813" s="501">
        <v>6012875.79</v>
      </c>
      <c r="F5813" s="502" t="s">
        <v>878</v>
      </c>
      <c r="G5813" s="100">
        <v>115670235</v>
      </c>
      <c r="H5813" s="100">
        <v>115670235</v>
      </c>
      <c r="I5813" s="422" t="s">
        <v>674</v>
      </c>
      <c r="J5813" s="484"/>
      <c r="K5813" s="548"/>
      <c r="L5813" s="548"/>
      <c r="M5813" s="548"/>
      <c r="N5813" s="552"/>
    </row>
    <row r="5814" spans="1:14">
      <c r="A5814" s="499">
        <v>45681</v>
      </c>
      <c r="B5814" s="499">
        <v>45684</v>
      </c>
      <c r="C5814" s="500" t="s">
        <v>173</v>
      </c>
      <c r="D5814" s="500" t="s">
        <v>759</v>
      </c>
      <c r="E5814" s="501">
        <v>7010219.3700000001</v>
      </c>
      <c r="F5814" s="502" t="s">
        <v>878</v>
      </c>
      <c r="G5814" s="100">
        <v>115670238</v>
      </c>
      <c r="H5814" s="100">
        <v>115670238</v>
      </c>
      <c r="I5814" s="422" t="s">
        <v>550</v>
      </c>
      <c r="J5814" s="484"/>
      <c r="K5814" s="548"/>
      <c r="L5814" s="548"/>
      <c r="M5814" s="548"/>
      <c r="N5814" s="552"/>
    </row>
    <row r="5815" spans="1:14">
      <c r="A5815" s="499">
        <v>45681</v>
      </c>
      <c r="B5815" s="499">
        <v>45684</v>
      </c>
      <c r="C5815" s="500" t="s">
        <v>173</v>
      </c>
      <c r="D5815" s="500" t="s">
        <v>759</v>
      </c>
      <c r="E5815" s="501">
        <v>7012253.5499999998</v>
      </c>
      <c r="F5815" s="502" t="s">
        <v>878</v>
      </c>
      <c r="G5815" s="100">
        <v>115670241</v>
      </c>
      <c r="H5815" s="100">
        <v>115670241</v>
      </c>
      <c r="I5815" s="422" t="s">
        <v>676</v>
      </c>
      <c r="J5815" s="484"/>
      <c r="K5815" s="548"/>
      <c r="L5815" s="548"/>
      <c r="M5815" s="548"/>
      <c r="N5815" s="552"/>
    </row>
    <row r="5816" spans="1:14">
      <c r="A5816" s="499">
        <v>45681</v>
      </c>
      <c r="B5816" s="499">
        <v>45684</v>
      </c>
      <c r="C5816" s="500" t="s">
        <v>173</v>
      </c>
      <c r="D5816" s="500" t="s">
        <v>759</v>
      </c>
      <c r="E5816" s="501">
        <v>7012299.5099999998</v>
      </c>
      <c r="F5816" s="502" t="s">
        <v>878</v>
      </c>
      <c r="G5816" s="100">
        <v>115670244</v>
      </c>
      <c r="H5816" s="100">
        <v>115670244</v>
      </c>
      <c r="I5816" s="422" t="s">
        <v>695</v>
      </c>
      <c r="J5816" s="484"/>
      <c r="K5816" s="548"/>
      <c r="L5816" s="548"/>
      <c r="M5816" s="548"/>
      <c r="N5816" s="552"/>
    </row>
    <row r="5817" spans="1:14">
      <c r="A5817" s="499">
        <v>45681</v>
      </c>
      <c r="B5817" s="499">
        <v>45684</v>
      </c>
      <c r="C5817" s="500" t="s">
        <v>173</v>
      </c>
      <c r="D5817" s="500" t="s">
        <v>759</v>
      </c>
      <c r="E5817" s="501">
        <v>7014911.4900000002</v>
      </c>
      <c r="F5817" s="502" t="s">
        <v>878</v>
      </c>
      <c r="G5817" s="100">
        <v>115670247</v>
      </c>
      <c r="H5817" s="100">
        <v>115670247</v>
      </c>
      <c r="I5817" s="422" t="s">
        <v>821</v>
      </c>
      <c r="J5817" s="484"/>
      <c r="K5817" s="548"/>
      <c r="L5817" s="548"/>
      <c r="M5817" s="548"/>
      <c r="N5817" s="552"/>
    </row>
    <row r="5818" spans="1:14">
      <c r="A5818" s="499">
        <v>45681</v>
      </c>
      <c r="B5818" s="499">
        <v>45684</v>
      </c>
      <c r="C5818" s="500" t="s">
        <v>173</v>
      </c>
      <c r="D5818" s="500" t="s">
        <v>759</v>
      </c>
      <c r="E5818" s="501">
        <v>8015061.5999999996</v>
      </c>
      <c r="F5818" s="502" t="s">
        <v>878</v>
      </c>
      <c r="G5818" s="100">
        <v>115670250</v>
      </c>
      <c r="H5818" s="100">
        <v>115670250</v>
      </c>
      <c r="I5818" s="422" t="s">
        <v>696</v>
      </c>
      <c r="J5818" s="484"/>
      <c r="K5818" s="548"/>
      <c r="L5818" s="548"/>
      <c r="M5818" s="548"/>
      <c r="N5818" s="552"/>
    </row>
    <row r="5819" spans="1:14">
      <c r="A5819" s="499">
        <v>45681</v>
      </c>
      <c r="B5819" s="499">
        <v>45684</v>
      </c>
      <c r="C5819" s="500" t="s">
        <v>173</v>
      </c>
      <c r="D5819" s="500" t="s">
        <v>759</v>
      </c>
      <c r="E5819" s="501">
        <v>9016944.3000000007</v>
      </c>
      <c r="F5819" s="502" t="s">
        <v>878</v>
      </c>
      <c r="G5819" s="100">
        <v>115670253</v>
      </c>
      <c r="H5819" s="100">
        <v>115670253</v>
      </c>
      <c r="I5819" s="422" t="s">
        <v>696</v>
      </c>
      <c r="J5819" s="484"/>
      <c r="K5819" s="548"/>
      <c r="L5819" s="548"/>
      <c r="M5819" s="548"/>
      <c r="N5819" s="552"/>
    </row>
    <row r="5820" spans="1:14">
      <c r="A5820" s="499">
        <v>45681</v>
      </c>
      <c r="B5820" s="499">
        <v>45684</v>
      </c>
      <c r="C5820" s="500" t="s">
        <v>173</v>
      </c>
      <c r="D5820" s="500" t="s">
        <v>759</v>
      </c>
      <c r="E5820" s="501">
        <v>9019313.6899999995</v>
      </c>
      <c r="F5820" s="502" t="s">
        <v>878</v>
      </c>
      <c r="G5820" s="100">
        <v>115670256</v>
      </c>
      <c r="H5820" s="100">
        <v>115670256</v>
      </c>
      <c r="I5820" s="422" t="s">
        <v>674</v>
      </c>
      <c r="J5820" s="484"/>
      <c r="K5820" s="548"/>
      <c r="L5820" s="548"/>
      <c r="M5820" s="548"/>
      <c r="N5820" s="552"/>
    </row>
    <row r="5821" spans="1:14">
      <c r="A5821" s="499">
        <v>45681</v>
      </c>
      <c r="B5821" s="499">
        <v>45684</v>
      </c>
      <c r="C5821" s="500" t="s">
        <v>173</v>
      </c>
      <c r="D5821" s="500" t="s">
        <v>759</v>
      </c>
      <c r="E5821" s="501">
        <v>10014599.1</v>
      </c>
      <c r="F5821" s="502" t="s">
        <v>878</v>
      </c>
      <c r="G5821" s="100">
        <v>115670259</v>
      </c>
      <c r="H5821" s="100">
        <v>115670259</v>
      </c>
      <c r="I5821" s="422" t="s">
        <v>550</v>
      </c>
      <c r="J5821" s="484"/>
      <c r="K5821" s="548"/>
      <c r="L5821" s="548"/>
      <c r="M5821" s="548"/>
      <c r="N5821" s="552"/>
    </row>
    <row r="5822" spans="1:14">
      <c r="A5822" s="499">
        <v>45681</v>
      </c>
      <c r="B5822" s="499">
        <v>45684</v>
      </c>
      <c r="C5822" s="500" t="s">
        <v>173</v>
      </c>
      <c r="D5822" s="500" t="s">
        <v>759</v>
      </c>
      <c r="E5822" s="501">
        <v>10012612.01</v>
      </c>
      <c r="F5822" s="502" t="s">
        <v>878</v>
      </c>
      <c r="G5822" s="100">
        <v>115670262</v>
      </c>
      <c r="H5822" s="100">
        <v>115670262</v>
      </c>
      <c r="I5822" s="422" t="s">
        <v>596</v>
      </c>
      <c r="J5822" s="484"/>
      <c r="K5822" s="548"/>
      <c r="L5822" s="548"/>
      <c r="M5822" s="548"/>
      <c r="N5822" s="552"/>
    </row>
    <row r="5823" spans="1:14">
      <c r="A5823" s="499">
        <v>45681</v>
      </c>
      <c r="B5823" s="499">
        <v>45684</v>
      </c>
      <c r="C5823" s="500" t="s">
        <v>173</v>
      </c>
      <c r="D5823" s="500" t="s">
        <v>759</v>
      </c>
      <c r="E5823" s="501">
        <v>10016274.119999999</v>
      </c>
      <c r="F5823" s="502" t="s">
        <v>878</v>
      </c>
      <c r="G5823" s="100">
        <v>115670418</v>
      </c>
      <c r="H5823" s="100">
        <v>115670418</v>
      </c>
      <c r="I5823" s="422" t="s">
        <v>816</v>
      </c>
      <c r="J5823" s="484"/>
      <c r="K5823" s="548"/>
      <c r="L5823" s="548"/>
      <c r="M5823" s="548"/>
      <c r="N5823" s="552"/>
    </row>
    <row r="5824" spans="1:14">
      <c r="A5824" s="499">
        <v>45681</v>
      </c>
      <c r="B5824" s="499">
        <v>45684</v>
      </c>
      <c r="C5824" s="500" t="s">
        <v>173</v>
      </c>
      <c r="D5824" s="500" t="s">
        <v>759</v>
      </c>
      <c r="E5824" s="501">
        <v>10018977.66</v>
      </c>
      <c r="F5824" s="502" t="s">
        <v>878</v>
      </c>
      <c r="G5824" s="100">
        <v>115670421</v>
      </c>
      <c r="H5824" s="100">
        <v>115670421</v>
      </c>
      <c r="I5824" s="422" t="s">
        <v>709</v>
      </c>
      <c r="J5824" s="484"/>
      <c r="K5824" s="548"/>
      <c r="L5824" s="548"/>
      <c r="M5824" s="548"/>
      <c r="N5824" s="552"/>
    </row>
    <row r="5825" spans="1:14">
      <c r="A5825" s="499">
        <v>45681</v>
      </c>
      <c r="B5825" s="499">
        <v>45684</v>
      </c>
      <c r="C5825" s="500" t="s">
        <v>173</v>
      </c>
      <c r="D5825" s="500" t="s">
        <v>759</v>
      </c>
      <c r="E5825" s="501">
        <v>13016808.73</v>
      </c>
      <c r="F5825" s="502" t="s">
        <v>878</v>
      </c>
      <c r="G5825" s="100">
        <v>115670424</v>
      </c>
      <c r="H5825" s="100">
        <v>115670424</v>
      </c>
      <c r="I5825" s="422" t="s">
        <v>525</v>
      </c>
      <c r="J5825" s="484"/>
      <c r="K5825" s="548"/>
      <c r="L5825" s="548"/>
      <c r="M5825" s="548"/>
      <c r="N5825" s="552"/>
    </row>
    <row r="5826" spans="1:14">
      <c r="A5826" s="499">
        <v>45681</v>
      </c>
      <c r="B5826" s="499">
        <v>45684</v>
      </c>
      <c r="C5826" s="500" t="s">
        <v>173</v>
      </c>
      <c r="D5826" s="500" t="s">
        <v>759</v>
      </c>
      <c r="E5826" s="501">
        <v>15024411.18</v>
      </c>
      <c r="F5826" s="502" t="s">
        <v>878</v>
      </c>
      <c r="G5826" s="100">
        <v>115670427</v>
      </c>
      <c r="H5826" s="100">
        <v>115670427</v>
      </c>
      <c r="I5826" s="422" t="s">
        <v>816</v>
      </c>
      <c r="J5826" s="484"/>
      <c r="K5826" s="548"/>
      <c r="L5826" s="548"/>
      <c r="M5826" s="548"/>
      <c r="N5826" s="552"/>
    </row>
    <row r="5827" spans="1:14">
      <c r="A5827" s="499">
        <v>45681</v>
      </c>
      <c r="B5827" s="499">
        <v>45684</v>
      </c>
      <c r="C5827" s="500" t="s">
        <v>173</v>
      </c>
      <c r="D5827" s="500" t="s">
        <v>759</v>
      </c>
      <c r="E5827" s="501">
        <v>15028892.34</v>
      </c>
      <c r="F5827" s="502" t="s">
        <v>878</v>
      </c>
      <c r="G5827" s="100">
        <v>115670430</v>
      </c>
      <c r="H5827" s="100">
        <v>115670430</v>
      </c>
      <c r="I5827" s="422" t="s">
        <v>824</v>
      </c>
      <c r="J5827" s="484"/>
      <c r="K5827" s="548"/>
      <c r="L5827" s="548"/>
      <c r="M5827" s="548"/>
      <c r="N5827" s="552"/>
    </row>
    <row r="5828" spans="1:14">
      <c r="A5828" s="499">
        <v>45681</v>
      </c>
      <c r="B5828" s="499">
        <v>45684</v>
      </c>
      <c r="C5828" s="500" t="s">
        <v>173</v>
      </c>
      <c r="D5828" s="500" t="s">
        <v>759</v>
      </c>
      <c r="E5828" s="501">
        <v>15026495.83</v>
      </c>
      <c r="F5828" s="502" t="s">
        <v>878</v>
      </c>
      <c r="G5828" s="100">
        <v>115670433</v>
      </c>
      <c r="H5828" s="100">
        <v>115670433</v>
      </c>
      <c r="I5828" s="422" t="s">
        <v>819</v>
      </c>
      <c r="J5828" s="484"/>
      <c r="K5828" s="548"/>
      <c r="L5828" s="548"/>
      <c r="M5828" s="548"/>
      <c r="N5828" s="552"/>
    </row>
    <row r="5829" spans="1:14">
      <c r="A5829" s="499">
        <v>45681</v>
      </c>
      <c r="B5829" s="499">
        <v>45684</v>
      </c>
      <c r="C5829" s="500" t="s">
        <v>173</v>
      </c>
      <c r="D5829" s="500" t="s">
        <v>759</v>
      </c>
      <c r="E5829" s="501">
        <v>18026273.550000001</v>
      </c>
      <c r="F5829" s="502" t="s">
        <v>878</v>
      </c>
      <c r="G5829" s="100">
        <v>115670436</v>
      </c>
      <c r="H5829" s="100">
        <v>115670436</v>
      </c>
      <c r="I5829" s="422" t="s">
        <v>602</v>
      </c>
      <c r="J5829" s="484"/>
      <c r="K5829" s="548"/>
      <c r="L5829" s="548"/>
      <c r="M5829" s="548"/>
      <c r="N5829" s="552"/>
    </row>
    <row r="5830" spans="1:14">
      <c r="A5830" s="499">
        <v>45681</v>
      </c>
      <c r="B5830" s="499">
        <v>45684</v>
      </c>
      <c r="C5830" s="500" t="s">
        <v>173</v>
      </c>
      <c r="D5830" s="500" t="s">
        <v>759</v>
      </c>
      <c r="E5830" s="501">
        <v>18034159.780000001</v>
      </c>
      <c r="F5830" s="502" t="s">
        <v>878</v>
      </c>
      <c r="G5830" s="100">
        <v>115670439</v>
      </c>
      <c r="H5830" s="100">
        <v>115670439</v>
      </c>
      <c r="I5830" s="422" t="s">
        <v>709</v>
      </c>
      <c r="J5830" s="484"/>
      <c r="K5830" s="548"/>
      <c r="L5830" s="548"/>
      <c r="M5830" s="548"/>
      <c r="N5830" s="552"/>
    </row>
    <row r="5831" spans="1:14">
      <c r="A5831" s="499">
        <v>45681</v>
      </c>
      <c r="B5831" s="499">
        <v>45684</v>
      </c>
      <c r="C5831" s="500" t="s">
        <v>173</v>
      </c>
      <c r="D5831" s="500" t="s">
        <v>759</v>
      </c>
      <c r="E5831" s="501">
        <v>19033259.609999999</v>
      </c>
      <c r="F5831" s="502" t="s">
        <v>878</v>
      </c>
      <c r="G5831" s="100">
        <v>115670442</v>
      </c>
      <c r="H5831" s="100">
        <v>115670442</v>
      </c>
      <c r="I5831" s="422" t="s">
        <v>676</v>
      </c>
      <c r="J5831" s="484"/>
      <c r="K5831" s="548"/>
      <c r="L5831" s="548"/>
      <c r="M5831" s="548"/>
      <c r="N5831" s="552"/>
    </row>
    <row r="5832" spans="1:14">
      <c r="A5832" s="499">
        <v>45681</v>
      </c>
      <c r="B5832" s="499">
        <v>45684</v>
      </c>
      <c r="C5832" s="500" t="s">
        <v>173</v>
      </c>
      <c r="D5832" s="500" t="s">
        <v>759</v>
      </c>
      <c r="E5832" s="501">
        <v>19030515.149999999</v>
      </c>
      <c r="F5832" s="502" t="s">
        <v>878</v>
      </c>
      <c r="G5832" s="100">
        <v>115670446</v>
      </c>
      <c r="H5832" s="100">
        <v>115670446</v>
      </c>
      <c r="I5832" s="422" t="s">
        <v>690</v>
      </c>
      <c r="J5832" s="484"/>
      <c r="K5832" s="548"/>
      <c r="L5832" s="548"/>
      <c r="M5832" s="548"/>
      <c r="N5832" s="552"/>
    </row>
    <row r="5833" spans="1:14">
      <c r="A5833" s="499">
        <v>45681</v>
      </c>
      <c r="B5833" s="499">
        <v>45684</v>
      </c>
      <c r="C5833" s="500" t="s">
        <v>173</v>
      </c>
      <c r="D5833" s="500" t="s">
        <v>759</v>
      </c>
      <c r="E5833" s="501">
        <v>19035111.219999999</v>
      </c>
      <c r="F5833" s="502" t="s">
        <v>878</v>
      </c>
      <c r="G5833" s="100">
        <v>115670449</v>
      </c>
      <c r="H5833" s="100">
        <v>115670449</v>
      </c>
      <c r="I5833" s="422" t="s">
        <v>604</v>
      </c>
      <c r="J5833" s="484"/>
      <c r="K5833" s="548"/>
      <c r="L5833" s="548"/>
      <c r="M5833" s="548"/>
      <c r="N5833" s="552"/>
    </row>
    <row r="5834" spans="1:14">
      <c r="A5834" s="499">
        <v>45681</v>
      </c>
      <c r="B5834" s="499">
        <v>45684</v>
      </c>
      <c r="C5834" s="500" t="s">
        <v>173</v>
      </c>
      <c r="D5834" s="500" t="s">
        <v>759</v>
      </c>
      <c r="E5834" s="501">
        <v>20035072.960000001</v>
      </c>
      <c r="F5834" s="502" t="s">
        <v>878</v>
      </c>
      <c r="G5834" s="100">
        <v>115670452</v>
      </c>
      <c r="H5834" s="100">
        <v>115670452</v>
      </c>
      <c r="I5834" s="422" t="s">
        <v>588</v>
      </c>
      <c r="J5834" s="484"/>
      <c r="K5834" s="548"/>
      <c r="L5834" s="548"/>
      <c r="M5834" s="548"/>
      <c r="N5834" s="552"/>
    </row>
    <row r="5835" spans="1:14">
      <c r="A5835" s="499">
        <v>45681</v>
      </c>
      <c r="B5835" s="499">
        <v>45684</v>
      </c>
      <c r="C5835" s="500" t="s">
        <v>173</v>
      </c>
      <c r="D5835" s="500" t="s">
        <v>759</v>
      </c>
      <c r="E5835" s="501">
        <v>20035010.120000001</v>
      </c>
      <c r="F5835" s="502" t="s">
        <v>878</v>
      </c>
      <c r="G5835" s="100">
        <v>115670455</v>
      </c>
      <c r="H5835" s="100">
        <v>115670455</v>
      </c>
      <c r="I5835" s="422" t="s">
        <v>676</v>
      </c>
      <c r="J5835" s="484"/>
      <c r="K5835" s="548"/>
      <c r="L5835" s="548"/>
      <c r="M5835" s="548"/>
      <c r="N5835" s="552"/>
    </row>
    <row r="5836" spans="1:14">
      <c r="A5836" s="499">
        <v>45681</v>
      </c>
      <c r="B5836" s="499">
        <v>45684</v>
      </c>
      <c r="C5836" s="500" t="s">
        <v>173</v>
      </c>
      <c r="D5836" s="500" t="s">
        <v>759</v>
      </c>
      <c r="E5836" s="501">
        <v>20039184.18</v>
      </c>
      <c r="F5836" s="502" t="s">
        <v>878</v>
      </c>
      <c r="G5836" s="100">
        <v>115670458</v>
      </c>
      <c r="H5836" s="100">
        <v>115670458</v>
      </c>
      <c r="I5836" s="422" t="s">
        <v>689</v>
      </c>
      <c r="J5836" s="484"/>
      <c r="K5836" s="548"/>
      <c r="L5836" s="548"/>
      <c r="M5836" s="548"/>
      <c r="N5836" s="552"/>
    </row>
    <row r="5837" spans="1:14">
      <c r="A5837" s="499">
        <v>45681</v>
      </c>
      <c r="B5837" s="499">
        <v>45684</v>
      </c>
      <c r="C5837" s="500" t="s">
        <v>173</v>
      </c>
      <c r="D5837" s="500" t="s">
        <v>759</v>
      </c>
      <c r="E5837" s="501">
        <v>21030641.960000001</v>
      </c>
      <c r="F5837" s="502" t="s">
        <v>878</v>
      </c>
      <c r="G5837" s="100">
        <v>115670461</v>
      </c>
      <c r="H5837" s="100">
        <v>115670461</v>
      </c>
      <c r="I5837" s="422" t="s">
        <v>657</v>
      </c>
      <c r="J5837" s="484"/>
      <c r="K5837" s="548"/>
      <c r="L5837" s="548"/>
      <c r="M5837" s="548"/>
      <c r="N5837" s="552"/>
    </row>
    <row r="5838" spans="1:14">
      <c r="A5838" s="499">
        <v>45681</v>
      </c>
      <c r="B5838" s="499">
        <v>45684</v>
      </c>
      <c r="C5838" s="500" t="s">
        <v>173</v>
      </c>
      <c r="D5838" s="500" t="s">
        <v>759</v>
      </c>
      <c r="E5838" s="501">
        <v>22041419.390000001</v>
      </c>
      <c r="F5838" s="502" t="s">
        <v>878</v>
      </c>
      <c r="G5838" s="100">
        <v>115670464</v>
      </c>
      <c r="H5838" s="100">
        <v>115670464</v>
      </c>
      <c r="I5838" s="422" t="s">
        <v>696</v>
      </c>
      <c r="J5838" s="484"/>
      <c r="K5838" s="548"/>
      <c r="L5838" s="548"/>
      <c r="M5838" s="548"/>
      <c r="N5838" s="552"/>
    </row>
    <row r="5839" spans="1:14">
      <c r="A5839" s="499">
        <v>45681</v>
      </c>
      <c r="B5839" s="499">
        <v>45684</v>
      </c>
      <c r="C5839" s="500" t="s">
        <v>173</v>
      </c>
      <c r="D5839" s="500" t="s">
        <v>759</v>
      </c>
      <c r="E5839" s="501">
        <v>23029007.629999999</v>
      </c>
      <c r="F5839" s="502" t="s">
        <v>878</v>
      </c>
      <c r="G5839" s="100">
        <v>115670467</v>
      </c>
      <c r="H5839" s="100">
        <v>115670467</v>
      </c>
      <c r="I5839" s="422" t="s">
        <v>596</v>
      </c>
      <c r="J5839" s="484"/>
      <c r="K5839" s="548"/>
      <c r="L5839" s="548"/>
      <c r="M5839" s="548"/>
      <c r="N5839" s="552"/>
    </row>
    <row r="5840" spans="1:14">
      <c r="A5840" s="499">
        <v>45681</v>
      </c>
      <c r="B5840" s="499">
        <v>45684</v>
      </c>
      <c r="C5840" s="500" t="s">
        <v>173</v>
      </c>
      <c r="D5840" s="500" t="s">
        <v>759</v>
      </c>
      <c r="E5840" s="501">
        <v>24032093.120000001</v>
      </c>
      <c r="F5840" s="502" t="s">
        <v>878</v>
      </c>
      <c r="G5840" s="100">
        <v>115670470</v>
      </c>
      <c r="H5840" s="100">
        <v>115670470</v>
      </c>
      <c r="I5840" s="422" t="s">
        <v>590</v>
      </c>
      <c r="J5840" s="484"/>
      <c r="K5840" s="548"/>
      <c r="L5840" s="548"/>
      <c r="M5840" s="548"/>
      <c r="N5840" s="552"/>
    </row>
    <row r="5841" spans="1:14">
      <c r="A5841" s="499">
        <v>45681</v>
      </c>
      <c r="B5841" s="499">
        <v>45684</v>
      </c>
      <c r="C5841" s="500" t="s">
        <v>173</v>
      </c>
      <c r="D5841" s="500" t="s">
        <v>759</v>
      </c>
      <c r="E5841" s="501">
        <v>24051125.129999999</v>
      </c>
      <c r="F5841" s="502" t="s">
        <v>878</v>
      </c>
      <c r="G5841" s="100">
        <v>115670473</v>
      </c>
      <c r="H5841" s="100">
        <v>115670473</v>
      </c>
      <c r="I5841" s="422" t="s">
        <v>821</v>
      </c>
      <c r="J5841" s="484"/>
      <c r="K5841" s="548"/>
      <c r="L5841" s="548"/>
      <c r="M5841" s="548"/>
      <c r="N5841" s="552"/>
    </row>
    <row r="5842" spans="1:14">
      <c r="A5842" s="499">
        <v>45681</v>
      </c>
      <c r="B5842" s="499">
        <v>45684</v>
      </c>
      <c r="C5842" s="500" t="s">
        <v>173</v>
      </c>
      <c r="D5842" s="500" t="s">
        <v>759</v>
      </c>
      <c r="E5842" s="501">
        <v>25048153.899999999</v>
      </c>
      <c r="F5842" s="502" t="s">
        <v>878</v>
      </c>
      <c r="G5842" s="100">
        <v>115670476</v>
      </c>
      <c r="H5842" s="100">
        <v>115670476</v>
      </c>
      <c r="I5842" s="422" t="s">
        <v>824</v>
      </c>
      <c r="J5842" s="484"/>
      <c r="K5842" s="548"/>
      <c r="L5842" s="548"/>
      <c r="M5842" s="548"/>
      <c r="N5842" s="552"/>
    </row>
    <row r="5843" spans="1:14">
      <c r="A5843" s="499">
        <v>45681</v>
      </c>
      <c r="B5843" s="499">
        <v>45684</v>
      </c>
      <c r="C5843" s="500" t="s">
        <v>173</v>
      </c>
      <c r="D5843" s="500" t="s">
        <v>759</v>
      </c>
      <c r="E5843" s="501">
        <v>25052009.120000001</v>
      </c>
      <c r="F5843" s="502" t="s">
        <v>878</v>
      </c>
      <c r="G5843" s="100">
        <v>115670479</v>
      </c>
      <c r="H5843" s="100">
        <v>115670479</v>
      </c>
      <c r="I5843" s="422" t="s">
        <v>598</v>
      </c>
      <c r="J5843" s="484"/>
      <c r="K5843" s="548"/>
      <c r="L5843" s="548"/>
      <c r="M5843" s="548"/>
      <c r="N5843" s="552"/>
    </row>
    <row r="5844" spans="1:14">
      <c r="A5844" s="499">
        <v>45681</v>
      </c>
      <c r="B5844" s="499">
        <v>45684</v>
      </c>
      <c r="C5844" s="500" t="s">
        <v>173</v>
      </c>
      <c r="D5844" s="500" t="s">
        <v>759</v>
      </c>
      <c r="E5844" s="501">
        <v>25033430.329999998</v>
      </c>
      <c r="F5844" s="502" t="s">
        <v>878</v>
      </c>
      <c r="G5844" s="100">
        <v>115670482</v>
      </c>
      <c r="H5844" s="100">
        <v>115670482</v>
      </c>
      <c r="I5844" s="422" t="s">
        <v>590</v>
      </c>
      <c r="J5844" s="484"/>
      <c r="K5844" s="548"/>
      <c r="L5844" s="548"/>
      <c r="M5844" s="548"/>
      <c r="N5844" s="552"/>
    </row>
    <row r="5845" spans="1:14">
      <c r="A5845" s="499">
        <v>45681</v>
      </c>
      <c r="B5845" s="499">
        <v>45684</v>
      </c>
      <c r="C5845" s="500" t="s">
        <v>173</v>
      </c>
      <c r="D5845" s="500" t="s">
        <v>759</v>
      </c>
      <c r="E5845" s="501">
        <v>25032719.41</v>
      </c>
      <c r="F5845" s="502" t="s">
        <v>878</v>
      </c>
      <c r="G5845" s="100">
        <v>115670485</v>
      </c>
      <c r="H5845" s="100">
        <v>115670485</v>
      </c>
      <c r="I5845" s="422" t="s">
        <v>717</v>
      </c>
      <c r="J5845" s="484"/>
      <c r="K5845" s="548"/>
      <c r="L5845" s="548"/>
      <c r="M5845" s="548"/>
      <c r="N5845" s="552"/>
    </row>
    <row r="5846" spans="1:14">
      <c r="A5846" s="499">
        <v>45681</v>
      </c>
      <c r="B5846" s="499">
        <v>45684</v>
      </c>
      <c r="C5846" s="500" t="s">
        <v>173</v>
      </c>
      <c r="D5846" s="500" t="s">
        <v>759</v>
      </c>
      <c r="E5846" s="501">
        <v>26037957.670000002</v>
      </c>
      <c r="F5846" s="502" t="s">
        <v>878</v>
      </c>
      <c r="G5846" s="100">
        <v>115670491</v>
      </c>
      <c r="H5846" s="100">
        <v>115670491</v>
      </c>
      <c r="I5846" s="422" t="s">
        <v>550</v>
      </c>
      <c r="J5846" s="484"/>
      <c r="K5846" s="548"/>
      <c r="L5846" s="548"/>
      <c r="M5846" s="548"/>
      <c r="N5846" s="552"/>
    </row>
    <row r="5847" spans="1:14">
      <c r="A5847" s="499">
        <v>45681</v>
      </c>
      <c r="B5847" s="499">
        <v>45684</v>
      </c>
      <c r="C5847" s="500" t="s">
        <v>173</v>
      </c>
      <c r="D5847" s="500" t="s">
        <v>759</v>
      </c>
      <c r="E5847" s="501">
        <v>28049198.050000001</v>
      </c>
      <c r="F5847" s="502" t="s">
        <v>878</v>
      </c>
      <c r="G5847" s="100">
        <v>115670494</v>
      </c>
      <c r="H5847" s="100">
        <v>115670494</v>
      </c>
      <c r="I5847" s="422" t="s">
        <v>695</v>
      </c>
      <c r="J5847" s="484"/>
      <c r="K5847" s="548"/>
      <c r="L5847" s="548"/>
      <c r="M5847" s="548"/>
      <c r="N5847" s="552"/>
    </row>
    <row r="5848" spans="1:14">
      <c r="A5848" s="499">
        <v>45681</v>
      </c>
      <c r="B5848" s="499">
        <v>45684</v>
      </c>
      <c r="C5848" s="500" t="s">
        <v>173</v>
      </c>
      <c r="D5848" s="500" t="s">
        <v>759</v>
      </c>
      <c r="E5848" s="501">
        <v>29051225.27</v>
      </c>
      <c r="F5848" s="502" t="s">
        <v>878</v>
      </c>
      <c r="G5848" s="100">
        <v>115670497</v>
      </c>
      <c r="H5848" s="100">
        <v>115670497</v>
      </c>
      <c r="I5848" s="422" t="s">
        <v>819</v>
      </c>
      <c r="J5848" s="484"/>
      <c r="K5848" s="548"/>
      <c r="L5848" s="548"/>
      <c r="M5848" s="548"/>
      <c r="N5848" s="552"/>
    </row>
    <row r="5849" spans="1:14">
      <c r="A5849" s="499">
        <v>45681</v>
      </c>
      <c r="B5849" s="499">
        <v>45684</v>
      </c>
      <c r="C5849" s="500" t="s">
        <v>173</v>
      </c>
      <c r="D5849" s="500" t="s">
        <v>759</v>
      </c>
      <c r="E5849" s="501">
        <v>29056469.359999999</v>
      </c>
      <c r="F5849" s="502" t="s">
        <v>878</v>
      </c>
      <c r="G5849" s="100">
        <v>115670500</v>
      </c>
      <c r="H5849" s="100">
        <v>115670500</v>
      </c>
      <c r="I5849" s="422" t="s">
        <v>715</v>
      </c>
      <c r="J5849" s="484"/>
      <c r="K5849" s="548"/>
      <c r="L5849" s="548"/>
      <c r="M5849" s="548"/>
      <c r="N5849" s="552"/>
    </row>
    <row r="5850" spans="1:14">
      <c r="A5850" s="499">
        <v>45681</v>
      </c>
      <c r="B5850" s="499">
        <v>45684</v>
      </c>
      <c r="C5850" s="500" t="s">
        <v>173</v>
      </c>
      <c r="D5850" s="500" t="s">
        <v>759</v>
      </c>
      <c r="E5850" s="501">
        <v>33056234.280000001</v>
      </c>
      <c r="F5850" s="502" t="s">
        <v>878</v>
      </c>
      <c r="G5850" s="100">
        <v>115670503</v>
      </c>
      <c r="H5850" s="100">
        <v>115670503</v>
      </c>
      <c r="I5850" s="422" t="s">
        <v>694</v>
      </c>
      <c r="J5850" s="484"/>
      <c r="K5850" s="548"/>
      <c r="L5850" s="548"/>
      <c r="M5850" s="548"/>
      <c r="N5850" s="552"/>
    </row>
    <row r="5851" spans="1:14">
      <c r="A5851" s="499">
        <v>45681</v>
      </c>
      <c r="B5851" s="499">
        <v>45684</v>
      </c>
      <c r="C5851" s="500" t="s">
        <v>173</v>
      </c>
      <c r="D5851" s="500" t="s">
        <v>759</v>
      </c>
      <c r="E5851" s="501">
        <v>35075108.780000001</v>
      </c>
      <c r="F5851" s="502" t="s">
        <v>878</v>
      </c>
      <c r="G5851" s="100">
        <v>115670506</v>
      </c>
      <c r="H5851" s="100">
        <v>115670506</v>
      </c>
      <c r="I5851" s="422" t="s">
        <v>674</v>
      </c>
      <c r="J5851" s="484"/>
      <c r="K5851" s="548"/>
      <c r="L5851" s="548"/>
      <c r="M5851" s="548"/>
      <c r="N5851" s="552"/>
    </row>
    <row r="5852" spans="1:14">
      <c r="A5852" s="499">
        <v>45681</v>
      </c>
      <c r="B5852" s="499">
        <v>45684</v>
      </c>
      <c r="C5852" s="500" t="s">
        <v>173</v>
      </c>
      <c r="D5852" s="500" t="s">
        <v>759</v>
      </c>
      <c r="E5852" s="501">
        <v>38065458.189999998</v>
      </c>
      <c r="F5852" s="502" t="s">
        <v>878</v>
      </c>
      <c r="G5852" s="100">
        <v>115670509</v>
      </c>
      <c r="H5852" s="100">
        <v>115670509</v>
      </c>
      <c r="I5852" s="422" t="s">
        <v>693</v>
      </c>
      <c r="J5852" s="484"/>
      <c r="K5852" s="548"/>
      <c r="L5852" s="548"/>
      <c r="M5852" s="548"/>
      <c r="N5852" s="552"/>
    </row>
    <row r="5853" spans="1:14">
      <c r="A5853" s="499">
        <v>45681</v>
      </c>
      <c r="B5853" s="499">
        <v>45684</v>
      </c>
      <c r="C5853" s="500" t="s">
        <v>173</v>
      </c>
      <c r="D5853" s="500" t="s">
        <v>759</v>
      </c>
      <c r="E5853" s="501">
        <v>38073994.340000004</v>
      </c>
      <c r="F5853" s="502" t="s">
        <v>878</v>
      </c>
      <c r="G5853" s="100">
        <v>115670512</v>
      </c>
      <c r="H5853" s="100">
        <v>115670512</v>
      </c>
      <c r="I5853" s="422" t="s">
        <v>715</v>
      </c>
      <c r="J5853" s="484"/>
      <c r="K5853" s="548"/>
      <c r="L5853" s="548"/>
      <c r="M5853" s="548"/>
      <c r="N5853" s="552"/>
    </row>
    <row r="5854" spans="1:14">
      <c r="A5854" s="499">
        <v>45681</v>
      </c>
      <c r="B5854" s="499">
        <v>45684</v>
      </c>
      <c r="C5854" s="500" t="s">
        <v>173</v>
      </c>
      <c r="D5854" s="500" t="s">
        <v>759</v>
      </c>
      <c r="E5854" s="501">
        <v>131174748.14</v>
      </c>
      <c r="F5854" s="502" t="s">
        <v>878</v>
      </c>
      <c r="G5854" s="100">
        <v>115670710</v>
      </c>
      <c r="H5854" s="100">
        <v>115670710</v>
      </c>
      <c r="I5854" s="422" t="s">
        <v>635</v>
      </c>
      <c r="J5854" s="484"/>
      <c r="K5854" s="548"/>
      <c r="L5854" s="548"/>
      <c r="M5854" s="548"/>
      <c r="N5854" s="552"/>
    </row>
    <row r="5855" spans="1:14">
      <c r="A5855" s="499">
        <v>45681</v>
      </c>
      <c r="B5855" s="499">
        <v>45684</v>
      </c>
      <c r="C5855" s="500" t="s">
        <v>173</v>
      </c>
      <c r="D5855" s="500" t="s">
        <v>759</v>
      </c>
      <c r="E5855" s="501">
        <v>8013245.8499999996</v>
      </c>
      <c r="F5855" s="502" t="s">
        <v>878</v>
      </c>
      <c r="G5855" s="100">
        <v>115670991</v>
      </c>
      <c r="H5855" s="100">
        <v>115670991</v>
      </c>
      <c r="I5855" s="422" t="s">
        <v>633</v>
      </c>
      <c r="J5855" s="484"/>
      <c r="K5855" s="548"/>
      <c r="L5855" s="548"/>
      <c r="M5855" s="548"/>
      <c r="N5855" s="552"/>
    </row>
    <row r="5856" spans="1:14">
      <c r="A5856" s="499">
        <v>45681</v>
      </c>
      <c r="B5856" s="499">
        <v>45681</v>
      </c>
      <c r="C5856" s="500" t="s">
        <v>173</v>
      </c>
      <c r="D5856" s="500" t="s">
        <v>760</v>
      </c>
      <c r="E5856" s="501">
        <v>-298317032.66000003</v>
      </c>
      <c r="F5856" s="502" t="s">
        <v>878</v>
      </c>
      <c r="G5856" s="100">
        <v>115672305</v>
      </c>
      <c r="H5856" s="530"/>
      <c r="I5856" s="422" t="s">
        <v>682</v>
      </c>
      <c r="J5856" s="484"/>
      <c r="K5856" s="548"/>
      <c r="L5856" s="548"/>
      <c r="M5856" s="548"/>
      <c r="N5856" s="552"/>
    </row>
    <row r="5857" spans="1:14">
      <c r="A5857" s="499">
        <v>45681</v>
      </c>
      <c r="B5857" s="499">
        <v>45681</v>
      </c>
      <c r="C5857" s="500" t="s">
        <v>173</v>
      </c>
      <c r="D5857" s="500" t="s">
        <v>760</v>
      </c>
      <c r="E5857" s="501">
        <v>-168053519.75999999</v>
      </c>
      <c r="F5857" s="502" t="s">
        <v>878</v>
      </c>
      <c r="G5857" s="100">
        <v>115672434</v>
      </c>
      <c r="H5857" s="530"/>
      <c r="I5857" s="422" t="s">
        <v>652</v>
      </c>
      <c r="J5857" s="484"/>
      <c r="K5857" s="548"/>
      <c r="L5857" s="548"/>
      <c r="M5857" s="548"/>
      <c r="N5857" s="552"/>
    </row>
    <row r="5858" spans="1:14">
      <c r="A5858" s="499">
        <v>45681</v>
      </c>
      <c r="B5858" s="499">
        <v>45684</v>
      </c>
      <c r="C5858" s="500" t="s">
        <v>173</v>
      </c>
      <c r="D5858" s="500" t="s">
        <v>760</v>
      </c>
      <c r="E5858" s="501">
        <v>298686046.74000001</v>
      </c>
      <c r="F5858" s="502" t="s">
        <v>878</v>
      </c>
      <c r="G5858" s="100">
        <v>115672305</v>
      </c>
      <c r="H5858" s="484">
        <v>115672305</v>
      </c>
      <c r="I5858" s="422" t="s">
        <v>682</v>
      </c>
      <c r="J5858" s="484"/>
      <c r="K5858" s="548"/>
      <c r="L5858" s="548"/>
      <c r="M5858" s="548"/>
      <c r="N5858" s="552"/>
    </row>
    <row r="5859" spans="1:14">
      <c r="A5859" s="499">
        <v>45681</v>
      </c>
      <c r="B5859" s="499">
        <v>45684</v>
      </c>
      <c r="C5859" s="500" t="s">
        <v>173</v>
      </c>
      <c r="D5859" s="500" t="s">
        <v>760</v>
      </c>
      <c r="E5859" s="501">
        <v>168261399.66</v>
      </c>
      <c r="F5859" s="502" t="s">
        <v>878</v>
      </c>
      <c r="G5859" s="100">
        <v>115672434</v>
      </c>
      <c r="H5859" s="484">
        <v>115672434</v>
      </c>
      <c r="I5859" s="422" t="s">
        <v>652</v>
      </c>
      <c r="J5859" s="484"/>
      <c r="K5859" s="548"/>
      <c r="L5859" s="548">
        <v>-1</v>
      </c>
      <c r="M5859" s="548"/>
      <c r="N5859" s="552"/>
    </row>
    <row r="5860" spans="1:14">
      <c r="A5860" s="499">
        <v>45681</v>
      </c>
      <c r="B5860" s="499">
        <v>45681</v>
      </c>
      <c r="C5860" s="500" t="s">
        <v>173</v>
      </c>
      <c r="D5860" s="500" t="s">
        <v>763</v>
      </c>
      <c r="E5860" s="501">
        <v>-606274566.48000002</v>
      </c>
      <c r="F5860" s="502" t="s">
        <v>878</v>
      </c>
      <c r="G5860" s="100">
        <v>115671056</v>
      </c>
      <c r="H5860" s="530"/>
      <c r="I5860" s="422" t="s">
        <v>686</v>
      </c>
      <c r="J5860" s="484"/>
      <c r="K5860" s="548"/>
      <c r="L5860" s="548"/>
      <c r="M5860" s="548"/>
      <c r="N5860" s="552"/>
    </row>
    <row r="5861" spans="1:14">
      <c r="A5861" s="499">
        <v>45681</v>
      </c>
      <c r="B5861" s="499">
        <v>45681</v>
      </c>
      <c r="C5861" s="500" t="s">
        <v>173</v>
      </c>
      <c r="D5861" s="500" t="s">
        <v>763</v>
      </c>
      <c r="E5861" s="501">
        <v>-355080871.83999997</v>
      </c>
      <c r="F5861" s="502" t="s">
        <v>878</v>
      </c>
      <c r="G5861" s="100">
        <v>115671064</v>
      </c>
      <c r="H5861" s="530"/>
      <c r="I5861" s="422" t="s">
        <v>708</v>
      </c>
      <c r="J5861" s="484"/>
      <c r="K5861" s="548"/>
      <c r="L5861" s="548"/>
      <c r="M5861" s="548"/>
      <c r="N5861" s="552"/>
    </row>
    <row r="5862" spans="1:14">
      <c r="A5862" s="499">
        <v>45681</v>
      </c>
      <c r="B5862" s="499">
        <v>45681</v>
      </c>
      <c r="C5862" s="500" t="s">
        <v>173</v>
      </c>
      <c r="D5862" s="500" t="s">
        <v>763</v>
      </c>
      <c r="E5862" s="501">
        <v>-402177495.06</v>
      </c>
      <c r="F5862" s="502" t="s">
        <v>878</v>
      </c>
      <c r="G5862" s="100">
        <v>115671067</v>
      </c>
      <c r="H5862" s="530"/>
      <c r="I5862" s="422" t="s">
        <v>680</v>
      </c>
      <c r="J5862" s="484"/>
      <c r="K5862" s="548"/>
      <c r="L5862" s="548"/>
      <c r="M5862" s="548"/>
      <c r="N5862" s="552"/>
    </row>
    <row r="5863" spans="1:14">
      <c r="A5863" s="499">
        <v>45681</v>
      </c>
      <c r="B5863" s="499">
        <v>45681</v>
      </c>
      <c r="C5863" s="500" t="s">
        <v>173</v>
      </c>
      <c r="D5863" s="500" t="s">
        <v>763</v>
      </c>
      <c r="E5863" s="501">
        <v>-429239387.57999998</v>
      </c>
      <c r="F5863" s="502" t="s">
        <v>878</v>
      </c>
      <c r="G5863" s="100">
        <v>115671070</v>
      </c>
      <c r="H5863" s="530"/>
      <c r="I5863" s="422" t="s">
        <v>691</v>
      </c>
      <c r="J5863" s="484"/>
      <c r="K5863" s="548"/>
      <c r="L5863" s="548"/>
      <c r="M5863" s="548"/>
      <c r="N5863" s="552"/>
    </row>
    <row r="5864" spans="1:14">
      <c r="A5864" s="499">
        <v>45681</v>
      </c>
      <c r="B5864" s="499">
        <v>45681</v>
      </c>
      <c r="C5864" s="500" t="s">
        <v>173</v>
      </c>
      <c r="D5864" s="500" t="s">
        <v>763</v>
      </c>
      <c r="E5864" s="501">
        <v>-463218924.45999998</v>
      </c>
      <c r="F5864" s="502" t="s">
        <v>878</v>
      </c>
      <c r="G5864" s="100">
        <v>115671073</v>
      </c>
      <c r="H5864" s="530"/>
      <c r="I5864" s="422" t="s">
        <v>600</v>
      </c>
      <c r="J5864" s="484"/>
      <c r="K5864" s="548"/>
      <c r="L5864" s="548"/>
      <c r="M5864" s="548"/>
      <c r="N5864" s="552"/>
    </row>
    <row r="5865" spans="1:14">
      <c r="A5865" s="499">
        <v>45681</v>
      </c>
      <c r="B5865" s="499">
        <v>45681</v>
      </c>
      <c r="C5865" s="500" t="s">
        <v>173</v>
      </c>
      <c r="D5865" s="500" t="s">
        <v>763</v>
      </c>
      <c r="E5865" s="501">
        <v>-567354885.29999995</v>
      </c>
      <c r="F5865" s="502" t="s">
        <v>878</v>
      </c>
      <c r="G5865" s="100">
        <v>115671084</v>
      </c>
      <c r="H5865" s="530"/>
      <c r="I5865" s="422" t="s">
        <v>656</v>
      </c>
      <c r="J5865" s="484"/>
      <c r="K5865" s="548"/>
      <c r="L5865" s="548"/>
      <c r="M5865" s="548"/>
      <c r="N5865" s="552"/>
    </row>
    <row r="5866" spans="1:14">
      <c r="A5866" s="499">
        <v>45681</v>
      </c>
      <c r="B5866" s="499">
        <v>45681</v>
      </c>
      <c r="C5866" s="500" t="s">
        <v>173</v>
      </c>
      <c r="D5866" s="500" t="s">
        <v>763</v>
      </c>
      <c r="E5866" s="501">
        <v>-651627176</v>
      </c>
      <c r="F5866" s="502" t="s">
        <v>878</v>
      </c>
      <c r="G5866" s="100">
        <v>115671087</v>
      </c>
      <c r="H5866" s="530"/>
      <c r="I5866" s="422" t="s">
        <v>684</v>
      </c>
      <c r="J5866" s="484"/>
      <c r="K5866" s="548"/>
      <c r="L5866" s="548"/>
      <c r="M5866" s="548"/>
      <c r="N5866" s="552"/>
    </row>
    <row r="5867" spans="1:14">
      <c r="A5867" s="499">
        <v>45681</v>
      </c>
      <c r="B5867" s="499">
        <v>45681</v>
      </c>
      <c r="C5867" s="500" t="s">
        <v>173</v>
      </c>
      <c r="D5867" s="500" t="s">
        <v>763</v>
      </c>
      <c r="E5867" s="501">
        <v>-988714641.14999998</v>
      </c>
      <c r="F5867" s="502" t="s">
        <v>878</v>
      </c>
      <c r="G5867" s="100">
        <v>115671090</v>
      </c>
      <c r="H5867" s="530"/>
      <c r="I5867" s="422" t="s">
        <v>715</v>
      </c>
      <c r="J5867" s="484"/>
      <c r="K5867" s="548"/>
      <c r="L5867" s="548"/>
      <c r="M5867" s="548"/>
      <c r="N5867" s="552"/>
    </row>
    <row r="5868" spans="1:14">
      <c r="A5868" s="499">
        <v>45681</v>
      </c>
      <c r="B5868" s="499">
        <v>45681</v>
      </c>
      <c r="C5868" s="500" t="s">
        <v>173</v>
      </c>
      <c r="D5868" s="500" t="s">
        <v>763</v>
      </c>
      <c r="E5868" s="501">
        <v>-821437927.14999998</v>
      </c>
      <c r="F5868" s="502" t="s">
        <v>878</v>
      </c>
      <c r="G5868" s="100">
        <v>115671107</v>
      </c>
      <c r="H5868" s="530"/>
      <c r="I5868" s="422" t="s">
        <v>695</v>
      </c>
      <c r="J5868" s="484"/>
      <c r="K5868" s="548"/>
      <c r="L5868" s="548"/>
      <c r="M5868" s="548"/>
      <c r="N5868" s="552"/>
    </row>
    <row r="5869" spans="1:14">
      <c r="A5869" s="499">
        <v>45681</v>
      </c>
      <c r="B5869" s="499">
        <v>45681</v>
      </c>
      <c r="C5869" s="500" t="s">
        <v>173</v>
      </c>
      <c r="D5869" s="500" t="s">
        <v>763</v>
      </c>
      <c r="E5869" s="501">
        <v>-519019795.18000001</v>
      </c>
      <c r="F5869" s="502" t="s">
        <v>878</v>
      </c>
      <c r="G5869" s="100">
        <v>115671110</v>
      </c>
      <c r="H5869" s="530"/>
      <c r="I5869" s="422" t="s">
        <v>596</v>
      </c>
      <c r="J5869" s="484"/>
      <c r="K5869" s="548"/>
      <c r="L5869" s="548"/>
      <c r="M5869" s="548"/>
      <c r="N5869" s="552"/>
    </row>
    <row r="5870" spans="1:14">
      <c r="A5870" s="499">
        <v>45681</v>
      </c>
      <c r="B5870" s="499">
        <v>45681</v>
      </c>
      <c r="C5870" s="500" t="s">
        <v>173</v>
      </c>
      <c r="D5870" s="500" t="s">
        <v>763</v>
      </c>
      <c r="E5870" s="501">
        <v>-23023192.100000001</v>
      </c>
      <c r="F5870" s="502" t="s">
        <v>878</v>
      </c>
      <c r="G5870" s="100">
        <v>115671289</v>
      </c>
      <c r="H5870" s="530"/>
      <c r="I5870" s="422" t="s">
        <v>677</v>
      </c>
      <c r="J5870" s="484"/>
      <c r="K5870" s="548"/>
      <c r="L5870" s="548"/>
      <c r="M5870" s="548"/>
      <c r="N5870" s="552"/>
    </row>
    <row r="5871" spans="1:14">
      <c r="A5871" s="499">
        <v>45681</v>
      </c>
      <c r="B5871" s="499">
        <v>45684</v>
      </c>
      <c r="C5871" s="500" t="s">
        <v>173</v>
      </c>
      <c r="D5871" s="500" t="s">
        <v>763</v>
      </c>
      <c r="E5871" s="501">
        <v>607022028.26999998</v>
      </c>
      <c r="F5871" s="502" t="s">
        <v>878</v>
      </c>
      <c r="G5871" s="100">
        <v>115671056</v>
      </c>
      <c r="H5871" s="484">
        <v>115671056</v>
      </c>
      <c r="I5871" s="422" t="s">
        <v>686</v>
      </c>
      <c r="J5871" s="484"/>
      <c r="K5871" s="548"/>
      <c r="L5871" s="548"/>
      <c r="M5871" s="548"/>
      <c r="N5871" s="552"/>
    </row>
    <row r="5872" spans="1:14">
      <c r="A5872" s="499">
        <v>45681</v>
      </c>
      <c r="B5872" s="499">
        <v>45684</v>
      </c>
      <c r="C5872" s="500" t="s">
        <v>173</v>
      </c>
      <c r="D5872" s="500" t="s">
        <v>763</v>
      </c>
      <c r="E5872" s="501">
        <v>355518642.77999997</v>
      </c>
      <c r="F5872" s="502" t="s">
        <v>878</v>
      </c>
      <c r="G5872" s="100">
        <v>115671064</v>
      </c>
      <c r="H5872" s="484">
        <v>115671064</v>
      </c>
      <c r="I5872" s="422" t="s">
        <v>708</v>
      </c>
      <c r="J5872" s="484"/>
      <c r="K5872" s="548"/>
      <c r="L5872" s="548"/>
      <c r="M5872" s="548"/>
      <c r="N5872" s="552"/>
    </row>
    <row r="5873" spans="1:14">
      <c r="A5873" s="499">
        <v>45681</v>
      </c>
      <c r="B5873" s="499">
        <v>45684</v>
      </c>
      <c r="C5873" s="500" t="s">
        <v>173</v>
      </c>
      <c r="D5873" s="500" t="s">
        <v>763</v>
      </c>
      <c r="E5873" s="501">
        <v>402673330.32999998</v>
      </c>
      <c r="F5873" s="502" t="s">
        <v>878</v>
      </c>
      <c r="G5873" s="100">
        <v>115671067</v>
      </c>
      <c r="H5873" s="484">
        <v>115671067</v>
      </c>
      <c r="I5873" s="422" t="s">
        <v>680</v>
      </c>
      <c r="J5873" s="484"/>
      <c r="K5873" s="548"/>
      <c r="L5873" s="548"/>
      <c r="M5873" s="548"/>
      <c r="N5873" s="552"/>
    </row>
    <row r="5874" spans="1:14">
      <c r="A5874" s="499">
        <v>45681</v>
      </c>
      <c r="B5874" s="499">
        <v>45684</v>
      </c>
      <c r="C5874" s="500" t="s">
        <v>173</v>
      </c>
      <c r="D5874" s="500" t="s">
        <v>763</v>
      </c>
      <c r="E5874" s="501">
        <v>429768586.81999999</v>
      </c>
      <c r="F5874" s="502" t="s">
        <v>878</v>
      </c>
      <c r="G5874" s="100">
        <v>115671070</v>
      </c>
      <c r="H5874" s="484">
        <v>115671070</v>
      </c>
      <c r="I5874" s="422" t="s">
        <v>691</v>
      </c>
      <c r="J5874" s="484"/>
      <c r="K5874" s="548"/>
      <c r="L5874" s="548"/>
      <c r="M5874" s="548"/>
      <c r="N5874" s="552"/>
    </row>
    <row r="5875" spans="1:14">
      <c r="A5875" s="499">
        <v>45681</v>
      </c>
      <c r="B5875" s="499">
        <v>45684</v>
      </c>
      <c r="C5875" s="500" t="s">
        <v>173</v>
      </c>
      <c r="D5875" s="500" t="s">
        <v>763</v>
      </c>
      <c r="E5875" s="501">
        <v>463790016.27999997</v>
      </c>
      <c r="F5875" s="502" t="s">
        <v>878</v>
      </c>
      <c r="G5875" s="100">
        <v>115671073</v>
      </c>
      <c r="H5875" s="484">
        <v>115671073</v>
      </c>
      <c r="I5875" s="422" t="s">
        <v>600</v>
      </c>
      <c r="J5875" s="484"/>
      <c r="K5875" s="548"/>
      <c r="L5875" s="548"/>
      <c r="M5875" s="548"/>
      <c r="N5875" s="552"/>
    </row>
    <row r="5876" spans="1:14">
      <c r="A5876" s="499">
        <v>45681</v>
      </c>
      <c r="B5876" s="499">
        <v>45684</v>
      </c>
      <c r="C5876" s="500" t="s">
        <v>173</v>
      </c>
      <c r="D5876" s="500" t="s">
        <v>763</v>
      </c>
      <c r="E5876" s="501">
        <v>568054363.92999995</v>
      </c>
      <c r="F5876" s="502" t="s">
        <v>878</v>
      </c>
      <c r="G5876" s="100">
        <v>115671084</v>
      </c>
      <c r="H5876" s="484">
        <v>115671084</v>
      </c>
      <c r="I5876" s="422" t="s">
        <v>656</v>
      </c>
      <c r="J5876" s="484"/>
      <c r="K5876" s="548"/>
      <c r="L5876" s="548"/>
      <c r="M5876" s="548"/>
      <c r="N5876" s="552"/>
    </row>
    <row r="5877" spans="1:14">
      <c r="A5877" s="499">
        <v>45681</v>
      </c>
      <c r="B5877" s="499">
        <v>45684</v>
      </c>
      <c r="C5877" s="500" t="s">
        <v>173</v>
      </c>
      <c r="D5877" s="500" t="s">
        <v>763</v>
      </c>
      <c r="E5877" s="501">
        <v>652430551.97000003</v>
      </c>
      <c r="F5877" s="502" t="s">
        <v>878</v>
      </c>
      <c r="G5877" s="100">
        <v>115671087</v>
      </c>
      <c r="H5877" s="484">
        <v>115671087</v>
      </c>
      <c r="I5877" s="422" t="s">
        <v>684</v>
      </c>
      <c r="J5877" s="484"/>
      <c r="K5877" s="548"/>
      <c r="L5877" s="548"/>
      <c r="M5877" s="548"/>
      <c r="N5877" s="552"/>
    </row>
    <row r="5878" spans="1:14">
      <c r="A5878" s="499">
        <v>45681</v>
      </c>
      <c r="B5878" s="499">
        <v>45684</v>
      </c>
      <c r="C5878" s="500" t="s">
        <v>173</v>
      </c>
      <c r="D5878" s="500" t="s">
        <v>763</v>
      </c>
      <c r="E5878" s="501">
        <v>989933604.40999997</v>
      </c>
      <c r="F5878" s="502" t="s">
        <v>878</v>
      </c>
      <c r="G5878" s="100">
        <v>115671090</v>
      </c>
      <c r="H5878" s="484">
        <v>115671090</v>
      </c>
      <c r="I5878" s="422" t="s">
        <v>715</v>
      </c>
      <c r="J5878" s="484"/>
      <c r="K5878" s="548"/>
      <c r="L5878" s="548"/>
      <c r="M5878" s="548"/>
      <c r="N5878" s="552"/>
    </row>
    <row r="5879" spans="1:14">
      <c r="A5879" s="499">
        <v>45681</v>
      </c>
      <c r="B5879" s="499">
        <v>45684</v>
      </c>
      <c r="C5879" s="500" t="s">
        <v>173</v>
      </c>
      <c r="D5879" s="500" t="s">
        <v>763</v>
      </c>
      <c r="E5879" s="501">
        <v>822450658.84000003</v>
      </c>
      <c r="F5879" s="502" t="s">
        <v>878</v>
      </c>
      <c r="G5879" s="100">
        <v>115671107</v>
      </c>
      <c r="H5879" s="484">
        <v>115671107</v>
      </c>
      <c r="I5879" s="422" t="s">
        <v>695</v>
      </c>
      <c r="J5879" s="484"/>
      <c r="K5879" s="548"/>
      <c r="L5879" s="548"/>
      <c r="M5879" s="548"/>
      <c r="N5879" s="552"/>
    </row>
    <row r="5880" spans="1:14">
      <c r="A5880" s="499">
        <v>45681</v>
      </c>
      <c r="B5880" s="499">
        <v>45684</v>
      </c>
      <c r="C5880" s="500" t="s">
        <v>173</v>
      </c>
      <c r="D5880" s="500" t="s">
        <v>763</v>
      </c>
      <c r="E5880" s="501">
        <v>519659682.60000002</v>
      </c>
      <c r="F5880" s="502" t="s">
        <v>878</v>
      </c>
      <c r="G5880" s="100">
        <v>115671110</v>
      </c>
      <c r="H5880" s="484">
        <v>115671110</v>
      </c>
      <c r="I5880" s="422" t="s">
        <v>596</v>
      </c>
      <c r="J5880" s="484"/>
      <c r="K5880" s="548"/>
      <c r="L5880" s="548"/>
      <c r="M5880" s="548"/>
      <c r="N5880" s="552"/>
    </row>
    <row r="5881" spans="1:14">
      <c r="A5881" s="499">
        <v>45681</v>
      </c>
      <c r="B5881" s="499">
        <v>45684</v>
      </c>
      <c r="C5881" s="500" t="s">
        <v>173</v>
      </c>
      <c r="D5881" s="500" t="s">
        <v>763</v>
      </c>
      <c r="E5881" s="501">
        <v>23051349.780000001</v>
      </c>
      <c r="F5881" s="502" t="s">
        <v>878</v>
      </c>
      <c r="G5881" s="100">
        <v>115671289</v>
      </c>
      <c r="H5881" s="484">
        <v>115671289</v>
      </c>
      <c r="I5881" s="422" t="s">
        <v>677</v>
      </c>
      <c r="J5881" s="484"/>
      <c r="K5881" s="548"/>
      <c r="L5881" s="548"/>
      <c r="M5881" s="548"/>
      <c r="N5881" s="552"/>
    </row>
    <row r="5882" spans="1:14">
      <c r="A5882" s="499">
        <v>45684</v>
      </c>
      <c r="B5882" s="499">
        <v>45684</v>
      </c>
      <c r="C5882" s="500" t="s">
        <v>173</v>
      </c>
      <c r="D5882" s="500" t="s">
        <v>761</v>
      </c>
      <c r="E5882" s="501">
        <v>-2629654825.3200002</v>
      </c>
      <c r="F5882" s="502" t="s">
        <v>878</v>
      </c>
      <c r="G5882" s="100">
        <v>115693714</v>
      </c>
      <c r="H5882" s="530"/>
      <c r="I5882" s="422" t="s">
        <v>657</v>
      </c>
      <c r="J5882" s="484"/>
      <c r="K5882" s="548"/>
      <c r="L5882" s="548"/>
      <c r="M5882" s="548"/>
      <c r="N5882" s="552"/>
    </row>
    <row r="5883" spans="1:14">
      <c r="A5883" s="499">
        <v>45684</v>
      </c>
      <c r="B5883" s="499">
        <v>45684</v>
      </c>
      <c r="C5883" s="500" t="s">
        <v>173</v>
      </c>
      <c r="D5883" s="500" t="s">
        <v>761</v>
      </c>
      <c r="E5883" s="501">
        <v>-9003867.1699999999</v>
      </c>
      <c r="F5883" s="502" t="s">
        <v>878</v>
      </c>
      <c r="G5883" s="100">
        <v>115693786</v>
      </c>
      <c r="H5883" s="530"/>
      <c r="I5883" s="422" t="s">
        <v>685</v>
      </c>
      <c r="J5883" s="484"/>
      <c r="K5883" s="548"/>
      <c r="L5883" s="548"/>
      <c r="M5883" s="548"/>
      <c r="N5883" s="552"/>
    </row>
    <row r="5884" spans="1:14">
      <c r="A5884" s="499">
        <v>45684</v>
      </c>
      <c r="B5884" s="499">
        <v>45685</v>
      </c>
      <c r="C5884" s="500" t="s">
        <v>173</v>
      </c>
      <c r="D5884" s="500" t="s">
        <v>761</v>
      </c>
      <c r="E5884" s="501">
        <v>2630731903.1199999</v>
      </c>
      <c r="F5884" s="502" t="s">
        <v>878</v>
      </c>
      <c r="G5884" s="100">
        <v>115693714</v>
      </c>
      <c r="H5884" s="484">
        <v>115693714</v>
      </c>
      <c r="I5884" s="422" t="s">
        <v>657</v>
      </c>
      <c r="J5884" s="484"/>
      <c r="K5884" s="548"/>
      <c r="L5884" s="548"/>
      <c r="M5884" s="548"/>
      <c r="N5884" s="552"/>
    </row>
    <row r="5885" spans="1:14">
      <c r="A5885" s="499">
        <v>45684</v>
      </c>
      <c r="B5885" s="499">
        <v>45685</v>
      </c>
      <c r="C5885" s="500" t="s">
        <v>173</v>
      </c>
      <c r="D5885" s="500" t="s">
        <v>761</v>
      </c>
      <c r="E5885" s="501">
        <v>9007555.0600000005</v>
      </c>
      <c r="F5885" s="502" t="s">
        <v>878</v>
      </c>
      <c r="G5885" s="100">
        <v>115693786</v>
      </c>
      <c r="H5885" s="484">
        <v>115693786</v>
      </c>
      <c r="I5885" s="422" t="s">
        <v>685</v>
      </c>
      <c r="J5885" s="484"/>
      <c r="K5885" s="548"/>
      <c r="L5885" s="548"/>
      <c r="M5885" s="548"/>
      <c r="N5885" s="552"/>
    </row>
    <row r="5886" spans="1:14">
      <c r="A5886" s="499">
        <v>45684</v>
      </c>
      <c r="B5886" s="499">
        <v>45684</v>
      </c>
      <c r="C5886" s="500" t="s">
        <v>173</v>
      </c>
      <c r="D5886" s="500" t="s">
        <v>759</v>
      </c>
      <c r="E5886" s="501">
        <v>-1993254342.48</v>
      </c>
      <c r="F5886" s="502" t="s">
        <v>878</v>
      </c>
      <c r="G5886" s="100">
        <v>115693711</v>
      </c>
      <c r="H5886" s="530"/>
      <c r="I5886" s="422" t="s">
        <v>657</v>
      </c>
      <c r="J5886" s="484"/>
      <c r="K5886" s="548"/>
      <c r="L5886" s="548"/>
      <c r="M5886" s="548"/>
      <c r="N5886" s="552"/>
    </row>
    <row r="5887" spans="1:14">
      <c r="A5887" s="499">
        <v>45684</v>
      </c>
      <c r="B5887" s="499">
        <v>45684</v>
      </c>
      <c r="C5887" s="500" t="s">
        <v>173</v>
      </c>
      <c r="D5887" s="500" t="s">
        <v>759</v>
      </c>
      <c r="E5887" s="501">
        <v>-8003437.4900000002</v>
      </c>
      <c r="F5887" s="502" t="s">
        <v>878</v>
      </c>
      <c r="G5887" s="100">
        <v>115693833</v>
      </c>
      <c r="H5887" s="530"/>
      <c r="I5887" s="422" t="s">
        <v>685</v>
      </c>
      <c r="J5887" s="484"/>
      <c r="K5887" s="548"/>
      <c r="L5887" s="548"/>
      <c r="M5887" s="548"/>
      <c r="N5887" s="552"/>
    </row>
    <row r="5888" spans="1:14">
      <c r="A5888" s="499">
        <v>45684</v>
      </c>
      <c r="B5888" s="499">
        <v>45685</v>
      </c>
      <c r="C5888" s="500" t="s">
        <v>173</v>
      </c>
      <c r="D5888" s="500" t="s">
        <v>759</v>
      </c>
      <c r="E5888" s="501">
        <v>1994070752.1500001</v>
      </c>
      <c r="F5888" s="502" t="s">
        <v>878</v>
      </c>
      <c r="G5888" s="100">
        <v>115693711</v>
      </c>
      <c r="H5888" s="484">
        <v>115693711</v>
      </c>
      <c r="I5888" s="422" t="s">
        <v>657</v>
      </c>
      <c r="J5888" s="484"/>
      <c r="K5888" s="548"/>
      <c r="L5888" s="548"/>
      <c r="M5888" s="548"/>
      <c r="N5888" s="552"/>
    </row>
    <row r="5889" spans="1:14">
      <c r="A5889" s="499">
        <v>45684</v>
      </c>
      <c r="B5889" s="499">
        <v>45685</v>
      </c>
      <c r="C5889" s="500" t="s">
        <v>173</v>
      </c>
      <c r="D5889" s="500" t="s">
        <v>759</v>
      </c>
      <c r="E5889" s="501">
        <v>8006715.6100000003</v>
      </c>
      <c r="F5889" s="502" t="s">
        <v>878</v>
      </c>
      <c r="G5889" s="100">
        <v>115693833</v>
      </c>
      <c r="H5889" s="484">
        <v>115693833</v>
      </c>
      <c r="I5889" s="422" t="s">
        <v>685</v>
      </c>
      <c r="J5889" s="484"/>
      <c r="K5889" s="548"/>
      <c r="L5889" s="548"/>
      <c r="M5889" s="548"/>
      <c r="N5889" s="552"/>
    </row>
    <row r="5890" spans="1:14">
      <c r="A5890" s="499">
        <v>45684</v>
      </c>
      <c r="B5890" s="499">
        <v>45684</v>
      </c>
      <c r="C5890" s="500" t="s">
        <v>173</v>
      </c>
      <c r="D5890" s="500" t="s">
        <v>760</v>
      </c>
      <c r="E5890" s="501">
        <v>-298191051.97000003</v>
      </c>
      <c r="F5890" s="502" t="s">
        <v>878</v>
      </c>
      <c r="G5890" s="100">
        <v>115692964</v>
      </c>
      <c r="H5890" s="530"/>
      <c r="I5890" s="422" t="s">
        <v>682</v>
      </c>
      <c r="J5890" s="484"/>
      <c r="K5890" s="548"/>
      <c r="L5890" s="548"/>
      <c r="M5890" s="548"/>
      <c r="N5890" s="552"/>
    </row>
    <row r="5891" spans="1:14">
      <c r="A5891" s="499">
        <v>45684</v>
      </c>
      <c r="B5891" s="499">
        <v>45684</v>
      </c>
      <c r="C5891" s="500" t="s">
        <v>173</v>
      </c>
      <c r="D5891" s="500" t="s">
        <v>760</v>
      </c>
      <c r="E5891" s="501">
        <v>-167039028.22999999</v>
      </c>
      <c r="F5891" s="502" t="s">
        <v>878</v>
      </c>
      <c r="G5891" s="100">
        <v>115693110</v>
      </c>
      <c r="H5891" s="530"/>
      <c r="I5891" s="422" t="s">
        <v>652</v>
      </c>
      <c r="J5891" s="484"/>
      <c r="K5891" s="548"/>
      <c r="L5891" s="548"/>
      <c r="M5891" s="548"/>
      <c r="N5891" s="552"/>
    </row>
    <row r="5892" spans="1:14">
      <c r="A5892" s="499">
        <v>45684</v>
      </c>
      <c r="B5892" s="499">
        <v>45685</v>
      </c>
      <c r="C5892" s="500" t="s">
        <v>173</v>
      </c>
      <c r="D5892" s="500" t="s">
        <v>760</v>
      </c>
      <c r="E5892" s="501">
        <v>298312780.08999997</v>
      </c>
      <c r="F5892" s="502" t="s">
        <v>878</v>
      </c>
      <c r="G5892" s="100">
        <v>115692964</v>
      </c>
      <c r="H5892" s="100">
        <v>115692964</v>
      </c>
      <c r="I5892" s="422" t="s">
        <v>682</v>
      </c>
      <c r="J5892" s="484"/>
      <c r="K5892" s="548"/>
      <c r="L5892" s="548">
        <v>-1</v>
      </c>
      <c r="M5892" s="548"/>
      <c r="N5892" s="552"/>
    </row>
    <row r="5893" spans="1:14">
      <c r="A5893" s="499">
        <v>45684</v>
      </c>
      <c r="B5893" s="499">
        <v>45685</v>
      </c>
      <c r="C5893" s="500" t="s">
        <v>173</v>
      </c>
      <c r="D5893" s="500" t="s">
        <v>760</v>
      </c>
      <c r="E5893" s="501">
        <v>167107216.75999999</v>
      </c>
      <c r="F5893" s="502" t="s">
        <v>878</v>
      </c>
      <c r="G5893" s="100">
        <v>115693110</v>
      </c>
      <c r="H5893" s="100">
        <v>115693110</v>
      </c>
      <c r="I5893" s="422" t="s">
        <v>652</v>
      </c>
      <c r="J5893" s="484"/>
      <c r="K5893" s="548"/>
      <c r="L5893" s="548"/>
      <c r="M5893" s="548"/>
      <c r="N5893" s="552"/>
    </row>
    <row r="5894" spans="1:14">
      <c r="A5894" s="499">
        <v>45684</v>
      </c>
      <c r="B5894" s="499">
        <v>45684</v>
      </c>
      <c r="C5894" s="500" t="s">
        <v>173</v>
      </c>
      <c r="D5894" s="500" t="s">
        <v>763</v>
      </c>
      <c r="E5894" s="501">
        <v>-1218465690.1199999</v>
      </c>
      <c r="F5894" s="502" t="s">
        <v>878</v>
      </c>
      <c r="G5894" s="100">
        <v>115690756</v>
      </c>
      <c r="H5894" s="530"/>
      <c r="I5894" s="422" t="s">
        <v>686</v>
      </c>
      <c r="J5894" s="484"/>
      <c r="K5894" s="548"/>
      <c r="L5894" s="548"/>
      <c r="M5894" s="548"/>
      <c r="N5894" s="552"/>
    </row>
    <row r="5895" spans="1:14">
      <c r="A5895" s="499">
        <v>45684</v>
      </c>
      <c r="B5895" s="499">
        <v>45684</v>
      </c>
      <c r="C5895" s="500" t="s">
        <v>173</v>
      </c>
      <c r="D5895" s="500" t="s">
        <v>763</v>
      </c>
      <c r="E5895" s="501">
        <v>-4329011462.2600002</v>
      </c>
      <c r="F5895" s="502" t="s">
        <v>878</v>
      </c>
      <c r="G5895" s="100">
        <v>115690759</v>
      </c>
      <c r="H5895" s="530"/>
      <c r="I5895" s="422" t="s">
        <v>652</v>
      </c>
      <c r="J5895" s="484"/>
      <c r="K5895" s="548"/>
      <c r="L5895" s="548"/>
      <c r="M5895" s="548"/>
      <c r="N5895" s="552"/>
    </row>
    <row r="5896" spans="1:14">
      <c r="A5896" s="499">
        <v>45684</v>
      </c>
      <c r="B5896" s="499">
        <v>45684</v>
      </c>
      <c r="C5896" s="500" t="s">
        <v>173</v>
      </c>
      <c r="D5896" s="500" t="s">
        <v>763</v>
      </c>
      <c r="E5896" s="501">
        <v>-262016207.31999999</v>
      </c>
      <c r="F5896" s="502" t="s">
        <v>878</v>
      </c>
      <c r="G5896" s="100">
        <v>115690762</v>
      </c>
      <c r="H5896" s="530"/>
      <c r="I5896" s="422" t="s">
        <v>1018</v>
      </c>
      <c r="J5896" s="484"/>
      <c r="K5896" s="548"/>
      <c r="L5896" s="548"/>
      <c r="M5896" s="548"/>
      <c r="N5896" s="552"/>
    </row>
    <row r="5897" spans="1:14">
      <c r="A5897" s="499">
        <v>45684</v>
      </c>
      <c r="B5897" s="499">
        <v>45684</v>
      </c>
      <c r="C5897" s="500" t="s">
        <v>173</v>
      </c>
      <c r="D5897" s="500" t="s">
        <v>763</v>
      </c>
      <c r="E5897" s="501">
        <v>-24001484.640000001</v>
      </c>
      <c r="F5897" s="502" t="s">
        <v>878</v>
      </c>
      <c r="G5897" s="100">
        <v>115690796</v>
      </c>
      <c r="H5897" s="530"/>
      <c r="I5897" s="422" t="s">
        <v>1018</v>
      </c>
      <c r="J5897" s="484"/>
      <c r="K5897" s="548"/>
      <c r="L5897" s="548"/>
      <c r="M5897" s="548"/>
      <c r="N5897" s="552"/>
    </row>
    <row r="5898" spans="1:14">
      <c r="A5898" s="499">
        <v>45684</v>
      </c>
      <c r="B5898" s="499">
        <v>45684</v>
      </c>
      <c r="C5898" s="500" t="s">
        <v>173</v>
      </c>
      <c r="D5898" s="500" t="s">
        <v>763</v>
      </c>
      <c r="E5898" s="501">
        <v>-1000061.86</v>
      </c>
      <c r="F5898" s="502" t="s">
        <v>878</v>
      </c>
      <c r="G5898" s="100">
        <v>115690843</v>
      </c>
      <c r="H5898" s="530"/>
      <c r="I5898" s="422" t="s">
        <v>1018</v>
      </c>
      <c r="J5898" s="484"/>
      <c r="K5898" s="548"/>
      <c r="L5898" s="548"/>
      <c r="M5898" s="548"/>
      <c r="N5898" s="552"/>
    </row>
    <row r="5899" spans="1:14">
      <c r="A5899" s="499">
        <v>45684</v>
      </c>
      <c r="B5899" s="499">
        <v>45685</v>
      </c>
      <c r="C5899" s="500" t="s">
        <v>173</v>
      </c>
      <c r="D5899" s="500" t="s">
        <v>763</v>
      </c>
      <c r="E5899" s="501">
        <v>1218963425.01</v>
      </c>
      <c r="F5899" s="502" t="s">
        <v>878</v>
      </c>
      <c r="G5899" s="100">
        <v>115690756</v>
      </c>
      <c r="H5899" s="100">
        <v>115690756</v>
      </c>
      <c r="I5899" s="422" t="s">
        <v>686</v>
      </c>
      <c r="J5899" s="484"/>
      <c r="K5899" s="548"/>
      <c r="L5899" s="548"/>
      <c r="M5899" s="548"/>
      <c r="N5899" s="552"/>
    </row>
    <row r="5900" spans="1:14">
      <c r="A5900" s="499">
        <v>45684</v>
      </c>
      <c r="B5900" s="499">
        <v>45685</v>
      </c>
      <c r="C5900" s="500" t="s">
        <v>173</v>
      </c>
      <c r="D5900" s="500" t="s">
        <v>763</v>
      </c>
      <c r="E5900" s="501">
        <v>4330778659.6199999</v>
      </c>
      <c r="F5900" s="502" t="s">
        <v>878</v>
      </c>
      <c r="G5900" s="100">
        <v>115690759</v>
      </c>
      <c r="H5900" s="100">
        <v>115690759</v>
      </c>
      <c r="I5900" s="422" t="s">
        <v>652</v>
      </c>
      <c r="J5900" s="484"/>
      <c r="K5900" s="548"/>
      <c r="L5900" s="548"/>
      <c r="M5900" s="548"/>
      <c r="N5900" s="552"/>
    </row>
    <row r="5901" spans="1:14">
      <c r="A5901" s="499">
        <v>45684</v>
      </c>
      <c r="B5901" s="499">
        <v>45685</v>
      </c>
      <c r="C5901" s="500" t="s">
        <v>173</v>
      </c>
      <c r="D5901" s="500" t="s">
        <v>763</v>
      </c>
      <c r="E5901" s="501">
        <v>262123168.08000001</v>
      </c>
      <c r="F5901" s="502" t="s">
        <v>878</v>
      </c>
      <c r="G5901" s="100">
        <v>115690762</v>
      </c>
      <c r="H5901" s="100">
        <v>115690762</v>
      </c>
      <c r="I5901" s="422" t="s">
        <v>1018</v>
      </c>
      <c r="J5901" s="484"/>
      <c r="K5901" s="548"/>
      <c r="L5901" s="548"/>
      <c r="M5901" s="548"/>
      <c r="N5901" s="552"/>
    </row>
    <row r="5902" spans="1:14">
      <c r="A5902" s="499">
        <v>45684</v>
      </c>
      <c r="B5902" s="499">
        <v>45685</v>
      </c>
      <c r="C5902" s="500" t="s">
        <v>173</v>
      </c>
      <c r="D5902" s="500" t="s">
        <v>763</v>
      </c>
      <c r="E5902" s="501">
        <v>24011282.57</v>
      </c>
      <c r="F5902" s="502" t="s">
        <v>878</v>
      </c>
      <c r="G5902" s="100">
        <v>115690796</v>
      </c>
      <c r="H5902" s="100">
        <v>115690796</v>
      </c>
      <c r="I5902" s="422" t="s">
        <v>1018</v>
      </c>
      <c r="J5902" s="484"/>
      <c r="K5902" s="548"/>
      <c r="L5902" s="548"/>
      <c r="M5902" s="548"/>
      <c r="N5902" s="552"/>
    </row>
    <row r="5903" spans="1:14">
      <c r="A5903" s="499">
        <v>45684</v>
      </c>
      <c r="B5903" s="499">
        <v>45685</v>
      </c>
      <c r="C5903" s="500" t="s">
        <v>173</v>
      </c>
      <c r="D5903" s="500" t="s">
        <v>763</v>
      </c>
      <c r="E5903" s="501">
        <v>1000470.11</v>
      </c>
      <c r="F5903" s="502" t="s">
        <v>878</v>
      </c>
      <c r="G5903" s="100">
        <v>115690843</v>
      </c>
      <c r="H5903" s="100">
        <v>115690843</v>
      </c>
      <c r="I5903" s="422" t="s">
        <v>1018</v>
      </c>
      <c r="J5903" s="484"/>
      <c r="K5903" s="548"/>
      <c r="L5903" s="548"/>
      <c r="M5903" s="548"/>
      <c r="N5903" s="552"/>
    </row>
    <row r="5904" spans="1:14">
      <c r="A5904" s="499">
        <v>45685</v>
      </c>
      <c r="B5904" s="499">
        <v>45685</v>
      </c>
      <c r="C5904" s="500" t="s">
        <v>173</v>
      </c>
      <c r="D5904" s="500" t="s">
        <v>762</v>
      </c>
      <c r="E5904" s="501">
        <v>-19005367.5</v>
      </c>
      <c r="F5904" s="502" t="s">
        <v>878</v>
      </c>
      <c r="G5904" s="100">
        <v>115718039</v>
      </c>
      <c r="H5904" s="530"/>
      <c r="I5904" s="422" t="s">
        <v>695</v>
      </c>
      <c r="J5904" s="484"/>
      <c r="K5904" s="548"/>
      <c r="L5904" s="548"/>
      <c r="M5904" s="548"/>
      <c r="N5904" s="552"/>
    </row>
    <row r="5905" spans="1:25">
      <c r="A5905" s="499">
        <v>45685</v>
      </c>
      <c r="B5905" s="499">
        <v>45685</v>
      </c>
      <c r="C5905" s="500" t="s">
        <v>173</v>
      </c>
      <c r="D5905" s="500" t="s">
        <v>762</v>
      </c>
      <c r="E5905" s="501">
        <v>-4662891213.1199999</v>
      </c>
      <c r="F5905" s="502" t="s">
        <v>878</v>
      </c>
      <c r="G5905" s="100">
        <v>115717640</v>
      </c>
      <c r="H5905" s="530"/>
      <c r="I5905" s="422" t="s">
        <v>670</v>
      </c>
      <c r="J5905" s="484"/>
      <c r="K5905" s="548"/>
      <c r="L5905" s="548"/>
      <c r="M5905" s="548"/>
      <c r="N5905" s="552"/>
    </row>
    <row r="5906" spans="1:25">
      <c r="A5906" s="499">
        <v>45685</v>
      </c>
      <c r="B5906" s="499">
        <v>45685</v>
      </c>
      <c r="C5906" s="500" t="s">
        <v>173</v>
      </c>
      <c r="D5906" s="500" t="s">
        <v>762</v>
      </c>
      <c r="E5906" s="501">
        <v>-33002310.530000001</v>
      </c>
      <c r="F5906" s="502" t="s">
        <v>878</v>
      </c>
      <c r="G5906" s="100">
        <v>115717637</v>
      </c>
      <c r="H5906" s="530"/>
      <c r="I5906" s="422" t="s">
        <v>633</v>
      </c>
      <c r="J5906" s="484"/>
      <c r="K5906" s="548"/>
      <c r="L5906" s="548"/>
      <c r="M5906" s="548"/>
      <c r="N5906" s="552"/>
    </row>
    <row r="5907" spans="1:25">
      <c r="A5907" s="499">
        <v>45685</v>
      </c>
      <c r="B5907" s="499">
        <v>45686</v>
      </c>
      <c r="C5907" s="500" t="s">
        <v>173</v>
      </c>
      <c r="D5907" s="500" t="s">
        <v>762</v>
      </c>
      <c r="E5907" s="501">
        <v>19013164.91</v>
      </c>
      <c r="F5907" s="502" t="s">
        <v>878</v>
      </c>
      <c r="G5907" s="100">
        <v>115718039</v>
      </c>
      <c r="H5907" s="484">
        <v>115718039</v>
      </c>
      <c r="I5907" s="422" t="s">
        <v>695</v>
      </c>
      <c r="J5907" s="484"/>
      <c r="K5907" s="548"/>
      <c r="L5907" s="548"/>
      <c r="M5907" s="548"/>
      <c r="N5907" s="552"/>
    </row>
    <row r="5908" spans="1:25">
      <c r="A5908" s="499">
        <v>45685</v>
      </c>
      <c r="B5908" s="499">
        <v>45686</v>
      </c>
      <c r="C5908" s="500" t="s">
        <v>173</v>
      </c>
      <c r="D5908" s="500" t="s">
        <v>762</v>
      </c>
      <c r="E5908" s="501">
        <v>4664807469.7799997</v>
      </c>
      <c r="F5908" s="502" t="s">
        <v>878</v>
      </c>
      <c r="G5908" s="100">
        <v>115717640</v>
      </c>
      <c r="H5908" s="484">
        <v>115717640</v>
      </c>
      <c r="I5908" s="422" t="s">
        <v>670</v>
      </c>
      <c r="J5908" s="484"/>
      <c r="K5908" s="548"/>
      <c r="L5908" s="548"/>
      <c r="M5908" s="548"/>
      <c r="N5908" s="552"/>
    </row>
    <row r="5909" spans="1:25">
      <c r="A5909" s="499">
        <v>45685</v>
      </c>
      <c r="B5909" s="499">
        <v>45686</v>
      </c>
      <c r="C5909" s="500" t="s">
        <v>173</v>
      </c>
      <c r="D5909" s="500" t="s">
        <v>762</v>
      </c>
      <c r="E5909" s="501">
        <v>33015873.120000001</v>
      </c>
      <c r="F5909" s="502" t="s">
        <v>878</v>
      </c>
      <c r="G5909" s="100">
        <v>115717637</v>
      </c>
      <c r="H5909" s="484">
        <v>115717637</v>
      </c>
      <c r="I5909" s="422" t="s">
        <v>633</v>
      </c>
      <c r="J5909" s="484"/>
      <c r="K5909" s="548"/>
      <c r="L5909" s="548"/>
      <c r="M5909" s="548"/>
      <c r="N5909" s="552"/>
    </row>
    <row r="5910" spans="1:25">
      <c r="A5910" s="499">
        <v>45685</v>
      </c>
      <c r="B5910" s="499">
        <v>45685</v>
      </c>
      <c r="C5910" s="500" t="s">
        <v>173</v>
      </c>
      <c r="D5910" s="500" t="s">
        <v>762</v>
      </c>
      <c r="E5910" s="501">
        <v>51157500</v>
      </c>
      <c r="F5910" s="502" t="s">
        <v>912</v>
      </c>
      <c r="G5910" s="100" t="s">
        <v>1027</v>
      </c>
      <c r="H5910" s="530"/>
      <c r="I5910" s="422" t="s">
        <v>1027</v>
      </c>
      <c r="J5910" s="484"/>
      <c r="K5910" s="548"/>
      <c r="L5910" s="548"/>
      <c r="M5910" s="548"/>
      <c r="N5910" s="552"/>
      <c r="W5910" s="550">
        <f>VLOOKUP(G5910,Справочник!A:C,3,0)</f>
        <v>0.1389</v>
      </c>
      <c r="X5910" s="539" t="str">
        <f>VLOOKUP(G5910,Справочник!A:G,7,0)</f>
        <v>АО "Национальный управляющий холдинг "Байтерек"</v>
      </c>
      <c r="Y5910" s="551">
        <f>VLOOKUP(G5910,Справочник!A:B,2,0)</f>
        <v>46109</v>
      </c>
    </row>
    <row r="5911" spans="1:25">
      <c r="A5911" s="499">
        <v>45685</v>
      </c>
      <c r="B5911" s="499">
        <v>45685</v>
      </c>
      <c r="C5911" s="500" t="s">
        <v>173</v>
      </c>
      <c r="D5911" s="500" t="s">
        <v>761</v>
      </c>
      <c r="E5911" s="501">
        <v>-2630818805.3000002</v>
      </c>
      <c r="F5911" s="502" t="s">
        <v>878</v>
      </c>
      <c r="G5911" s="100">
        <v>115715741</v>
      </c>
      <c r="H5911" s="530"/>
      <c r="I5911" s="422" t="s">
        <v>685</v>
      </c>
      <c r="J5911" s="484"/>
      <c r="K5911" s="548"/>
      <c r="L5911" s="548"/>
      <c r="M5911" s="548"/>
      <c r="N5911" s="552"/>
    </row>
    <row r="5912" spans="1:25">
      <c r="A5912" s="499">
        <v>45685</v>
      </c>
      <c r="B5912" s="499">
        <v>45685</v>
      </c>
      <c r="C5912" s="500" t="s">
        <v>173</v>
      </c>
      <c r="D5912" s="500" t="s">
        <v>761</v>
      </c>
      <c r="E5912" s="501">
        <v>-9003459.4199999999</v>
      </c>
      <c r="F5912" s="502" t="s">
        <v>878</v>
      </c>
      <c r="G5912" s="100">
        <v>115715866</v>
      </c>
      <c r="H5912" s="530"/>
      <c r="I5912" s="422" t="s">
        <v>693</v>
      </c>
      <c r="J5912" s="484"/>
      <c r="K5912" s="548"/>
      <c r="L5912" s="548"/>
      <c r="M5912" s="548"/>
      <c r="N5912" s="552"/>
    </row>
    <row r="5913" spans="1:25">
      <c r="A5913" s="499">
        <v>45685</v>
      </c>
      <c r="B5913" s="499">
        <v>45686</v>
      </c>
      <c r="C5913" s="500" t="s">
        <v>173</v>
      </c>
      <c r="D5913" s="500" t="s">
        <v>761</v>
      </c>
      <c r="E5913" s="501">
        <v>2631899963.71</v>
      </c>
      <c r="F5913" s="502" t="s">
        <v>878</v>
      </c>
      <c r="G5913" s="100">
        <v>115715741</v>
      </c>
      <c r="H5913" s="484">
        <v>115715741</v>
      </c>
      <c r="I5913" s="422" t="s">
        <v>685</v>
      </c>
      <c r="J5913" s="484"/>
      <c r="K5913" s="548"/>
      <c r="L5913" s="548"/>
      <c r="M5913" s="548"/>
      <c r="N5913" s="552"/>
    </row>
    <row r="5914" spans="1:25">
      <c r="A5914" s="499">
        <v>45685</v>
      </c>
      <c r="B5914" s="499">
        <v>45686</v>
      </c>
      <c r="C5914" s="500" t="s">
        <v>173</v>
      </c>
      <c r="D5914" s="500" t="s">
        <v>761</v>
      </c>
      <c r="E5914" s="501">
        <v>9007159.4700000007</v>
      </c>
      <c r="F5914" s="502" t="s">
        <v>878</v>
      </c>
      <c r="G5914" s="100">
        <v>115715866</v>
      </c>
      <c r="H5914" s="484">
        <v>115715866</v>
      </c>
      <c r="I5914" s="422" t="s">
        <v>693</v>
      </c>
      <c r="J5914" s="484"/>
      <c r="K5914" s="548"/>
      <c r="L5914" s="548"/>
      <c r="M5914" s="548"/>
      <c r="N5914" s="552"/>
    </row>
    <row r="5915" spans="1:25">
      <c r="A5915" s="499">
        <v>45685</v>
      </c>
      <c r="B5915" s="499">
        <v>45685</v>
      </c>
      <c r="C5915" s="500" t="s">
        <v>173</v>
      </c>
      <c r="D5915" s="500" t="s">
        <v>759</v>
      </c>
      <c r="E5915" s="501">
        <v>-1000092.24</v>
      </c>
      <c r="F5915" s="502" t="s">
        <v>878</v>
      </c>
      <c r="G5915" s="100">
        <v>115717814</v>
      </c>
      <c r="H5915" s="530"/>
      <c r="I5915" s="422" t="s">
        <v>592</v>
      </c>
      <c r="J5915" s="484"/>
      <c r="K5915" s="548"/>
      <c r="L5915" s="548"/>
      <c r="M5915" s="548"/>
      <c r="N5915" s="552"/>
    </row>
    <row r="5916" spans="1:25">
      <c r="A5916" s="499">
        <v>45685</v>
      </c>
      <c r="B5916" s="499">
        <v>45685</v>
      </c>
      <c r="C5916" s="500" t="s">
        <v>173</v>
      </c>
      <c r="D5916" s="500" t="s">
        <v>759</v>
      </c>
      <c r="E5916" s="501">
        <v>-48040410.43</v>
      </c>
      <c r="F5916" s="502" t="s">
        <v>878</v>
      </c>
      <c r="G5916" s="100">
        <v>115717817</v>
      </c>
      <c r="H5916" s="530"/>
      <c r="I5916" s="422" t="s">
        <v>588</v>
      </c>
      <c r="J5916" s="484"/>
      <c r="K5916" s="548"/>
      <c r="L5916" s="548"/>
      <c r="M5916" s="548"/>
      <c r="N5916" s="552"/>
    </row>
    <row r="5917" spans="1:25">
      <c r="A5917" s="499">
        <v>45685</v>
      </c>
      <c r="B5917" s="499">
        <v>45685</v>
      </c>
      <c r="C5917" s="500" t="s">
        <v>173</v>
      </c>
      <c r="D5917" s="500" t="s">
        <v>759</v>
      </c>
      <c r="E5917" s="501">
        <v>-5000105.5999999996</v>
      </c>
      <c r="F5917" s="502" t="s">
        <v>878</v>
      </c>
      <c r="G5917" s="100">
        <v>115717820</v>
      </c>
      <c r="H5917" s="530"/>
      <c r="I5917" s="422" t="s">
        <v>600</v>
      </c>
      <c r="J5917" s="484"/>
      <c r="K5917" s="548"/>
      <c r="L5917" s="548"/>
      <c r="M5917" s="548"/>
      <c r="N5917" s="552"/>
    </row>
    <row r="5918" spans="1:25">
      <c r="A5918" s="499">
        <v>45685</v>
      </c>
      <c r="B5918" s="499">
        <v>45685</v>
      </c>
      <c r="C5918" s="500" t="s">
        <v>173</v>
      </c>
      <c r="D5918" s="500" t="s">
        <v>759</v>
      </c>
      <c r="E5918" s="501">
        <v>-152041466.81999999</v>
      </c>
      <c r="F5918" s="502" t="s">
        <v>878</v>
      </c>
      <c r="G5918" s="100">
        <v>115720328</v>
      </c>
      <c r="H5918" s="530"/>
      <c r="I5918" s="422" t="s">
        <v>721</v>
      </c>
      <c r="J5918" s="484"/>
      <c r="K5918" s="548"/>
      <c r="L5918" s="548"/>
      <c r="M5918" s="548"/>
      <c r="N5918" s="552"/>
    </row>
    <row r="5919" spans="1:25">
      <c r="A5919" s="499">
        <v>45685</v>
      </c>
      <c r="B5919" s="499">
        <v>45685</v>
      </c>
      <c r="C5919" s="500" t="s">
        <v>173</v>
      </c>
      <c r="D5919" s="500" t="s">
        <v>759</v>
      </c>
      <c r="E5919" s="501">
        <v>-301271914.97000003</v>
      </c>
      <c r="F5919" s="502" t="s">
        <v>878</v>
      </c>
      <c r="G5919" s="100">
        <v>115720331</v>
      </c>
      <c r="H5919" s="530"/>
      <c r="I5919" s="422" t="s">
        <v>678</v>
      </c>
      <c r="J5919" s="484"/>
      <c r="K5919" s="548"/>
      <c r="L5919" s="548"/>
      <c r="M5919" s="548"/>
      <c r="N5919" s="552"/>
    </row>
    <row r="5920" spans="1:25">
      <c r="A5920" s="499">
        <v>45685</v>
      </c>
      <c r="B5920" s="499">
        <v>45685</v>
      </c>
      <c r="C5920" s="500" t="s">
        <v>173</v>
      </c>
      <c r="D5920" s="500" t="s">
        <v>759</v>
      </c>
      <c r="E5920" s="501">
        <v>-790307144.10000002</v>
      </c>
      <c r="F5920" s="502" t="s">
        <v>878</v>
      </c>
      <c r="G5920" s="100">
        <v>115723598</v>
      </c>
      <c r="H5920" s="530"/>
      <c r="I5920" s="422" t="s">
        <v>717</v>
      </c>
      <c r="J5920" s="484"/>
      <c r="K5920" s="548"/>
      <c r="L5920" s="548"/>
      <c r="M5920" s="548"/>
      <c r="N5920" s="552"/>
    </row>
    <row r="5921" spans="1:14">
      <c r="A5921" s="499">
        <v>45685</v>
      </c>
      <c r="B5921" s="499">
        <v>45685</v>
      </c>
      <c r="C5921" s="500" t="s">
        <v>173</v>
      </c>
      <c r="D5921" s="500" t="s">
        <v>759</v>
      </c>
      <c r="E5921" s="501">
        <v>-696143243.75999999</v>
      </c>
      <c r="F5921" s="502" t="s">
        <v>878</v>
      </c>
      <c r="G5921" s="100">
        <v>115723637</v>
      </c>
      <c r="H5921" s="530"/>
      <c r="I5921" s="422" t="s">
        <v>686</v>
      </c>
      <c r="J5921" s="484"/>
      <c r="K5921" s="548"/>
      <c r="L5921" s="548"/>
      <c r="M5921" s="548"/>
      <c r="N5921" s="552"/>
    </row>
    <row r="5922" spans="1:14">
      <c r="A5922" s="499">
        <v>45685</v>
      </c>
      <c r="B5922" s="499">
        <v>45685</v>
      </c>
      <c r="C5922" s="500" t="s">
        <v>173</v>
      </c>
      <c r="D5922" s="500" t="s">
        <v>759</v>
      </c>
      <c r="E5922" s="501">
        <v>-8003132.2599999998</v>
      </c>
      <c r="F5922" s="502" t="s">
        <v>878</v>
      </c>
      <c r="G5922" s="100">
        <v>115723936</v>
      </c>
      <c r="H5922" s="530"/>
      <c r="I5922" s="422" t="s">
        <v>684</v>
      </c>
      <c r="J5922" s="484"/>
      <c r="K5922" s="548"/>
      <c r="L5922" s="548"/>
      <c r="M5922" s="548"/>
      <c r="N5922" s="552"/>
    </row>
    <row r="5923" spans="1:14">
      <c r="A5923" s="499">
        <v>45685</v>
      </c>
      <c r="B5923" s="499">
        <v>45686</v>
      </c>
      <c r="C5923" s="500" t="s">
        <v>173</v>
      </c>
      <c r="D5923" s="500" t="s">
        <v>759</v>
      </c>
      <c r="E5923" s="501">
        <v>1000505.97</v>
      </c>
      <c r="F5923" s="502" t="s">
        <v>878</v>
      </c>
      <c r="G5923" s="100">
        <v>115717814</v>
      </c>
      <c r="H5923" s="484">
        <v>115717814</v>
      </c>
      <c r="I5923" s="422" t="s">
        <v>592</v>
      </c>
      <c r="J5923" s="484"/>
      <c r="K5923" s="548"/>
      <c r="L5923" s="548"/>
      <c r="M5923" s="548"/>
      <c r="N5923" s="552"/>
    </row>
    <row r="5924" spans="1:14">
      <c r="A5924" s="499">
        <v>45685</v>
      </c>
      <c r="B5924" s="499">
        <v>45686</v>
      </c>
      <c r="C5924" s="500" t="s">
        <v>173</v>
      </c>
      <c r="D5924" s="500" t="s">
        <v>759</v>
      </c>
      <c r="E5924" s="501">
        <v>48060284.420000002</v>
      </c>
      <c r="F5924" s="502" t="s">
        <v>878</v>
      </c>
      <c r="G5924" s="100">
        <v>115717817</v>
      </c>
      <c r="H5924" s="484">
        <v>115717817</v>
      </c>
      <c r="I5924" s="422" t="s">
        <v>588</v>
      </c>
      <c r="J5924" s="484"/>
      <c r="K5924" s="548"/>
      <c r="L5924" s="548"/>
      <c r="M5924" s="548"/>
      <c r="N5924" s="552"/>
    </row>
    <row r="5925" spans="1:14">
      <c r="A5925" s="499">
        <v>45685</v>
      </c>
      <c r="B5925" s="499">
        <v>45686</v>
      </c>
      <c r="C5925" s="500" t="s">
        <v>173</v>
      </c>
      <c r="D5925" s="500" t="s">
        <v>759</v>
      </c>
      <c r="E5925" s="501">
        <v>5002174.1100000003</v>
      </c>
      <c r="F5925" s="502" t="s">
        <v>878</v>
      </c>
      <c r="G5925" s="100">
        <v>115717820</v>
      </c>
      <c r="H5925" s="484">
        <v>115717820</v>
      </c>
      <c r="I5925" s="422" t="s">
        <v>600</v>
      </c>
      <c r="J5925" s="484"/>
      <c r="K5925" s="548"/>
      <c r="L5925" s="548"/>
      <c r="M5925" s="548"/>
      <c r="N5925" s="552"/>
    </row>
    <row r="5926" spans="1:14">
      <c r="A5926" s="499">
        <v>45685</v>
      </c>
      <c r="B5926" s="499">
        <v>45686</v>
      </c>
      <c r="C5926" s="500" t="s">
        <v>173</v>
      </c>
      <c r="D5926" s="500" t="s">
        <v>759</v>
      </c>
      <c r="E5926" s="501">
        <v>152103574.72</v>
      </c>
      <c r="F5926" s="502" t="s">
        <v>878</v>
      </c>
      <c r="G5926" s="100">
        <v>115720328</v>
      </c>
      <c r="H5926" s="484">
        <v>115720328</v>
      </c>
      <c r="I5926" s="422" t="s">
        <v>721</v>
      </c>
      <c r="J5926" s="484"/>
      <c r="K5926" s="548"/>
      <c r="L5926" s="548"/>
      <c r="M5926" s="548"/>
      <c r="N5926" s="552"/>
    </row>
    <row r="5927" spans="1:14">
      <c r="A5927" s="499">
        <v>45685</v>
      </c>
      <c r="B5927" s="499">
        <v>45686</v>
      </c>
      <c r="C5927" s="500" t="s">
        <v>173</v>
      </c>
      <c r="D5927" s="500" t="s">
        <v>759</v>
      </c>
      <c r="E5927" s="501">
        <v>301394982.48000002</v>
      </c>
      <c r="F5927" s="502" t="s">
        <v>878</v>
      </c>
      <c r="G5927" s="100">
        <v>115720331</v>
      </c>
      <c r="H5927" s="484">
        <v>115720331</v>
      </c>
      <c r="I5927" s="422" t="s">
        <v>678</v>
      </c>
      <c r="J5927" s="484"/>
      <c r="K5927" s="548"/>
      <c r="L5927" s="548"/>
      <c r="M5927" s="548"/>
      <c r="N5927" s="552"/>
    </row>
    <row r="5928" spans="1:14">
      <c r="A5928" s="499">
        <v>45685</v>
      </c>
      <c r="B5928" s="499">
        <v>45686</v>
      </c>
      <c r="C5928" s="500" t="s">
        <v>173</v>
      </c>
      <c r="D5928" s="500" t="s">
        <v>759</v>
      </c>
      <c r="E5928" s="501">
        <v>790620019.12</v>
      </c>
      <c r="F5928" s="502" t="s">
        <v>878</v>
      </c>
      <c r="G5928" s="100">
        <v>115723598</v>
      </c>
      <c r="H5928" s="484">
        <v>115723598</v>
      </c>
      <c r="I5928" s="422" t="s">
        <v>717</v>
      </c>
      <c r="J5928" s="484"/>
      <c r="K5928" s="548"/>
      <c r="L5928" s="548"/>
      <c r="M5928" s="548"/>
      <c r="N5928" s="552"/>
    </row>
    <row r="5929" spans="1:14">
      <c r="A5929" s="499">
        <v>45685</v>
      </c>
      <c r="B5929" s="499">
        <v>45686</v>
      </c>
      <c r="C5929" s="500" t="s">
        <v>173</v>
      </c>
      <c r="D5929" s="500" t="s">
        <v>759</v>
      </c>
      <c r="E5929" s="501">
        <v>696418840.19000006</v>
      </c>
      <c r="F5929" s="502" t="s">
        <v>878</v>
      </c>
      <c r="G5929" s="100">
        <v>115723637</v>
      </c>
      <c r="H5929" s="484">
        <v>115723637</v>
      </c>
      <c r="I5929" s="422" t="s">
        <v>686</v>
      </c>
      <c r="J5929" s="484"/>
      <c r="K5929" s="548"/>
      <c r="L5929" s="548"/>
      <c r="M5929" s="548"/>
      <c r="N5929" s="552"/>
    </row>
    <row r="5930" spans="1:14">
      <c r="A5930" s="499">
        <v>45685</v>
      </c>
      <c r="B5930" s="499">
        <v>45686</v>
      </c>
      <c r="C5930" s="500" t="s">
        <v>173</v>
      </c>
      <c r="D5930" s="500" t="s">
        <v>759</v>
      </c>
      <c r="E5930" s="501">
        <v>8006237.04</v>
      </c>
      <c r="F5930" s="502" t="s">
        <v>878</v>
      </c>
      <c r="G5930" s="100">
        <v>115723936</v>
      </c>
      <c r="H5930" s="484">
        <v>115723936</v>
      </c>
      <c r="I5930" s="422" t="s">
        <v>684</v>
      </c>
      <c r="J5930" s="484"/>
      <c r="K5930" s="548"/>
      <c r="L5930" s="548"/>
      <c r="M5930" s="548"/>
      <c r="N5930" s="552"/>
    </row>
    <row r="5931" spans="1:14">
      <c r="A5931" s="499">
        <v>45685</v>
      </c>
      <c r="B5931" s="499">
        <v>45685</v>
      </c>
      <c r="C5931" s="500" t="s">
        <v>173</v>
      </c>
      <c r="D5931" s="500" t="s">
        <v>760</v>
      </c>
      <c r="E5931" s="501">
        <v>-298144324.07999998</v>
      </c>
      <c r="F5931" s="502" t="s">
        <v>878</v>
      </c>
      <c r="G5931" s="100">
        <v>115715606</v>
      </c>
      <c r="H5931" s="530"/>
      <c r="I5931" s="422" t="s">
        <v>657</v>
      </c>
      <c r="J5931" s="484"/>
      <c r="K5931" s="548"/>
      <c r="L5931" s="548"/>
      <c r="M5931" s="548"/>
      <c r="N5931" s="552"/>
    </row>
    <row r="5932" spans="1:14">
      <c r="A5932" s="499">
        <v>45685</v>
      </c>
      <c r="B5932" s="499">
        <v>45685</v>
      </c>
      <c r="C5932" s="500" t="s">
        <v>173</v>
      </c>
      <c r="D5932" s="500" t="s">
        <v>760</v>
      </c>
      <c r="E5932" s="501">
        <v>-166051503.99000001</v>
      </c>
      <c r="F5932" s="502" t="s">
        <v>878</v>
      </c>
      <c r="G5932" s="100">
        <v>115716910</v>
      </c>
      <c r="H5932" s="530"/>
      <c r="I5932" s="422" t="s">
        <v>714</v>
      </c>
      <c r="J5932" s="484"/>
      <c r="K5932" s="548"/>
      <c r="L5932" s="548"/>
      <c r="M5932" s="548"/>
      <c r="N5932" s="552"/>
    </row>
    <row r="5933" spans="1:14">
      <c r="A5933" s="499">
        <v>45685</v>
      </c>
      <c r="B5933" s="499">
        <v>45692</v>
      </c>
      <c r="C5933" s="500" t="s">
        <v>173</v>
      </c>
      <c r="D5933" s="500" t="s">
        <v>760</v>
      </c>
      <c r="E5933" s="501">
        <v>299007717.37</v>
      </c>
      <c r="F5933" s="502" t="s">
        <v>878</v>
      </c>
      <c r="G5933" s="100">
        <v>115715606</v>
      </c>
      <c r="H5933" s="484">
        <v>115715606</v>
      </c>
      <c r="I5933" s="422" t="s">
        <v>657</v>
      </c>
      <c r="J5933" s="484"/>
      <c r="K5933" s="548"/>
      <c r="L5933" s="548"/>
      <c r="M5933" s="548"/>
      <c r="N5933" s="552"/>
    </row>
    <row r="5934" spans="1:14">
      <c r="A5934" s="499">
        <v>45685</v>
      </c>
      <c r="B5934" s="499">
        <v>45692</v>
      </c>
      <c r="C5934" s="500" t="s">
        <v>173</v>
      </c>
      <c r="D5934" s="500" t="s">
        <v>760</v>
      </c>
      <c r="E5934" s="501">
        <v>166532370.94999999</v>
      </c>
      <c r="F5934" s="502" t="s">
        <v>878</v>
      </c>
      <c r="G5934" s="100">
        <v>115716910</v>
      </c>
      <c r="H5934" s="484">
        <v>115716910</v>
      </c>
      <c r="I5934" s="422" t="s">
        <v>714</v>
      </c>
      <c r="J5934" s="484"/>
      <c r="K5934" s="548"/>
      <c r="L5934" s="548"/>
      <c r="M5934" s="548"/>
      <c r="N5934" s="552"/>
    </row>
    <row r="5935" spans="1:14">
      <c r="A5935" s="499">
        <v>45685</v>
      </c>
      <c r="B5935" s="499">
        <v>45685</v>
      </c>
      <c r="C5935" s="500" t="s">
        <v>173</v>
      </c>
      <c r="D5935" s="500" t="s">
        <v>763</v>
      </c>
      <c r="E5935" s="501">
        <v>-5815248591.3199997</v>
      </c>
      <c r="F5935" s="502" t="s">
        <v>878</v>
      </c>
      <c r="G5935" s="100">
        <v>115713331</v>
      </c>
      <c r="H5935" s="530"/>
      <c r="I5935" s="422" t="s">
        <v>678</v>
      </c>
      <c r="J5935" s="484"/>
      <c r="K5935" s="548"/>
      <c r="L5935" s="548"/>
      <c r="M5935" s="548"/>
      <c r="N5935" s="552"/>
    </row>
    <row r="5936" spans="1:14">
      <c r="A5936" s="499">
        <v>45685</v>
      </c>
      <c r="B5936" s="499">
        <v>45685</v>
      </c>
      <c r="C5936" s="500" t="s">
        <v>173</v>
      </c>
      <c r="D5936" s="500" t="s">
        <v>763</v>
      </c>
      <c r="E5936" s="501">
        <v>-21008222.170000002</v>
      </c>
      <c r="F5936" s="502" t="s">
        <v>878</v>
      </c>
      <c r="G5936" s="100">
        <v>115713540</v>
      </c>
      <c r="H5936" s="530"/>
      <c r="I5936" s="422" t="s">
        <v>684</v>
      </c>
      <c r="J5936" s="484"/>
      <c r="K5936" s="548"/>
      <c r="L5936" s="548"/>
      <c r="M5936" s="548"/>
      <c r="N5936" s="552"/>
    </row>
    <row r="5937" spans="1:14">
      <c r="A5937" s="499">
        <v>45685</v>
      </c>
      <c r="B5937" s="499">
        <v>45686</v>
      </c>
      <c r="C5937" s="500" t="s">
        <v>173</v>
      </c>
      <c r="D5937" s="500" t="s">
        <v>763</v>
      </c>
      <c r="E5937" s="501">
        <v>5817592216.1599998</v>
      </c>
      <c r="F5937" s="502" t="s">
        <v>878</v>
      </c>
      <c r="G5937" s="100">
        <v>115713331</v>
      </c>
      <c r="H5937" s="484">
        <v>115713331</v>
      </c>
      <c r="I5937" s="422" t="s">
        <v>678</v>
      </c>
      <c r="J5937" s="484"/>
      <c r="K5937" s="548"/>
      <c r="L5937" s="548"/>
      <c r="M5937" s="548"/>
      <c r="N5937" s="552"/>
    </row>
    <row r="5938" spans="1:14">
      <c r="A5938" s="499">
        <v>45685</v>
      </c>
      <c r="B5938" s="499">
        <v>45686</v>
      </c>
      <c r="C5938" s="500" t="s">
        <v>173</v>
      </c>
      <c r="D5938" s="500" t="s">
        <v>763</v>
      </c>
      <c r="E5938" s="501">
        <v>21016694.530000001</v>
      </c>
      <c r="F5938" s="502" t="s">
        <v>878</v>
      </c>
      <c r="G5938" s="100">
        <v>115713540</v>
      </c>
      <c r="H5938" s="484">
        <v>115713540</v>
      </c>
      <c r="I5938" s="422" t="s">
        <v>684</v>
      </c>
      <c r="J5938" s="484"/>
      <c r="K5938" s="548"/>
      <c r="L5938" s="548"/>
      <c r="M5938" s="548"/>
      <c r="N5938" s="552"/>
    </row>
    <row r="5939" spans="1:14">
      <c r="A5939" s="499">
        <v>45686</v>
      </c>
      <c r="B5939" s="499">
        <v>45686</v>
      </c>
      <c r="C5939" s="500" t="s">
        <v>173</v>
      </c>
      <c r="D5939" s="500" t="s">
        <v>762</v>
      </c>
      <c r="E5939" s="501">
        <v>-661217863.62</v>
      </c>
      <c r="F5939" s="502" t="s">
        <v>878</v>
      </c>
      <c r="G5939" s="100">
        <v>115743204</v>
      </c>
      <c r="H5939" s="530"/>
      <c r="I5939" s="422" t="s">
        <v>705</v>
      </c>
      <c r="J5939" s="484"/>
      <c r="K5939" s="548"/>
      <c r="L5939" s="548"/>
      <c r="M5939" s="548"/>
      <c r="N5939" s="552"/>
    </row>
    <row r="5940" spans="1:14">
      <c r="A5940" s="499">
        <v>45686</v>
      </c>
      <c r="B5940" s="499">
        <v>45686</v>
      </c>
      <c r="C5940" s="500" t="s">
        <v>173</v>
      </c>
      <c r="D5940" s="500" t="s">
        <v>762</v>
      </c>
      <c r="E5940" s="501">
        <v>-4598816775.7700005</v>
      </c>
      <c r="F5940" s="502" t="s">
        <v>878</v>
      </c>
      <c r="G5940" s="100">
        <v>115742359</v>
      </c>
      <c r="H5940" s="530"/>
      <c r="I5940" s="422" t="s">
        <v>687</v>
      </c>
      <c r="J5940" s="484"/>
      <c r="K5940" s="548"/>
      <c r="L5940" s="548"/>
      <c r="M5940" s="548"/>
      <c r="N5940" s="552"/>
    </row>
    <row r="5941" spans="1:14">
      <c r="A5941" s="499">
        <v>45686</v>
      </c>
      <c r="B5941" s="499">
        <v>45686</v>
      </c>
      <c r="C5941" s="500" t="s">
        <v>173</v>
      </c>
      <c r="D5941" s="500" t="s">
        <v>762</v>
      </c>
      <c r="E5941" s="501">
        <v>-1000497.62</v>
      </c>
      <c r="F5941" s="502" t="s">
        <v>878</v>
      </c>
      <c r="G5941" s="100">
        <v>115742530</v>
      </c>
      <c r="H5941" s="530"/>
      <c r="I5941" s="422" t="s">
        <v>550</v>
      </c>
      <c r="J5941" s="484"/>
      <c r="K5941" s="548"/>
      <c r="L5941" s="548"/>
      <c r="M5941" s="548"/>
      <c r="N5941" s="552"/>
    </row>
    <row r="5942" spans="1:14">
      <c r="A5942" s="499">
        <v>45686</v>
      </c>
      <c r="B5942" s="499">
        <v>45687</v>
      </c>
      <c r="C5942" s="500" t="s">
        <v>173</v>
      </c>
      <c r="D5942" s="500" t="s">
        <v>762</v>
      </c>
      <c r="E5942" s="501">
        <v>661476010.32000005</v>
      </c>
      <c r="F5942" s="502" t="s">
        <v>878</v>
      </c>
      <c r="G5942" s="100">
        <v>115743204</v>
      </c>
      <c r="H5942" s="484">
        <v>115743204</v>
      </c>
      <c r="I5942" s="422" t="s">
        <v>705</v>
      </c>
      <c r="J5942" s="484"/>
      <c r="K5942" s="548"/>
      <c r="L5942" s="548"/>
      <c r="M5942" s="548"/>
      <c r="N5942" s="552"/>
    </row>
    <row r="5943" spans="1:14">
      <c r="A5943" s="499">
        <v>45686</v>
      </c>
      <c r="B5943" s="499">
        <v>45687</v>
      </c>
      <c r="C5943" s="500" t="s">
        <v>173</v>
      </c>
      <c r="D5943" s="500" t="s">
        <v>762</v>
      </c>
      <c r="E5943" s="501">
        <v>4600624803.7399998</v>
      </c>
      <c r="F5943" s="502" t="s">
        <v>878</v>
      </c>
      <c r="G5943" s="100">
        <v>115742359</v>
      </c>
      <c r="H5943" s="484">
        <v>115742359</v>
      </c>
      <c r="I5943" s="422" t="s">
        <v>687</v>
      </c>
      <c r="J5943" s="484"/>
      <c r="K5943" s="548"/>
      <c r="L5943" s="548"/>
      <c r="M5943" s="548"/>
      <c r="N5943" s="552"/>
    </row>
    <row r="5944" spans="1:14">
      <c r="A5944" s="499">
        <v>45686</v>
      </c>
      <c r="B5944" s="499">
        <v>45687</v>
      </c>
      <c r="C5944" s="500" t="s">
        <v>173</v>
      </c>
      <c r="D5944" s="500" t="s">
        <v>762</v>
      </c>
      <c r="E5944" s="501">
        <v>1000890.97</v>
      </c>
      <c r="F5944" s="502" t="s">
        <v>878</v>
      </c>
      <c r="G5944" s="100">
        <v>115742530</v>
      </c>
      <c r="H5944" s="484">
        <v>115742530</v>
      </c>
      <c r="I5944" s="422" t="s">
        <v>550</v>
      </c>
      <c r="J5944" s="484"/>
      <c r="K5944" s="548"/>
      <c r="L5944" s="548">
        <v>-1</v>
      </c>
      <c r="M5944" s="548"/>
      <c r="N5944" s="552"/>
    </row>
    <row r="5945" spans="1:14">
      <c r="A5945" s="499">
        <v>45686</v>
      </c>
      <c r="B5945" s="499">
        <v>45686</v>
      </c>
      <c r="C5945" s="500" t="s">
        <v>173</v>
      </c>
      <c r="D5945" s="500" t="s">
        <v>761</v>
      </c>
      <c r="E5945" s="501">
        <v>-1000264800</v>
      </c>
      <c r="F5945" s="502" t="s">
        <v>878</v>
      </c>
      <c r="G5945" s="100">
        <v>115736678</v>
      </c>
      <c r="H5945" s="530"/>
      <c r="I5945" s="422" t="s">
        <v>657</v>
      </c>
      <c r="J5945" s="484"/>
      <c r="K5945" s="548"/>
      <c r="L5945" s="548"/>
      <c r="M5945" s="548"/>
      <c r="N5945" s="552"/>
    </row>
    <row r="5946" spans="1:14">
      <c r="A5946" s="499">
        <v>45686</v>
      </c>
      <c r="B5946" s="499">
        <v>45686</v>
      </c>
      <c r="C5946" s="500" t="s">
        <v>173</v>
      </c>
      <c r="D5946" s="500" t="s">
        <v>761</v>
      </c>
      <c r="E5946" s="501">
        <v>-89037730.159999996</v>
      </c>
      <c r="F5946" s="502" t="s">
        <v>878</v>
      </c>
      <c r="G5946" s="100">
        <v>115736950</v>
      </c>
      <c r="H5946" s="530"/>
      <c r="I5946" s="422" t="s">
        <v>633</v>
      </c>
      <c r="J5946" s="484"/>
      <c r="K5946" s="548"/>
      <c r="L5946" s="548"/>
      <c r="M5946" s="548"/>
      <c r="N5946" s="552"/>
    </row>
    <row r="5947" spans="1:14">
      <c r="A5947" s="499">
        <v>45686</v>
      </c>
      <c r="B5947" s="499">
        <v>45686</v>
      </c>
      <c r="C5947" s="500" t="s">
        <v>173</v>
      </c>
      <c r="D5947" s="500" t="s">
        <v>761</v>
      </c>
      <c r="E5947" s="501">
        <v>-179036526.28999999</v>
      </c>
      <c r="F5947" s="502" t="s">
        <v>878</v>
      </c>
      <c r="G5947" s="100">
        <v>115736953</v>
      </c>
      <c r="H5947" s="530"/>
      <c r="I5947" s="422" t="s">
        <v>833</v>
      </c>
      <c r="J5947" s="484"/>
      <c r="K5947" s="548"/>
      <c r="L5947" s="548"/>
      <c r="M5947" s="548"/>
      <c r="N5947" s="552"/>
    </row>
    <row r="5948" spans="1:14">
      <c r="A5948" s="499">
        <v>45686</v>
      </c>
      <c r="B5948" s="499">
        <v>45686</v>
      </c>
      <c r="C5948" s="500" t="s">
        <v>173</v>
      </c>
      <c r="D5948" s="500" t="s">
        <v>761</v>
      </c>
      <c r="E5948" s="501">
        <v>-362135914.49000001</v>
      </c>
      <c r="F5948" s="502" t="s">
        <v>878</v>
      </c>
      <c r="G5948" s="100">
        <v>115736956</v>
      </c>
      <c r="H5948" s="530"/>
      <c r="I5948" s="422" t="s">
        <v>631</v>
      </c>
      <c r="J5948" s="484"/>
      <c r="K5948" s="548"/>
      <c r="L5948" s="548"/>
      <c r="M5948" s="548"/>
      <c r="N5948" s="552"/>
    </row>
    <row r="5949" spans="1:14">
      <c r="A5949" s="499">
        <v>45686</v>
      </c>
      <c r="B5949" s="499">
        <v>45686</v>
      </c>
      <c r="C5949" s="500" t="s">
        <v>173</v>
      </c>
      <c r="D5949" s="500" t="s">
        <v>761</v>
      </c>
      <c r="E5949" s="501">
        <v>-1007311811.51</v>
      </c>
      <c r="F5949" s="502" t="s">
        <v>878</v>
      </c>
      <c r="G5949" s="100">
        <v>115737353</v>
      </c>
      <c r="H5949" s="530"/>
      <c r="I5949" s="422" t="s">
        <v>604</v>
      </c>
      <c r="J5949" s="484"/>
      <c r="K5949" s="548"/>
      <c r="L5949" s="548"/>
      <c r="M5949" s="548"/>
      <c r="N5949" s="552"/>
    </row>
    <row r="5950" spans="1:14">
      <c r="A5950" s="499">
        <v>45686</v>
      </c>
      <c r="B5950" s="499">
        <v>45686</v>
      </c>
      <c r="C5950" s="500" t="s">
        <v>173</v>
      </c>
      <c r="D5950" s="500" t="s">
        <v>761</v>
      </c>
      <c r="E5950" s="501">
        <v>-4001238.58</v>
      </c>
      <c r="F5950" s="502" t="s">
        <v>878</v>
      </c>
      <c r="G5950" s="100">
        <v>115737377</v>
      </c>
      <c r="H5950" s="530"/>
      <c r="I5950" s="422" t="s">
        <v>604</v>
      </c>
      <c r="J5950" s="484"/>
      <c r="K5950" s="548"/>
      <c r="L5950" s="548"/>
      <c r="M5950" s="548"/>
      <c r="N5950" s="552"/>
    </row>
    <row r="5951" spans="1:14">
      <c r="A5951" s="499">
        <v>45686</v>
      </c>
      <c r="B5951" s="499">
        <v>45686</v>
      </c>
      <c r="C5951" s="500" t="s">
        <v>173</v>
      </c>
      <c r="D5951" s="500" t="s">
        <v>761</v>
      </c>
      <c r="E5951" s="501">
        <v>-157082430.02000001</v>
      </c>
      <c r="F5951" s="502" t="s">
        <v>878</v>
      </c>
      <c r="G5951" s="100">
        <v>115742018</v>
      </c>
      <c r="H5951" s="530"/>
      <c r="I5951" s="422" t="s">
        <v>675</v>
      </c>
      <c r="J5951" s="484"/>
      <c r="K5951" s="548"/>
      <c r="L5951" s="548"/>
      <c r="M5951" s="548"/>
      <c r="N5951" s="552"/>
    </row>
    <row r="5952" spans="1:14">
      <c r="A5952" s="499">
        <v>45686</v>
      </c>
      <c r="B5952" s="499">
        <v>45687</v>
      </c>
      <c r="C5952" s="500" t="s">
        <v>173</v>
      </c>
      <c r="D5952" s="500" t="s">
        <v>761</v>
      </c>
      <c r="E5952" s="501">
        <v>1000664357.83</v>
      </c>
      <c r="F5952" s="502" t="s">
        <v>878</v>
      </c>
      <c r="G5952" s="100">
        <v>115736678</v>
      </c>
      <c r="H5952" s="484">
        <v>115736678</v>
      </c>
      <c r="I5952" s="422" t="s">
        <v>657</v>
      </c>
      <c r="J5952" s="484"/>
      <c r="K5952" s="548"/>
      <c r="L5952" s="548"/>
      <c r="M5952" s="548"/>
      <c r="N5952" s="552"/>
    </row>
    <row r="5953" spans="1:14">
      <c r="A5953" s="499">
        <v>45686</v>
      </c>
      <c r="B5953" s="499">
        <v>45687</v>
      </c>
      <c r="C5953" s="500" t="s">
        <v>173</v>
      </c>
      <c r="D5953" s="500" t="s">
        <v>761</v>
      </c>
      <c r="E5953" s="501">
        <v>89073296.459999993</v>
      </c>
      <c r="F5953" s="502" t="s">
        <v>878</v>
      </c>
      <c r="G5953" s="100">
        <v>115736950</v>
      </c>
      <c r="H5953" s="484">
        <v>115736950</v>
      </c>
      <c r="I5953" s="422" t="s">
        <v>633</v>
      </c>
      <c r="J5953" s="484"/>
      <c r="K5953" s="548"/>
      <c r="L5953" s="548"/>
      <c r="M5953" s="548"/>
      <c r="N5953" s="552"/>
    </row>
    <row r="5954" spans="1:14">
      <c r="A5954" s="499">
        <v>45686</v>
      </c>
      <c r="B5954" s="499">
        <v>45687</v>
      </c>
      <c r="C5954" s="500" t="s">
        <v>173</v>
      </c>
      <c r="D5954" s="500" t="s">
        <v>761</v>
      </c>
      <c r="E5954" s="501">
        <v>179108042.80000001</v>
      </c>
      <c r="F5954" s="502" t="s">
        <v>878</v>
      </c>
      <c r="G5954" s="100">
        <v>115736953</v>
      </c>
      <c r="H5954" s="484">
        <v>115736953</v>
      </c>
      <c r="I5954" s="422" t="s">
        <v>833</v>
      </c>
      <c r="J5954" s="484"/>
      <c r="K5954" s="548"/>
      <c r="L5954" s="548"/>
      <c r="M5954" s="548"/>
      <c r="N5954" s="552"/>
    </row>
    <row r="5955" spans="1:14">
      <c r="A5955" s="499">
        <v>45686</v>
      </c>
      <c r="B5955" s="499">
        <v>45687</v>
      </c>
      <c r="C5955" s="500" t="s">
        <v>173</v>
      </c>
      <c r="D5955" s="500" t="s">
        <v>761</v>
      </c>
      <c r="E5955" s="501">
        <v>362280570.43000001</v>
      </c>
      <c r="F5955" s="502" t="s">
        <v>878</v>
      </c>
      <c r="G5955" s="100">
        <v>115736956</v>
      </c>
      <c r="H5955" s="484">
        <v>115736956</v>
      </c>
      <c r="I5955" s="422" t="s">
        <v>631</v>
      </c>
      <c r="J5955" s="484"/>
      <c r="K5955" s="548"/>
      <c r="L5955" s="548"/>
      <c r="M5955" s="548"/>
      <c r="N5955" s="552"/>
    </row>
    <row r="5956" spans="1:14">
      <c r="A5956" s="499">
        <v>45686</v>
      </c>
      <c r="B5956" s="499">
        <v>45693</v>
      </c>
      <c r="C5956" s="500" t="s">
        <v>173</v>
      </c>
      <c r="D5956" s="500" t="s">
        <v>761</v>
      </c>
      <c r="E5956" s="501">
        <v>1010161281.36</v>
      </c>
      <c r="F5956" s="502" t="s">
        <v>878</v>
      </c>
      <c r="G5956" s="100">
        <v>115737353</v>
      </c>
      <c r="H5956" s="484">
        <v>115737353</v>
      </c>
      <c r="I5956" s="422" t="s">
        <v>604</v>
      </c>
      <c r="J5956" s="484"/>
      <c r="K5956" s="548"/>
      <c r="L5956" s="548"/>
      <c r="M5956" s="548"/>
      <c r="N5956" s="552"/>
    </row>
    <row r="5957" spans="1:14">
      <c r="A5957" s="499">
        <v>45686</v>
      </c>
      <c r="B5957" s="499">
        <v>45693</v>
      </c>
      <c r="C5957" s="500" t="s">
        <v>173</v>
      </c>
      <c r="D5957" s="500" t="s">
        <v>761</v>
      </c>
      <c r="E5957" s="501">
        <v>4012557.23</v>
      </c>
      <c r="F5957" s="502" t="s">
        <v>878</v>
      </c>
      <c r="G5957" s="100">
        <v>115737377</v>
      </c>
      <c r="H5957" s="484">
        <v>115737377</v>
      </c>
      <c r="I5957" s="422" t="s">
        <v>604</v>
      </c>
      <c r="J5957" s="484"/>
      <c r="K5957" s="548"/>
      <c r="L5957" s="548"/>
      <c r="M5957" s="548"/>
      <c r="N5957" s="552"/>
    </row>
    <row r="5958" spans="1:14">
      <c r="A5958" s="499">
        <v>45686</v>
      </c>
      <c r="B5958" s="499">
        <v>45693</v>
      </c>
      <c r="C5958" s="500" t="s">
        <v>173</v>
      </c>
      <c r="D5958" s="500" t="s">
        <v>761</v>
      </c>
      <c r="E5958" s="501">
        <v>157522290.94999999</v>
      </c>
      <c r="F5958" s="502" t="s">
        <v>878</v>
      </c>
      <c r="G5958" s="100">
        <v>115742018</v>
      </c>
      <c r="H5958" s="484">
        <v>115742018</v>
      </c>
      <c r="I5958" s="422" t="s">
        <v>675</v>
      </c>
      <c r="J5958" s="484"/>
      <c r="K5958" s="548"/>
      <c r="L5958" s="548"/>
      <c r="M5958" s="548"/>
      <c r="N5958" s="552"/>
    </row>
    <row r="5959" spans="1:14">
      <c r="A5959" s="499">
        <v>45686</v>
      </c>
      <c r="B5959" s="499">
        <v>45686</v>
      </c>
      <c r="C5959" s="500" t="s">
        <v>173</v>
      </c>
      <c r="D5959" s="500" t="s">
        <v>759</v>
      </c>
      <c r="E5959" s="501">
        <v>-2463507525.7800002</v>
      </c>
      <c r="F5959" s="502" t="s">
        <v>878</v>
      </c>
      <c r="G5959" s="100">
        <v>115735545</v>
      </c>
      <c r="H5959" s="530"/>
      <c r="I5959" s="422" t="s">
        <v>832</v>
      </c>
      <c r="J5959" s="484"/>
      <c r="K5959" s="548"/>
      <c r="L5959" s="548"/>
      <c r="M5959" s="548"/>
      <c r="N5959" s="552"/>
    </row>
    <row r="5960" spans="1:14">
      <c r="A5960" s="499">
        <v>45686</v>
      </c>
      <c r="B5960" s="499">
        <v>45686</v>
      </c>
      <c r="C5960" s="500" t="s">
        <v>173</v>
      </c>
      <c r="D5960" s="500" t="s">
        <v>759</v>
      </c>
      <c r="E5960" s="501">
        <v>-1818652043.8800001</v>
      </c>
      <c r="F5960" s="502" t="s">
        <v>878</v>
      </c>
      <c r="G5960" s="100">
        <v>115735641</v>
      </c>
      <c r="H5960" s="530"/>
      <c r="I5960" s="422" t="s">
        <v>598</v>
      </c>
      <c r="J5960" s="484"/>
      <c r="K5960" s="548"/>
      <c r="L5960" s="548"/>
      <c r="M5960" s="548"/>
      <c r="N5960" s="552"/>
    </row>
    <row r="5961" spans="1:14">
      <c r="A5961" s="499">
        <v>45686</v>
      </c>
      <c r="B5961" s="499">
        <v>45686</v>
      </c>
      <c r="C5961" s="500" t="s">
        <v>173</v>
      </c>
      <c r="D5961" s="500" t="s">
        <v>759</v>
      </c>
      <c r="E5961" s="501">
        <v>-32012014.539999999</v>
      </c>
      <c r="F5961" s="502" t="s">
        <v>878</v>
      </c>
      <c r="G5961" s="100">
        <v>115736442</v>
      </c>
      <c r="H5961" s="530"/>
      <c r="I5961" s="422" t="s">
        <v>631</v>
      </c>
      <c r="J5961" s="484"/>
      <c r="K5961" s="548"/>
      <c r="L5961" s="548"/>
      <c r="M5961" s="548"/>
      <c r="N5961" s="552"/>
    </row>
    <row r="5962" spans="1:14">
      <c r="A5962" s="499">
        <v>45686</v>
      </c>
      <c r="B5962" s="499">
        <v>45686</v>
      </c>
      <c r="C5962" s="500" t="s">
        <v>173</v>
      </c>
      <c r="D5962" s="500" t="s">
        <v>759</v>
      </c>
      <c r="E5962" s="501">
        <v>-321154272.60000002</v>
      </c>
      <c r="F5962" s="502" t="s">
        <v>878</v>
      </c>
      <c r="G5962" s="100">
        <v>115736743</v>
      </c>
      <c r="H5962" s="530"/>
      <c r="I5962" s="422" t="s">
        <v>686</v>
      </c>
      <c r="J5962" s="484"/>
      <c r="K5962" s="548"/>
      <c r="L5962" s="548"/>
      <c r="M5962" s="548"/>
      <c r="N5962" s="552"/>
    </row>
    <row r="5963" spans="1:14">
      <c r="A5963" s="499">
        <v>45686</v>
      </c>
      <c r="B5963" s="499">
        <v>45686</v>
      </c>
      <c r="C5963" s="500" t="s">
        <v>173</v>
      </c>
      <c r="D5963" s="500" t="s">
        <v>759</v>
      </c>
      <c r="E5963" s="501">
        <v>-1647752168.4300001</v>
      </c>
      <c r="F5963" s="502" t="s">
        <v>878</v>
      </c>
      <c r="G5963" s="100">
        <v>115736746</v>
      </c>
      <c r="H5963" s="530"/>
      <c r="I5963" s="422" t="s">
        <v>800</v>
      </c>
      <c r="J5963" s="484"/>
      <c r="K5963" s="548"/>
      <c r="L5963" s="548"/>
      <c r="M5963" s="548"/>
      <c r="N5963" s="552"/>
    </row>
    <row r="5964" spans="1:14">
      <c r="A5964" s="499">
        <v>45686</v>
      </c>
      <c r="B5964" s="499">
        <v>45686</v>
      </c>
      <c r="C5964" s="500" t="s">
        <v>173</v>
      </c>
      <c r="D5964" s="500" t="s">
        <v>759</v>
      </c>
      <c r="E5964" s="501">
        <v>-27012330.629999999</v>
      </c>
      <c r="F5964" s="502" t="s">
        <v>878</v>
      </c>
      <c r="G5964" s="100">
        <v>115736794</v>
      </c>
      <c r="H5964" s="530"/>
      <c r="I5964" s="422" t="s">
        <v>800</v>
      </c>
      <c r="J5964" s="484"/>
      <c r="K5964" s="548"/>
      <c r="L5964" s="548"/>
      <c r="M5964" s="548"/>
      <c r="N5964" s="552"/>
    </row>
    <row r="5965" spans="1:14">
      <c r="A5965" s="499">
        <v>45686</v>
      </c>
      <c r="B5965" s="499">
        <v>45686</v>
      </c>
      <c r="C5965" s="500" t="s">
        <v>173</v>
      </c>
      <c r="D5965" s="500" t="s">
        <v>759</v>
      </c>
      <c r="E5965" s="501">
        <v>-10007926.5</v>
      </c>
      <c r="F5965" s="502" t="s">
        <v>878</v>
      </c>
      <c r="G5965" s="100">
        <v>115741021</v>
      </c>
      <c r="H5965" s="530"/>
      <c r="I5965" s="422" t="s">
        <v>656</v>
      </c>
      <c r="J5965" s="484"/>
      <c r="K5965" s="548"/>
      <c r="L5965" s="548"/>
      <c r="M5965" s="548"/>
      <c r="N5965" s="552"/>
    </row>
    <row r="5966" spans="1:14">
      <c r="A5966" s="499">
        <v>45686</v>
      </c>
      <c r="B5966" s="499">
        <v>45686</v>
      </c>
      <c r="C5966" s="500" t="s">
        <v>173</v>
      </c>
      <c r="D5966" s="500" t="s">
        <v>759</v>
      </c>
      <c r="E5966" s="501">
        <v>-9002696.0800000001</v>
      </c>
      <c r="F5966" s="502" t="s">
        <v>878</v>
      </c>
      <c r="G5966" s="100">
        <v>115741844</v>
      </c>
      <c r="H5966" s="530"/>
      <c r="I5966" s="422" t="s">
        <v>602</v>
      </c>
      <c r="J5966" s="484"/>
      <c r="K5966" s="548"/>
      <c r="L5966" s="548"/>
      <c r="M5966" s="548"/>
      <c r="N5966" s="552"/>
    </row>
    <row r="5967" spans="1:14">
      <c r="A5967" s="499">
        <v>45686</v>
      </c>
      <c r="B5967" s="499">
        <v>45686</v>
      </c>
      <c r="C5967" s="500" t="s">
        <v>173</v>
      </c>
      <c r="D5967" s="500" t="s">
        <v>759</v>
      </c>
      <c r="E5967" s="501">
        <v>-283073419.54000002</v>
      </c>
      <c r="F5967" s="502" t="s">
        <v>878</v>
      </c>
      <c r="G5967" s="100">
        <v>115741862</v>
      </c>
      <c r="H5967" s="530"/>
      <c r="I5967" s="422" t="s">
        <v>684</v>
      </c>
      <c r="J5967" s="484"/>
      <c r="K5967" s="548"/>
      <c r="L5967" s="548"/>
      <c r="M5967" s="548"/>
      <c r="N5967" s="552"/>
    </row>
    <row r="5968" spans="1:14">
      <c r="A5968" s="499">
        <v>45686</v>
      </c>
      <c r="B5968" s="499">
        <v>45693</v>
      </c>
      <c r="C5968" s="500" t="s">
        <v>173</v>
      </c>
      <c r="D5968" s="500" t="s">
        <v>759</v>
      </c>
      <c r="E5968" s="501">
        <v>2470547082.9000001</v>
      </c>
      <c r="F5968" s="502" t="s">
        <v>878</v>
      </c>
      <c r="G5968" s="100">
        <v>115735545</v>
      </c>
      <c r="H5968" s="484">
        <v>115735545</v>
      </c>
      <c r="I5968" s="422" t="s">
        <v>832</v>
      </c>
      <c r="J5968" s="484"/>
      <c r="K5968" s="548"/>
      <c r="L5968" s="548"/>
      <c r="M5968" s="548"/>
      <c r="N5968" s="552"/>
    </row>
    <row r="5969" spans="1:14">
      <c r="A5969" s="499">
        <v>45686</v>
      </c>
      <c r="B5969" s="499">
        <v>45693</v>
      </c>
      <c r="C5969" s="500" t="s">
        <v>173</v>
      </c>
      <c r="D5969" s="500" t="s">
        <v>759</v>
      </c>
      <c r="E5969" s="501">
        <v>1823848904.3800001</v>
      </c>
      <c r="F5969" s="502" t="s">
        <v>878</v>
      </c>
      <c r="G5969" s="100">
        <v>115735641</v>
      </c>
      <c r="H5969" s="484">
        <v>115735641</v>
      </c>
      <c r="I5969" s="422" t="s">
        <v>598</v>
      </c>
      <c r="J5969" s="484"/>
      <c r="K5969" s="548"/>
      <c r="L5969" s="548"/>
      <c r="M5969" s="548"/>
      <c r="N5969" s="552"/>
    </row>
    <row r="5970" spans="1:14">
      <c r="A5970" s="499">
        <v>45686</v>
      </c>
      <c r="B5970" s="499">
        <v>45687</v>
      </c>
      <c r="C5970" s="500" t="s">
        <v>173</v>
      </c>
      <c r="D5970" s="500" t="s">
        <v>759</v>
      </c>
      <c r="E5970" s="501">
        <v>32024810.489999998</v>
      </c>
      <c r="F5970" s="502" t="s">
        <v>878</v>
      </c>
      <c r="G5970" s="100">
        <v>115736442</v>
      </c>
      <c r="H5970" s="484">
        <v>115736442</v>
      </c>
      <c r="I5970" s="422" t="s">
        <v>631</v>
      </c>
      <c r="J5970" s="484"/>
      <c r="K5970" s="548"/>
      <c r="L5970" s="548"/>
      <c r="M5970" s="548"/>
      <c r="N5970" s="552"/>
    </row>
    <row r="5971" spans="1:14">
      <c r="A5971" s="499">
        <v>45686</v>
      </c>
      <c r="B5971" s="499">
        <v>45687</v>
      </c>
      <c r="C5971" s="500" t="s">
        <v>173</v>
      </c>
      <c r="D5971" s="500" t="s">
        <v>759</v>
      </c>
      <c r="E5971" s="501">
        <v>321282385</v>
      </c>
      <c r="F5971" s="502" t="s">
        <v>878</v>
      </c>
      <c r="G5971" s="100">
        <v>115736743</v>
      </c>
      <c r="H5971" s="484">
        <v>115736743</v>
      </c>
      <c r="I5971" s="422" t="s">
        <v>686</v>
      </c>
      <c r="J5971" s="484"/>
      <c r="K5971" s="548"/>
      <c r="L5971" s="548"/>
      <c r="M5971" s="548"/>
      <c r="N5971" s="552"/>
    </row>
    <row r="5972" spans="1:14">
      <c r="A5972" s="499">
        <v>45686</v>
      </c>
      <c r="B5972" s="499">
        <v>45687</v>
      </c>
      <c r="C5972" s="500" t="s">
        <v>173</v>
      </c>
      <c r="D5972" s="500" t="s">
        <v>759</v>
      </c>
      <c r="E5972" s="501">
        <v>1648409477.0799999</v>
      </c>
      <c r="F5972" s="502" t="s">
        <v>878</v>
      </c>
      <c r="G5972" s="100">
        <v>115736746</v>
      </c>
      <c r="H5972" s="484">
        <v>115736746</v>
      </c>
      <c r="I5972" s="422" t="s">
        <v>800</v>
      </c>
      <c r="J5972" s="484"/>
      <c r="K5972" s="548"/>
      <c r="L5972" s="548"/>
      <c r="M5972" s="548"/>
      <c r="N5972" s="552"/>
    </row>
    <row r="5973" spans="1:14">
      <c r="A5973" s="499">
        <v>45686</v>
      </c>
      <c r="B5973" s="499">
        <v>45687</v>
      </c>
      <c r="C5973" s="500" t="s">
        <v>173</v>
      </c>
      <c r="D5973" s="500" t="s">
        <v>759</v>
      </c>
      <c r="E5973" s="501">
        <v>27023106.18</v>
      </c>
      <c r="F5973" s="502" t="s">
        <v>878</v>
      </c>
      <c r="G5973" s="100">
        <v>115736794</v>
      </c>
      <c r="H5973" s="484">
        <v>115736794</v>
      </c>
      <c r="I5973" s="422" t="s">
        <v>800</v>
      </c>
      <c r="J5973" s="484"/>
      <c r="K5973" s="548"/>
      <c r="L5973" s="548"/>
      <c r="M5973" s="548"/>
      <c r="N5973" s="552"/>
    </row>
    <row r="5974" spans="1:14">
      <c r="A5974" s="499">
        <v>45686</v>
      </c>
      <c r="B5974" s="499">
        <v>45687</v>
      </c>
      <c r="C5974" s="500" t="s">
        <v>173</v>
      </c>
      <c r="D5974" s="500" t="s">
        <v>759</v>
      </c>
      <c r="E5974" s="501">
        <v>10011874.83</v>
      </c>
      <c r="F5974" s="502" t="s">
        <v>878</v>
      </c>
      <c r="G5974" s="100">
        <v>115741021</v>
      </c>
      <c r="H5974" s="484">
        <v>115741021</v>
      </c>
      <c r="I5974" s="422" t="s">
        <v>656</v>
      </c>
      <c r="J5974" s="484"/>
      <c r="K5974" s="548"/>
      <c r="L5974" s="548"/>
      <c r="M5974" s="548"/>
      <c r="N5974" s="552"/>
    </row>
    <row r="5975" spans="1:14">
      <c r="A5975" s="499">
        <v>45686</v>
      </c>
      <c r="B5975" s="499">
        <v>45687</v>
      </c>
      <c r="C5975" s="500" t="s">
        <v>173</v>
      </c>
      <c r="D5975" s="500" t="s">
        <v>759</v>
      </c>
      <c r="E5975" s="501">
        <v>9006247.8300000001</v>
      </c>
      <c r="F5975" s="502" t="s">
        <v>878</v>
      </c>
      <c r="G5975" s="100">
        <v>115741844</v>
      </c>
      <c r="H5975" s="484">
        <v>115741844</v>
      </c>
      <c r="I5975" s="422" t="s">
        <v>602</v>
      </c>
      <c r="J5975" s="484"/>
      <c r="K5975" s="548"/>
      <c r="L5975" s="548"/>
      <c r="M5975" s="548"/>
      <c r="N5975" s="552"/>
    </row>
    <row r="5976" spans="1:14">
      <c r="A5976" s="499">
        <v>45686</v>
      </c>
      <c r="B5976" s="499">
        <v>45687</v>
      </c>
      <c r="C5976" s="500" t="s">
        <v>173</v>
      </c>
      <c r="D5976" s="500" t="s">
        <v>759</v>
      </c>
      <c r="E5976" s="501">
        <v>283185097.81999999</v>
      </c>
      <c r="F5976" s="502" t="s">
        <v>878</v>
      </c>
      <c r="G5976" s="100">
        <v>115741862</v>
      </c>
      <c r="H5976" s="484">
        <v>115741862</v>
      </c>
      <c r="I5976" s="422" t="s">
        <v>684</v>
      </c>
      <c r="J5976" s="484"/>
      <c r="K5976" s="548"/>
      <c r="L5976" s="548"/>
      <c r="M5976" s="548"/>
      <c r="N5976" s="552"/>
    </row>
    <row r="5977" spans="1:14">
      <c r="A5977" s="499">
        <v>45686</v>
      </c>
      <c r="B5977" s="499">
        <v>45686</v>
      </c>
      <c r="C5977" s="500" t="s">
        <v>173</v>
      </c>
      <c r="D5977" s="500" t="s">
        <v>760</v>
      </c>
      <c r="E5977" s="501">
        <v>-185138306.37</v>
      </c>
      <c r="F5977" s="502" t="s">
        <v>878</v>
      </c>
      <c r="G5977" s="100">
        <v>115740826</v>
      </c>
      <c r="H5977" s="530"/>
      <c r="I5977" s="422" t="s">
        <v>674</v>
      </c>
      <c r="J5977" s="484"/>
      <c r="K5977" s="548"/>
      <c r="L5977" s="548"/>
      <c r="M5977" s="548"/>
      <c r="N5977" s="552"/>
    </row>
    <row r="5978" spans="1:14">
      <c r="A5978" s="499">
        <v>45686</v>
      </c>
      <c r="B5978" s="499">
        <v>45687</v>
      </c>
      <c r="C5978" s="500" t="s">
        <v>173</v>
      </c>
      <c r="D5978" s="500" t="s">
        <v>760</v>
      </c>
      <c r="E5978" s="501">
        <v>185210637.12</v>
      </c>
      <c r="F5978" s="502" t="s">
        <v>878</v>
      </c>
      <c r="G5978" s="100">
        <v>115740826</v>
      </c>
      <c r="H5978" s="100">
        <v>115740826</v>
      </c>
      <c r="I5978" s="422" t="s">
        <v>674</v>
      </c>
      <c r="J5978" s="484"/>
      <c r="K5978" s="548"/>
      <c r="L5978" s="548"/>
      <c r="M5978" s="548"/>
      <c r="N5978" s="552"/>
    </row>
    <row r="5979" spans="1:14">
      <c r="A5979" s="499">
        <v>45686</v>
      </c>
      <c r="B5979" s="499">
        <v>45686</v>
      </c>
      <c r="C5979" s="500" t="s">
        <v>173</v>
      </c>
      <c r="D5979" s="500" t="s">
        <v>764</v>
      </c>
      <c r="E5979" s="501">
        <v>-2167375604.9400001</v>
      </c>
      <c r="F5979" s="502" t="s">
        <v>878</v>
      </c>
      <c r="G5979" s="100">
        <v>115733602</v>
      </c>
      <c r="H5979" s="530"/>
      <c r="I5979" s="422" t="s">
        <v>677</v>
      </c>
      <c r="J5979" s="484"/>
      <c r="K5979" s="548"/>
      <c r="L5979" s="548"/>
      <c r="M5979" s="548"/>
      <c r="N5979" s="552"/>
    </row>
    <row r="5980" spans="1:14">
      <c r="A5980" s="499">
        <v>45686</v>
      </c>
      <c r="B5980" s="499">
        <v>45686</v>
      </c>
      <c r="C5980" s="500" t="s">
        <v>173</v>
      </c>
      <c r="D5980" s="500" t="s">
        <v>764</v>
      </c>
      <c r="E5980" s="501">
        <f>-132069304.22</f>
        <v>-132069304.22</v>
      </c>
      <c r="F5980" s="502" t="s">
        <v>878</v>
      </c>
      <c r="G5980" s="100">
        <v>115742092</v>
      </c>
      <c r="H5980" s="530"/>
      <c r="I5980" s="422" t="s">
        <v>675</v>
      </c>
      <c r="J5980" s="484"/>
      <c r="K5980" s="548"/>
      <c r="L5980" s="548"/>
      <c r="M5980" s="548"/>
      <c r="N5980" s="552"/>
    </row>
    <row r="5981" spans="1:14">
      <c r="A5981" s="499">
        <v>45686</v>
      </c>
      <c r="B5981" s="499">
        <v>45693</v>
      </c>
      <c r="C5981" s="500" t="s">
        <v>173</v>
      </c>
      <c r="D5981" s="500" t="s">
        <v>764</v>
      </c>
      <c r="E5981" s="501">
        <v>2173610521.0599999</v>
      </c>
      <c r="F5981" s="502" t="s">
        <v>878</v>
      </c>
      <c r="G5981" s="100">
        <v>115733602</v>
      </c>
      <c r="H5981" s="100">
        <v>115733602</v>
      </c>
      <c r="I5981" s="422" t="s">
        <v>677</v>
      </c>
      <c r="J5981" s="484"/>
      <c r="K5981" s="548"/>
      <c r="L5981" s="548"/>
      <c r="M5981" s="548"/>
      <c r="N5981" s="552"/>
    </row>
    <row r="5982" spans="1:14">
      <c r="A5982" s="499">
        <v>45686</v>
      </c>
      <c r="B5982" s="499">
        <v>45693</v>
      </c>
      <c r="C5982" s="500" t="s">
        <v>173</v>
      </c>
      <c r="D5982" s="500" t="s">
        <v>764</v>
      </c>
      <c r="E5982" s="501">
        <v>132439123.59999999</v>
      </c>
      <c r="F5982" s="502" t="s">
        <v>878</v>
      </c>
      <c r="G5982" s="100">
        <v>115742092</v>
      </c>
      <c r="H5982" s="100">
        <v>115742092</v>
      </c>
      <c r="I5982" s="422" t="s">
        <v>675</v>
      </c>
      <c r="J5982" s="484"/>
      <c r="K5982" s="548"/>
      <c r="L5982" s="548"/>
      <c r="M5982" s="548"/>
      <c r="N5982" s="552"/>
    </row>
    <row r="5983" spans="1:14">
      <c r="A5983" s="499">
        <v>45686</v>
      </c>
      <c r="B5983" s="499">
        <v>45686</v>
      </c>
      <c r="C5983" s="500" t="s">
        <v>173</v>
      </c>
      <c r="D5983" s="500" t="s">
        <v>763</v>
      </c>
      <c r="E5983" s="501">
        <v>-5813507824.6000004</v>
      </c>
      <c r="F5983" s="502" t="s">
        <v>878</v>
      </c>
      <c r="G5983" s="100">
        <v>115732998</v>
      </c>
      <c r="H5983" s="530"/>
      <c r="I5983" s="422" t="s">
        <v>684</v>
      </c>
      <c r="J5983" s="484"/>
      <c r="K5983" s="548"/>
      <c r="L5983" s="548"/>
      <c r="M5983" s="548"/>
      <c r="N5983" s="552"/>
    </row>
    <row r="5984" spans="1:14">
      <c r="A5984" s="499">
        <v>45686</v>
      </c>
      <c r="B5984" s="499">
        <v>45686</v>
      </c>
      <c r="C5984" s="500" t="s">
        <v>173</v>
      </c>
      <c r="D5984" s="500" t="s">
        <v>763</v>
      </c>
      <c r="E5984" s="501">
        <v>-25006485.829999998</v>
      </c>
      <c r="F5984" s="502" t="s">
        <v>878</v>
      </c>
      <c r="G5984" s="100">
        <v>115733054</v>
      </c>
      <c r="H5984" s="530"/>
      <c r="I5984" s="422" t="s">
        <v>684</v>
      </c>
      <c r="J5984" s="484"/>
      <c r="K5984" s="548"/>
      <c r="L5984" s="548"/>
      <c r="M5984" s="548"/>
      <c r="N5984" s="552"/>
    </row>
    <row r="5985" spans="1:14">
      <c r="A5985" s="499">
        <v>45686</v>
      </c>
      <c r="B5985" s="499">
        <v>45686</v>
      </c>
      <c r="C5985" s="500" t="s">
        <v>173</v>
      </c>
      <c r="D5985" s="500" t="s">
        <v>763</v>
      </c>
      <c r="E5985" s="501">
        <v>-153057444.52000001</v>
      </c>
      <c r="F5985" s="502" t="s">
        <v>878</v>
      </c>
      <c r="G5985" s="100">
        <v>115742037</v>
      </c>
      <c r="H5985" s="530"/>
      <c r="I5985" s="422" t="s">
        <v>631</v>
      </c>
      <c r="J5985" s="484"/>
      <c r="K5985" s="548"/>
      <c r="L5985" s="548"/>
      <c r="M5985" s="548"/>
      <c r="N5985" s="552"/>
    </row>
    <row r="5986" spans="1:14">
      <c r="A5986" s="499">
        <v>45686</v>
      </c>
      <c r="B5986" s="499">
        <v>45687</v>
      </c>
      <c r="C5986" s="500" t="s">
        <v>173</v>
      </c>
      <c r="D5986" s="500" t="s">
        <v>763</v>
      </c>
      <c r="E5986" s="501">
        <v>5815852340.6300001</v>
      </c>
      <c r="F5986" s="502" t="s">
        <v>878</v>
      </c>
      <c r="G5986" s="100">
        <v>115732998</v>
      </c>
      <c r="H5986" s="484">
        <v>115732998</v>
      </c>
      <c r="I5986" s="422" t="s">
        <v>684</v>
      </c>
      <c r="J5986" s="484"/>
      <c r="K5986" s="548"/>
      <c r="L5986" s="548"/>
      <c r="M5986" s="548"/>
      <c r="N5986" s="552"/>
    </row>
    <row r="5987" spans="1:14">
      <c r="A5987" s="499">
        <v>45686</v>
      </c>
      <c r="B5987" s="499">
        <v>45687</v>
      </c>
      <c r="C5987" s="500" t="s">
        <v>173</v>
      </c>
      <c r="D5987" s="500" t="s">
        <v>763</v>
      </c>
      <c r="E5987" s="501">
        <v>25016570.640000001</v>
      </c>
      <c r="F5987" s="502" t="s">
        <v>878</v>
      </c>
      <c r="G5987" s="100">
        <v>115733054</v>
      </c>
      <c r="H5987" s="484">
        <v>115733054</v>
      </c>
      <c r="I5987" s="422" t="s">
        <v>684</v>
      </c>
      <c r="J5987" s="484"/>
      <c r="K5987" s="548"/>
      <c r="L5987" s="548"/>
      <c r="M5987" s="548"/>
      <c r="N5987" s="552"/>
    </row>
    <row r="5988" spans="1:14">
      <c r="A5988" s="499">
        <v>45686</v>
      </c>
      <c r="B5988" s="499">
        <v>45687</v>
      </c>
      <c r="C5988" s="500" t="s">
        <v>173</v>
      </c>
      <c r="D5988" s="500" t="s">
        <v>763</v>
      </c>
      <c r="E5988" s="501">
        <v>153117619.58000001</v>
      </c>
      <c r="F5988" s="502" t="s">
        <v>878</v>
      </c>
      <c r="G5988" s="100">
        <v>115742037</v>
      </c>
      <c r="H5988" s="484">
        <v>115742037</v>
      </c>
      <c r="I5988" s="422" t="s">
        <v>631</v>
      </c>
      <c r="J5988" s="484"/>
      <c r="K5988" s="548"/>
      <c r="L5988" s="548"/>
      <c r="M5988" s="548"/>
      <c r="N5988" s="552"/>
    </row>
    <row r="5989" spans="1:14">
      <c r="A5989" s="499">
        <v>45686</v>
      </c>
      <c r="B5989" s="499">
        <v>45686</v>
      </c>
      <c r="C5989" s="500" t="s">
        <v>173</v>
      </c>
      <c r="D5989" s="500" t="s">
        <v>759</v>
      </c>
      <c r="E5989" s="501">
        <v>302625000</v>
      </c>
      <c r="F5989" s="502" t="s">
        <v>381</v>
      </c>
      <c r="G5989" s="100" t="s">
        <v>81</v>
      </c>
      <c r="H5989" s="530"/>
      <c r="I5989" s="422"/>
      <c r="K5989" s="548"/>
      <c r="L5989" s="548"/>
      <c r="M5989" s="548"/>
      <c r="N5989" s="552"/>
    </row>
    <row r="5990" spans="1:14">
      <c r="A5990" s="499">
        <v>45686</v>
      </c>
      <c r="B5990" s="499">
        <v>45686</v>
      </c>
      <c r="C5990" s="500" t="s">
        <v>173</v>
      </c>
      <c r="D5990" s="500" t="s">
        <v>762</v>
      </c>
      <c r="E5990" s="501">
        <v>291125250</v>
      </c>
      <c r="F5990" s="502" t="s">
        <v>381</v>
      </c>
      <c r="G5990" s="100" t="s">
        <v>81</v>
      </c>
      <c r="H5990" s="530"/>
      <c r="I5990" s="422"/>
      <c r="K5990" s="548"/>
      <c r="L5990" s="548"/>
      <c r="M5990" s="548"/>
      <c r="N5990" s="552"/>
    </row>
    <row r="5991" spans="1:14">
      <c r="A5991" s="499">
        <v>45686</v>
      </c>
      <c r="B5991" s="499">
        <v>45686</v>
      </c>
      <c r="C5991" s="500" t="s">
        <v>173</v>
      </c>
      <c r="D5991" s="500" t="s">
        <v>760</v>
      </c>
      <c r="E5991" s="501">
        <v>182785500.00000003</v>
      </c>
      <c r="F5991" s="502" t="s">
        <v>381</v>
      </c>
      <c r="G5991" s="100" t="s">
        <v>81</v>
      </c>
      <c r="H5991" s="530"/>
      <c r="I5991" s="422"/>
      <c r="K5991" s="548"/>
      <c r="L5991" s="548"/>
      <c r="M5991" s="548"/>
      <c r="N5991" s="552"/>
    </row>
    <row r="5992" spans="1:14">
      <c r="A5992" s="499">
        <v>45686</v>
      </c>
      <c r="B5992" s="499">
        <v>45686</v>
      </c>
      <c r="C5992" s="500" t="s">
        <v>173</v>
      </c>
      <c r="D5992" s="500" t="s">
        <v>761</v>
      </c>
      <c r="E5992" s="501">
        <v>157365000.00000003</v>
      </c>
      <c r="F5992" s="502" t="s">
        <v>381</v>
      </c>
      <c r="G5992" s="100" t="s">
        <v>81</v>
      </c>
      <c r="H5992" s="530"/>
      <c r="I5992" s="422"/>
      <c r="K5992" s="548"/>
      <c r="L5992" s="548"/>
      <c r="M5992" s="548"/>
      <c r="N5992" s="552"/>
    </row>
    <row r="5993" spans="1:14">
      <c r="A5993" s="499">
        <v>45686</v>
      </c>
      <c r="B5993" s="499">
        <v>45686</v>
      </c>
      <c r="C5993" s="500" t="s">
        <v>173</v>
      </c>
      <c r="D5993" s="500" t="s">
        <v>763</v>
      </c>
      <c r="E5993" s="501">
        <v>153128250</v>
      </c>
      <c r="F5993" s="502" t="s">
        <v>381</v>
      </c>
      <c r="G5993" s="100" t="s">
        <v>81</v>
      </c>
      <c r="H5993" s="530"/>
      <c r="I5993" s="422"/>
      <c r="K5993" s="548"/>
      <c r="L5993" s="548"/>
      <c r="M5993" s="548"/>
      <c r="N5993" s="552"/>
    </row>
    <row r="5994" spans="1:14">
      <c r="A5994" s="499">
        <v>45686</v>
      </c>
      <c r="B5994" s="499">
        <v>45686</v>
      </c>
      <c r="C5994" s="500" t="s">
        <v>173</v>
      </c>
      <c r="D5994" s="500" t="s">
        <v>764</v>
      </c>
      <c r="E5994" s="501">
        <v>123471000.00000001</v>
      </c>
      <c r="F5994" s="502" t="s">
        <v>381</v>
      </c>
      <c r="G5994" s="100" t="s">
        <v>81</v>
      </c>
      <c r="H5994" s="530"/>
      <c r="I5994" s="422"/>
      <c r="K5994" s="548"/>
      <c r="L5994" s="548"/>
      <c r="M5994" s="548"/>
      <c r="N5994" s="552"/>
    </row>
    <row r="5995" spans="1:14">
      <c r="A5995" s="499">
        <v>45687</v>
      </c>
      <c r="B5995" s="499">
        <v>45687</v>
      </c>
      <c r="C5995" s="500" t="s">
        <v>173</v>
      </c>
      <c r="D5995" s="500" t="s">
        <v>762</v>
      </c>
      <c r="E5995" s="501">
        <v>-2487142803.0799999</v>
      </c>
      <c r="F5995" s="502" t="s">
        <v>878</v>
      </c>
      <c r="G5995" s="100">
        <v>115757397</v>
      </c>
      <c r="H5995" s="530"/>
      <c r="I5995" s="422" t="s">
        <v>684</v>
      </c>
      <c r="J5995" s="484"/>
      <c r="K5995" s="548"/>
      <c r="L5995" s="548"/>
      <c r="M5995" s="548"/>
      <c r="N5995" s="552"/>
    </row>
    <row r="5996" spans="1:14">
      <c r="A5996" s="499">
        <v>45687</v>
      </c>
      <c r="B5996" s="499">
        <v>45687</v>
      </c>
      <c r="C5996" s="500" t="s">
        <v>173</v>
      </c>
      <c r="D5996" s="500" t="s">
        <v>762</v>
      </c>
      <c r="E5996" s="501">
        <v>-20017245.899999999</v>
      </c>
      <c r="F5996" s="502" t="s">
        <v>878</v>
      </c>
      <c r="G5996" s="100">
        <v>115757424</v>
      </c>
      <c r="H5996" s="530"/>
      <c r="I5996" s="422" t="s">
        <v>684</v>
      </c>
      <c r="J5996" s="484"/>
      <c r="K5996" s="548"/>
      <c r="L5996" s="548"/>
      <c r="M5996" s="548"/>
      <c r="N5996" s="552"/>
    </row>
    <row r="5997" spans="1:14">
      <c r="A5997" s="499">
        <v>45687</v>
      </c>
      <c r="B5997" s="499">
        <v>45687</v>
      </c>
      <c r="C5997" s="500" t="s">
        <v>173</v>
      </c>
      <c r="D5997" s="500" t="s">
        <v>762</v>
      </c>
      <c r="E5997" s="501">
        <v>-2759176461.5799999</v>
      </c>
      <c r="F5997" s="502" t="s">
        <v>878</v>
      </c>
      <c r="G5997" s="100">
        <v>115757394</v>
      </c>
      <c r="H5997" s="530"/>
      <c r="I5997" s="422" t="s">
        <v>1013</v>
      </c>
      <c r="J5997" s="484"/>
      <c r="K5997" s="548"/>
      <c r="L5997" s="548"/>
      <c r="M5997" s="548"/>
      <c r="N5997" s="552"/>
    </row>
    <row r="5998" spans="1:14">
      <c r="A5998" s="499">
        <v>45687</v>
      </c>
      <c r="B5998" s="499">
        <v>45701</v>
      </c>
      <c r="C5998" s="500" t="s">
        <v>173</v>
      </c>
      <c r="D5998" s="500" t="s">
        <v>762</v>
      </c>
      <c r="E5998" s="501">
        <v>2501185279.4899998</v>
      </c>
      <c r="F5998" s="502" t="s">
        <v>878</v>
      </c>
      <c r="G5998" s="100">
        <v>115757397</v>
      </c>
      <c r="H5998" s="484">
        <v>115757397</v>
      </c>
      <c r="I5998" s="422" t="s">
        <v>684</v>
      </c>
      <c r="J5998" s="484"/>
      <c r="K5998" s="548"/>
      <c r="L5998" s="548"/>
      <c r="M5998" s="548"/>
      <c r="N5998" s="552"/>
    </row>
    <row r="5999" spans="1:14">
      <c r="A5999" s="499">
        <v>45687</v>
      </c>
      <c r="B5999" s="499">
        <v>45701</v>
      </c>
      <c r="C5999" s="500" t="s">
        <v>173</v>
      </c>
      <c r="D5999" s="500" t="s">
        <v>762</v>
      </c>
      <c r="E5999" s="501">
        <v>20130263.82</v>
      </c>
      <c r="F5999" s="502" t="s">
        <v>878</v>
      </c>
      <c r="G5999" s="100">
        <v>115757424</v>
      </c>
      <c r="H5999" s="484">
        <v>115757424</v>
      </c>
      <c r="I5999" s="422" t="s">
        <v>684</v>
      </c>
      <c r="J5999" s="484"/>
      <c r="K5999" s="548"/>
      <c r="L5999" s="548"/>
      <c r="M5999" s="548"/>
      <c r="N5999" s="552"/>
    </row>
    <row r="6000" spans="1:14">
      <c r="A6000" s="499">
        <v>45687</v>
      </c>
      <c r="B6000" s="499">
        <v>45701</v>
      </c>
      <c r="C6000" s="500" t="s">
        <v>173</v>
      </c>
      <c r="D6000" s="500" t="s">
        <v>762</v>
      </c>
      <c r="E6000" s="501">
        <v>2774754847.48</v>
      </c>
      <c r="F6000" s="502" t="s">
        <v>878</v>
      </c>
      <c r="G6000" s="100">
        <v>115757394</v>
      </c>
      <c r="H6000" s="484">
        <v>115757394</v>
      </c>
      <c r="I6000" s="422" t="s">
        <v>1013</v>
      </c>
      <c r="J6000" s="484"/>
      <c r="K6000" s="548"/>
      <c r="L6000" s="548"/>
      <c r="M6000" s="548"/>
      <c r="N6000" s="552"/>
    </row>
    <row r="6001" spans="1:14">
      <c r="A6001" s="499">
        <v>45687</v>
      </c>
      <c r="B6001" s="499">
        <v>45687</v>
      </c>
      <c r="C6001" s="500" t="s">
        <v>173</v>
      </c>
      <c r="D6001" s="500" t="s">
        <v>761</v>
      </c>
      <c r="E6001" s="501">
        <v>-1624894239.3599999</v>
      </c>
      <c r="F6001" s="502" t="s">
        <v>878</v>
      </c>
      <c r="G6001" s="100">
        <v>115761795</v>
      </c>
      <c r="H6001" s="530"/>
      <c r="I6001" s="422" t="s">
        <v>672</v>
      </c>
      <c r="J6001" s="484"/>
      <c r="K6001" s="548"/>
      <c r="L6001" s="548"/>
      <c r="M6001" s="548"/>
      <c r="N6001" s="552"/>
    </row>
    <row r="6002" spans="1:14">
      <c r="A6002" s="499">
        <v>45687</v>
      </c>
      <c r="B6002" s="499">
        <v>45687</v>
      </c>
      <c r="C6002" s="500" t="s">
        <v>173</v>
      </c>
      <c r="D6002" s="500" t="s">
        <v>761</v>
      </c>
      <c r="E6002" s="501">
        <v>-7004012.4699999997</v>
      </c>
      <c r="F6002" s="502" t="s">
        <v>878</v>
      </c>
      <c r="G6002" s="100">
        <v>115762356</v>
      </c>
      <c r="H6002" s="530"/>
      <c r="I6002" s="422" t="s">
        <v>674</v>
      </c>
      <c r="J6002" s="484"/>
      <c r="K6002" s="548"/>
      <c r="L6002" s="548"/>
      <c r="M6002" s="548"/>
      <c r="N6002" s="552"/>
    </row>
    <row r="6003" spans="1:14">
      <c r="A6003" s="499">
        <v>45687</v>
      </c>
      <c r="B6003" s="499">
        <v>45688</v>
      </c>
      <c r="C6003" s="500" t="s">
        <v>173</v>
      </c>
      <c r="D6003" s="500" t="s">
        <v>761</v>
      </c>
      <c r="E6003" s="501">
        <v>1625546422.9400001</v>
      </c>
      <c r="F6003" s="502" t="s">
        <v>878</v>
      </c>
      <c r="G6003" s="100">
        <v>115761795</v>
      </c>
      <c r="H6003" s="484">
        <v>115761795</v>
      </c>
      <c r="I6003" s="422" t="s">
        <v>672</v>
      </c>
      <c r="J6003" s="484"/>
      <c r="K6003" s="548"/>
      <c r="L6003" s="548"/>
      <c r="M6003" s="548"/>
      <c r="N6003" s="552"/>
    </row>
    <row r="6004" spans="1:14">
      <c r="A6004" s="499">
        <v>45687</v>
      </c>
      <c r="B6004" s="499">
        <v>45688</v>
      </c>
      <c r="C6004" s="500" t="s">
        <v>173</v>
      </c>
      <c r="D6004" s="500" t="s">
        <v>761</v>
      </c>
      <c r="E6004" s="501">
        <v>7006823.6699999999</v>
      </c>
      <c r="F6004" s="502" t="s">
        <v>878</v>
      </c>
      <c r="G6004" s="100">
        <v>115762356</v>
      </c>
      <c r="H6004" s="484">
        <v>115762356</v>
      </c>
      <c r="I6004" s="422" t="s">
        <v>674</v>
      </c>
      <c r="J6004" s="484"/>
      <c r="K6004" s="548"/>
      <c r="L6004" s="548">
        <v>-1</v>
      </c>
      <c r="M6004" s="548"/>
      <c r="N6004" s="552"/>
    </row>
    <row r="6005" spans="1:14">
      <c r="A6005" s="499">
        <v>45687</v>
      </c>
      <c r="B6005" s="499">
        <v>45687</v>
      </c>
      <c r="C6005" s="500" t="s">
        <v>173</v>
      </c>
      <c r="D6005" s="500" t="s">
        <v>759</v>
      </c>
      <c r="E6005" s="501">
        <v>-348031732.38</v>
      </c>
      <c r="F6005" s="502" t="s">
        <v>878</v>
      </c>
      <c r="G6005" s="100">
        <v>115755273</v>
      </c>
      <c r="H6005" s="530"/>
      <c r="I6005" s="422" t="s">
        <v>680</v>
      </c>
      <c r="J6005" s="484"/>
      <c r="K6005" s="548"/>
      <c r="L6005" s="548"/>
      <c r="M6005" s="548"/>
      <c r="N6005" s="552"/>
    </row>
    <row r="6006" spans="1:14">
      <c r="A6006" s="499">
        <v>45687</v>
      </c>
      <c r="B6006" s="499">
        <v>45687</v>
      </c>
      <c r="C6006" s="500" t="s">
        <v>173</v>
      </c>
      <c r="D6006" s="500" t="s">
        <v>759</v>
      </c>
      <c r="E6006" s="501">
        <v>-348262359.98000002</v>
      </c>
      <c r="F6006" s="502" t="s">
        <v>878</v>
      </c>
      <c r="G6006" s="100">
        <v>115755276</v>
      </c>
      <c r="H6006" s="530"/>
      <c r="I6006" s="422" t="s">
        <v>821</v>
      </c>
      <c r="J6006" s="484"/>
      <c r="K6006" s="548"/>
      <c r="L6006" s="548"/>
      <c r="M6006" s="548"/>
      <c r="N6006" s="552"/>
    </row>
    <row r="6007" spans="1:14">
      <c r="A6007" s="499">
        <v>45687</v>
      </c>
      <c r="B6007" s="499">
        <v>45687</v>
      </c>
      <c r="C6007" s="500" t="s">
        <v>173</v>
      </c>
      <c r="D6007" s="500" t="s">
        <v>759</v>
      </c>
      <c r="E6007" s="501">
        <v>-355185185.04000002</v>
      </c>
      <c r="F6007" s="502" t="s">
        <v>878</v>
      </c>
      <c r="G6007" s="100">
        <v>115755279</v>
      </c>
      <c r="H6007" s="530"/>
      <c r="I6007" s="422" t="s">
        <v>693</v>
      </c>
      <c r="J6007" s="484"/>
      <c r="K6007" s="548"/>
      <c r="L6007" s="548"/>
      <c r="M6007" s="548"/>
      <c r="N6007" s="552"/>
    </row>
    <row r="6008" spans="1:14">
      <c r="A6008" s="499">
        <v>45687</v>
      </c>
      <c r="B6008" s="499">
        <v>45687</v>
      </c>
      <c r="C6008" s="500" t="s">
        <v>173</v>
      </c>
      <c r="D6008" s="500" t="s">
        <v>759</v>
      </c>
      <c r="E6008" s="501">
        <v>-355224527.56</v>
      </c>
      <c r="F6008" s="502" t="s">
        <v>878</v>
      </c>
      <c r="G6008" s="100">
        <v>115755282</v>
      </c>
      <c r="H6008" s="530"/>
      <c r="I6008" s="422" t="s">
        <v>671</v>
      </c>
      <c r="J6008" s="484"/>
      <c r="K6008" s="548"/>
      <c r="L6008" s="548"/>
      <c r="M6008" s="548"/>
      <c r="N6008" s="552"/>
    </row>
    <row r="6009" spans="1:14">
      <c r="A6009" s="499">
        <v>45687</v>
      </c>
      <c r="B6009" s="499">
        <v>45687</v>
      </c>
      <c r="C6009" s="500" t="s">
        <v>173</v>
      </c>
      <c r="D6009" s="500" t="s">
        <v>759</v>
      </c>
      <c r="E6009" s="501">
        <v>-378231788.08999997</v>
      </c>
      <c r="F6009" s="502" t="s">
        <v>878</v>
      </c>
      <c r="G6009" s="100">
        <v>115755285</v>
      </c>
      <c r="H6009" s="530"/>
      <c r="I6009" s="422" t="s">
        <v>602</v>
      </c>
      <c r="J6009" s="484"/>
      <c r="K6009" s="548"/>
      <c r="L6009" s="548"/>
      <c r="M6009" s="548"/>
      <c r="N6009" s="552"/>
    </row>
    <row r="6010" spans="1:14">
      <c r="A6010" s="499">
        <v>45687</v>
      </c>
      <c r="B6010" s="499">
        <v>45687</v>
      </c>
      <c r="C6010" s="500" t="s">
        <v>173</v>
      </c>
      <c r="D6010" s="500" t="s">
        <v>759</v>
      </c>
      <c r="E6010" s="501">
        <v>-392034468.56</v>
      </c>
      <c r="F6010" s="502" t="s">
        <v>878</v>
      </c>
      <c r="G6010" s="100">
        <v>115755288</v>
      </c>
      <c r="H6010" s="530"/>
      <c r="I6010" s="422" t="s">
        <v>692</v>
      </c>
      <c r="J6010" s="484"/>
      <c r="K6010" s="548"/>
      <c r="L6010" s="548"/>
      <c r="M6010" s="548"/>
      <c r="N6010" s="552"/>
    </row>
    <row r="6011" spans="1:14">
      <c r="A6011" s="499">
        <v>45687</v>
      </c>
      <c r="B6011" s="499">
        <v>45687</v>
      </c>
      <c r="C6011" s="500" t="s">
        <v>173</v>
      </c>
      <c r="D6011" s="500" t="s">
        <v>759</v>
      </c>
      <c r="E6011" s="501">
        <v>-144012661.91999999</v>
      </c>
      <c r="F6011" s="502" t="s">
        <v>878</v>
      </c>
      <c r="G6011" s="100">
        <v>115755291</v>
      </c>
      <c r="H6011" s="530"/>
      <c r="I6011" s="422" t="s">
        <v>692</v>
      </c>
      <c r="J6011" s="484"/>
      <c r="K6011" s="548"/>
      <c r="L6011" s="548"/>
      <c r="M6011" s="548"/>
      <c r="N6011" s="552"/>
    </row>
    <row r="6012" spans="1:14">
      <c r="A6012" s="499">
        <v>45687</v>
      </c>
      <c r="B6012" s="499">
        <v>45687</v>
      </c>
      <c r="C6012" s="500" t="s">
        <v>173</v>
      </c>
      <c r="D6012" s="500" t="s">
        <v>759</v>
      </c>
      <c r="E6012" s="501">
        <v>-11004692.199999999</v>
      </c>
      <c r="F6012" s="502" t="s">
        <v>878</v>
      </c>
      <c r="G6012" s="100">
        <v>115763660</v>
      </c>
      <c r="H6012" s="530"/>
      <c r="I6012" s="422" t="s">
        <v>1013</v>
      </c>
      <c r="J6012" s="484"/>
      <c r="K6012" s="548"/>
      <c r="L6012" s="548"/>
      <c r="M6012" s="548"/>
      <c r="N6012" s="552"/>
    </row>
    <row r="6013" spans="1:14">
      <c r="A6013" s="499">
        <v>45687</v>
      </c>
      <c r="B6013" s="499">
        <v>45688</v>
      </c>
      <c r="C6013" s="500" t="s">
        <v>173</v>
      </c>
      <c r="D6013" s="500" t="s">
        <v>759</v>
      </c>
      <c r="E6013" s="501">
        <v>348170468.31999999</v>
      </c>
      <c r="F6013" s="502" t="s">
        <v>878</v>
      </c>
      <c r="G6013" s="100">
        <v>115755273</v>
      </c>
      <c r="H6013" s="484">
        <v>115755273</v>
      </c>
      <c r="I6013" s="422" t="s">
        <v>680</v>
      </c>
      <c r="J6013" s="484"/>
      <c r="K6013" s="548"/>
      <c r="L6013" s="548"/>
      <c r="M6013" s="548"/>
      <c r="N6013" s="552"/>
    </row>
    <row r="6014" spans="1:14">
      <c r="A6014" s="499">
        <v>45687</v>
      </c>
      <c r="B6014" s="499">
        <v>45688</v>
      </c>
      <c r="C6014" s="500" t="s">
        <v>173</v>
      </c>
      <c r="D6014" s="500" t="s">
        <v>759</v>
      </c>
      <c r="E6014" s="501">
        <v>348401187.85000002</v>
      </c>
      <c r="F6014" s="502" t="s">
        <v>878</v>
      </c>
      <c r="G6014" s="100">
        <v>115755276</v>
      </c>
      <c r="H6014" s="484">
        <v>115755276</v>
      </c>
      <c r="I6014" s="422" t="s">
        <v>821</v>
      </c>
      <c r="J6014" s="484"/>
      <c r="K6014" s="548"/>
      <c r="L6014" s="548"/>
      <c r="M6014" s="548"/>
      <c r="N6014" s="552"/>
    </row>
    <row r="6015" spans="1:14">
      <c r="A6015" s="499">
        <v>45687</v>
      </c>
      <c r="B6015" s="499">
        <v>45688</v>
      </c>
      <c r="C6015" s="500" t="s">
        <v>173</v>
      </c>
      <c r="D6015" s="500" t="s">
        <v>759</v>
      </c>
      <c r="E6015" s="501">
        <v>355326772.56</v>
      </c>
      <c r="F6015" s="502" t="s">
        <v>878</v>
      </c>
      <c r="G6015" s="100">
        <v>115755279</v>
      </c>
      <c r="H6015" s="484">
        <v>115755279</v>
      </c>
      <c r="I6015" s="422" t="s">
        <v>693</v>
      </c>
      <c r="J6015" s="484"/>
      <c r="K6015" s="548"/>
      <c r="L6015" s="548"/>
      <c r="M6015" s="548"/>
      <c r="N6015" s="552"/>
    </row>
    <row r="6016" spans="1:14">
      <c r="A6016" s="499">
        <v>45687</v>
      </c>
      <c r="B6016" s="499">
        <v>45688</v>
      </c>
      <c r="C6016" s="500" t="s">
        <v>173</v>
      </c>
      <c r="D6016" s="500" t="s">
        <v>759</v>
      </c>
      <c r="E6016" s="501">
        <v>355366130.75999999</v>
      </c>
      <c r="F6016" s="502" t="s">
        <v>878</v>
      </c>
      <c r="G6016" s="100">
        <v>115755282</v>
      </c>
      <c r="H6016" s="484">
        <v>115755282</v>
      </c>
      <c r="I6016" s="422" t="s">
        <v>671</v>
      </c>
      <c r="J6016" s="484"/>
      <c r="K6016" s="548"/>
      <c r="L6016" s="548"/>
      <c r="M6016" s="548"/>
      <c r="N6016" s="552"/>
    </row>
    <row r="6017" spans="1:14">
      <c r="A6017" s="499">
        <v>45687</v>
      </c>
      <c r="B6017" s="499">
        <v>45688</v>
      </c>
      <c r="C6017" s="500" t="s">
        <v>173</v>
      </c>
      <c r="D6017" s="500" t="s">
        <v>759</v>
      </c>
      <c r="E6017" s="501">
        <v>378382562.68000001</v>
      </c>
      <c r="F6017" s="502" t="s">
        <v>878</v>
      </c>
      <c r="G6017" s="100">
        <v>115755285</v>
      </c>
      <c r="H6017" s="484">
        <v>115755285</v>
      </c>
      <c r="I6017" s="422" t="s">
        <v>602</v>
      </c>
      <c r="J6017" s="484"/>
      <c r="K6017" s="548"/>
      <c r="L6017" s="548"/>
      <c r="M6017" s="548"/>
      <c r="N6017" s="552"/>
    </row>
    <row r="6018" spans="1:14">
      <c r="A6018" s="499">
        <v>45687</v>
      </c>
      <c r="B6018" s="499">
        <v>45688</v>
      </c>
      <c r="C6018" s="500" t="s">
        <v>173</v>
      </c>
      <c r="D6018" s="500" t="s">
        <v>759</v>
      </c>
      <c r="E6018" s="501">
        <v>392190745.31</v>
      </c>
      <c r="F6018" s="502" t="s">
        <v>878</v>
      </c>
      <c r="G6018" s="100">
        <v>115755288</v>
      </c>
      <c r="H6018" s="484">
        <v>115755288</v>
      </c>
      <c r="I6018" s="422" t="s">
        <v>692</v>
      </c>
      <c r="J6018" s="484"/>
      <c r="K6018" s="548"/>
      <c r="L6018" s="548"/>
      <c r="M6018" s="548"/>
      <c r="N6018" s="552"/>
    </row>
    <row r="6019" spans="1:14">
      <c r="A6019" s="499">
        <v>45687</v>
      </c>
      <c r="B6019" s="499">
        <v>45688</v>
      </c>
      <c r="C6019" s="500" t="s">
        <v>173</v>
      </c>
      <c r="D6019" s="500" t="s">
        <v>759</v>
      </c>
      <c r="E6019" s="501">
        <v>144070069.71000001</v>
      </c>
      <c r="F6019" s="502" t="s">
        <v>878</v>
      </c>
      <c r="G6019" s="100">
        <v>115755291</v>
      </c>
      <c r="H6019" s="484">
        <v>115755291</v>
      </c>
      <c r="I6019" s="422" t="s">
        <v>692</v>
      </c>
      <c r="J6019" s="484"/>
      <c r="K6019" s="548"/>
      <c r="L6019" s="548"/>
      <c r="M6019" s="548"/>
      <c r="N6019" s="552"/>
    </row>
    <row r="6020" spans="1:14">
      <c r="A6020" s="499">
        <v>45687</v>
      </c>
      <c r="B6020" s="499">
        <v>45688</v>
      </c>
      <c r="C6020" s="500" t="s">
        <v>173</v>
      </c>
      <c r="D6020" s="500" t="s">
        <v>759</v>
      </c>
      <c r="E6020" s="501">
        <v>11009006.640000001</v>
      </c>
      <c r="F6020" s="502" t="s">
        <v>878</v>
      </c>
      <c r="G6020" s="100">
        <v>115763660</v>
      </c>
      <c r="H6020" s="484">
        <v>115763660</v>
      </c>
      <c r="I6020" s="422" t="s">
        <v>1013</v>
      </c>
      <c r="J6020" s="484"/>
      <c r="K6020" s="548"/>
      <c r="L6020" s="548"/>
      <c r="M6020" s="548"/>
      <c r="N6020" s="552"/>
    </row>
    <row r="6021" spans="1:14">
      <c r="A6021" s="499">
        <v>45687</v>
      </c>
      <c r="B6021" s="499">
        <v>45687</v>
      </c>
      <c r="C6021" s="500" t="s">
        <v>173</v>
      </c>
      <c r="D6021" s="500" t="s">
        <v>760</v>
      </c>
      <c r="E6021" s="501">
        <v>-184018294.19999999</v>
      </c>
      <c r="F6021" s="502" t="s">
        <v>878</v>
      </c>
      <c r="G6021" s="100">
        <v>115755268</v>
      </c>
      <c r="H6021" s="530"/>
      <c r="I6021" s="422" t="s">
        <v>685</v>
      </c>
      <c r="J6021" s="484"/>
      <c r="K6021" s="548"/>
      <c r="L6021" s="548"/>
      <c r="M6021" s="548"/>
      <c r="N6021" s="552"/>
    </row>
    <row r="6022" spans="1:14">
      <c r="A6022" s="499">
        <v>45687</v>
      </c>
      <c r="B6022" s="499">
        <v>45688</v>
      </c>
      <c r="C6022" s="500" t="s">
        <v>173</v>
      </c>
      <c r="D6022" s="500" t="s">
        <v>760</v>
      </c>
      <c r="E6022" s="501">
        <v>184091397.36000001</v>
      </c>
      <c r="F6022" s="502" t="s">
        <v>878</v>
      </c>
      <c r="G6022" s="100">
        <v>115755268</v>
      </c>
      <c r="H6022" s="100">
        <v>115755268</v>
      </c>
      <c r="I6022" s="422" t="s">
        <v>685</v>
      </c>
      <c r="J6022" s="484"/>
      <c r="K6022" s="548"/>
      <c r="L6022" s="548"/>
      <c r="M6022" s="548"/>
      <c r="N6022" s="552"/>
    </row>
    <row r="6023" spans="1:14">
      <c r="A6023" s="499">
        <v>45687</v>
      </c>
      <c r="B6023" s="499">
        <v>45687</v>
      </c>
      <c r="C6023" s="500" t="s">
        <v>173</v>
      </c>
      <c r="D6023" s="500" t="s">
        <v>763</v>
      </c>
      <c r="E6023" s="501">
        <v>-5001658490</v>
      </c>
      <c r="F6023" s="502" t="s">
        <v>878</v>
      </c>
      <c r="G6023" s="100">
        <v>115755619</v>
      </c>
      <c r="H6023" s="530"/>
      <c r="I6023" s="422" t="s">
        <v>652</v>
      </c>
      <c r="J6023" s="484"/>
      <c r="K6023" s="548"/>
      <c r="L6023" s="548"/>
      <c r="M6023" s="548"/>
      <c r="N6023" s="552"/>
    </row>
    <row r="6024" spans="1:14">
      <c r="A6024" s="499">
        <v>45687</v>
      </c>
      <c r="B6024" s="499">
        <v>45687</v>
      </c>
      <c r="C6024" s="500" t="s">
        <v>173</v>
      </c>
      <c r="D6024" s="500" t="s">
        <v>763</v>
      </c>
      <c r="E6024" s="501">
        <v>-5000572.96</v>
      </c>
      <c r="F6024" s="502" t="s">
        <v>878</v>
      </c>
      <c r="G6024" s="100">
        <v>115755738</v>
      </c>
      <c r="H6024" s="530"/>
      <c r="I6024" s="422" t="s">
        <v>816</v>
      </c>
      <c r="J6024" s="484"/>
      <c r="K6024" s="548"/>
      <c r="L6024" s="548"/>
      <c r="M6024" s="548"/>
      <c r="N6024" s="552"/>
    </row>
    <row r="6025" spans="1:14">
      <c r="A6025" s="499">
        <v>45687</v>
      </c>
      <c r="B6025" s="499">
        <v>45687</v>
      </c>
      <c r="C6025" s="500" t="s">
        <v>173</v>
      </c>
      <c r="D6025" s="500" t="s">
        <v>763</v>
      </c>
      <c r="E6025" s="501">
        <v>-962529715.67999995</v>
      </c>
      <c r="F6025" s="502" t="s">
        <v>878</v>
      </c>
      <c r="G6025" s="100">
        <v>115755842</v>
      </c>
      <c r="H6025" s="530"/>
      <c r="I6025" s="422" t="s">
        <v>672</v>
      </c>
      <c r="J6025" s="484"/>
      <c r="K6025" s="548"/>
      <c r="L6025" s="548"/>
      <c r="M6025" s="548"/>
      <c r="N6025" s="552"/>
    </row>
    <row r="6026" spans="1:14">
      <c r="A6026" s="499">
        <v>45687</v>
      </c>
      <c r="B6026" s="499">
        <v>45687</v>
      </c>
      <c r="C6026" s="500" t="s">
        <v>173</v>
      </c>
      <c r="D6026" s="500" t="s">
        <v>763</v>
      </c>
      <c r="E6026" s="501">
        <v>-25008292.449999999</v>
      </c>
      <c r="F6026" s="502" t="s">
        <v>878</v>
      </c>
      <c r="G6026" s="100">
        <v>115755903</v>
      </c>
      <c r="H6026" s="530"/>
      <c r="I6026" s="422" t="s">
        <v>652</v>
      </c>
      <c r="J6026" s="484"/>
      <c r="K6026" s="548"/>
      <c r="L6026" s="548"/>
      <c r="M6026" s="548"/>
      <c r="N6026" s="552"/>
    </row>
    <row r="6027" spans="1:14">
      <c r="A6027" s="499">
        <v>45687</v>
      </c>
      <c r="B6027" s="499">
        <v>45688</v>
      </c>
      <c r="C6027" s="500" t="s">
        <v>173</v>
      </c>
      <c r="D6027" s="500" t="s">
        <v>763</v>
      </c>
      <c r="E6027" s="501">
        <v>5003645450.2200003</v>
      </c>
      <c r="F6027" s="502" t="s">
        <v>878</v>
      </c>
      <c r="G6027" s="100">
        <v>115755619</v>
      </c>
      <c r="H6027" s="484">
        <v>115755619</v>
      </c>
      <c r="I6027" s="422" t="s">
        <v>652</v>
      </c>
      <c r="J6027" s="484"/>
      <c r="K6027" s="548"/>
      <c r="L6027" s="548"/>
      <c r="M6027" s="548"/>
      <c r="N6027" s="552"/>
    </row>
    <row r="6028" spans="1:14">
      <c r="A6028" s="499">
        <v>45687</v>
      </c>
      <c r="B6028" s="499">
        <v>45688</v>
      </c>
      <c r="C6028" s="500" t="s">
        <v>173</v>
      </c>
      <c r="D6028" s="500" t="s">
        <v>763</v>
      </c>
      <c r="E6028" s="501">
        <v>5002559.49</v>
      </c>
      <c r="F6028" s="502" t="s">
        <v>878</v>
      </c>
      <c r="G6028" s="100">
        <v>115755738</v>
      </c>
      <c r="H6028" s="484">
        <v>115755738</v>
      </c>
      <c r="I6028" s="422" t="s">
        <v>816</v>
      </c>
      <c r="J6028" s="484"/>
      <c r="K6028" s="548"/>
      <c r="L6028" s="548"/>
      <c r="M6028" s="548"/>
      <c r="N6028" s="552"/>
    </row>
    <row r="6029" spans="1:14">
      <c r="A6029" s="499">
        <v>45687</v>
      </c>
      <c r="B6029" s="499">
        <v>45688</v>
      </c>
      <c r="C6029" s="500" t="s">
        <v>173</v>
      </c>
      <c r="D6029" s="500" t="s">
        <v>763</v>
      </c>
      <c r="E6029" s="501">
        <v>962912090.5</v>
      </c>
      <c r="F6029" s="502" t="s">
        <v>878</v>
      </c>
      <c r="G6029" s="100">
        <v>115755842</v>
      </c>
      <c r="H6029" s="484">
        <v>115755842</v>
      </c>
      <c r="I6029" s="422" t="s">
        <v>672</v>
      </c>
      <c r="J6029" s="484"/>
      <c r="K6029" s="548"/>
      <c r="L6029" s="548"/>
      <c r="M6029" s="548"/>
      <c r="N6029" s="552"/>
    </row>
    <row r="6030" spans="1:14">
      <c r="A6030" s="499">
        <v>45687</v>
      </c>
      <c r="B6030" s="499">
        <v>45688</v>
      </c>
      <c r="C6030" s="500" t="s">
        <v>173</v>
      </c>
      <c r="D6030" s="500" t="s">
        <v>763</v>
      </c>
      <c r="E6030" s="501">
        <v>25018227.25</v>
      </c>
      <c r="F6030" s="502" t="s">
        <v>878</v>
      </c>
      <c r="G6030" s="100">
        <v>115755903</v>
      </c>
      <c r="H6030" s="484">
        <v>115755903</v>
      </c>
      <c r="I6030" s="422" t="s">
        <v>652</v>
      </c>
      <c r="J6030" s="484"/>
      <c r="K6030" s="548"/>
      <c r="L6030" s="548"/>
      <c r="M6030" s="548"/>
      <c r="N6030" s="552"/>
    </row>
    <row r="6031" spans="1:14">
      <c r="A6031" s="499">
        <v>45688</v>
      </c>
      <c r="B6031" s="499">
        <v>45688</v>
      </c>
      <c r="C6031" s="500" t="s">
        <v>173</v>
      </c>
      <c r="D6031" s="500" t="s">
        <v>761</v>
      </c>
      <c r="E6031" s="501">
        <v>-1626209471.25</v>
      </c>
      <c r="F6031" s="502" t="s">
        <v>878</v>
      </c>
      <c r="G6031" s="100">
        <v>115775697</v>
      </c>
      <c r="H6031" s="530"/>
      <c r="I6031" s="422" t="s">
        <v>687</v>
      </c>
      <c r="J6031" s="484"/>
      <c r="K6031" s="548"/>
      <c r="L6031" s="548"/>
      <c r="M6031" s="548"/>
      <c r="N6031" s="552"/>
    </row>
    <row r="6032" spans="1:14">
      <c r="A6032" s="499">
        <v>45688</v>
      </c>
      <c r="B6032" s="499">
        <v>45688</v>
      </c>
      <c r="C6032" s="500" t="s">
        <v>173</v>
      </c>
      <c r="D6032" s="500" t="s">
        <v>761</v>
      </c>
      <c r="E6032" s="501">
        <v>-6004843.6799999997</v>
      </c>
      <c r="F6032" s="502" t="s">
        <v>878</v>
      </c>
      <c r="G6032" s="100">
        <v>115781224</v>
      </c>
      <c r="H6032" s="530"/>
      <c r="I6032" s="422" t="s">
        <v>680</v>
      </c>
      <c r="J6032" s="484"/>
      <c r="K6032" s="548"/>
      <c r="L6032" s="548"/>
      <c r="M6032" s="548"/>
      <c r="N6032" s="552"/>
    </row>
    <row r="6033" spans="1:14">
      <c r="A6033" s="499">
        <v>45688</v>
      </c>
      <c r="B6033" s="499">
        <v>45691</v>
      </c>
      <c r="C6033" s="500" t="s">
        <v>173</v>
      </c>
      <c r="D6033" s="500" t="s">
        <v>761</v>
      </c>
      <c r="E6033" s="501">
        <v>1628194337.8800001</v>
      </c>
      <c r="F6033" s="502" t="s">
        <v>878</v>
      </c>
      <c r="G6033" s="100">
        <v>115775697</v>
      </c>
      <c r="H6033" s="484">
        <v>115775697</v>
      </c>
      <c r="I6033" s="422" t="s">
        <v>687</v>
      </c>
      <c r="J6033" s="484"/>
      <c r="K6033" s="548"/>
      <c r="L6033" s="548"/>
      <c r="M6033" s="548"/>
      <c r="N6033" s="552"/>
    </row>
    <row r="6034" spans="1:14">
      <c r="A6034" s="499">
        <v>45688</v>
      </c>
      <c r="B6034" s="499">
        <v>45695</v>
      </c>
      <c r="C6034" s="500" t="s">
        <v>173</v>
      </c>
      <c r="D6034" s="500" t="s">
        <v>761</v>
      </c>
      <c r="E6034" s="501">
        <v>6021887.5700000003</v>
      </c>
      <c r="F6034" s="502" t="s">
        <v>878</v>
      </c>
      <c r="G6034" s="100">
        <v>115781224</v>
      </c>
      <c r="H6034" s="484">
        <v>115781224</v>
      </c>
      <c r="I6034" s="422" t="s">
        <v>680</v>
      </c>
      <c r="J6034" s="484"/>
      <c r="K6034" s="548"/>
      <c r="L6034" s="548"/>
      <c r="M6034" s="548"/>
      <c r="N6034" s="552"/>
    </row>
    <row r="6035" spans="1:14">
      <c r="A6035" s="499">
        <v>45688</v>
      </c>
      <c r="B6035" s="499">
        <v>45688</v>
      </c>
      <c r="C6035" s="500" t="s">
        <v>173</v>
      </c>
      <c r="D6035" s="500" t="s">
        <v>759</v>
      </c>
      <c r="E6035" s="501">
        <v>-2322256252.8600001</v>
      </c>
      <c r="F6035" s="502" t="s">
        <v>878</v>
      </c>
      <c r="G6035" s="100">
        <v>115777754</v>
      </c>
      <c r="H6035" s="530"/>
      <c r="I6035" s="422" t="s">
        <v>713</v>
      </c>
      <c r="J6035" s="484"/>
      <c r="K6035" s="548"/>
      <c r="L6035" s="548"/>
      <c r="M6035" s="548"/>
      <c r="N6035" s="552"/>
    </row>
    <row r="6036" spans="1:14">
      <c r="A6036" s="499">
        <v>45688</v>
      </c>
      <c r="B6036" s="499">
        <v>45688</v>
      </c>
      <c r="C6036" s="500" t="s">
        <v>173</v>
      </c>
      <c r="D6036" s="500" t="s">
        <v>759</v>
      </c>
      <c r="E6036" s="501">
        <v>-10008581.1</v>
      </c>
      <c r="F6036" s="502" t="s">
        <v>878</v>
      </c>
      <c r="G6036" s="100">
        <v>115777861</v>
      </c>
      <c r="H6036" s="530"/>
      <c r="I6036" s="422" t="s">
        <v>657</v>
      </c>
      <c r="J6036" s="484"/>
      <c r="K6036" s="548"/>
      <c r="L6036" s="548"/>
      <c r="M6036" s="548"/>
      <c r="N6036" s="552"/>
    </row>
    <row r="6037" spans="1:14">
      <c r="A6037" s="499">
        <v>45688</v>
      </c>
      <c r="B6037" s="499">
        <v>45691</v>
      </c>
      <c r="C6037" s="500" t="s">
        <v>173</v>
      </c>
      <c r="D6037" s="500" t="s">
        <v>759</v>
      </c>
      <c r="E6037" s="501">
        <v>2325071590.9200001</v>
      </c>
      <c r="F6037" s="502" t="s">
        <v>878</v>
      </c>
      <c r="G6037" s="100">
        <v>115777754</v>
      </c>
      <c r="H6037" s="100">
        <v>115777754</v>
      </c>
      <c r="I6037" s="422" t="s">
        <v>713</v>
      </c>
      <c r="J6037" s="484"/>
      <c r="K6037" s="548"/>
      <c r="L6037" s="548"/>
      <c r="M6037" s="548"/>
      <c r="N6037" s="552"/>
    </row>
    <row r="6038" spans="1:14">
      <c r="A6038" s="499">
        <v>45688</v>
      </c>
      <c r="B6038" s="499">
        <v>45691</v>
      </c>
      <c r="C6038" s="500" t="s">
        <v>173</v>
      </c>
      <c r="D6038" s="500" t="s">
        <v>759</v>
      </c>
      <c r="E6038" s="501">
        <v>10020673.66</v>
      </c>
      <c r="F6038" s="502" t="s">
        <v>878</v>
      </c>
      <c r="G6038" s="100">
        <v>115777861</v>
      </c>
      <c r="H6038" s="100">
        <v>115777861</v>
      </c>
      <c r="I6038" s="422" t="s">
        <v>657</v>
      </c>
      <c r="J6038" s="484"/>
      <c r="K6038" s="548"/>
      <c r="L6038" s="548"/>
      <c r="M6038" s="548"/>
      <c r="N6038" s="552"/>
    </row>
    <row r="6039" spans="1:14">
      <c r="A6039" s="499">
        <v>45688</v>
      </c>
      <c r="B6039" s="499">
        <v>45688</v>
      </c>
      <c r="C6039" s="500" t="s">
        <v>173</v>
      </c>
      <c r="D6039" s="500" t="s">
        <v>760</v>
      </c>
      <c r="E6039" s="501">
        <v>-111104220.56</v>
      </c>
      <c r="F6039" s="502" t="s">
        <v>878</v>
      </c>
      <c r="G6039" s="100">
        <v>115773519</v>
      </c>
      <c r="H6039" s="530"/>
      <c r="I6039" s="422" t="s">
        <v>675</v>
      </c>
      <c r="J6039" s="484"/>
      <c r="K6039" s="548"/>
      <c r="L6039" s="548"/>
      <c r="M6039" s="548"/>
      <c r="N6039" s="552"/>
    </row>
    <row r="6040" spans="1:14">
      <c r="A6040" s="499">
        <v>45688</v>
      </c>
      <c r="B6040" s="499">
        <v>45688</v>
      </c>
      <c r="C6040" s="500" t="s">
        <v>173</v>
      </c>
      <c r="D6040" s="500" t="s">
        <v>760</v>
      </c>
      <c r="E6040" s="501">
        <v>-72002516.870000005</v>
      </c>
      <c r="F6040" s="502" t="s">
        <v>878</v>
      </c>
      <c r="G6040" s="100">
        <v>115773575</v>
      </c>
      <c r="H6040" s="530"/>
      <c r="I6040" s="422" t="s">
        <v>635</v>
      </c>
      <c r="J6040" s="484"/>
      <c r="K6040" s="548"/>
      <c r="L6040" s="548"/>
      <c r="M6040" s="548"/>
      <c r="N6040" s="552"/>
    </row>
    <row r="6041" spans="1:14">
      <c r="A6041" s="499">
        <v>45688</v>
      </c>
      <c r="B6041" s="499">
        <v>45691</v>
      </c>
      <c r="C6041" s="500" t="s">
        <v>173</v>
      </c>
      <c r="D6041" s="500" t="s">
        <v>760</v>
      </c>
      <c r="E6041" s="501">
        <v>111239372</v>
      </c>
      <c r="F6041" s="502" t="s">
        <v>878</v>
      </c>
      <c r="G6041" s="100">
        <v>115773519</v>
      </c>
      <c r="H6041" s="100">
        <v>115773519</v>
      </c>
      <c r="I6041" s="422" t="s">
        <v>675</v>
      </c>
      <c r="J6041" s="484"/>
      <c r="K6041" s="548"/>
      <c r="L6041" s="548"/>
      <c r="M6041" s="548"/>
      <c r="N6041" s="552"/>
    </row>
    <row r="6042" spans="1:14">
      <c r="A6042" s="499">
        <v>45688</v>
      </c>
      <c r="B6042" s="499">
        <v>45691</v>
      </c>
      <c r="C6042" s="500" t="s">
        <v>173</v>
      </c>
      <c r="D6042" s="500" t="s">
        <v>760</v>
      </c>
      <c r="E6042" s="501">
        <v>72090103.489999995</v>
      </c>
      <c r="F6042" s="502" t="s">
        <v>878</v>
      </c>
      <c r="G6042" s="100">
        <v>115773575</v>
      </c>
      <c r="H6042" s="100">
        <v>115773575</v>
      </c>
      <c r="I6042" s="422" t="s">
        <v>635</v>
      </c>
      <c r="J6042" s="484"/>
      <c r="K6042" s="548"/>
      <c r="L6042" s="548"/>
      <c r="M6042" s="548"/>
      <c r="N6042" s="552"/>
    </row>
    <row r="6043" spans="1:14">
      <c r="A6043" s="499">
        <v>45688</v>
      </c>
      <c r="B6043" s="499">
        <v>45688</v>
      </c>
      <c r="C6043" s="500" t="s">
        <v>173</v>
      </c>
      <c r="D6043" s="500" t="s">
        <v>763</v>
      </c>
      <c r="E6043" s="501">
        <v>-833740274.61000001</v>
      </c>
      <c r="F6043" s="502" t="s">
        <v>878</v>
      </c>
      <c r="G6043" s="100">
        <v>115773703</v>
      </c>
      <c r="H6043" s="530"/>
      <c r="I6043" s="422" t="s">
        <v>596</v>
      </c>
      <c r="J6043" s="484"/>
      <c r="K6043" s="548"/>
      <c r="L6043" s="548"/>
      <c r="M6043" s="548"/>
      <c r="N6043" s="552"/>
    </row>
    <row r="6044" spans="1:14">
      <c r="A6044" s="499">
        <v>45688</v>
      </c>
      <c r="B6044" s="499">
        <v>45688</v>
      </c>
      <c r="C6044" s="500" t="s">
        <v>173</v>
      </c>
      <c r="D6044" s="500" t="s">
        <v>763</v>
      </c>
      <c r="E6044" s="501">
        <v>-844739599.73000002</v>
      </c>
      <c r="F6044" s="502" t="s">
        <v>878</v>
      </c>
      <c r="G6044" s="100">
        <v>115773706</v>
      </c>
      <c r="H6044" s="530"/>
      <c r="I6044" s="422" t="s">
        <v>695</v>
      </c>
      <c r="J6044" s="484"/>
      <c r="K6044" s="548"/>
      <c r="L6044" s="548"/>
      <c r="M6044" s="548"/>
      <c r="N6044" s="552"/>
    </row>
    <row r="6045" spans="1:14">
      <c r="A6045" s="499">
        <v>45688</v>
      </c>
      <c r="B6045" s="499">
        <v>45688</v>
      </c>
      <c r="C6045" s="500" t="s">
        <v>173</v>
      </c>
      <c r="D6045" s="500" t="s">
        <v>763</v>
      </c>
      <c r="E6045" s="501">
        <v>-866605515.86000001</v>
      </c>
      <c r="F6045" s="502" t="s">
        <v>878</v>
      </c>
      <c r="G6045" s="100">
        <v>115773709</v>
      </c>
      <c r="H6045" s="530"/>
      <c r="I6045" s="422" t="s">
        <v>673</v>
      </c>
      <c r="J6045" s="484"/>
      <c r="K6045" s="548"/>
      <c r="L6045" s="548"/>
      <c r="M6045" s="548"/>
      <c r="N6045" s="552"/>
    </row>
    <row r="6046" spans="1:14">
      <c r="A6046" s="499">
        <v>45688</v>
      </c>
      <c r="B6046" s="499">
        <v>45688</v>
      </c>
      <c r="C6046" s="500" t="s">
        <v>173</v>
      </c>
      <c r="D6046" s="500" t="s">
        <v>763</v>
      </c>
      <c r="E6046" s="501">
        <v>-882251689.27999997</v>
      </c>
      <c r="F6046" s="502" t="s">
        <v>878</v>
      </c>
      <c r="G6046" s="100">
        <v>115773712</v>
      </c>
      <c r="H6046" s="530"/>
      <c r="I6046" s="422" t="s">
        <v>689</v>
      </c>
      <c r="J6046" s="484"/>
      <c r="K6046" s="548"/>
      <c r="L6046" s="548"/>
      <c r="M6046" s="548"/>
      <c r="N6046" s="552"/>
    </row>
    <row r="6047" spans="1:14">
      <c r="A6047" s="499">
        <v>45688</v>
      </c>
      <c r="B6047" s="499">
        <v>45688</v>
      </c>
      <c r="C6047" s="500" t="s">
        <v>173</v>
      </c>
      <c r="D6047" s="500" t="s">
        <v>763</v>
      </c>
      <c r="E6047" s="501">
        <v>-979980356.88999999</v>
      </c>
      <c r="F6047" s="502" t="s">
        <v>878</v>
      </c>
      <c r="G6047" s="100">
        <v>115773716</v>
      </c>
      <c r="H6047" s="530"/>
      <c r="I6047" s="422" t="s">
        <v>525</v>
      </c>
      <c r="J6047" s="484"/>
      <c r="K6047" s="548"/>
      <c r="L6047" s="548"/>
      <c r="M6047" s="548"/>
      <c r="N6047" s="552"/>
    </row>
    <row r="6048" spans="1:14">
      <c r="A6048" s="499">
        <v>45688</v>
      </c>
      <c r="B6048" s="499">
        <v>45688</v>
      </c>
      <c r="C6048" s="500" t="s">
        <v>173</v>
      </c>
      <c r="D6048" s="500" t="s">
        <v>763</v>
      </c>
      <c r="E6048" s="501">
        <v>-27005709.850000001</v>
      </c>
      <c r="F6048" s="502" t="s">
        <v>878</v>
      </c>
      <c r="G6048" s="100">
        <v>115773719</v>
      </c>
      <c r="H6048" s="530"/>
      <c r="I6048" s="422" t="s">
        <v>709</v>
      </c>
      <c r="J6048" s="484"/>
      <c r="K6048" s="548"/>
      <c r="L6048" s="548"/>
      <c r="M6048" s="548"/>
      <c r="N6048" s="552"/>
    </row>
    <row r="6049" spans="1:14">
      <c r="A6049" s="499">
        <v>45688</v>
      </c>
      <c r="B6049" s="499">
        <v>45688</v>
      </c>
      <c r="C6049" s="500" t="s">
        <v>173</v>
      </c>
      <c r="D6049" s="500" t="s">
        <v>763</v>
      </c>
      <c r="E6049" s="501">
        <v>-1538800362.9000001</v>
      </c>
      <c r="F6049" s="502" t="s">
        <v>878</v>
      </c>
      <c r="G6049" s="100">
        <v>115773724</v>
      </c>
      <c r="H6049" s="530"/>
      <c r="I6049" s="422" t="s">
        <v>652</v>
      </c>
      <c r="J6049" s="484"/>
      <c r="K6049" s="548"/>
      <c r="L6049" s="548"/>
      <c r="M6049" s="548"/>
      <c r="N6049" s="552"/>
    </row>
    <row r="6050" spans="1:14">
      <c r="A6050" s="499">
        <v>45688</v>
      </c>
      <c r="B6050" s="499">
        <v>45688</v>
      </c>
      <c r="C6050" s="500" t="s">
        <v>173</v>
      </c>
      <c r="D6050" s="500" t="s">
        <v>763</v>
      </c>
      <c r="E6050" s="501">
        <v>-24012489.41</v>
      </c>
      <c r="F6050" s="502" t="s">
        <v>878</v>
      </c>
      <c r="G6050" s="100">
        <v>115773740</v>
      </c>
      <c r="H6050" s="530"/>
      <c r="I6050" s="422" t="s">
        <v>652</v>
      </c>
      <c r="J6050" s="484"/>
      <c r="K6050" s="548"/>
      <c r="L6050" s="548"/>
      <c r="M6050" s="548"/>
      <c r="N6050" s="552"/>
    </row>
    <row r="6051" spans="1:14">
      <c r="A6051" s="499">
        <v>45688</v>
      </c>
      <c r="B6051" s="499">
        <v>45691</v>
      </c>
      <c r="C6051" s="500" t="s">
        <v>173</v>
      </c>
      <c r="D6051" s="500" t="s">
        <v>763</v>
      </c>
      <c r="E6051" s="501">
        <v>834733910.27999997</v>
      </c>
      <c r="F6051" s="502" t="s">
        <v>878</v>
      </c>
      <c r="G6051" s="100">
        <v>115773703</v>
      </c>
      <c r="H6051" s="484">
        <v>115773703</v>
      </c>
      <c r="I6051" s="422" t="s">
        <v>596</v>
      </c>
      <c r="J6051" s="484"/>
      <c r="K6051" s="548"/>
      <c r="L6051" s="548"/>
      <c r="M6051" s="548"/>
      <c r="N6051" s="552"/>
    </row>
    <row r="6052" spans="1:14">
      <c r="A6052" s="499">
        <v>45688</v>
      </c>
      <c r="B6052" s="499">
        <v>45691</v>
      </c>
      <c r="C6052" s="500" t="s">
        <v>173</v>
      </c>
      <c r="D6052" s="500" t="s">
        <v>763</v>
      </c>
      <c r="E6052" s="501">
        <v>845746344.17999995</v>
      </c>
      <c r="F6052" s="502" t="s">
        <v>878</v>
      </c>
      <c r="G6052" s="100">
        <v>115773706</v>
      </c>
      <c r="H6052" s="484">
        <v>115773706</v>
      </c>
      <c r="I6052" s="422" t="s">
        <v>695</v>
      </c>
      <c r="J6052" s="484"/>
      <c r="K6052" s="548"/>
      <c r="L6052" s="548"/>
      <c r="M6052" s="548"/>
      <c r="N6052" s="552"/>
    </row>
    <row r="6053" spans="1:14">
      <c r="A6053" s="499">
        <v>45688</v>
      </c>
      <c r="B6053" s="499">
        <v>45691</v>
      </c>
      <c r="C6053" s="500" t="s">
        <v>173</v>
      </c>
      <c r="D6053" s="500" t="s">
        <v>763</v>
      </c>
      <c r="E6053" s="501">
        <v>867638319.69000006</v>
      </c>
      <c r="F6053" s="502" t="s">
        <v>878</v>
      </c>
      <c r="G6053" s="100">
        <v>115773709</v>
      </c>
      <c r="H6053" s="484">
        <v>115773709</v>
      </c>
      <c r="I6053" s="422" t="s">
        <v>673</v>
      </c>
      <c r="J6053" s="484"/>
      <c r="K6053" s="548"/>
      <c r="L6053" s="548"/>
      <c r="M6053" s="548"/>
      <c r="N6053" s="552"/>
    </row>
    <row r="6054" spans="1:14">
      <c r="A6054" s="499">
        <v>45688</v>
      </c>
      <c r="B6054" s="499">
        <v>45691</v>
      </c>
      <c r="C6054" s="500" t="s">
        <v>173</v>
      </c>
      <c r="D6054" s="500" t="s">
        <v>763</v>
      </c>
      <c r="E6054" s="501">
        <v>883303139.91999996</v>
      </c>
      <c r="F6054" s="502" t="s">
        <v>878</v>
      </c>
      <c r="G6054" s="100">
        <v>115773712</v>
      </c>
      <c r="H6054" s="484">
        <v>115773712</v>
      </c>
      <c r="I6054" s="422" t="s">
        <v>689</v>
      </c>
      <c r="J6054" s="484"/>
      <c r="K6054" s="548"/>
      <c r="L6054" s="548"/>
      <c r="M6054" s="548"/>
      <c r="N6054" s="552"/>
    </row>
    <row r="6055" spans="1:14">
      <c r="A6055" s="499">
        <v>45688</v>
      </c>
      <c r="B6055" s="499">
        <v>45691</v>
      </c>
      <c r="C6055" s="500" t="s">
        <v>173</v>
      </c>
      <c r="D6055" s="500" t="s">
        <v>763</v>
      </c>
      <c r="E6055" s="501">
        <v>981148278.69000006</v>
      </c>
      <c r="F6055" s="502" t="s">
        <v>878</v>
      </c>
      <c r="G6055" s="100">
        <v>115773716</v>
      </c>
      <c r="H6055" s="484">
        <v>115773716</v>
      </c>
      <c r="I6055" s="422" t="s">
        <v>525</v>
      </c>
      <c r="J6055" s="484"/>
      <c r="K6055" s="548"/>
      <c r="L6055" s="548"/>
      <c r="M6055" s="548"/>
      <c r="N6055" s="552"/>
    </row>
    <row r="6056" spans="1:14">
      <c r="A6056" s="499">
        <v>45688</v>
      </c>
      <c r="B6056" s="499">
        <v>45691</v>
      </c>
      <c r="C6056" s="500" t="s">
        <v>173</v>
      </c>
      <c r="D6056" s="500" t="s">
        <v>763</v>
      </c>
      <c r="E6056" s="501">
        <v>27037894.739999998</v>
      </c>
      <c r="F6056" s="502" t="s">
        <v>878</v>
      </c>
      <c r="G6056" s="100">
        <v>115773719</v>
      </c>
      <c r="H6056" s="484">
        <v>115773719</v>
      </c>
      <c r="I6056" s="422" t="s">
        <v>709</v>
      </c>
      <c r="J6056" s="484"/>
      <c r="K6056" s="548"/>
      <c r="L6056" s="548">
        <v>-1</v>
      </c>
      <c r="M6056" s="548"/>
      <c r="N6056" s="552"/>
    </row>
    <row r="6057" spans="1:14">
      <c r="A6057" s="499">
        <v>45688</v>
      </c>
      <c r="B6057" s="499">
        <v>45691</v>
      </c>
      <c r="C6057" s="500" t="s">
        <v>173</v>
      </c>
      <c r="D6057" s="500" t="s">
        <v>763</v>
      </c>
      <c r="E6057" s="501">
        <v>1540634275.6600001</v>
      </c>
      <c r="F6057" s="502" t="s">
        <v>878</v>
      </c>
      <c r="G6057" s="100">
        <v>115773724</v>
      </c>
      <c r="H6057" s="484">
        <v>115773724</v>
      </c>
      <c r="I6057" s="422" t="s">
        <v>652</v>
      </c>
      <c r="J6057" s="484"/>
      <c r="K6057" s="548"/>
      <c r="L6057" s="548"/>
      <c r="M6057" s="548"/>
      <c r="N6057" s="552"/>
    </row>
    <row r="6058" spans="1:14">
      <c r="A6058" s="499">
        <v>45688</v>
      </c>
      <c r="B6058" s="499">
        <v>45691</v>
      </c>
      <c r="C6058" s="500" t="s">
        <v>173</v>
      </c>
      <c r="D6058" s="500" t="s">
        <v>763</v>
      </c>
      <c r="E6058" s="501">
        <v>24041107.030000001</v>
      </c>
      <c r="F6058" s="502" t="s">
        <v>878</v>
      </c>
      <c r="G6058" s="100">
        <v>115773740</v>
      </c>
      <c r="H6058" s="484">
        <v>115773740</v>
      </c>
      <c r="I6058" s="422" t="s">
        <v>652</v>
      </c>
      <c r="J6058" s="484"/>
      <c r="K6058" s="548"/>
      <c r="L6058" s="548"/>
      <c r="M6058" s="548"/>
      <c r="N6058" s="552"/>
    </row>
    <row r="6059" spans="1:14">
      <c r="A6059" s="499">
        <v>45691</v>
      </c>
      <c r="B6059" s="499">
        <v>45691</v>
      </c>
      <c r="C6059" s="500" t="s">
        <v>173</v>
      </c>
      <c r="D6059" s="500" t="s">
        <v>761</v>
      </c>
      <c r="E6059" s="501">
        <v>-1621850039.4300001</v>
      </c>
      <c r="F6059" s="502" t="s">
        <v>878</v>
      </c>
      <c r="G6059" s="100">
        <v>115794803</v>
      </c>
      <c r="H6059" s="530"/>
      <c r="I6059" s="422" t="s">
        <v>652</v>
      </c>
      <c r="J6059" s="484"/>
      <c r="K6059" s="548"/>
      <c r="L6059" s="548"/>
      <c r="M6059" s="548"/>
      <c r="N6059" s="552"/>
    </row>
    <row r="6060" spans="1:14">
      <c r="A6060" s="499">
        <v>45691</v>
      </c>
      <c r="B6060" s="499">
        <v>45691</v>
      </c>
      <c r="C6060" s="500" t="s">
        <v>173</v>
      </c>
      <c r="D6060" s="500" t="s">
        <v>761</v>
      </c>
      <c r="E6060" s="501">
        <v>-7001926.9299999997</v>
      </c>
      <c r="F6060" s="502" t="s">
        <v>878</v>
      </c>
      <c r="G6060" s="100">
        <v>115799302</v>
      </c>
      <c r="H6060" s="530"/>
      <c r="I6060" s="422" t="s">
        <v>678</v>
      </c>
      <c r="J6060" s="484"/>
      <c r="K6060" s="548"/>
      <c r="L6060" s="548"/>
      <c r="M6060" s="548"/>
      <c r="N6060" s="552"/>
    </row>
    <row r="6061" spans="1:14">
      <c r="A6061" s="499">
        <v>45691</v>
      </c>
      <c r="B6061" s="499">
        <v>45692</v>
      </c>
      <c r="C6061" s="500" t="s">
        <v>173</v>
      </c>
      <c r="D6061" s="500" t="s">
        <v>761</v>
      </c>
      <c r="E6061" s="501">
        <v>1622505444.5799999</v>
      </c>
      <c r="F6061" s="502" t="s">
        <v>878</v>
      </c>
      <c r="G6061" s="100">
        <v>115794803</v>
      </c>
      <c r="H6061" s="484">
        <v>115794803</v>
      </c>
      <c r="I6061" s="422" t="s">
        <v>652</v>
      </c>
      <c r="J6061" s="484"/>
      <c r="K6061" s="548"/>
      <c r="L6061" s="548"/>
      <c r="M6061" s="548"/>
      <c r="N6061" s="552"/>
    </row>
    <row r="6062" spans="1:14">
      <c r="A6062" s="499">
        <v>45691</v>
      </c>
      <c r="B6062" s="499">
        <v>45692</v>
      </c>
      <c r="C6062" s="500" t="s">
        <v>173</v>
      </c>
      <c r="D6062" s="500" t="s">
        <v>761</v>
      </c>
      <c r="E6062" s="501">
        <v>7004756.4800000004</v>
      </c>
      <c r="F6062" s="502" t="s">
        <v>878</v>
      </c>
      <c r="G6062" s="100">
        <v>115799302</v>
      </c>
      <c r="H6062" s="484">
        <v>115799302</v>
      </c>
      <c r="I6062" s="422" t="s">
        <v>678</v>
      </c>
      <c r="J6062" s="484"/>
      <c r="K6062" s="548"/>
      <c r="L6062" s="548"/>
      <c r="M6062" s="548"/>
      <c r="N6062" s="552"/>
    </row>
    <row r="6063" spans="1:14">
      <c r="A6063" s="499">
        <v>45691</v>
      </c>
      <c r="B6063" s="499">
        <v>45691</v>
      </c>
      <c r="C6063" s="500" t="s">
        <v>173</v>
      </c>
      <c r="D6063" s="500" t="s">
        <v>759</v>
      </c>
      <c r="E6063" s="501">
        <v>-681167284.25</v>
      </c>
      <c r="F6063" s="502" t="s">
        <v>878</v>
      </c>
      <c r="G6063" s="100">
        <v>115793697</v>
      </c>
      <c r="H6063" s="530"/>
      <c r="I6063" s="422" t="s">
        <v>677</v>
      </c>
      <c r="J6063" s="484"/>
      <c r="K6063" s="548"/>
      <c r="L6063" s="548"/>
      <c r="M6063" s="548"/>
      <c r="N6063" s="552"/>
    </row>
    <row r="6064" spans="1:14">
      <c r="A6064" s="499">
        <v>45691</v>
      </c>
      <c r="B6064" s="499">
        <v>45691</v>
      </c>
      <c r="C6064" s="500" t="s">
        <v>173</v>
      </c>
      <c r="D6064" s="500" t="s">
        <v>759</v>
      </c>
      <c r="E6064" s="501">
        <v>-694148660.35000002</v>
      </c>
      <c r="F6064" s="502" t="s">
        <v>878</v>
      </c>
      <c r="G6064" s="100">
        <v>115793700</v>
      </c>
      <c r="H6064" s="530"/>
      <c r="I6064" s="422" t="s">
        <v>676</v>
      </c>
      <c r="J6064" s="484"/>
      <c r="K6064" s="548"/>
      <c r="L6064" s="548"/>
      <c r="M6064" s="548"/>
      <c r="N6064" s="552"/>
    </row>
    <row r="6065" spans="1:14">
      <c r="A6065" s="499">
        <v>45691</v>
      </c>
      <c r="B6065" s="499">
        <v>45691</v>
      </c>
      <c r="C6065" s="500" t="s">
        <v>173</v>
      </c>
      <c r="D6065" s="500" t="s">
        <v>759</v>
      </c>
      <c r="E6065" s="501">
        <v>-695461406.33000004</v>
      </c>
      <c r="F6065" s="502" t="s">
        <v>878</v>
      </c>
      <c r="G6065" s="100">
        <v>115793703</v>
      </c>
      <c r="H6065" s="530"/>
      <c r="I6065" s="422" t="s">
        <v>705</v>
      </c>
      <c r="J6065" s="484"/>
      <c r="K6065" s="548"/>
      <c r="L6065" s="548"/>
      <c r="M6065" s="548"/>
      <c r="N6065" s="552"/>
    </row>
    <row r="6066" spans="1:14">
      <c r="A6066" s="499">
        <v>45691</v>
      </c>
      <c r="B6066" s="499">
        <v>45691</v>
      </c>
      <c r="C6066" s="500" t="s">
        <v>173</v>
      </c>
      <c r="D6066" s="500" t="s">
        <v>759</v>
      </c>
      <c r="E6066" s="501">
        <v>-254077545.18000001</v>
      </c>
      <c r="F6066" s="502" t="s">
        <v>878</v>
      </c>
      <c r="G6066" s="100">
        <v>115793841</v>
      </c>
      <c r="H6066" s="530"/>
      <c r="I6066" s="422" t="s">
        <v>708</v>
      </c>
      <c r="J6066" s="484"/>
      <c r="K6066" s="548"/>
      <c r="L6066" s="548"/>
      <c r="M6066" s="548"/>
      <c r="N6066" s="552"/>
    </row>
    <row r="6067" spans="1:14">
      <c r="A6067" s="499">
        <v>45691</v>
      </c>
      <c r="B6067" s="499">
        <v>45691</v>
      </c>
      <c r="C6067" s="500" t="s">
        <v>173</v>
      </c>
      <c r="D6067" s="500" t="s">
        <v>759</v>
      </c>
      <c r="E6067" s="501">
        <v>-11003028.039999999</v>
      </c>
      <c r="F6067" s="502" t="s">
        <v>878</v>
      </c>
      <c r="G6067" s="100">
        <v>115796359</v>
      </c>
      <c r="H6067" s="530"/>
      <c r="I6067" s="422" t="s">
        <v>678</v>
      </c>
      <c r="J6067" s="484"/>
      <c r="K6067" s="548"/>
      <c r="L6067" s="548"/>
      <c r="M6067" s="548"/>
      <c r="N6067" s="552"/>
    </row>
    <row r="6068" spans="1:14">
      <c r="A6068" s="499">
        <v>45691</v>
      </c>
      <c r="B6068" s="499">
        <v>45692</v>
      </c>
      <c r="C6068" s="500" t="s">
        <v>173</v>
      </c>
      <c r="D6068" s="500" t="s">
        <v>759</v>
      </c>
      <c r="E6068" s="501">
        <v>681440684.26999998</v>
      </c>
      <c r="F6068" s="502" t="s">
        <v>878</v>
      </c>
      <c r="G6068" s="100">
        <v>115793697</v>
      </c>
      <c r="H6068" s="484">
        <v>115793697</v>
      </c>
      <c r="I6068" s="422" t="s">
        <v>677</v>
      </c>
      <c r="J6068" s="484"/>
      <c r="K6068" s="548"/>
      <c r="L6068" s="548"/>
      <c r="M6068" s="548"/>
      <c r="N6068" s="552"/>
    </row>
    <row r="6069" spans="1:14">
      <c r="A6069" s="499">
        <v>45691</v>
      </c>
      <c r="B6069" s="499">
        <v>45692</v>
      </c>
      <c r="C6069" s="500" t="s">
        <v>173</v>
      </c>
      <c r="D6069" s="500" t="s">
        <v>759</v>
      </c>
      <c r="E6069" s="501">
        <v>694427270.70000005</v>
      </c>
      <c r="F6069" s="502" t="s">
        <v>878</v>
      </c>
      <c r="G6069" s="100">
        <v>115793700</v>
      </c>
      <c r="H6069" s="484">
        <v>115793700</v>
      </c>
      <c r="I6069" s="422" t="s">
        <v>676</v>
      </c>
      <c r="J6069" s="484"/>
      <c r="K6069" s="548"/>
      <c r="L6069" s="548"/>
      <c r="M6069" s="548"/>
      <c r="N6069" s="552"/>
    </row>
    <row r="6070" spans="1:14">
      <c r="A6070" s="499">
        <v>45691</v>
      </c>
      <c r="B6070" s="499">
        <v>45692</v>
      </c>
      <c r="C6070" s="500" t="s">
        <v>173</v>
      </c>
      <c r="D6070" s="500" t="s">
        <v>759</v>
      </c>
      <c r="E6070" s="501">
        <v>695740543.58000004</v>
      </c>
      <c r="F6070" s="502" t="s">
        <v>878</v>
      </c>
      <c r="G6070" s="100">
        <v>115793703</v>
      </c>
      <c r="H6070" s="484">
        <v>115793703</v>
      </c>
      <c r="I6070" s="422" t="s">
        <v>705</v>
      </c>
      <c r="J6070" s="484"/>
      <c r="K6070" s="548"/>
      <c r="L6070" s="548"/>
      <c r="M6070" s="548"/>
      <c r="N6070" s="552"/>
    </row>
    <row r="6071" spans="1:14">
      <c r="A6071" s="499">
        <v>45691</v>
      </c>
      <c r="B6071" s="499">
        <v>45692</v>
      </c>
      <c r="C6071" s="500" t="s">
        <v>173</v>
      </c>
      <c r="D6071" s="500" t="s">
        <v>759</v>
      </c>
      <c r="E6071" s="501">
        <v>254179524.25</v>
      </c>
      <c r="F6071" s="502" t="s">
        <v>878</v>
      </c>
      <c r="G6071" s="100">
        <v>115793841</v>
      </c>
      <c r="H6071" s="484">
        <v>115793841</v>
      </c>
      <c r="I6071" s="422" t="s">
        <v>708</v>
      </c>
      <c r="J6071" s="484"/>
      <c r="K6071" s="548"/>
      <c r="L6071" s="548"/>
      <c r="M6071" s="548"/>
      <c r="N6071" s="552"/>
    </row>
    <row r="6072" spans="1:14">
      <c r="A6072" s="499">
        <v>45691</v>
      </c>
      <c r="B6072" s="499">
        <v>45692</v>
      </c>
      <c r="C6072" s="500" t="s">
        <v>173</v>
      </c>
      <c r="D6072" s="500" t="s">
        <v>759</v>
      </c>
      <c r="E6072" s="501">
        <v>11007368.960000001</v>
      </c>
      <c r="F6072" s="502" t="s">
        <v>878</v>
      </c>
      <c r="G6072" s="100">
        <v>115796359</v>
      </c>
      <c r="H6072" s="484">
        <v>115796359</v>
      </c>
      <c r="I6072" s="422" t="s">
        <v>678</v>
      </c>
      <c r="J6072" s="484"/>
      <c r="K6072" s="548"/>
      <c r="L6072" s="548"/>
      <c r="M6072" s="548"/>
      <c r="N6072" s="552"/>
    </row>
    <row r="6073" spans="1:14">
      <c r="A6073" s="499">
        <v>45691</v>
      </c>
      <c r="B6073" s="499">
        <v>45691</v>
      </c>
      <c r="C6073" s="500" t="s">
        <v>173</v>
      </c>
      <c r="D6073" s="500" t="s">
        <v>760</v>
      </c>
      <c r="E6073" s="501">
        <v>-182129620.40000001</v>
      </c>
      <c r="F6073" s="502" t="s">
        <v>878</v>
      </c>
      <c r="G6073" s="100">
        <v>115794419</v>
      </c>
      <c r="H6073" s="530"/>
      <c r="I6073" s="422" t="s">
        <v>713</v>
      </c>
      <c r="J6073" s="484"/>
      <c r="K6073" s="548"/>
      <c r="L6073" s="548"/>
      <c r="M6073" s="548"/>
      <c r="N6073" s="552"/>
    </row>
    <row r="6074" spans="1:14">
      <c r="A6074" s="499">
        <v>45691</v>
      </c>
      <c r="B6074" s="499">
        <v>45692</v>
      </c>
      <c r="C6074" s="500" t="s">
        <v>173</v>
      </c>
      <c r="D6074" s="500" t="s">
        <v>760</v>
      </c>
      <c r="E6074" s="501">
        <v>182202971.22999999</v>
      </c>
      <c r="F6074" s="502" t="s">
        <v>878</v>
      </c>
      <c r="G6074" s="100">
        <v>115794419</v>
      </c>
      <c r="H6074" s="100">
        <v>115794419</v>
      </c>
      <c r="I6074" s="422" t="s">
        <v>713</v>
      </c>
      <c r="J6074" s="484"/>
      <c r="K6074" s="548"/>
      <c r="L6074" s="548"/>
      <c r="M6074" s="548"/>
      <c r="N6074" s="552"/>
    </row>
    <row r="6075" spans="1:14">
      <c r="A6075" s="499">
        <v>45691</v>
      </c>
      <c r="B6075" s="499">
        <v>45691</v>
      </c>
      <c r="C6075" s="500" t="s">
        <v>173</v>
      </c>
      <c r="D6075" s="500" t="s">
        <v>763</v>
      </c>
      <c r="E6075" s="501">
        <v>-2596418125.98</v>
      </c>
      <c r="F6075" s="502" t="s">
        <v>878</v>
      </c>
      <c r="G6075" s="100">
        <v>115793183</v>
      </c>
      <c r="H6075" s="530"/>
      <c r="I6075" s="422" t="s">
        <v>823</v>
      </c>
      <c r="J6075" s="484"/>
      <c r="K6075" s="548"/>
      <c r="L6075" s="548"/>
      <c r="M6075" s="548"/>
      <c r="N6075" s="552"/>
    </row>
    <row r="6076" spans="1:14">
      <c r="A6076" s="499">
        <v>45691</v>
      </c>
      <c r="B6076" s="499">
        <v>45691</v>
      </c>
      <c r="C6076" s="500" t="s">
        <v>173</v>
      </c>
      <c r="D6076" s="500" t="s">
        <v>763</v>
      </c>
      <c r="E6076" s="501">
        <v>-3383848208.8899999</v>
      </c>
      <c r="F6076" s="502" t="s">
        <v>878</v>
      </c>
      <c r="G6076" s="100">
        <v>115793186</v>
      </c>
      <c r="H6076" s="530"/>
      <c r="I6076" s="422" t="s">
        <v>823</v>
      </c>
      <c r="J6076" s="484"/>
      <c r="K6076" s="548"/>
      <c r="L6076" s="548"/>
      <c r="M6076" s="548"/>
      <c r="N6076" s="552"/>
    </row>
    <row r="6077" spans="1:14">
      <c r="A6077" s="499">
        <v>45691</v>
      </c>
      <c r="B6077" s="499">
        <v>45691</v>
      </c>
      <c r="C6077" s="500" t="s">
        <v>173</v>
      </c>
      <c r="D6077" s="500" t="s">
        <v>763</v>
      </c>
      <c r="E6077" s="501">
        <v>-24013115.620000001</v>
      </c>
      <c r="F6077" s="502" t="s">
        <v>878</v>
      </c>
      <c r="G6077" s="100">
        <v>115793229</v>
      </c>
      <c r="H6077" s="530"/>
      <c r="I6077" s="422" t="s">
        <v>823</v>
      </c>
      <c r="J6077" s="484"/>
      <c r="K6077" s="548"/>
      <c r="L6077" s="548"/>
      <c r="M6077" s="548"/>
      <c r="N6077" s="552"/>
    </row>
    <row r="6078" spans="1:14">
      <c r="A6078" s="499">
        <v>45691</v>
      </c>
      <c r="B6078" s="499">
        <v>45692</v>
      </c>
      <c r="C6078" s="500" t="s">
        <v>173</v>
      </c>
      <c r="D6078" s="500" t="s">
        <v>763</v>
      </c>
      <c r="E6078" s="501">
        <v>2597453143.6100001</v>
      </c>
      <c r="F6078" s="502" t="s">
        <v>878</v>
      </c>
      <c r="G6078" s="100">
        <v>115793183</v>
      </c>
      <c r="H6078" s="484">
        <v>115793183</v>
      </c>
      <c r="I6078" s="422" t="s">
        <v>823</v>
      </c>
      <c r="J6078" s="484"/>
      <c r="K6078" s="548"/>
      <c r="L6078" s="548"/>
      <c r="M6078" s="548"/>
      <c r="N6078" s="552"/>
    </row>
    <row r="6079" spans="1:14">
      <c r="A6079" s="499">
        <v>45691</v>
      </c>
      <c r="B6079" s="499">
        <v>45692</v>
      </c>
      <c r="C6079" s="500" t="s">
        <v>173</v>
      </c>
      <c r="D6079" s="500" t="s">
        <v>763</v>
      </c>
      <c r="E6079" s="501">
        <v>3385197122.04</v>
      </c>
      <c r="F6079" s="502" t="s">
        <v>878</v>
      </c>
      <c r="G6079" s="100">
        <v>115793186</v>
      </c>
      <c r="H6079" s="484">
        <v>115793186</v>
      </c>
      <c r="I6079" s="422" t="s">
        <v>823</v>
      </c>
      <c r="J6079" s="484"/>
      <c r="K6079" s="548"/>
      <c r="L6079" s="548"/>
      <c r="M6079" s="548"/>
      <c r="N6079" s="552"/>
    </row>
    <row r="6080" spans="1:14">
      <c r="A6080" s="499">
        <v>45691</v>
      </c>
      <c r="B6080" s="499">
        <v>45692</v>
      </c>
      <c r="C6080" s="500" t="s">
        <v>173</v>
      </c>
      <c r="D6080" s="500" t="s">
        <v>763</v>
      </c>
      <c r="E6080" s="501">
        <v>24022688.039999999</v>
      </c>
      <c r="F6080" s="502" t="s">
        <v>878</v>
      </c>
      <c r="G6080" s="100">
        <v>115793229</v>
      </c>
      <c r="H6080" s="484">
        <v>115793229</v>
      </c>
      <c r="I6080" s="422" t="s">
        <v>823</v>
      </c>
      <c r="J6080" s="484"/>
      <c r="K6080" s="548"/>
      <c r="L6080" s="548"/>
      <c r="M6080" s="548"/>
      <c r="N6080" s="552"/>
    </row>
    <row r="6081" spans="1:14">
      <c r="A6081" s="499">
        <v>45692</v>
      </c>
      <c r="B6081" s="499">
        <v>45692</v>
      </c>
      <c r="C6081" s="500" t="s">
        <v>173</v>
      </c>
      <c r="D6081" s="500" t="s">
        <v>761</v>
      </c>
      <c r="E6081" s="501">
        <v>-1622076705.03</v>
      </c>
      <c r="F6081" s="502" t="s">
        <v>878</v>
      </c>
      <c r="G6081" s="100">
        <v>115819263</v>
      </c>
      <c r="H6081" s="530"/>
      <c r="I6081" s="422" t="s">
        <v>633</v>
      </c>
      <c r="J6081" s="484"/>
      <c r="K6081" s="548"/>
      <c r="L6081" s="548"/>
      <c r="M6081" s="548"/>
      <c r="N6081" s="552"/>
    </row>
    <row r="6082" spans="1:14">
      <c r="A6082" s="499">
        <v>45692</v>
      </c>
      <c r="B6082" s="499">
        <v>45692</v>
      </c>
      <c r="C6082" s="500" t="s">
        <v>173</v>
      </c>
      <c r="D6082" s="500" t="s">
        <v>761</v>
      </c>
      <c r="E6082" s="501">
        <v>-150076108.80000001</v>
      </c>
      <c r="F6082" s="502" t="s">
        <v>878</v>
      </c>
      <c r="G6082" s="100">
        <v>115819407</v>
      </c>
      <c r="H6082" s="530"/>
      <c r="I6082" s="422" t="s">
        <v>689</v>
      </c>
      <c r="J6082" s="484"/>
      <c r="K6082" s="548"/>
      <c r="L6082" s="548"/>
      <c r="M6082" s="548"/>
      <c r="N6082" s="552"/>
    </row>
    <row r="6083" spans="1:14">
      <c r="A6083" s="499">
        <v>45692</v>
      </c>
      <c r="B6083" s="499">
        <v>45692</v>
      </c>
      <c r="C6083" s="500" t="s">
        <v>173</v>
      </c>
      <c r="D6083" s="500" t="s">
        <v>761</v>
      </c>
      <c r="E6083" s="501">
        <v>-1000099.17</v>
      </c>
      <c r="F6083" s="502" t="s">
        <v>878</v>
      </c>
      <c r="G6083" s="100">
        <v>115819914</v>
      </c>
      <c r="H6083" s="530"/>
      <c r="I6083" s="422" t="s">
        <v>916</v>
      </c>
      <c r="J6083" s="484"/>
      <c r="K6083" s="548"/>
      <c r="L6083" s="548"/>
      <c r="M6083" s="548"/>
      <c r="N6083" s="552"/>
    </row>
    <row r="6084" spans="1:14">
      <c r="A6084" s="499">
        <v>45692</v>
      </c>
      <c r="B6084" s="499">
        <v>45693</v>
      </c>
      <c r="C6084" s="500" t="s">
        <v>173</v>
      </c>
      <c r="D6084" s="500" t="s">
        <v>761</v>
      </c>
      <c r="E6084" s="501">
        <v>1622736645.8299999</v>
      </c>
      <c r="F6084" s="502" t="s">
        <v>878</v>
      </c>
      <c r="G6084" s="100">
        <v>115819263</v>
      </c>
      <c r="H6084" s="484">
        <v>115819263</v>
      </c>
      <c r="I6084" s="422" t="s">
        <v>633</v>
      </c>
      <c r="J6084" s="484"/>
      <c r="K6084" s="548"/>
      <c r="L6084" s="548"/>
      <c r="M6084" s="548"/>
      <c r="N6084" s="552"/>
    </row>
    <row r="6085" spans="1:14">
      <c r="A6085" s="499">
        <v>45692</v>
      </c>
      <c r="B6085" s="499">
        <v>45693</v>
      </c>
      <c r="C6085" s="500" t="s">
        <v>173</v>
      </c>
      <c r="D6085" s="500" t="s">
        <v>761</v>
      </c>
      <c r="E6085" s="501">
        <v>150137372.75</v>
      </c>
      <c r="F6085" s="502" t="s">
        <v>878</v>
      </c>
      <c r="G6085" s="100">
        <v>115819407</v>
      </c>
      <c r="H6085" s="484">
        <v>115819407</v>
      </c>
      <c r="I6085" s="422" t="s">
        <v>689</v>
      </c>
      <c r="J6085" s="484"/>
      <c r="K6085" s="548"/>
      <c r="L6085" s="548"/>
      <c r="M6085" s="548"/>
      <c r="N6085" s="552"/>
    </row>
    <row r="6086" spans="1:14">
      <c r="A6086" s="499">
        <v>45692</v>
      </c>
      <c r="B6086" s="499">
        <v>45693</v>
      </c>
      <c r="C6086" s="500" t="s">
        <v>173</v>
      </c>
      <c r="D6086" s="500" t="s">
        <v>761</v>
      </c>
      <c r="E6086" s="501">
        <v>1000510.17</v>
      </c>
      <c r="F6086" s="502" t="s">
        <v>878</v>
      </c>
      <c r="G6086" s="100">
        <v>115819914</v>
      </c>
      <c r="H6086" s="484">
        <v>115819914</v>
      </c>
      <c r="I6086" s="422" t="s">
        <v>916</v>
      </c>
      <c r="J6086" s="484"/>
      <c r="K6086" s="548"/>
      <c r="L6086" s="548"/>
      <c r="M6086" s="548"/>
      <c r="N6086" s="552"/>
    </row>
    <row r="6087" spans="1:14">
      <c r="A6087" s="499">
        <v>45692</v>
      </c>
      <c r="B6087" s="499">
        <v>45692</v>
      </c>
      <c r="C6087" s="500" t="s">
        <v>173</v>
      </c>
      <c r="D6087" s="500" t="s">
        <v>759</v>
      </c>
      <c r="E6087" s="501">
        <v>-2327302327.4000001</v>
      </c>
      <c r="F6087" s="502" t="s">
        <v>878</v>
      </c>
      <c r="G6087" s="100">
        <v>115817200</v>
      </c>
      <c r="H6087" s="530"/>
      <c r="I6087" s="422" t="s">
        <v>696</v>
      </c>
      <c r="J6087" s="484"/>
      <c r="K6087" s="548"/>
      <c r="L6087" s="548"/>
      <c r="M6087" s="548"/>
      <c r="N6087" s="552"/>
    </row>
    <row r="6088" spans="1:14">
      <c r="A6088" s="499">
        <v>45692</v>
      </c>
      <c r="B6088" s="499">
        <v>45692</v>
      </c>
      <c r="C6088" s="500" t="s">
        <v>173</v>
      </c>
      <c r="D6088" s="500" t="s">
        <v>759</v>
      </c>
      <c r="E6088" s="501">
        <v>-9000892.5299999993</v>
      </c>
      <c r="F6088" s="502" t="s">
        <v>878</v>
      </c>
      <c r="G6088" s="100">
        <v>115819917</v>
      </c>
      <c r="H6088" s="530"/>
      <c r="I6088" s="422" t="s">
        <v>916</v>
      </c>
      <c r="J6088" s="484"/>
      <c r="K6088" s="548"/>
      <c r="L6088" s="548"/>
      <c r="M6088" s="548"/>
      <c r="N6088" s="552"/>
    </row>
    <row r="6089" spans="1:14">
      <c r="A6089" s="499">
        <v>45692</v>
      </c>
      <c r="B6089" s="499">
        <v>45693</v>
      </c>
      <c r="C6089" s="500" t="s">
        <v>173</v>
      </c>
      <c r="D6089" s="500" t="s">
        <v>759</v>
      </c>
      <c r="E6089" s="501">
        <v>2328249188.7600002</v>
      </c>
      <c r="F6089" s="502" t="s">
        <v>878</v>
      </c>
      <c r="G6089" s="100">
        <v>115817200</v>
      </c>
      <c r="H6089" s="100">
        <v>115817200</v>
      </c>
      <c r="I6089" s="422" t="s">
        <v>696</v>
      </c>
      <c r="J6089" s="484"/>
      <c r="K6089" s="548"/>
      <c r="L6089" s="548"/>
      <c r="M6089" s="548"/>
      <c r="N6089" s="552"/>
    </row>
    <row r="6090" spans="1:14">
      <c r="A6090" s="499">
        <v>45692</v>
      </c>
      <c r="B6090" s="499">
        <v>45693</v>
      </c>
      <c r="C6090" s="500" t="s">
        <v>173</v>
      </c>
      <c r="D6090" s="500" t="s">
        <v>759</v>
      </c>
      <c r="E6090" s="501">
        <v>9004591.5299999993</v>
      </c>
      <c r="F6090" s="502" t="s">
        <v>878</v>
      </c>
      <c r="G6090" s="100">
        <v>115819917</v>
      </c>
      <c r="H6090" s="100">
        <v>115819917</v>
      </c>
      <c r="I6090" s="422" t="s">
        <v>916</v>
      </c>
      <c r="J6090" s="484"/>
      <c r="K6090" s="548"/>
      <c r="L6090" s="548">
        <v>-1</v>
      </c>
      <c r="M6090" s="548"/>
      <c r="N6090" s="552"/>
    </row>
    <row r="6091" spans="1:14">
      <c r="A6091" s="499">
        <v>45692</v>
      </c>
      <c r="B6091" s="499">
        <v>45692</v>
      </c>
      <c r="C6091" s="500" t="s">
        <v>173</v>
      </c>
      <c r="D6091" s="500" t="s">
        <v>760</v>
      </c>
      <c r="E6091" s="501">
        <v>-298014092.54000002</v>
      </c>
      <c r="F6091" s="502" t="s">
        <v>878</v>
      </c>
      <c r="G6091" s="100">
        <v>115816071</v>
      </c>
      <c r="H6091" s="530"/>
      <c r="I6091" s="422" t="s">
        <v>633</v>
      </c>
      <c r="J6091" s="484"/>
      <c r="K6091" s="548"/>
      <c r="L6091" s="548"/>
      <c r="M6091" s="548"/>
      <c r="N6091" s="552"/>
    </row>
    <row r="6092" spans="1:14">
      <c r="A6092" s="499">
        <v>45692</v>
      </c>
      <c r="B6092" s="499">
        <v>45692</v>
      </c>
      <c r="C6092" s="500" t="s">
        <v>173</v>
      </c>
      <c r="D6092" s="500" t="s">
        <v>760</v>
      </c>
      <c r="E6092" s="501">
        <v>-298129577.07999998</v>
      </c>
      <c r="F6092" s="502" t="s">
        <v>878</v>
      </c>
      <c r="G6092" s="100">
        <v>115816218</v>
      </c>
      <c r="H6092" s="530"/>
      <c r="I6092" s="422" t="s">
        <v>637</v>
      </c>
      <c r="J6092" s="484"/>
      <c r="K6092" s="548"/>
      <c r="L6092" s="548"/>
      <c r="M6092" s="548"/>
      <c r="N6092" s="552"/>
    </row>
    <row r="6093" spans="1:14">
      <c r="A6093" s="499">
        <v>45692</v>
      </c>
      <c r="B6093" s="499">
        <v>45692</v>
      </c>
      <c r="C6093" s="500" t="s">
        <v>173</v>
      </c>
      <c r="D6093" s="500" t="s">
        <v>760</v>
      </c>
      <c r="E6093" s="501">
        <v>-51013981.75</v>
      </c>
      <c r="F6093" s="502" t="s">
        <v>878</v>
      </c>
      <c r="G6093" s="100">
        <v>115816406</v>
      </c>
      <c r="H6093" s="530"/>
      <c r="I6093" s="422" t="s">
        <v>604</v>
      </c>
      <c r="J6093" s="484"/>
      <c r="K6093" s="548"/>
      <c r="L6093" s="548"/>
      <c r="M6093" s="548"/>
      <c r="N6093" s="552"/>
    </row>
    <row r="6094" spans="1:14">
      <c r="A6094" s="499">
        <v>45692</v>
      </c>
      <c r="B6094" s="499">
        <v>45699</v>
      </c>
      <c r="C6094" s="500" t="s">
        <v>173</v>
      </c>
      <c r="D6094" s="500" t="s">
        <v>760</v>
      </c>
      <c r="E6094" s="501">
        <v>298871393.35000002</v>
      </c>
      <c r="F6094" s="502" t="s">
        <v>878</v>
      </c>
      <c r="G6094" s="100">
        <v>115816071</v>
      </c>
      <c r="H6094" s="484">
        <v>115816071</v>
      </c>
      <c r="I6094" s="422" t="s">
        <v>633</v>
      </c>
      <c r="J6094" s="484"/>
      <c r="K6094" s="548"/>
      <c r="L6094" s="548"/>
      <c r="M6094" s="548"/>
      <c r="N6094" s="552"/>
    </row>
    <row r="6095" spans="1:14">
      <c r="A6095" s="499">
        <v>45692</v>
      </c>
      <c r="B6095" s="499">
        <v>45699</v>
      </c>
      <c r="C6095" s="500" t="s">
        <v>173</v>
      </c>
      <c r="D6095" s="500" t="s">
        <v>760</v>
      </c>
      <c r="E6095" s="501">
        <v>298987210.11000001</v>
      </c>
      <c r="F6095" s="502" t="s">
        <v>878</v>
      </c>
      <c r="G6095" s="100">
        <v>115816218</v>
      </c>
      <c r="H6095" s="484">
        <v>115816218</v>
      </c>
      <c r="I6095" s="422" t="s">
        <v>637</v>
      </c>
      <c r="J6095" s="484"/>
      <c r="K6095" s="548"/>
      <c r="L6095" s="548"/>
      <c r="M6095" s="548"/>
      <c r="N6095" s="552"/>
    </row>
    <row r="6096" spans="1:14">
      <c r="A6096" s="499">
        <v>45692</v>
      </c>
      <c r="B6096" s="499">
        <v>45699</v>
      </c>
      <c r="C6096" s="500" t="s">
        <v>173</v>
      </c>
      <c r="D6096" s="500" t="s">
        <v>760</v>
      </c>
      <c r="E6096" s="501">
        <v>51160734.299999997</v>
      </c>
      <c r="F6096" s="502" t="s">
        <v>878</v>
      </c>
      <c r="G6096" s="100">
        <v>115816406</v>
      </c>
      <c r="H6096" s="484">
        <v>115816406</v>
      </c>
      <c r="I6096" s="422" t="s">
        <v>604</v>
      </c>
      <c r="J6096" s="484"/>
      <c r="K6096" s="548"/>
      <c r="L6096" s="548"/>
      <c r="M6096" s="548"/>
      <c r="N6096" s="552"/>
    </row>
    <row r="6097" spans="1:14">
      <c r="A6097" s="499">
        <v>45692</v>
      </c>
      <c r="B6097" s="499">
        <v>45692</v>
      </c>
      <c r="C6097" s="500" t="s">
        <v>173</v>
      </c>
      <c r="D6097" s="500" t="s">
        <v>763</v>
      </c>
      <c r="E6097" s="501">
        <v>-580311002.96000004</v>
      </c>
      <c r="F6097" s="502" t="s">
        <v>878</v>
      </c>
      <c r="G6097" s="100">
        <v>115818184</v>
      </c>
      <c r="H6097" s="530"/>
      <c r="I6097" s="422" t="s">
        <v>600</v>
      </c>
      <c r="J6097" s="484"/>
      <c r="K6097" s="548"/>
      <c r="L6097" s="548"/>
      <c r="M6097" s="548"/>
      <c r="N6097" s="552"/>
    </row>
    <row r="6098" spans="1:14">
      <c r="A6098" s="499">
        <v>45692</v>
      </c>
      <c r="B6098" s="499">
        <v>45692</v>
      </c>
      <c r="C6098" s="500" t="s">
        <v>173</v>
      </c>
      <c r="D6098" s="500" t="s">
        <v>763</v>
      </c>
      <c r="E6098" s="501">
        <v>-2628027804.2399998</v>
      </c>
      <c r="F6098" s="502" t="s">
        <v>878</v>
      </c>
      <c r="G6098" s="100">
        <v>115818187</v>
      </c>
      <c r="H6098" s="530"/>
      <c r="I6098" s="422" t="s">
        <v>823</v>
      </c>
      <c r="J6098" s="484"/>
      <c r="K6098" s="548"/>
      <c r="L6098" s="548"/>
      <c r="M6098" s="548"/>
      <c r="N6098" s="552"/>
    </row>
    <row r="6099" spans="1:14">
      <c r="A6099" s="499">
        <v>45692</v>
      </c>
      <c r="B6099" s="499">
        <v>45692</v>
      </c>
      <c r="C6099" s="500" t="s">
        <v>173</v>
      </c>
      <c r="D6099" s="500" t="s">
        <v>763</v>
      </c>
      <c r="E6099" s="501">
        <v>-2446687382.52</v>
      </c>
      <c r="F6099" s="502" t="s">
        <v>878</v>
      </c>
      <c r="G6099" s="100">
        <v>115818190</v>
      </c>
      <c r="H6099" s="530"/>
      <c r="I6099" s="422" t="s">
        <v>677</v>
      </c>
      <c r="J6099" s="484"/>
      <c r="K6099" s="548"/>
      <c r="L6099" s="548"/>
      <c r="M6099" s="548"/>
      <c r="N6099" s="552"/>
    </row>
    <row r="6100" spans="1:14">
      <c r="A6100" s="499">
        <v>45692</v>
      </c>
      <c r="B6100" s="499">
        <v>45692</v>
      </c>
      <c r="C6100" s="500" t="s">
        <v>173</v>
      </c>
      <c r="D6100" s="500" t="s">
        <v>763</v>
      </c>
      <c r="E6100" s="501">
        <v>-326015416.67000002</v>
      </c>
      <c r="F6100" s="502" t="s">
        <v>878</v>
      </c>
      <c r="G6100" s="100">
        <v>115818193</v>
      </c>
      <c r="H6100" s="530"/>
      <c r="I6100" s="422" t="s">
        <v>633</v>
      </c>
      <c r="J6100" s="484"/>
      <c r="K6100" s="548"/>
      <c r="L6100" s="548"/>
      <c r="M6100" s="548"/>
      <c r="N6100" s="552"/>
    </row>
    <row r="6101" spans="1:14">
      <c r="A6101" s="499">
        <v>45692</v>
      </c>
      <c r="B6101" s="499">
        <v>45692</v>
      </c>
      <c r="C6101" s="500" t="s">
        <v>173</v>
      </c>
      <c r="D6101" s="500" t="s">
        <v>763</v>
      </c>
      <c r="E6101" s="501">
        <v>-25022282.399999999</v>
      </c>
      <c r="F6101" s="502" t="s">
        <v>878</v>
      </c>
      <c r="G6101" s="100">
        <v>115818210</v>
      </c>
      <c r="H6101" s="530"/>
      <c r="I6101" s="422" t="s">
        <v>687</v>
      </c>
      <c r="J6101" s="484"/>
      <c r="K6101" s="548"/>
      <c r="L6101" s="548"/>
      <c r="M6101" s="548"/>
      <c r="N6101" s="552"/>
    </row>
    <row r="6102" spans="1:14">
      <c r="A6102" s="499">
        <v>45692</v>
      </c>
      <c r="B6102" s="499">
        <v>45693</v>
      </c>
      <c r="C6102" s="500" t="s">
        <v>173</v>
      </c>
      <c r="D6102" s="500" t="s">
        <v>763</v>
      </c>
      <c r="E6102" s="501">
        <v>580543946.15999997</v>
      </c>
      <c r="F6102" s="502" t="s">
        <v>878</v>
      </c>
      <c r="G6102" s="100">
        <v>115818184</v>
      </c>
      <c r="H6102" s="484">
        <v>115818184</v>
      </c>
      <c r="I6102" s="422" t="s">
        <v>600</v>
      </c>
      <c r="J6102" s="484"/>
      <c r="K6102" s="548"/>
      <c r="L6102" s="548"/>
      <c r="M6102" s="548"/>
      <c r="N6102" s="552"/>
    </row>
    <row r="6103" spans="1:14">
      <c r="A6103" s="499">
        <v>45692</v>
      </c>
      <c r="B6103" s="499">
        <v>45693</v>
      </c>
      <c r="C6103" s="500" t="s">
        <v>173</v>
      </c>
      <c r="D6103" s="500" t="s">
        <v>763</v>
      </c>
      <c r="E6103" s="501">
        <v>2629082709</v>
      </c>
      <c r="F6103" s="502" t="s">
        <v>878</v>
      </c>
      <c r="G6103" s="100">
        <v>115818187</v>
      </c>
      <c r="H6103" s="484">
        <v>115818187</v>
      </c>
      <c r="I6103" s="422" t="s">
        <v>823</v>
      </c>
      <c r="J6103" s="484"/>
      <c r="K6103" s="548"/>
      <c r="L6103" s="548"/>
      <c r="M6103" s="548"/>
      <c r="N6103" s="552"/>
    </row>
    <row r="6104" spans="1:14">
      <c r="A6104" s="499">
        <v>45692</v>
      </c>
      <c r="B6104" s="499">
        <v>45693</v>
      </c>
      <c r="C6104" s="500" t="s">
        <v>173</v>
      </c>
      <c r="D6104" s="500" t="s">
        <v>763</v>
      </c>
      <c r="E6104" s="501">
        <v>2447669496.2399998</v>
      </c>
      <c r="F6104" s="502" t="s">
        <v>878</v>
      </c>
      <c r="G6104" s="100">
        <v>115818190</v>
      </c>
      <c r="H6104" s="484">
        <v>115818190</v>
      </c>
      <c r="I6104" s="422" t="s">
        <v>677</v>
      </c>
      <c r="J6104" s="484"/>
      <c r="K6104" s="548"/>
      <c r="L6104" s="548"/>
      <c r="M6104" s="548"/>
      <c r="N6104" s="552"/>
    </row>
    <row r="6105" spans="1:14">
      <c r="A6105" s="499">
        <v>45692</v>
      </c>
      <c r="B6105" s="499">
        <v>45693</v>
      </c>
      <c r="C6105" s="500" t="s">
        <v>173</v>
      </c>
      <c r="D6105" s="500" t="s">
        <v>763</v>
      </c>
      <c r="E6105" s="501">
        <v>326146278.37</v>
      </c>
      <c r="F6105" s="502" t="s">
        <v>878</v>
      </c>
      <c r="G6105" s="100">
        <v>115818193</v>
      </c>
      <c r="H6105" s="484">
        <v>115818193</v>
      </c>
      <c r="I6105" s="422" t="s">
        <v>633</v>
      </c>
      <c r="J6105" s="484"/>
      <c r="K6105" s="548"/>
      <c r="L6105" s="548"/>
      <c r="M6105" s="548"/>
      <c r="N6105" s="552"/>
    </row>
    <row r="6106" spans="1:14">
      <c r="A6106" s="499">
        <v>45692</v>
      </c>
      <c r="B6106" s="499">
        <v>45693</v>
      </c>
      <c r="C6106" s="500" t="s">
        <v>173</v>
      </c>
      <c r="D6106" s="500" t="s">
        <v>763</v>
      </c>
      <c r="E6106" s="501">
        <v>25032326.34</v>
      </c>
      <c r="F6106" s="502" t="s">
        <v>878</v>
      </c>
      <c r="G6106" s="100">
        <v>115818210</v>
      </c>
      <c r="H6106" s="484">
        <v>115818210</v>
      </c>
      <c r="I6106" s="422" t="s">
        <v>687</v>
      </c>
      <c r="J6106" s="484"/>
      <c r="K6106" s="548"/>
      <c r="L6106" s="548"/>
      <c r="M6106" s="548"/>
      <c r="N6106" s="552"/>
    </row>
    <row r="6107" spans="1:14">
      <c r="A6107" s="499">
        <v>45692</v>
      </c>
      <c r="B6107" s="499">
        <v>45692</v>
      </c>
      <c r="C6107" s="500" t="s">
        <v>173</v>
      </c>
      <c r="D6107" s="500" t="s">
        <v>761</v>
      </c>
      <c r="E6107" s="501">
        <v>38400000</v>
      </c>
      <c r="F6107" s="502" t="s">
        <v>381</v>
      </c>
      <c r="G6107" s="100" t="s">
        <v>82</v>
      </c>
      <c r="H6107" s="530"/>
      <c r="I6107" s="422"/>
      <c r="K6107" s="548"/>
      <c r="L6107" s="548"/>
      <c r="M6107" s="548"/>
      <c r="N6107" s="552"/>
    </row>
    <row r="6108" spans="1:14">
      <c r="A6108" s="499">
        <v>45692</v>
      </c>
      <c r="B6108" s="499">
        <v>45692</v>
      </c>
      <c r="C6108" s="500" t="s">
        <v>173</v>
      </c>
      <c r="D6108" s="500" t="s">
        <v>761</v>
      </c>
      <c r="E6108" s="501">
        <v>38400000</v>
      </c>
      <c r="F6108" s="502" t="s">
        <v>381</v>
      </c>
      <c r="G6108" s="100" t="s">
        <v>82</v>
      </c>
      <c r="H6108" s="530"/>
      <c r="I6108" s="422"/>
      <c r="K6108" s="548"/>
      <c r="L6108" s="548"/>
      <c r="M6108" s="548"/>
      <c r="N6108" s="552"/>
    </row>
    <row r="6109" spans="1:14">
      <c r="A6109" s="499">
        <v>45692</v>
      </c>
      <c r="B6109" s="499">
        <v>45692</v>
      </c>
      <c r="C6109" s="500" t="s">
        <v>173</v>
      </c>
      <c r="D6109" s="500" t="s">
        <v>761</v>
      </c>
      <c r="E6109" s="501">
        <v>38400000</v>
      </c>
      <c r="F6109" s="502" t="s">
        <v>381</v>
      </c>
      <c r="G6109" s="100" t="s">
        <v>82</v>
      </c>
      <c r="H6109" s="530"/>
      <c r="I6109" s="422"/>
      <c r="K6109" s="548"/>
      <c r="L6109" s="548"/>
      <c r="M6109" s="548"/>
      <c r="N6109" s="552"/>
    </row>
    <row r="6110" spans="1:14">
      <c r="A6110" s="499">
        <v>45692</v>
      </c>
      <c r="B6110" s="499">
        <v>45692</v>
      </c>
      <c r="C6110" s="500" t="s">
        <v>173</v>
      </c>
      <c r="D6110" s="500" t="s">
        <v>761</v>
      </c>
      <c r="E6110" s="501">
        <v>28930000</v>
      </c>
      <c r="F6110" s="502" t="s">
        <v>381</v>
      </c>
      <c r="G6110" s="100" t="s">
        <v>476</v>
      </c>
      <c r="H6110" s="530"/>
      <c r="I6110" s="422"/>
      <c r="K6110" s="548"/>
      <c r="L6110" s="548"/>
      <c r="M6110" s="548"/>
      <c r="N6110" s="552"/>
    </row>
    <row r="6111" spans="1:14">
      <c r="A6111" s="499">
        <v>45693</v>
      </c>
      <c r="B6111" s="499">
        <v>45693</v>
      </c>
      <c r="C6111" s="500" t="s">
        <v>173</v>
      </c>
      <c r="D6111" s="500" t="s">
        <v>761</v>
      </c>
      <c r="E6111" s="501">
        <v>-1396965787.7</v>
      </c>
      <c r="F6111" s="502" t="s">
        <v>878</v>
      </c>
      <c r="G6111" s="100">
        <v>115838112</v>
      </c>
      <c r="H6111" s="530"/>
      <c r="I6111" s="422" t="s">
        <v>719</v>
      </c>
      <c r="J6111" s="484"/>
      <c r="K6111" s="548"/>
      <c r="L6111" s="548"/>
      <c r="M6111" s="548"/>
      <c r="N6111" s="552"/>
    </row>
    <row r="6112" spans="1:14">
      <c r="A6112" s="499">
        <v>45693</v>
      </c>
      <c r="B6112" s="499">
        <v>45693</v>
      </c>
      <c r="C6112" s="500" t="s">
        <v>173</v>
      </c>
      <c r="D6112" s="500" t="s">
        <v>761</v>
      </c>
      <c r="E6112" s="501">
        <v>-940848195.84000003</v>
      </c>
      <c r="F6112" s="502" t="s">
        <v>878</v>
      </c>
      <c r="G6112" s="100">
        <v>115838193</v>
      </c>
      <c r="H6112" s="530"/>
      <c r="I6112" s="422" t="s">
        <v>652</v>
      </c>
      <c r="J6112" s="484"/>
      <c r="K6112" s="548"/>
      <c r="L6112" s="548"/>
      <c r="M6112" s="548"/>
      <c r="N6112" s="552"/>
    </row>
    <row r="6113" spans="1:14">
      <c r="A6113" s="499">
        <v>45693</v>
      </c>
      <c r="B6113" s="499">
        <v>45693</v>
      </c>
      <c r="C6113" s="500" t="s">
        <v>173</v>
      </c>
      <c r="D6113" s="500" t="s">
        <v>761</v>
      </c>
      <c r="E6113" s="501">
        <v>-596201877.12</v>
      </c>
      <c r="F6113" s="502" t="s">
        <v>878</v>
      </c>
      <c r="G6113" s="100">
        <v>115838241</v>
      </c>
      <c r="H6113" s="530"/>
      <c r="I6113" s="422" t="s">
        <v>678</v>
      </c>
      <c r="J6113" s="484"/>
      <c r="K6113" s="548"/>
      <c r="L6113" s="548"/>
      <c r="M6113" s="548"/>
      <c r="N6113" s="552"/>
    </row>
    <row r="6114" spans="1:14">
      <c r="A6114" s="499">
        <v>45693</v>
      </c>
      <c r="B6114" s="499">
        <v>45693</v>
      </c>
      <c r="C6114" s="500" t="s">
        <v>173</v>
      </c>
      <c r="D6114" s="500" t="s">
        <v>761</v>
      </c>
      <c r="E6114" s="501">
        <v>-12009778.369999999</v>
      </c>
      <c r="F6114" s="502" t="s">
        <v>878</v>
      </c>
      <c r="G6114" s="100">
        <v>115839915</v>
      </c>
      <c r="H6114" s="530"/>
      <c r="I6114" s="422" t="s">
        <v>685</v>
      </c>
      <c r="J6114" s="484"/>
      <c r="K6114" s="548"/>
      <c r="L6114" s="548"/>
      <c r="M6114" s="548"/>
      <c r="N6114" s="552"/>
    </row>
    <row r="6115" spans="1:14">
      <c r="A6115" s="499">
        <v>45693</v>
      </c>
      <c r="B6115" s="499">
        <v>45700</v>
      </c>
      <c r="C6115" s="500" t="s">
        <v>173</v>
      </c>
      <c r="D6115" s="500" t="s">
        <v>761</v>
      </c>
      <c r="E6115" s="501">
        <v>1401011247.53</v>
      </c>
      <c r="F6115" s="502" t="s">
        <v>878</v>
      </c>
      <c r="G6115" s="100">
        <v>115838112</v>
      </c>
      <c r="H6115" s="484">
        <v>115838112</v>
      </c>
      <c r="I6115" s="422" t="s">
        <v>719</v>
      </c>
      <c r="J6115" s="484"/>
      <c r="K6115" s="548"/>
      <c r="L6115" s="548"/>
      <c r="M6115" s="548"/>
      <c r="N6115" s="552"/>
    </row>
    <row r="6116" spans="1:14">
      <c r="A6116" s="499">
        <v>45693</v>
      </c>
      <c r="B6116" s="499">
        <v>45694</v>
      </c>
      <c r="C6116" s="500" t="s">
        <v>173</v>
      </c>
      <c r="D6116" s="500" t="s">
        <v>761</v>
      </c>
      <c r="E6116" s="501">
        <v>941234845.77999997</v>
      </c>
      <c r="F6116" s="502" t="s">
        <v>878</v>
      </c>
      <c r="G6116" s="100">
        <v>115838193</v>
      </c>
      <c r="H6116" s="484">
        <v>115838193</v>
      </c>
      <c r="I6116" s="422" t="s">
        <v>652</v>
      </c>
      <c r="J6116" s="484"/>
      <c r="K6116" s="548"/>
      <c r="L6116" s="548">
        <v>-1</v>
      </c>
      <c r="M6116" s="548"/>
      <c r="N6116" s="552"/>
    </row>
    <row r="6117" spans="1:14">
      <c r="A6117" s="499">
        <v>45693</v>
      </c>
      <c r="B6117" s="499">
        <v>45700</v>
      </c>
      <c r="C6117" s="500" t="s">
        <v>173</v>
      </c>
      <c r="D6117" s="500" t="s">
        <v>761</v>
      </c>
      <c r="E6117" s="501">
        <v>597928412.41999996</v>
      </c>
      <c r="F6117" s="502" t="s">
        <v>878</v>
      </c>
      <c r="G6117" s="100">
        <v>115838241</v>
      </c>
      <c r="H6117" s="484">
        <v>115838241</v>
      </c>
      <c r="I6117" s="422" t="s">
        <v>678</v>
      </c>
      <c r="J6117" s="484"/>
      <c r="K6117" s="548"/>
      <c r="L6117" s="548"/>
      <c r="M6117" s="548"/>
      <c r="N6117" s="552"/>
    </row>
    <row r="6118" spans="1:14">
      <c r="A6118" s="499">
        <v>45693</v>
      </c>
      <c r="B6118" s="499">
        <v>45694</v>
      </c>
      <c r="C6118" s="500" t="s">
        <v>173</v>
      </c>
      <c r="D6118" s="500" t="s">
        <v>761</v>
      </c>
      <c r="E6118" s="501">
        <v>12014713.9</v>
      </c>
      <c r="F6118" s="502" t="s">
        <v>878</v>
      </c>
      <c r="G6118" s="100">
        <v>115839915</v>
      </c>
      <c r="H6118" s="484">
        <v>115839915</v>
      </c>
      <c r="I6118" s="422" t="s">
        <v>685</v>
      </c>
      <c r="J6118" s="484"/>
      <c r="K6118" s="548"/>
      <c r="L6118" s="548"/>
      <c r="M6118" s="548"/>
      <c r="N6118" s="552"/>
    </row>
    <row r="6119" spans="1:14">
      <c r="A6119" s="499">
        <v>45693</v>
      </c>
      <c r="B6119" s="499">
        <v>45693</v>
      </c>
      <c r="C6119" s="500" t="s">
        <v>173</v>
      </c>
      <c r="D6119" s="500" t="s">
        <v>759</v>
      </c>
      <c r="E6119" s="501">
        <v>-1388978684.3499999</v>
      </c>
      <c r="F6119" s="502" t="s">
        <v>878</v>
      </c>
      <c r="G6119" s="100">
        <v>115836550</v>
      </c>
      <c r="H6119" s="530"/>
      <c r="I6119" s="422" t="s">
        <v>590</v>
      </c>
      <c r="J6119" s="484"/>
      <c r="K6119" s="548"/>
      <c r="L6119" s="548"/>
      <c r="M6119" s="548"/>
      <c r="N6119" s="552"/>
    </row>
    <row r="6120" spans="1:14">
      <c r="A6120" s="499">
        <v>45693</v>
      </c>
      <c r="B6120" s="499">
        <v>45693</v>
      </c>
      <c r="C6120" s="500" t="s">
        <v>173</v>
      </c>
      <c r="D6120" s="500" t="s">
        <v>759</v>
      </c>
      <c r="E6120" s="501">
        <v>-612373226.98000002</v>
      </c>
      <c r="F6120" s="502" t="s">
        <v>878</v>
      </c>
      <c r="G6120" s="100">
        <v>115836572</v>
      </c>
      <c r="H6120" s="530"/>
      <c r="I6120" s="422" t="s">
        <v>827</v>
      </c>
      <c r="J6120" s="484"/>
      <c r="K6120" s="548"/>
      <c r="L6120" s="548"/>
      <c r="M6120" s="548"/>
      <c r="N6120" s="552"/>
    </row>
    <row r="6121" spans="1:14">
      <c r="A6121" s="499">
        <v>45693</v>
      </c>
      <c r="B6121" s="499">
        <v>45693</v>
      </c>
      <c r="C6121" s="500" t="s">
        <v>173</v>
      </c>
      <c r="D6121" s="500" t="s">
        <v>759</v>
      </c>
      <c r="E6121" s="501">
        <v>-4611561499.1999998</v>
      </c>
      <c r="F6121" s="502" t="s">
        <v>878</v>
      </c>
      <c r="G6121" s="100">
        <v>115836908</v>
      </c>
      <c r="H6121" s="530"/>
      <c r="I6121" s="422" t="s">
        <v>678</v>
      </c>
      <c r="J6121" s="484"/>
      <c r="K6121" s="548"/>
      <c r="L6121" s="548"/>
      <c r="M6121" s="548"/>
      <c r="N6121" s="552"/>
    </row>
    <row r="6122" spans="1:14">
      <c r="A6122" s="499">
        <v>45693</v>
      </c>
      <c r="B6122" s="499">
        <v>45693</v>
      </c>
      <c r="C6122" s="500" t="s">
        <v>173</v>
      </c>
      <c r="D6122" s="500" t="s">
        <v>759</v>
      </c>
      <c r="E6122" s="501">
        <v>-2000716</v>
      </c>
      <c r="F6122" s="502" t="s">
        <v>878</v>
      </c>
      <c r="G6122" s="100">
        <v>115837166</v>
      </c>
      <c r="H6122" s="530"/>
      <c r="I6122" s="422" t="s">
        <v>631</v>
      </c>
      <c r="J6122" s="484"/>
      <c r="K6122" s="548"/>
      <c r="L6122" s="548"/>
      <c r="M6122" s="548"/>
      <c r="N6122" s="552"/>
    </row>
    <row r="6123" spans="1:14">
      <c r="A6123" s="499">
        <v>45693</v>
      </c>
      <c r="B6123" s="499">
        <v>45693</v>
      </c>
      <c r="C6123" s="500" t="s">
        <v>173</v>
      </c>
      <c r="D6123" s="500" t="s">
        <v>759</v>
      </c>
      <c r="E6123" s="501">
        <v>-17017908.239999998</v>
      </c>
      <c r="F6123" s="502" t="s">
        <v>878</v>
      </c>
      <c r="G6123" s="100">
        <v>115837603</v>
      </c>
      <c r="H6123" s="530"/>
      <c r="I6123" s="422" t="s">
        <v>682</v>
      </c>
      <c r="J6123" s="484"/>
      <c r="K6123" s="548"/>
      <c r="L6123" s="548"/>
      <c r="M6123" s="548"/>
      <c r="N6123" s="552"/>
    </row>
    <row r="6124" spans="1:14">
      <c r="A6124" s="499">
        <v>45693</v>
      </c>
      <c r="B6124" s="499">
        <v>45694</v>
      </c>
      <c r="C6124" s="500" t="s">
        <v>173</v>
      </c>
      <c r="D6124" s="500" t="s">
        <v>759</v>
      </c>
      <c r="E6124" s="501">
        <v>1389543789.3800001</v>
      </c>
      <c r="F6124" s="502" t="s">
        <v>878</v>
      </c>
      <c r="G6124" s="100">
        <v>115836550</v>
      </c>
      <c r="H6124" s="484">
        <v>115836550</v>
      </c>
      <c r="I6124" s="422" t="s">
        <v>590</v>
      </c>
      <c r="J6124" s="484"/>
      <c r="K6124" s="548"/>
      <c r="L6124" s="548"/>
      <c r="M6124" s="548"/>
      <c r="N6124" s="552"/>
    </row>
    <row r="6125" spans="1:14">
      <c r="A6125" s="499">
        <v>45693</v>
      </c>
      <c r="B6125" s="499">
        <v>45694</v>
      </c>
      <c r="C6125" s="500" t="s">
        <v>173</v>
      </c>
      <c r="D6125" s="500" t="s">
        <v>759</v>
      </c>
      <c r="E6125" s="501">
        <v>612622370.61000001</v>
      </c>
      <c r="F6125" s="502" t="s">
        <v>878</v>
      </c>
      <c r="G6125" s="100">
        <v>115836572</v>
      </c>
      <c r="H6125" s="484">
        <v>115836572</v>
      </c>
      <c r="I6125" s="422" t="s">
        <v>827</v>
      </c>
      <c r="J6125" s="484"/>
      <c r="K6125" s="548"/>
      <c r="L6125" s="548"/>
      <c r="M6125" s="548"/>
      <c r="N6125" s="552"/>
    </row>
    <row r="6126" spans="1:14">
      <c r="A6126" s="499">
        <v>45693</v>
      </c>
      <c r="B6126" s="499">
        <v>45700</v>
      </c>
      <c r="C6126" s="500" t="s">
        <v>173</v>
      </c>
      <c r="D6126" s="500" t="s">
        <v>759</v>
      </c>
      <c r="E6126" s="501">
        <v>4624871855.4700003</v>
      </c>
      <c r="F6126" s="502" t="s">
        <v>878</v>
      </c>
      <c r="G6126" s="100">
        <v>115836908</v>
      </c>
      <c r="H6126" s="484">
        <v>115836908</v>
      </c>
      <c r="I6126" s="422" t="s">
        <v>678</v>
      </c>
      <c r="J6126" s="484"/>
      <c r="K6126" s="548"/>
      <c r="L6126" s="548"/>
      <c r="M6126" s="548"/>
      <c r="N6126" s="552"/>
    </row>
    <row r="6127" spans="1:14">
      <c r="A6127" s="499">
        <v>45693</v>
      </c>
      <c r="B6127" s="499">
        <v>45700</v>
      </c>
      <c r="C6127" s="500" t="s">
        <v>173</v>
      </c>
      <c r="D6127" s="500" t="s">
        <v>759</v>
      </c>
      <c r="E6127" s="501">
        <v>2006490.67</v>
      </c>
      <c r="F6127" s="502" t="s">
        <v>878</v>
      </c>
      <c r="G6127" s="100">
        <v>115837166</v>
      </c>
      <c r="H6127" s="484">
        <v>115837166</v>
      </c>
      <c r="I6127" s="422" t="s">
        <v>631</v>
      </c>
      <c r="J6127" s="484"/>
      <c r="K6127" s="548"/>
      <c r="L6127" s="548"/>
      <c r="M6127" s="548"/>
      <c r="N6127" s="552"/>
    </row>
    <row r="6128" spans="1:14">
      <c r="A6128" s="499">
        <v>45693</v>
      </c>
      <c r="B6128" s="499">
        <v>45700</v>
      </c>
      <c r="C6128" s="500" t="s">
        <v>173</v>
      </c>
      <c r="D6128" s="500" t="s">
        <v>759</v>
      </c>
      <c r="E6128" s="501">
        <v>17067027.050000001</v>
      </c>
      <c r="F6128" s="502" t="s">
        <v>878</v>
      </c>
      <c r="G6128" s="100">
        <v>115837603</v>
      </c>
      <c r="H6128" s="484">
        <v>115837603</v>
      </c>
      <c r="I6128" s="422" t="s">
        <v>682</v>
      </c>
      <c r="J6128" s="484"/>
      <c r="K6128" s="548"/>
      <c r="L6128" s="548"/>
      <c r="M6128" s="548"/>
      <c r="N6128" s="552"/>
    </row>
    <row r="6129" spans="1:14">
      <c r="A6129" s="499">
        <v>45693</v>
      </c>
      <c r="B6129" s="499">
        <v>45693</v>
      </c>
      <c r="C6129" s="500" t="s">
        <v>173</v>
      </c>
      <c r="D6129" s="500" t="s">
        <v>764</v>
      </c>
      <c r="E6129" s="501">
        <v>-2297870563</v>
      </c>
      <c r="F6129" s="502" t="s">
        <v>878</v>
      </c>
      <c r="G6129" s="100">
        <v>115836454</v>
      </c>
      <c r="H6129" s="530"/>
      <c r="I6129" s="422" t="s">
        <v>696</v>
      </c>
      <c r="J6129" s="534"/>
      <c r="K6129" s="548"/>
      <c r="L6129" s="548"/>
      <c r="M6129" s="548"/>
      <c r="N6129" s="552"/>
    </row>
    <row r="6130" spans="1:14">
      <c r="A6130" s="499">
        <v>45693</v>
      </c>
      <c r="B6130" s="499">
        <v>45693</v>
      </c>
      <c r="C6130" s="500" t="s">
        <v>173</v>
      </c>
      <c r="D6130" s="500" t="s">
        <v>764</v>
      </c>
      <c r="E6130" s="501">
        <v>-9003491.0099999998</v>
      </c>
      <c r="F6130" s="502" t="s">
        <v>878</v>
      </c>
      <c r="G6130" s="100">
        <v>115836506</v>
      </c>
      <c r="H6130" s="530"/>
      <c r="I6130" s="422" t="s">
        <v>705</v>
      </c>
      <c r="J6130" s="534"/>
      <c r="K6130" s="548"/>
      <c r="L6130" s="548"/>
      <c r="M6130" s="548"/>
      <c r="N6130" s="552"/>
    </row>
    <row r="6131" spans="1:14">
      <c r="A6131" s="499">
        <v>45693</v>
      </c>
      <c r="B6131" s="499">
        <v>45700</v>
      </c>
      <c r="C6131" s="500" t="s">
        <v>173</v>
      </c>
      <c r="D6131" s="500" t="s">
        <v>764</v>
      </c>
      <c r="E6131" s="501">
        <v>2304480875.5799999</v>
      </c>
      <c r="F6131" s="502" t="s">
        <v>878</v>
      </c>
      <c r="G6131" s="100">
        <v>115836454</v>
      </c>
      <c r="H6131" s="484">
        <v>115836454</v>
      </c>
      <c r="I6131" s="422" t="s">
        <v>696</v>
      </c>
      <c r="J6131" s="534"/>
      <c r="K6131" s="548"/>
      <c r="L6131" s="548"/>
      <c r="M6131" s="548"/>
      <c r="N6131" s="552"/>
    </row>
    <row r="6132" spans="1:14">
      <c r="A6132" s="499">
        <v>45693</v>
      </c>
      <c r="B6132" s="499">
        <v>45700</v>
      </c>
      <c r="C6132" s="500" t="s">
        <v>173</v>
      </c>
      <c r="D6132" s="500" t="s">
        <v>764</v>
      </c>
      <c r="E6132" s="501">
        <v>9029391.6400000006</v>
      </c>
      <c r="F6132" s="502" t="s">
        <v>878</v>
      </c>
      <c r="G6132" s="100">
        <v>115836506</v>
      </c>
      <c r="H6132" s="484">
        <v>115836506</v>
      </c>
      <c r="I6132" s="422" t="s">
        <v>705</v>
      </c>
      <c r="J6132" s="534"/>
      <c r="K6132" s="548"/>
      <c r="L6132" s="548"/>
      <c r="M6132" s="548"/>
      <c r="N6132" s="552"/>
    </row>
    <row r="6133" spans="1:14">
      <c r="A6133" s="499">
        <v>45693</v>
      </c>
      <c r="B6133" s="499">
        <v>45693</v>
      </c>
      <c r="C6133" s="500" t="s">
        <v>173</v>
      </c>
      <c r="D6133" s="500" t="s">
        <v>763</v>
      </c>
      <c r="E6133" s="501">
        <v>-82000461.689999998</v>
      </c>
      <c r="F6133" s="502" t="s">
        <v>878</v>
      </c>
      <c r="G6133" s="100">
        <v>115835436</v>
      </c>
      <c r="H6133" s="530"/>
      <c r="I6133" s="422" t="s">
        <v>1013</v>
      </c>
      <c r="J6133" s="484"/>
      <c r="K6133" s="548"/>
      <c r="L6133" s="548"/>
      <c r="M6133" s="548"/>
      <c r="N6133" s="552"/>
    </row>
    <row r="6134" spans="1:14">
      <c r="A6134" s="499">
        <v>45693</v>
      </c>
      <c r="B6134" s="499">
        <v>45693</v>
      </c>
      <c r="C6134" s="500" t="s">
        <v>173</v>
      </c>
      <c r="D6134" s="500" t="s">
        <v>763</v>
      </c>
      <c r="E6134" s="501">
        <v>-192001081.03999999</v>
      </c>
      <c r="F6134" s="502" t="s">
        <v>878</v>
      </c>
      <c r="G6134" s="100">
        <v>115835439</v>
      </c>
      <c r="H6134" s="530"/>
      <c r="I6134" s="422" t="s">
        <v>1013</v>
      </c>
      <c r="J6134" s="484"/>
      <c r="K6134" s="548"/>
      <c r="L6134" s="548"/>
      <c r="M6134" s="548"/>
      <c r="N6134" s="552"/>
    </row>
    <row r="6135" spans="1:14">
      <c r="A6135" s="499">
        <v>45693</v>
      </c>
      <c r="B6135" s="499">
        <v>45693</v>
      </c>
      <c r="C6135" s="500" t="s">
        <v>173</v>
      </c>
      <c r="D6135" s="500" t="s">
        <v>763</v>
      </c>
      <c r="E6135" s="501">
        <v>-1777026599.04</v>
      </c>
      <c r="F6135" s="502" t="s">
        <v>878</v>
      </c>
      <c r="G6135" s="100">
        <v>115835442</v>
      </c>
      <c r="H6135" s="530"/>
      <c r="I6135" s="422" t="s">
        <v>800</v>
      </c>
      <c r="J6135" s="484"/>
      <c r="K6135" s="548"/>
      <c r="L6135" s="548"/>
      <c r="M6135" s="548"/>
      <c r="N6135" s="552"/>
    </row>
    <row r="6136" spans="1:14">
      <c r="A6136" s="499">
        <v>45693</v>
      </c>
      <c r="B6136" s="499">
        <v>45693</v>
      </c>
      <c r="C6136" s="500" t="s">
        <v>173</v>
      </c>
      <c r="D6136" s="500" t="s">
        <v>763</v>
      </c>
      <c r="E6136" s="501">
        <v>-3935034827.6999998</v>
      </c>
      <c r="F6136" s="502" t="s">
        <v>878</v>
      </c>
      <c r="G6136" s="100">
        <v>115835445</v>
      </c>
      <c r="H6136" s="530"/>
      <c r="I6136" s="422" t="s">
        <v>677</v>
      </c>
      <c r="J6136" s="484"/>
      <c r="K6136" s="548"/>
      <c r="L6136" s="548"/>
      <c r="M6136" s="548"/>
      <c r="N6136" s="552"/>
    </row>
    <row r="6137" spans="1:14">
      <c r="A6137" s="499">
        <v>45693</v>
      </c>
      <c r="B6137" s="499">
        <v>45693</v>
      </c>
      <c r="C6137" s="500" t="s">
        <v>173</v>
      </c>
      <c r="D6137" s="500" t="s">
        <v>763</v>
      </c>
      <c r="E6137" s="501">
        <v>-23011091.870000001</v>
      </c>
      <c r="F6137" s="502" t="s">
        <v>878</v>
      </c>
      <c r="G6137" s="100">
        <v>115835501</v>
      </c>
      <c r="H6137" s="530"/>
      <c r="I6137" s="422" t="s">
        <v>823</v>
      </c>
      <c r="J6137" s="484"/>
      <c r="K6137" s="548"/>
      <c r="L6137" s="548"/>
      <c r="M6137" s="548"/>
      <c r="N6137" s="552"/>
    </row>
    <row r="6138" spans="1:14">
      <c r="A6138" s="499">
        <v>45693</v>
      </c>
      <c r="B6138" s="499">
        <v>45694</v>
      </c>
      <c r="C6138" s="500" t="s">
        <v>173</v>
      </c>
      <c r="D6138" s="500" t="s">
        <v>763</v>
      </c>
      <c r="E6138" s="501">
        <v>82033711.420000002</v>
      </c>
      <c r="F6138" s="502" t="s">
        <v>878</v>
      </c>
      <c r="G6138" s="100">
        <v>115835436</v>
      </c>
      <c r="H6138" s="484">
        <v>115835436</v>
      </c>
      <c r="I6138" s="422" t="s">
        <v>1013</v>
      </c>
      <c r="J6138" s="484"/>
      <c r="K6138" s="548"/>
      <c r="L6138" s="548"/>
      <c r="M6138" s="548"/>
      <c r="N6138" s="552"/>
    </row>
    <row r="6139" spans="1:14">
      <c r="A6139" s="499">
        <v>45693</v>
      </c>
      <c r="B6139" s="499">
        <v>45694</v>
      </c>
      <c r="C6139" s="500" t="s">
        <v>173</v>
      </c>
      <c r="D6139" s="500" t="s">
        <v>763</v>
      </c>
      <c r="E6139" s="501">
        <v>192078934.06</v>
      </c>
      <c r="F6139" s="502" t="s">
        <v>878</v>
      </c>
      <c r="G6139" s="100">
        <v>115835439</v>
      </c>
      <c r="H6139" s="484">
        <v>115835439</v>
      </c>
      <c r="I6139" s="422" t="s">
        <v>1013</v>
      </c>
      <c r="J6139" s="484"/>
      <c r="K6139" s="548"/>
      <c r="L6139" s="548"/>
      <c r="M6139" s="548"/>
      <c r="N6139" s="552"/>
    </row>
    <row r="6140" spans="1:14">
      <c r="A6140" s="499">
        <v>45693</v>
      </c>
      <c r="B6140" s="499">
        <v>45694</v>
      </c>
      <c r="C6140" s="500" t="s">
        <v>173</v>
      </c>
      <c r="D6140" s="500" t="s">
        <v>763</v>
      </c>
      <c r="E6140" s="501">
        <v>1777742292.8499999</v>
      </c>
      <c r="F6140" s="502" t="s">
        <v>878</v>
      </c>
      <c r="G6140" s="100">
        <v>115835442</v>
      </c>
      <c r="H6140" s="484">
        <v>115835442</v>
      </c>
      <c r="I6140" s="422" t="s">
        <v>800</v>
      </c>
      <c r="J6140" s="484"/>
      <c r="K6140" s="548"/>
      <c r="L6140" s="548"/>
      <c r="M6140" s="548"/>
      <c r="N6140" s="552"/>
    </row>
    <row r="6141" spans="1:14">
      <c r="A6141" s="499">
        <v>45693</v>
      </c>
      <c r="B6141" s="499">
        <v>45694</v>
      </c>
      <c r="C6141" s="500" t="s">
        <v>173</v>
      </c>
      <c r="D6141" s="500" t="s">
        <v>763</v>
      </c>
      <c r="E6141" s="501">
        <v>3936619644.1100001</v>
      </c>
      <c r="F6141" s="502" t="s">
        <v>878</v>
      </c>
      <c r="G6141" s="100">
        <v>115835445</v>
      </c>
      <c r="H6141" s="484">
        <v>115835445</v>
      </c>
      <c r="I6141" s="422" t="s">
        <v>677</v>
      </c>
      <c r="J6141" s="484"/>
      <c r="K6141" s="548"/>
      <c r="L6141" s="548"/>
      <c r="M6141" s="548"/>
      <c r="N6141" s="552"/>
    </row>
    <row r="6142" spans="1:14">
      <c r="A6142" s="499">
        <v>45693</v>
      </c>
      <c r="B6142" s="499">
        <v>45694</v>
      </c>
      <c r="C6142" s="500" t="s">
        <v>173</v>
      </c>
      <c r="D6142" s="500" t="s">
        <v>763</v>
      </c>
      <c r="E6142" s="501">
        <v>23020365.719999999</v>
      </c>
      <c r="F6142" s="502" t="s">
        <v>878</v>
      </c>
      <c r="G6142" s="100">
        <v>115835501</v>
      </c>
      <c r="H6142" s="484">
        <v>115835501</v>
      </c>
      <c r="I6142" s="422" t="s">
        <v>823</v>
      </c>
      <c r="J6142" s="484"/>
      <c r="K6142" s="548"/>
      <c r="L6142" s="548"/>
      <c r="M6142" s="548"/>
      <c r="N6142" s="552"/>
    </row>
    <row r="6143" spans="1:14">
      <c r="A6143" s="499">
        <v>45694</v>
      </c>
      <c r="B6143" s="499">
        <v>45694</v>
      </c>
      <c r="C6143" s="500" t="s">
        <v>173</v>
      </c>
      <c r="D6143" s="500" t="s">
        <v>761</v>
      </c>
      <c r="E6143" s="501">
        <v>-2000592.07</v>
      </c>
      <c r="F6143" s="502" t="s">
        <v>878</v>
      </c>
      <c r="G6143" s="100">
        <v>115863459</v>
      </c>
      <c r="H6143" s="530"/>
      <c r="I6143" s="422" t="s">
        <v>674</v>
      </c>
      <c r="J6143" s="484"/>
      <c r="K6143" s="548"/>
      <c r="L6143" s="548"/>
      <c r="M6143" s="548"/>
      <c r="N6143" s="552"/>
    </row>
    <row r="6144" spans="1:14">
      <c r="A6144" s="499">
        <v>45694</v>
      </c>
      <c r="B6144" s="499">
        <v>45694</v>
      </c>
      <c r="C6144" s="500" t="s">
        <v>173</v>
      </c>
      <c r="D6144" s="500" t="s">
        <v>761</v>
      </c>
      <c r="E6144" s="501">
        <v>-946013487.02999997</v>
      </c>
      <c r="F6144" s="502" t="s">
        <v>878</v>
      </c>
      <c r="G6144" s="100">
        <v>115864621</v>
      </c>
      <c r="H6144" s="530"/>
      <c r="I6144" s="422" t="s">
        <v>1013</v>
      </c>
      <c r="J6144" s="484"/>
      <c r="K6144" s="548"/>
      <c r="L6144" s="548"/>
      <c r="M6144" s="548"/>
      <c r="N6144" s="552"/>
    </row>
    <row r="6145" spans="1:14">
      <c r="A6145" s="499">
        <v>45694</v>
      </c>
      <c r="B6145" s="499">
        <v>45694</v>
      </c>
      <c r="C6145" s="500" t="s">
        <v>173</v>
      </c>
      <c r="D6145" s="500" t="s">
        <v>761</v>
      </c>
      <c r="E6145" s="501">
        <v>-5003291.95</v>
      </c>
      <c r="F6145" s="502" t="s">
        <v>878</v>
      </c>
      <c r="G6145" s="100">
        <v>115872833</v>
      </c>
      <c r="H6145" s="530"/>
      <c r="I6145" s="422" t="s">
        <v>686</v>
      </c>
      <c r="J6145" s="484"/>
      <c r="K6145" s="548"/>
      <c r="L6145" s="548"/>
      <c r="M6145" s="548"/>
      <c r="N6145" s="552"/>
    </row>
    <row r="6146" spans="1:14">
      <c r="A6146" s="499">
        <v>45694</v>
      </c>
      <c r="B6146" s="499">
        <v>45695</v>
      </c>
      <c r="C6146" s="500" t="s">
        <v>173</v>
      </c>
      <c r="D6146" s="500" t="s">
        <v>761</v>
      </c>
      <c r="E6146" s="501">
        <v>2001414.23</v>
      </c>
      <c r="F6146" s="502" t="s">
        <v>878</v>
      </c>
      <c r="G6146" s="100">
        <v>115863459</v>
      </c>
      <c r="H6146" s="484">
        <v>115863459</v>
      </c>
      <c r="I6146" s="422" t="s">
        <v>674</v>
      </c>
      <c r="J6146" s="484"/>
      <c r="K6146" s="548"/>
      <c r="L6146" s="548"/>
      <c r="M6146" s="548"/>
      <c r="N6146" s="552"/>
    </row>
    <row r="6147" spans="1:14">
      <c r="A6147" s="499">
        <v>45694</v>
      </c>
      <c r="B6147" s="499">
        <v>45695</v>
      </c>
      <c r="C6147" s="500" t="s">
        <v>173</v>
      </c>
      <c r="D6147" s="500" t="s">
        <v>761</v>
      </c>
      <c r="E6147" s="501">
        <v>946402259.70000005</v>
      </c>
      <c r="F6147" s="502" t="s">
        <v>878</v>
      </c>
      <c r="G6147" s="100">
        <v>115864621</v>
      </c>
      <c r="H6147" s="484">
        <v>115864621</v>
      </c>
      <c r="I6147" s="422" t="s">
        <v>1013</v>
      </c>
      <c r="J6147" s="484"/>
      <c r="K6147" s="548"/>
      <c r="L6147" s="548"/>
      <c r="M6147" s="548"/>
      <c r="N6147" s="552"/>
    </row>
    <row r="6148" spans="1:14">
      <c r="A6148" s="499">
        <v>45694</v>
      </c>
      <c r="B6148" s="499">
        <v>45695</v>
      </c>
      <c r="C6148" s="500" t="s">
        <v>173</v>
      </c>
      <c r="D6148" s="500" t="s">
        <v>761</v>
      </c>
      <c r="E6148" s="501">
        <v>5005231.58</v>
      </c>
      <c r="F6148" s="502" t="s">
        <v>878</v>
      </c>
      <c r="G6148" s="100">
        <v>115872833</v>
      </c>
      <c r="H6148" s="484">
        <v>115872833</v>
      </c>
      <c r="I6148" s="422" t="s">
        <v>686</v>
      </c>
      <c r="J6148" s="484"/>
      <c r="K6148" s="548"/>
      <c r="L6148" s="548"/>
      <c r="M6148" s="548"/>
      <c r="N6148" s="552"/>
    </row>
    <row r="6149" spans="1:14">
      <c r="A6149" s="499">
        <v>45694</v>
      </c>
      <c r="B6149" s="499">
        <v>45694</v>
      </c>
      <c r="C6149" s="500" t="s">
        <v>173</v>
      </c>
      <c r="D6149" s="500" t="s">
        <v>759</v>
      </c>
      <c r="E6149" s="501">
        <v>-234174521.88</v>
      </c>
      <c r="F6149" s="502" t="s">
        <v>878</v>
      </c>
      <c r="G6149" s="100">
        <v>115856247</v>
      </c>
      <c r="H6149" s="530"/>
      <c r="I6149" s="422" t="s">
        <v>692</v>
      </c>
      <c r="J6149" s="484"/>
      <c r="K6149" s="548"/>
      <c r="L6149" s="548"/>
      <c r="M6149" s="548"/>
      <c r="N6149" s="552"/>
    </row>
    <row r="6150" spans="1:14">
      <c r="A6150" s="499">
        <v>45694</v>
      </c>
      <c r="B6150" s="499">
        <v>45694</v>
      </c>
      <c r="C6150" s="500" t="s">
        <v>173</v>
      </c>
      <c r="D6150" s="500" t="s">
        <v>759</v>
      </c>
      <c r="E6150" s="501">
        <v>-843274513</v>
      </c>
      <c r="F6150" s="502" t="s">
        <v>878</v>
      </c>
      <c r="G6150" s="100">
        <v>115856802</v>
      </c>
      <c r="H6150" s="530"/>
      <c r="I6150" s="422" t="s">
        <v>635</v>
      </c>
      <c r="J6150" s="484"/>
      <c r="K6150" s="548"/>
      <c r="L6150" s="548"/>
      <c r="M6150" s="548"/>
      <c r="N6150" s="552"/>
    </row>
    <row r="6151" spans="1:14">
      <c r="A6151" s="499">
        <v>45694</v>
      </c>
      <c r="B6151" s="499">
        <v>45694</v>
      </c>
      <c r="C6151" s="500" t="s">
        <v>173</v>
      </c>
      <c r="D6151" s="500" t="s">
        <v>759</v>
      </c>
      <c r="E6151" s="501">
        <v>-77014531.829999998</v>
      </c>
      <c r="F6151" s="502" t="s">
        <v>878</v>
      </c>
      <c r="G6151" s="100">
        <v>115856808</v>
      </c>
      <c r="H6151" s="530"/>
      <c r="I6151" s="422" t="s">
        <v>633</v>
      </c>
      <c r="J6151" s="484"/>
      <c r="K6151" s="548"/>
      <c r="L6151" s="548"/>
      <c r="M6151" s="548"/>
      <c r="N6151" s="552"/>
    </row>
    <row r="6152" spans="1:14">
      <c r="A6152" s="499">
        <v>45694</v>
      </c>
      <c r="B6152" s="499">
        <v>45694</v>
      </c>
      <c r="C6152" s="500" t="s">
        <v>173</v>
      </c>
      <c r="D6152" s="500" t="s">
        <v>759</v>
      </c>
      <c r="E6152" s="501">
        <v>-633144336.65999997</v>
      </c>
      <c r="F6152" s="502" t="s">
        <v>878</v>
      </c>
      <c r="G6152" s="100">
        <v>115856905</v>
      </c>
      <c r="H6152" s="530"/>
      <c r="I6152" s="422" t="s">
        <v>675</v>
      </c>
      <c r="J6152" s="484"/>
      <c r="K6152" s="548"/>
      <c r="L6152" s="548"/>
      <c r="M6152" s="548"/>
      <c r="N6152" s="552"/>
    </row>
    <row r="6153" spans="1:14">
      <c r="A6153" s="499">
        <v>45694</v>
      </c>
      <c r="B6153" s="499">
        <v>45694</v>
      </c>
      <c r="C6153" s="500" t="s">
        <v>173</v>
      </c>
      <c r="D6153" s="500" t="s">
        <v>759</v>
      </c>
      <c r="E6153" s="501">
        <v>-206033969.40000001</v>
      </c>
      <c r="F6153" s="502" t="s">
        <v>878</v>
      </c>
      <c r="G6153" s="100">
        <v>115856908</v>
      </c>
      <c r="H6153" s="530"/>
      <c r="I6153" s="422" t="s">
        <v>696</v>
      </c>
      <c r="J6153" s="484"/>
      <c r="K6153" s="548"/>
      <c r="L6153" s="548"/>
      <c r="M6153" s="548"/>
      <c r="N6153" s="552"/>
    </row>
    <row r="6154" spans="1:14">
      <c r="A6154" s="499">
        <v>45694</v>
      </c>
      <c r="B6154" s="499">
        <v>45694</v>
      </c>
      <c r="C6154" s="500" t="s">
        <v>173</v>
      </c>
      <c r="D6154" s="500" t="s">
        <v>759</v>
      </c>
      <c r="E6154" s="501">
        <v>-9003069.8100000005</v>
      </c>
      <c r="F6154" s="502" t="s">
        <v>878</v>
      </c>
      <c r="G6154" s="100">
        <v>115857313</v>
      </c>
      <c r="H6154" s="530"/>
      <c r="I6154" s="422" t="s">
        <v>829</v>
      </c>
      <c r="J6154" s="484"/>
      <c r="K6154" s="548"/>
      <c r="L6154" s="548"/>
      <c r="M6154" s="548"/>
      <c r="N6154" s="552"/>
    </row>
    <row r="6155" spans="1:14">
      <c r="A6155" s="499">
        <v>45694</v>
      </c>
      <c r="B6155" s="499">
        <v>45695</v>
      </c>
      <c r="C6155" s="500" t="s">
        <v>173</v>
      </c>
      <c r="D6155" s="500" t="s">
        <v>759</v>
      </c>
      <c r="E6155" s="501">
        <v>234270437.19999999</v>
      </c>
      <c r="F6155" s="502" t="s">
        <v>878</v>
      </c>
      <c r="G6155" s="100">
        <v>115856247</v>
      </c>
      <c r="H6155" s="484">
        <v>115856247</v>
      </c>
      <c r="I6155" s="422" t="s">
        <v>692</v>
      </c>
      <c r="J6155" s="484"/>
      <c r="K6155" s="548"/>
      <c r="L6155" s="548"/>
      <c r="M6155" s="548"/>
      <c r="N6155" s="552"/>
    </row>
    <row r="6156" spans="1:14">
      <c r="A6156" s="499">
        <v>45694</v>
      </c>
      <c r="B6156" s="499">
        <v>45695</v>
      </c>
      <c r="C6156" s="500" t="s">
        <v>173</v>
      </c>
      <c r="D6156" s="500" t="s">
        <v>759</v>
      </c>
      <c r="E6156" s="501">
        <v>843619909</v>
      </c>
      <c r="F6156" s="502" t="s">
        <v>878</v>
      </c>
      <c r="G6156" s="100">
        <v>115856802</v>
      </c>
      <c r="H6156" s="484">
        <v>115856802</v>
      </c>
      <c r="I6156" s="422" t="s">
        <v>635</v>
      </c>
      <c r="J6156" s="484"/>
      <c r="K6156" s="548"/>
      <c r="L6156" s="548"/>
      <c r="M6156" s="548"/>
      <c r="N6156" s="552"/>
    </row>
    <row r="6157" spans="1:14">
      <c r="A6157" s="499">
        <v>45694</v>
      </c>
      <c r="B6157" s="499">
        <v>45695</v>
      </c>
      <c r="C6157" s="500" t="s">
        <v>173</v>
      </c>
      <c r="D6157" s="500" t="s">
        <v>759</v>
      </c>
      <c r="E6157" s="501">
        <v>77046076.140000001</v>
      </c>
      <c r="F6157" s="502" t="s">
        <v>878</v>
      </c>
      <c r="G6157" s="100">
        <v>115856808</v>
      </c>
      <c r="H6157" s="484">
        <v>115856808</v>
      </c>
      <c r="I6157" s="422" t="s">
        <v>633</v>
      </c>
      <c r="J6157" s="484"/>
      <c r="K6157" s="548"/>
      <c r="L6157" s="548"/>
      <c r="M6157" s="548"/>
      <c r="N6157" s="552"/>
    </row>
    <row r="6158" spans="1:14">
      <c r="A6158" s="499">
        <v>45694</v>
      </c>
      <c r="B6158" s="499">
        <v>45695</v>
      </c>
      <c r="C6158" s="500" t="s">
        <v>173</v>
      </c>
      <c r="D6158" s="500" t="s">
        <v>759</v>
      </c>
      <c r="E6158" s="501">
        <v>633403665.63999999</v>
      </c>
      <c r="F6158" s="502" t="s">
        <v>878</v>
      </c>
      <c r="G6158" s="100">
        <v>115856905</v>
      </c>
      <c r="H6158" s="484">
        <v>115856905</v>
      </c>
      <c r="I6158" s="422" t="s">
        <v>675</v>
      </c>
      <c r="J6158" s="484"/>
      <c r="K6158" s="548"/>
      <c r="L6158" s="548"/>
      <c r="M6158" s="548"/>
      <c r="N6158" s="552"/>
    </row>
    <row r="6159" spans="1:14">
      <c r="A6159" s="499">
        <v>45694</v>
      </c>
      <c r="B6159" s="499">
        <v>45695</v>
      </c>
      <c r="C6159" s="500" t="s">
        <v>173</v>
      </c>
      <c r="D6159" s="500" t="s">
        <v>759</v>
      </c>
      <c r="E6159" s="501">
        <v>206118358.66</v>
      </c>
      <c r="F6159" s="502" t="s">
        <v>878</v>
      </c>
      <c r="G6159" s="100">
        <v>115856908</v>
      </c>
      <c r="H6159" s="484">
        <v>115856908</v>
      </c>
      <c r="I6159" s="422" t="s">
        <v>696</v>
      </c>
      <c r="J6159" s="484"/>
      <c r="K6159" s="548"/>
      <c r="L6159" s="548"/>
      <c r="M6159" s="548"/>
      <c r="N6159" s="552"/>
    </row>
    <row r="6160" spans="1:14">
      <c r="A6160" s="499">
        <v>45694</v>
      </c>
      <c r="B6160" s="499">
        <v>45695</v>
      </c>
      <c r="C6160" s="500" t="s">
        <v>173</v>
      </c>
      <c r="D6160" s="500" t="s">
        <v>759</v>
      </c>
      <c r="E6160" s="501">
        <v>9006700.6600000001</v>
      </c>
      <c r="F6160" s="502" t="s">
        <v>878</v>
      </c>
      <c r="G6160" s="100">
        <v>115857313</v>
      </c>
      <c r="H6160" s="484">
        <v>115857313</v>
      </c>
      <c r="I6160" s="422" t="s">
        <v>829</v>
      </c>
      <c r="J6160" s="484"/>
      <c r="K6160" s="548"/>
      <c r="L6160" s="548"/>
      <c r="M6160" s="548"/>
      <c r="N6160" s="552"/>
    </row>
    <row r="6161" spans="1:14">
      <c r="A6161" s="499">
        <v>45694</v>
      </c>
      <c r="B6161" s="499">
        <v>45694</v>
      </c>
      <c r="C6161" s="500" t="s">
        <v>173</v>
      </c>
      <c r="D6161" s="500" t="s">
        <v>763</v>
      </c>
      <c r="E6161" s="501">
        <v>-5001104535</v>
      </c>
      <c r="F6161" s="502" t="s">
        <v>878</v>
      </c>
      <c r="G6161" s="100">
        <v>115856199</v>
      </c>
      <c r="H6161" s="530"/>
      <c r="I6161" s="422" t="s">
        <v>652</v>
      </c>
      <c r="J6161" s="484"/>
      <c r="K6161" s="548"/>
      <c r="L6161" s="548"/>
      <c r="M6161" s="548"/>
      <c r="N6161" s="552"/>
    </row>
    <row r="6162" spans="1:14">
      <c r="A6162" s="499">
        <v>45694</v>
      </c>
      <c r="B6162" s="499">
        <v>45694</v>
      </c>
      <c r="C6162" s="500" t="s">
        <v>173</v>
      </c>
      <c r="D6162" s="500" t="s">
        <v>763</v>
      </c>
      <c r="E6162" s="501">
        <v>-984830100.42999995</v>
      </c>
      <c r="F6162" s="502" t="s">
        <v>878</v>
      </c>
      <c r="G6162" s="100">
        <v>115856210</v>
      </c>
      <c r="H6162" s="530"/>
      <c r="I6162" s="422" t="s">
        <v>673</v>
      </c>
      <c r="J6162" s="484"/>
      <c r="K6162" s="548"/>
      <c r="L6162" s="548"/>
      <c r="M6162" s="548"/>
      <c r="N6162" s="552"/>
    </row>
    <row r="6163" spans="1:14">
      <c r="A6163" s="499">
        <v>45694</v>
      </c>
      <c r="B6163" s="499">
        <v>45694</v>
      </c>
      <c r="C6163" s="500" t="s">
        <v>173</v>
      </c>
      <c r="D6163" s="500" t="s">
        <v>763</v>
      </c>
      <c r="E6163" s="501">
        <v>-25004718.129999999</v>
      </c>
      <c r="F6163" s="502" t="s">
        <v>878</v>
      </c>
      <c r="G6163" s="100">
        <v>115856252</v>
      </c>
      <c r="H6163" s="530"/>
      <c r="I6163" s="422" t="s">
        <v>633</v>
      </c>
      <c r="J6163" s="484"/>
      <c r="K6163" s="548"/>
      <c r="L6163" s="548"/>
      <c r="M6163" s="548"/>
      <c r="N6163" s="552"/>
    </row>
    <row r="6164" spans="1:14">
      <c r="A6164" s="499">
        <v>45694</v>
      </c>
      <c r="B6164" s="499">
        <v>45695</v>
      </c>
      <c r="C6164" s="500" t="s">
        <v>173</v>
      </c>
      <c r="D6164" s="500" t="s">
        <v>763</v>
      </c>
      <c r="E6164" s="501">
        <v>5003118678.4700003</v>
      </c>
      <c r="F6164" s="502" t="s">
        <v>878</v>
      </c>
      <c r="G6164" s="100">
        <v>115856199</v>
      </c>
      <c r="H6164" s="484">
        <v>115856199</v>
      </c>
      <c r="I6164" s="422" t="s">
        <v>652</v>
      </c>
      <c r="J6164" s="484"/>
      <c r="K6164" s="548"/>
      <c r="L6164" s="548"/>
      <c r="M6164" s="548"/>
      <c r="N6164" s="552"/>
    </row>
    <row r="6165" spans="1:14">
      <c r="A6165" s="499">
        <v>45694</v>
      </c>
      <c r="B6165" s="499">
        <v>45695</v>
      </c>
      <c r="C6165" s="500" t="s">
        <v>173</v>
      </c>
      <c r="D6165" s="500" t="s">
        <v>763</v>
      </c>
      <c r="E6165" s="501">
        <v>985226730.63</v>
      </c>
      <c r="F6165" s="502" t="s">
        <v>878</v>
      </c>
      <c r="G6165" s="100">
        <v>115856210</v>
      </c>
      <c r="H6165" s="484">
        <v>115856210</v>
      </c>
      <c r="I6165" s="422" t="s">
        <v>673</v>
      </c>
      <c r="J6165" s="484"/>
      <c r="K6165" s="548"/>
      <c r="L6165" s="548"/>
      <c r="M6165" s="548"/>
      <c r="N6165" s="552"/>
    </row>
    <row r="6166" spans="1:14">
      <c r="A6166" s="499">
        <v>45694</v>
      </c>
      <c r="B6166" s="499">
        <v>45695</v>
      </c>
      <c r="C6166" s="500" t="s">
        <v>173</v>
      </c>
      <c r="D6166" s="500" t="s">
        <v>763</v>
      </c>
      <c r="E6166" s="501">
        <v>25014788.52</v>
      </c>
      <c r="F6166" s="502" t="s">
        <v>878</v>
      </c>
      <c r="G6166" s="100">
        <v>115856252</v>
      </c>
      <c r="H6166" s="484">
        <v>115856252</v>
      </c>
      <c r="I6166" s="422" t="s">
        <v>633</v>
      </c>
      <c r="J6166" s="484"/>
      <c r="K6166" s="548"/>
      <c r="L6166" s="548"/>
      <c r="M6166" s="548"/>
      <c r="N6166" s="552"/>
    </row>
    <row r="6167" spans="1:14">
      <c r="A6167" s="499">
        <v>45695</v>
      </c>
      <c r="B6167" s="499">
        <v>45695</v>
      </c>
      <c r="C6167" s="500" t="s">
        <v>173</v>
      </c>
      <c r="D6167" s="500" t="s">
        <v>761</v>
      </c>
      <c r="E6167" s="501">
        <v>-955023493.10000002</v>
      </c>
      <c r="F6167" s="502" t="s">
        <v>878</v>
      </c>
      <c r="G6167" s="100">
        <v>115875744</v>
      </c>
      <c r="H6167" s="530"/>
      <c r="I6167" s="422" t="s">
        <v>633</v>
      </c>
      <c r="J6167" s="484"/>
      <c r="K6167" s="548"/>
      <c r="L6167" s="548"/>
      <c r="M6167" s="548"/>
      <c r="N6167" s="552"/>
    </row>
    <row r="6168" spans="1:14">
      <c r="A6168" s="499">
        <v>45695</v>
      </c>
      <c r="B6168" s="499">
        <v>45695</v>
      </c>
      <c r="C6168" s="500" t="s">
        <v>173</v>
      </c>
      <c r="D6168" s="500" t="s">
        <v>761</v>
      </c>
      <c r="E6168" s="501">
        <v>-4001794.48</v>
      </c>
      <c r="F6168" s="502" t="s">
        <v>878</v>
      </c>
      <c r="G6168" s="100">
        <v>115875876</v>
      </c>
      <c r="H6168" s="530"/>
      <c r="I6168" s="422" t="s">
        <v>678</v>
      </c>
      <c r="J6168" s="484"/>
      <c r="K6168" s="548"/>
      <c r="L6168" s="548"/>
      <c r="M6168" s="548"/>
      <c r="N6168" s="552"/>
    </row>
    <row r="6169" spans="1:14">
      <c r="A6169" s="499">
        <v>45695</v>
      </c>
      <c r="B6169" s="499">
        <v>45698</v>
      </c>
      <c r="C6169" s="500" t="s">
        <v>173</v>
      </c>
      <c r="D6169" s="500" t="s">
        <v>761</v>
      </c>
      <c r="E6169" s="501">
        <v>956196994.57000005</v>
      </c>
      <c r="F6169" s="502" t="s">
        <v>878</v>
      </c>
      <c r="G6169" s="100">
        <v>115875744</v>
      </c>
      <c r="H6169" s="484">
        <v>115875744</v>
      </c>
      <c r="I6169" s="422" t="s">
        <v>633</v>
      </c>
      <c r="J6169" s="484"/>
      <c r="K6169" s="548"/>
      <c r="L6169" s="548"/>
      <c r="M6169" s="548"/>
      <c r="N6169" s="552"/>
    </row>
    <row r="6170" spans="1:14">
      <c r="A6170" s="499">
        <v>45695</v>
      </c>
      <c r="B6170" s="499">
        <v>45698</v>
      </c>
      <c r="C6170" s="500" t="s">
        <v>173</v>
      </c>
      <c r="D6170" s="500" t="s">
        <v>761</v>
      </c>
      <c r="E6170" s="501">
        <v>4006662.42</v>
      </c>
      <c r="F6170" s="502" t="s">
        <v>878</v>
      </c>
      <c r="G6170" s="100">
        <v>115875876</v>
      </c>
      <c r="H6170" s="484">
        <v>115875876</v>
      </c>
      <c r="I6170" s="422" t="s">
        <v>678</v>
      </c>
      <c r="J6170" s="484"/>
      <c r="K6170" s="548"/>
      <c r="L6170" s="548"/>
      <c r="M6170" s="548"/>
      <c r="N6170" s="552"/>
    </row>
    <row r="6171" spans="1:14">
      <c r="A6171" s="499">
        <v>45695</v>
      </c>
      <c r="B6171" s="499">
        <v>45695</v>
      </c>
      <c r="C6171" s="500" t="s">
        <v>173</v>
      </c>
      <c r="D6171" s="500" t="s">
        <v>759</v>
      </c>
      <c r="E6171" s="501">
        <v>-1994895090.6500001</v>
      </c>
      <c r="F6171" s="502" t="s">
        <v>878</v>
      </c>
      <c r="G6171" s="100">
        <v>115877063</v>
      </c>
      <c r="H6171" s="530"/>
      <c r="I6171" s="422" t="s">
        <v>687</v>
      </c>
      <c r="J6171" s="484"/>
      <c r="K6171" s="548"/>
      <c r="L6171" s="548"/>
      <c r="M6171" s="548"/>
      <c r="N6171" s="552"/>
    </row>
    <row r="6172" spans="1:14">
      <c r="A6172" s="499">
        <v>45695</v>
      </c>
      <c r="B6172" s="499">
        <v>45695</v>
      </c>
      <c r="C6172" s="500" t="s">
        <v>173</v>
      </c>
      <c r="D6172" s="500" t="s">
        <v>759</v>
      </c>
      <c r="E6172" s="501">
        <v>-8006705.2800000003</v>
      </c>
      <c r="F6172" s="502" t="s">
        <v>878</v>
      </c>
      <c r="G6172" s="100">
        <v>115878016</v>
      </c>
      <c r="H6172" s="530"/>
      <c r="I6172" s="422" t="s">
        <v>829</v>
      </c>
      <c r="J6172" s="484"/>
      <c r="K6172" s="548"/>
      <c r="L6172" s="548"/>
      <c r="M6172" s="548"/>
      <c r="N6172" s="552"/>
    </row>
    <row r="6173" spans="1:14">
      <c r="A6173" s="499">
        <v>45695</v>
      </c>
      <c r="B6173" s="499">
        <v>45698</v>
      </c>
      <c r="C6173" s="500" t="s">
        <v>173</v>
      </c>
      <c r="D6173" s="500" t="s">
        <v>759</v>
      </c>
      <c r="E6173" s="501">
        <v>1997346352.1500001</v>
      </c>
      <c r="F6173" s="502" t="s">
        <v>878</v>
      </c>
      <c r="G6173" s="100">
        <v>115877063</v>
      </c>
      <c r="H6173" s="484">
        <v>115877063</v>
      </c>
      <c r="I6173" s="422" t="s">
        <v>687</v>
      </c>
      <c r="J6173" s="484"/>
      <c r="K6173" s="548"/>
      <c r="L6173" s="548"/>
      <c r="M6173" s="548"/>
      <c r="N6173" s="552"/>
    </row>
    <row r="6174" spans="1:14">
      <c r="A6174" s="499">
        <v>45695</v>
      </c>
      <c r="B6174" s="499">
        <v>45698</v>
      </c>
      <c r="C6174" s="500" t="s">
        <v>173</v>
      </c>
      <c r="D6174" s="500" t="s">
        <v>759</v>
      </c>
      <c r="E6174" s="501">
        <v>8016491.0099999998</v>
      </c>
      <c r="F6174" s="502" t="s">
        <v>878</v>
      </c>
      <c r="G6174" s="100">
        <v>115878016</v>
      </c>
      <c r="H6174" s="484">
        <v>115878016</v>
      </c>
      <c r="I6174" s="422" t="s">
        <v>829</v>
      </c>
      <c r="J6174" s="484"/>
      <c r="K6174" s="548"/>
      <c r="L6174" s="548"/>
      <c r="M6174" s="548"/>
      <c r="N6174" s="552"/>
    </row>
    <row r="6175" spans="1:14">
      <c r="A6175" s="499">
        <v>45695</v>
      </c>
      <c r="B6175" s="499">
        <v>45695</v>
      </c>
      <c r="C6175" s="500" t="s">
        <v>173</v>
      </c>
      <c r="D6175" s="500" t="s">
        <v>763</v>
      </c>
      <c r="E6175" s="501">
        <v>-5001595220</v>
      </c>
      <c r="F6175" s="502" t="s">
        <v>878</v>
      </c>
      <c r="G6175" s="100">
        <v>115876017</v>
      </c>
      <c r="H6175" s="530"/>
      <c r="I6175" s="422" t="s">
        <v>657</v>
      </c>
      <c r="J6175" s="484"/>
      <c r="K6175" s="548"/>
      <c r="L6175" s="548"/>
      <c r="M6175" s="548"/>
      <c r="N6175" s="552"/>
    </row>
    <row r="6176" spans="1:14">
      <c r="A6176" s="499">
        <v>45695</v>
      </c>
      <c r="B6176" s="499">
        <v>45695</v>
      </c>
      <c r="C6176" s="500" t="s">
        <v>173</v>
      </c>
      <c r="D6176" s="500" t="s">
        <v>763</v>
      </c>
      <c r="E6176" s="501">
        <v>-986156419.03999996</v>
      </c>
      <c r="F6176" s="502" t="s">
        <v>878</v>
      </c>
      <c r="G6176" s="100">
        <v>115876020</v>
      </c>
      <c r="H6176" s="530"/>
      <c r="I6176" s="422" t="s">
        <v>689</v>
      </c>
      <c r="J6176" s="484"/>
      <c r="K6176" s="548"/>
      <c r="L6176" s="548"/>
      <c r="M6176" s="548"/>
      <c r="N6176" s="552"/>
    </row>
    <row r="6177" spans="1:14">
      <c r="A6177" s="499">
        <v>45695</v>
      </c>
      <c r="B6177" s="499">
        <v>45695</v>
      </c>
      <c r="C6177" s="500" t="s">
        <v>173</v>
      </c>
      <c r="D6177" s="500" t="s">
        <v>763</v>
      </c>
      <c r="E6177" s="501">
        <v>-26008295.140000001</v>
      </c>
      <c r="F6177" s="502" t="s">
        <v>878</v>
      </c>
      <c r="G6177" s="100">
        <v>115876043</v>
      </c>
      <c r="H6177" s="530"/>
      <c r="I6177" s="422" t="s">
        <v>657</v>
      </c>
      <c r="J6177" s="484"/>
      <c r="K6177" s="548"/>
      <c r="L6177" s="548"/>
      <c r="M6177" s="548"/>
      <c r="N6177" s="552"/>
    </row>
    <row r="6178" spans="1:14">
      <c r="A6178" s="499">
        <v>45695</v>
      </c>
      <c r="B6178" s="499">
        <v>45698</v>
      </c>
      <c r="C6178" s="500" t="s">
        <v>173</v>
      </c>
      <c r="D6178" s="500" t="s">
        <v>763</v>
      </c>
      <c r="E6178" s="501">
        <v>5007679763.3599997</v>
      </c>
      <c r="F6178" s="502" t="s">
        <v>878</v>
      </c>
      <c r="G6178" s="100">
        <v>115876017</v>
      </c>
      <c r="H6178" s="484">
        <v>115876017</v>
      </c>
      <c r="I6178" s="422" t="s">
        <v>657</v>
      </c>
      <c r="J6178" s="484"/>
      <c r="K6178" s="548"/>
      <c r="L6178" s="548"/>
      <c r="M6178" s="548"/>
      <c r="N6178" s="552"/>
    </row>
    <row r="6179" spans="1:14">
      <c r="A6179" s="499">
        <v>45695</v>
      </c>
      <c r="B6179" s="499">
        <v>45698</v>
      </c>
      <c r="C6179" s="500" t="s">
        <v>173</v>
      </c>
      <c r="D6179" s="500" t="s">
        <v>763</v>
      </c>
      <c r="E6179" s="501">
        <v>987356025.63999999</v>
      </c>
      <c r="F6179" s="502" t="s">
        <v>878</v>
      </c>
      <c r="G6179" s="100">
        <v>115876020</v>
      </c>
      <c r="H6179" s="484">
        <v>115876020</v>
      </c>
      <c r="I6179" s="422" t="s">
        <v>689</v>
      </c>
      <c r="J6179" s="484"/>
      <c r="K6179" s="548"/>
      <c r="L6179" s="548"/>
      <c r="M6179" s="548"/>
      <c r="N6179" s="552"/>
    </row>
    <row r="6180" spans="1:14">
      <c r="A6180" s="499">
        <v>45695</v>
      </c>
      <c r="B6180" s="499">
        <v>45698</v>
      </c>
      <c r="C6180" s="500" t="s">
        <v>173</v>
      </c>
      <c r="D6180" s="500" t="s">
        <v>763</v>
      </c>
      <c r="E6180" s="501">
        <v>26039933.059999999</v>
      </c>
      <c r="F6180" s="502" t="s">
        <v>878</v>
      </c>
      <c r="G6180" s="100">
        <v>115876043</v>
      </c>
      <c r="H6180" s="484">
        <v>115876043</v>
      </c>
      <c r="I6180" s="422" t="s">
        <v>657</v>
      </c>
      <c r="J6180" s="484"/>
      <c r="K6180" s="548"/>
      <c r="L6180" s="548"/>
      <c r="M6180" s="548"/>
      <c r="N6180" s="552"/>
    </row>
    <row r="6181" spans="1:14">
      <c r="A6181" s="499">
        <v>45698</v>
      </c>
      <c r="B6181" s="499">
        <v>45698</v>
      </c>
      <c r="C6181" s="500" t="s">
        <v>173</v>
      </c>
      <c r="D6181" s="500" t="s">
        <v>761</v>
      </c>
      <c r="E6181" s="501">
        <v>-76029724.689999998</v>
      </c>
      <c r="F6181" s="502" t="s">
        <v>878</v>
      </c>
      <c r="G6181" s="100">
        <v>115903340</v>
      </c>
      <c r="H6181" s="530"/>
      <c r="I6181" s="422" t="s">
        <v>633</v>
      </c>
      <c r="J6181" s="484"/>
      <c r="K6181" s="548"/>
      <c r="L6181" s="548"/>
      <c r="M6181" s="548"/>
      <c r="N6181" s="552"/>
    </row>
    <row r="6182" spans="1:14">
      <c r="A6182" s="499">
        <v>45698</v>
      </c>
      <c r="B6182" s="499">
        <v>45698</v>
      </c>
      <c r="C6182" s="500" t="s">
        <v>173</v>
      </c>
      <c r="D6182" s="500" t="s">
        <v>761</v>
      </c>
      <c r="E6182" s="501">
        <v>-112052163.89</v>
      </c>
      <c r="F6182" s="502" t="s">
        <v>878</v>
      </c>
      <c r="G6182" s="100">
        <v>115903349</v>
      </c>
      <c r="H6182" s="530"/>
      <c r="I6182" s="422" t="s">
        <v>833</v>
      </c>
      <c r="J6182" s="484"/>
      <c r="K6182" s="548"/>
      <c r="L6182" s="548"/>
      <c r="M6182" s="548"/>
      <c r="N6182" s="552"/>
    </row>
    <row r="6183" spans="1:14">
      <c r="A6183" s="499">
        <v>45698</v>
      </c>
      <c r="B6183" s="499">
        <v>45698</v>
      </c>
      <c r="C6183" s="500" t="s">
        <v>173</v>
      </c>
      <c r="D6183" s="500" t="s">
        <v>761</v>
      </c>
      <c r="E6183" s="501">
        <v>-457025718.22000003</v>
      </c>
      <c r="F6183" s="502" t="s">
        <v>878</v>
      </c>
      <c r="G6183" s="100">
        <v>115903355</v>
      </c>
      <c r="H6183" s="530"/>
      <c r="I6183" s="422" t="s">
        <v>631</v>
      </c>
      <c r="J6183" s="484"/>
      <c r="K6183" s="548"/>
      <c r="L6183" s="548"/>
      <c r="M6183" s="548"/>
      <c r="N6183" s="552"/>
    </row>
    <row r="6184" spans="1:14">
      <c r="A6184" s="499">
        <v>45698</v>
      </c>
      <c r="B6184" s="499">
        <v>45698</v>
      </c>
      <c r="C6184" s="500" t="s">
        <v>173</v>
      </c>
      <c r="D6184" s="500" t="s">
        <v>761</v>
      </c>
      <c r="E6184" s="501">
        <v>-311143846.20999998</v>
      </c>
      <c r="F6184" s="502" t="s">
        <v>878</v>
      </c>
      <c r="G6184" s="100">
        <v>115903967</v>
      </c>
      <c r="H6184" s="530"/>
      <c r="I6184" s="422" t="s">
        <v>916</v>
      </c>
      <c r="J6184" s="484"/>
      <c r="K6184" s="548"/>
      <c r="L6184" s="548"/>
      <c r="M6184" s="548"/>
      <c r="N6184" s="552"/>
    </row>
    <row r="6185" spans="1:14">
      <c r="A6185" s="499">
        <v>45698</v>
      </c>
      <c r="B6185" s="499">
        <v>45698</v>
      </c>
      <c r="C6185" s="500" t="s">
        <v>173</v>
      </c>
      <c r="D6185" s="500" t="s">
        <v>761</v>
      </c>
      <c r="E6185" s="501">
        <v>-4000851.21</v>
      </c>
      <c r="F6185" s="502" t="s">
        <v>878</v>
      </c>
      <c r="G6185" s="100">
        <v>115904197</v>
      </c>
      <c r="H6185" s="530"/>
      <c r="I6185" s="422" t="s">
        <v>1013</v>
      </c>
      <c r="J6185" s="484"/>
      <c r="K6185" s="548"/>
      <c r="L6185" s="548"/>
      <c r="M6185" s="548"/>
      <c r="N6185" s="552"/>
    </row>
    <row r="6186" spans="1:14">
      <c r="A6186" s="499">
        <v>45698</v>
      </c>
      <c r="B6186" s="499">
        <v>45699</v>
      </c>
      <c r="C6186" s="500" t="s">
        <v>173</v>
      </c>
      <c r="D6186" s="500" t="s">
        <v>761</v>
      </c>
      <c r="E6186" s="501">
        <v>76060865.629999995</v>
      </c>
      <c r="F6186" s="502" t="s">
        <v>878</v>
      </c>
      <c r="G6186" s="100">
        <v>115903340</v>
      </c>
      <c r="H6186" s="484">
        <v>115903340</v>
      </c>
      <c r="I6186" s="422" t="s">
        <v>633</v>
      </c>
      <c r="J6186" s="484"/>
      <c r="K6186" s="548"/>
      <c r="L6186" s="548"/>
      <c r="M6186" s="548"/>
      <c r="N6186" s="552"/>
    </row>
    <row r="6187" spans="1:14">
      <c r="A6187" s="499">
        <v>45698</v>
      </c>
      <c r="B6187" s="499">
        <v>45699</v>
      </c>
      <c r="C6187" s="500" t="s">
        <v>173</v>
      </c>
      <c r="D6187" s="500" t="s">
        <v>761</v>
      </c>
      <c r="E6187" s="501">
        <v>112098059.23</v>
      </c>
      <c r="F6187" s="502" t="s">
        <v>878</v>
      </c>
      <c r="G6187" s="100">
        <v>115903349</v>
      </c>
      <c r="H6187" s="484">
        <v>115903349</v>
      </c>
      <c r="I6187" s="422" t="s">
        <v>833</v>
      </c>
      <c r="J6187" s="484"/>
      <c r="K6187" s="548"/>
      <c r="L6187" s="548"/>
      <c r="M6187" s="548"/>
      <c r="N6187" s="552"/>
    </row>
    <row r="6188" spans="1:14">
      <c r="A6188" s="499">
        <v>45698</v>
      </c>
      <c r="B6188" s="499">
        <v>45699</v>
      </c>
      <c r="C6188" s="500" t="s">
        <v>173</v>
      </c>
      <c r="D6188" s="500" t="s">
        <v>761</v>
      </c>
      <c r="E6188" s="501">
        <v>457212910.94999999</v>
      </c>
      <c r="F6188" s="502" t="s">
        <v>878</v>
      </c>
      <c r="G6188" s="100">
        <v>115903355</v>
      </c>
      <c r="H6188" s="484">
        <v>115903355</v>
      </c>
      <c r="I6188" s="422" t="s">
        <v>631</v>
      </c>
      <c r="J6188" s="484"/>
      <c r="K6188" s="548"/>
      <c r="L6188" s="548"/>
      <c r="M6188" s="548"/>
      <c r="N6188" s="552"/>
    </row>
    <row r="6189" spans="1:14">
      <c r="A6189" s="499">
        <v>45698</v>
      </c>
      <c r="B6189" s="499">
        <v>45699</v>
      </c>
      <c r="C6189" s="500" t="s">
        <v>173</v>
      </c>
      <c r="D6189" s="500" t="s">
        <v>761</v>
      </c>
      <c r="E6189" s="501">
        <v>311271287.31999999</v>
      </c>
      <c r="F6189" s="502" t="s">
        <v>878</v>
      </c>
      <c r="G6189" s="100">
        <v>115903967</v>
      </c>
      <c r="H6189" s="484">
        <v>115903967</v>
      </c>
      <c r="I6189" s="422" t="s">
        <v>916</v>
      </c>
      <c r="J6189" s="484"/>
      <c r="K6189" s="548"/>
      <c r="L6189" s="548"/>
      <c r="M6189" s="548"/>
      <c r="N6189" s="552"/>
    </row>
    <row r="6190" spans="1:14">
      <c r="A6190" s="499">
        <v>45698</v>
      </c>
      <c r="B6190" s="499">
        <v>45699</v>
      </c>
      <c r="C6190" s="500" t="s">
        <v>173</v>
      </c>
      <c r="D6190" s="500" t="s">
        <v>761</v>
      </c>
      <c r="E6190" s="501">
        <v>4002480.18</v>
      </c>
      <c r="F6190" s="502" t="s">
        <v>878</v>
      </c>
      <c r="G6190" s="100">
        <v>115904197</v>
      </c>
      <c r="H6190" s="484">
        <v>115904197</v>
      </c>
      <c r="I6190" s="422" t="s">
        <v>1013</v>
      </c>
      <c r="J6190" s="484"/>
      <c r="K6190" s="548"/>
      <c r="L6190" s="548"/>
      <c r="M6190" s="548"/>
      <c r="N6190" s="552"/>
    </row>
    <row r="6191" spans="1:14">
      <c r="A6191" s="499">
        <v>45698</v>
      </c>
      <c r="B6191" s="499">
        <v>45698</v>
      </c>
      <c r="C6191" s="500" t="s">
        <v>173</v>
      </c>
      <c r="D6191" s="500" t="s">
        <v>759</v>
      </c>
      <c r="E6191" s="501">
        <v>-640623963.51999998</v>
      </c>
      <c r="F6191" s="502" t="s">
        <v>878</v>
      </c>
      <c r="G6191" s="100">
        <v>115900739</v>
      </c>
      <c r="H6191" s="530"/>
      <c r="I6191" s="422" t="s">
        <v>687</v>
      </c>
      <c r="J6191" s="484"/>
      <c r="K6191" s="548"/>
      <c r="L6191" s="548"/>
      <c r="M6191" s="548"/>
      <c r="N6191" s="552"/>
    </row>
    <row r="6192" spans="1:14">
      <c r="A6192" s="499">
        <v>45698</v>
      </c>
      <c r="B6192" s="499">
        <v>45698</v>
      </c>
      <c r="C6192" s="500" t="s">
        <v>173</v>
      </c>
      <c r="D6192" s="500" t="s">
        <v>759</v>
      </c>
      <c r="E6192" s="501">
        <v>-1356024729.0999999</v>
      </c>
      <c r="F6192" s="502" t="s">
        <v>878</v>
      </c>
      <c r="G6192" s="100">
        <v>115900763</v>
      </c>
      <c r="H6192" s="530"/>
      <c r="I6192" s="422" t="s">
        <v>1018</v>
      </c>
      <c r="J6192" s="484"/>
      <c r="K6192" s="548"/>
      <c r="L6192" s="548"/>
      <c r="M6192" s="548"/>
      <c r="N6192" s="552"/>
    </row>
    <row r="6193" spans="1:14">
      <c r="A6193" s="499">
        <v>45698</v>
      </c>
      <c r="B6193" s="499">
        <v>45698</v>
      </c>
      <c r="C6193" s="500" t="s">
        <v>173</v>
      </c>
      <c r="D6193" s="500" t="s">
        <v>759</v>
      </c>
      <c r="E6193" s="501">
        <v>-8000245.4400000004</v>
      </c>
      <c r="F6193" s="502" t="s">
        <v>878</v>
      </c>
      <c r="G6193" s="100">
        <v>115900807</v>
      </c>
      <c r="H6193" s="530"/>
      <c r="I6193" s="422" t="s">
        <v>823</v>
      </c>
      <c r="J6193" s="484"/>
      <c r="K6193" s="548"/>
      <c r="L6193" s="548"/>
      <c r="M6193" s="548"/>
      <c r="N6193" s="552"/>
    </row>
    <row r="6194" spans="1:14">
      <c r="A6194" s="499">
        <v>45698</v>
      </c>
      <c r="B6194" s="499">
        <v>45699</v>
      </c>
      <c r="C6194" s="500" t="s">
        <v>173</v>
      </c>
      <c r="D6194" s="500" t="s">
        <v>759</v>
      </c>
      <c r="E6194" s="501">
        <v>640884600.94000006</v>
      </c>
      <c r="F6194" s="502" t="s">
        <v>878</v>
      </c>
      <c r="G6194" s="100">
        <v>115900739</v>
      </c>
      <c r="H6194" s="484">
        <v>115900739</v>
      </c>
      <c r="I6194" s="422" t="s">
        <v>687</v>
      </c>
      <c r="J6194" s="484"/>
      <c r="K6194" s="548"/>
      <c r="L6194" s="548"/>
      <c r="M6194" s="548"/>
      <c r="N6194" s="552"/>
    </row>
    <row r="6195" spans="1:14">
      <c r="A6195" s="499">
        <v>45698</v>
      </c>
      <c r="B6195" s="499">
        <v>45699</v>
      </c>
      <c r="C6195" s="500" t="s">
        <v>173</v>
      </c>
      <c r="D6195" s="500" t="s">
        <v>759</v>
      </c>
      <c r="E6195" s="501">
        <v>1356576426.8299999</v>
      </c>
      <c r="F6195" s="502" t="s">
        <v>878</v>
      </c>
      <c r="G6195" s="100">
        <v>115900763</v>
      </c>
      <c r="H6195" s="484">
        <v>115900763</v>
      </c>
      <c r="I6195" s="422" t="s">
        <v>1018</v>
      </c>
      <c r="J6195" s="484"/>
      <c r="K6195" s="548"/>
      <c r="L6195" s="548"/>
      <c r="M6195" s="548"/>
      <c r="N6195" s="552"/>
    </row>
    <row r="6196" spans="1:14">
      <c r="A6196" s="499">
        <v>45698</v>
      </c>
      <c r="B6196" s="499">
        <v>45699</v>
      </c>
      <c r="C6196" s="500" t="s">
        <v>173</v>
      </c>
      <c r="D6196" s="500" t="s">
        <v>759</v>
      </c>
      <c r="E6196" s="501">
        <v>8003480.7599999998</v>
      </c>
      <c r="F6196" s="502" t="s">
        <v>878</v>
      </c>
      <c r="G6196" s="100">
        <v>115900807</v>
      </c>
      <c r="H6196" s="484">
        <v>115900807</v>
      </c>
      <c r="I6196" s="422" t="s">
        <v>823</v>
      </c>
      <c r="J6196" s="484"/>
      <c r="K6196" s="548"/>
      <c r="L6196" s="548"/>
      <c r="M6196" s="548"/>
      <c r="N6196" s="552"/>
    </row>
    <row r="6197" spans="1:14">
      <c r="A6197" s="499">
        <v>45698</v>
      </c>
      <c r="B6197" s="499">
        <v>45698</v>
      </c>
      <c r="C6197" s="500" t="s">
        <v>173</v>
      </c>
      <c r="D6197" s="500" t="s">
        <v>763</v>
      </c>
      <c r="E6197" s="501">
        <v>-4997243754</v>
      </c>
      <c r="F6197" s="502" t="s">
        <v>878</v>
      </c>
      <c r="G6197" s="100">
        <v>115899415</v>
      </c>
      <c r="H6197" s="530"/>
      <c r="I6197" s="422" t="s">
        <v>657</v>
      </c>
      <c r="J6197" s="484"/>
      <c r="K6197" s="548"/>
      <c r="L6197" s="548"/>
      <c r="M6197" s="548"/>
      <c r="N6197" s="552"/>
    </row>
    <row r="6198" spans="1:14">
      <c r="A6198" s="499">
        <v>45698</v>
      </c>
      <c r="B6198" s="499">
        <v>45698</v>
      </c>
      <c r="C6198" s="500" t="s">
        <v>173</v>
      </c>
      <c r="D6198" s="500" t="s">
        <v>763</v>
      </c>
      <c r="E6198" s="501">
        <v>-999865853.27999997</v>
      </c>
      <c r="F6198" s="502" t="s">
        <v>878</v>
      </c>
      <c r="G6198" s="100">
        <v>115899418</v>
      </c>
      <c r="H6198" s="530"/>
      <c r="I6198" s="422" t="s">
        <v>673</v>
      </c>
      <c r="J6198" s="484"/>
      <c r="K6198" s="548"/>
      <c r="L6198" s="548"/>
      <c r="M6198" s="548"/>
      <c r="N6198" s="552"/>
    </row>
    <row r="6199" spans="1:14">
      <c r="A6199" s="499">
        <v>45698</v>
      </c>
      <c r="B6199" s="499">
        <v>45698</v>
      </c>
      <c r="C6199" s="500" t="s">
        <v>173</v>
      </c>
      <c r="D6199" s="500" t="s">
        <v>763</v>
      </c>
      <c r="E6199" s="501">
        <v>-24020801.280000001</v>
      </c>
      <c r="F6199" s="502" t="s">
        <v>878</v>
      </c>
      <c r="G6199" s="100">
        <v>115899447</v>
      </c>
      <c r="H6199" s="530"/>
      <c r="I6199" s="422" t="s">
        <v>673</v>
      </c>
      <c r="J6199" s="484"/>
      <c r="K6199" s="548"/>
      <c r="L6199" s="548"/>
      <c r="M6199" s="548"/>
      <c r="N6199" s="552"/>
    </row>
    <row r="6200" spans="1:14">
      <c r="A6200" s="499">
        <v>45698</v>
      </c>
      <c r="B6200" s="499">
        <v>45699</v>
      </c>
      <c r="C6200" s="500" t="s">
        <v>173</v>
      </c>
      <c r="D6200" s="500" t="s">
        <v>763</v>
      </c>
      <c r="E6200" s="501">
        <v>4999263215.5</v>
      </c>
      <c r="F6200" s="502" t="s">
        <v>878</v>
      </c>
      <c r="G6200" s="100">
        <v>115899415</v>
      </c>
      <c r="H6200" s="484">
        <v>115899415</v>
      </c>
      <c r="I6200" s="422" t="s">
        <v>657</v>
      </c>
      <c r="J6200" s="484"/>
      <c r="K6200" s="548"/>
      <c r="L6200" s="548"/>
      <c r="M6200" s="548"/>
      <c r="N6200" s="552"/>
    </row>
    <row r="6201" spans="1:14">
      <c r="A6201" s="499">
        <v>45698</v>
      </c>
      <c r="B6201" s="499">
        <v>45699</v>
      </c>
      <c r="C6201" s="500" t="s">
        <v>173</v>
      </c>
      <c r="D6201" s="500" t="s">
        <v>763</v>
      </c>
      <c r="E6201" s="501">
        <v>1000269911.4</v>
      </c>
      <c r="F6201" s="502" t="s">
        <v>878</v>
      </c>
      <c r="G6201" s="100">
        <v>115899418</v>
      </c>
      <c r="H6201" s="484">
        <v>115899418</v>
      </c>
      <c r="I6201" s="422" t="s">
        <v>673</v>
      </c>
      <c r="J6201" s="484"/>
      <c r="K6201" s="548"/>
      <c r="L6201" s="548"/>
      <c r="M6201" s="548"/>
      <c r="N6201" s="552"/>
    </row>
    <row r="6202" spans="1:14">
      <c r="A6202" s="499">
        <v>45698</v>
      </c>
      <c r="B6202" s="499">
        <v>45699</v>
      </c>
      <c r="C6202" s="500" t="s">
        <v>173</v>
      </c>
      <c r="D6202" s="500" t="s">
        <v>763</v>
      </c>
      <c r="E6202" s="501">
        <v>24030508.379999999</v>
      </c>
      <c r="F6202" s="502" t="s">
        <v>878</v>
      </c>
      <c r="G6202" s="100">
        <v>115899447</v>
      </c>
      <c r="H6202" s="484">
        <v>115899447</v>
      </c>
      <c r="I6202" s="422" t="s">
        <v>673</v>
      </c>
      <c r="J6202" s="484"/>
      <c r="K6202" s="548"/>
      <c r="L6202" s="548"/>
      <c r="M6202" s="548"/>
      <c r="N6202" s="552"/>
    </row>
    <row r="6203" spans="1:14">
      <c r="A6203" s="499">
        <v>45699</v>
      </c>
      <c r="B6203" s="499">
        <v>45699</v>
      </c>
      <c r="C6203" s="500" t="s">
        <v>173</v>
      </c>
      <c r="D6203" s="500" t="s">
        <v>761</v>
      </c>
      <c r="E6203" s="501">
        <v>-956044807.72000003</v>
      </c>
      <c r="F6203" s="502" t="s">
        <v>878</v>
      </c>
      <c r="G6203" s="100">
        <v>115923678</v>
      </c>
      <c r="H6203" s="530"/>
      <c r="I6203" s="422" t="s">
        <v>670</v>
      </c>
      <c r="J6203" s="484"/>
      <c r="K6203" s="548"/>
      <c r="L6203" s="548"/>
      <c r="M6203" s="548"/>
      <c r="N6203" s="552"/>
    </row>
    <row r="6204" spans="1:14">
      <c r="A6204" s="499">
        <v>45699</v>
      </c>
      <c r="B6204" s="499">
        <v>45699</v>
      </c>
      <c r="C6204" s="500" t="s">
        <v>173</v>
      </c>
      <c r="D6204" s="500" t="s">
        <v>761</v>
      </c>
      <c r="E6204" s="501">
        <v>-5000261.62</v>
      </c>
      <c r="F6204" s="502" t="s">
        <v>878</v>
      </c>
      <c r="G6204" s="100">
        <v>115924753</v>
      </c>
      <c r="H6204" s="530"/>
      <c r="I6204" s="422" t="s">
        <v>631</v>
      </c>
      <c r="J6204" s="484"/>
      <c r="K6204" s="548"/>
      <c r="L6204" s="548"/>
      <c r="M6204" s="548"/>
      <c r="N6204" s="552"/>
    </row>
    <row r="6205" spans="1:14">
      <c r="A6205" s="499">
        <v>45699</v>
      </c>
      <c r="B6205" s="499">
        <v>45699</v>
      </c>
      <c r="C6205" s="500" t="s">
        <v>173</v>
      </c>
      <c r="D6205" s="500" t="s">
        <v>761</v>
      </c>
      <c r="E6205" s="501">
        <v>-43006552.380000003</v>
      </c>
      <c r="F6205" s="502" t="s">
        <v>878</v>
      </c>
      <c r="G6205" s="100">
        <v>115925847</v>
      </c>
      <c r="H6205" s="530"/>
      <c r="I6205" s="422" t="s">
        <v>633</v>
      </c>
      <c r="J6205" s="484"/>
      <c r="K6205" s="548"/>
      <c r="L6205" s="548"/>
      <c r="M6205" s="548"/>
      <c r="N6205" s="552"/>
    </row>
    <row r="6206" spans="1:14">
      <c r="A6206" s="499">
        <v>45699</v>
      </c>
      <c r="B6206" s="499">
        <v>45700</v>
      </c>
      <c r="C6206" s="500" t="s">
        <v>173</v>
      </c>
      <c r="D6206" s="500" t="s">
        <v>761</v>
      </c>
      <c r="E6206" s="501">
        <v>956435869.34000003</v>
      </c>
      <c r="F6206" s="502" t="s">
        <v>878</v>
      </c>
      <c r="G6206" s="100">
        <v>115923678</v>
      </c>
      <c r="H6206" s="484">
        <v>115923678</v>
      </c>
      <c r="I6206" s="422" t="s">
        <v>670</v>
      </c>
      <c r="J6206" s="484"/>
      <c r="K6206" s="548"/>
      <c r="L6206" s="548"/>
      <c r="M6206" s="548"/>
      <c r="N6206" s="552"/>
    </row>
    <row r="6207" spans="1:14">
      <c r="A6207" s="499">
        <v>45699</v>
      </c>
      <c r="B6207" s="499">
        <v>45700</v>
      </c>
      <c r="C6207" s="500" t="s">
        <v>173</v>
      </c>
      <c r="D6207" s="500" t="s">
        <v>761</v>
      </c>
      <c r="E6207" s="501">
        <v>5002308.3</v>
      </c>
      <c r="F6207" s="502" t="s">
        <v>878</v>
      </c>
      <c r="G6207" s="100">
        <v>115924753</v>
      </c>
      <c r="H6207" s="484">
        <v>115924753</v>
      </c>
      <c r="I6207" s="422" t="s">
        <v>631</v>
      </c>
      <c r="J6207" s="484"/>
      <c r="K6207" s="548"/>
      <c r="L6207" s="548"/>
      <c r="M6207" s="548"/>
      <c r="N6207" s="552"/>
    </row>
    <row r="6208" spans="1:14">
      <c r="A6208" s="499">
        <v>45699</v>
      </c>
      <c r="B6208" s="499">
        <v>45700</v>
      </c>
      <c r="C6208" s="500" t="s">
        <v>173</v>
      </c>
      <c r="D6208" s="500" t="s">
        <v>761</v>
      </c>
      <c r="E6208" s="501">
        <v>43024095.280000001</v>
      </c>
      <c r="F6208" s="502" t="s">
        <v>878</v>
      </c>
      <c r="G6208" s="100">
        <v>115925847</v>
      </c>
      <c r="H6208" s="484">
        <v>115925847</v>
      </c>
      <c r="I6208" s="422" t="s">
        <v>633</v>
      </c>
      <c r="J6208" s="484"/>
      <c r="K6208" s="548"/>
      <c r="L6208" s="548"/>
      <c r="M6208" s="548"/>
      <c r="N6208" s="552"/>
    </row>
    <row r="6209" spans="1:25">
      <c r="A6209" s="499">
        <v>45699</v>
      </c>
      <c r="B6209" s="499">
        <v>45701</v>
      </c>
      <c r="C6209" s="500" t="s">
        <v>173</v>
      </c>
      <c r="D6209" s="500" t="s">
        <v>761</v>
      </c>
      <c r="E6209" s="501">
        <v>450889000</v>
      </c>
      <c r="F6209" s="502" t="s">
        <v>912</v>
      </c>
      <c r="G6209" s="100" t="s">
        <v>59</v>
      </c>
      <c r="H6209" s="530"/>
      <c r="I6209" s="422"/>
      <c r="K6209" s="548"/>
      <c r="L6209" s="548"/>
      <c r="M6209" s="548"/>
      <c r="N6209" s="552"/>
      <c r="W6209" s="550">
        <f>VLOOKUP(G6209,Справочник!A:C,3,0)</f>
        <v>5.4900000000000004E-2</v>
      </c>
      <c r="X6209" s="539" t="str">
        <f>VLOOKUP(G6209,Справочник!A:G,7,0)</f>
        <v>Министерство финансов Республики Казахстан</v>
      </c>
      <c r="Y6209" s="551" t="str">
        <f>VLOOKUP(G6209,Справочник!A:B,2,0)</f>
        <v>27.03.2027</v>
      </c>
    </row>
    <row r="6210" spans="1:25">
      <c r="A6210" s="499">
        <v>45699</v>
      </c>
      <c r="B6210" s="499">
        <v>45699</v>
      </c>
      <c r="C6210" s="500" t="s">
        <v>173</v>
      </c>
      <c r="D6210" s="500" t="s">
        <v>760</v>
      </c>
      <c r="E6210" s="501">
        <v>-298264493.76999998</v>
      </c>
      <c r="F6210" s="502" t="s">
        <v>878</v>
      </c>
      <c r="G6210" s="100">
        <v>115921164</v>
      </c>
      <c r="H6210" s="530"/>
      <c r="I6210" s="422" t="s">
        <v>658</v>
      </c>
      <c r="J6210" s="100"/>
      <c r="K6210" s="548"/>
      <c r="L6210" s="548"/>
      <c r="M6210" s="548"/>
      <c r="N6210" s="552"/>
    </row>
    <row r="6211" spans="1:25">
      <c r="A6211" s="499">
        <v>45699</v>
      </c>
      <c r="B6211" s="499">
        <v>45699</v>
      </c>
      <c r="C6211" s="500" t="s">
        <v>173</v>
      </c>
      <c r="D6211" s="500" t="s">
        <v>760</v>
      </c>
      <c r="E6211" s="501">
        <v>-298054554.62</v>
      </c>
      <c r="F6211" s="502" t="s">
        <v>878</v>
      </c>
      <c r="G6211" s="100">
        <v>115921183</v>
      </c>
      <c r="H6211" s="530"/>
      <c r="I6211" s="422" t="s">
        <v>550</v>
      </c>
      <c r="J6211" s="100"/>
      <c r="K6211" s="548"/>
      <c r="L6211" s="548"/>
      <c r="M6211" s="548"/>
      <c r="N6211" s="552"/>
    </row>
    <row r="6212" spans="1:25">
      <c r="A6212" s="499">
        <v>45699</v>
      </c>
      <c r="B6212" s="499">
        <v>45699</v>
      </c>
      <c r="C6212" s="500" t="s">
        <v>173</v>
      </c>
      <c r="D6212" s="500" t="s">
        <v>760</v>
      </c>
      <c r="E6212" s="501">
        <v>-57053056.799999997</v>
      </c>
      <c r="F6212" s="502" t="s">
        <v>878</v>
      </c>
      <c r="G6212" s="100">
        <v>115921551</v>
      </c>
      <c r="H6212" s="530"/>
      <c r="I6212" s="422" t="s">
        <v>588</v>
      </c>
      <c r="J6212" s="100"/>
      <c r="K6212" s="548"/>
      <c r="L6212" s="548"/>
      <c r="M6212" s="548"/>
      <c r="N6212" s="552"/>
    </row>
    <row r="6213" spans="1:25">
      <c r="A6213" s="499">
        <v>45699</v>
      </c>
      <c r="B6213" s="499">
        <v>45706</v>
      </c>
      <c r="C6213" s="500" t="s">
        <v>173</v>
      </c>
      <c r="D6213" s="500" t="s">
        <v>760</v>
      </c>
      <c r="E6213" s="501">
        <v>299122514.92000002</v>
      </c>
      <c r="F6213" s="502" t="s">
        <v>878</v>
      </c>
      <c r="G6213" s="100">
        <v>115921164</v>
      </c>
      <c r="H6213" s="484">
        <v>115921164</v>
      </c>
      <c r="I6213" s="422" t="s">
        <v>658</v>
      </c>
      <c r="J6213" s="100"/>
      <c r="K6213" s="548"/>
      <c r="L6213" s="548"/>
      <c r="M6213" s="548"/>
      <c r="N6213" s="552"/>
    </row>
    <row r="6214" spans="1:25">
      <c r="A6214" s="499">
        <v>45699</v>
      </c>
      <c r="B6214" s="499">
        <v>45706</v>
      </c>
      <c r="C6214" s="500" t="s">
        <v>173</v>
      </c>
      <c r="D6214" s="500" t="s">
        <v>760</v>
      </c>
      <c r="E6214" s="501">
        <v>298911971.82999998</v>
      </c>
      <c r="F6214" s="502" t="s">
        <v>878</v>
      </c>
      <c r="G6214" s="100">
        <v>115921183</v>
      </c>
      <c r="H6214" s="484">
        <v>115921183</v>
      </c>
      <c r="I6214" s="422" t="s">
        <v>550</v>
      </c>
      <c r="J6214" s="100"/>
      <c r="K6214" s="548"/>
      <c r="L6214" s="548"/>
      <c r="M6214" s="548"/>
      <c r="N6214" s="552"/>
    </row>
    <row r="6215" spans="1:25">
      <c r="A6215" s="499">
        <v>45699</v>
      </c>
      <c r="B6215" s="499">
        <v>45706</v>
      </c>
      <c r="C6215" s="500" t="s">
        <v>173</v>
      </c>
      <c r="D6215" s="500" t="s">
        <v>760</v>
      </c>
      <c r="E6215" s="501">
        <v>57217182.030000001</v>
      </c>
      <c r="F6215" s="502" t="s">
        <v>878</v>
      </c>
      <c r="G6215" s="100">
        <v>115921551</v>
      </c>
      <c r="H6215" s="484">
        <v>115921551</v>
      </c>
      <c r="I6215" s="422" t="s">
        <v>588</v>
      </c>
      <c r="J6215" s="100"/>
      <c r="K6215" s="548"/>
      <c r="L6215" s="548"/>
      <c r="M6215" s="548"/>
      <c r="N6215" s="552"/>
    </row>
    <row r="6216" spans="1:25">
      <c r="A6216" s="499">
        <v>45699</v>
      </c>
      <c r="B6216" s="499">
        <v>45699</v>
      </c>
      <c r="C6216" s="500" t="s">
        <v>173</v>
      </c>
      <c r="D6216" s="500" t="s">
        <v>763</v>
      </c>
      <c r="E6216" s="501">
        <v>-1444006642.4000001</v>
      </c>
      <c r="F6216" s="502" t="s">
        <v>878</v>
      </c>
      <c r="G6216" s="100">
        <v>115923411</v>
      </c>
      <c r="H6216" s="530"/>
      <c r="I6216" s="422" t="s">
        <v>678</v>
      </c>
      <c r="J6216" s="484"/>
      <c r="K6216" s="548"/>
      <c r="L6216" s="548"/>
      <c r="M6216" s="548"/>
      <c r="N6216" s="552"/>
    </row>
    <row r="6217" spans="1:25">
      <c r="A6217" s="499">
        <v>45699</v>
      </c>
      <c r="B6217" s="499">
        <v>45699</v>
      </c>
      <c r="C6217" s="500" t="s">
        <v>173</v>
      </c>
      <c r="D6217" s="500" t="s">
        <v>763</v>
      </c>
      <c r="E6217" s="501">
        <v>-4554610845.1199999</v>
      </c>
      <c r="F6217" s="502" t="s">
        <v>878</v>
      </c>
      <c r="G6217" s="100">
        <v>115923414</v>
      </c>
      <c r="H6217" s="530"/>
      <c r="I6217" s="422" t="s">
        <v>817</v>
      </c>
      <c r="J6217" s="484"/>
      <c r="K6217" s="548"/>
      <c r="L6217" s="548"/>
      <c r="M6217" s="548"/>
      <c r="N6217" s="552"/>
    </row>
    <row r="6218" spans="1:25">
      <c r="A6218" s="499">
        <v>45699</v>
      </c>
      <c r="B6218" s="499">
        <v>45699</v>
      </c>
      <c r="C6218" s="500" t="s">
        <v>173</v>
      </c>
      <c r="D6218" s="500" t="s">
        <v>763</v>
      </c>
      <c r="E6218" s="501">
        <v>-25014339</v>
      </c>
      <c r="F6218" s="502" t="s">
        <v>878</v>
      </c>
      <c r="G6218" s="100">
        <v>115923449</v>
      </c>
      <c r="H6218" s="530"/>
      <c r="I6218" s="422" t="s">
        <v>817</v>
      </c>
      <c r="J6218" s="484"/>
      <c r="K6218" s="548"/>
      <c r="L6218" s="548"/>
      <c r="M6218" s="548"/>
      <c r="N6218" s="552"/>
    </row>
    <row r="6219" spans="1:25">
      <c r="A6219" s="499">
        <v>45699</v>
      </c>
      <c r="B6219" s="499">
        <v>45700</v>
      </c>
      <c r="C6219" s="500" t="s">
        <v>173</v>
      </c>
      <c r="D6219" s="500" t="s">
        <v>763</v>
      </c>
      <c r="E6219" s="501">
        <v>1444592161.3800001</v>
      </c>
      <c r="F6219" s="502" t="s">
        <v>878</v>
      </c>
      <c r="G6219" s="100">
        <v>115923411</v>
      </c>
      <c r="H6219" s="100">
        <v>115923411</v>
      </c>
      <c r="I6219" s="422" t="s">
        <v>678</v>
      </c>
      <c r="J6219" s="484"/>
      <c r="K6219" s="548"/>
      <c r="L6219" s="548"/>
      <c r="M6219" s="548"/>
      <c r="N6219" s="552"/>
    </row>
    <row r="6220" spans="1:25">
      <c r="A6220" s="499">
        <v>45699</v>
      </c>
      <c r="B6220" s="499">
        <v>45700</v>
      </c>
      <c r="C6220" s="500" t="s">
        <v>173</v>
      </c>
      <c r="D6220" s="500" t="s">
        <v>763</v>
      </c>
      <c r="E6220" s="501">
        <v>4556457658.71</v>
      </c>
      <c r="F6220" s="502" t="s">
        <v>878</v>
      </c>
      <c r="G6220" s="100">
        <v>115923414</v>
      </c>
      <c r="H6220" s="100">
        <v>115923414</v>
      </c>
      <c r="I6220" s="422" t="s">
        <v>817</v>
      </c>
      <c r="J6220" s="484"/>
      <c r="K6220" s="548"/>
      <c r="L6220" s="548"/>
      <c r="M6220" s="548"/>
      <c r="N6220" s="552"/>
    </row>
    <row r="6221" spans="1:25">
      <c r="A6221" s="499">
        <v>45699</v>
      </c>
      <c r="B6221" s="499">
        <v>45700</v>
      </c>
      <c r="C6221" s="500" t="s">
        <v>173</v>
      </c>
      <c r="D6221" s="500" t="s">
        <v>763</v>
      </c>
      <c r="E6221" s="501">
        <v>25024481.870000001</v>
      </c>
      <c r="F6221" s="502" t="s">
        <v>878</v>
      </c>
      <c r="G6221" s="100">
        <v>115923449</v>
      </c>
      <c r="H6221" s="100">
        <v>115923449</v>
      </c>
      <c r="I6221" s="422" t="s">
        <v>817</v>
      </c>
      <c r="J6221" s="484"/>
      <c r="K6221" s="548"/>
      <c r="L6221" s="548">
        <v>-1</v>
      </c>
      <c r="M6221" s="548"/>
      <c r="N6221" s="552"/>
    </row>
    <row r="6222" spans="1:25">
      <c r="A6222" s="499">
        <v>45699</v>
      </c>
      <c r="B6222" s="499">
        <v>45699</v>
      </c>
      <c r="C6222" s="500" t="s">
        <v>173</v>
      </c>
      <c r="D6222" s="500" t="s">
        <v>759</v>
      </c>
      <c r="E6222" s="501">
        <v>-26013204.359999999</v>
      </c>
      <c r="F6222" s="502" t="s">
        <v>878</v>
      </c>
      <c r="G6222" s="100">
        <v>115921131</v>
      </c>
      <c r="H6222" s="530"/>
      <c r="I6222" s="422" t="s">
        <v>823</v>
      </c>
      <c r="J6222" s="484"/>
      <c r="K6222" s="548"/>
      <c r="L6222" s="548"/>
      <c r="M6222" s="548"/>
      <c r="N6222" s="552"/>
    </row>
    <row r="6223" spans="1:25">
      <c r="A6223" s="499">
        <v>45699</v>
      </c>
      <c r="B6223" s="499">
        <v>45699</v>
      </c>
      <c r="C6223" s="500" t="s">
        <v>173</v>
      </c>
      <c r="D6223" s="500" t="s">
        <v>759</v>
      </c>
      <c r="E6223" s="501">
        <v>-84055692</v>
      </c>
      <c r="F6223" s="502" t="s">
        <v>878</v>
      </c>
      <c r="G6223" s="100">
        <v>115921134</v>
      </c>
      <c r="H6223" s="530"/>
      <c r="I6223" s="422" t="s">
        <v>596</v>
      </c>
      <c r="J6223" s="484"/>
      <c r="K6223" s="548"/>
      <c r="L6223" s="548"/>
      <c r="M6223" s="548"/>
      <c r="N6223" s="552"/>
    </row>
    <row r="6224" spans="1:25">
      <c r="A6224" s="499">
        <v>45699</v>
      </c>
      <c r="B6224" s="499">
        <v>45699</v>
      </c>
      <c r="C6224" s="500" t="s">
        <v>173</v>
      </c>
      <c r="D6224" s="500" t="s">
        <v>759</v>
      </c>
      <c r="E6224" s="501">
        <v>-85056355</v>
      </c>
      <c r="F6224" s="502" t="s">
        <v>878</v>
      </c>
      <c r="G6224" s="100">
        <v>115921137</v>
      </c>
      <c r="H6224" s="530"/>
      <c r="I6224" s="422" t="s">
        <v>596</v>
      </c>
      <c r="J6224" s="484"/>
      <c r="K6224" s="548"/>
      <c r="L6224" s="548"/>
      <c r="M6224" s="548"/>
      <c r="N6224" s="552"/>
    </row>
    <row r="6225" spans="1:14">
      <c r="A6225" s="499">
        <v>45699</v>
      </c>
      <c r="B6225" s="499">
        <v>45699</v>
      </c>
      <c r="C6225" s="500" t="s">
        <v>173</v>
      </c>
      <c r="D6225" s="500" t="s">
        <v>759</v>
      </c>
      <c r="E6225" s="501">
        <v>-87058816.349999994</v>
      </c>
      <c r="F6225" s="502" t="s">
        <v>878</v>
      </c>
      <c r="G6225" s="100">
        <v>115921140</v>
      </c>
      <c r="H6225" s="530"/>
      <c r="I6225" s="422" t="s">
        <v>819</v>
      </c>
      <c r="J6225" s="484"/>
      <c r="K6225" s="548"/>
      <c r="L6225" s="548"/>
      <c r="M6225" s="548"/>
      <c r="N6225" s="552"/>
    </row>
    <row r="6226" spans="1:14">
      <c r="A6226" s="499">
        <v>45699</v>
      </c>
      <c r="B6226" s="499">
        <v>45699</v>
      </c>
      <c r="C6226" s="500" t="s">
        <v>173</v>
      </c>
      <c r="D6226" s="500" t="s">
        <v>759</v>
      </c>
      <c r="E6226" s="501">
        <v>-88025051.400000006</v>
      </c>
      <c r="F6226" s="502" t="s">
        <v>878</v>
      </c>
      <c r="G6226" s="100">
        <v>115921143</v>
      </c>
      <c r="H6226" s="530"/>
      <c r="I6226" s="422" t="s">
        <v>705</v>
      </c>
      <c r="J6226" s="484"/>
      <c r="K6226" s="548"/>
      <c r="L6226" s="548"/>
      <c r="M6226" s="548"/>
      <c r="N6226" s="552"/>
    </row>
    <row r="6227" spans="1:14">
      <c r="A6227" s="499">
        <v>45699</v>
      </c>
      <c r="B6227" s="499">
        <v>45699</v>
      </c>
      <c r="C6227" s="500" t="s">
        <v>173</v>
      </c>
      <c r="D6227" s="500" t="s">
        <v>759</v>
      </c>
      <c r="E6227" s="501">
        <v>-91046215.260000005</v>
      </c>
      <c r="F6227" s="502" t="s">
        <v>878</v>
      </c>
      <c r="G6227" s="100">
        <v>115921146</v>
      </c>
      <c r="H6227" s="530"/>
      <c r="I6227" s="422" t="s">
        <v>823</v>
      </c>
      <c r="J6227" s="484"/>
      <c r="K6227" s="548"/>
      <c r="L6227" s="548"/>
      <c r="M6227" s="548"/>
      <c r="N6227" s="552"/>
    </row>
    <row r="6228" spans="1:14">
      <c r="A6228" s="499">
        <v>45699</v>
      </c>
      <c r="B6228" s="499">
        <v>45699</v>
      </c>
      <c r="C6228" s="500" t="s">
        <v>173</v>
      </c>
      <c r="D6228" s="500" t="s">
        <v>759</v>
      </c>
      <c r="E6228" s="501">
        <v>-92046568.189999998</v>
      </c>
      <c r="F6228" s="502" t="s">
        <v>878</v>
      </c>
      <c r="G6228" s="100">
        <v>115921149</v>
      </c>
      <c r="H6228" s="530"/>
      <c r="I6228" s="422" t="s">
        <v>711</v>
      </c>
      <c r="J6228" s="484"/>
      <c r="K6228" s="548"/>
      <c r="L6228" s="548"/>
      <c r="M6228" s="548"/>
      <c r="N6228" s="552"/>
    </row>
    <row r="6229" spans="1:14">
      <c r="A6229" s="499">
        <v>45699</v>
      </c>
      <c r="B6229" s="499">
        <v>45699</v>
      </c>
      <c r="C6229" s="500" t="s">
        <v>173</v>
      </c>
      <c r="D6229" s="500" t="s">
        <v>759</v>
      </c>
      <c r="E6229" s="501">
        <v>-92046568.189999998</v>
      </c>
      <c r="F6229" s="502" t="s">
        <v>878</v>
      </c>
      <c r="G6229" s="100">
        <v>115921152</v>
      </c>
      <c r="H6229" s="530"/>
      <c r="I6229" s="422" t="s">
        <v>711</v>
      </c>
      <c r="J6229" s="484"/>
      <c r="K6229" s="548"/>
      <c r="L6229" s="548"/>
      <c r="M6229" s="548"/>
      <c r="N6229" s="552"/>
    </row>
    <row r="6230" spans="1:14">
      <c r="A6230" s="499">
        <v>45699</v>
      </c>
      <c r="B6230" s="499">
        <v>45699</v>
      </c>
      <c r="C6230" s="500" t="s">
        <v>173</v>
      </c>
      <c r="D6230" s="500" t="s">
        <v>759</v>
      </c>
      <c r="E6230" s="501">
        <v>-97084234.219999999</v>
      </c>
      <c r="F6230" s="502" t="s">
        <v>878</v>
      </c>
      <c r="G6230" s="100">
        <v>115921155</v>
      </c>
      <c r="H6230" s="530"/>
      <c r="I6230" s="422" t="s">
        <v>590</v>
      </c>
      <c r="J6230" s="484"/>
      <c r="K6230" s="548"/>
      <c r="L6230" s="548"/>
      <c r="M6230" s="548"/>
      <c r="N6230" s="552"/>
    </row>
    <row r="6231" spans="1:14">
      <c r="A6231" s="499">
        <v>45699</v>
      </c>
      <c r="B6231" s="499">
        <v>45699</v>
      </c>
      <c r="C6231" s="500" t="s">
        <v>173</v>
      </c>
      <c r="D6231" s="500" t="s">
        <v>759</v>
      </c>
      <c r="E6231" s="501">
        <v>-97050342.219999999</v>
      </c>
      <c r="F6231" s="502" t="s">
        <v>878</v>
      </c>
      <c r="G6231" s="100">
        <v>115921158</v>
      </c>
      <c r="H6231" s="530"/>
      <c r="I6231" s="422" t="s">
        <v>816</v>
      </c>
      <c r="J6231" s="484"/>
      <c r="K6231" s="548"/>
      <c r="L6231" s="548"/>
      <c r="M6231" s="548"/>
      <c r="N6231" s="552"/>
    </row>
    <row r="6232" spans="1:14">
      <c r="A6232" s="499">
        <v>45699</v>
      </c>
      <c r="B6232" s="499">
        <v>45699</v>
      </c>
      <c r="C6232" s="500" t="s">
        <v>173</v>
      </c>
      <c r="D6232" s="500" t="s">
        <v>759</v>
      </c>
      <c r="E6232" s="501">
        <v>-98017940.780000001</v>
      </c>
      <c r="F6232" s="502" t="s">
        <v>878</v>
      </c>
      <c r="G6232" s="100">
        <v>115921161</v>
      </c>
      <c r="H6232" s="530"/>
      <c r="I6232" s="422" t="s">
        <v>550</v>
      </c>
      <c r="J6232" s="484"/>
      <c r="K6232" s="548"/>
      <c r="L6232" s="548"/>
      <c r="M6232" s="548"/>
      <c r="N6232" s="552"/>
    </row>
    <row r="6233" spans="1:14">
      <c r="A6233" s="499">
        <v>45699</v>
      </c>
      <c r="B6233" s="499">
        <v>45699</v>
      </c>
      <c r="C6233" s="500" t="s">
        <v>173</v>
      </c>
      <c r="D6233" s="500" t="s">
        <v>759</v>
      </c>
      <c r="E6233" s="501">
        <v>-115038837.8</v>
      </c>
      <c r="F6233" s="502" t="s">
        <v>878</v>
      </c>
      <c r="G6233" s="100">
        <v>115921171</v>
      </c>
      <c r="H6233" s="530"/>
      <c r="I6233" s="422" t="s">
        <v>684</v>
      </c>
      <c r="J6233" s="484"/>
      <c r="K6233" s="548"/>
      <c r="L6233" s="548"/>
      <c r="M6233" s="548"/>
      <c r="N6233" s="552"/>
    </row>
    <row r="6234" spans="1:14">
      <c r="A6234" s="499">
        <v>45699</v>
      </c>
      <c r="B6234" s="499">
        <v>45699</v>
      </c>
      <c r="C6234" s="500" t="s">
        <v>173</v>
      </c>
      <c r="D6234" s="500" t="s">
        <v>759</v>
      </c>
      <c r="E6234" s="501">
        <v>-120006120.84</v>
      </c>
      <c r="F6234" s="502" t="s">
        <v>878</v>
      </c>
      <c r="G6234" s="100">
        <v>115921174</v>
      </c>
      <c r="H6234" s="530"/>
      <c r="I6234" s="422" t="s">
        <v>709</v>
      </c>
      <c r="J6234" s="484"/>
      <c r="K6234" s="548"/>
      <c r="L6234" s="548"/>
      <c r="M6234" s="548"/>
      <c r="N6234" s="552"/>
    </row>
    <row r="6235" spans="1:14">
      <c r="A6235" s="499">
        <v>45699</v>
      </c>
      <c r="B6235" s="499">
        <v>45699</v>
      </c>
      <c r="C6235" s="500" t="s">
        <v>173</v>
      </c>
      <c r="D6235" s="500" t="s">
        <v>759</v>
      </c>
      <c r="E6235" s="501">
        <v>-120068827.2</v>
      </c>
      <c r="F6235" s="502" t="s">
        <v>878</v>
      </c>
      <c r="G6235" s="100">
        <v>115921177</v>
      </c>
      <c r="H6235" s="530"/>
      <c r="I6235" s="422" t="s">
        <v>817</v>
      </c>
      <c r="J6235" s="484"/>
      <c r="K6235" s="548"/>
      <c r="L6235" s="548"/>
      <c r="M6235" s="548"/>
      <c r="N6235" s="552"/>
    </row>
    <row r="6236" spans="1:14">
      <c r="A6236" s="499">
        <v>45699</v>
      </c>
      <c r="B6236" s="499">
        <v>45699</v>
      </c>
      <c r="C6236" s="500" t="s">
        <v>173</v>
      </c>
      <c r="D6236" s="500" t="s">
        <v>759</v>
      </c>
      <c r="E6236" s="501">
        <v>-125110320</v>
      </c>
      <c r="F6236" s="502" t="s">
        <v>878</v>
      </c>
      <c r="G6236" s="100">
        <v>115921180</v>
      </c>
      <c r="H6236" s="530"/>
      <c r="I6236" s="422" t="s">
        <v>824</v>
      </c>
      <c r="J6236" s="484"/>
      <c r="K6236" s="548"/>
      <c r="L6236" s="548"/>
      <c r="M6236" s="548"/>
      <c r="N6236" s="552"/>
    </row>
    <row r="6237" spans="1:14">
      <c r="A6237" s="499">
        <v>45699</v>
      </c>
      <c r="B6237" s="499">
        <v>45699</v>
      </c>
      <c r="C6237" s="500" t="s">
        <v>173</v>
      </c>
      <c r="D6237" s="500" t="s">
        <v>759</v>
      </c>
      <c r="E6237" s="501">
        <v>-136101377.80000001</v>
      </c>
      <c r="F6237" s="502" t="s">
        <v>878</v>
      </c>
      <c r="G6237" s="100">
        <v>115921198</v>
      </c>
      <c r="H6237" s="530"/>
      <c r="I6237" s="422" t="s">
        <v>675</v>
      </c>
      <c r="J6237" s="484"/>
      <c r="K6237" s="548"/>
      <c r="L6237" s="548"/>
      <c r="M6237" s="548"/>
      <c r="N6237" s="552"/>
    </row>
    <row r="6238" spans="1:14">
      <c r="A6238" s="499">
        <v>45699</v>
      </c>
      <c r="B6238" s="499">
        <v>45699</v>
      </c>
      <c r="C6238" s="500" t="s">
        <v>173</v>
      </c>
      <c r="D6238" s="500" t="s">
        <v>759</v>
      </c>
      <c r="E6238" s="501">
        <v>-146085141.36000001</v>
      </c>
      <c r="F6238" s="502" t="s">
        <v>878</v>
      </c>
      <c r="G6238" s="100">
        <v>115921201</v>
      </c>
      <c r="H6238" s="530"/>
      <c r="I6238" s="422" t="s">
        <v>600</v>
      </c>
      <c r="J6238" s="484"/>
      <c r="K6238" s="548"/>
      <c r="L6238" s="548"/>
      <c r="M6238" s="548"/>
      <c r="N6238" s="552"/>
    </row>
    <row r="6239" spans="1:14">
      <c r="A6239" s="499">
        <v>45699</v>
      </c>
      <c r="B6239" s="499">
        <v>45699</v>
      </c>
      <c r="C6239" s="500" t="s">
        <v>173</v>
      </c>
      <c r="D6239" s="500" t="s">
        <v>759</v>
      </c>
      <c r="E6239" s="501">
        <v>-162078280.18000001</v>
      </c>
      <c r="F6239" s="502" t="s">
        <v>878</v>
      </c>
      <c r="G6239" s="100">
        <v>115921204</v>
      </c>
      <c r="H6239" s="530"/>
      <c r="I6239" s="422" t="s">
        <v>602</v>
      </c>
      <c r="J6239" s="484"/>
      <c r="K6239" s="548"/>
      <c r="L6239" s="548"/>
      <c r="M6239" s="548"/>
      <c r="N6239" s="552"/>
    </row>
    <row r="6240" spans="1:14">
      <c r="A6240" s="499">
        <v>45699</v>
      </c>
      <c r="B6240" s="499">
        <v>45699</v>
      </c>
      <c r="C6240" s="500" t="s">
        <v>173</v>
      </c>
      <c r="D6240" s="500" t="s">
        <v>759</v>
      </c>
      <c r="E6240" s="501">
        <v>-135045592.19999999</v>
      </c>
      <c r="F6240" s="502" t="s">
        <v>878</v>
      </c>
      <c r="G6240" s="100">
        <v>115921355</v>
      </c>
      <c r="H6240" s="530"/>
      <c r="I6240" s="422" t="s">
        <v>684</v>
      </c>
      <c r="J6240" s="484"/>
      <c r="K6240" s="548"/>
      <c r="L6240" s="548"/>
      <c r="M6240" s="548"/>
      <c r="N6240" s="552"/>
    </row>
    <row r="6241" spans="1:14">
      <c r="A6241" s="499">
        <v>45699</v>
      </c>
      <c r="B6241" s="499">
        <v>45699</v>
      </c>
      <c r="C6241" s="500" t="s">
        <v>173</v>
      </c>
      <c r="D6241" s="500" t="s">
        <v>759</v>
      </c>
      <c r="E6241" s="501">
        <v>-9001371.4299999997</v>
      </c>
      <c r="F6241" s="502" t="s">
        <v>878</v>
      </c>
      <c r="G6241" s="100">
        <v>115930072</v>
      </c>
      <c r="H6241" s="530"/>
      <c r="I6241" s="422" t="s">
        <v>633</v>
      </c>
      <c r="J6241" s="484"/>
      <c r="K6241" s="548"/>
      <c r="L6241" s="548"/>
      <c r="M6241" s="548"/>
      <c r="N6241" s="552"/>
    </row>
    <row r="6242" spans="1:14">
      <c r="A6242" s="499">
        <v>45699</v>
      </c>
      <c r="B6242" s="499">
        <v>45700</v>
      </c>
      <c r="C6242" s="500" t="s">
        <v>173</v>
      </c>
      <c r="D6242" s="500" t="s">
        <v>759</v>
      </c>
      <c r="E6242" s="501">
        <v>26023887.59</v>
      </c>
      <c r="F6242" s="502" t="s">
        <v>878</v>
      </c>
      <c r="G6242" s="100">
        <v>115921131</v>
      </c>
      <c r="H6242" s="484">
        <v>115921131</v>
      </c>
      <c r="I6242" s="422" t="s">
        <v>823</v>
      </c>
      <c r="J6242" s="484"/>
      <c r="K6242" s="548"/>
      <c r="L6242" s="548"/>
      <c r="M6242" s="548"/>
      <c r="N6242" s="552"/>
    </row>
    <row r="6243" spans="1:14">
      <c r="A6243" s="499">
        <v>45699</v>
      </c>
      <c r="B6243" s="499">
        <v>45700</v>
      </c>
      <c r="C6243" s="500" t="s">
        <v>173</v>
      </c>
      <c r="D6243" s="500" t="s">
        <v>759</v>
      </c>
      <c r="E6243" s="501">
        <v>84090212.409999996</v>
      </c>
      <c r="F6243" s="502" t="s">
        <v>878</v>
      </c>
      <c r="G6243" s="100">
        <v>115921134</v>
      </c>
      <c r="H6243" s="484">
        <v>115921134</v>
      </c>
      <c r="I6243" s="422" t="s">
        <v>596</v>
      </c>
      <c r="J6243" s="484"/>
      <c r="K6243" s="548"/>
      <c r="L6243" s="548"/>
      <c r="M6243" s="548"/>
      <c r="N6243" s="552"/>
    </row>
    <row r="6244" spans="1:14">
      <c r="A6244" s="499">
        <v>45699</v>
      </c>
      <c r="B6244" s="499">
        <v>45700</v>
      </c>
      <c r="C6244" s="500" t="s">
        <v>173</v>
      </c>
      <c r="D6244" s="500" t="s">
        <v>759</v>
      </c>
      <c r="E6244" s="501">
        <v>85091286.359999999</v>
      </c>
      <c r="F6244" s="502" t="s">
        <v>878</v>
      </c>
      <c r="G6244" s="100">
        <v>115921137</v>
      </c>
      <c r="H6244" s="484">
        <v>115921137</v>
      </c>
      <c r="I6244" s="422" t="s">
        <v>596</v>
      </c>
      <c r="J6244" s="484"/>
      <c r="K6244" s="548"/>
      <c r="L6244" s="548"/>
      <c r="M6244" s="548"/>
      <c r="N6244" s="552"/>
    </row>
    <row r="6245" spans="1:14">
      <c r="A6245" s="499">
        <v>45699</v>
      </c>
      <c r="B6245" s="499">
        <v>45700</v>
      </c>
      <c r="C6245" s="500" t="s">
        <v>173</v>
      </c>
      <c r="D6245" s="500" t="s">
        <v>759</v>
      </c>
      <c r="E6245" s="501">
        <v>87094570.090000004</v>
      </c>
      <c r="F6245" s="502" t="s">
        <v>878</v>
      </c>
      <c r="G6245" s="100">
        <v>115921140</v>
      </c>
      <c r="H6245" s="484">
        <v>115921140</v>
      </c>
      <c r="I6245" s="422" t="s">
        <v>819</v>
      </c>
      <c r="J6245" s="484"/>
      <c r="K6245" s="548"/>
      <c r="L6245" s="548"/>
      <c r="M6245" s="548"/>
      <c r="N6245" s="552"/>
    </row>
    <row r="6246" spans="1:14">
      <c r="A6246" s="499">
        <v>45699</v>
      </c>
      <c r="B6246" s="499">
        <v>45700</v>
      </c>
      <c r="C6246" s="500" t="s">
        <v>173</v>
      </c>
      <c r="D6246" s="500" t="s">
        <v>759</v>
      </c>
      <c r="E6246" s="501">
        <v>88061201.959999993</v>
      </c>
      <c r="F6246" s="502" t="s">
        <v>878</v>
      </c>
      <c r="G6246" s="100">
        <v>115921143</v>
      </c>
      <c r="H6246" s="484">
        <v>115921143</v>
      </c>
      <c r="I6246" s="422" t="s">
        <v>705</v>
      </c>
      <c r="J6246" s="484"/>
      <c r="K6246" s="548"/>
      <c r="L6246" s="548"/>
      <c r="M6246" s="548"/>
      <c r="N6246" s="552"/>
    </row>
    <row r="6247" spans="1:14">
      <c r="A6247" s="499">
        <v>45699</v>
      </c>
      <c r="B6247" s="499">
        <v>45700</v>
      </c>
      <c r="C6247" s="500" t="s">
        <v>173</v>
      </c>
      <c r="D6247" s="500" t="s">
        <v>759</v>
      </c>
      <c r="E6247" s="501">
        <v>91083606.569999993</v>
      </c>
      <c r="F6247" s="502" t="s">
        <v>878</v>
      </c>
      <c r="G6247" s="100">
        <v>115921146</v>
      </c>
      <c r="H6247" s="484">
        <v>115921146</v>
      </c>
      <c r="I6247" s="422" t="s">
        <v>823</v>
      </c>
      <c r="J6247" s="484"/>
      <c r="K6247" s="548"/>
      <c r="L6247" s="548"/>
      <c r="M6247" s="548"/>
      <c r="N6247" s="552"/>
    </row>
    <row r="6248" spans="1:14">
      <c r="A6248" s="499">
        <v>45699</v>
      </c>
      <c r="B6248" s="499">
        <v>45700</v>
      </c>
      <c r="C6248" s="500" t="s">
        <v>173</v>
      </c>
      <c r="D6248" s="500" t="s">
        <v>759</v>
      </c>
      <c r="E6248" s="501">
        <v>92084370.329999998</v>
      </c>
      <c r="F6248" s="502" t="s">
        <v>878</v>
      </c>
      <c r="G6248" s="100">
        <v>115921149</v>
      </c>
      <c r="H6248" s="484">
        <v>115921149</v>
      </c>
      <c r="I6248" s="422" t="s">
        <v>711</v>
      </c>
      <c r="J6248" s="484"/>
      <c r="K6248" s="548"/>
      <c r="L6248" s="548"/>
      <c r="M6248" s="548"/>
      <c r="N6248" s="552"/>
    </row>
    <row r="6249" spans="1:14">
      <c r="A6249" s="499">
        <v>45699</v>
      </c>
      <c r="B6249" s="499">
        <v>45700</v>
      </c>
      <c r="C6249" s="500" t="s">
        <v>173</v>
      </c>
      <c r="D6249" s="500" t="s">
        <v>759</v>
      </c>
      <c r="E6249" s="501">
        <v>92084370.329999998</v>
      </c>
      <c r="F6249" s="502" t="s">
        <v>878</v>
      </c>
      <c r="G6249" s="100">
        <v>115921152</v>
      </c>
      <c r="H6249" s="484">
        <v>115921152</v>
      </c>
      <c r="I6249" s="422" t="s">
        <v>711</v>
      </c>
      <c r="J6249" s="484"/>
      <c r="K6249" s="548"/>
      <c r="L6249" s="548"/>
      <c r="M6249" s="548"/>
      <c r="N6249" s="552"/>
    </row>
    <row r="6250" spans="1:14">
      <c r="A6250" s="499">
        <v>45699</v>
      </c>
      <c r="B6250" s="499">
        <v>45700</v>
      </c>
      <c r="C6250" s="500" t="s">
        <v>173</v>
      </c>
      <c r="D6250" s="500" t="s">
        <v>759</v>
      </c>
      <c r="E6250" s="501">
        <v>97124105.25</v>
      </c>
      <c r="F6250" s="502" t="s">
        <v>878</v>
      </c>
      <c r="G6250" s="100">
        <v>115921155</v>
      </c>
      <c r="H6250" s="484">
        <v>115921155</v>
      </c>
      <c r="I6250" s="422" t="s">
        <v>590</v>
      </c>
      <c r="J6250" s="484"/>
      <c r="K6250" s="548"/>
      <c r="L6250" s="548"/>
      <c r="M6250" s="548"/>
      <c r="N6250" s="552"/>
    </row>
    <row r="6251" spans="1:14">
      <c r="A6251" s="499">
        <v>45699</v>
      </c>
      <c r="B6251" s="499">
        <v>45700</v>
      </c>
      <c r="C6251" s="500" t="s">
        <v>173</v>
      </c>
      <c r="D6251" s="500" t="s">
        <v>759</v>
      </c>
      <c r="E6251" s="501">
        <v>97090199.329999998</v>
      </c>
      <c r="F6251" s="502" t="s">
        <v>878</v>
      </c>
      <c r="G6251" s="100">
        <v>115921158</v>
      </c>
      <c r="H6251" s="484">
        <v>115921158</v>
      </c>
      <c r="I6251" s="422" t="s">
        <v>816</v>
      </c>
      <c r="J6251" s="484"/>
      <c r="K6251" s="548"/>
      <c r="L6251" s="548"/>
      <c r="M6251" s="548"/>
      <c r="N6251" s="552"/>
    </row>
    <row r="6252" spans="1:14">
      <c r="A6252" s="499">
        <v>45699</v>
      </c>
      <c r="B6252" s="499">
        <v>45700</v>
      </c>
      <c r="C6252" s="500" t="s">
        <v>173</v>
      </c>
      <c r="D6252" s="500" t="s">
        <v>759</v>
      </c>
      <c r="E6252" s="501">
        <v>98058195.269999996</v>
      </c>
      <c r="F6252" s="502" t="s">
        <v>878</v>
      </c>
      <c r="G6252" s="100">
        <v>115921161</v>
      </c>
      <c r="H6252" s="484">
        <v>115921161</v>
      </c>
      <c r="I6252" s="422" t="s">
        <v>550</v>
      </c>
      <c r="J6252" s="484"/>
      <c r="K6252" s="548"/>
      <c r="L6252" s="548"/>
      <c r="M6252" s="548"/>
      <c r="N6252" s="552"/>
    </row>
    <row r="6253" spans="1:14">
      <c r="A6253" s="499">
        <v>45699</v>
      </c>
      <c r="B6253" s="499">
        <v>45700</v>
      </c>
      <c r="C6253" s="500" t="s">
        <v>173</v>
      </c>
      <c r="D6253" s="500" t="s">
        <v>759</v>
      </c>
      <c r="E6253" s="501">
        <v>115086082.52</v>
      </c>
      <c r="F6253" s="502" t="s">
        <v>878</v>
      </c>
      <c r="G6253" s="100">
        <v>115921171</v>
      </c>
      <c r="H6253" s="484">
        <v>115921171</v>
      </c>
      <c r="I6253" s="422" t="s">
        <v>684</v>
      </c>
      <c r="J6253" s="484"/>
      <c r="K6253" s="548"/>
      <c r="L6253" s="548"/>
      <c r="M6253" s="548"/>
      <c r="N6253" s="552"/>
    </row>
    <row r="6254" spans="1:14">
      <c r="A6254" s="499">
        <v>45699</v>
      </c>
      <c r="B6254" s="499">
        <v>45700</v>
      </c>
      <c r="C6254" s="500" t="s">
        <v>173</v>
      </c>
      <c r="D6254" s="500" t="s">
        <v>759</v>
      </c>
      <c r="E6254" s="501">
        <v>120055405.55</v>
      </c>
      <c r="F6254" s="502" t="s">
        <v>878</v>
      </c>
      <c r="G6254" s="100">
        <v>115921174</v>
      </c>
      <c r="H6254" s="484">
        <v>115921174</v>
      </c>
      <c r="I6254" s="422" t="s">
        <v>709</v>
      </c>
      <c r="J6254" s="484"/>
      <c r="K6254" s="548"/>
      <c r="L6254" s="548"/>
      <c r="M6254" s="548"/>
      <c r="N6254" s="552"/>
    </row>
    <row r="6255" spans="1:14">
      <c r="A6255" s="499">
        <v>45699</v>
      </c>
      <c r="B6255" s="499">
        <v>45700</v>
      </c>
      <c r="C6255" s="500" t="s">
        <v>173</v>
      </c>
      <c r="D6255" s="500" t="s">
        <v>759</v>
      </c>
      <c r="E6255" s="501">
        <v>120118137.66</v>
      </c>
      <c r="F6255" s="502" t="s">
        <v>878</v>
      </c>
      <c r="G6255" s="100">
        <v>115921177</v>
      </c>
      <c r="H6255" s="484">
        <v>115921177</v>
      </c>
      <c r="I6255" s="422" t="s">
        <v>817</v>
      </c>
      <c r="J6255" s="484"/>
      <c r="K6255" s="548"/>
      <c r="L6255" s="548"/>
      <c r="M6255" s="548"/>
      <c r="N6255" s="552"/>
    </row>
    <row r="6256" spans="1:14">
      <c r="A6256" s="499">
        <v>45699</v>
      </c>
      <c r="B6256" s="499">
        <v>45700</v>
      </c>
      <c r="C6256" s="500" t="s">
        <v>173</v>
      </c>
      <c r="D6256" s="500" t="s">
        <v>759</v>
      </c>
      <c r="E6256" s="501">
        <v>125161700.92</v>
      </c>
      <c r="F6256" s="502" t="s">
        <v>878</v>
      </c>
      <c r="G6256" s="100">
        <v>115921180</v>
      </c>
      <c r="H6256" s="484">
        <v>115921180</v>
      </c>
      <c r="I6256" s="422" t="s">
        <v>824</v>
      </c>
      <c r="J6256" s="484"/>
      <c r="K6256" s="548"/>
      <c r="L6256" s="548"/>
      <c r="M6256" s="548"/>
      <c r="N6256" s="552"/>
    </row>
    <row r="6257" spans="1:25">
      <c r="A6257" s="499">
        <v>45699</v>
      </c>
      <c r="B6257" s="499">
        <v>45700</v>
      </c>
      <c r="C6257" s="500" t="s">
        <v>173</v>
      </c>
      <c r="D6257" s="500" t="s">
        <v>759</v>
      </c>
      <c r="E6257" s="501">
        <v>136157272.59</v>
      </c>
      <c r="F6257" s="502" t="s">
        <v>878</v>
      </c>
      <c r="G6257" s="100">
        <v>115921198</v>
      </c>
      <c r="H6257" s="484">
        <v>115921198</v>
      </c>
      <c r="I6257" s="422" t="s">
        <v>675</v>
      </c>
      <c r="J6257" s="484"/>
      <c r="K6257" s="548"/>
      <c r="L6257" s="548"/>
      <c r="M6257" s="548"/>
      <c r="N6257" s="552"/>
    </row>
    <row r="6258" spans="1:25">
      <c r="A6258" s="499">
        <v>45699</v>
      </c>
      <c r="B6258" s="499">
        <v>45700</v>
      </c>
      <c r="C6258" s="500" t="s">
        <v>173</v>
      </c>
      <c r="D6258" s="500" t="s">
        <v>759</v>
      </c>
      <c r="E6258" s="501">
        <v>146145136.33000001</v>
      </c>
      <c r="F6258" s="502" t="s">
        <v>878</v>
      </c>
      <c r="G6258" s="100">
        <v>115921201</v>
      </c>
      <c r="H6258" s="484">
        <v>115921201</v>
      </c>
      <c r="I6258" s="422" t="s">
        <v>600</v>
      </c>
      <c r="J6258" s="484"/>
      <c r="K6258" s="548"/>
      <c r="L6258" s="548"/>
      <c r="M6258" s="548"/>
      <c r="N6258" s="552"/>
    </row>
    <row r="6259" spans="1:25">
      <c r="A6259" s="499">
        <v>45699</v>
      </c>
      <c r="B6259" s="499">
        <v>45700</v>
      </c>
      <c r="C6259" s="500" t="s">
        <v>173</v>
      </c>
      <c r="D6259" s="500" t="s">
        <v>759</v>
      </c>
      <c r="E6259" s="501">
        <v>162144843.28999999</v>
      </c>
      <c r="F6259" s="502" t="s">
        <v>878</v>
      </c>
      <c r="G6259" s="100">
        <v>115921204</v>
      </c>
      <c r="H6259" s="484">
        <v>115921204</v>
      </c>
      <c r="I6259" s="422" t="s">
        <v>602</v>
      </c>
      <c r="J6259" s="484"/>
      <c r="K6259" s="548"/>
      <c r="L6259" s="548"/>
      <c r="M6259" s="548"/>
      <c r="N6259" s="552"/>
    </row>
    <row r="6260" spans="1:25">
      <c r="A6260" s="499">
        <v>45699</v>
      </c>
      <c r="B6260" s="499">
        <v>45700</v>
      </c>
      <c r="C6260" s="500" t="s">
        <v>173</v>
      </c>
      <c r="D6260" s="500" t="s">
        <v>759</v>
      </c>
      <c r="E6260" s="501">
        <v>135101053.38999999</v>
      </c>
      <c r="F6260" s="502" t="s">
        <v>878</v>
      </c>
      <c r="G6260" s="100">
        <v>115921355</v>
      </c>
      <c r="H6260" s="484">
        <v>115921355</v>
      </c>
      <c r="I6260" s="422" t="s">
        <v>684</v>
      </c>
      <c r="J6260" s="484"/>
      <c r="K6260" s="548"/>
      <c r="L6260" s="548"/>
      <c r="M6260" s="548"/>
      <c r="N6260" s="552"/>
    </row>
    <row r="6261" spans="1:25">
      <c r="A6261" s="499">
        <v>45699</v>
      </c>
      <c r="B6261" s="499">
        <v>45700</v>
      </c>
      <c r="C6261" s="500" t="s">
        <v>173</v>
      </c>
      <c r="D6261" s="500" t="s">
        <v>759</v>
      </c>
      <c r="E6261" s="501">
        <v>9004934.9900000002</v>
      </c>
      <c r="F6261" s="502" t="s">
        <v>878</v>
      </c>
      <c r="G6261" s="100">
        <v>115930072</v>
      </c>
      <c r="H6261" s="484">
        <v>115930072</v>
      </c>
      <c r="I6261" s="422" t="s">
        <v>633</v>
      </c>
      <c r="J6261" s="484"/>
      <c r="K6261" s="548"/>
      <c r="L6261" s="548"/>
      <c r="M6261" s="548"/>
      <c r="N6261" s="552"/>
    </row>
    <row r="6262" spans="1:25">
      <c r="A6262" s="499">
        <v>45699</v>
      </c>
      <c r="B6262" s="499">
        <v>45699</v>
      </c>
      <c r="C6262" s="500" t="s">
        <v>173</v>
      </c>
      <c r="D6262" s="500" t="s">
        <v>761</v>
      </c>
      <c r="E6262" s="501">
        <v>26100000</v>
      </c>
      <c r="F6262" s="502" t="s">
        <v>381</v>
      </c>
      <c r="G6262" s="100" t="s">
        <v>94</v>
      </c>
      <c r="H6262" s="530"/>
      <c r="I6262" s="422"/>
      <c r="K6262" s="548"/>
      <c r="L6262" s="548"/>
      <c r="M6262" s="548"/>
      <c r="N6262" s="552"/>
    </row>
    <row r="6263" spans="1:25">
      <c r="A6263" s="499">
        <v>45699</v>
      </c>
      <c r="B6263" s="499">
        <v>45699</v>
      </c>
      <c r="C6263" s="500" t="s">
        <v>173</v>
      </c>
      <c r="D6263" s="500" t="s">
        <v>761</v>
      </c>
      <c r="E6263" s="501">
        <v>17400000</v>
      </c>
      <c r="F6263" s="502" t="s">
        <v>381</v>
      </c>
      <c r="G6263" s="100" t="s">
        <v>94</v>
      </c>
      <c r="H6263" s="530"/>
      <c r="I6263" s="422"/>
      <c r="K6263" s="548"/>
      <c r="L6263" s="548"/>
      <c r="M6263" s="548"/>
      <c r="N6263" s="552"/>
    </row>
    <row r="6264" spans="1:25">
      <c r="A6264" s="499">
        <v>45700</v>
      </c>
      <c r="B6264" s="499">
        <v>45700</v>
      </c>
      <c r="C6264" s="500" t="s">
        <v>173</v>
      </c>
      <c r="D6264" s="500" t="s">
        <v>761</v>
      </c>
      <c r="E6264" s="501">
        <v>-501001960.91000003</v>
      </c>
      <c r="F6264" s="502" t="s">
        <v>878</v>
      </c>
      <c r="G6264" s="100">
        <v>115943403</v>
      </c>
      <c r="H6264" s="530"/>
      <c r="I6264" s="422" t="s">
        <v>602</v>
      </c>
      <c r="J6264" s="484"/>
      <c r="K6264" s="548"/>
      <c r="L6264" s="548"/>
      <c r="M6264" s="548"/>
      <c r="N6264" s="552"/>
    </row>
    <row r="6265" spans="1:25">
      <c r="A6265" s="499">
        <v>45700</v>
      </c>
      <c r="B6265" s="499">
        <v>45700</v>
      </c>
      <c r="C6265" s="500" t="s">
        <v>173</v>
      </c>
      <c r="D6265" s="500" t="s">
        <v>761</v>
      </c>
      <c r="E6265" s="501">
        <v>-2489213506.4200001</v>
      </c>
      <c r="F6265" s="502" t="s">
        <v>878</v>
      </c>
      <c r="G6265" s="100">
        <v>115943903</v>
      </c>
      <c r="H6265" s="530"/>
      <c r="I6265" s="422" t="s">
        <v>707</v>
      </c>
      <c r="J6265" s="484"/>
      <c r="K6265" s="548"/>
      <c r="L6265" s="548"/>
      <c r="M6265" s="548"/>
      <c r="N6265" s="552"/>
    </row>
    <row r="6266" spans="1:25">
      <c r="A6266" s="499">
        <v>45700</v>
      </c>
      <c r="B6266" s="499">
        <v>45700</v>
      </c>
      <c r="C6266" s="500" t="s">
        <v>173</v>
      </c>
      <c r="D6266" s="500" t="s">
        <v>761</v>
      </c>
      <c r="E6266" s="501">
        <v>-13006170.74</v>
      </c>
      <c r="F6266" s="502" t="s">
        <v>878</v>
      </c>
      <c r="G6266" s="100">
        <v>115944034</v>
      </c>
      <c r="H6266" s="530"/>
      <c r="I6266" s="422" t="s">
        <v>633</v>
      </c>
      <c r="J6266" s="484"/>
      <c r="K6266" s="548"/>
      <c r="L6266" s="548"/>
      <c r="M6266" s="548"/>
      <c r="N6266" s="552"/>
    </row>
    <row r="6267" spans="1:25">
      <c r="A6267" s="499">
        <v>45700</v>
      </c>
      <c r="B6267" s="499">
        <v>45701</v>
      </c>
      <c r="C6267" s="500" t="s">
        <v>173</v>
      </c>
      <c r="D6267" s="500" t="s">
        <v>761</v>
      </c>
      <c r="E6267" s="501">
        <v>501207028.56</v>
      </c>
      <c r="F6267" s="502" t="s">
        <v>878</v>
      </c>
      <c r="G6267" s="100">
        <v>115943403</v>
      </c>
      <c r="H6267" s="484">
        <v>115943403</v>
      </c>
      <c r="I6267" s="422" t="s">
        <v>602</v>
      </c>
      <c r="J6267" s="484"/>
      <c r="K6267" s="548"/>
      <c r="L6267" s="548"/>
      <c r="M6267" s="548"/>
      <c r="N6267" s="552"/>
    </row>
    <row r="6268" spans="1:25">
      <c r="A6268" s="499">
        <v>45700</v>
      </c>
      <c r="B6268" s="499">
        <v>45707</v>
      </c>
      <c r="C6268" s="500" t="s">
        <v>173</v>
      </c>
      <c r="D6268" s="500" t="s">
        <v>761</v>
      </c>
      <c r="E6268" s="501">
        <v>2496421995.9400001</v>
      </c>
      <c r="F6268" s="502" t="s">
        <v>878</v>
      </c>
      <c r="G6268" s="100">
        <v>115943903</v>
      </c>
      <c r="H6268" s="484">
        <v>115943903</v>
      </c>
      <c r="I6268" s="422" t="s">
        <v>707</v>
      </c>
      <c r="J6268" s="484"/>
      <c r="K6268" s="548"/>
      <c r="L6268" s="548"/>
      <c r="M6268" s="548"/>
      <c r="N6268" s="552"/>
    </row>
    <row r="6269" spans="1:25">
      <c r="A6269" s="499">
        <v>45700</v>
      </c>
      <c r="B6269" s="499">
        <v>45701</v>
      </c>
      <c r="C6269" s="500" t="s">
        <v>173</v>
      </c>
      <c r="D6269" s="500" t="s">
        <v>761</v>
      </c>
      <c r="E6269" s="501">
        <v>13011494.359999999</v>
      </c>
      <c r="F6269" s="502" t="s">
        <v>878</v>
      </c>
      <c r="G6269" s="100">
        <v>115944034</v>
      </c>
      <c r="H6269" s="484">
        <v>115944034</v>
      </c>
      <c r="I6269" s="422" t="s">
        <v>633</v>
      </c>
      <c r="J6269" s="484"/>
      <c r="K6269" s="548"/>
      <c r="L6269" s="548"/>
      <c r="M6269" s="548"/>
      <c r="N6269" s="552"/>
    </row>
    <row r="6270" spans="1:25" ht="15">
      <c r="A6270" s="499">
        <v>45700</v>
      </c>
      <c r="B6270" s="499">
        <v>45702</v>
      </c>
      <c r="C6270" s="500" t="s">
        <v>173</v>
      </c>
      <c r="D6270" s="500" t="s">
        <v>761</v>
      </c>
      <c r="E6270" s="501">
        <v>-189028233.33000001</v>
      </c>
      <c r="F6270" s="502" t="s">
        <v>906</v>
      </c>
      <c r="G6270" s="100" t="s">
        <v>78</v>
      </c>
      <c r="H6270" s="530"/>
      <c r="I6270" s="526" t="s">
        <v>705</v>
      </c>
      <c r="K6270" s="548">
        <v>115948091</v>
      </c>
      <c r="L6270" s="549">
        <v>79.227999999999994</v>
      </c>
      <c r="M6270" s="549">
        <f>E6270*(-1)/(N6270*O6270)*100</f>
        <v>83.089333331868147</v>
      </c>
      <c r="N6270" s="549">
        <v>227500</v>
      </c>
      <c r="O6270" s="539">
        <f>VLOOKUP(G6270,Справочник!A:J,10,0)</f>
        <v>1000</v>
      </c>
      <c r="T6270" s="554">
        <v>14.2</v>
      </c>
      <c r="U6270" s="554">
        <v>9451.41</v>
      </c>
      <c r="V6270" s="554">
        <v>18902.82</v>
      </c>
      <c r="W6270" s="550">
        <f>VLOOKUP(G6270,Справочник!A:C,3,0)</f>
        <v>7.6799999999999993E-2</v>
      </c>
      <c r="X6270" s="539" t="str">
        <f>VLOOKUP(G6270,Справочник!A:G,7,0)</f>
        <v>Министерство финансов Республики Казахстан</v>
      </c>
      <c r="Y6270" s="551" t="str">
        <f>VLOOKUP(G6270,Справочник!A:B,2,0)</f>
        <v>13.08.2029</v>
      </c>
    </row>
    <row r="6271" spans="1:25">
      <c r="A6271" s="499">
        <v>45700</v>
      </c>
      <c r="B6271" s="499">
        <v>45700</v>
      </c>
      <c r="C6271" s="500" t="s">
        <v>173</v>
      </c>
      <c r="D6271" s="500" t="s">
        <v>759</v>
      </c>
      <c r="E6271" s="501">
        <v>-2001909636</v>
      </c>
      <c r="F6271" s="502" t="s">
        <v>878</v>
      </c>
      <c r="G6271" s="100">
        <v>115943850</v>
      </c>
      <c r="H6271" s="530"/>
      <c r="I6271" s="422" t="s">
        <v>689</v>
      </c>
      <c r="J6271" s="484"/>
      <c r="K6271" s="548"/>
      <c r="L6271" s="548"/>
      <c r="M6271" s="548"/>
      <c r="N6271" s="552"/>
    </row>
    <row r="6272" spans="1:25">
      <c r="A6272" s="499">
        <v>45700</v>
      </c>
      <c r="B6272" s="499">
        <v>45700</v>
      </c>
      <c r="C6272" s="500" t="s">
        <v>173</v>
      </c>
      <c r="D6272" s="500" t="s">
        <v>759</v>
      </c>
      <c r="E6272" s="501">
        <v>-703671237.04999995</v>
      </c>
      <c r="F6272" s="502" t="s">
        <v>878</v>
      </c>
      <c r="G6272" s="100">
        <v>115944022</v>
      </c>
      <c r="H6272" s="530"/>
      <c r="I6272" s="422" t="s">
        <v>689</v>
      </c>
      <c r="J6272" s="484"/>
      <c r="K6272" s="548"/>
      <c r="L6272" s="548"/>
      <c r="M6272" s="548"/>
      <c r="N6272" s="552"/>
    </row>
    <row r="6273" spans="1:14">
      <c r="A6273" s="499">
        <v>45700</v>
      </c>
      <c r="B6273" s="499">
        <v>45700</v>
      </c>
      <c r="C6273" s="500" t="s">
        <v>173</v>
      </c>
      <c r="D6273" s="500" t="s">
        <v>759</v>
      </c>
      <c r="E6273" s="501">
        <v>-3925142430.4000001</v>
      </c>
      <c r="F6273" s="502" t="s">
        <v>878</v>
      </c>
      <c r="G6273" s="100">
        <v>115944231</v>
      </c>
      <c r="H6273" s="530"/>
      <c r="I6273" s="422" t="s">
        <v>701</v>
      </c>
      <c r="J6273" s="484"/>
      <c r="K6273" s="548"/>
      <c r="L6273" s="548"/>
      <c r="M6273" s="548"/>
      <c r="N6273" s="552"/>
    </row>
    <row r="6274" spans="1:14">
      <c r="A6274" s="499">
        <v>45700</v>
      </c>
      <c r="B6274" s="499">
        <v>45700</v>
      </c>
      <c r="C6274" s="500" t="s">
        <v>173</v>
      </c>
      <c r="D6274" s="500" t="s">
        <v>759</v>
      </c>
      <c r="E6274" s="501">
        <v>-20005698.399999999</v>
      </c>
      <c r="F6274" s="502" t="s">
        <v>878</v>
      </c>
      <c r="G6274" s="100">
        <v>115944517</v>
      </c>
      <c r="H6274" s="530"/>
      <c r="I6274" s="422" t="s">
        <v>682</v>
      </c>
      <c r="J6274" s="484"/>
      <c r="K6274" s="548"/>
      <c r="L6274" s="548"/>
      <c r="M6274" s="548"/>
      <c r="N6274" s="552"/>
    </row>
    <row r="6275" spans="1:14">
      <c r="A6275" s="499">
        <v>45700</v>
      </c>
      <c r="B6275" s="499">
        <v>45701</v>
      </c>
      <c r="C6275" s="500" t="s">
        <v>173</v>
      </c>
      <c r="D6275" s="500" t="s">
        <v>759</v>
      </c>
      <c r="E6275" s="501">
        <v>2002729568.8199999</v>
      </c>
      <c r="F6275" s="502" t="s">
        <v>878</v>
      </c>
      <c r="G6275" s="100">
        <v>115943850</v>
      </c>
      <c r="H6275" s="484">
        <v>115943850</v>
      </c>
      <c r="I6275" s="422" t="s">
        <v>689</v>
      </c>
      <c r="J6275" s="484"/>
      <c r="K6275" s="548"/>
      <c r="L6275" s="548"/>
      <c r="M6275" s="548"/>
      <c r="N6275" s="552"/>
    </row>
    <row r="6276" spans="1:14">
      <c r="A6276" s="499">
        <v>45700</v>
      </c>
      <c r="B6276" s="499">
        <v>45707</v>
      </c>
      <c r="C6276" s="500" t="s">
        <v>173</v>
      </c>
      <c r="D6276" s="500" t="s">
        <v>759</v>
      </c>
      <c r="E6276" s="501">
        <v>705708991.84000003</v>
      </c>
      <c r="F6276" s="502" t="s">
        <v>878</v>
      </c>
      <c r="G6276" s="100">
        <v>115944022</v>
      </c>
      <c r="H6276" s="484">
        <v>115944022</v>
      </c>
      <c r="I6276" s="422" t="s">
        <v>689</v>
      </c>
      <c r="J6276" s="484"/>
      <c r="K6276" s="548"/>
      <c r="L6276" s="548"/>
      <c r="M6276" s="548"/>
      <c r="N6276" s="552"/>
    </row>
    <row r="6277" spans="1:14">
      <c r="A6277" s="499">
        <v>45700</v>
      </c>
      <c r="B6277" s="499">
        <v>45707</v>
      </c>
      <c r="C6277" s="500" t="s">
        <v>173</v>
      </c>
      <c r="D6277" s="500" t="s">
        <v>759</v>
      </c>
      <c r="E6277" s="501">
        <v>3936509212.73</v>
      </c>
      <c r="F6277" s="502" t="s">
        <v>878</v>
      </c>
      <c r="G6277" s="100">
        <v>115944231</v>
      </c>
      <c r="H6277" s="484">
        <v>115944231</v>
      </c>
      <c r="I6277" s="422" t="s">
        <v>701</v>
      </c>
      <c r="J6277" s="484"/>
      <c r="K6277" s="548"/>
      <c r="L6277" s="548"/>
      <c r="M6277" s="548"/>
      <c r="N6277" s="552"/>
    </row>
    <row r="6278" spans="1:14">
      <c r="A6278" s="499">
        <v>45700</v>
      </c>
      <c r="B6278" s="499">
        <v>45707</v>
      </c>
      <c r="C6278" s="500" t="s">
        <v>173</v>
      </c>
      <c r="D6278" s="500" t="s">
        <v>759</v>
      </c>
      <c r="E6278" s="501">
        <v>20063249.420000002</v>
      </c>
      <c r="F6278" s="502" t="s">
        <v>878</v>
      </c>
      <c r="G6278" s="100">
        <v>115944517</v>
      </c>
      <c r="H6278" s="484">
        <v>115944517</v>
      </c>
      <c r="I6278" s="422" t="s">
        <v>682</v>
      </c>
      <c r="J6278" s="484"/>
      <c r="K6278" s="548"/>
      <c r="L6278" s="548"/>
      <c r="M6278" s="548"/>
      <c r="N6278" s="552"/>
    </row>
    <row r="6279" spans="1:14">
      <c r="A6279" s="499">
        <v>45700</v>
      </c>
      <c r="B6279" s="499">
        <v>45700</v>
      </c>
      <c r="C6279" s="500" t="s">
        <v>173</v>
      </c>
      <c r="D6279" s="500" t="s">
        <v>764</v>
      </c>
      <c r="E6279" s="501">
        <v>-2304977360.4099998</v>
      </c>
      <c r="F6279" s="502" t="s">
        <v>878</v>
      </c>
      <c r="G6279" s="100">
        <v>115947311</v>
      </c>
      <c r="H6279" s="530"/>
      <c r="I6279" s="422" t="s">
        <v>680</v>
      </c>
      <c r="J6279" s="484"/>
      <c r="K6279" s="548"/>
      <c r="L6279" s="548"/>
      <c r="M6279" s="548"/>
      <c r="N6279" s="552"/>
    </row>
    <row r="6280" spans="1:14">
      <c r="A6280" s="499">
        <v>45700</v>
      </c>
      <c r="B6280" s="499">
        <v>45700</v>
      </c>
      <c r="C6280" s="500" t="s">
        <v>173</v>
      </c>
      <c r="D6280" s="500" t="s">
        <v>764</v>
      </c>
      <c r="E6280" s="501">
        <v>-9007727.4199999999</v>
      </c>
      <c r="F6280" s="502" t="s">
        <v>878</v>
      </c>
      <c r="G6280" s="100">
        <v>115947326</v>
      </c>
      <c r="H6280" s="530"/>
      <c r="I6280" s="422" t="s">
        <v>680</v>
      </c>
      <c r="J6280" s="484"/>
      <c r="K6280" s="548"/>
      <c r="L6280" s="548"/>
      <c r="M6280" s="548"/>
      <c r="N6280" s="552"/>
    </row>
    <row r="6281" spans="1:14">
      <c r="A6281" s="499">
        <v>45700</v>
      </c>
      <c r="B6281" s="499">
        <v>45707</v>
      </c>
      <c r="C6281" s="500" t="s">
        <v>173</v>
      </c>
      <c r="D6281" s="500" t="s">
        <v>764</v>
      </c>
      <c r="E6281" s="501">
        <v>2311608117.1999998</v>
      </c>
      <c r="F6281" s="502" t="s">
        <v>878</v>
      </c>
      <c r="G6281" s="100">
        <v>115947311</v>
      </c>
      <c r="H6281" s="484">
        <v>115947311</v>
      </c>
      <c r="I6281" s="422" t="s">
        <v>680</v>
      </c>
      <c r="J6281" s="484"/>
      <c r="K6281" s="548"/>
      <c r="L6281" s="548"/>
      <c r="M6281" s="548"/>
      <c r="N6281" s="552"/>
    </row>
    <row r="6282" spans="1:14">
      <c r="A6282" s="499">
        <v>45700</v>
      </c>
      <c r="B6282" s="499">
        <v>45707</v>
      </c>
      <c r="C6282" s="500" t="s">
        <v>173</v>
      </c>
      <c r="D6282" s="500" t="s">
        <v>764</v>
      </c>
      <c r="E6282" s="501">
        <v>9033640.0600000005</v>
      </c>
      <c r="F6282" s="502" t="s">
        <v>878</v>
      </c>
      <c r="G6282" s="100">
        <v>115947326</v>
      </c>
      <c r="H6282" s="484">
        <v>115947326</v>
      </c>
      <c r="I6282" s="422" t="s">
        <v>680</v>
      </c>
      <c r="J6282" s="484"/>
      <c r="K6282" s="548"/>
      <c r="L6282" s="548"/>
      <c r="M6282" s="548"/>
      <c r="N6282" s="552"/>
    </row>
    <row r="6283" spans="1:14">
      <c r="A6283" s="499">
        <v>45700</v>
      </c>
      <c r="B6283" s="499">
        <v>45700</v>
      </c>
      <c r="C6283" s="500" t="s">
        <v>173</v>
      </c>
      <c r="D6283" s="500" t="s">
        <v>763</v>
      </c>
      <c r="E6283" s="501">
        <v>-4955290734.6300001</v>
      </c>
      <c r="F6283" s="502" t="s">
        <v>878</v>
      </c>
      <c r="G6283" s="100">
        <v>115945142</v>
      </c>
      <c r="H6283" s="530"/>
      <c r="I6283" s="422" t="s">
        <v>657</v>
      </c>
      <c r="J6283" s="484"/>
      <c r="K6283" s="548"/>
      <c r="L6283" s="548"/>
      <c r="M6283" s="548"/>
      <c r="N6283" s="552"/>
    </row>
    <row r="6284" spans="1:14">
      <c r="A6284" s="499">
        <v>45700</v>
      </c>
      <c r="B6284" s="499">
        <v>45700</v>
      </c>
      <c r="C6284" s="500" t="s">
        <v>173</v>
      </c>
      <c r="D6284" s="500" t="s">
        <v>763</v>
      </c>
      <c r="E6284" s="501">
        <v>-1043495083.42</v>
      </c>
      <c r="F6284" s="502" t="s">
        <v>878</v>
      </c>
      <c r="G6284" s="100">
        <v>115945145</v>
      </c>
      <c r="H6284" s="530"/>
      <c r="I6284" s="422" t="s">
        <v>633</v>
      </c>
      <c r="J6284" s="484"/>
      <c r="K6284" s="548"/>
      <c r="L6284" s="548"/>
      <c r="M6284" s="548"/>
      <c r="N6284" s="552"/>
    </row>
    <row r="6285" spans="1:14">
      <c r="A6285" s="499">
        <v>45700</v>
      </c>
      <c r="B6285" s="499">
        <v>45700</v>
      </c>
      <c r="C6285" s="500" t="s">
        <v>173</v>
      </c>
      <c r="D6285" s="500" t="s">
        <v>763</v>
      </c>
      <c r="E6285" s="501">
        <v>-27001584.23</v>
      </c>
      <c r="F6285" s="502" t="s">
        <v>878</v>
      </c>
      <c r="G6285" s="100">
        <v>115945162</v>
      </c>
      <c r="H6285" s="530"/>
      <c r="I6285" s="422" t="s">
        <v>657</v>
      </c>
      <c r="J6285" s="484"/>
      <c r="K6285" s="548"/>
      <c r="L6285" s="548"/>
      <c r="M6285" s="548"/>
      <c r="N6285" s="552"/>
    </row>
    <row r="6286" spans="1:14">
      <c r="A6286" s="499">
        <v>45700</v>
      </c>
      <c r="B6286" s="499">
        <v>45701</v>
      </c>
      <c r="C6286" s="500" t="s">
        <v>173</v>
      </c>
      <c r="D6286" s="500" t="s">
        <v>763</v>
      </c>
      <c r="E6286" s="501">
        <v>4957272986.6899996</v>
      </c>
      <c r="F6286" s="502" t="s">
        <v>878</v>
      </c>
      <c r="G6286" s="100">
        <v>115945142</v>
      </c>
      <c r="H6286" s="484">
        <v>115945142</v>
      </c>
      <c r="I6286" s="422" t="s">
        <v>657</v>
      </c>
      <c r="J6286" s="484"/>
      <c r="K6286" s="548"/>
      <c r="L6286" s="548"/>
      <c r="M6286" s="548"/>
      <c r="N6286" s="552"/>
    </row>
    <row r="6287" spans="1:14">
      <c r="A6287" s="499">
        <v>45700</v>
      </c>
      <c r="B6287" s="499">
        <v>45701</v>
      </c>
      <c r="C6287" s="500" t="s">
        <v>173</v>
      </c>
      <c r="D6287" s="500" t="s">
        <v>763</v>
      </c>
      <c r="E6287" s="501">
        <v>1043912484.3099999</v>
      </c>
      <c r="F6287" s="502" t="s">
        <v>878</v>
      </c>
      <c r="G6287" s="100">
        <v>115945145</v>
      </c>
      <c r="H6287" s="484">
        <v>115945145</v>
      </c>
      <c r="I6287" s="422" t="s">
        <v>633</v>
      </c>
      <c r="J6287" s="484"/>
      <c r="K6287" s="548"/>
      <c r="L6287" s="548"/>
      <c r="M6287" s="548"/>
      <c r="N6287" s="552"/>
    </row>
    <row r="6288" spans="1:14">
      <c r="A6288" s="499">
        <v>45700</v>
      </c>
      <c r="B6288" s="499">
        <v>45701</v>
      </c>
      <c r="C6288" s="500" t="s">
        <v>173</v>
      </c>
      <c r="D6288" s="500" t="s">
        <v>763</v>
      </c>
      <c r="E6288" s="501">
        <v>27012385.600000001</v>
      </c>
      <c r="F6288" s="502" t="s">
        <v>878</v>
      </c>
      <c r="G6288" s="100">
        <v>115945162</v>
      </c>
      <c r="H6288" s="484">
        <v>115945162</v>
      </c>
      <c r="I6288" s="422" t="s">
        <v>657</v>
      </c>
      <c r="J6288" s="484"/>
      <c r="K6288" s="548"/>
      <c r="L6288" s="548"/>
      <c r="M6288" s="548"/>
      <c r="N6288" s="552"/>
    </row>
    <row r="6289" spans="1:14">
      <c r="A6289" s="499">
        <v>45701</v>
      </c>
      <c r="B6289" s="499">
        <v>45701</v>
      </c>
      <c r="C6289" s="500" t="s">
        <v>173</v>
      </c>
      <c r="D6289" s="500" t="s">
        <v>762</v>
      </c>
      <c r="E6289" s="501">
        <v>-5271113748.6300001</v>
      </c>
      <c r="F6289" s="502" t="s">
        <v>878</v>
      </c>
      <c r="G6289" s="100">
        <v>115967478</v>
      </c>
      <c r="H6289" s="530"/>
      <c r="I6289" s="422" t="s">
        <v>633</v>
      </c>
      <c r="J6289" s="484"/>
      <c r="K6289" s="548"/>
      <c r="L6289" s="548"/>
      <c r="M6289" s="548"/>
      <c r="N6289" s="552"/>
    </row>
    <row r="6290" spans="1:14">
      <c r="A6290" s="499">
        <v>45701</v>
      </c>
      <c r="B6290" s="499">
        <v>45701</v>
      </c>
      <c r="C6290" s="500" t="s">
        <v>173</v>
      </c>
      <c r="D6290" s="500" t="s">
        <v>762</v>
      </c>
      <c r="E6290" s="501">
        <v>-23004860.760000002</v>
      </c>
      <c r="F6290" s="502" t="s">
        <v>878</v>
      </c>
      <c r="G6290" s="100">
        <v>115967544</v>
      </c>
      <c r="H6290" s="530"/>
      <c r="I6290" s="422" t="s">
        <v>633</v>
      </c>
      <c r="J6290" s="484"/>
      <c r="K6290" s="548"/>
      <c r="L6290" s="548"/>
      <c r="M6290" s="548"/>
      <c r="N6290" s="552"/>
    </row>
    <row r="6291" spans="1:14">
      <c r="A6291" s="499">
        <v>45701</v>
      </c>
      <c r="B6291" s="499">
        <v>45702</v>
      </c>
      <c r="C6291" s="500" t="s">
        <v>173</v>
      </c>
      <c r="D6291" s="500" t="s">
        <v>762</v>
      </c>
      <c r="E6291" s="501">
        <v>5273236664.4200001</v>
      </c>
      <c r="F6291" s="502" t="s">
        <v>878</v>
      </c>
      <c r="G6291" s="100">
        <v>115967478</v>
      </c>
      <c r="H6291" s="100">
        <v>115967478</v>
      </c>
      <c r="I6291" s="422" t="s">
        <v>633</v>
      </c>
      <c r="J6291" s="484"/>
      <c r="K6291" s="548"/>
      <c r="L6291" s="548"/>
      <c r="M6291" s="548"/>
      <c r="N6291" s="552"/>
    </row>
    <row r="6292" spans="1:14">
      <c r="A6292" s="499">
        <v>45701</v>
      </c>
      <c r="B6292" s="499">
        <v>45702</v>
      </c>
      <c r="C6292" s="500" t="s">
        <v>173</v>
      </c>
      <c r="D6292" s="500" t="s">
        <v>762</v>
      </c>
      <c r="E6292" s="501">
        <v>23014125.859999999</v>
      </c>
      <c r="F6292" s="502" t="s">
        <v>878</v>
      </c>
      <c r="G6292" s="100">
        <v>115967544</v>
      </c>
      <c r="H6292" s="100">
        <v>115967544</v>
      </c>
      <c r="I6292" s="422" t="s">
        <v>633</v>
      </c>
      <c r="J6292" s="484"/>
      <c r="K6292" s="548"/>
      <c r="L6292" s="548"/>
      <c r="M6292" s="548"/>
      <c r="N6292" s="552"/>
    </row>
    <row r="6293" spans="1:14">
      <c r="A6293" s="499">
        <v>45701</v>
      </c>
      <c r="B6293" s="499">
        <v>45701</v>
      </c>
      <c r="C6293" s="500" t="s">
        <v>173</v>
      </c>
      <c r="D6293" s="500" t="s">
        <v>761</v>
      </c>
      <c r="E6293" s="501">
        <v>-961281227.03999996</v>
      </c>
      <c r="F6293" s="502" t="s">
        <v>878</v>
      </c>
      <c r="G6293" s="100">
        <v>115966825</v>
      </c>
      <c r="H6293" s="530"/>
      <c r="I6293" s="422" t="s">
        <v>719</v>
      </c>
      <c r="J6293" s="484"/>
      <c r="K6293" s="548"/>
      <c r="L6293" s="548"/>
      <c r="M6293" s="548"/>
      <c r="N6293" s="552"/>
    </row>
    <row r="6294" spans="1:14">
      <c r="A6294" s="499">
        <v>45701</v>
      </c>
      <c r="B6294" s="499">
        <v>45701</v>
      </c>
      <c r="C6294" s="500" t="s">
        <v>173</v>
      </c>
      <c r="D6294" s="500" t="s">
        <v>761</v>
      </c>
      <c r="E6294" s="501">
        <v>-4000845.35</v>
      </c>
      <c r="F6294" s="502" t="s">
        <v>878</v>
      </c>
      <c r="G6294" s="100">
        <v>115967203</v>
      </c>
      <c r="H6294" s="530"/>
      <c r="I6294" s="422" t="s">
        <v>633</v>
      </c>
      <c r="J6294" s="484"/>
      <c r="K6294" s="548"/>
      <c r="L6294" s="548"/>
      <c r="M6294" s="548"/>
      <c r="N6294" s="552"/>
    </row>
    <row r="6295" spans="1:14">
      <c r="A6295" s="499">
        <v>45701</v>
      </c>
      <c r="B6295" s="499">
        <v>45702</v>
      </c>
      <c r="C6295" s="500" t="s">
        <v>173</v>
      </c>
      <c r="D6295" s="500" t="s">
        <v>761</v>
      </c>
      <c r="E6295" s="501">
        <v>961672323.64999998</v>
      </c>
      <c r="F6295" s="502" t="s">
        <v>878</v>
      </c>
      <c r="G6295" s="100">
        <v>115966825</v>
      </c>
      <c r="H6295" s="484">
        <v>115966825</v>
      </c>
      <c r="I6295" s="422" t="s">
        <v>719</v>
      </c>
      <c r="J6295" s="484"/>
      <c r="K6295" s="548"/>
      <c r="L6295" s="548"/>
      <c r="M6295" s="548"/>
      <c r="N6295" s="552"/>
    </row>
    <row r="6296" spans="1:14">
      <c r="A6296" s="499">
        <v>45701</v>
      </c>
      <c r="B6296" s="499">
        <v>45702</v>
      </c>
      <c r="C6296" s="500" t="s">
        <v>173</v>
      </c>
      <c r="D6296" s="500" t="s">
        <v>761</v>
      </c>
      <c r="E6296" s="501">
        <v>4002473.09</v>
      </c>
      <c r="F6296" s="502" t="s">
        <v>878</v>
      </c>
      <c r="G6296" s="100">
        <v>115967203</v>
      </c>
      <c r="H6296" s="484">
        <v>115967203</v>
      </c>
      <c r="I6296" s="422" t="s">
        <v>633</v>
      </c>
      <c r="J6296" s="484"/>
      <c r="K6296" s="548"/>
      <c r="L6296" s="548"/>
      <c r="M6296" s="548"/>
      <c r="N6296" s="552"/>
    </row>
    <row r="6297" spans="1:14">
      <c r="A6297" s="499">
        <v>45701</v>
      </c>
      <c r="B6297" s="499">
        <v>45701</v>
      </c>
      <c r="C6297" s="500" t="s">
        <v>173</v>
      </c>
      <c r="D6297" s="500" t="s">
        <v>759</v>
      </c>
      <c r="E6297" s="501">
        <v>-1993421195.6400001</v>
      </c>
      <c r="F6297" s="502" t="s">
        <v>878</v>
      </c>
      <c r="G6297" s="100">
        <v>115966610</v>
      </c>
      <c r="H6297" s="530"/>
      <c r="I6297" s="422" t="s">
        <v>633</v>
      </c>
      <c r="J6297" s="484"/>
      <c r="K6297" s="548"/>
      <c r="L6297" s="548"/>
      <c r="M6297" s="548"/>
      <c r="N6297" s="552"/>
    </row>
    <row r="6298" spans="1:14">
      <c r="A6298" s="499">
        <v>45701</v>
      </c>
      <c r="B6298" s="499">
        <v>45701</v>
      </c>
      <c r="C6298" s="500" t="s">
        <v>173</v>
      </c>
      <c r="D6298" s="500" t="s">
        <v>759</v>
      </c>
      <c r="E6298" s="501">
        <v>-10002687.35</v>
      </c>
      <c r="F6298" s="502" t="s">
        <v>878</v>
      </c>
      <c r="G6298" s="100">
        <v>115970163</v>
      </c>
      <c r="H6298" s="530"/>
      <c r="I6298" s="422" t="s">
        <v>1013</v>
      </c>
      <c r="J6298" s="484"/>
      <c r="K6298" s="548"/>
      <c r="L6298" s="548"/>
      <c r="M6298" s="548"/>
      <c r="N6298" s="552"/>
    </row>
    <row r="6299" spans="1:14">
      <c r="A6299" s="499">
        <v>45701</v>
      </c>
      <c r="B6299" s="499">
        <v>45702</v>
      </c>
      <c r="C6299" s="500" t="s">
        <v>173</v>
      </c>
      <c r="D6299" s="500" t="s">
        <v>759</v>
      </c>
      <c r="E6299" s="501">
        <v>1994224025.55</v>
      </c>
      <c r="F6299" s="502" t="s">
        <v>878</v>
      </c>
      <c r="G6299" s="100">
        <v>115966610</v>
      </c>
      <c r="H6299" s="484">
        <v>115966610</v>
      </c>
      <c r="I6299" s="422" t="s">
        <v>633</v>
      </c>
      <c r="J6299" s="484"/>
      <c r="K6299" s="548"/>
      <c r="L6299" s="548"/>
      <c r="M6299" s="548"/>
      <c r="N6299" s="552"/>
    </row>
    <row r="6300" spans="1:14">
      <c r="A6300" s="499">
        <v>45701</v>
      </c>
      <c r="B6300" s="499">
        <v>45702</v>
      </c>
      <c r="C6300" s="500" t="s">
        <v>173</v>
      </c>
      <c r="D6300" s="500" t="s">
        <v>759</v>
      </c>
      <c r="E6300" s="501">
        <v>10006743.26</v>
      </c>
      <c r="F6300" s="502" t="s">
        <v>878</v>
      </c>
      <c r="G6300" s="100">
        <v>115970163</v>
      </c>
      <c r="H6300" s="484">
        <v>115970163</v>
      </c>
      <c r="I6300" s="422" t="s">
        <v>1013</v>
      </c>
      <c r="J6300" s="484"/>
      <c r="K6300" s="548"/>
      <c r="L6300" s="548">
        <v>-1</v>
      </c>
      <c r="M6300" s="548"/>
      <c r="N6300" s="552"/>
    </row>
    <row r="6301" spans="1:14">
      <c r="A6301" s="499">
        <v>45701</v>
      </c>
      <c r="B6301" s="499">
        <v>45701</v>
      </c>
      <c r="C6301" s="500" t="s">
        <v>173</v>
      </c>
      <c r="D6301" s="500" t="s">
        <v>763</v>
      </c>
      <c r="E6301" s="501">
        <v>-98033609.359999999</v>
      </c>
      <c r="F6301" s="502" t="s">
        <v>878</v>
      </c>
      <c r="G6301" s="100">
        <v>115967366</v>
      </c>
      <c r="H6301" s="530"/>
      <c r="I6301" s="422" t="s">
        <v>631</v>
      </c>
      <c r="J6301" s="484"/>
      <c r="K6301" s="548"/>
      <c r="L6301" s="548"/>
      <c r="M6301" s="548"/>
      <c r="N6301" s="552"/>
    </row>
    <row r="6302" spans="1:14">
      <c r="A6302" s="499">
        <v>45701</v>
      </c>
      <c r="B6302" s="499">
        <v>45701</v>
      </c>
      <c r="C6302" s="500" t="s">
        <v>173</v>
      </c>
      <c r="D6302" s="500" t="s">
        <v>763</v>
      </c>
      <c r="E6302" s="501">
        <v>-116003677.37</v>
      </c>
      <c r="F6302" s="502" t="s">
        <v>878</v>
      </c>
      <c r="G6302" s="100">
        <v>115967369</v>
      </c>
      <c r="H6302" s="530"/>
      <c r="I6302" s="422" t="s">
        <v>833</v>
      </c>
      <c r="J6302" s="484"/>
      <c r="K6302" s="548"/>
      <c r="L6302" s="548"/>
      <c r="M6302" s="548"/>
      <c r="N6302" s="552"/>
    </row>
    <row r="6303" spans="1:14">
      <c r="A6303" s="499">
        <v>45701</v>
      </c>
      <c r="B6303" s="499">
        <v>45701</v>
      </c>
      <c r="C6303" s="500" t="s">
        <v>173</v>
      </c>
      <c r="D6303" s="500" t="s">
        <v>763</v>
      </c>
      <c r="E6303" s="501">
        <v>-75015850.310000002</v>
      </c>
      <c r="F6303" s="502" t="s">
        <v>878</v>
      </c>
      <c r="G6303" s="100">
        <v>115967372</v>
      </c>
      <c r="H6303" s="530"/>
      <c r="I6303" s="422" t="s">
        <v>633</v>
      </c>
      <c r="J6303" s="484"/>
      <c r="K6303" s="548"/>
      <c r="L6303" s="548"/>
      <c r="M6303" s="548"/>
      <c r="N6303" s="552"/>
    </row>
    <row r="6304" spans="1:14">
      <c r="A6304" s="499">
        <v>45701</v>
      </c>
      <c r="B6304" s="499">
        <v>45701</v>
      </c>
      <c r="C6304" s="500" t="s">
        <v>173</v>
      </c>
      <c r="D6304" s="500" t="s">
        <v>763</v>
      </c>
      <c r="E6304" s="501">
        <v>-5003348125</v>
      </c>
      <c r="F6304" s="502" t="s">
        <v>878</v>
      </c>
      <c r="G6304" s="100">
        <v>115967375</v>
      </c>
      <c r="H6304" s="530"/>
      <c r="I6304" s="422" t="s">
        <v>672</v>
      </c>
      <c r="J6304" s="484"/>
      <c r="K6304" s="548"/>
      <c r="L6304" s="548"/>
      <c r="M6304" s="548"/>
      <c r="N6304" s="552"/>
    </row>
    <row r="6305" spans="1:14">
      <c r="A6305" s="499">
        <v>45701</v>
      </c>
      <c r="B6305" s="499">
        <v>45701</v>
      </c>
      <c r="C6305" s="500" t="s">
        <v>173</v>
      </c>
      <c r="D6305" s="500" t="s">
        <v>763</v>
      </c>
      <c r="E6305" s="501">
        <v>-40010749.420000002</v>
      </c>
      <c r="F6305" s="502" t="s">
        <v>878</v>
      </c>
      <c r="G6305" s="100">
        <v>115967378</v>
      </c>
      <c r="H6305" s="530"/>
      <c r="I6305" s="422" t="s">
        <v>1013</v>
      </c>
      <c r="J6305" s="484"/>
      <c r="K6305" s="548"/>
      <c r="L6305" s="548"/>
      <c r="M6305" s="548"/>
      <c r="N6305" s="552"/>
    </row>
    <row r="6306" spans="1:14">
      <c r="A6306" s="499">
        <v>45701</v>
      </c>
      <c r="B6306" s="499">
        <v>45701</v>
      </c>
      <c r="C6306" s="500" t="s">
        <v>173</v>
      </c>
      <c r="D6306" s="500" t="s">
        <v>763</v>
      </c>
      <c r="E6306" s="501">
        <v>-671336778.25999999</v>
      </c>
      <c r="F6306" s="502" t="s">
        <v>878</v>
      </c>
      <c r="G6306" s="100">
        <v>115967381</v>
      </c>
      <c r="H6306" s="530"/>
      <c r="I6306" s="422" t="s">
        <v>717</v>
      </c>
      <c r="J6306" s="484"/>
      <c r="K6306" s="548"/>
      <c r="L6306" s="548"/>
      <c r="M6306" s="548"/>
      <c r="N6306" s="552"/>
    </row>
    <row r="6307" spans="1:14">
      <c r="A6307" s="499">
        <v>45701</v>
      </c>
      <c r="B6307" s="499">
        <v>45701</v>
      </c>
      <c r="C6307" s="500" t="s">
        <v>173</v>
      </c>
      <c r="D6307" s="500" t="s">
        <v>763</v>
      </c>
      <c r="E6307" s="501">
        <v>-24012045.719999999</v>
      </c>
      <c r="F6307" s="502" t="s">
        <v>878</v>
      </c>
      <c r="G6307" s="100">
        <v>115967406</v>
      </c>
      <c r="H6307" s="530"/>
      <c r="I6307" s="422" t="s">
        <v>717</v>
      </c>
      <c r="J6307" s="484"/>
      <c r="K6307" s="548"/>
      <c r="L6307" s="548"/>
      <c r="M6307" s="548"/>
      <c r="N6307" s="552"/>
    </row>
    <row r="6308" spans="1:14">
      <c r="A6308" s="499">
        <v>45701</v>
      </c>
      <c r="B6308" s="499">
        <v>45702</v>
      </c>
      <c r="C6308" s="500" t="s">
        <v>173</v>
      </c>
      <c r="D6308" s="500" t="s">
        <v>763</v>
      </c>
      <c r="E6308" s="501">
        <v>98073225.950000003</v>
      </c>
      <c r="F6308" s="502" t="s">
        <v>878</v>
      </c>
      <c r="G6308" s="100">
        <v>115967366</v>
      </c>
      <c r="H6308" s="100">
        <v>115967366</v>
      </c>
      <c r="I6308" s="422" t="s">
        <v>631</v>
      </c>
      <c r="J6308" s="484"/>
      <c r="K6308" s="548"/>
      <c r="L6308" s="548"/>
      <c r="M6308" s="548"/>
      <c r="N6308" s="552"/>
    </row>
    <row r="6309" spans="1:14">
      <c r="A6309" s="499">
        <v>45701</v>
      </c>
      <c r="B6309" s="499">
        <v>45702</v>
      </c>
      <c r="C6309" s="500" t="s">
        <v>173</v>
      </c>
      <c r="D6309" s="500" t="s">
        <v>763</v>
      </c>
      <c r="E6309" s="501">
        <v>116050555.89</v>
      </c>
      <c r="F6309" s="502" t="s">
        <v>878</v>
      </c>
      <c r="G6309" s="100">
        <v>115967369</v>
      </c>
      <c r="H6309" s="100">
        <v>115967369</v>
      </c>
      <c r="I6309" s="422" t="s">
        <v>833</v>
      </c>
      <c r="J6309" s="484"/>
      <c r="K6309" s="548"/>
      <c r="L6309" s="548"/>
      <c r="M6309" s="548"/>
      <c r="N6309" s="552"/>
    </row>
    <row r="6310" spans="1:14">
      <c r="A6310" s="499">
        <v>45701</v>
      </c>
      <c r="B6310" s="499">
        <v>45702</v>
      </c>
      <c r="C6310" s="500" t="s">
        <v>173</v>
      </c>
      <c r="D6310" s="500" t="s">
        <v>763</v>
      </c>
      <c r="E6310" s="501">
        <v>75046165.140000001</v>
      </c>
      <c r="F6310" s="502" t="s">
        <v>878</v>
      </c>
      <c r="G6310" s="100">
        <v>115967372</v>
      </c>
      <c r="H6310" s="100">
        <v>115967372</v>
      </c>
      <c r="I6310" s="422" t="s">
        <v>633</v>
      </c>
      <c r="J6310" s="484"/>
      <c r="K6310" s="548"/>
      <c r="L6310" s="548"/>
      <c r="M6310" s="548"/>
      <c r="N6310" s="552"/>
    </row>
    <row r="6311" spans="1:14">
      <c r="A6311" s="499">
        <v>45701</v>
      </c>
      <c r="B6311" s="499">
        <v>45702</v>
      </c>
      <c r="C6311" s="500" t="s">
        <v>173</v>
      </c>
      <c r="D6311" s="500" t="s">
        <v>763</v>
      </c>
      <c r="E6311" s="501">
        <v>5005370025.9499998</v>
      </c>
      <c r="F6311" s="502" t="s">
        <v>878</v>
      </c>
      <c r="G6311" s="100">
        <v>115967375</v>
      </c>
      <c r="H6311" s="100">
        <v>115967375</v>
      </c>
      <c r="I6311" s="422" t="s">
        <v>672</v>
      </c>
      <c r="J6311" s="484"/>
      <c r="K6311" s="548"/>
      <c r="L6311" s="548"/>
      <c r="M6311" s="548"/>
      <c r="N6311" s="552"/>
    </row>
    <row r="6312" spans="1:14">
      <c r="A6312" s="499">
        <v>45701</v>
      </c>
      <c r="B6312" s="499">
        <v>45702</v>
      </c>
      <c r="C6312" s="500" t="s">
        <v>173</v>
      </c>
      <c r="D6312" s="500" t="s">
        <v>763</v>
      </c>
      <c r="E6312" s="501">
        <v>40026863.560000002</v>
      </c>
      <c r="F6312" s="502" t="s">
        <v>878</v>
      </c>
      <c r="G6312" s="100">
        <v>115967378</v>
      </c>
      <c r="H6312" s="100">
        <v>115967378</v>
      </c>
      <c r="I6312" s="422" t="s">
        <v>1013</v>
      </c>
      <c r="J6312" s="484"/>
      <c r="K6312" s="548"/>
      <c r="L6312" s="548"/>
      <c r="M6312" s="548"/>
      <c r="N6312" s="552"/>
    </row>
    <row r="6313" spans="1:14">
      <c r="A6313" s="499">
        <v>45701</v>
      </c>
      <c r="B6313" s="499">
        <v>45702</v>
      </c>
      <c r="C6313" s="500" t="s">
        <v>173</v>
      </c>
      <c r="D6313" s="500" t="s">
        <v>763</v>
      </c>
      <c r="E6313" s="501">
        <v>671607154.09000003</v>
      </c>
      <c r="F6313" s="502" t="s">
        <v>878</v>
      </c>
      <c r="G6313" s="100">
        <v>115967381</v>
      </c>
      <c r="H6313" s="100">
        <v>115967381</v>
      </c>
      <c r="I6313" s="422" t="s">
        <v>717</v>
      </c>
      <c r="J6313" s="484"/>
      <c r="K6313" s="548"/>
      <c r="L6313" s="548"/>
      <c r="M6313" s="548"/>
      <c r="N6313" s="552"/>
    </row>
    <row r="6314" spans="1:14">
      <c r="A6314" s="499">
        <v>45701</v>
      </c>
      <c r="B6314" s="499">
        <v>45702</v>
      </c>
      <c r="C6314" s="500" t="s">
        <v>173</v>
      </c>
      <c r="D6314" s="500" t="s">
        <v>763</v>
      </c>
      <c r="E6314" s="501">
        <v>24021716.390000001</v>
      </c>
      <c r="F6314" s="502" t="s">
        <v>878</v>
      </c>
      <c r="G6314" s="100">
        <v>115967406</v>
      </c>
      <c r="H6314" s="100">
        <v>115967406</v>
      </c>
      <c r="I6314" s="422" t="s">
        <v>717</v>
      </c>
      <c r="J6314" s="484"/>
      <c r="K6314" s="548"/>
      <c r="L6314" s="548"/>
      <c r="M6314" s="548"/>
      <c r="N6314" s="552"/>
    </row>
    <row r="6315" spans="1:14">
      <c r="A6315" s="499">
        <v>45702</v>
      </c>
      <c r="B6315" s="499">
        <v>45702</v>
      </c>
      <c r="C6315" s="500" t="s">
        <v>173</v>
      </c>
      <c r="D6315" s="500" t="s">
        <v>762</v>
      </c>
      <c r="E6315" s="501">
        <v>-5277085388.5799999</v>
      </c>
      <c r="F6315" s="502" t="s">
        <v>878</v>
      </c>
      <c r="G6315" s="100">
        <v>115987101</v>
      </c>
      <c r="H6315" s="530"/>
      <c r="I6315" s="422" t="s">
        <v>676</v>
      </c>
      <c r="J6315" s="484"/>
      <c r="K6315" s="548"/>
      <c r="L6315" s="548"/>
      <c r="M6315" s="548"/>
      <c r="N6315" s="552"/>
    </row>
    <row r="6316" spans="1:14">
      <c r="A6316" s="499">
        <v>45702</v>
      </c>
      <c r="B6316" s="499">
        <v>45702</v>
      </c>
      <c r="C6316" s="500" t="s">
        <v>173</v>
      </c>
      <c r="D6316" s="500" t="s">
        <v>762</v>
      </c>
      <c r="E6316" s="501">
        <v>-21016270.280000001</v>
      </c>
      <c r="F6316" s="502" t="s">
        <v>878</v>
      </c>
      <c r="G6316" s="100">
        <v>115987142</v>
      </c>
      <c r="H6316" s="530"/>
      <c r="I6316" s="422" t="s">
        <v>676</v>
      </c>
      <c r="J6316" s="484"/>
      <c r="K6316" s="548"/>
      <c r="L6316" s="548"/>
      <c r="M6316" s="548"/>
      <c r="N6316" s="552"/>
    </row>
    <row r="6317" spans="1:14">
      <c r="A6317" s="499">
        <v>45702</v>
      </c>
      <c r="B6317" s="499">
        <v>45709</v>
      </c>
      <c r="C6317" s="500" t="s">
        <v>173</v>
      </c>
      <c r="D6317" s="500" t="s">
        <v>762</v>
      </c>
      <c r="E6317" s="501">
        <v>5292266146.3800001</v>
      </c>
      <c r="F6317" s="502" t="s">
        <v>878</v>
      </c>
      <c r="G6317" s="100">
        <v>115987101</v>
      </c>
      <c r="H6317" s="484">
        <v>115987101</v>
      </c>
      <c r="I6317" s="422" t="s">
        <v>676</v>
      </c>
      <c r="J6317" s="484"/>
      <c r="K6317" s="548"/>
      <c r="L6317" s="548"/>
      <c r="M6317" s="548"/>
      <c r="N6317" s="552"/>
    </row>
    <row r="6318" spans="1:14">
      <c r="A6318" s="499">
        <v>45702</v>
      </c>
      <c r="B6318" s="499">
        <v>45709</v>
      </c>
      <c r="C6318" s="500" t="s">
        <v>173</v>
      </c>
      <c r="D6318" s="500" t="s">
        <v>762</v>
      </c>
      <c r="E6318" s="501">
        <v>21076728.449999999</v>
      </c>
      <c r="F6318" s="502" t="s">
        <v>878</v>
      </c>
      <c r="G6318" s="100">
        <v>115987142</v>
      </c>
      <c r="H6318" s="484">
        <v>115987142</v>
      </c>
      <c r="I6318" s="422" t="s">
        <v>676</v>
      </c>
      <c r="J6318" s="484"/>
      <c r="K6318" s="548"/>
      <c r="L6318" s="548"/>
      <c r="M6318" s="548"/>
      <c r="N6318" s="552"/>
    </row>
    <row r="6319" spans="1:14">
      <c r="A6319" s="499">
        <v>45702</v>
      </c>
      <c r="B6319" s="499">
        <v>45702</v>
      </c>
      <c r="C6319" s="500" t="s">
        <v>173</v>
      </c>
      <c r="D6319" s="500" t="s">
        <v>761</v>
      </c>
      <c r="E6319" s="501">
        <v>-773000888.40999997</v>
      </c>
      <c r="F6319" s="502" t="s">
        <v>878</v>
      </c>
      <c r="G6319" s="100">
        <v>115984636</v>
      </c>
      <c r="H6319" s="530"/>
      <c r="I6319" s="422" t="s">
        <v>633</v>
      </c>
      <c r="J6319" s="484"/>
      <c r="K6319" s="548"/>
      <c r="L6319" s="548"/>
      <c r="M6319" s="548"/>
      <c r="N6319" s="552"/>
    </row>
    <row r="6320" spans="1:14">
      <c r="A6320" s="499">
        <v>45702</v>
      </c>
      <c r="B6320" s="499">
        <v>45702</v>
      </c>
      <c r="C6320" s="500" t="s">
        <v>173</v>
      </c>
      <c r="D6320" s="500" t="s">
        <v>761</v>
      </c>
      <c r="E6320" s="501">
        <v>-4001632.92</v>
      </c>
      <c r="F6320" s="502" t="s">
        <v>878</v>
      </c>
      <c r="G6320" s="100">
        <v>115984842</v>
      </c>
      <c r="H6320" s="530"/>
      <c r="I6320" s="422" t="s">
        <v>675</v>
      </c>
      <c r="J6320" s="484"/>
      <c r="K6320" s="548"/>
      <c r="L6320" s="548"/>
      <c r="M6320" s="548"/>
      <c r="N6320" s="552"/>
    </row>
    <row r="6321" spans="1:14">
      <c r="A6321" s="499">
        <v>45702</v>
      </c>
      <c r="B6321" s="499">
        <v>45705</v>
      </c>
      <c r="C6321" s="500" t="s">
        <v>173</v>
      </c>
      <c r="D6321" s="500" t="s">
        <v>761</v>
      </c>
      <c r="E6321" s="501">
        <v>773944373.05999994</v>
      </c>
      <c r="F6321" s="502" t="s">
        <v>878</v>
      </c>
      <c r="G6321" s="100">
        <v>115984636</v>
      </c>
      <c r="H6321" s="484">
        <v>115984636</v>
      </c>
      <c r="I6321" s="422" t="s">
        <v>633</v>
      </c>
      <c r="J6321" s="484"/>
      <c r="K6321" s="548"/>
      <c r="L6321" s="548"/>
      <c r="M6321" s="548"/>
      <c r="N6321" s="552"/>
    </row>
    <row r="6322" spans="1:14">
      <c r="A6322" s="499">
        <v>45702</v>
      </c>
      <c r="B6322" s="499">
        <v>45705</v>
      </c>
      <c r="C6322" s="500" t="s">
        <v>173</v>
      </c>
      <c r="D6322" s="500" t="s">
        <v>761</v>
      </c>
      <c r="E6322" s="501">
        <v>4006517.14</v>
      </c>
      <c r="F6322" s="502" t="s">
        <v>878</v>
      </c>
      <c r="G6322" s="100">
        <v>115984842</v>
      </c>
      <c r="H6322" s="484">
        <v>115984842</v>
      </c>
      <c r="I6322" s="422" t="s">
        <v>675</v>
      </c>
      <c r="J6322" s="484"/>
      <c r="K6322" s="548"/>
      <c r="L6322" s="548"/>
      <c r="M6322" s="548"/>
      <c r="N6322" s="552"/>
    </row>
    <row r="6323" spans="1:14">
      <c r="A6323" s="499">
        <v>45702</v>
      </c>
      <c r="B6323" s="499">
        <v>45702</v>
      </c>
      <c r="C6323" s="500" t="s">
        <v>173</v>
      </c>
      <c r="D6323" s="500" t="s">
        <v>759</v>
      </c>
      <c r="E6323" s="501">
        <v>-1994466911.05</v>
      </c>
      <c r="F6323" s="502" t="s">
        <v>878</v>
      </c>
      <c r="G6323" s="100">
        <v>115985158</v>
      </c>
      <c r="H6323" s="530"/>
      <c r="I6323" s="422" t="s">
        <v>657</v>
      </c>
      <c r="J6323" s="484"/>
      <c r="K6323" s="548"/>
      <c r="L6323" s="548"/>
      <c r="M6323" s="548"/>
      <c r="N6323" s="552"/>
    </row>
    <row r="6324" spans="1:14">
      <c r="A6324" s="499">
        <v>45702</v>
      </c>
      <c r="B6324" s="499">
        <v>45702</v>
      </c>
      <c r="C6324" s="500" t="s">
        <v>173</v>
      </c>
      <c r="D6324" s="500" t="s">
        <v>759</v>
      </c>
      <c r="E6324" s="501">
        <v>-9000010.3399999999</v>
      </c>
      <c r="F6324" s="502" t="s">
        <v>878</v>
      </c>
      <c r="G6324" s="100">
        <v>115985232</v>
      </c>
      <c r="H6324" s="530"/>
      <c r="I6324" s="422" t="s">
        <v>633</v>
      </c>
      <c r="J6324" s="484"/>
      <c r="K6324" s="548"/>
      <c r="L6324" s="548"/>
      <c r="M6324" s="548"/>
      <c r="N6324" s="552"/>
    </row>
    <row r="6325" spans="1:14">
      <c r="A6325" s="499">
        <v>45702</v>
      </c>
      <c r="B6325" s="499">
        <v>45705</v>
      </c>
      <c r="C6325" s="500" t="s">
        <v>173</v>
      </c>
      <c r="D6325" s="500" t="s">
        <v>759</v>
      </c>
      <c r="E6325" s="501">
        <v>1996932400.01</v>
      </c>
      <c r="F6325" s="502" t="s">
        <v>878</v>
      </c>
      <c r="G6325" s="100">
        <v>115985158</v>
      </c>
      <c r="H6325" s="484">
        <v>115985158</v>
      </c>
      <c r="I6325" s="422" t="s">
        <v>657</v>
      </c>
      <c r="J6325" s="484"/>
      <c r="K6325" s="548"/>
      <c r="L6325" s="548"/>
      <c r="M6325" s="548"/>
      <c r="N6325" s="552"/>
    </row>
    <row r="6326" spans="1:14">
      <c r="A6326" s="499">
        <v>45702</v>
      </c>
      <c r="B6326" s="499">
        <v>45705</v>
      </c>
      <c r="C6326" s="500" t="s">
        <v>173</v>
      </c>
      <c r="D6326" s="500" t="s">
        <v>759</v>
      </c>
      <c r="E6326" s="501">
        <v>9011135.7599999998</v>
      </c>
      <c r="F6326" s="502" t="s">
        <v>878</v>
      </c>
      <c r="G6326" s="100">
        <v>115985232</v>
      </c>
      <c r="H6326" s="484">
        <v>115985232</v>
      </c>
      <c r="I6326" s="422" t="s">
        <v>633</v>
      </c>
      <c r="J6326" s="484"/>
      <c r="K6326" s="548"/>
      <c r="L6326" s="548"/>
      <c r="M6326" s="548"/>
      <c r="N6326" s="552"/>
    </row>
    <row r="6327" spans="1:14">
      <c r="A6327" s="499">
        <v>45702</v>
      </c>
      <c r="B6327" s="499">
        <v>45702</v>
      </c>
      <c r="C6327" s="500" t="s">
        <v>173</v>
      </c>
      <c r="D6327" s="500" t="s">
        <v>763</v>
      </c>
      <c r="E6327" s="501">
        <v>-6004459919.6999998</v>
      </c>
      <c r="F6327" s="502" t="s">
        <v>878</v>
      </c>
      <c r="G6327" s="100">
        <v>115983775</v>
      </c>
      <c r="H6327" s="530"/>
      <c r="I6327" s="422" t="s">
        <v>684</v>
      </c>
      <c r="J6327" s="484"/>
      <c r="K6327" s="548"/>
      <c r="L6327" s="548"/>
      <c r="M6327" s="548"/>
      <c r="N6327" s="552"/>
    </row>
    <row r="6328" spans="1:14">
      <c r="A6328" s="499">
        <v>45702</v>
      </c>
      <c r="B6328" s="499">
        <v>45702</v>
      </c>
      <c r="C6328" s="500" t="s">
        <v>173</v>
      </c>
      <c r="D6328" s="500" t="s">
        <v>763</v>
      </c>
      <c r="E6328" s="501">
        <v>-26019423.039999999</v>
      </c>
      <c r="F6328" s="502" t="s">
        <v>878</v>
      </c>
      <c r="G6328" s="100">
        <v>115986960</v>
      </c>
      <c r="H6328" s="530"/>
      <c r="I6328" s="422" t="s">
        <v>723</v>
      </c>
      <c r="J6328" s="484"/>
      <c r="K6328" s="548"/>
      <c r="L6328" s="548"/>
      <c r="M6328" s="548"/>
      <c r="N6328" s="552"/>
    </row>
    <row r="6329" spans="1:14">
      <c r="A6329" s="499">
        <v>45702</v>
      </c>
      <c r="B6329" s="499">
        <v>45705</v>
      </c>
      <c r="C6329" s="500" t="s">
        <v>173</v>
      </c>
      <c r="D6329" s="500" t="s">
        <v>763</v>
      </c>
      <c r="E6329" s="501">
        <v>6011689947.4700003</v>
      </c>
      <c r="F6329" s="502" t="s">
        <v>878</v>
      </c>
      <c r="G6329" s="100">
        <v>115983775</v>
      </c>
      <c r="H6329" s="100">
        <v>115983775</v>
      </c>
      <c r="I6329" s="422" t="s">
        <v>684</v>
      </c>
      <c r="J6329" s="484"/>
      <c r="K6329" s="548"/>
      <c r="L6329" s="548"/>
      <c r="M6329" s="548"/>
      <c r="N6329" s="552"/>
    </row>
    <row r="6330" spans="1:14">
      <c r="A6330" s="499">
        <v>45702</v>
      </c>
      <c r="B6330" s="499">
        <v>45705</v>
      </c>
      <c r="C6330" s="500" t="s">
        <v>173</v>
      </c>
      <c r="D6330" s="500" t="s">
        <v>763</v>
      </c>
      <c r="E6330" s="501">
        <v>26051503.710000001</v>
      </c>
      <c r="F6330" s="502" t="s">
        <v>878</v>
      </c>
      <c r="G6330" s="100">
        <v>115986960</v>
      </c>
      <c r="H6330" s="100">
        <v>115986960</v>
      </c>
      <c r="I6330" s="422" t="s">
        <v>723</v>
      </c>
      <c r="J6330" s="484"/>
      <c r="K6330" s="548"/>
      <c r="L6330" s="548"/>
      <c r="M6330" s="548"/>
      <c r="N6330" s="552"/>
    </row>
    <row r="6331" spans="1:14">
      <c r="A6331" s="499">
        <v>45705</v>
      </c>
      <c r="B6331" s="499">
        <v>45705</v>
      </c>
      <c r="C6331" s="500" t="s">
        <v>173</v>
      </c>
      <c r="D6331" s="500" t="s">
        <v>761</v>
      </c>
      <c r="E6331" s="501">
        <v>-774175676.63999999</v>
      </c>
      <c r="F6331" s="502" t="s">
        <v>878</v>
      </c>
      <c r="G6331" s="100">
        <v>116010001</v>
      </c>
      <c r="H6331" s="530"/>
      <c r="I6331" s="422" t="s">
        <v>1013</v>
      </c>
      <c r="J6331" s="484"/>
      <c r="K6331" s="548"/>
      <c r="L6331" s="548"/>
      <c r="M6331" s="548"/>
      <c r="N6331" s="552"/>
    </row>
    <row r="6332" spans="1:14">
      <c r="A6332" s="499">
        <v>45705</v>
      </c>
      <c r="B6332" s="499">
        <v>45705</v>
      </c>
      <c r="C6332" s="500" t="s">
        <v>173</v>
      </c>
      <c r="D6332" s="500" t="s">
        <v>761</v>
      </c>
      <c r="E6332" s="501">
        <v>-4000011.88</v>
      </c>
      <c r="F6332" s="502" t="s">
        <v>878</v>
      </c>
      <c r="G6332" s="100">
        <v>116010849</v>
      </c>
      <c r="H6332" s="530"/>
      <c r="I6332" s="422" t="s">
        <v>658</v>
      </c>
      <c r="J6332" s="484"/>
      <c r="K6332" s="548"/>
      <c r="L6332" s="548"/>
      <c r="M6332" s="548"/>
      <c r="N6332" s="552"/>
    </row>
    <row r="6333" spans="1:14">
      <c r="A6333" s="499">
        <v>45705</v>
      </c>
      <c r="B6333" s="499">
        <v>45706</v>
      </c>
      <c r="C6333" s="500" t="s">
        <v>173</v>
      </c>
      <c r="D6333" s="500" t="s">
        <v>761</v>
      </c>
      <c r="E6333" s="501">
        <v>774488528.45000005</v>
      </c>
      <c r="F6333" s="502" t="s">
        <v>878</v>
      </c>
      <c r="G6333" s="100">
        <v>116010001</v>
      </c>
      <c r="H6333" s="484">
        <v>116010001</v>
      </c>
      <c r="I6333" s="422" t="s">
        <v>1013</v>
      </c>
      <c r="J6333" s="484"/>
      <c r="K6333" s="548"/>
      <c r="L6333" s="548"/>
      <c r="M6333" s="548"/>
      <c r="N6333" s="552"/>
    </row>
    <row r="6334" spans="1:14">
      <c r="A6334" s="499">
        <v>45705</v>
      </c>
      <c r="B6334" s="499">
        <v>45706</v>
      </c>
      <c r="C6334" s="500" t="s">
        <v>173</v>
      </c>
      <c r="D6334" s="500" t="s">
        <v>761</v>
      </c>
      <c r="E6334" s="501">
        <v>4001628.32</v>
      </c>
      <c r="F6334" s="502" t="s">
        <v>878</v>
      </c>
      <c r="G6334" s="100">
        <v>116010849</v>
      </c>
      <c r="H6334" s="484">
        <v>116010849</v>
      </c>
      <c r="I6334" s="422" t="s">
        <v>658</v>
      </c>
      <c r="J6334" s="484"/>
      <c r="K6334" s="548"/>
      <c r="L6334" s="548"/>
      <c r="M6334" s="548"/>
      <c r="N6334" s="552"/>
    </row>
    <row r="6335" spans="1:14">
      <c r="A6335" s="499">
        <v>45705</v>
      </c>
      <c r="B6335" s="499">
        <v>45705</v>
      </c>
      <c r="C6335" s="500" t="s">
        <v>173</v>
      </c>
      <c r="D6335" s="500" t="s">
        <v>763</v>
      </c>
      <c r="E6335" s="501">
        <v>-6012171694.4200001</v>
      </c>
      <c r="F6335" s="502" t="s">
        <v>878</v>
      </c>
      <c r="G6335" s="100">
        <v>116002593</v>
      </c>
      <c r="H6335" s="530"/>
      <c r="I6335" s="422" t="s">
        <v>684</v>
      </c>
      <c r="J6335" s="484"/>
      <c r="K6335" s="548"/>
      <c r="L6335" s="548"/>
      <c r="M6335" s="548"/>
      <c r="N6335" s="552"/>
    </row>
    <row r="6336" spans="1:14">
      <c r="A6336" s="499">
        <v>45705</v>
      </c>
      <c r="B6336" s="499">
        <v>45705</v>
      </c>
      <c r="C6336" s="500" t="s">
        <v>173</v>
      </c>
      <c r="D6336" s="500" t="s">
        <v>763</v>
      </c>
      <c r="E6336" s="501">
        <v>-26013723.420000002</v>
      </c>
      <c r="F6336" s="502" t="s">
        <v>878</v>
      </c>
      <c r="G6336" s="100">
        <v>116002662</v>
      </c>
      <c r="H6336" s="530"/>
      <c r="I6336" s="422" t="s">
        <v>684</v>
      </c>
      <c r="J6336" s="484"/>
      <c r="K6336" s="548"/>
      <c r="L6336" s="548"/>
      <c r="M6336" s="548"/>
      <c r="N6336" s="552"/>
    </row>
    <row r="6337" spans="1:14">
      <c r="A6337" s="499">
        <v>45705</v>
      </c>
      <c r="B6337" s="499">
        <v>45706</v>
      </c>
      <c r="C6337" s="500" t="s">
        <v>173</v>
      </c>
      <c r="D6337" s="500" t="s">
        <v>763</v>
      </c>
      <c r="E6337" s="501">
        <v>6014576563.1000004</v>
      </c>
      <c r="F6337" s="502" t="s">
        <v>878</v>
      </c>
      <c r="G6337" s="100">
        <v>116002593</v>
      </c>
      <c r="H6337" s="484">
        <v>116002593</v>
      </c>
      <c r="I6337" s="422" t="s">
        <v>684</v>
      </c>
      <c r="J6337" s="484"/>
      <c r="K6337" s="548"/>
      <c r="L6337" s="548"/>
      <c r="M6337" s="548"/>
      <c r="N6337" s="552"/>
    </row>
    <row r="6338" spans="1:14">
      <c r="A6338" s="499">
        <v>45705</v>
      </c>
      <c r="B6338" s="499">
        <v>45706</v>
      </c>
      <c r="C6338" s="500" t="s">
        <v>173</v>
      </c>
      <c r="D6338" s="500" t="s">
        <v>763</v>
      </c>
      <c r="E6338" s="501">
        <v>26024128.91</v>
      </c>
      <c r="F6338" s="502" t="s">
        <v>878</v>
      </c>
      <c r="G6338" s="100">
        <v>116002662</v>
      </c>
      <c r="H6338" s="484">
        <v>116002662</v>
      </c>
      <c r="I6338" s="422" t="s">
        <v>684</v>
      </c>
      <c r="J6338" s="484"/>
      <c r="K6338" s="548"/>
      <c r="L6338" s="548"/>
      <c r="M6338" s="548"/>
      <c r="N6338" s="552"/>
    </row>
    <row r="6339" spans="1:14">
      <c r="A6339" s="499">
        <v>45705</v>
      </c>
      <c r="B6339" s="499">
        <v>45705</v>
      </c>
      <c r="C6339" s="500" t="s">
        <v>173</v>
      </c>
      <c r="D6339" s="500" t="s">
        <v>759</v>
      </c>
      <c r="E6339" s="501">
        <v>-1997900578.3</v>
      </c>
      <c r="F6339" s="502" t="s">
        <v>878</v>
      </c>
      <c r="G6339" s="100">
        <v>116004109</v>
      </c>
      <c r="H6339" s="530"/>
      <c r="I6339" s="422" t="s">
        <v>633</v>
      </c>
      <c r="J6339" s="484"/>
      <c r="K6339" s="548"/>
      <c r="L6339" s="548"/>
      <c r="M6339" s="548"/>
      <c r="N6339" s="552"/>
    </row>
    <row r="6340" spans="1:14">
      <c r="A6340" s="499">
        <v>45705</v>
      </c>
      <c r="B6340" s="499">
        <v>45705</v>
      </c>
      <c r="C6340" s="500" t="s">
        <v>173</v>
      </c>
      <c r="D6340" s="500" t="s">
        <v>759</v>
      </c>
      <c r="E6340" s="501">
        <v>-8000386.0899999999</v>
      </c>
      <c r="F6340" s="502" t="s">
        <v>878</v>
      </c>
      <c r="G6340" s="100">
        <v>116004262</v>
      </c>
      <c r="H6340" s="530"/>
      <c r="I6340" s="422" t="s">
        <v>1018</v>
      </c>
      <c r="J6340" s="484"/>
      <c r="K6340" s="548"/>
      <c r="L6340" s="548"/>
      <c r="M6340" s="548"/>
      <c r="N6340" s="552"/>
    </row>
    <row r="6341" spans="1:14">
      <c r="A6341" s="499">
        <v>45705</v>
      </c>
      <c r="B6341" s="499">
        <v>45706</v>
      </c>
      <c r="C6341" s="500" t="s">
        <v>173</v>
      </c>
      <c r="D6341" s="500" t="s">
        <v>759</v>
      </c>
      <c r="E6341" s="501">
        <v>1998721633.3299999</v>
      </c>
      <c r="F6341" s="502" t="s">
        <v>878</v>
      </c>
      <c r="G6341" s="100">
        <v>116004109</v>
      </c>
      <c r="H6341" s="484">
        <v>116004109</v>
      </c>
      <c r="I6341" s="422" t="s">
        <v>633</v>
      </c>
      <c r="J6341" s="484"/>
      <c r="K6341" s="548"/>
      <c r="L6341" s="548"/>
      <c r="M6341" s="548"/>
      <c r="N6341" s="552"/>
    </row>
    <row r="6342" spans="1:14">
      <c r="A6342" s="499">
        <v>45705</v>
      </c>
      <c r="B6342" s="499">
        <v>45706</v>
      </c>
      <c r="C6342" s="500" t="s">
        <v>173</v>
      </c>
      <c r="D6342" s="500" t="s">
        <v>759</v>
      </c>
      <c r="E6342" s="501">
        <v>8003619.4500000002</v>
      </c>
      <c r="F6342" s="502" t="s">
        <v>878</v>
      </c>
      <c r="G6342" s="100">
        <v>116004262</v>
      </c>
      <c r="H6342" s="484">
        <v>116004262</v>
      </c>
      <c r="I6342" s="422" t="s">
        <v>1018</v>
      </c>
      <c r="J6342" s="484"/>
      <c r="K6342" s="548"/>
      <c r="L6342" s="548"/>
      <c r="M6342" s="548"/>
      <c r="N6342" s="552"/>
    </row>
    <row r="6343" spans="1:14">
      <c r="A6343" s="499">
        <v>45706</v>
      </c>
      <c r="B6343" s="499">
        <v>45706</v>
      </c>
      <c r="C6343" s="500" t="s">
        <v>173</v>
      </c>
      <c r="D6343" s="500" t="s">
        <v>761</v>
      </c>
      <c r="E6343" s="501">
        <v>-775057004.97000003</v>
      </c>
      <c r="F6343" s="502" t="s">
        <v>878</v>
      </c>
      <c r="G6343" s="100">
        <v>116024329</v>
      </c>
      <c r="H6343" s="530"/>
      <c r="I6343" s="422" t="s">
        <v>633</v>
      </c>
      <c r="J6343" s="484"/>
      <c r="K6343" s="548"/>
      <c r="L6343" s="548"/>
      <c r="M6343" s="548"/>
      <c r="N6343" s="552"/>
    </row>
    <row r="6344" spans="1:14">
      <c r="A6344" s="499">
        <v>45706</v>
      </c>
      <c r="B6344" s="499">
        <v>45706</v>
      </c>
      <c r="C6344" s="500" t="s">
        <v>173</v>
      </c>
      <c r="D6344" s="500" t="s">
        <v>761</v>
      </c>
      <c r="E6344" s="501">
        <v>-3002969.98</v>
      </c>
      <c r="F6344" s="502" t="s">
        <v>878</v>
      </c>
      <c r="G6344" s="100">
        <v>116024509</v>
      </c>
      <c r="H6344" s="530"/>
      <c r="I6344" s="422" t="s">
        <v>687</v>
      </c>
      <c r="J6344" s="484"/>
      <c r="K6344" s="548"/>
      <c r="L6344" s="548"/>
      <c r="M6344" s="548"/>
      <c r="N6344" s="552"/>
    </row>
    <row r="6345" spans="1:14">
      <c r="A6345" s="499">
        <v>45706</v>
      </c>
      <c r="B6345" s="499">
        <v>45707</v>
      </c>
      <c r="C6345" s="500" t="s">
        <v>173</v>
      </c>
      <c r="D6345" s="500" t="s">
        <v>761</v>
      </c>
      <c r="E6345" s="501">
        <v>775373398.10000002</v>
      </c>
      <c r="F6345" s="502" t="s">
        <v>878</v>
      </c>
      <c r="G6345" s="100">
        <v>116024329</v>
      </c>
      <c r="H6345" s="484">
        <v>116024329</v>
      </c>
      <c r="I6345" s="422" t="s">
        <v>633</v>
      </c>
      <c r="J6345" s="484"/>
      <c r="K6345" s="548"/>
      <c r="L6345" s="548"/>
      <c r="M6345" s="548"/>
      <c r="N6345" s="552"/>
    </row>
    <row r="6346" spans="1:14">
      <c r="A6346" s="499">
        <v>45706</v>
      </c>
      <c r="B6346" s="499">
        <v>45707</v>
      </c>
      <c r="C6346" s="500" t="s">
        <v>173</v>
      </c>
      <c r="D6346" s="500" t="s">
        <v>761</v>
      </c>
      <c r="E6346" s="501">
        <v>3004191.74</v>
      </c>
      <c r="F6346" s="502" t="s">
        <v>878</v>
      </c>
      <c r="G6346" s="100">
        <v>116024509</v>
      </c>
      <c r="H6346" s="484">
        <v>116024509</v>
      </c>
      <c r="I6346" s="422" t="s">
        <v>687</v>
      </c>
      <c r="J6346" s="484"/>
      <c r="K6346" s="548"/>
      <c r="L6346" s="548"/>
      <c r="M6346" s="548"/>
      <c r="N6346" s="552"/>
    </row>
    <row r="6347" spans="1:14">
      <c r="A6347" s="499">
        <v>45706</v>
      </c>
      <c r="B6347" s="499">
        <v>45706</v>
      </c>
      <c r="C6347" s="500" t="s">
        <v>173</v>
      </c>
      <c r="D6347" s="500" t="s">
        <v>759</v>
      </c>
      <c r="E6347" s="501">
        <v>-1998247973.23</v>
      </c>
      <c r="F6347" s="502" t="s">
        <v>878</v>
      </c>
      <c r="G6347" s="100">
        <v>116024069</v>
      </c>
      <c r="H6347" s="530"/>
      <c r="I6347" s="422" t="s">
        <v>657</v>
      </c>
      <c r="J6347" s="484"/>
      <c r="K6347" s="548"/>
      <c r="L6347" s="548"/>
      <c r="M6347" s="548"/>
      <c r="N6347" s="552"/>
    </row>
    <row r="6348" spans="1:14">
      <c r="A6348" s="499">
        <v>45706</v>
      </c>
      <c r="B6348" s="499">
        <v>45706</v>
      </c>
      <c r="C6348" s="500" t="s">
        <v>173</v>
      </c>
      <c r="D6348" s="500" t="s">
        <v>759</v>
      </c>
      <c r="E6348" s="501">
        <v>-8004999.3899999997</v>
      </c>
      <c r="F6348" s="502" t="s">
        <v>878</v>
      </c>
      <c r="G6348" s="100">
        <v>116024405</v>
      </c>
      <c r="H6348" s="530"/>
      <c r="I6348" s="422" t="s">
        <v>657</v>
      </c>
      <c r="J6348" s="484"/>
      <c r="K6348" s="548"/>
      <c r="L6348" s="548"/>
      <c r="M6348" s="548"/>
      <c r="N6348" s="552"/>
    </row>
    <row r="6349" spans="1:14">
      <c r="A6349" s="499">
        <v>45706</v>
      </c>
      <c r="B6349" s="499">
        <v>45707</v>
      </c>
      <c r="C6349" s="500" t="s">
        <v>173</v>
      </c>
      <c r="D6349" s="500" t="s">
        <v>759</v>
      </c>
      <c r="E6349" s="501">
        <v>1999055484.4000001</v>
      </c>
      <c r="F6349" s="502" t="s">
        <v>878</v>
      </c>
      <c r="G6349" s="100">
        <v>116024069</v>
      </c>
      <c r="H6349" s="484">
        <v>116024069</v>
      </c>
      <c r="I6349" s="422" t="s">
        <v>657</v>
      </c>
      <c r="J6349" s="484"/>
      <c r="K6349" s="548"/>
      <c r="L6349" s="548"/>
      <c r="M6349" s="548"/>
      <c r="N6349" s="552"/>
    </row>
    <row r="6350" spans="1:14">
      <c r="A6350" s="499">
        <v>45706</v>
      </c>
      <c r="B6350" s="499">
        <v>45707</v>
      </c>
      <c r="C6350" s="500" t="s">
        <v>173</v>
      </c>
      <c r="D6350" s="500" t="s">
        <v>759</v>
      </c>
      <c r="E6350" s="501">
        <v>8008234.3099999996</v>
      </c>
      <c r="F6350" s="502" t="s">
        <v>878</v>
      </c>
      <c r="G6350" s="100">
        <v>116024405</v>
      </c>
      <c r="H6350" s="484">
        <v>116024405</v>
      </c>
      <c r="I6350" s="422" t="s">
        <v>657</v>
      </c>
      <c r="J6350" s="484"/>
      <c r="K6350" s="548"/>
      <c r="L6350" s="548">
        <v>-1</v>
      </c>
      <c r="M6350" s="548"/>
      <c r="N6350" s="552"/>
    </row>
    <row r="6351" spans="1:14">
      <c r="A6351" s="499">
        <v>45706</v>
      </c>
      <c r="B6351" s="499">
        <v>45706</v>
      </c>
      <c r="C6351" s="500" t="s">
        <v>173</v>
      </c>
      <c r="D6351" s="500" t="s">
        <v>760</v>
      </c>
      <c r="E6351" s="501">
        <v>-24009524.399999999</v>
      </c>
      <c r="F6351" s="502" t="s">
        <v>878</v>
      </c>
      <c r="G6351" s="100">
        <v>116022707</v>
      </c>
      <c r="H6351" s="530"/>
      <c r="I6351" s="422" t="s">
        <v>715</v>
      </c>
      <c r="J6351" s="484"/>
      <c r="K6351" s="548"/>
      <c r="L6351" s="548"/>
      <c r="M6351" s="548"/>
      <c r="N6351" s="552"/>
    </row>
    <row r="6352" spans="1:14">
      <c r="A6352" s="499">
        <v>45706</v>
      </c>
      <c r="B6352" s="499">
        <v>45706</v>
      </c>
      <c r="C6352" s="500" t="s">
        <v>173</v>
      </c>
      <c r="D6352" s="500" t="s">
        <v>760</v>
      </c>
      <c r="E6352" s="501">
        <v>-30024731.879999999</v>
      </c>
      <c r="F6352" s="502" t="s">
        <v>878</v>
      </c>
      <c r="G6352" s="100">
        <v>116022710</v>
      </c>
      <c r="H6352" s="530"/>
      <c r="I6352" s="422" t="s">
        <v>819</v>
      </c>
      <c r="J6352" s="484"/>
      <c r="K6352" s="548"/>
      <c r="L6352" s="548"/>
      <c r="M6352" s="548"/>
      <c r="N6352" s="552"/>
    </row>
    <row r="6353" spans="1:14">
      <c r="A6353" s="499">
        <v>45706</v>
      </c>
      <c r="B6353" s="499">
        <v>45706</v>
      </c>
      <c r="C6353" s="500" t="s">
        <v>173</v>
      </c>
      <c r="D6353" s="500" t="s">
        <v>760</v>
      </c>
      <c r="E6353" s="501">
        <v>-33027444.25</v>
      </c>
      <c r="F6353" s="502" t="s">
        <v>878</v>
      </c>
      <c r="G6353" s="100">
        <v>116022713</v>
      </c>
      <c r="H6353" s="530"/>
      <c r="I6353" s="422" t="s">
        <v>694</v>
      </c>
      <c r="J6353" s="484"/>
      <c r="K6353" s="548"/>
      <c r="L6353" s="548"/>
      <c r="M6353" s="548"/>
      <c r="N6353" s="552"/>
    </row>
    <row r="6354" spans="1:14">
      <c r="A6354" s="499">
        <v>45706</v>
      </c>
      <c r="B6354" s="499">
        <v>45706</v>
      </c>
      <c r="C6354" s="500" t="s">
        <v>173</v>
      </c>
      <c r="D6354" s="500" t="s">
        <v>760</v>
      </c>
      <c r="E6354" s="501">
        <v>-34016922.549999997</v>
      </c>
      <c r="F6354" s="502" t="s">
        <v>878</v>
      </c>
      <c r="G6354" s="100">
        <v>116022716</v>
      </c>
      <c r="H6354" s="530"/>
      <c r="I6354" s="422" t="s">
        <v>682</v>
      </c>
      <c r="J6354" s="484"/>
      <c r="K6354" s="548"/>
      <c r="L6354" s="548"/>
      <c r="M6354" s="548"/>
      <c r="N6354" s="552"/>
    </row>
    <row r="6355" spans="1:14">
      <c r="A6355" s="499">
        <v>45706</v>
      </c>
      <c r="B6355" s="499">
        <v>45706</v>
      </c>
      <c r="C6355" s="500" t="s">
        <v>173</v>
      </c>
      <c r="D6355" s="500" t="s">
        <v>760</v>
      </c>
      <c r="E6355" s="501">
        <v>-35003207.890000001</v>
      </c>
      <c r="F6355" s="502" t="s">
        <v>878</v>
      </c>
      <c r="G6355" s="100">
        <v>116022719</v>
      </c>
      <c r="H6355" s="530"/>
      <c r="I6355" s="422" t="s">
        <v>693</v>
      </c>
      <c r="J6355" s="484"/>
      <c r="K6355" s="548"/>
      <c r="L6355" s="548"/>
      <c r="M6355" s="548"/>
      <c r="N6355" s="552"/>
    </row>
    <row r="6356" spans="1:14">
      <c r="A6356" s="499">
        <v>45706</v>
      </c>
      <c r="B6356" s="499">
        <v>45706</v>
      </c>
      <c r="C6356" s="500" t="s">
        <v>173</v>
      </c>
      <c r="D6356" s="500" t="s">
        <v>760</v>
      </c>
      <c r="E6356" s="501">
        <v>-39015477.149999999</v>
      </c>
      <c r="F6356" s="502" t="s">
        <v>878</v>
      </c>
      <c r="G6356" s="100">
        <v>116022722</v>
      </c>
      <c r="H6356" s="530"/>
      <c r="I6356" s="422" t="s">
        <v>715</v>
      </c>
      <c r="J6356" s="484"/>
      <c r="K6356" s="548"/>
      <c r="L6356" s="548"/>
      <c r="M6356" s="548"/>
      <c r="N6356" s="552"/>
    </row>
    <row r="6357" spans="1:14">
      <c r="A6357" s="499">
        <v>45706</v>
      </c>
      <c r="B6357" s="499">
        <v>45706</v>
      </c>
      <c r="C6357" s="500" t="s">
        <v>173</v>
      </c>
      <c r="D6357" s="500" t="s">
        <v>760</v>
      </c>
      <c r="E6357" s="501">
        <v>-42013195.719999999</v>
      </c>
      <c r="F6357" s="502" t="s">
        <v>878</v>
      </c>
      <c r="G6357" s="100">
        <v>116022725</v>
      </c>
      <c r="H6357" s="530"/>
      <c r="I6357" s="422" t="s">
        <v>550</v>
      </c>
      <c r="J6357" s="484"/>
      <c r="K6357" s="548"/>
      <c r="L6357" s="548"/>
      <c r="M6357" s="548"/>
      <c r="N6357" s="552"/>
    </row>
    <row r="6358" spans="1:14">
      <c r="A6358" s="499">
        <v>45706</v>
      </c>
      <c r="B6358" s="499">
        <v>45706</v>
      </c>
      <c r="C6358" s="500" t="s">
        <v>173</v>
      </c>
      <c r="D6358" s="500" t="s">
        <v>760</v>
      </c>
      <c r="E6358" s="501">
        <v>-43017898.579999998</v>
      </c>
      <c r="F6358" s="502" t="s">
        <v>878</v>
      </c>
      <c r="G6358" s="100">
        <v>116022728</v>
      </c>
      <c r="H6358" s="530"/>
      <c r="I6358" s="422" t="s">
        <v>817</v>
      </c>
      <c r="J6358" s="484"/>
      <c r="K6358" s="548"/>
      <c r="L6358" s="548"/>
      <c r="M6358" s="548"/>
      <c r="N6358" s="552"/>
    </row>
    <row r="6359" spans="1:14">
      <c r="A6359" s="499">
        <v>45706</v>
      </c>
      <c r="B6359" s="499">
        <v>45706</v>
      </c>
      <c r="C6359" s="500" t="s">
        <v>173</v>
      </c>
      <c r="D6359" s="500" t="s">
        <v>760</v>
      </c>
      <c r="E6359" s="501">
        <v>-18004398.98</v>
      </c>
      <c r="F6359" s="502" t="s">
        <v>878</v>
      </c>
      <c r="G6359" s="100">
        <v>116022731</v>
      </c>
      <c r="H6359" s="530"/>
      <c r="I6359" s="422" t="s">
        <v>714</v>
      </c>
      <c r="J6359" s="484"/>
      <c r="K6359" s="548"/>
      <c r="L6359" s="548"/>
      <c r="M6359" s="548"/>
      <c r="N6359" s="552"/>
    </row>
    <row r="6360" spans="1:14">
      <c r="A6360" s="499">
        <v>45706</v>
      </c>
      <c r="B6360" s="499">
        <v>45706</v>
      </c>
      <c r="C6360" s="500" t="s">
        <v>173</v>
      </c>
      <c r="D6360" s="500" t="s">
        <v>760</v>
      </c>
      <c r="E6360" s="501">
        <v>-26006354.09</v>
      </c>
      <c r="F6360" s="502" t="s">
        <v>878</v>
      </c>
      <c r="G6360" s="100">
        <v>116022734</v>
      </c>
      <c r="H6360" s="530"/>
      <c r="I6360" s="422" t="s">
        <v>714</v>
      </c>
      <c r="J6360" s="484"/>
      <c r="K6360" s="548"/>
      <c r="L6360" s="548"/>
      <c r="M6360" s="548"/>
      <c r="N6360" s="552"/>
    </row>
    <row r="6361" spans="1:14">
      <c r="A6361" s="499">
        <v>45706</v>
      </c>
      <c r="B6361" s="499">
        <v>45706</v>
      </c>
      <c r="C6361" s="500" t="s">
        <v>173</v>
      </c>
      <c r="D6361" s="500" t="s">
        <v>760</v>
      </c>
      <c r="E6361" s="501">
        <v>-45032095.399999999</v>
      </c>
      <c r="F6361" s="502" t="s">
        <v>878</v>
      </c>
      <c r="G6361" s="100">
        <v>116022737</v>
      </c>
      <c r="H6361" s="530"/>
      <c r="I6361" s="422" t="s">
        <v>719</v>
      </c>
      <c r="J6361" s="484"/>
      <c r="K6361" s="548"/>
      <c r="L6361" s="548"/>
      <c r="M6361" s="548"/>
      <c r="N6361" s="552"/>
    </row>
    <row r="6362" spans="1:14">
      <c r="A6362" s="499">
        <v>45706</v>
      </c>
      <c r="B6362" s="499">
        <v>45706</v>
      </c>
      <c r="C6362" s="500" t="s">
        <v>173</v>
      </c>
      <c r="D6362" s="500" t="s">
        <v>760</v>
      </c>
      <c r="E6362" s="501">
        <v>-45015073.43</v>
      </c>
      <c r="F6362" s="502" t="s">
        <v>878</v>
      </c>
      <c r="G6362" s="100">
        <v>116022740</v>
      </c>
      <c r="H6362" s="530"/>
      <c r="I6362" s="422" t="s">
        <v>596</v>
      </c>
      <c r="J6362" s="484"/>
      <c r="K6362" s="548"/>
      <c r="L6362" s="548"/>
      <c r="M6362" s="548"/>
      <c r="N6362" s="552"/>
    </row>
    <row r="6363" spans="1:14">
      <c r="A6363" s="499">
        <v>45706</v>
      </c>
      <c r="B6363" s="499">
        <v>45706</v>
      </c>
      <c r="C6363" s="500" t="s">
        <v>173</v>
      </c>
      <c r="D6363" s="500" t="s">
        <v>760</v>
      </c>
      <c r="E6363" s="501">
        <v>-45033031.619999997</v>
      </c>
      <c r="F6363" s="502" t="s">
        <v>878</v>
      </c>
      <c r="G6363" s="100">
        <v>116022743</v>
      </c>
      <c r="H6363" s="530"/>
      <c r="I6363" s="422" t="s">
        <v>604</v>
      </c>
      <c r="J6363" s="484"/>
      <c r="K6363" s="548"/>
      <c r="L6363" s="548"/>
      <c r="M6363" s="548"/>
      <c r="N6363" s="552"/>
    </row>
    <row r="6364" spans="1:14">
      <c r="A6364" s="499">
        <v>45706</v>
      </c>
      <c r="B6364" s="499">
        <v>45706</v>
      </c>
      <c r="C6364" s="500" t="s">
        <v>173</v>
      </c>
      <c r="D6364" s="500" t="s">
        <v>760</v>
      </c>
      <c r="E6364" s="501">
        <v>-54048460.460000001</v>
      </c>
      <c r="F6364" s="502" t="s">
        <v>878</v>
      </c>
      <c r="G6364" s="100">
        <v>116022746</v>
      </c>
      <c r="H6364" s="530"/>
      <c r="I6364" s="422" t="s">
        <v>690</v>
      </c>
      <c r="J6364" s="484"/>
      <c r="K6364" s="548"/>
      <c r="L6364" s="548"/>
      <c r="M6364" s="548"/>
      <c r="N6364" s="552"/>
    </row>
    <row r="6365" spans="1:14">
      <c r="A6365" s="499">
        <v>45706</v>
      </c>
      <c r="B6365" s="499">
        <v>45706</v>
      </c>
      <c r="C6365" s="500" t="s">
        <v>173</v>
      </c>
      <c r="D6365" s="500" t="s">
        <v>760</v>
      </c>
      <c r="E6365" s="501">
        <v>-59039410.579999998</v>
      </c>
      <c r="F6365" s="502" t="s">
        <v>878</v>
      </c>
      <c r="G6365" s="100">
        <v>116022749</v>
      </c>
      <c r="H6365" s="530"/>
      <c r="I6365" s="422" t="s">
        <v>821</v>
      </c>
      <c r="J6365" s="484"/>
      <c r="K6365" s="548"/>
      <c r="L6365" s="548"/>
      <c r="M6365" s="548"/>
      <c r="N6365" s="552"/>
    </row>
    <row r="6366" spans="1:14">
      <c r="A6366" s="499">
        <v>45706</v>
      </c>
      <c r="B6366" s="499">
        <v>45706</v>
      </c>
      <c r="C6366" s="500" t="s">
        <v>173</v>
      </c>
      <c r="D6366" s="500" t="s">
        <v>760</v>
      </c>
      <c r="E6366" s="501">
        <v>-24009524.399999999</v>
      </c>
      <c r="F6366" s="502" t="s">
        <v>878</v>
      </c>
      <c r="G6366" s="100">
        <v>116022752</v>
      </c>
      <c r="H6366" s="530"/>
      <c r="I6366" s="422" t="s">
        <v>715</v>
      </c>
      <c r="J6366" s="484"/>
      <c r="K6366" s="548"/>
      <c r="L6366" s="548"/>
      <c r="M6366" s="548"/>
      <c r="N6366" s="552"/>
    </row>
    <row r="6367" spans="1:14">
      <c r="A6367" s="499">
        <v>45706</v>
      </c>
      <c r="B6367" s="499">
        <v>45706</v>
      </c>
      <c r="C6367" s="500" t="s">
        <v>173</v>
      </c>
      <c r="D6367" s="500" t="s">
        <v>760</v>
      </c>
      <c r="E6367" s="501">
        <v>-58004266.18</v>
      </c>
      <c r="F6367" s="502" t="s">
        <v>878</v>
      </c>
      <c r="G6367" s="100">
        <v>116023004</v>
      </c>
      <c r="H6367" s="530"/>
      <c r="I6367" s="422" t="s">
        <v>633</v>
      </c>
      <c r="J6367" s="484"/>
      <c r="K6367" s="548"/>
      <c r="L6367" s="548"/>
      <c r="M6367" s="548"/>
      <c r="N6367" s="552"/>
    </row>
    <row r="6368" spans="1:14">
      <c r="A6368" s="499">
        <v>45706</v>
      </c>
      <c r="B6368" s="499">
        <v>45707</v>
      </c>
      <c r="C6368" s="500" t="s">
        <v>173</v>
      </c>
      <c r="D6368" s="500" t="s">
        <v>760</v>
      </c>
      <c r="E6368" s="501">
        <v>24019325.550000001</v>
      </c>
      <c r="F6368" s="502" t="s">
        <v>878</v>
      </c>
      <c r="G6368" s="100">
        <v>116022707</v>
      </c>
      <c r="H6368" s="100">
        <v>116022707</v>
      </c>
      <c r="I6368" s="422" t="s">
        <v>715</v>
      </c>
      <c r="J6368" s="484"/>
      <c r="K6368" s="548"/>
      <c r="L6368" s="548"/>
      <c r="M6368" s="548"/>
      <c r="N6368" s="552"/>
    </row>
    <row r="6369" spans="1:14">
      <c r="A6369" s="499">
        <v>45706</v>
      </c>
      <c r="B6369" s="499">
        <v>45707</v>
      </c>
      <c r="C6369" s="500" t="s">
        <v>173</v>
      </c>
      <c r="D6369" s="500" t="s">
        <v>760</v>
      </c>
      <c r="E6369" s="501">
        <v>30036988.550000001</v>
      </c>
      <c r="F6369" s="502" t="s">
        <v>878</v>
      </c>
      <c r="G6369" s="100">
        <v>116022710</v>
      </c>
      <c r="H6369" s="100">
        <v>116022710</v>
      </c>
      <c r="I6369" s="422" t="s">
        <v>819</v>
      </c>
      <c r="J6369" s="484"/>
      <c r="K6369" s="548"/>
      <c r="L6369" s="548"/>
      <c r="M6369" s="548"/>
      <c r="N6369" s="552"/>
    </row>
    <row r="6370" spans="1:14">
      <c r="A6370" s="499">
        <v>45706</v>
      </c>
      <c r="B6370" s="499">
        <v>45707</v>
      </c>
      <c r="C6370" s="500" t="s">
        <v>173</v>
      </c>
      <c r="D6370" s="500" t="s">
        <v>760</v>
      </c>
      <c r="E6370" s="501">
        <v>33040926.690000001</v>
      </c>
      <c r="F6370" s="502" t="s">
        <v>878</v>
      </c>
      <c r="G6370" s="100">
        <v>116022713</v>
      </c>
      <c r="H6370" s="100">
        <v>116022713</v>
      </c>
      <c r="I6370" s="422" t="s">
        <v>694</v>
      </c>
      <c r="J6370" s="484"/>
      <c r="K6370" s="548"/>
      <c r="L6370" s="548"/>
      <c r="M6370" s="548"/>
      <c r="N6370" s="552"/>
    </row>
    <row r="6371" spans="1:14">
      <c r="A6371" s="499">
        <v>45706</v>
      </c>
      <c r="B6371" s="499">
        <v>45707</v>
      </c>
      <c r="C6371" s="500" t="s">
        <v>173</v>
      </c>
      <c r="D6371" s="500" t="s">
        <v>760</v>
      </c>
      <c r="E6371" s="501">
        <v>34030808.909999996</v>
      </c>
      <c r="F6371" s="502" t="s">
        <v>878</v>
      </c>
      <c r="G6371" s="100">
        <v>116022716</v>
      </c>
      <c r="H6371" s="100">
        <v>116022716</v>
      </c>
      <c r="I6371" s="422" t="s">
        <v>682</v>
      </c>
      <c r="J6371" s="484"/>
      <c r="K6371" s="548"/>
      <c r="L6371" s="548"/>
      <c r="M6371" s="548"/>
      <c r="N6371" s="552"/>
    </row>
    <row r="6372" spans="1:14">
      <c r="A6372" s="499">
        <v>45706</v>
      </c>
      <c r="B6372" s="499">
        <v>45707</v>
      </c>
      <c r="C6372" s="500" t="s">
        <v>173</v>
      </c>
      <c r="D6372" s="500" t="s">
        <v>760</v>
      </c>
      <c r="E6372" s="501">
        <v>35017496.869999997</v>
      </c>
      <c r="F6372" s="502" t="s">
        <v>878</v>
      </c>
      <c r="G6372" s="100">
        <v>116022719</v>
      </c>
      <c r="H6372" s="100">
        <v>116022719</v>
      </c>
      <c r="I6372" s="422" t="s">
        <v>693</v>
      </c>
      <c r="J6372" s="484"/>
      <c r="K6372" s="548"/>
      <c r="L6372" s="548"/>
      <c r="M6372" s="548"/>
      <c r="N6372" s="552"/>
    </row>
    <row r="6373" spans="1:14">
      <c r="A6373" s="499">
        <v>45706</v>
      </c>
      <c r="B6373" s="499">
        <v>45707</v>
      </c>
      <c r="C6373" s="500" t="s">
        <v>173</v>
      </c>
      <c r="D6373" s="500" t="s">
        <v>760</v>
      </c>
      <c r="E6373" s="501">
        <v>39031404.020000003</v>
      </c>
      <c r="F6373" s="502" t="s">
        <v>878</v>
      </c>
      <c r="G6373" s="100">
        <v>116022722</v>
      </c>
      <c r="H6373" s="100">
        <v>116022722</v>
      </c>
      <c r="I6373" s="422" t="s">
        <v>715</v>
      </c>
      <c r="J6373" s="484"/>
      <c r="K6373" s="548"/>
      <c r="L6373" s="548"/>
      <c r="M6373" s="548"/>
      <c r="N6373" s="552"/>
    </row>
    <row r="6374" spans="1:14">
      <c r="A6374" s="499">
        <v>45706</v>
      </c>
      <c r="B6374" s="499">
        <v>45707</v>
      </c>
      <c r="C6374" s="500" t="s">
        <v>173</v>
      </c>
      <c r="D6374" s="500" t="s">
        <v>760</v>
      </c>
      <c r="E6374" s="501">
        <v>42030346.310000002</v>
      </c>
      <c r="F6374" s="502" t="s">
        <v>878</v>
      </c>
      <c r="G6374" s="100">
        <v>116022725</v>
      </c>
      <c r="H6374" s="100">
        <v>116022725</v>
      </c>
      <c r="I6374" s="422" t="s">
        <v>550</v>
      </c>
      <c r="J6374" s="484"/>
      <c r="K6374" s="548"/>
      <c r="L6374" s="548"/>
      <c r="M6374" s="548"/>
      <c r="N6374" s="552"/>
    </row>
    <row r="6375" spans="1:14">
      <c r="A6375" s="499">
        <v>45706</v>
      </c>
      <c r="B6375" s="499">
        <v>45707</v>
      </c>
      <c r="C6375" s="500" t="s">
        <v>173</v>
      </c>
      <c r="D6375" s="500" t="s">
        <v>760</v>
      </c>
      <c r="E6375" s="501">
        <v>43035459.310000002</v>
      </c>
      <c r="F6375" s="502" t="s">
        <v>878</v>
      </c>
      <c r="G6375" s="100">
        <v>116022728</v>
      </c>
      <c r="H6375" s="100">
        <v>116022728</v>
      </c>
      <c r="I6375" s="422" t="s">
        <v>817</v>
      </c>
      <c r="J6375" s="484"/>
      <c r="K6375" s="548"/>
      <c r="L6375" s="548"/>
      <c r="M6375" s="548"/>
      <c r="N6375" s="552"/>
    </row>
    <row r="6376" spans="1:14">
      <c r="A6376" s="499">
        <v>45706</v>
      </c>
      <c r="B6376" s="499">
        <v>45707</v>
      </c>
      <c r="C6376" s="500" t="s">
        <v>173</v>
      </c>
      <c r="D6376" s="500" t="s">
        <v>760</v>
      </c>
      <c r="E6376" s="501">
        <v>18011748.719999999</v>
      </c>
      <c r="F6376" s="502" t="s">
        <v>878</v>
      </c>
      <c r="G6376" s="100">
        <v>116022731</v>
      </c>
      <c r="H6376" s="100">
        <v>116022731</v>
      </c>
      <c r="I6376" s="422" t="s">
        <v>714</v>
      </c>
      <c r="J6376" s="484"/>
      <c r="K6376" s="548"/>
      <c r="L6376" s="548"/>
      <c r="M6376" s="548"/>
      <c r="N6376" s="552"/>
    </row>
    <row r="6377" spans="1:14">
      <c r="A6377" s="499">
        <v>45706</v>
      </c>
      <c r="B6377" s="499">
        <v>45707</v>
      </c>
      <c r="C6377" s="500" t="s">
        <v>173</v>
      </c>
      <c r="D6377" s="500" t="s">
        <v>760</v>
      </c>
      <c r="E6377" s="501">
        <v>26016970.379999999</v>
      </c>
      <c r="F6377" s="502" t="s">
        <v>878</v>
      </c>
      <c r="G6377" s="100">
        <v>116022734</v>
      </c>
      <c r="H6377" s="100">
        <v>116022734</v>
      </c>
      <c r="I6377" s="422" t="s">
        <v>714</v>
      </c>
      <c r="J6377" s="484"/>
      <c r="K6377" s="548"/>
      <c r="L6377" s="548"/>
      <c r="M6377" s="548"/>
      <c r="N6377" s="552"/>
    </row>
    <row r="6378" spans="1:14">
      <c r="A6378" s="499">
        <v>45706</v>
      </c>
      <c r="B6378" s="499">
        <v>45707</v>
      </c>
      <c r="C6378" s="500" t="s">
        <v>173</v>
      </c>
      <c r="D6378" s="500" t="s">
        <v>760</v>
      </c>
      <c r="E6378" s="501">
        <v>45050478.359999999</v>
      </c>
      <c r="F6378" s="502" t="s">
        <v>878</v>
      </c>
      <c r="G6378" s="100">
        <v>116022737</v>
      </c>
      <c r="H6378" s="100">
        <v>116022737</v>
      </c>
      <c r="I6378" s="422" t="s">
        <v>719</v>
      </c>
      <c r="J6378" s="484"/>
      <c r="K6378" s="548"/>
      <c r="L6378" s="548"/>
      <c r="M6378" s="548"/>
      <c r="N6378" s="552"/>
    </row>
    <row r="6379" spans="1:14">
      <c r="A6379" s="499">
        <v>45706</v>
      </c>
      <c r="B6379" s="499">
        <v>45707</v>
      </c>
      <c r="C6379" s="500" t="s">
        <v>173</v>
      </c>
      <c r="D6379" s="500" t="s">
        <v>760</v>
      </c>
      <c r="E6379" s="501">
        <v>45033449.450000003</v>
      </c>
      <c r="F6379" s="502" t="s">
        <v>878</v>
      </c>
      <c r="G6379" s="100">
        <v>116022740</v>
      </c>
      <c r="H6379" s="100">
        <v>116022740</v>
      </c>
      <c r="I6379" s="422" t="s">
        <v>596</v>
      </c>
      <c r="J6379" s="484"/>
      <c r="K6379" s="548"/>
      <c r="L6379" s="548"/>
      <c r="M6379" s="548"/>
      <c r="N6379" s="552"/>
    </row>
    <row r="6380" spans="1:14">
      <c r="A6380" s="499">
        <v>45706</v>
      </c>
      <c r="B6380" s="499">
        <v>45707</v>
      </c>
      <c r="C6380" s="500" t="s">
        <v>173</v>
      </c>
      <c r="D6380" s="500" t="s">
        <v>760</v>
      </c>
      <c r="E6380" s="501">
        <v>45051414.969999999</v>
      </c>
      <c r="F6380" s="502" t="s">
        <v>878</v>
      </c>
      <c r="G6380" s="100">
        <v>116022743</v>
      </c>
      <c r="H6380" s="100">
        <v>116022743</v>
      </c>
      <c r="I6380" s="422" t="s">
        <v>604</v>
      </c>
      <c r="J6380" s="484"/>
      <c r="K6380" s="548"/>
      <c r="L6380" s="548"/>
      <c r="M6380" s="548"/>
      <c r="N6380" s="552"/>
    </row>
    <row r="6381" spans="1:14">
      <c r="A6381" s="499">
        <v>45706</v>
      </c>
      <c r="B6381" s="499">
        <v>45707</v>
      </c>
      <c r="C6381" s="500" t="s">
        <v>173</v>
      </c>
      <c r="D6381" s="500" t="s">
        <v>760</v>
      </c>
      <c r="E6381" s="501">
        <v>54070524.079999998</v>
      </c>
      <c r="F6381" s="502" t="s">
        <v>878</v>
      </c>
      <c r="G6381" s="100">
        <v>116022746</v>
      </c>
      <c r="H6381" s="100">
        <v>116022746</v>
      </c>
      <c r="I6381" s="422" t="s">
        <v>690</v>
      </c>
      <c r="J6381" s="484"/>
      <c r="K6381" s="548"/>
      <c r="L6381" s="548"/>
      <c r="M6381" s="548"/>
      <c r="N6381" s="552"/>
    </row>
    <row r="6382" spans="1:14">
      <c r="A6382" s="499">
        <v>45706</v>
      </c>
      <c r="B6382" s="499">
        <v>45707</v>
      </c>
      <c r="C6382" s="500" t="s">
        <v>173</v>
      </c>
      <c r="D6382" s="500" t="s">
        <v>760</v>
      </c>
      <c r="E6382" s="501">
        <v>59063511.600000001</v>
      </c>
      <c r="F6382" s="502" t="s">
        <v>878</v>
      </c>
      <c r="G6382" s="100">
        <v>116022749</v>
      </c>
      <c r="H6382" s="100">
        <v>116022749</v>
      </c>
      <c r="I6382" s="422" t="s">
        <v>821</v>
      </c>
      <c r="J6382" s="484"/>
      <c r="K6382" s="548"/>
      <c r="L6382" s="548"/>
      <c r="M6382" s="548"/>
      <c r="N6382" s="552"/>
    </row>
    <row r="6383" spans="1:14">
      <c r="A6383" s="499">
        <v>45706</v>
      </c>
      <c r="B6383" s="499">
        <v>45707</v>
      </c>
      <c r="C6383" s="500" t="s">
        <v>173</v>
      </c>
      <c r="D6383" s="500" t="s">
        <v>760</v>
      </c>
      <c r="E6383" s="501">
        <v>24019325.550000001</v>
      </c>
      <c r="F6383" s="502" t="s">
        <v>878</v>
      </c>
      <c r="G6383" s="100">
        <v>116022752</v>
      </c>
      <c r="H6383" s="100">
        <v>116022752</v>
      </c>
      <c r="I6383" s="422" t="s">
        <v>715</v>
      </c>
      <c r="J6383" s="484"/>
      <c r="K6383" s="548"/>
      <c r="L6383" s="548"/>
      <c r="M6383" s="548"/>
      <c r="N6383" s="552"/>
    </row>
    <row r="6384" spans="1:14">
      <c r="A6384" s="499">
        <v>45706</v>
      </c>
      <c r="B6384" s="499">
        <v>45707</v>
      </c>
      <c r="C6384" s="500" t="s">
        <v>173</v>
      </c>
      <c r="D6384" s="500" t="s">
        <v>760</v>
      </c>
      <c r="E6384" s="501">
        <v>58027944.469999999</v>
      </c>
      <c r="F6384" s="502" t="s">
        <v>878</v>
      </c>
      <c r="G6384" s="100">
        <v>116023004</v>
      </c>
      <c r="H6384" s="100">
        <v>116023004</v>
      </c>
      <c r="I6384" s="422" t="s">
        <v>633</v>
      </c>
      <c r="J6384" s="484"/>
      <c r="K6384" s="548"/>
      <c r="L6384" s="548"/>
      <c r="M6384" s="548"/>
      <c r="N6384" s="552"/>
    </row>
    <row r="6385" spans="1:14">
      <c r="A6385" s="499">
        <v>45706</v>
      </c>
      <c r="B6385" s="499">
        <v>45706</v>
      </c>
      <c r="C6385" s="500" t="s">
        <v>173</v>
      </c>
      <c r="D6385" s="500" t="s">
        <v>763</v>
      </c>
      <c r="E6385" s="501">
        <v>-6012442211.46</v>
      </c>
      <c r="F6385" s="502" t="s">
        <v>878</v>
      </c>
      <c r="G6385" s="100">
        <v>116025806</v>
      </c>
      <c r="H6385" s="530"/>
      <c r="I6385" s="422" t="s">
        <v>633</v>
      </c>
      <c r="J6385" s="484"/>
      <c r="K6385" s="548"/>
      <c r="L6385" s="548"/>
      <c r="M6385" s="548"/>
      <c r="N6385" s="552"/>
    </row>
    <row r="6386" spans="1:14">
      <c r="A6386" s="499">
        <v>45706</v>
      </c>
      <c r="B6386" s="499">
        <v>45706</v>
      </c>
      <c r="C6386" s="500" t="s">
        <v>173</v>
      </c>
      <c r="D6386" s="500" t="s">
        <v>763</v>
      </c>
      <c r="E6386" s="501">
        <v>-28002059.530000001</v>
      </c>
      <c r="F6386" s="502" t="s">
        <v>878</v>
      </c>
      <c r="G6386" s="100">
        <v>116025824</v>
      </c>
      <c r="H6386" s="530"/>
      <c r="I6386" s="422" t="s">
        <v>633</v>
      </c>
      <c r="J6386" s="484"/>
      <c r="K6386" s="548"/>
      <c r="L6386" s="548"/>
      <c r="M6386" s="548"/>
      <c r="N6386" s="552"/>
    </row>
    <row r="6387" spans="1:14">
      <c r="A6387" s="499">
        <v>45706</v>
      </c>
      <c r="B6387" s="499">
        <v>45707</v>
      </c>
      <c r="C6387" s="500" t="s">
        <v>173</v>
      </c>
      <c r="D6387" s="500" t="s">
        <v>763</v>
      </c>
      <c r="E6387" s="501">
        <v>6014913094.5900002</v>
      </c>
      <c r="F6387" s="502" t="s">
        <v>878</v>
      </c>
      <c r="G6387" s="100">
        <v>116025806</v>
      </c>
      <c r="H6387" s="100">
        <v>116025806</v>
      </c>
      <c r="I6387" s="422" t="s">
        <v>633</v>
      </c>
      <c r="J6387" s="484"/>
      <c r="K6387" s="548"/>
      <c r="L6387" s="548"/>
      <c r="M6387" s="548"/>
      <c r="N6387" s="552"/>
    </row>
    <row r="6388" spans="1:14">
      <c r="A6388" s="499">
        <v>45706</v>
      </c>
      <c r="B6388" s="499">
        <v>45707</v>
      </c>
      <c r="C6388" s="500" t="s">
        <v>173</v>
      </c>
      <c r="D6388" s="500" t="s">
        <v>763</v>
      </c>
      <c r="E6388" s="501">
        <v>28013567.300000001</v>
      </c>
      <c r="F6388" s="502" t="s">
        <v>878</v>
      </c>
      <c r="G6388" s="100">
        <v>116025824</v>
      </c>
      <c r="H6388" s="100">
        <v>116025824</v>
      </c>
      <c r="I6388" s="422" t="s">
        <v>633</v>
      </c>
      <c r="J6388" s="484"/>
      <c r="K6388" s="548"/>
      <c r="L6388" s="548"/>
      <c r="M6388" s="548"/>
      <c r="N6388" s="552"/>
    </row>
    <row r="6389" spans="1:14">
      <c r="A6389" s="499">
        <v>45707</v>
      </c>
      <c r="B6389" s="499">
        <v>45707</v>
      </c>
      <c r="C6389" s="500" t="s">
        <v>173</v>
      </c>
      <c r="D6389" s="500" t="s">
        <v>761</v>
      </c>
      <c r="E6389" s="501">
        <v>-83021651.379999995</v>
      </c>
      <c r="F6389" s="502" t="s">
        <v>878</v>
      </c>
      <c r="G6389" s="100">
        <v>116042651</v>
      </c>
      <c r="H6389" s="530"/>
      <c r="I6389" s="422" t="s">
        <v>681</v>
      </c>
      <c r="J6389" s="484"/>
      <c r="K6389" s="548"/>
      <c r="L6389" s="548"/>
      <c r="M6389" s="548"/>
      <c r="N6389" s="552"/>
    </row>
    <row r="6390" spans="1:14">
      <c r="A6390" s="499">
        <v>45707</v>
      </c>
      <c r="B6390" s="499">
        <v>45707</v>
      </c>
      <c r="C6390" s="500" t="s">
        <v>173</v>
      </c>
      <c r="D6390" s="500" t="s">
        <v>761</v>
      </c>
      <c r="E6390" s="501">
        <v>-2183225472.3000002</v>
      </c>
      <c r="F6390" s="502" t="s">
        <v>878</v>
      </c>
      <c r="G6390" s="100">
        <v>116042654</v>
      </c>
      <c r="H6390" s="530"/>
      <c r="I6390" s="422" t="s">
        <v>654</v>
      </c>
      <c r="J6390" s="484"/>
      <c r="K6390" s="548"/>
      <c r="L6390" s="548"/>
      <c r="M6390" s="548"/>
      <c r="N6390" s="552"/>
    </row>
    <row r="6391" spans="1:14">
      <c r="A6391" s="499">
        <v>45707</v>
      </c>
      <c r="B6391" s="499">
        <v>45707</v>
      </c>
      <c r="C6391" s="500" t="s">
        <v>173</v>
      </c>
      <c r="D6391" s="500" t="s">
        <v>761</v>
      </c>
      <c r="E6391" s="501">
        <v>-10004906.99</v>
      </c>
      <c r="F6391" s="502" t="s">
        <v>878</v>
      </c>
      <c r="G6391" s="100">
        <v>116045715</v>
      </c>
      <c r="H6391" s="530"/>
      <c r="I6391" s="422" t="s">
        <v>682</v>
      </c>
      <c r="J6391" s="484"/>
      <c r="K6391" s="548"/>
      <c r="L6391" s="548"/>
      <c r="M6391" s="548"/>
      <c r="N6391" s="552"/>
    </row>
    <row r="6392" spans="1:14">
      <c r="A6392" s="499">
        <v>45707</v>
      </c>
      <c r="B6392" s="499">
        <v>45707</v>
      </c>
      <c r="C6392" s="500" t="s">
        <v>173</v>
      </c>
      <c r="D6392" s="500" t="s">
        <v>761</v>
      </c>
      <c r="E6392" s="501">
        <v>-994127709.12</v>
      </c>
      <c r="F6392" s="502" t="s">
        <v>878</v>
      </c>
      <c r="G6392" s="100">
        <v>116046618</v>
      </c>
      <c r="H6392" s="530"/>
      <c r="I6392" s="422" t="s">
        <v>687</v>
      </c>
      <c r="J6392" s="484"/>
      <c r="K6392" s="548"/>
      <c r="L6392" s="548"/>
      <c r="M6392" s="548"/>
      <c r="N6392" s="552"/>
    </row>
    <row r="6393" spans="1:14">
      <c r="A6393" s="499">
        <v>45707</v>
      </c>
      <c r="B6393" s="499">
        <v>45707</v>
      </c>
      <c r="C6393" s="500" t="s">
        <v>173</v>
      </c>
      <c r="D6393" s="500" t="s">
        <v>761</v>
      </c>
      <c r="E6393" s="501">
        <v>-5000026.8600000003</v>
      </c>
      <c r="F6393" s="502" t="s">
        <v>878</v>
      </c>
      <c r="G6393" s="100">
        <v>116046791</v>
      </c>
      <c r="H6393" s="530"/>
      <c r="I6393" s="422" t="s">
        <v>1018</v>
      </c>
      <c r="J6393" s="484"/>
      <c r="K6393" s="548"/>
      <c r="L6393" s="548"/>
      <c r="M6393" s="548"/>
      <c r="N6393" s="552"/>
    </row>
    <row r="6394" spans="1:14">
      <c r="A6394" s="499">
        <v>45707</v>
      </c>
      <c r="B6394" s="499">
        <v>45714</v>
      </c>
      <c r="C6394" s="500" t="s">
        <v>173</v>
      </c>
      <c r="D6394" s="500" t="s">
        <v>761</v>
      </c>
      <c r="E6394" s="501">
        <v>83265257.379999995</v>
      </c>
      <c r="F6394" s="502" t="s">
        <v>878</v>
      </c>
      <c r="G6394" s="100">
        <v>116042651</v>
      </c>
      <c r="H6394" s="484">
        <v>116042651</v>
      </c>
      <c r="I6394" s="422" t="s">
        <v>681</v>
      </c>
      <c r="J6394" s="484"/>
      <c r="K6394" s="548"/>
      <c r="L6394" s="548"/>
      <c r="M6394" s="548"/>
      <c r="N6394" s="552"/>
    </row>
    <row r="6395" spans="1:14">
      <c r="A6395" s="499">
        <v>45707</v>
      </c>
      <c r="B6395" s="499">
        <v>45714</v>
      </c>
      <c r="C6395" s="500" t="s">
        <v>173</v>
      </c>
      <c r="D6395" s="500" t="s">
        <v>761</v>
      </c>
      <c r="E6395" s="501">
        <v>2189631594.1700001</v>
      </c>
      <c r="F6395" s="502" t="s">
        <v>878</v>
      </c>
      <c r="G6395" s="100">
        <v>116042654</v>
      </c>
      <c r="H6395" s="484">
        <v>116042654</v>
      </c>
      <c r="I6395" s="422" t="s">
        <v>654</v>
      </c>
      <c r="J6395" s="484"/>
      <c r="K6395" s="548"/>
      <c r="L6395" s="548"/>
      <c r="M6395" s="548"/>
      <c r="N6395" s="552"/>
    </row>
    <row r="6396" spans="1:14">
      <c r="A6396" s="499">
        <v>45707</v>
      </c>
      <c r="B6396" s="499">
        <v>45714</v>
      </c>
      <c r="C6396" s="500" t="s">
        <v>173</v>
      </c>
      <c r="D6396" s="500" t="s">
        <v>761</v>
      </c>
      <c r="E6396" s="501">
        <v>10033784.359999999</v>
      </c>
      <c r="F6396" s="502" t="s">
        <v>878</v>
      </c>
      <c r="G6396" s="100">
        <v>116045715</v>
      </c>
      <c r="H6396" s="484">
        <v>116045715</v>
      </c>
      <c r="I6396" s="422" t="s">
        <v>682</v>
      </c>
      <c r="J6396" s="484"/>
      <c r="K6396" s="548"/>
      <c r="L6396" s="548"/>
      <c r="M6396" s="548"/>
      <c r="N6396" s="552"/>
    </row>
    <row r="6397" spans="1:14">
      <c r="A6397" s="499">
        <v>45707</v>
      </c>
      <c r="B6397" s="499">
        <v>45708</v>
      </c>
      <c r="C6397" s="500" t="s">
        <v>173</v>
      </c>
      <c r="D6397" s="500" t="s">
        <v>761</v>
      </c>
      <c r="E6397" s="501">
        <v>994538978.38999999</v>
      </c>
      <c r="F6397" s="502" t="s">
        <v>878</v>
      </c>
      <c r="G6397" s="100">
        <v>116046618</v>
      </c>
      <c r="H6397" s="484">
        <v>116046618</v>
      </c>
      <c r="I6397" s="422" t="s">
        <v>687</v>
      </c>
      <c r="J6397" s="484"/>
      <c r="K6397" s="548"/>
      <c r="L6397" s="548"/>
      <c r="M6397" s="548"/>
      <c r="N6397" s="552"/>
    </row>
    <row r="6398" spans="1:14">
      <c r="A6398" s="499">
        <v>45707</v>
      </c>
      <c r="B6398" s="499">
        <v>45708</v>
      </c>
      <c r="C6398" s="500" t="s">
        <v>173</v>
      </c>
      <c r="D6398" s="500" t="s">
        <v>761</v>
      </c>
      <c r="E6398" s="501">
        <v>5002081.7300000004</v>
      </c>
      <c r="F6398" s="502" t="s">
        <v>878</v>
      </c>
      <c r="G6398" s="100">
        <v>116046791</v>
      </c>
      <c r="H6398" s="484">
        <v>116046791</v>
      </c>
      <c r="I6398" s="422" t="s">
        <v>1018</v>
      </c>
      <c r="J6398" s="484"/>
      <c r="K6398" s="548"/>
      <c r="L6398" s="548">
        <v>-1</v>
      </c>
      <c r="M6398" s="548"/>
      <c r="N6398" s="552"/>
    </row>
    <row r="6399" spans="1:14">
      <c r="A6399" s="499">
        <v>45707</v>
      </c>
      <c r="B6399" s="499">
        <v>45707</v>
      </c>
      <c r="C6399" s="500" t="s">
        <v>173</v>
      </c>
      <c r="D6399" s="500" t="s">
        <v>759</v>
      </c>
      <c r="E6399" s="501">
        <v>-120010140.59999999</v>
      </c>
      <c r="F6399" s="502" t="s">
        <v>878</v>
      </c>
      <c r="G6399" s="100">
        <v>116044244</v>
      </c>
      <c r="H6399" s="530"/>
      <c r="I6399" s="422" t="s">
        <v>684</v>
      </c>
      <c r="J6399" s="484"/>
      <c r="K6399" s="548"/>
      <c r="L6399" s="548"/>
      <c r="M6399" s="548"/>
      <c r="N6399" s="552"/>
    </row>
    <row r="6400" spans="1:14">
      <c r="A6400" s="499">
        <v>45707</v>
      </c>
      <c r="B6400" s="499">
        <v>45707</v>
      </c>
      <c r="C6400" s="500" t="s">
        <v>173</v>
      </c>
      <c r="D6400" s="500" t="s">
        <v>759</v>
      </c>
      <c r="E6400" s="501">
        <v>-232085080.90000001</v>
      </c>
      <c r="F6400" s="502" t="s">
        <v>878</v>
      </c>
      <c r="G6400" s="100">
        <v>116044247</v>
      </c>
      <c r="H6400" s="530"/>
      <c r="I6400" s="422" t="s">
        <v>701</v>
      </c>
      <c r="J6400" s="484"/>
      <c r="K6400" s="548"/>
      <c r="L6400" s="548"/>
      <c r="M6400" s="548"/>
      <c r="N6400" s="552"/>
    </row>
    <row r="6401" spans="1:14">
      <c r="A6401" s="499">
        <v>45707</v>
      </c>
      <c r="B6401" s="499">
        <v>45707</v>
      </c>
      <c r="C6401" s="500" t="s">
        <v>173</v>
      </c>
      <c r="D6401" s="500" t="s">
        <v>759</v>
      </c>
      <c r="E6401" s="501">
        <v>-261240424.59</v>
      </c>
      <c r="F6401" s="502" t="s">
        <v>878</v>
      </c>
      <c r="G6401" s="100">
        <v>116044250</v>
      </c>
      <c r="H6401" s="530"/>
      <c r="I6401" s="422" t="s">
        <v>688</v>
      </c>
      <c r="J6401" s="484"/>
      <c r="K6401" s="548"/>
      <c r="L6401" s="548"/>
      <c r="M6401" s="548"/>
      <c r="N6401" s="552"/>
    </row>
    <row r="6402" spans="1:14">
      <c r="A6402" s="499">
        <v>45707</v>
      </c>
      <c r="B6402" s="499">
        <v>45707</v>
      </c>
      <c r="C6402" s="500" t="s">
        <v>173</v>
      </c>
      <c r="D6402" s="500" t="s">
        <v>759</v>
      </c>
      <c r="E6402" s="501">
        <v>-617052139.59000003</v>
      </c>
      <c r="F6402" s="502" t="s">
        <v>878</v>
      </c>
      <c r="G6402" s="100">
        <v>116044253</v>
      </c>
      <c r="H6402" s="530"/>
      <c r="I6402" s="422" t="s">
        <v>684</v>
      </c>
      <c r="J6402" s="484"/>
      <c r="K6402" s="548"/>
      <c r="L6402" s="548"/>
      <c r="M6402" s="548"/>
      <c r="N6402" s="552"/>
    </row>
    <row r="6403" spans="1:14">
      <c r="A6403" s="499">
        <v>45707</v>
      </c>
      <c r="B6403" s="499">
        <v>45707</v>
      </c>
      <c r="C6403" s="500" t="s">
        <v>173</v>
      </c>
      <c r="D6403" s="500" t="s">
        <v>759</v>
      </c>
      <c r="E6403" s="501">
        <v>-633153643.02999997</v>
      </c>
      <c r="F6403" s="502" t="s">
        <v>878</v>
      </c>
      <c r="G6403" s="100">
        <v>116044256</v>
      </c>
      <c r="H6403" s="530"/>
      <c r="I6403" s="422" t="s">
        <v>696</v>
      </c>
      <c r="J6403" s="484"/>
      <c r="K6403" s="548"/>
      <c r="L6403" s="548"/>
      <c r="M6403" s="548"/>
      <c r="N6403" s="552"/>
    </row>
    <row r="6404" spans="1:14">
      <c r="A6404" s="499">
        <v>45707</v>
      </c>
      <c r="B6404" s="499">
        <v>45707</v>
      </c>
      <c r="C6404" s="500" t="s">
        <v>173</v>
      </c>
      <c r="D6404" s="500" t="s">
        <v>759</v>
      </c>
      <c r="E6404" s="501">
        <v>-635053660.67999995</v>
      </c>
      <c r="F6404" s="502" t="s">
        <v>878</v>
      </c>
      <c r="G6404" s="100">
        <v>116044259</v>
      </c>
      <c r="H6404" s="530"/>
      <c r="I6404" s="422" t="s">
        <v>684</v>
      </c>
      <c r="J6404" s="484"/>
      <c r="K6404" s="548"/>
      <c r="L6404" s="548"/>
      <c r="M6404" s="548"/>
      <c r="N6404" s="552"/>
    </row>
    <row r="6405" spans="1:14">
      <c r="A6405" s="499">
        <v>45707</v>
      </c>
      <c r="B6405" s="499">
        <v>45707</v>
      </c>
      <c r="C6405" s="500" t="s">
        <v>173</v>
      </c>
      <c r="D6405" s="500" t="s">
        <v>759</v>
      </c>
      <c r="E6405" s="501">
        <v>-637042419.10000002</v>
      </c>
      <c r="F6405" s="502" t="s">
        <v>878</v>
      </c>
      <c r="G6405" s="100">
        <v>116044262</v>
      </c>
      <c r="H6405" s="530"/>
      <c r="I6405" s="422" t="s">
        <v>675</v>
      </c>
      <c r="J6405" s="484"/>
      <c r="K6405" s="548"/>
      <c r="L6405" s="548"/>
      <c r="M6405" s="548"/>
      <c r="N6405" s="552"/>
    </row>
    <row r="6406" spans="1:14">
      <c r="A6406" s="499">
        <v>45707</v>
      </c>
      <c r="B6406" s="499">
        <v>45707</v>
      </c>
      <c r="C6406" s="500" t="s">
        <v>173</v>
      </c>
      <c r="D6406" s="500" t="s">
        <v>759</v>
      </c>
      <c r="E6406" s="501">
        <v>-638154856.63999999</v>
      </c>
      <c r="F6406" s="502" t="s">
        <v>878</v>
      </c>
      <c r="G6406" s="100">
        <v>116044265</v>
      </c>
      <c r="H6406" s="530"/>
      <c r="I6406" s="422" t="s">
        <v>696</v>
      </c>
      <c r="J6406" s="484"/>
      <c r="K6406" s="548"/>
      <c r="L6406" s="548"/>
      <c r="M6406" s="548"/>
      <c r="N6406" s="552"/>
    </row>
    <row r="6407" spans="1:14">
      <c r="A6407" s="499">
        <v>45707</v>
      </c>
      <c r="B6407" s="499">
        <v>45707</v>
      </c>
      <c r="C6407" s="500" t="s">
        <v>173</v>
      </c>
      <c r="D6407" s="500" t="s">
        <v>759</v>
      </c>
      <c r="E6407" s="501">
        <v>-640627845.12</v>
      </c>
      <c r="F6407" s="502" t="s">
        <v>878</v>
      </c>
      <c r="G6407" s="100">
        <v>116044268</v>
      </c>
      <c r="H6407" s="530"/>
      <c r="I6407" s="422" t="s">
        <v>678</v>
      </c>
      <c r="J6407" s="484"/>
      <c r="K6407" s="548"/>
      <c r="L6407" s="548"/>
      <c r="M6407" s="548"/>
      <c r="N6407" s="552"/>
    </row>
    <row r="6408" spans="1:14">
      <c r="A6408" s="499">
        <v>45707</v>
      </c>
      <c r="B6408" s="499">
        <v>45707</v>
      </c>
      <c r="C6408" s="500" t="s">
        <v>173</v>
      </c>
      <c r="D6408" s="500" t="s">
        <v>759</v>
      </c>
      <c r="E6408" s="501">
        <v>-643305862.24000001</v>
      </c>
      <c r="F6408" s="502" t="s">
        <v>878</v>
      </c>
      <c r="G6408" s="100">
        <v>116044271</v>
      </c>
      <c r="H6408" s="530"/>
      <c r="I6408" s="422" t="s">
        <v>677</v>
      </c>
      <c r="J6408" s="484"/>
      <c r="K6408" s="548"/>
      <c r="L6408" s="548"/>
      <c r="M6408" s="548"/>
      <c r="N6408" s="552"/>
    </row>
    <row r="6409" spans="1:14">
      <c r="A6409" s="499">
        <v>45707</v>
      </c>
      <c r="B6409" s="499">
        <v>45707</v>
      </c>
      <c r="C6409" s="500" t="s">
        <v>173</v>
      </c>
      <c r="D6409" s="500" t="s">
        <v>759</v>
      </c>
      <c r="E6409" s="501">
        <v>-650309192</v>
      </c>
      <c r="F6409" s="502" t="s">
        <v>878</v>
      </c>
      <c r="G6409" s="100">
        <v>116044278</v>
      </c>
      <c r="H6409" s="530"/>
      <c r="I6409" s="422" t="s">
        <v>677</v>
      </c>
      <c r="J6409" s="484"/>
      <c r="K6409" s="548"/>
      <c r="L6409" s="548"/>
      <c r="M6409" s="548"/>
      <c r="N6409" s="552"/>
    </row>
    <row r="6410" spans="1:14">
      <c r="A6410" s="499">
        <v>45707</v>
      </c>
      <c r="B6410" s="499">
        <v>45707</v>
      </c>
      <c r="C6410" s="500" t="s">
        <v>173</v>
      </c>
      <c r="D6410" s="500" t="s">
        <v>759</v>
      </c>
      <c r="E6410" s="501">
        <v>-657113927.09000003</v>
      </c>
      <c r="F6410" s="502" t="s">
        <v>878</v>
      </c>
      <c r="G6410" s="100">
        <v>116044281</v>
      </c>
      <c r="H6410" s="530"/>
      <c r="I6410" s="422" t="s">
        <v>695</v>
      </c>
      <c r="J6410" s="484"/>
      <c r="K6410" s="548"/>
      <c r="L6410" s="548"/>
      <c r="M6410" s="548"/>
      <c r="N6410" s="552"/>
    </row>
    <row r="6411" spans="1:14">
      <c r="A6411" s="499">
        <v>45707</v>
      </c>
      <c r="B6411" s="499">
        <v>45707</v>
      </c>
      <c r="C6411" s="500" t="s">
        <v>173</v>
      </c>
      <c r="D6411" s="500" t="s">
        <v>759</v>
      </c>
      <c r="E6411" s="501">
        <v>-274094231.33999997</v>
      </c>
      <c r="F6411" s="502" t="s">
        <v>878</v>
      </c>
      <c r="G6411" s="100">
        <v>116044992</v>
      </c>
      <c r="H6411" s="530"/>
      <c r="I6411" s="422" t="s">
        <v>656</v>
      </c>
      <c r="J6411" s="484"/>
      <c r="K6411" s="548"/>
      <c r="L6411" s="548"/>
      <c r="M6411" s="548"/>
      <c r="N6411" s="552"/>
    </row>
    <row r="6412" spans="1:14">
      <c r="A6412" s="499">
        <v>45707</v>
      </c>
      <c r="B6412" s="499">
        <v>45707</v>
      </c>
      <c r="C6412" s="500" t="s">
        <v>173</v>
      </c>
      <c r="D6412" s="500" t="s">
        <v>759</v>
      </c>
      <c r="E6412" s="501">
        <v>-29000155.809999999</v>
      </c>
      <c r="F6412" s="502" t="s">
        <v>878</v>
      </c>
      <c r="G6412" s="100">
        <v>116045081</v>
      </c>
      <c r="H6412" s="100"/>
      <c r="I6412" s="422" t="s">
        <v>1018</v>
      </c>
      <c r="J6412" s="484"/>
      <c r="K6412" s="548"/>
      <c r="L6412" s="548"/>
      <c r="M6412" s="548"/>
      <c r="N6412" s="552"/>
    </row>
    <row r="6413" spans="1:14">
      <c r="A6413" s="499">
        <v>45707</v>
      </c>
      <c r="B6413" s="499">
        <v>45708</v>
      </c>
      <c r="C6413" s="500" t="s">
        <v>173</v>
      </c>
      <c r="D6413" s="500" t="s">
        <v>759</v>
      </c>
      <c r="E6413" s="501">
        <v>120059788.63</v>
      </c>
      <c r="F6413" s="502" t="s">
        <v>878</v>
      </c>
      <c r="G6413" s="100">
        <v>116044244</v>
      </c>
      <c r="H6413" s="100">
        <v>116044244</v>
      </c>
      <c r="I6413" s="422" t="s">
        <v>684</v>
      </c>
      <c r="J6413" s="484"/>
      <c r="K6413" s="548"/>
      <c r="L6413" s="548"/>
      <c r="M6413" s="548"/>
      <c r="N6413" s="552"/>
    </row>
    <row r="6414" spans="1:14">
      <c r="A6414" s="499">
        <v>45707</v>
      </c>
      <c r="B6414" s="499">
        <v>45708</v>
      </c>
      <c r="C6414" s="500" t="s">
        <v>173</v>
      </c>
      <c r="D6414" s="500" t="s">
        <v>759</v>
      </c>
      <c r="E6414" s="501">
        <v>232181094.18000001</v>
      </c>
      <c r="F6414" s="502" t="s">
        <v>878</v>
      </c>
      <c r="G6414" s="100">
        <v>116044247</v>
      </c>
      <c r="H6414" s="100">
        <v>116044247</v>
      </c>
      <c r="I6414" s="422" t="s">
        <v>701</v>
      </c>
      <c r="J6414" s="484"/>
      <c r="K6414" s="548"/>
      <c r="L6414" s="548"/>
      <c r="M6414" s="548"/>
      <c r="N6414" s="552"/>
    </row>
    <row r="6415" spans="1:14">
      <c r="A6415" s="499">
        <v>45707</v>
      </c>
      <c r="B6415" s="499">
        <v>45708</v>
      </c>
      <c r="C6415" s="500" t="s">
        <v>173</v>
      </c>
      <c r="D6415" s="500" t="s">
        <v>759</v>
      </c>
      <c r="E6415" s="501">
        <v>261348499.40000001</v>
      </c>
      <c r="F6415" s="502" t="s">
        <v>878</v>
      </c>
      <c r="G6415" s="100">
        <v>116044250</v>
      </c>
      <c r="H6415" s="100">
        <v>116044250</v>
      </c>
      <c r="I6415" s="422" t="s">
        <v>688</v>
      </c>
      <c r="J6415" s="484"/>
      <c r="K6415" s="548"/>
      <c r="L6415" s="548"/>
      <c r="M6415" s="548"/>
      <c r="N6415" s="552"/>
    </row>
    <row r="6416" spans="1:14">
      <c r="A6416" s="499">
        <v>45707</v>
      </c>
      <c r="B6416" s="499">
        <v>45708</v>
      </c>
      <c r="C6416" s="500" t="s">
        <v>173</v>
      </c>
      <c r="D6416" s="500" t="s">
        <v>759</v>
      </c>
      <c r="E6416" s="501">
        <v>617307413.21000004</v>
      </c>
      <c r="F6416" s="502" t="s">
        <v>878</v>
      </c>
      <c r="G6416" s="100">
        <v>116044253</v>
      </c>
      <c r="H6416" s="100">
        <v>116044253</v>
      </c>
      <c r="I6416" s="422" t="s">
        <v>684</v>
      </c>
      <c r="J6416" s="484"/>
      <c r="K6416" s="548"/>
      <c r="L6416" s="548"/>
      <c r="M6416" s="548"/>
      <c r="N6416" s="552"/>
    </row>
    <row r="6417" spans="1:14">
      <c r="A6417" s="499">
        <v>45707</v>
      </c>
      <c r="B6417" s="499">
        <v>45708</v>
      </c>
      <c r="C6417" s="500" t="s">
        <v>173</v>
      </c>
      <c r="D6417" s="500" t="s">
        <v>759</v>
      </c>
      <c r="E6417" s="501">
        <v>633415577.82000005</v>
      </c>
      <c r="F6417" s="502" t="s">
        <v>878</v>
      </c>
      <c r="G6417" s="100">
        <v>116044256</v>
      </c>
      <c r="H6417" s="100">
        <v>116044256</v>
      </c>
      <c r="I6417" s="422" t="s">
        <v>696</v>
      </c>
      <c r="J6417" s="484"/>
      <c r="K6417" s="548"/>
      <c r="L6417" s="548"/>
      <c r="M6417" s="548"/>
      <c r="N6417" s="552"/>
    </row>
    <row r="6418" spans="1:14">
      <c r="A6418" s="499">
        <v>45707</v>
      </c>
      <c r="B6418" s="499">
        <v>45708</v>
      </c>
      <c r="C6418" s="500" t="s">
        <v>173</v>
      </c>
      <c r="D6418" s="500" t="s">
        <v>759</v>
      </c>
      <c r="E6418" s="501">
        <v>635316381.50999999</v>
      </c>
      <c r="F6418" s="502" t="s">
        <v>878</v>
      </c>
      <c r="G6418" s="100">
        <v>116044259</v>
      </c>
      <c r="H6418" s="100">
        <v>116044259</v>
      </c>
      <c r="I6418" s="422" t="s">
        <v>684</v>
      </c>
      <c r="J6418" s="484"/>
      <c r="K6418" s="548"/>
      <c r="L6418" s="548"/>
      <c r="M6418" s="548"/>
      <c r="N6418" s="552"/>
    </row>
    <row r="6419" spans="1:14">
      <c r="A6419" s="499">
        <v>45707</v>
      </c>
      <c r="B6419" s="499">
        <v>45708</v>
      </c>
      <c r="C6419" s="500" t="s">
        <v>173</v>
      </c>
      <c r="D6419" s="500" t="s">
        <v>759</v>
      </c>
      <c r="E6419" s="501">
        <v>637305962.67999995</v>
      </c>
      <c r="F6419" s="502" t="s">
        <v>878</v>
      </c>
      <c r="G6419" s="100">
        <v>116044262</v>
      </c>
      <c r="H6419" s="100">
        <v>116044262</v>
      </c>
      <c r="I6419" s="422" t="s">
        <v>675</v>
      </c>
      <c r="J6419" s="484"/>
      <c r="K6419" s="548"/>
      <c r="L6419" s="548"/>
      <c r="M6419" s="548"/>
      <c r="N6419" s="552"/>
    </row>
    <row r="6420" spans="1:14">
      <c r="A6420" s="499">
        <v>45707</v>
      </c>
      <c r="B6420" s="499">
        <v>45708</v>
      </c>
      <c r="C6420" s="500" t="s">
        <v>173</v>
      </c>
      <c r="D6420" s="500" t="s">
        <v>759</v>
      </c>
      <c r="E6420" s="501">
        <v>638418860.42999995</v>
      </c>
      <c r="F6420" s="502" t="s">
        <v>878</v>
      </c>
      <c r="G6420" s="100">
        <v>116044265</v>
      </c>
      <c r="H6420" s="100">
        <v>116044265</v>
      </c>
      <c r="I6420" s="422" t="s">
        <v>696</v>
      </c>
      <c r="J6420" s="484"/>
      <c r="K6420" s="548"/>
      <c r="L6420" s="548"/>
      <c r="M6420" s="548"/>
      <c r="N6420" s="552"/>
    </row>
    <row r="6421" spans="1:14">
      <c r="A6421" s="499">
        <v>45707</v>
      </c>
      <c r="B6421" s="499">
        <v>45708</v>
      </c>
      <c r="C6421" s="500" t="s">
        <v>173</v>
      </c>
      <c r="D6421" s="500" t="s">
        <v>759</v>
      </c>
      <c r="E6421" s="501">
        <v>640892871.98000002</v>
      </c>
      <c r="F6421" s="502" t="s">
        <v>878</v>
      </c>
      <c r="G6421" s="100">
        <v>116044268</v>
      </c>
      <c r="H6421" s="100">
        <v>116044268</v>
      </c>
      <c r="I6421" s="422" t="s">
        <v>678</v>
      </c>
      <c r="J6421" s="484"/>
      <c r="K6421" s="548"/>
      <c r="L6421" s="548"/>
      <c r="M6421" s="548"/>
      <c r="N6421" s="552"/>
    </row>
    <row r="6422" spans="1:14">
      <c r="A6422" s="499">
        <v>45707</v>
      </c>
      <c r="B6422" s="499">
        <v>45708</v>
      </c>
      <c r="C6422" s="500" t="s">
        <v>173</v>
      </c>
      <c r="D6422" s="500" t="s">
        <v>759</v>
      </c>
      <c r="E6422" s="501">
        <v>643571996.99000001</v>
      </c>
      <c r="F6422" s="502" t="s">
        <v>878</v>
      </c>
      <c r="G6422" s="100">
        <v>116044271</v>
      </c>
      <c r="H6422" s="100">
        <v>116044271</v>
      </c>
      <c r="I6422" s="422" t="s">
        <v>677</v>
      </c>
      <c r="J6422" s="484"/>
      <c r="K6422" s="548"/>
      <c r="L6422" s="548"/>
      <c r="M6422" s="548"/>
      <c r="N6422" s="552"/>
    </row>
    <row r="6423" spans="1:14">
      <c r="A6423" s="499">
        <v>45707</v>
      </c>
      <c r="B6423" s="499">
        <v>45708</v>
      </c>
      <c r="C6423" s="500" t="s">
        <v>173</v>
      </c>
      <c r="D6423" s="500" t="s">
        <v>759</v>
      </c>
      <c r="E6423" s="501">
        <v>650578224.01999998</v>
      </c>
      <c r="F6423" s="502" t="s">
        <v>878</v>
      </c>
      <c r="G6423" s="100">
        <v>116044278</v>
      </c>
      <c r="H6423" s="100">
        <v>116044278</v>
      </c>
      <c r="I6423" s="422" t="s">
        <v>677</v>
      </c>
      <c r="J6423" s="484"/>
      <c r="K6423" s="548"/>
      <c r="L6423" s="548"/>
      <c r="M6423" s="548"/>
      <c r="N6423" s="552"/>
    </row>
    <row r="6424" spans="1:14">
      <c r="A6424" s="499">
        <v>45707</v>
      </c>
      <c r="B6424" s="499">
        <v>45708</v>
      </c>
      <c r="C6424" s="500" t="s">
        <v>173</v>
      </c>
      <c r="D6424" s="500" t="s">
        <v>759</v>
      </c>
      <c r="E6424" s="501">
        <v>657385774.22000003</v>
      </c>
      <c r="F6424" s="502" t="s">
        <v>878</v>
      </c>
      <c r="G6424" s="100">
        <v>116044281</v>
      </c>
      <c r="H6424" s="100">
        <v>116044281</v>
      </c>
      <c r="I6424" s="422" t="s">
        <v>695</v>
      </c>
      <c r="J6424" s="484"/>
      <c r="K6424" s="548"/>
      <c r="L6424" s="548"/>
      <c r="M6424" s="548"/>
      <c r="N6424" s="552"/>
    </row>
    <row r="6425" spans="1:14">
      <c r="A6425" s="499">
        <v>45707</v>
      </c>
      <c r="B6425" s="499">
        <v>45708</v>
      </c>
      <c r="C6425" s="500" t="s">
        <v>173</v>
      </c>
      <c r="D6425" s="500" t="s">
        <v>759</v>
      </c>
      <c r="E6425" s="501">
        <v>274207623.75</v>
      </c>
      <c r="F6425" s="502" t="s">
        <v>878</v>
      </c>
      <c r="G6425" s="100">
        <v>116044992</v>
      </c>
      <c r="H6425" s="100">
        <v>116044992</v>
      </c>
      <c r="I6425" s="422" t="s">
        <v>656</v>
      </c>
      <c r="J6425" s="484"/>
      <c r="K6425" s="548"/>
      <c r="L6425" s="548"/>
      <c r="M6425" s="548"/>
      <c r="N6425" s="552"/>
    </row>
    <row r="6426" spans="1:14">
      <c r="A6426" s="499">
        <v>45707</v>
      </c>
      <c r="B6426" s="499">
        <v>45708</v>
      </c>
      <c r="C6426" s="500" t="s">
        <v>173</v>
      </c>
      <c r="D6426" s="500" t="s">
        <v>759</v>
      </c>
      <c r="E6426" s="501">
        <v>29012074.719999999</v>
      </c>
      <c r="F6426" s="502" t="s">
        <v>878</v>
      </c>
      <c r="G6426" s="100">
        <v>116045081</v>
      </c>
      <c r="H6426" s="100">
        <v>116045081</v>
      </c>
      <c r="I6426" s="422" t="s">
        <v>1018</v>
      </c>
      <c r="J6426" s="484"/>
      <c r="K6426" s="548"/>
      <c r="L6426" s="548"/>
      <c r="M6426" s="548"/>
      <c r="N6426" s="552"/>
    </row>
    <row r="6427" spans="1:14">
      <c r="A6427" s="499">
        <v>45707</v>
      </c>
      <c r="B6427" s="499">
        <v>45707</v>
      </c>
      <c r="C6427" s="500" t="s">
        <v>173</v>
      </c>
      <c r="D6427" s="500" t="s">
        <v>760</v>
      </c>
      <c r="E6427" s="501">
        <v>-298102485.18000001</v>
      </c>
      <c r="F6427" s="502" t="s">
        <v>878</v>
      </c>
      <c r="G6427" s="100">
        <v>116044998</v>
      </c>
      <c r="H6427" s="530"/>
      <c r="I6427" s="422" t="s">
        <v>656</v>
      </c>
      <c r="J6427" s="484"/>
      <c r="K6427" s="548"/>
      <c r="L6427" s="548"/>
      <c r="M6427" s="548"/>
      <c r="N6427" s="552"/>
    </row>
    <row r="6428" spans="1:14">
      <c r="A6428" s="499">
        <v>45707</v>
      </c>
      <c r="B6428" s="499">
        <v>45707</v>
      </c>
      <c r="C6428" s="500" t="s">
        <v>173</v>
      </c>
      <c r="D6428" s="500" t="s">
        <v>760</v>
      </c>
      <c r="E6428" s="501">
        <v>-298102485.18000001</v>
      </c>
      <c r="F6428" s="502" t="s">
        <v>878</v>
      </c>
      <c r="G6428" s="100">
        <v>116045001</v>
      </c>
      <c r="H6428" s="530"/>
      <c r="I6428" s="422" t="s">
        <v>656</v>
      </c>
      <c r="J6428" s="484"/>
      <c r="K6428" s="548"/>
      <c r="L6428" s="548"/>
      <c r="M6428" s="548"/>
      <c r="N6428" s="552"/>
    </row>
    <row r="6429" spans="1:14">
      <c r="A6429" s="499">
        <v>45707</v>
      </c>
      <c r="B6429" s="499">
        <v>45707</v>
      </c>
      <c r="C6429" s="500" t="s">
        <v>173</v>
      </c>
      <c r="D6429" s="500" t="s">
        <v>760</v>
      </c>
      <c r="E6429" s="501">
        <v>-2000234.09</v>
      </c>
      <c r="F6429" s="502" t="s">
        <v>878</v>
      </c>
      <c r="G6429" s="100">
        <v>116045843</v>
      </c>
      <c r="H6429" s="530"/>
      <c r="I6429" s="422" t="s">
        <v>631</v>
      </c>
      <c r="J6429" s="484"/>
      <c r="K6429" s="548"/>
      <c r="L6429" s="548"/>
      <c r="M6429" s="548"/>
      <c r="N6429" s="552"/>
    </row>
    <row r="6430" spans="1:14">
      <c r="A6430" s="499">
        <v>45707</v>
      </c>
      <c r="B6430" s="499">
        <v>45707</v>
      </c>
      <c r="C6430" s="500" t="s">
        <v>173</v>
      </c>
      <c r="D6430" s="500" t="s">
        <v>760</v>
      </c>
      <c r="E6430" s="501">
        <v>-56000300.880000003</v>
      </c>
      <c r="F6430" s="502" t="s">
        <v>878</v>
      </c>
      <c r="G6430" s="100">
        <v>116046298</v>
      </c>
      <c r="H6430" s="530"/>
      <c r="I6430" s="422" t="s">
        <v>1018</v>
      </c>
      <c r="J6430" s="484"/>
      <c r="K6430" s="548"/>
      <c r="L6430" s="548"/>
      <c r="M6430" s="548"/>
      <c r="N6430" s="552"/>
    </row>
    <row r="6431" spans="1:14">
      <c r="A6431" s="499">
        <v>45707</v>
      </c>
      <c r="B6431" s="499">
        <v>45708</v>
      </c>
      <c r="C6431" s="500" t="s">
        <v>173</v>
      </c>
      <c r="D6431" s="500" t="s">
        <v>760</v>
      </c>
      <c r="E6431" s="501">
        <v>298225809.76999998</v>
      </c>
      <c r="F6431" s="502" t="s">
        <v>878</v>
      </c>
      <c r="G6431" s="100">
        <v>116044998</v>
      </c>
      <c r="H6431" s="484">
        <v>116044998</v>
      </c>
      <c r="I6431" s="422" t="s">
        <v>656</v>
      </c>
      <c r="J6431" s="484"/>
      <c r="K6431" s="548"/>
      <c r="L6431" s="548"/>
      <c r="M6431" s="548"/>
      <c r="N6431" s="552"/>
    </row>
    <row r="6432" spans="1:14">
      <c r="A6432" s="499">
        <v>45707</v>
      </c>
      <c r="B6432" s="499">
        <v>45708</v>
      </c>
      <c r="C6432" s="500" t="s">
        <v>173</v>
      </c>
      <c r="D6432" s="500" t="s">
        <v>760</v>
      </c>
      <c r="E6432" s="501">
        <v>298225809.76999998</v>
      </c>
      <c r="F6432" s="502" t="s">
        <v>878</v>
      </c>
      <c r="G6432" s="100">
        <v>116045001</v>
      </c>
      <c r="H6432" s="484">
        <v>116045001</v>
      </c>
      <c r="I6432" s="422" t="s">
        <v>656</v>
      </c>
      <c r="J6432" s="484"/>
      <c r="K6432" s="548"/>
      <c r="L6432" s="548"/>
      <c r="M6432" s="548"/>
      <c r="N6432" s="552"/>
    </row>
    <row r="6433" spans="1:14">
      <c r="A6433" s="499">
        <v>45707</v>
      </c>
      <c r="B6433" s="499">
        <v>45708</v>
      </c>
      <c r="C6433" s="500" t="s">
        <v>173</v>
      </c>
      <c r="D6433" s="500" t="s">
        <v>760</v>
      </c>
      <c r="E6433" s="501">
        <v>2001056.1</v>
      </c>
      <c r="F6433" s="502" t="s">
        <v>878</v>
      </c>
      <c r="G6433" s="100">
        <v>116045843</v>
      </c>
      <c r="H6433" s="484">
        <v>116045843</v>
      </c>
      <c r="I6433" s="422" t="s">
        <v>631</v>
      </c>
      <c r="J6433" s="484"/>
      <c r="K6433" s="548"/>
      <c r="L6433" s="548"/>
      <c r="M6433" s="548"/>
      <c r="N6433" s="552"/>
    </row>
    <row r="6434" spans="1:14">
      <c r="A6434" s="499">
        <v>45707</v>
      </c>
      <c r="B6434" s="499">
        <v>45708</v>
      </c>
      <c r="C6434" s="500" t="s">
        <v>173</v>
      </c>
      <c r="D6434" s="500" t="s">
        <v>760</v>
      </c>
      <c r="E6434" s="501">
        <v>56023314.700000003</v>
      </c>
      <c r="F6434" s="502" t="s">
        <v>878</v>
      </c>
      <c r="G6434" s="100">
        <v>116046298</v>
      </c>
      <c r="H6434" s="484">
        <v>116046298</v>
      </c>
      <c r="I6434" s="422" t="s">
        <v>1018</v>
      </c>
      <c r="J6434" s="484"/>
      <c r="K6434" s="548"/>
      <c r="L6434" s="548"/>
      <c r="M6434" s="548"/>
      <c r="N6434" s="552"/>
    </row>
    <row r="6435" spans="1:14">
      <c r="A6435" s="499">
        <v>45707</v>
      </c>
      <c r="B6435" s="499">
        <v>45707</v>
      </c>
      <c r="C6435" s="500" t="s">
        <v>173</v>
      </c>
      <c r="D6435" s="500" t="s">
        <v>764</v>
      </c>
      <c r="E6435" s="501">
        <v>-2000250872</v>
      </c>
      <c r="F6435" s="502" t="s">
        <v>878</v>
      </c>
      <c r="G6435" s="100">
        <v>116044855</v>
      </c>
      <c r="H6435" s="530"/>
      <c r="I6435" s="422" t="s">
        <v>821</v>
      </c>
      <c r="J6435" s="484"/>
      <c r="K6435" s="548"/>
      <c r="L6435" s="548"/>
      <c r="M6435" s="548"/>
      <c r="N6435" s="552"/>
    </row>
    <row r="6436" spans="1:14">
      <c r="A6436" s="499">
        <v>45707</v>
      </c>
      <c r="B6436" s="499">
        <v>45707</v>
      </c>
      <c r="C6436" s="500" t="s">
        <v>173</v>
      </c>
      <c r="D6436" s="500" t="s">
        <v>764</v>
      </c>
      <c r="E6436" s="501">
        <v>-309038759.72000003</v>
      </c>
      <c r="F6436" s="502" t="s">
        <v>878</v>
      </c>
      <c r="G6436" s="100">
        <v>116045368</v>
      </c>
      <c r="H6436" s="530"/>
      <c r="I6436" s="422" t="s">
        <v>821</v>
      </c>
      <c r="J6436" s="484"/>
      <c r="K6436" s="548"/>
      <c r="L6436" s="548"/>
      <c r="M6436" s="548"/>
      <c r="N6436" s="552"/>
    </row>
    <row r="6437" spans="1:14">
      <c r="A6437" s="499">
        <v>45707</v>
      </c>
      <c r="B6437" s="499">
        <v>45707</v>
      </c>
      <c r="C6437" s="500" t="s">
        <v>173</v>
      </c>
      <c r="D6437" s="500" t="s">
        <v>764</v>
      </c>
      <c r="E6437" s="501">
        <v>-11005397.689999999</v>
      </c>
      <c r="F6437" s="502" t="s">
        <v>878</v>
      </c>
      <c r="G6437" s="100">
        <v>116045875</v>
      </c>
      <c r="H6437" s="530"/>
      <c r="I6437" s="422" t="s">
        <v>682</v>
      </c>
      <c r="J6437" s="484"/>
      <c r="K6437" s="548"/>
      <c r="L6437" s="548"/>
      <c r="M6437" s="548"/>
      <c r="N6437" s="552"/>
    </row>
    <row r="6438" spans="1:14">
      <c r="A6438" s="499">
        <v>45707</v>
      </c>
      <c r="B6438" s="499">
        <v>45714</v>
      </c>
      <c r="C6438" s="500" t="s">
        <v>173</v>
      </c>
      <c r="D6438" s="500" t="s">
        <v>764</v>
      </c>
      <c r="E6438" s="501">
        <v>2006081740.3</v>
      </c>
      <c r="F6438" s="502" t="s">
        <v>878</v>
      </c>
      <c r="G6438" s="100">
        <v>116044855</v>
      </c>
      <c r="H6438" s="100">
        <v>116044855</v>
      </c>
      <c r="I6438" s="422" t="s">
        <v>821</v>
      </c>
      <c r="J6438" s="484"/>
      <c r="K6438" s="548"/>
      <c r="L6438" s="548"/>
      <c r="M6438" s="548"/>
      <c r="N6438" s="552"/>
    </row>
    <row r="6439" spans="1:14">
      <c r="A6439" s="499">
        <v>45707</v>
      </c>
      <c r="B6439" s="499">
        <v>45714</v>
      </c>
      <c r="C6439" s="500" t="s">
        <v>173</v>
      </c>
      <c r="D6439" s="500" t="s">
        <v>764</v>
      </c>
      <c r="E6439" s="501">
        <v>309939628.87</v>
      </c>
      <c r="F6439" s="502" t="s">
        <v>878</v>
      </c>
      <c r="G6439" s="100">
        <v>116045368</v>
      </c>
      <c r="H6439" s="100">
        <v>116045368</v>
      </c>
      <c r="I6439" s="422" t="s">
        <v>821</v>
      </c>
      <c r="J6439" s="484"/>
      <c r="K6439" s="548"/>
      <c r="L6439" s="548"/>
      <c r="M6439" s="548"/>
      <c r="N6439" s="552"/>
    </row>
    <row r="6440" spans="1:14">
      <c r="A6440" s="499">
        <v>45707</v>
      </c>
      <c r="B6440" s="499">
        <v>45714</v>
      </c>
      <c r="C6440" s="500" t="s">
        <v>173</v>
      </c>
      <c r="D6440" s="500" t="s">
        <v>764</v>
      </c>
      <c r="E6440" s="501">
        <v>11037479.18</v>
      </c>
      <c r="F6440" s="502" t="s">
        <v>878</v>
      </c>
      <c r="G6440" s="100">
        <v>116045875</v>
      </c>
      <c r="H6440" s="100">
        <v>116045875</v>
      </c>
      <c r="I6440" s="422" t="s">
        <v>682</v>
      </c>
      <c r="J6440" s="484"/>
      <c r="K6440" s="548"/>
      <c r="L6440" s="548"/>
      <c r="M6440" s="548"/>
      <c r="N6440" s="552"/>
    </row>
    <row r="6441" spans="1:14">
      <c r="A6441" s="499">
        <v>45707</v>
      </c>
      <c r="B6441" s="499">
        <v>45707</v>
      </c>
      <c r="C6441" s="500" t="s">
        <v>173</v>
      </c>
      <c r="D6441" s="500" t="s">
        <v>763</v>
      </c>
      <c r="E6441" s="501">
        <v>-6014508213.0699997</v>
      </c>
      <c r="F6441" s="502" t="s">
        <v>878</v>
      </c>
      <c r="G6441" s="100">
        <v>116042227</v>
      </c>
      <c r="H6441" s="530"/>
      <c r="I6441" s="422" t="s">
        <v>684</v>
      </c>
      <c r="J6441" s="484"/>
      <c r="K6441" s="548"/>
      <c r="L6441" s="548"/>
      <c r="M6441" s="548"/>
      <c r="N6441" s="552"/>
    </row>
    <row r="6442" spans="1:14">
      <c r="A6442" s="499">
        <v>45707</v>
      </c>
      <c r="B6442" s="499">
        <v>45707</v>
      </c>
      <c r="C6442" s="500" t="s">
        <v>173</v>
      </c>
      <c r="D6442" s="500" t="s">
        <v>763</v>
      </c>
      <c r="E6442" s="501">
        <v>-28016303.280000001</v>
      </c>
      <c r="F6442" s="502" t="s">
        <v>878</v>
      </c>
      <c r="G6442" s="100">
        <v>116042396</v>
      </c>
      <c r="H6442" s="530"/>
      <c r="I6442" s="422" t="s">
        <v>686</v>
      </c>
      <c r="J6442" s="484"/>
      <c r="K6442" s="548"/>
      <c r="L6442" s="548"/>
      <c r="M6442" s="548"/>
      <c r="N6442" s="552"/>
    </row>
    <row r="6443" spans="1:14">
      <c r="A6443" s="499">
        <v>45707</v>
      </c>
      <c r="B6443" s="499">
        <v>45708</v>
      </c>
      <c r="C6443" s="500" t="s">
        <v>173</v>
      </c>
      <c r="D6443" s="500" t="s">
        <v>763</v>
      </c>
      <c r="E6443" s="501">
        <v>6016955211.6199999</v>
      </c>
      <c r="F6443" s="502" t="s">
        <v>878</v>
      </c>
      <c r="G6443" s="100">
        <v>116042227</v>
      </c>
      <c r="H6443" s="100">
        <v>116042227</v>
      </c>
      <c r="I6443" s="422" t="s">
        <v>684</v>
      </c>
      <c r="J6443" s="484"/>
      <c r="K6443" s="548"/>
      <c r="L6443" s="548"/>
      <c r="M6443" s="548"/>
      <c r="N6443" s="552"/>
    </row>
    <row r="6444" spans="1:14">
      <c r="A6444" s="499">
        <v>45707</v>
      </c>
      <c r="B6444" s="499">
        <v>45708</v>
      </c>
      <c r="C6444" s="500" t="s">
        <v>173</v>
      </c>
      <c r="D6444" s="500" t="s">
        <v>763</v>
      </c>
      <c r="E6444" s="501">
        <v>28027816.829999998</v>
      </c>
      <c r="F6444" s="502" t="s">
        <v>878</v>
      </c>
      <c r="G6444" s="100">
        <v>116042396</v>
      </c>
      <c r="H6444" s="100">
        <v>116042396</v>
      </c>
      <c r="I6444" s="422" t="s">
        <v>686</v>
      </c>
      <c r="J6444" s="484"/>
      <c r="K6444" s="548"/>
      <c r="L6444" s="548"/>
      <c r="M6444" s="548"/>
      <c r="N6444" s="552"/>
    </row>
    <row r="6445" spans="1:14">
      <c r="A6445" s="499">
        <v>45708</v>
      </c>
      <c r="B6445" s="499">
        <v>45708</v>
      </c>
      <c r="C6445" s="500" t="s">
        <v>173</v>
      </c>
      <c r="D6445" s="500" t="s">
        <v>761</v>
      </c>
      <c r="E6445" s="501">
        <v>-994171811.71000004</v>
      </c>
      <c r="F6445" s="502" t="s">
        <v>878</v>
      </c>
      <c r="G6445" s="100">
        <v>116071687</v>
      </c>
      <c r="H6445" s="530"/>
      <c r="I6445" s="422" t="s">
        <v>633</v>
      </c>
      <c r="J6445" s="484"/>
      <c r="K6445" s="548"/>
      <c r="L6445" s="548"/>
      <c r="M6445" s="548"/>
      <c r="N6445" s="552"/>
    </row>
    <row r="6446" spans="1:14">
      <c r="A6446" s="499">
        <v>45708</v>
      </c>
      <c r="B6446" s="499">
        <v>45708</v>
      </c>
      <c r="C6446" s="500" t="s">
        <v>173</v>
      </c>
      <c r="D6446" s="500" t="s">
        <v>761</v>
      </c>
      <c r="E6446" s="501">
        <v>-5000658.54</v>
      </c>
      <c r="F6446" s="502" t="s">
        <v>878</v>
      </c>
      <c r="G6446" s="100">
        <v>116071801</v>
      </c>
      <c r="H6446" s="530"/>
      <c r="I6446" s="422" t="s">
        <v>1013</v>
      </c>
      <c r="J6446" s="484"/>
      <c r="K6446" s="548"/>
      <c r="L6446" s="548"/>
      <c r="M6446" s="548"/>
      <c r="N6446" s="552"/>
    </row>
    <row r="6447" spans="1:14">
      <c r="A6447" s="499">
        <v>45708</v>
      </c>
      <c r="B6447" s="499">
        <v>45709</v>
      </c>
      <c r="C6447" s="500" t="s">
        <v>173</v>
      </c>
      <c r="D6447" s="500" t="s">
        <v>761</v>
      </c>
      <c r="E6447" s="501">
        <v>994576289.83000004</v>
      </c>
      <c r="F6447" s="502" t="s">
        <v>878</v>
      </c>
      <c r="G6447" s="100">
        <v>116071687</v>
      </c>
      <c r="H6447" s="484">
        <v>116071687</v>
      </c>
      <c r="I6447" s="422" t="s">
        <v>633</v>
      </c>
      <c r="J6447" s="484"/>
      <c r="K6447" s="548"/>
      <c r="L6447" s="548"/>
      <c r="M6447" s="548"/>
      <c r="N6447" s="552"/>
    </row>
    <row r="6448" spans="1:14">
      <c r="A6448" s="499">
        <v>45708</v>
      </c>
      <c r="B6448" s="499">
        <v>45709</v>
      </c>
      <c r="C6448" s="500" t="s">
        <v>173</v>
      </c>
      <c r="D6448" s="500" t="s">
        <v>761</v>
      </c>
      <c r="E6448" s="501">
        <v>5002684.3</v>
      </c>
      <c r="F6448" s="502" t="s">
        <v>878</v>
      </c>
      <c r="G6448" s="100">
        <v>116071801</v>
      </c>
      <c r="H6448" s="484">
        <v>116071801</v>
      </c>
      <c r="I6448" s="422" t="s">
        <v>1013</v>
      </c>
      <c r="J6448" s="484"/>
      <c r="K6448" s="548"/>
      <c r="L6448" s="548"/>
      <c r="M6448" s="548"/>
      <c r="N6448" s="552"/>
    </row>
    <row r="6449" spans="1:14">
      <c r="A6449" s="499">
        <v>45708</v>
      </c>
      <c r="B6449" s="499">
        <v>45708</v>
      </c>
      <c r="C6449" s="500" t="s">
        <v>173</v>
      </c>
      <c r="D6449" s="500" t="s">
        <v>760</v>
      </c>
      <c r="E6449" s="501">
        <v>-298037162.98000002</v>
      </c>
      <c r="F6449" s="502" t="s">
        <v>878</v>
      </c>
      <c r="G6449" s="100">
        <v>116064617</v>
      </c>
      <c r="H6449" s="530"/>
      <c r="I6449" s="422" t="s">
        <v>677</v>
      </c>
      <c r="J6449" s="484"/>
      <c r="K6449" s="548"/>
      <c r="L6449" s="548"/>
      <c r="M6449" s="548"/>
      <c r="N6449" s="552"/>
    </row>
    <row r="6450" spans="1:14">
      <c r="A6450" s="499">
        <v>45708</v>
      </c>
      <c r="B6450" s="499">
        <v>45708</v>
      </c>
      <c r="C6450" s="500" t="s">
        <v>173</v>
      </c>
      <c r="D6450" s="500" t="s">
        <v>760</v>
      </c>
      <c r="E6450" s="501">
        <v>-298037162.98000002</v>
      </c>
      <c r="F6450" s="502" t="s">
        <v>878</v>
      </c>
      <c r="G6450" s="100">
        <v>116064620</v>
      </c>
      <c r="H6450" s="530"/>
      <c r="I6450" s="422" t="s">
        <v>677</v>
      </c>
      <c r="J6450" s="484"/>
      <c r="K6450" s="548"/>
      <c r="L6450" s="548"/>
      <c r="M6450" s="548"/>
      <c r="N6450" s="552"/>
    </row>
    <row r="6451" spans="1:14">
      <c r="A6451" s="499">
        <v>45708</v>
      </c>
      <c r="B6451" s="499">
        <v>45708</v>
      </c>
      <c r="C6451" s="500" t="s">
        <v>173</v>
      </c>
      <c r="D6451" s="500" t="s">
        <v>760</v>
      </c>
      <c r="E6451" s="501">
        <v>-58001323.909999996</v>
      </c>
      <c r="F6451" s="502" t="s">
        <v>878</v>
      </c>
      <c r="G6451" s="100">
        <v>116065037</v>
      </c>
      <c r="H6451" s="530"/>
      <c r="I6451" s="422" t="s">
        <v>1018</v>
      </c>
      <c r="J6451" s="484"/>
      <c r="K6451" s="548"/>
      <c r="L6451" s="548"/>
      <c r="M6451" s="548"/>
      <c r="N6451" s="552"/>
    </row>
    <row r="6452" spans="1:14">
      <c r="A6452" s="499">
        <v>45708</v>
      </c>
      <c r="B6452" s="499">
        <v>45709</v>
      </c>
      <c r="C6452" s="500" t="s">
        <v>173</v>
      </c>
      <c r="D6452" s="500" t="s">
        <v>760</v>
      </c>
      <c r="E6452" s="501">
        <v>298159234.92000002</v>
      </c>
      <c r="F6452" s="502" t="s">
        <v>878</v>
      </c>
      <c r="G6452" s="100">
        <v>116064617</v>
      </c>
      <c r="H6452" s="484">
        <v>116064617</v>
      </c>
      <c r="I6452" s="422" t="s">
        <v>677</v>
      </c>
      <c r="J6452" s="484"/>
      <c r="K6452" s="548"/>
      <c r="L6452" s="548"/>
      <c r="M6452" s="548"/>
      <c r="N6452" s="552"/>
    </row>
    <row r="6453" spans="1:14">
      <c r="A6453" s="499">
        <v>45708</v>
      </c>
      <c r="B6453" s="499">
        <v>45709</v>
      </c>
      <c r="C6453" s="500" t="s">
        <v>173</v>
      </c>
      <c r="D6453" s="500" t="s">
        <v>760</v>
      </c>
      <c r="E6453" s="501">
        <v>298159234.92000002</v>
      </c>
      <c r="F6453" s="502" t="s">
        <v>878</v>
      </c>
      <c r="G6453" s="100">
        <v>116064620</v>
      </c>
      <c r="H6453" s="484">
        <v>116064620</v>
      </c>
      <c r="I6453" s="422" t="s">
        <v>677</v>
      </c>
      <c r="J6453" s="484"/>
      <c r="K6453" s="548"/>
      <c r="L6453" s="548"/>
      <c r="M6453" s="548"/>
      <c r="N6453" s="552"/>
    </row>
    <row r="6454" spans="1:14">
      <c r="A6454" s="499">
        <v>45708</v>
      </c>
      <c r="B6454" s="499">
        <v>45709</v>
      </c>
      <c r="C6454" s="500" t="s">
        <v>173</v>
      </c>
      <c r="D6454" s="500" t="s">
        <v>760</v>
      </c>
      <c r="E6454" s="501">
        <v>58025080.460000001</v>
      </c>
      <c r="F6454" s="502" t="s">
        <v>878</v>
      </c>
      <c r="G6454" s="100">
        <v>116065037</v>
      </c>
      <c r="H6454" s="484">
        <v>116065037</v>
      </c>
      <c r="I6454" s="422" t="s">
        <v>1018</v>
      </c>
      <c r="J6454" s="484"/>
      <c r="K6454" s="548"/>
      <c r="L6454" s="548"/>
      <c r="M6454" s="548"/>
      <c r="N6454" s="552"/>
    </row>
    <row r="6455" spans="1:14">
      <c r="A6455" s="499">
        <v>45708</v>
      </c>
      <c r="B6455" s="499">
        <v>45708</v>
      </c>
      <c r="C6455" s="500" t="s">
        <v>173</v>
      </c>
      <c r="D6455" s="500" t="s">
        <v>763</v>
      </c>
      <c r="E6455" s="501">
        <v>-6020966960</v>
      </c>
      <c r="F6455" s="502" t="s">
        <v>878</v>
      </c>
      <c r="G6455" s="100">
        <v>116062594</v>
      </c>
      <c r="H6455" s="530"/>
      <c r="I6455" s="422" t="s">
        <v>684</v>
      </c>
      <c r="J6455" s="484"/>
      <c r="K6455" s="548"/>
      <c r="L6455" s="548"/>
      <c r="M6455" s="548"/>
      <c r="N6455" s="552"/>
    </row>
    <row r="6456" spans="1:14">
      <c r="A6456" s="499">
        <v>45708</v>
      </c>
      <c r="B6456" s="499">
        <v>45708</v>
      </c>
      <c r="C6456" s="500" t="s">
        <v>173</v>
      </c>
      <c r="D6456" s="500" t="s">
        <v>763</v>
      </c>
      <c r="E6456" s="501">
        <v>-24019815</v>
      </c>
      <c r="F6456" s="502" t="s">
        <v>878</v>
      </c>
      <c r="G6456" s="100">
        <v>116062622</v>
      </c>
      <c r="H6456" s="530"/>
      <c r="I6456" s="422" t="s">
        <v>684</v>
      </c>
      <c r="J6456" s="484"/>
      <c r="K6456" s="548"/>
      <c r="L6456" s="548"/>
      <c r="M6456" s="548"/>
      <c r="N6456" s="552"/>
    </row>
    <row r="6457" spans="1:14">
      <c r="A6457" s="499">
        <v>45708</v>
      </c>
      <c r="B6457" s="499">
        <v>45709</v>
      </c>
      <c r="C6457" s="500" t="s">
        <v>173</v>
      </c>
      <c r="D6457" s="500" t="s">
        <v>763</v>
      </c>
      <c r="E6457" s="501">
        <v>6023375346.7799997</v>
      </c>
      <c r="F6457" s="502" t="s">
        <v>878</v>
      </c>
      <c r="G6457" s="100">
        <v>116062594</v>
      </c>
      <c r="H6457" s="100">
        <v>116062594</v>
      </c>
      <c r="I6457" s="422" t="s">
        <v>684</v>
      </c>
      <c r="J6457" s="484"/>
      <c r="K6457" s="548"/>
      <c r="L6457" s="548"/>
      <c r="M6457" s="548"/>
      <c r="N6457" s="552"/>
    </row>
    <row r="6458" spans="1:14">
      <c r="A6458" s="499">
        <v>45708</v>
      </c>
      <c r="B6458" s="499">
        <v>45709</v>
      </c>
      <c r="C6458" s="500" t="s">
        <v>173</v>
      </c>
      <c r="D6458" s="500" t="s">
        <v>763</v>
      </c>
      <c r="E6458" s="501">
        <v>24029422.93</v>
      </c>
      <c r="F6458" s="502" t="s">
        <v>878</v>
      </c>
      <c r="G6458" s="100">
        <v>116062622</v>
      </c>
      <c r="H6458" s="100">
        <v>116062622</v>
      </c>
      <c r="I6458" s="422" t="s">
        <v>684</v>
      </c>
      <c r="J6458" s="484"/>
      <c r="K6458" s="548"/>
      <c r="L6458" s="548">
        <v>-1</v>
      </c>
      <c r="M6458" s="548"/>
      <c r="N6458" s="552"/>
    </row>
    <row r="6459" spans="1:14">
      <c r="A6459" s="499">
        <v>45708</v>
      </c>
      <c r="B6459" s="499">
        <v>45708</v>
      </c>
      <c r="C6459" s="500" t="s">
        <v>173</v>
      </c>
      <c r="D6459" s="500" t="s">
        <v>759</v>
      </c>
      <c r="E6459" s="501">
        <v>-4656032121</v>
      </c>
      <c r="F6459" s="502" t="s">
        <v>878</v>
      </c>
      <c r="G6459" s="100">
        <v>116065280</v>
      </c>
      <c r="H6459" s="530"/>
      <c r="I6459" s="422" t="s">
        <v>800</v>
      </c>
      <c r="J6459" s="484"/>
      <c r="K6459" s="548"/>
      <c r="L6459" s="548"/>
      <c r="M6459" s="548"/>
      <c r="N6459" s="552"/>
    </row>
    <row r="6460" spans="1:14">
      <c r="A6460" s="499">
        <v>45708</v>
      </c>
      <c r="B6460" s="499">
        <v>45708</v>
      </c>
      <c r="C6460" s="500" t="s">
        <v>173</v>
      </c>
      <c r="D6460" s="500" t="s">
        <v>759</v>
      </c>
      <c r="E6460" s="501">
        <v>-121015936.58</v>
      </c>
      <c r="F6460" s="502" t="s">
        <v>878</v>
      </c>
      <c r="G6460" s="100">
        <v>116065656</v>
      </c>
      <c r="H6460" s="530"/>
      <c r="I6460" s="422" t="s">
        <v>1013</v>
      </c>
      <c r="J6460" s="484"/>
      <c r="K6460" s="548"/>
      <c r="L6460" s="548"/>
      <c r="M6460" s="548"/>
      <c r="N6460" s="552"/>
    </row>
    <row r="6461" spans="1:14">
      <c r="A6461" s="499">
        <v>45708</v>
      </c>
      <c r="B6461" s="499">
        <v>45708</v>
      </c>
      <c r="C6461" s="500" t="s">
        <v>173</v>
      </c>
      <c r="D6461" s="500" t="s">
        <v>759</v>
      </c>
      <c r="E6461" s="501">
        <v>-238021642.53</v>
      </c>
      <c r="F6461" s="502" t="s">
        <v>878</v>
      </c>
      <c r="G6461" s="100">
        <v>116065661</v>
      </c>
      <c r="H6461" s="530"/>
      <c r="I6461" s="422" t="s">
        <v>631</v>
      </c>
      <c r="J6461" s="484"/>
      <c r="K6461" s="548"/>
      <c r="L6461" s="548"/>
      <c r="M6461" s="548"/>
      <c r="N6461" s="552"/>
    </row>
    <row r="6462" spans="1:14">
      <c r="A6462" s="499">
        <v>45708</v>
      </c>
      <c r="B6462" s="499">
        <v>45708</v>
      </c>
      <c r="C6462" s="500" t="s">
        <v>173</v>
      </c>
      <c r="D6462" s="500" t="s">
        <v>759</v>
      </c>
      <c r="E6462" s="501">
        <v>-1650285200.52</v>
      </c>
      <c r="F6462" s="502" t="s">
        <v>878</v>
      </c>
      <c r="G6462" s="100">
        <v>116066419</v>
      </c>
      <c r="H6462" s="530"/>
      <c r="I6462" s="422" t="s">
        <v>633</v>
      </c>
      <c r="J6462" s="484"/>
      <c r="K6462" s="548"/>
      <c r="L6462" s="548"/>
      <c r="M6462" s="548"/>
      <c r="N6462" s="552"/>
    </row>
    <row r="6463" spans="1:14">
      <c r="A6463" s="499">
        <v>45708</v>
      </c>
      <c r="B6463" s="499">
        <v>45708</v>
      </c>
      <c r="C6463" s="500" t="s">
        <v>173</v>
      </c>
      <c r="D6463" s="500" t="s">
        <v>759</v>
      </c>
      <c r="E6463" s="501">
        <v>-8001382.79</v>
      </c>
      <c r="F6463" s="502" t="s">
        <v>878</v>
      </c>
      <c r="G6463" s="100">
        <v>116066430</v>
      </c>
      <c r="H6463" s="530"/>
      <c r="I6463" s="422" t="s">
        <v>633</v>
      </c>
      <c r="J6463" s="484"/>
      <c r="K6463" s="548"/>
      <c r="L6463" s="548"/>
      <c r="M6463" s="548"/>
      <c r="N6463" s="552"/>
    </row>
    <row r="6464" spans="1:14">
      <c r="A6464" s="499">
        <v>45708</v>
      </c>
      <c r="B6464" s="499">
        <v>45715</v>
      </c>
      <c r="C6464" s="500" t="s">
        <v>173</v>
      </c>
      <c r="D6464" s="500" t="s">
        <v>759</v>
      </c>
      <c r="E6464" s="501">
        <v>4669429757.7600002</v>
      </c>
      <c r="F6464" s="502" t="s">
        <v>878</v>
      </c>
      <c r="G6464" s="100">
        <v>116065280</v>
      </c>
      <c r="H6464" s="100">
        <v>116065280</v>
      </c>
      <c r="I6464" s="422" t="s">
        <v>800</v>
      </c>
      <c r="J6464" s="484"/>
      <c r="K6464" s="548"/>
      <c r="L6464" s="548"/>
      <c r="M6464" s="548"/>
      <c r="N6464" s="552"/>
    </row>
    <row r="6465" spans="1:14">
      <c r="A6465" s="499">
        <v>45708</v>
      </c>
      <c r="B6465" s="499">
        <v>45709</v>
      </c>
      <c r="C6465" s="500" t="s">
        <v>173</v>
      </c>
      <c r="D6465" s="500" t="s">
        <v>759</v>
      </c>
      <c r="E6465" s="501">
        <v>121065006.06</v>
      </c>
      <c r="F6465" s="502" t="s">
        <v>878</v>
      </c>
      <c r="G6465" s="100">
        <v>116065656</v>
      </c>
      <c r="H6465" s="100">
        <v>116065656</v>
      </c>
      <c r="I6465" s="422" t="s">
        <v>1013</v>
      </c>
      <c r="J6465" s="484"/>
      <c r="K6465" s="548"/>
      <c r="L6465" s="548"/>
      <c r="M6465" s="548"/>
      <c r="N6465" s="552"/>
    </row>
    <row r="6466" spans="1:14">
      <c r="A6466" s="499">
        <v>45708</v>
      </c>
      <c r="B6466" s="499">
        <v>45709</v>
      </c>
      <c r="C6466" s="500" t="s">
        <v>173</v>
      </c>
      <c r="D6466" s="500" t="s">
        <v>759</v>
      </c>
      <c r="E6466" s="501">
        <v>238118155.41999999</v>
      </c>
      <c r="F6466" s="502" t="s">
        <v>878</v>
      </c>
      <c r="G6466" s="100">
        <v>116065661</v>
      </c>
      <c r="H6466" s="100">
        <v>116065661</v>
      </c>
      <c r="I6466" s="422" t="s">
        <v>631</v>
      </c>
      <c r="J6466" s="484"/>
      <c r="K6466" s="548"/>
      <c r="L6466" s="548"/>
      <c r="M6466" s="548"/>
      <c r="N6466" s="552"/>
    </row>
    <row r="6467" spans="1:14">
      <c r="A6467" s="499">
        <v>45708</v>
      </c>
      <c r="B6467" s="499">
        <v>45709</v>
      </c>
      <c r="C6467" s="500" t="s">
        <v>173</v>
      </c>
      <c r="D6467" s="500" t="s">
        <v>759</v>
      </c>
      <c r="E6467" s="501">
        <v>1650950744.72</v>
      </c>
      <c r="F6467" s="502" t="s">
        <v>878</v>
      </c>
      <c r="G6467" s="100">
        <v>116066419</v>
      </c>
      <c r="H6467" s="100">
        <v>116066419</v>
      </c>
      <c r="I6467" s="422" t="s">
        <v>633</v>
      </c>
      <c r="J6467" s="484"/>
      <c r="K6467" s="548"/>
      <c r="L6467" s="548"/>
      <c r="M6467" s="548"/>
      <c r="N6467" s="552"/>
    </row>
    <row r="6468" spans="1:14">
      <c r="A6468" s="499">
        <v>45708</v>
      </c>
      <c r="B6468" s="499">
        <v>45709</v>
      </c>
      <c r="C6468" s="500" t="s">
        <v>173</v>
      </c>
      <c r="D6468" s="500" t="s">
        <v>759</v>
      </c>
      <c r="E6468" s="501">
        <v>8004609.6699999999</v>
      </c>
      <c r="F6468" s="502" t="s">
        <v>878</v>
      </c>
      <c r="G6468" s="100">
        <v>116066430</v>
      </c>
      <c r="H6468" s="100">
        <v>116066430</v>
      </c>
      <c r="I6468" s="422" t="s">
        <v>633</v>
      </c>
      <c r="J6468" s="484"/>
      <c r="K6468" s="548"/>
      <c r="L6468" s="548"/>
      <c r="M6468" s="548"/>
      <c r="N6468" s="552"/>
    </row>
    <row r="6469" spans="1:14">
      <c r="A6469" s="499">
        <v>45709</v>
      </c>
      <c r="B6469" s="499">
        <v>45709</v>
      </c>
      <c r="C6469" s="500" t="s">
        <v>173</v>
      </c>
      <c r="D6469" s="500" t="s">
        <v>762</v>
      </c>
      <c r="E6469" s="501">
        <v>-4569299044.5799999</v>
      </c>
      <c r="F6469" s="502" t="s">
        <v>878</v>
      </c>
      <c r="G6469" s="100">
        <v>116085965</v>
      </c>
      <c r="H6469" s="530"/>
      <c r="I6469" s="422" t="s">
        <v>687</v>
      </c>
      <c r="J6469" s="484"/>
      <c r="K6469" s="548"/>
      <c r="L6469" s="548"/>
      <c r="M6469" s="548"/>
      <c r="N6469" s="552"/>
    </row>
    <row r="6470" spans="1:14">
      <c r="A6470" s="499">
        <v>45709</v>
      </c>
      <c r="B6470" s="499">
        <v>45709</v>
      </c>
      <c r="C6470" s="500" t="s">
        <v>173</v>
      </c>
      <c r="D6470" s="500" t="s">
        <v>762</v>
      </c>
      <c r="E6470" s="501">
        <v>-720503223.84000003</v>
      </c>
      <c r="F6470" s="502" t="s">
        <v>878</v>
      </c>
      <c r="G6470" s="100">
        <v>116086009</v>
      </c>
      <c r="H6470" s="530"/>
      <c r="I6470" s="422" t="s">
        <v>817</v>
      </c>
      <c r="J6470" s="484"/>
      <c r="K6470" s="548"/>
      <c r="L6470" s="548"/>
      <c r="M6470" s="548"/>
      <c r="N6470" s="552"/>
    </row>
    <row r="6471" spans="1:14">
      <c r="A6471" s="499">
        <v>45709</v>
      </c>
      <c r="B6471" s="499">
        <v>45709</v>
      </c>
      <c r="C6471" s="500" t="s">
        <v>173</v>
      </c>
      <c r="D6471" s="500" t="s">
        <v>762</v>
      </c>
      <c r="E6471" s="501">
        <v>-22015376.280000001</v>
      </c>
      <c r="F6471" s="502" t="s">
        <v>878</v>
      </c>
      <c r="G6471" s="100">
        <v>116086115</v>
      </c>
      <c r="H6471" s="530"/>
      <c r="I6471" s="422" t="s">
        <v>817</v>
      </c>
      <c r="J6471" s="484"/>
      <c r="K6471" s="548"/>
      <c r="L6471" s="548"/>
      <c r="M6471" s="548"/>
      <c r="N6471" s="552"/>
    </row>
    <row r="6472" spans="1:14">
      <c r="A6472" s="499">
        <v>45709</v>
      </c>
      <c r="B6472" s="499">
        <v>45712</v>
      </c>
      <c r="C6472" s="500" t="s">
        <v>173</v>
      </c>
      <c r="D6472" s="500" t="s">
        <v>762</v>
      </c>
      <c r="E6472" s="501">
        <v>4574857315.1999998</v>
      </c>
      <c r="F6472" s="502" t="s">
        <v>878</v>
      </c>
      <c r="G6472" s="100">
        <v>116085965</v>
      </c>
      <c r="H6472" s="484">
        <v>116085965</v>
      </c>
      <c r="I6472" s="422" t="s">
        <v>687</v>
      </c>
      <c r="J6472" s="484"/>
      <c r="K6472" s="548"/>
      <c r="L6472" s="548"/>
      <c r="M6472" s="548"/>
      <c r="N6472" s="552"/>
    </row>
    <row r="6473" spans="1:14">
      <c r="A6473" s="499">
        <v>45709</v>
      </c>
      <c r="B6473" s="499">
        <v>45712</v>
      </c>
      <c r="C6473" s="500" t="s">
        <v>173</v>
      </c>
      <c r="D6473" s="500" t="s">
        <v>762</v>
      </c>
      <c r="E6473" s="501">
        <v>721379671.60000002</v>
      </c>
      <c r="F6473" s="502" t="s">
        <v>878</v>
      </c>
      <c r="G6473" s="100">
        <v>116086009</v>
      </c>
      <c r="H6473" s="484">
        <v>116086009</v>
      </c>
      <c r="I6473" s="422" t="s">
        <v>817</v>
      </c>
      <c r="J6473" s="484"/>
      <c r="K6473" s="548"/>
      <c r="L6473" s="548"/>
      <c r="M6473" s="548"/>
      <c r="N6473" s="552"/>
    </row>
    <row r="6474" spans="1:14">
      <c r="A6474" s="499">
        <v>45709</v>
      </c>
      <c r="B6474" s="499">
        <v>45712</v>
      </c>
      <c r="C6474" s="500" t="s">
        <v>173</v>
      </c>
      <c r="D6474" s="500" t="s">
        <v>762</v>
      </c>
      <c r="E6474" s="501">
        <v>22042156.629999999</v>
      </c>
      <c r="F6474" s="502" t="s">
        <v>878</v>
      </c>
      <c r="G6474" s="100">
        <v>116086115</v>
      </c>
      <c r="H6474" s="484">
        <v>116086115</v>
      </c>
      <c r="I6474" s="422" t="s">
        <v>817</v>
      </c>
      <c r="J6474" s="484"/>
      <c r="K6474" s="548"/>
      <c r="L6474" s="548"/>
      <c r="M6474" s="548"/>
      <c r="N6474" s="552"/>
    </row>
    <row r="6475" spans="1:14">
      <c r="A6475" s="499">
        <v>45709</v>
      </c>
      <c r="B6475" s="499">
        <v>45709</v>
      </c>
      <c r="C6475" s="500" t="s">
        <v>173</v>
      </c>
      <c r="D6475" s="500" t="s">
        <v>761</v>
      </c>
      <c r="E6475" s="501">
        <v>-801391101.87</v>
      </c>
      <c r="F6475" s="502" t="s">
        <v>878</v>
      </c>
      <c r="G6475" s="100">
        <v>116083759</v>
      </c>
      <c r="H6475" s="484"/>
      <c r="I6475" s="422" t="s">
        <v>693</v>
      </c>
      <c r="J6475" s="484"/>
      <c r="K6475" s="548"/>
      <c r="L6475" s="548"/>
      <c r="M6475" s="548"/>
      <c r="N6475" s="552"/>
    </row>
    <row r="6476" spans="1:14">
      <c r="A6476" s="499">
        <v>45709</v>
      </c>
      <c r="B6476" s="499">
        <v>45709</v>
      </c>
      <c r="C6476" s="500" t="s">
        <v>173</v>
      </c>
      <c r="D6476" s="500" t="s">
        <v>761</v>
      </c>
      <c r="E6476" s="501">
        <v>-193006104.90000001</v>
      </c>
      <c r="F6476" s="502" t="s">
        <v>878</v>
      </c>
      <c r="G6476" s="100">
        <v>116084483</v>
      </c>
      <c r="H6476" s="484"/>
      <c r="I6476" s="422" t="s">
        <v>633</v>
      </c>
      <c r="J6476" s="484"/>
      <c r="K6476" s="548"/>
      <c r="L6476" s="548"/>
      <c r="M6476" s="548"/>
      <c r="N6476" s="552"/>
    </row>
    <row r="6477" spans="1:14">
      <c r="A6477" s="499">
        <v>45709</v>
      </c>
      <c r="B6477" s="499">
        <v>45709</v>
      </c>
      <c r="C6477" s="500" t="s">
        <v>173</v>
      </c>
      <c r="D6477" s="500" t="s">
        <v>761</v>
      </c>
      <c r="E6477" s="501">
        <v>-5000158.16</v>
      </c>
      <c r="F6477" s="502" t="s">
        <v>878</v>
      </c>
      <c r="G6477" s="100">
        <v>116086694</v>
      </c>
      <c r="H6477" s="484"/>
      <c r="I6477" s="422" t="s">
        <v>633</v>
      </c>
      <c r="J6477" s="484"/>
      <c r="K6477" s="548"/>
      <c r="L6477" s="548"/>
      <c r="M6477" s="548"/>
      <c r="N6477" s="552"/>
    </row>
    <row r="6478" spans="1:14">
      <c r="A6478" s="499">
        <v>45709</v>
      </c>
      <c r="B6478" s="499">
        <v>45712</v>
      </c>
      <c r="C6478" s="500" t="s">
        <v>173</v>
      </c>
      <c r="D6478" s="500" t="s">
        <v>761</v>
      </c>
      <c r="E6478" s="501">
        <v>802375166.23000002</v>
      </c>
      <c r="F6478" s="502" t="s">
        <v>878</v>
      </c>
      <c r="G6478" s="100">
        <v>116083759</v>
      </c>
      <c r="H6478" s="484">
        <v>116083759</v>
      </c>
      <c r="I6478" s="422" t="s">
        <v>693</v>
      </c>
      <c r="J6478" s="484"/>
      <c r="K6478" s="548"/>
      <c r="L6478" s="548"/>
      <c r="M6478" s="548"/>
      <c r="N6478" s="552"/>
    </row>
    <row r="6479" spans="1:14">
      <c r="A6479" s="499">
        <v>45709</v>
      </c>
      <c r="B6479" s="499">
        <v>45712</v>
      </c>
      <c r="C6479" s="500" t="s">
        <v>173</v>
      </c>
      <c r="D6479" s="500" t="s">
        <v>761</v>
      </c>
      <c r="E6479" s="501">
        <v>193243105.81999999</v>
      </c>
      <c r="F6479" s="502" t="s">
        <v>878</v>
      </c>
      <c r="G6479" s="100">
        <v>116084483</v>
      </c>
      <c r="H6479" s="484">
        <v>116084483</v>
      </c>
      <c r="I6479" s="422" t="s">
        <v>633</v>
      </c>
      <c r="J6479" s="484"/>
      <c r="K6479" s="548"/>
      <c r="L6479" s="548"/>
      <c r="M6479" s="548"/>
      <c r="N6479" s="552"/>
    </row>
    <row r="6480" spans="1:14">
      <c r="A6480" s="499">
        <v>45709</v>
      </c>
      <c r="B6480" s="499">
        <v>45712</v>
      </c>
      <c r="C6480" s="500" t="s">
        <v>173</v>
      </c>
      <c r="D6480" s="500" t="s">
        <v>761</v>
      </c>
      <c r="E6480" s="501">
        <v>5006322.74</v>
      </c>
      <c r="F6480" s="502" t="s">
        <v>878</v>
      </c>
      <c r="G6480" s="100">
        <v>116086694</v>
      </c>
      <c r="H6480" s="484">
        <v>116086694</v>
      </c>
      <c r="I6480" s="422" t="s">
        <v>633</v>
      </c>
      <c r="J6480" s="484"/>
      <c r="K6480" s="548"/>
      <c r="L6480" s="548"/>
      <c r="M6480" s="548"/>
      <c r="N6480" s="552"/>
    </row>
    <row r="6481" spans="1:14">
      <c r="A6481" s="499">
        <v>45709</v>
      </c>
      <c r="B6481" s="499">
        <v>45709</v>
      </c>
      <c r="C6481" s="500" t="s">
        <v>173</v>
      </c>
      <c r="D6481" s="500" t="s">
        <v>760</v>
      </c>
      <c r="E6481" s="501">
        <v>-102003226.42</v>
      </c>
      <c r="F6481" s="502" t="s">
        <v>878</v>
      </c>
      <c r="G6481" s="100">
        <v>116083900</v>
      </c>
      <c r="H6481" s="484"/>
      <c r="I6481" s="422" t="s">
        <v>633</v>
      </c>
      <c r="J6481" s="484"/>
      <c r="K6481" s="548"/>
      <c r="L6481" s="548"/>
      <c r="M6481" s="548"/>
      <c r="N6481" s="552"/>
    </row>
    <row r="6482" spans="1:14">
      <c r="A6482" s="499">
        <v>45709</v>
      </c>
      <c r="B6482" s="499">
        <v>45709</v>
      </c>
      <c r="C6482" s="500" t="s">
        <v>173</v>
      </c>
      <c r="D6482" s="500" t="s">
        <v>760</v>
      </c>
      <c r="E6482" s="501">
        <v>-117025352.98999999</v>
      </c>
      <c r="F6482" s="502" t="s">
        <v>878</v>
      </c>
      <c r="G6482" s="100">
        <v>116083904</v>
      </c>
      <c r="H6482" s="530"/>
      <c r="I6482" s="422" t="s">
        <v>833</v>
      </c>
      <c r="J6482" s="484"/>
      <c r="K6482" s="548"/>
      <c r="L6482" s="548"/>
      <c r="M6482" s="548"/>
      <c r="N6482" s="552"/>
    </row>
    <row r="6483" spans="1:14">
      <c r="A6483" s="499">
        <v>45709</v>
      </c>
      <c r="B6483" s="499">
        <v>45709</v>
      </c>
      <c r="C6483" s="500" t="s">
        <v>173</v>
      </c>
      <c r="D6483" s="500" t="s">
        <v>760</v>
      </c>
      <c r="E6483" s="501">
        <v>-79051799.120000005</v>
      </c>
      <c r="F6483" s="502" t="s">
        <v>878</v>
      </c>
      <c r="G6483" s="100">
        <v>116084155</v>
      </c>
      <c r="H6483" s="530"/>
      <c r="I6483" s="422" t="s">
        <v>650</v>
      </c>
      <c r="J6483" s="484"/>
      <c r="K6483" s="548"/>
      <c r="L6483" s="548"/>
      <c r="M6483" s="548"/>
      <c r="N6483" s="552"/>
    </row>
    <row r="6484" spans="1:14">
      <c r="A6484" s="499">
        <v>45709</v>
      </c>
      <c r="B6484" s="499">
        <v>45709</v>
      </c>
      <c r="C6484" s="500" t="s">
        <v>173</v>
      </c>
      <c r="D6484" s="500" t="s">
        <v>760</v>
      </c>
      <c r="E6484" s="501">
        <v>-298195394.13</v>
      </c>
      <c r="F6484" s="502" t="s">
        <v>878</v>
      </c>
      <c r="G6484" s="100">
        <v>116084158</v>
      </c>
      <c r="H6484" s="530"/>
      <c r="I6484" s="422" t="s">
        <v>650</v>
      </c>
      <c r="J6484" s="484"/>
      <c r="K6484" s="548"/>
      <c r="L6484" s="548"/>
      <c r="M6484" s="548"/>
      <c r="N6484" s="552"/>
    </row>
    <row r="6485" spans="1:14">
      <c r="A6485" s="499">
        <v>45709</v>
      </c>
      <c r="B6485" s="499">
        <v>45709</v>
      </c>
      <c r="C6485" s="500" t="s">
        <v>173</v>
      </c>
      <c r="D6485" s="500" t="s">
        <v>760</v>
      </c>
      <c r="E6485" s="501">
        <v>-18003378.870000001</v>
      </c>
      <c r="F6485" s="502" t="s">
        <v>878</v>
      </c>
      <c r="G6485" s="100">
        <v>116085186</v>
      </c>
      <c r="H6485" s="530"/>
      <c r="I6485" s="422" t="s">
        <v>680</v>
      </c>
      <c r="J6485" s="484"/>
      <c r="K6485" s="548"/>
      <c r="L6485" s="548"/>
      <c r="M6485" s="548"/>
      <c r="N6485" s="552"/>
    </row>
    <row r="6486" spans="1:14">
      <c r="A6486" s="499">
        <v>45709</v>
      </c>
      <c r="B6486" s="499">
        <v>45709</v>
      </c>
      <c r="C6486" s="500" t="s">
        <v>173</v>
      </c>
      <c r="D6486" s="500" t="s">
        <v>760</v>
      </c>
      <c r="E6486" s="501">
        <v>-19008156.66</v>
      </c>
      <c r="F6486" s="502" t="s">
        <v>878</v>
      </c>
      <c r="G6486" s="100">
        <v>116085189</v>
      </c>
      <c r="H6486" s="530"/>
      <c r="I6486" s="422" t="s">
        <v>682</v>
      </c>
      <c r="J6486" s="484"/>
      <c r="K6486" s="548"/>
      <c r="L6486" s="548"/>
      <c r="M6486" s="548"/>
      <c r="N6486" s="552"/>
    </row>
    <row r="6487" spans="1:14">
      <c r="A6487" s="499">
        <v>45709</v>
      </c>
      <c r="B6487" s="499">
        <v>45709</v>
      </c>
      <c r="C6487" s="500" t="s">
        <v>173</v>
      </c>
      <c r="D6487" s="500" t="s">
        <v>760</v>
      </c>
      <c r="E6487" s="501">
        <v>-19011745.800000001</v>
      </c>
      <c r="F6487" s="502" t="s">
        <v>878</v>
      </c>
      <c r="G6487" s="100">
        <v>116085192</v>
      </c>
      <c r="H6487" s="530"/>
      <c r="I6487" s="422" t="s">
        <v>653</v>
      </c>
      <c r="J6487" s="484"/>
      <c r="K6487" s="548"/>
      <c r="L6487" s="548"/>
      <c r="M6487" s="548"/>
      <c r="N6487" s="552"/>
    </row>
    <row r="6488" spans="1:14">
      <c r="A6488" s="499">
        <v>45709</v>
      </c>
      <c r="B6488" s="499">
        <v>45709</v>
      </c>
      <c r="C6488" s="500" t="s">
        <v>173</v>
      </c>
      <c r="D6488" s="500" t="s">
        <v>760</v>
      </c>
      <c r="E6488" s="501">
        <v>-1000553.18</v>
      </c>
      <c r="F6488" s="502" t="s">
        <v>878</v>
      </c>
      <c r="G6488" s="100">
        <v>116085195</v>
      </c>
      <c r="H6488" s="530"/>
      <c r="I6488" s="422" t="s">
        <v>708</v>
      </c>
      <c r="J6488" s="484"/>
      <c r="K6488" s="548"/>
      <c r="L6488" s="548"/>
      <c r="M6488" s="548"/>
      <c r="N6488" s="552"/>
    </row>
    <row r="6489" spans="1:14">
      <c r="A6489" s="499">
        <v>45709</v>
      </c>
      <c r="B6489" s="499">
        <v>45712</v>
      </c>
      <c r="C6489" s="500" t="s">
        <v>173</v>
      </c>
      <c r="D6489" s="500" t="s">
        <v>760</v>
      </c>
      <c r="E6489" s="501">
        <v>102128145.44</v>
      </c>
      <c r="F6489" s="502" t="s">
        <v>878</v>
      </c>
      <c r="G6489" s="100">
        <v>116083900</v>
      </c>
      <c r="H6489" s="100">
        <v>116083900</v>
      </c>
      <c r="I6489" s="422" t="s">
        <v>633</v>
      </c>
      <c r="J6489" s="484"/>
      <c r="K6489" s="548"/>
      <c r="L6489" s="548"/>
      <c r="M6489" s="548"/>
      <c r="N6489" s="552"/>
    </row>
    <row r="6490" spans="1:14">
      <c r="A6490" s="499">
        <v>45709</v>
      </c>
      <c r="B6490" s="499">
        <v>45712</v>
      </c>
      <c r="C6490" s="500" t="s">
        <v>173</v>
      </c>
      <c r="D6490" s="500" t="s">
        <v>760</v>
      </c>
      <c r="E6490" s="501">
        <v>117168668.97</v>
      </c>
      <c r="F6490" s="502" t="s">
        <v>878</v>
      </c>
      <c r="G6490" s="100">
        <v>116083904</v>
      </c>
      <c r="H6490" s="100">
        <v>116083904</v>
      </c>
      <c r="I6490" s="422" t="s">
        <v>833</v>
      </c>
      <c r="J6490" s="484"/>
      <c r="K6490" s="548"/>
      <c r="L6490" s="548"/>
      <c r="M6490" s="548"/>
      <c r="N6490" s="552"/>
    </row>
    <row r="6491" spans="1:14">
      <c r="A6491" s="499">
        <v>45709</v>
      </c>
      <c r="B6491" s="499">
        <v>45712</v>
      </c>
      <c r="C6491" s="500" t="s">
        <v>173</v>
      </c>
      <c r="D6491" s="500" t="s">
        <v>760</v>
      </c>
      <c r="E6491" s="501">
        <v>79148610.5</v>
      </c>
      <c r="F6491" s="502" t="s">
        <v>878</v>
      </c>
      <c r="G6491" s="100">
        <v>116084155</v>
      </c>
      <c r="H6491" s="100">
        <v>116084155</v>
      </c>
      <c r="I6491" s="422" t="s">
        <v>650</v>
      </c>
      <c r="J6491" s="484"/>
      <c r="K6491" s="548"/>
      <c r="L6491" s="548"/>
      <c r="M6491" s="548"/>
      <c r="N6491" s="552"/>
    </row>
    <row r="6492" spans="1:14">
      <c r="A6492" s="499">
        <v>45709</v>
      </c>
      <c r="B6492" s="499">
        <v>45712</v>
      </c>
      <c r="C6492" s="500" t="s">
        <v>173</v>
      </c>
      <c r="D6492" s="500" t="s">
        <v>760</v>
      </c>
      <c r="E6492" s="501">
        <v>298560581.37</v>
      </c>
      <c r="F6492" s="502" t="s">
        <v>878</v>
      </c>
      <c r="G6492" s="100">
        <v>116084158</v>
      </c>
      <c r="H6492" s="100">
        <v>116084158</v>
      </c>
      <c r="I6492" s="422" t="s">
        <v>650</v>
      </c>
      <c r="J6492" s="484"/>
      <c r="K6492" s="548"/>
      <c r="L6492" s="548"/>
      <c r="M6492" s="548"/>
      <c r="N6492" s="552"/>
    </row>
    <row r="6493" spans="1:14">
      <c r="A6493" s="499">
        <v>45709</v>
      </c>
      <c r="B6493" s="499">
        <v>45712</v>
      </c>
      <c r="C6493" s="500" t="s">
        <v>173</v>
      </c>
      <c r="D6493" s="500" t="s">
        <v>760</v>
      </c>
      <c r="E6493" s="501">
        <v>18025500.829999998</v>
      </c>
      <c r="F6493" s="502" t="s">
        <v>878</v>
      </c>
      <c r="G6493" s="100">
        <v>116085186</v>
      </c>
      <c r="H6493" s="100">
        <v>116085186</v>
      </c>
      <c r="I6493" s="422" t="s">
        <v>680</v>
      </c>
      <c r="J6493" s="484"/>
      <c r="K6493" s="548"/>
      <c r="L6493" s="548"/>
      <c r="M6493" s="548"/>
      <c r="N6493" s="552"/>
    </row>
    <row r="6494" spans="1:14">
      <c r="A6494" s="499">
        <v>45709</v>
      </c>
      <c r="B6494" s="499">
        <v>45712</v>
      </c>
      <c r="C6494" s="500" t="s">
        <v>173</v>
      </c>
      <c r="D6494" s="500" t="s">
        <v>760</v>
      </c>
      <c r="E6494" s="501">
        <v>19031513.260000002</v>
      </c>
      <c r="F6494" s="502" t="s">
        <v>878</v>
      </c>
      <c r="G6494" s="100">
        <v>116085189</v>
      </c>
      <c r="H6494" s="100">
        <v>116085189</v>
      </c>
      <c r="I6494" s="422" t="s">
        <v>682</v>
      </c>
      <c r="J6494" s="484"/>
      <c r="K6494" s="548"/>
      <c r="L6494" s="548"/>
      <c r="M6494" s="548"/>
      <c r="N6494" s="552"/>
    </row>
    <row r="6495" spans="1:14">
      <c r="A6495" s="499">
        <v>45709</v>
      </c>
      <c r="B6495" s="499">
        <v>45712</v>
      </c>
      <c r="C6495" s="500" t="s">
        <v>173</v>
      </c>
      <c r="D6495" s="500" t="s">
        <v>760</v>
      </c>
      <c r="E6495" s="501">
        <v>19035106.809999999</v>
      </c>
      <c r="F6495" s="502" t="s">
        <v>878</v>
      </c>
      <c r="G6495" s="100">
        <v>116085192</v>
      </c>
      <c r="H6495" s="100">
        <v>116085192</v>
      </c>
      <c r="I6495" s="422" t="s">
        <v>653</v>
      </c>
      <c r="J6495" s="484"/>
      <c r="K6495" s="548"/>
      <c r="L6495" s="548"/>
      <c r="M6495" s="548"/>
      <c r="N6495" s="552"/>
    </row>
    <row r="6496" spans="1:14">
      <c r="A6496" s="499">
        <v>45709</v>
      </c>
      <c r="B6496" s="499">
        <v>45712</v>
      </c>
      <c r="C6496" s="500" t="s">
        <v>173</v>
      </c>
      <c r="D6496" s="500" t="s">
        <v>760</v>
      </c>
      <c r="E6496" s="501">
        <v>1001782.63</v>
      </c>
      <c r="F6496" s="502" t="s">
        <v>878</v>
      </c>
      <c r="G6496" s="100">
        <v>116085195</v>
      </c>
      <c r="H6496" s="100">
        <v>116085195</v>
      </c>
      <c r="I6496" s="422" t="s">
        <v>708</v>
      </c>
      <c r="J6496" s="484"/>
      <c r="K6496" s="548"/>
      <c r="L6496" s="548"/>
      <c r="M6496" s="548"/>
      <c r="N6496" s="552"/>
    </row>
    <row r="6497" spans="1:14">
      <c r="A6497" s="499">
        <v>45709</v>
      </c>
      <c r="B6497" s="499">
        <v>45709</v>
      </c>
      <c r="C6497" s="500" t="s">
        <v>173</v>
      </c>
      <c r="D6497" s="500" t="s">
        <v>763</v>
      </c>
      <c r="E6497" s="501">
        <v>-6018171729.6499996</v>
      </c>
      <c r="F6497" s="502" t="s">
        <v>878</v>
      </c>
      <c r="G6497" s="100">
        <v>116081433</v>
      </c>
      <c r="H6497" s="530"/>
      <c r="I6497" s="422" t="s">
        <v>684</v>
      </c>
      <c r="J6497" s="484"/>
      <c r="K6497" s="548"/>
      <c r="L6497" s="548"/>
      <c r="M6497" s="548"/>
      <c r="N6497" s="552"/>
    </row>
    <row r="6498" spans="1:14">
      <c r="A6498" s="499">
        <v>45709</v>
      </c>
      <c r="B6498" s="499">
        <v>45709</v>
      </c>
      <c r="C6498" s="500" t="s">
        <v>173</v>
      </c>
      <c r="D6498" s="500" t="s">
        <v>763</v>
      </c>
      <c r="E6498" s="501">
        <v>-29012449.640000001</v>
      </c>
      <c r="F6498" s="502" t="s">
        <v>878</v>
      </c>
      <c r="G6498" s="100">
        <v>116081512</v>
      </c>
      <c r="H6498" s="530"/>
      <c r="I6498" s="422" t="s">
        <v>682</v>
      </c>
      <c r="J6498" s="484"/>
      <c r="K6498" s="548"/>
      <c r="L6498" s="548"/>
      <c r="M6498" s="548"/>
      <c r="N6498" s="552"/>
    </row>
    <row r="6499" spans="1:14">
      <c r="A6499" s="499">
        <v>45709</v>
      </c>
      <c r="B6499" s="499">
        <v>45712</v>
      </c>
      <c r="C6499" s="500" t="s">
        <v>173</v>
      </c>
      <c r="D6499" s="500" t="s">
        <v>763</v>
      </c>
      <c r="E6499" s="501">
        <v>6025418267.9399996</v>
      </c>
      <c r="F6499" s="502" t="s">
        <v>878</v>
      </c>
      <c r="G6499" s="100">
        <v>116081433</v>
      </c>
      <c r="H6499" s="100">
        <v>116081433</v>
      </c>
      <c r="I6499" s="422" t="s">
        <v>684</v>
      </c>
      <c r="J6499" s="484"/>
      <c r="K6499" s="548"/>
      <c r="L6499" s="548"/>
      <c r="M6499" s="548"/>
      <c r="N6499" s="552"/>
    </row>
    <row r="6500" spans="1:14">
      <c r="A6500" s="499">
        <v>45709</v>
      </c>
      <c r="B6500" s="499">
        <v>45712</v>
      </c>
      <c r="C6500" s="500" t="s">
        <v>173</v>
      </c>
      <c r="D6500" s="500" t="s">
        <v>763</v>
      </c>
      <c r="E6500" s="501">
        <v>29047385.719999999</v>
      </c>
      <c r="F6500" s="502" t="s">
        <v>878</v>
      </c>
      <c r="G6500" s="100">
        <v>116081512</v>
      </c>
      <c r="H6500" s="100">
        <v>116081512</v>
      </c>
      <c r="I6500" s="422" t="s">
        <v>682</v>
      </c>
      <c r="J6500" s="484"/>
      <c r="K6500" s="548"/>
      <c r="L6500" s="548"/>
      <c r="M6500" s="548"/>
      <c r="N6500" s="552"/>
    </row>
    <row r="6501" spans="1:14">
      <c r="A6501" s="499">
        <v>45709</v>
      </c>
      <c r="B6501" s="499">
        <v>45709</v>
      </c>
      <c r="C6501" s="500" t="s">
        <v>173</v>
      </c>
      <c r="D6501" s="500" t="s">
        <v>759</v>
      </c>
      <c r="E6501" s="501">
        <v>-1543320226.48</v>
      </c>
      <c r="F6501" s="502" t="s">
        <v>878</v>
      </c>
      <c r="G6501" s="100">
        <v>116082495</v>
      </c>
      <c r="H6501" s="530"/>
      <c r="I6501" s="422" t="s">
        <v>670</v>
      </c>
      <c r="J6501" s="484"/>
      <c r="K6501" s="548"/>
      <c r="L6501" s="548"/>
      <c r="M6501" s="548"/>
      <c r="N6501" s="552"/>
    </row>
    <row r="6502" spans="1:14">
      <c r="A6502" s="499">
        <v>45709</v>
      </c>
      <c r="B6502" s="499">
        <v>45709</v>
      </c>
      <c r="C6502" s="500" t="s">
        <v>173</v>
      </c>
      <c r="D6502" s="500" t="s">
        <v>759</v>
      </c>
      <c r="E6502" s="501">
        <v>-466200052.87</v>
      </c>
      <c r="F6502" s="502" t="s">
        <v>878</v>
      </c>
      <c r="G6502" s="100">
        <v>116082506</v>
      </c>
      <c r="H6502" s="530"/>
      <c r="I6502" s="422" t="s">
        <v>682</v>
      </c>
      <c r="J6502" s="484"/>
      <c r="K6502" s="548"/>
      <c r="L6502" s="548"/>
      <c r="M6502" s="548"/>
      <c r="N6502" s="552"/>
    </row>
    <row r="6503" spans="1:14">
      <c r="A6503" s="499">
        <v>45709</v>
      </c>
      <c r="B6503" s="499">
        <v>45709</v>
      </c>
      <c r="C6503" s="500" t="s">
        <v>173</v>
      </c>
      <c r="D6503" s="500" t="s">
        <v>759</v>
      </c>
      <c r="E6503" s="501">
        <v>-8000524.6900000004</v>
      </c>
      <c r="F6503" s="502" t="s">
        <v>878</v>
      </c>
      <c r="G6503" s="100">
        <v>116082532</v>
      </c>
      <c r="H6503" s="530"/>
      <c r="I6503" s="422" t="s">
        <v>635</v>
      </c>
      <c r="J6503" s="484"/>
      <c r="K6503" s="548"/>
      <c r="L6503" s="548"/>
      <c r="M6503" s="548"/>
      <c r="N6503" s="552"/>
    </row>
    <row r="6504" spans="1:14">
      <c r="A6504" s="499">
        <v>45709</v>
      </c>
      <c r="B6504" s="499">
        <v>45712</v>
      </c>
      <c r="C6504" s="500" t="s">
        <v>173</v>
      </c>
      <c r="D6504" s="500" t="s">
        <v>759</v>
      </c>
      <c r="E6504" s="501">
        <v>1545203922.8099999</v>
      </c>
      <c r="F6504" s="502" t="s">
        <v>878</v>
      </c>
      <c r="G6504" s="100">
        <v>116082495</v>
      </c>
      <c r="H6504" s="484">
        <v>116082495</v>
      </c>
      <c r="I6504" s="422" t="s">
        <v>670</v>
      </c>
      <c r="J6504" s="484"/>
      <c r="K6504" s="548"/>
      <c r="L6504" s="548"/>
      <c r="M6504" s="548"/>
      <c r="N6504" s="552"/>
    </row>
    <row r="6505" spans="1:14">
      <c r="A6505" s="499">
        <v>45709</v>
      </c>
      <c r="B6505" s="499">
        <v>45712</v>
      </c>
      <c r="C6505" s="500" t="s">
        <v>173</v>
      </c>
      <c r="D6505" s="500" t="s">
        <v>759</v>
      </c>
      <c r="E6505" s="501">
        <v>466769072.38999999</v>
      </c>
      <c r="F6505" s="502" t="s">
        <v>878</v>
      </c>
      <c r="G6505" s="100">
        <v>116082506</v>
      </c>
      <c r="H6505" s="484">
        <v>116082506</v>
      </c>
      <c r="I6505" s="422" t="s">
        <v>682</v>
      </c>
      <c r="J6505" s="484"/>
      <c r="K6505" s="548"/>
      <c r="L6505" s="548"/>
      <c r="M6505" s="548"/>
      <c r="N6505" s="552"/>
    </row>
    <row r="6506" spans="1:14">
      <c r="A6506" s="499">
        <v>45709</v>
      </c>
      <c r="B6506" s="499">
        <v>45712</v>
      </c>
      <c r="C6506" s="500" t="s">
        <v>173</v>
      </c>
      <c r="D6506" s="500" t="s">
        <v>759</v>
      </c>
      <c r="E6506" s="501">
        <v>8010256.8399999999</v>
      </c>
      <c r="F6506" s="502" t="s">
        <v>878</v>
      </c>
      <c r="G6506" s="100">
        <v>116082532</v>
      </c>
      <c r="H6506" s="484">
        <v>116082532</v>
      </c>
      <c r="I6506" s="422" t="s">
        <v>635</v>
      </c>
      <c r="J6506" s="484"/>
      <c r="K6506" s="548"/>
      <c r="L6506" s="548">
        <v>-1</v>
      </c>
      <c r="M6506" s="548"/>
      <c r="N6506" s="552"/>
    </row>
    <row r="6507" spans="1:14">
      <c r="A6507" s="499">
        <v>45710</v>
      </c>
      <c r="B6507" s="499">
        <v>45712</v>
      </c>
      <c r="C6507" s="500" t="s">
        <v>173</v>
      </c>
      <c r="D6507" s="500" t="s">
        <v>761</v>
      </c>
      <c r="E6507" s="501">
        <v>60000000</v>
      </c>
      <c r="F6507" s="502" t="s">
        <v>381</v>
      </c>
      <c r="G6507" s="100" t="s">
        <v>513</v>
      </c>
      <c r="H6507" s="530"/>
      <c r="I6507" s="422"/>
      <c r="K6507" s="548"/>
      <c r="L6507" s="548"/>
      <c r="M6507" s="548"/>
      <c r="N6507" s="552"/>
    </row>
    <row r="6508" spans="1:14">
      <c r="A6508" s="499">
        <v>45712</v>
      </c>
      <c r="B6508" s="499">
        <v>45712</v>
      </c>
      <c r="C6508" s="500" t="s">
        <v>173</v>
      </c>
      <c r="D6508" s="500" t="s">
        <v>762</v>
      </c>
      <c r="E6508" s="501">
        <v>-1389376641.24</v>
      </c>
      <c r="F6508" s="502" t="s">
        <v>878</v>
      </c>
      <c r="G6508" s="100">
        <v>116103178</v>
      </c>
      <c r="H6508" s="530"/>
      <c r="I6508" s="422" t="s">
        <v>598</v>
      </c>
      <c r="J6508" s="484"/>
      <c r="K6508" s="548"/>
      <c r="L6508" s="548"/>
      <c r="M6508" s="548"/>
      <c r="N6508" s="552"/>
    </row>
    <row r="6509" spans="1:14">
      <c r="A6509" s="499">
        <v>45712</v>
      </c>
      <c r="B6509" s="499">
        <v>45712</v>
      </c>
      <c r="C6509" s="500" t="s">
        <v>173</v>
      </c>
      <c r="D6509" s="500" t="s">
        <v>762</v>
      </c>
      <c r="E6509" s="501">
        <v>-3644046857.98</v>
      </c>
      <c r="F6509" s="502" t="s">
        <v>878</v>
      </c>
      <c r="G6509" s="100">
        <v>116103181</v>
      </c>
      <c r="H6509" s="530"/>
      <c r="I6509" s="422" t="s">
        <v>657</v>
      </c>
      <c r="J6509" s="484"/>
      <c r="K6509" s="548"/>
      <c r="L6509" s="548"/>
      <c r="M6509" s="548"/>
      <c r="N6509" s="552"/>
    </row>
    <row r="6510" spans="1:14">
      <c r="A6510" s="499">
        <v>45712</v>
      </c>
      <c r="B6510" s="499">
        <v>45712</v>
      </c>
      <c r="C6510" s="500" t="s">
        <v>173</v>
      </c>
      <c r="D6510" s="500" t="s">
        <v>762</v>
      </c>
      <c r="E6510" s="501">
        <v>-263061906.25999999</v>
      </c>
      <c r="F6510" s="502" t="s">
        <v>878</v>
      </c>
      <c r="G6510" s="100">
        <v>116103184</v>
      </c>
      <c r="H6510" s="530"/>
      <c r="I6510" s="422" t="s">
        <v>604</v>
      </c>
      <c r="J6510" s="484"/>
      <c r="K6510" s="548"/>
      <c r="L6510" s="548"/>
      <c r="M6510" s="548"/>
      <c r="N6510" s="552"/>
    </row>
    <row r="6511" spans="1:14">
      <c r="A6511" s="499">
        <v>45712</v>
      </c>
      <c r="B6511" s="499">
        <v>45712</v>
      </c>
      <c r="C6511" s="500" t="s">
        <v>173</v>
      </c>
      <c r="D6511" s="500" t="s">
        <v>762</v>
      </c>
      <c r="E6511" s="501">
        <v>-24001309.800000001</v>
      </c>
      <c r="F6511" s="502" t="s">
        <v>878</v>
      </c>
      <c r="G6511" s="100">
        <v>116103618</v>
      </c>
      <c r="H6511" s="530"/>
      <c r="I6511" s="422" t="s">
        <v>815</v>
      </c>
      <c r="J6511" s="484"/>
      <c r="K6511" s="548"/>
      <c r="L6511" s="548"/>
      <c r="M6511" s="548"/>
      <c r="N6511" s="552"/>
    </row>
    <row r="6512" spans="1:14">
      <c r="A6512" s="499">
        <v>45712</v>
      </c>
      <c r="B6512" s="499">
        <v>45719</v>
      </c>
      <c r="C6512" s="500" t="s">
        <v>173</v>
      </c>
      <c r="D6512" s="500" t="s">
        <v>762</v>
      </c>
      <c r="E6512" s="501">
        <v>1393374943.6600001</v>
      </c>
      <c r="F6512" s="502" t="s">
        <v>878</v>
      </c>
      <c r="G6512" s="100">
        <v>116103178</v>
      </c>
      <c r="H6512" s="484">
        <v>116103178</v>
      </c>
      <c r="I6512" s="422" t="s">
        <v>598</v>
      </c>
      <c r="J6512" s="484"/>
      <c r="K6512" s="548"/>
      <c r="L6512" s="548"/>
      <c r="M6512" s="548"/>
      <c r="N6512" s="552"/>
    </row>
    <row r="6513" spans="1:14">
      <c r="A6513" s="499">
        <v>45712</v>
      </c>
      <c r="B6513" s="499">
        <v>45719</v>
      </c>
      <c r="C6513" s="500" t="s">
        <v>173</v>
      </c>
      <c r="D6513" s="500" t="s">
        <v>762</v>
      </c>
      <c r="E6513" s="501">
        <v>3654533576.2199998</v>
      </c>
      <c r="F6513" s="502" t="s">
        <v>878</v>
      </c>
      <c r="G6513" s="100">
        <v>116103181</v>
      </c>
      <c r="H6513" s="484">
        <v>116103181</v>
      </c>
      <c r="I6513" s="422" t="s">
        <v>657</v>
      </c>
      <c r="J6513" s="484"/>
      <c r="K6513" s="548"/>
      <c r="L6513" s="548"/>
      <c r="M6513" s="548"/>
      <c r="N6513" s="552"/>
    </row>
    <row r="6514" spans="1:14">
      <c r="A6514" s="499">
        <v>45712</v>
      </c>
      <c r="B6514" s="499">
        <v>45719</v>
      </c>
      <c r="C6514" s="500" t="s">
        <v>173</v>
      </c>
      <c r="D6514" s="500" t="s">
        <v>762</v>
      </c>
      <c r="E6514" s="501">
        <v>263818916.99000001</v>
      </c>
      <c r="F6514" s="502" t="s">
        <v>878</v>
      </c>
      <c r="G6514" s="100">
        <v>116103184</v>
      </c>
      <c r="H6514" s="484">
        <v>116103184</v>
      </c>
      <c r="I6514" s="422" t="s">
        <v>604</v>
      </c>
      <c r="J6514" s="484"/>
      <c r="K6514" s="548"/>
      <c r="L6514" s="548"/>
      <c r="M6514" s="548"/>
      <c r="N6514" s="552"/>
    </row>
    <row r="6515" spans="1:14">
      <c r="A6515" s="499">
        <v>45712</v>
      </c>
      <c r="B6515" s="499">
        <v>45719</v>
      </c>
      <c r="C6515" s="500" t="s">
        <v>173</v>
      </c>
      <c r="D6515" s="500" t="s">
        <v>762</v>
      </c>
      <c r="E6515" s="501">
        <v>24070378.600000001</v>
      </c>
      <c r="F6515" s="502" t="s">
        <v>878</v>
      </c>
      <c r="G6515" s="100">
        <v>116103618</v>
      </c>
      <c r="H6515" s="484">
        <v>116103618</v>
      </c>
      <c r="I6515" s="422" t="s">
        <v>815</v>
      </c>
      <c r="J6515" s="484"/>
      <c r="K6515" s="548"/>
      <c r="L6515" s="548"/>
      <c r="M6515" s="548"/>
      <c r="N6515" s="552"/>
    </row>
    <row r="6516" spans="1:14">
      <c r="A6516" s="499">
        <v>45712</v>
      </c>
      <c r="B6516" s="499">
        <v>45712</v>
      </c>
      <c r="C6516" s="500" t="s">
        <v>173</v>
      </c>
      <c r="D6516" s="500" t="s">
        <v>760</v>
      </c>
      <c r="E6516" s="501">
        <v>-298092099.57999998</v>
      </c>
      <c r="F6516" s="502" t="s">
        <v>878</v>
      </c>
      <c r="G6516" s="100">
        <v>116099921</v>
      </c>
      <c r="H6516" s="530"/>
      <c r="I6516" s="422" t="s">
        <v>707</v>
      </c>
      <c r="J6516" s="484"/>
      <c r="K6516" s="548"/>
      <c r="L6516" s="548"/>
      <c r="M6516" s="548"/>
      <c r="N6516" s="552"/>
    </row>
    <row r="6517" spans="1:14">
      <c r="A6517" s="499">
        <v>45712</v>
      </c>
      <c r="B6517" s="499">
        <v>45712</v>
      </c>
      <c r="C6517" s="500" t="s">
        <v>173</v>
      </c>
      <c r="D6517" s="500" t="s">
        <v>760</v>
      </c>
      <c r="E6517" s="501">
        <v>-298092099.57999998</v>
      </c>
      <c r="F6517" s="502" t="s">
        <v>878</v>
      </c>
      <c r="G6517" s="100">
        <v>116099927</v>
      </c>
      <c r="H6517" s="530"/>
      <c r="I6517" s="422" t="s">
        <v>707</v>
      </c>
      <c r="J6517" s="484"/>
      <c r="K6517" s="548"/>
      <c r="L6517" s="548"/>
      <c r="M6517" s="548"/>
      <c r="N6517" s="552"/>
    </row>
    <row r="6518" spans="1:14">
      <c r="A6518" s="499">
        <v>45712</v>
      </c>
      <c r="B6518" s="499">
        <v>45712</v>
      </c>
      <c r="C6518" s="500" t="s">
        <v>173</v>
      </c>
      <c r="D6518" s="500" t="s">
        <v>760</v>
      </c>
      <c r="E6518" s="501">
        <v>-61033392.32</v>
      </c>
      <c r="F6518" s="502" t="s">
        <v>878</v>
      </c>
      <c r="G6518" s="100">
        <v>116101297</v>
      </c>
      <c r="H6518" s="530"/>
      <c r="I6518" s="422" t="s">
        <v>676</v>
      </c>
      <c r="J6518" s="484"/>
      <c r="K6518" s="548"/>
      <c r="L6518" s="548"/>
      <c r="M6518" s="548"/>
      <c r="N6518" s="552"/>
    </row>
    <row r="6519" spans="1:14">
      <c r="A6519" s="499">
        <v>45712</v>
      </c>
      <c r="B6519" s="499">
        <v>45719</v>
      </c>
      <c r="C6519" s="500" t="s">
        <v>173</v>
      </c>
      <c r="D6519" s="500" t="s">
        <v>760</v>
      </c>
      <c r="E6519" s="501">
        <v>298955335.92000002</v>
      </c>
      <c r="F6519" s="502" t="s">
        <v>878</v>
      </c>
      <c r="G6519" s="100">
        <v>116099921</v>
      </c>
      <c r="H6519" s="484">
        <v>116099921</v>
      </c>
      <c r="I6519" s="422" t="s">
        <v>707</v>
      </c>
      <c r="J6519" s="484"/>
      <c r="K6519" s="548"/>
      <c r="L6519" s="548"/>
      <c r="M6519" s="548"/>
      <c r="N6519" s="552"/>
    </row>
    <row r="6520" spans="1:14">
      <c r="A6520" s="499">
        <v>45712</v>
      </c>
      <c r="B6520" s="499">
        <v>45719</v>
      </c>
      <c r="C6520" s="500" t="s">
        <v>173</v>
      </c>
      <c r="D6520" s="500" t="s">
        <v>760</v>
      </c>
      <c r="E6520" s="501">
        <v>298955341.63</v>
      </c>
      <c r="F6520" s="502" t="s">
        <v>878</v>
      </c>
      <c r="G6520" s="100">
        <v>116099927</v>
      </c>
      <c r="H6520" s="484">
        <v>116099927</v>
      </c>
      <c r="I6520" s="422" t="s">
        <v>707</v>
      </c>
      <c r="J6520" s="484"/>
      <c r="K6520" s="548"/>
      <c r="L6520" s="548"/>
      <c r="M6520" s="548"/>
      <c r="N6520" s="552"/>
    </row>
    <row r="6521" spans="1:14">
      <c r="A6521" s="499">
        <v>45712</v>
      </c>
      <c r="B6521" s="499">
        <v>45719</v>
      </c>
      <c r="C6521" s="500" t="s">
        <v>173</v>
      </c>
      <c r="D6521" s="500" t="s">
        <v>760</v>
      </c>
      <c r="E6521" s="501">
        <v>61210138.340000004</v>
      </c>
      <c r="F6521" s="502" t="s">
        <v>878</v>
      </c>
      <c r="G6521" s="100">
        <v>116101297</v>
      </c>
      <c r="H6521" s="484">
        <v>116101297</v>
      </c>
      <c r="I6521" s="422" t="s">
        <v>676</v>
      </c>
      <c r="J6521" s="484"/>
      <c r="K6521" s="548"/>
      <c r="L6521" s="548"/>
      <c r="M6521" s="548"/>
      <c r="N6521" s="552"/>
    </row>
    <row r="6522" spans="1:14">
      <c r="A6522" s="499">
        <v>45712</v>
      </c>
      <c r="B6522" s="499">
        <v>45712</v>
      </c>
      <c r="C6522" s="500" t="s">
        <v>173</v>
      </c>
      <c r="D6522" s="500" t="s">
        <v>763</v>
      </c>
      <c r="E6522" s="501">
        <v>-6031101999.5</v>
      </c>
      <c r="F6522" s="502" t="s">
        <v>878</v>
      </c>
      <c r="G6522" s="100">
        <v>116098928</v>
      </c>
      <c r="H6522" s="530"/>
      <c r="I6522" s="422" t="s">
        <v>684</v>
      </c>
      <c r="J6522" s="484"/>
      <c r="K6522" s="548"/>
      <c r="L6522" s="548"/>
      <c r="M6522" s="548"/>
      <c r="N6522" s="552"/>
    </row>
    <row r="6523" spans="1:14">
      <c r="A6523" s="499">
        <v>45712</v>
      </c>
      <c r="B6523" s="499">
        <v>45712</v>
      </c>
      <c r="C6523" s="500" t="s">
        <v>173</v>
      </c>
      <c r="D6523" s="500" t="s">
        <v>763</v>
      </c>
      <c r="E6523" s="501">
        <v>-24006531.84</v>
      </c>
      <c r="F6523" s="502" t="s">
        <v>878</v>
      </c>
      <c r="G6523" s="100">
        <v>116099048</v>
      </c>
      <c r="H6523" s="530"/>
      <c r="I6523" s="422" t="s">
        <v>682</v>
      </c>
      <c r="J6523" s="484"/>
      <c r="K6523" s="548"/>
      <c r="L6523" s="548"/>
      <c r="M6523" s="548"/>
      <c r="N6523" s="552"/>
    </row>
    <row r="6524" spans="1:14">
      <c r="A6524" s="499">
        <v>45712</v>
      </c>
      <c r="B6524" s="499">
        <v>45713</v>
      </c>
      <c r="C6524" s="500" t="s">
        <v>173</v>
      </c>
      <c r="D6524" s="500" t="s">
        <v>763</v>
      </c>
      <c r="E6524" s="501">
        <v>6033522702.0799999</v>
      </c>
      <c r="F6524" s="502" t="s">
        <v>878</v>
      </c>
      <c r="G6524" s="100">
        <v>116098928</v>
      </c>
      <c r="H6524" s="484">
        <v>116098928</v>
      </c>
      <c r="I6524" s="422" t="s">
        <v>684</v>
      </c>
      <c r="J6524" s="484"/>
      <c r="K6524" s="548"/>
      <c r="L6524" s="548"/>
      <c r="M6524" s="548"/>
      <c r="N6524" s="552"/>
    </row>
    <row r="6525" spans="1:14">
      <c r="A6525" s="499">
        <v>45712</v>
      </c>
      <c r="B6525" s="499">
        <v>45713</v>
      </c>
      <c r="C6525" s="500" t="s">
        <v>173</v>
      </c>
      <c r="D6525" s="500" t="s">
        <v>763</v>
      </c>
      <c r="E6525" s="501">
        <v>24016167.670000002</v>
      </c>
      <c r="F6525" s="502" t="s">
        <v>878</v>
      </c>
      <c r="G6525" s="100">
        <v>116099048</v>
      </c>
      <c r="H6525" s="484">
        <v>116099048</v>
      </c>
      <c r="I6525" s="422" t="s">
        <v>682</v>
      </c>
      <c r="J6525" s="484"/>
      <c r="K6525" s="548"/>
      <c r="L6525" s="548"/>
      <c r="M6525" s="548"/>
      <c r="N6525" s="552"/>
    </row>
    <row r="6526" spans="1:14">
      <c r="A6526" s="499">
        <v>45712</v>
      </c>
      <c r="B6526" s="499">
        <v>45712</v>
      </c>
      <c r="C6526" s="500" t="s">
        <v>173</v>
      </c>
      <c r="D6526" s="500" t="s">
        <v>761</v>
      </c>
      <c r="E6526" s="501">
        <v>-1055276808.79</v>
      </c>
      <c r="F6526" s="502" t="s">
        <v>878</v>
      </c>
      <c r="G6526" s="100">
        <v>116105032</v>
      </c>
      <c r="H6526" s="530"/>
      <c r="I6526" s="422" t="s">
        <v>633</v>
      </c>
      <c r="J6526" s="484"/>
      <c r="K6526" s="548"/>
      <c r="L6526" s="548"/>
      <c r="M6526" s="548"/>
      <c r="N6526" s="552"/>
    </row>
    <row r="6527" spans="1:14">
      <c r="A6527" s="499">
        <v>45712</v>
      </c>
      <c r="B6527" s="499">
        <v>45712</v>
      </c>
      <c r="C6527" s="500" t="s">
        <v>173</v>
      </c>
      <c r="D6527" s="500" t="s">
        <v>761</v>
      </c>
      <c r="E6527" s="501">
        <v>-5001311.8899999997</v>
      </c>
      <c r="F6527" s="502" t="s">
        <v>878</v>
      </c>
      <c r="G6527" s="100">
        <v>116105185</v>
      </c>
      <c r="H6527" s="530"/>
      <c r="I6527" s="422" t="s">
        <v>633</v>
      </c>
      <c r="J6527" s="484"/>
      <c r="K6527" s="548"/>
      <c r="L6527" s="548"/>
      <c r="M6527" s="548"/>
      <c r="N6527" s="552"/>
    </row>
    <row r="6528" spans="1:14">
      <c r="A6528" s="499">
        <v>45712</v>
      </c>
      <c r="B6528" s="499">
        <v>45713</v>
      </c>
      <c r="C6528" s="500" t="s">
        <v>173</v>
      </c>
      <c r="D6528" s="500" t="s">
        <v>761</v>
      </c>
      <c r="E6528" s="501">
        <v>1055710484.1900001</v>
      </c>
      <c r="F6528" s="502" t="s">
        <v>878</v>
      </c>
      <c r="G6528" s="100">
        <v>116105032</v>
      </c>
      <c r="H6528" s="100">
        <v>116105032</v>
      </c>
      <c r="I6528" s="422" t="s">
        <v>633</v>
      </c>
      <c r="J6528" s="484"/>
      <c r="K6528" s="548"/>
      <c r="L6528" s="548"/>
      <c r="M6528" s="548"/>
      <c r="N6528" s="552"/>
    </row>
    <row r="6529" spans="1:25">
      <c r="A6529" s="499">
        <v>45712</v>
      </c>
      <c r="B6529" s="499">
        <v>45713</v>
      </c>
      <c r="C6529" s="500" t="s">
        <v>173</v>
      </c>
      <c r="D6529" s="500" t="s">
        <v>761</v>
      </c>
      <c r="E6529" s="501">
        <v>5003367.22</v>
      </c>
      <c r="F6529" s="502" t="s">
        <v>878</v>
      </c>
      <c r="G6529" s="100">
        <v>116105185</v>
      </c>
      <c r="H6529" s="100">
        <v>116105185</v>
      </c>
      <c r="I6529" s="422" t="s">
        <v>633</v>
      </c>
      <c r="J6529" s="484"/>
      <c r="K6529" s="548"/>
      <c r="L6529" s="548"/>
      <c r="M6529" s="548"/>
      <c r="N6529" s="552"/>
    </row>
    <row r="6530" spans="1:25">
      <c r="A6530" s="499">
        <v>45712</v>
      </c>
      <c r="B6530" s="499">
        <v>45714</v>
      </c>
      <c r="C6530" s="500" t="s">
        <v>173</v>
      </c>
      <c r="D6530" s="500" t="s">
        <v>761</v>
      </c>
      <c r="E6530" s="501">
        <v>1081901272.22</v>
      </c>
      <c r="F6530" s="502" t="s">
        <v>912</v>
      </c>
      <c r="G6530" s="100" t="s">
        <v>473</v>
      </c>
      <c r="H6530" s="530"/>
      <c r="I6530" s="422"/>
      <c r="K6530" s="548"/>
      <c r="L6530" s="548">
        <v>97.317300000000003</v>
      </c>
      <c r="M6530" s="548">
        <f>E6530/(N6530*O6530)*100</f>
        <v>98.354661110909092</v>
      </c>
      <c r="N6530" s="552">
        <v>1100000</v>
      </c>
      <c r="O6530" s="539">
        <v>1000</v>
      </c>
      <c r="W6530" s="550">
        <f>VLOOKUP(G6530,Справочник!A:C,3,0)</f>
        <v>0.1067</v>
      </c>
      <c r="X6530" s="539" t="str">
        <f>VLOOKUP(G6530,Справочник!A:G,7,0)</f>
        <v>Министерство финансов Республики Казахстан</v>
      </c>
      <c r="Y6530" s="551">
        <f>VLOOKUP(G6530,Справочник!A:B,2,0)</f>
        <v>46043</v>
      </c>
    </row>
    <row r="6531" spans="1:25">
      <c r="A6531" s="499">
        <v>45712</v>
      </c>
      <c r="B6531" s="499">
        <v>45712</v>
      </c>
      <c r="C6531" s="500" t="s">
        <v>173</v>
      </c>
      <c r="D6531" s="500" t="s">
        <v>759</v>
      </c>
      <c r="E6531" s="501">
        <v>-123067497.97</v>
      </c>
      <c r="F6531" s="502" t="s">
        <v>878</v>
      </c>
      <c r="G6531" s="100">
        <v>116100191</v>
      </c>
      <c r="H6531" s="530"/>
      <c r="I6531" s="422" t="s">
        <v>692</v>
      </c>
      <c r="J6531" s="484"/>
      <c r="K6531" s="548"/>
      <c r="L6531" s="548"/>
      <c r="M6531" s="548"/>
      <c r="N6531" s="552"/>
    </row>
    <row r="6532" spans="1:25">
      <c r="A6532" s="499">
        <v>45712</v>
      </c>
      <c r="B6532" s="499">
        <v>45712</v>
      </c>
      <c r="C6532" s="500" t="s">
        <v>173</v>
      </c>
      <c r="D6532" s="500" t="s">
        <v>759</v>
      </c>
      <c r="E6532" s="501">
        <v>-381078348.07999998</v>
      </c>
      <c r="F6532" s="502" t="s">
        <v>878</v>
      </c>
      <c r="G6532" s="100">
        <v>116100194</v>
      </c>
      <c r="H6532" s="530"/>
      <c r="I6532" s="422" t="s">
        <v>602</v>
      </c>
      <c r="J6532" s="484"/>
      <c r="K6532" s="548"/>
      <c r="L6532" s="548"/>
      <c r="M6532" s="548"/>
      <c r="N6532" s="552"/>
    </row>
    <row r="6533" spans="1:25">
      <c r="A6533" s="499">
        <v>45712</v>
      </c>
      <c r="B6533" s="499">
        <v>45712</v>
      </c>
      <c r="C6533" s="500" t="s">
        <v>173</v>
      </c>
      <c r="D6533" s="500" t="s">
        <v>759</v>
      </c>
      <c r="E6533" s="501">
        <v>-398356473.48000002</v>
      </c>
      <c r="F6533" s="502" t="s">
        <v>878</v>
      </c>
      <c r="G6533" s="100">
        <v>116100197</v>
      </c>
      <c r="H6533" s="530"/>
      <c r="I6533" s="422" t="s">
        <v>656</v>
      </c>
      <c r="J6533" s="484"/>
      <c r="K6533" s="548"/>
      <c r="L6533" s="548"/>
      <c r="M6533" s="548"/>
      <c r="N6533" s="552"/>
    </row>
    <row r="6534" spans="1:25">
      <c r="A6534" s="499">
        <v>45712</v>
      </c>
      <c r="B6534" s="499">
        <v>45712</v>
      </c>
      <c r="C6534" s="500" t="s">
        <v>173</v>
      </c>
      <c r="D6534" s="500" t="s">
        <v>759</v>
      </c>
      <c r="E6534" s="501">
        <v>-417277985.54000002</v>
      </c>
      <c r="F6534" s="502" t="s">
        <v>878</v>
      </c>
      <c r="G6534" s="100">
        <v>116100200</v>
      </c>
      <c r="H6534" s="530"/>
      <c r="I6534" s="422" t="s">
        <v>681</v>
      </c>
      <c r="J6534" s="484"/>
      <c r="K6534" s="548"/>
      <c r="L6534" s="548"/>
      <c r="M6534" s="548"/>
      <c r="N6534" s="552"/>
    </row>
    <row r="6535" spans="1:25">
      <c r="A6535" s="499">
        <v>45712</v>
      </c>
      <c r="B6535" s="499">
        <v>45712</v>
      </c>
      <c r="C6535" s="500" t="s">
        <v>173</v>
      </c>
      <c r="D6535" s="500" t="s">
        <v>759</v>
      </c>
      <c r="E6535" s="501">
        <v>-420230480.88</v>
      </c>
      <c r="F6535" s="502" t="s">
        <v>878</v>
      </c>
      <c r="G6535" s="100">
        <v>116100203</v>
      </c>
      <c r="H6535" s="530"/>
      <c r="I6535" s="422" t="s">
        <v>692</v>
      </c>
      <c r="J6535" s="484"/>
      <c r="K6535" s="548"/>
      <c r="L6535" s="548"/>
      <c r="M6535" s="548"/>
      <c r="N6535" s="552"/>
    </row>
    <row r="6536" spans="1:25">
      <c r="A6536" s="499">
        <v>45712</v>
      </c>
      <c r="B6536" s="499">
        <v>45712</v>
      </c>
      <c r="C6536" s="500" t="s">
        <v>173</v>
      </c>
      <c r="D6536" s="500" t="s">
        <v>759</v>
      </c>
      <c r="E6536" s="501">
        <v>-271274259.05000001</v>
      </c>
      <c r="F6536" s="502" t="s">
        <v>878</v>
      </c>
      <c r="G6536" s="100">
        <v>116100341</v>
      </c>
      <c r="H6536" s="530"/>
      <c r="I6536" s="422" t="s">
        <v>829</v>
      </c>
      <c r="J6536" s="484"/>
      <c r="K6536" s="548"/>
      <c r="L6536" s="548"/>
      <c r="M6536" s="548"/>
      <c r="N6536" s="552"/>
    </row>
    <row r="6537" spans="1:25">
      <c r="A6537" s="499">
        <v>45712</v>
      </c>
      <c r="B6537" s="499">
        <v>45712</v>
      </c>
      <c r="C6537" s="500" t="s">
        <v>173</v>
      </c>
      <c r="D6537" s="500" t="s">
        <v>759</v>
      </c>
      <c r="E6537" s="501">
        <v>-9002361.4000000004</v>
      </c>
      <c r="F6537" s="502" t="s">
        <v>878</v>
      </c>
      <c r="G6537" s="100">
        <v>116104131</v>
      </c>
      <c r="H6537" s="530"/>
      <c r="I6537" s="422" t="s">
        <v>633</v>
      </c>
      <c r="J6537" s="484"/>
      <c r="K6537" s="548"/>
      <c r="L6537" s="548"/>
      <c r="M6537" s="548"/>
      <c r="N6537" s="552"/>
    </row>
    <row r="6538" spans="1:25">
      <c r="A6538" s="499">
        <v>45712</v>
      </c>
      <c r="B6538" s="499">
        <v>45713</v>
      </c>
      <c r="C6538" s="500" t="s">
        <v>173</v>
      </c>
      <c r="D6538" s="500" t="s">
        <v>759</v>
      </c>
      <c r="E6538" s="501">
        <v>123118073.65000001</v>
      </c>
      <c r="F6538" s="502" t="s">
        <v>878</v>
      </c>
      <c r="G6538" s="100">
        <v>116100191</v>
      </c>
      <c r="H6538" s="484">
        <v>116100191</v>
      </c>
      <c r="I6538" s="422" t="s">
        <v>692</v>
      </c>
      <c r="J6538" s="484"/>
      <c r="K6538" s="548"/>
      <c r="L6538" s="548"/>
      <c r="M6538" s="548"/>
      <c r="N6538" s="552"/>
    </row>
    <row r="6539" spans="1:25">
      <c r="A6539" s="499">
        <v>45712</v>
      </c>
      <c r="B6539" s="499">
        <v>45713</v>
      </c>
      <c r="C6539" s="500" t="s">
        <v>173</v>
      </c>
      <c r="D6539" s="500" t="s">
        <v>759</v>
      </c>
      <c r="E6539" s="501">
        <v>381234955.62</v>
      </c>
      <c r="F6539" s="502" t="s">
        <v>878</v>
      </c>
      <c r="G6539" s="100">
        <v>116100194</v>
      </c>
      <c r="H6539" s="484">
        <v>116100194</v>
      </c>
      <c r="I6539" s="422" t="s">
        <v>602</v>
      </c>
      <c r="J6539" s="484"/>
      <c r="K6539" s="548"/>
      <c r="L6539" s="548"/>
      <c r="M6539" s="548"/>
      <c r="N6539" s="552"/>
    </row>
    <row r="6540" spans="1:25">
      <c r="A6540" s="499">
        <v>45712</v>
      </c>
      <c r="B6540" s="499">
        <v>45713</v>
      </c>
      <c r="C6540" s="500" t="s">
        <v>173</v>
      </c>
      <c r="D6540" s="500" t="s">
        <v>759</v>
      </c>
      <c r="E6540" s="501">
        <v>398520181.62</v>
      </c>
      <c r="F6540" s="502" t="s">
        <v>878</v>
      </c>
      <c r="G6540" s="100">
        <v>116100197</v>
      </c>
      <c r="H6540" s="484">
        <v>116100197</v>
      </c>
      <c r="I6540" s="422" t="s">
        <v>656</v>
      </c>
      <c r="J6540" s="484"/>
      <c r="K6540" s="548"/>
      <c r="L6540" s="548"/>
      <c r="M6540" s="548"/>
      <c r="N6540" s="552"/>
    </row>
    <row r="6541" spans="1:25">
      <c r="A6541" s="499">
        <v>45712</v>
      </c>
      <c r="B6541" s="499">
        <v>45713</v>
      </c>
      <c r="C6541" s="500" t="s">
        <v>173</v>
      </c>
      <c r="D6541" s="500" t="s">
        <v>759</v>
      </c>
      <c r="E6541" s="501">
        <v>417449469.63999999</v>
      </c>
      <c r="F6541" s="502" t="s">
        <v>878</v>
      </c>
      <c r="G6541" s="100">
        <v>116100200</v>
      </c>
      <c r="H6541" s="484">
        <v>116100200</v>
      </c>
      <c r="I6541" s="422" t="s">
        <v>681</v>
      </c>
      <c r="J6541" s="484"/>
      <c r="K6541" s="548"/>
      <c r="L6541" s="548"/>
      <c r="M6541" s="548"/>
      <c r="N6541" s="552"/>
    </row>
    <row r="6542" spans="1:25">
      <c r="A6542" s="499">
        <v>45712</v>
      </c>
      <c r="B6542" s="499">
        <v>45713</v>
      </c>
      <c r="C6542" s="500" t="s">
        <v>173</v>
      </c>
      <c r="D6542" s="500" t="s">
        <v>759</v>
      </c>
      <c r="E6542" s="501">
        <v>420403178.33999997</v>
      </c>
      <c r="F6542" s="502" t="s">
        <v>878</v>
      </c>
      <c r="G6542" s="100">
        <v>116100203</v>
      </c>
      <c r="H6542" s="484">
        <v>116100203</v>
      </c>
      <c r="I6542" s="422" t="s">
        <v>692</v>
      </c>
      <c r="J6542" s="484"/>
      <c r="K6542" s="548"/>
      <c r="L6542" s="548"/>
      <c r="M6542" s="548"/>
      <c r="N6542" s="552"/>
    </row>
    <row r="6543" spans="1:25">
      <c r="A6543" s="499">
        <v>45712</v>
      </c>
      <c r="B6543" s="499">
        <v>45713</v>
      </c>
      <c r="C6543" s="500" t="s">
        <v>173</v>
      </c>
      <c r="D6543" s="500" t="s">
        <v>759</v>
      </c>
      <c r="E6543" s="501">
        <v>271385741.62</v>
      </c>
      <c r="F6543" s="502" t="s">
        <v>878</v>
      </c>
      <c r="G6543" s="100">
        <v>116100341</v>
      </c>
      <c r="H6543" s="484">
        <v>116100341</v>
      </c>
      <c r="I6543" s="422" t="s">
        <v>829</v>
      </c>
      <c r="J6543" s="484"/>
      <c r="K6543" s="548"/>
      <c r="L6543" s="548"/>
      <c r="M6543" s="548"/>
      <c r="N6543" s="552"/>
    </row>
    <row r="6544" spans="1:25">
      <c r="A6544" s="499">
        <v>45712</v>
      </c>
      <c r="B6544" s="499">
        <v>45713</v>
      </c>
      <c r="C6544" s="500" t="s">
        <v>173</v>
      </c>
      <c r="D6544" s="500" t="s">
        <v>759</v>
      </c>
      <c r="E6544" s="501">
        <v>9006048.6699999999</v>
      </c>
      <c r="F6544" s="502" t="s">
        <v>878</v>
      </c>
      <c r="G6544" s="100">
        <v>116104131</v>
      </c>
      <c r="H6544" s="484">
        <v>116104131</v>
      </c>
      <c r="I6544" s="422" t="s">
        <v>633</v>
      </c>
      <c r="J6544" s="484"/>
      <c r="K6544" s="548"/>
      <c r="L6544" s="548"/>
      <c r="M6544" s="548"/>
      <c r="N6544" s="552"/>
    </row>
    <row r="6545" spans="1:14">
      <c r="A6545" s="499">
        <v>45713</v>
      </c>
      <c r="B6545" s="499">
        <v>45713</v>
      </c>
      <c r="C6545" s="500" t="s">
        <v>173</v>
      </c>
      <c r="D6545" s="500" t="s">
        <v>761</v>
      </c>
      <c r="E6545" s="501">
        <v>-36008149.799999997</v>
      </c>
      <c r="F6545" s="502" t="s">
        <v>878</v>
      </c>
      <c r="G6545" s="100">
        <v>116120563</v>
      </c>
      <c r="H6545" s="530"/>
      <c r="I6545" s="422" t="s">
        <v>1013</v>
      </c>
      <c r="J6545" s="484"/>
      <c r="K6545" s="548"/>
      <c r="L6545" s="548"/>
      <c r="M6545" s="548"/>
      <c r="N6545" s="552"/>
    </row>
    <row r="6546" spans="1:14">
      <c r="A6546" s="499">
        <v>45713</v>
      </c>
      <c r="B6546" s="499">
        <v>45713</v>
      </c>
      <c r="C6546" s="500" t="s">
        <v>173</v>
      </c>
      <c r="D6546" s="500" t="s">
        <v>761</v>
      </c>
      <c r="E6546" s="501">
        <v>-1020843307.4400001</v>
      </c>
      <c r="F6546" s="502" t="s">
        <v>878</v>
      </c>
      <c r="G6546" s="100">
        <v>116120583</v>
      </c>
      <c r="H6546" s="530"/>
      <c r="I6546" s="422" t="s">
        <v>681</v>
      </c>
      <c r="J6546" s="484"/>
      <c r="K6546" s="548"/>
      <c r="L6546" s="548"/>
      <c r="M6546" s="548"/>
      <c r="N6546" s="552"/>
    </row>
    <row r="6547" spans="1:14">
      <c r="A6547" s="499">
        <v>45713</v>
      </c>
      <c r="B6547" s="499">
        <v>45713</v>
      </c>
      <c r="C6547" s="500" t="s">
        <v>173</v>
      </c>
      <c r="D6547" s="500" t="s">
        <v>761</v>
      </c>
      <c r="E6547" s="501">
        <v>-4001124.25</v>
      </c>
      <c r="F6547" s="502" t="s">
        <v>878</v>
      </c>
      <c r="G6547" s="100">
        <v>116121160</v>
      </c>
      <c r="H6547" s="530"/>
      <c r="I6547" s="422" t="s">
        <v>633</v>
      </c>
      <c r="J6547" s="484"/>
      <c r="K6547" s="548"/>
      <c r="L6547" s="548"/>
      <c r="M6547" s="548"/>
      <c r="N6547" s="552"/>
    </row>
    <row r="6548" spans="1:14">
      <c r="A6548" s="499">
        <v>45713</v>
      </c>
      <c r="B6548" s="499">
        <v>45714</v>
      </c>
      <c r="C6548" s="500" t="s">
        <v>173</v>
      </c>
      <c r="D6548" s="500" t="s">
        <v>761</v>
      </c>
      <c r="E6548" s="501">
        <v>36023884.869999997</v>
      </c>
      <c r="F6548" s="502" t="s">
        <v>878</v>
      </c>
      <c r="G6548" s="100">
        <v>116120563</v>
      </c>
      <c r="H6548" s="484">
        <v>116120563</v>
      </c>
      <c r="I6548" s="422" t="s">
        <v>1013</v>
      </c>
      <c r="J6548" s="484"/>
      <c r="K6548" s="548"/>
      <c r="L6548" s="548"/>
      <c r="M6548" s="548"/>
      <c r="N6548" s="552"/>
    </row>
    <row r="6549" spans="1:14">
      <c r="A6549" s="499">
        <v>45713</v>
      </c>
      <c r="B6549" s="499">
        <v>45714</v>
      </c>
      <c r="C6549" s="500" t="s">
        <v>173</v>
      </c>
      <c r="D6549" s="500" t="s">
        <v>761</v>
      </c>
      <c r="E6549" s="501">
        <v>1021289401.98</v>
      </c>
      <c r="F6549" s="502" t="s">
        <v>878</v>
      </c>
      <c r="G6549" s="100">
        <v>116120583</v>
      </c>
      <c r="H6549" s="484">
        <v>116120583</v>
      </c>
      <c r="I6549" s="422" t="s">
        <v>681</v>
      </c>
      <c r="J6549" s="484"/>
      <c r="K6549" s="548"/>
      <c r="L6549" s="548"/>
      <c r="M6549" s="548"/>
      <c r="N6549" s="552"/>
    </row>
    <row r="6550" spans="1:14">
      <c r="A6550" s="499">
        <v>45713</v>
      </c>
      <c r="B6550" s="499">
        <v>45714</v>
      </c>
      <c r="C6550" s="500" t="s">
        <v>173</v>
      </c>
      <c r="D6550" s="500" t="s">
        <v>761</v>
      </c>
      <c r="E6550" s="501">
        <v>4002878.17</v>
      </c>
      <c r="F6550" s="502" t="s">
        <v>878</v>
      </c>
      <c r="G6550" s="100">
        <v>116121160</v>
      </c>
      <c r="H6550" s="484">
        <v>116121160</v>
      </c>
      <c r="I6550" s="422" t="s">
        <v>633</v>
      </c>
      <c r="J6550" s="484"/>
      <c r="K6550" s="548"/>
      <c r="L6550" s="548"/>
      <c r="M6550" s="548"/>
      <c r="N6550" s="552"/>
    </row>
    <row r="6551" spans="1:14">
      <c r="A6551" s="499">
        <v>45713</v>
      </c>
      <c r="B6551" s="499">
        <v>45713</v>
      </c>
      <c r="C6551" s="500" t="s">
        <v>173</v>
      </c>
      <c r="D6551" s="500" t="s">
        <v>759</v>
      </c>
      <c r="E6551" s="501">
        <v>-757403910.22000003</v>
      </c>
      <c r="F6551" s="502" t="s">
        <v>878</v>
      </c>
      <c r="G6551" s="100">
        <v>116120432</v>
      </c>
      <c r="H6551" s="530"/>
      <c r="I6551" s="422" t="s">
        <v>602</v>
      </c>
      <c r="J6551" s="484"/>
      <c r="K6551" s="548"/>
      <c r="L6551" s="548"/>
      <c r="M6551" s="548"/>
      <c r="N6551" s="552"/>
    </row>
    <row r="6552" spans="1:14">
      <c r="A6552" s="499">
        <v>45713</v>
      </c>
      <c r="B6552" s="499">
        <v>45713</v>
      </c>
      <c r="C6552" s="500" t="s">
        <v>173</v>
      </c>
      <c r="D6552" s="500" t="s">
        <v>759</v>
      </c>
      <c r="E6552" s="501">
        <v>-759467516.67999995</v>
      </c>
      <c r="F6552" s="502" t="s">
        <v>878</v>
      </c>
      <c r="G6552" s="100">
        <v>116120435</v>
      </c>
      <c r="H6552" s="530"/>
      <c r="I6552" s="422" t="s">
        <v>711</v>
      </c>
      <c r="J6552" s="484"/>
      <c r="K6552" s="548"/>
      <c r="L6552" s="548"/>
      <c r="M6552" s="548"/>
      <c r="N6552" s="552"/>
    </row>
    <row r="6553" spans="1:14">
      <c r="A6553" s="499">
        <v>45713</v>
      </c>
      <c r="B6553" s="499">
        <v>45713</v>
      </c>
      <c r="C6553" s="500" t="s">
        <v>173</v>
      </c>
      <c r="D6553" s="500" t="s">
        <v>759</v>
      </c>
      <c r="E6553" s="501">
        <v>-495011091.95999998</v>
      </c>
      <c r="F6553" s="502" t="s">
        <v>878</v>
      </c>
      <c r="G6553" s="100">
        <v>116120438</v>
      </c>
      <c r="H6553" s="530"/>
      <c r="I6553" s="422" t="s">
        <v>673</v>
      </c>
      <c r="J6553" s="484"/>
      <c r="K6553" s="548"/>
      <c r="L6553" s="548"/>
      <c r="M6553" s="548"/>
      <c r="N6553" s="552"/>
    </row>
    <row r="6554" spans="1:14">
      <c r="A6554" s="499">
        <v>45713</v>
      </c>
      <c r="B6554" s="499">
        <v>45713</v>
      </c>
      <c r="C6554" s="500" t="s">
        <v>173</v>
      </c>
      <c r="D6554" s="500" t="s">
        <v>759</v>
      </c>
      <c r="E6554" s="501">
        <v>-9002037.4499999993</v>
      </c>
      <c r="F6554" s="502" t="s">
        <v>878</v>
      </c>
      <c r="G6554" s="100">
        <v>116120560</v>
      </c>
      <c r="H6554" s="530"/>
      <c r="I6554" s="422" t="s">
        <v>1013</v>
      </c>
      <c r="J6554" s="484"/>
      <c r="K6554" s="548"/>
      <c r="L6554" s="548"/>
      <c r="M6554" s="548"/>
      <c r="N6554" s="552"/>
    </row>
    <row r="6555" spans="1:14">
      <c r="A6555" s="499">
        <v>45713</v>
      </c>
      <c r="B6555" s="499">
        <v>45714</v>
      </c>
      <c r="C6555" s="500" t="s">
        <v>173</v>
      </c>
      <c r="D6555" s="500" t="s">
        <v>759</v>
      </c>
      <c r="E6555" s="501">
        <v>757732810.26999998</v>
      </c>
      <c r="F6555" s="502" t="s">
        <v>878</v>
      </c>
      <c r="G6555" s="100">
        <v>116120432</v>
      </c>
      <c r="H6555" s="484">
        <v>116120432</v>
      </c>
      <c r="I6555" s="422" t="s">
        <v>602</v>
      </c>
      <c r="J6555" s="484"/>
      <c r="K6555" s="548"/>
      <c r="L6555" s="548"/>
      <c r="M6555" s="548"/>
      <c r="N6555" s="552"/>
    </row>
    <row r="6556" spans="1:14">
      <c r="A6556" s="499">
        <v>45713</v>
      </c>
      <c r="B6556" s="499">
        <v>45714</v>
      </c>
      <c r="C6556" s="500" t="s">
        <v>173</v>
      </c>
      <c r="D6556" s="500" t="s">
        <v>759</v>
      </c>
      <c r="E6556" s="501">
        <v>759797312.85000002</v>
      </c>
      <c r="F6556" s="502" t="s">
        <v>878</v>
      </c>
      <c r="G6556" s="100">
        <v>116120435</v>
      </c>
      <c r="H6556" s="484">
        <v>116120435</v>
      </c>
      <c r="I6556" s="422" t="s">
        <v>711</v>
      </c>
      <c r="J6556" s="484"/>
      <c r="K6556" s="548"/>
      <c r="L6556" s="548"/>
      <c r="M6556" s="548"/>
      <c r="N6556" s="552"/>
    </row>
    <row r="6557" spans="1:14">
      <c r="A6557" s="499">
        <v>45713</v>
      </c>
      <c r="B6557" s="499">
        <v>45714</v>
      </c>
      <c r="C6557" s="500" t="s">
        <v>173</v>
      </c>
      <c r="D6557" s="500" t="s">
        <v>759</v>
      </c>
      <c r="E6557" s="501">
        <v>495226048.82999998</v>
      </c>
      <c r="F6557" s="502" t="s">
        <v>878</v>
      </c>
      <c r="G6557" s="100">
        <v>116120438</v>
      </c>
      <c r="H6557" s="484">
        <v>116120438</v>
      </c>
      <c r="I6557" s="422" t="s">
        <v>673</v>
      </c>
      <c r="J6557" s="484"/>
      <c r="K6557" s="548"/>
      <c r="L6557" s="548"/>
      <c r="M6557" s="548"/>
      <c r="N6557" s="552"/>
    </row>
    <row r="6558" spans="1:14">
      <c r="A6558" s="499">
        <v>45713</v>
      </c>
      <c r="B6558" s="499">
        <v>45714</v>
      </c>
      <c r="C6558" s="500" t="s">
        <v>173</v>
      </c>
      <c r="D6558" s="500" t="s">
        <v>759</v>
      </c>
      <c r="E6558" s="501">
        <v>9005958.8900000006</v>
      </c>
      <c r="F6558" s="502" t="s">
        <v>878</v>
      </c>
      <c r="G6558" s="100">
        <v>116120560</v>
      </c>
      <c r="H6558" s="484">
        <v>116120560</v>
      </c>
      <c r="I6558" s="422" t="s">
        <v>1013</v>
      </c>
      <c r="J6558" s="484"/>
      <c r="K6558" s="548"/>
      <c r="L6558" s="548"/>
      <c r="M6558" s="548"/>
      <c r="N6558" s="552"/>
    </row>
    <row r="6559" spans="1:14">
      <c r="A6559" s="499">
        <v>45713</v>
      </c>
      <c r="B6559" s="499">
        <v>45713</v>
      </c>
      <c r="C6559" s="500" t="s">
        <v>173</v>
      </c>
      <c r="D6559" s="500" t="s">
        <v>763</v>
      </c>
      <c r="E6559" s="501">
        <v>-6032447491.8999996</v>
      </c>
      <c r="F6559" s="502" t="s">
        <v>878</v>
      </c>
      <c r="G6559" s="100">
        <v>116118718</v>
      </c>
      <c r="H6559" s="530"/>
      <c r="I6559" s="422" t="s">
        <v>684</v>
      </c>
      <c r="J6559" s="484"/>
      <c r="K6559" s="548"/>
      <c r="L6559" s="548"/>
      <c r="M6559" s="548"/>
      <c r="N6559" s="552"/>
    </row>
    <row r="6560" spans="1:14">
      <c r="A6560" s="499">
        <v>45713</v>
      </c>
      <c r="B6560" s="499">
        <v>45713</v>
      </c>
      <c r="C6560" s="500" t="s">
        <v>173</v>
      </c>
      <c r="D6560" s="500" t="s">
        <v>763</v>
      </c>
      <c r="E6560" s="501">
        <v>-25008987.399999999</v>
      </c>
      <c r="F6560" s="502" t="s">
        <v>878</v>
      </c>
      <c r="G6560" s="100">
        <v>116118912</v>
      </c>
      <c r="H6560" s="530"/>
      <c r="I6560" s="422" t="s">
        <v>653</v>
      </c>
      <c r="J6560" s="484"/>
      <c r="K6560" s="548"/>
      <c r="L6560" s="548"/>
      <c r="M6560" s="548"/>
      <c r="N6560" s="552"/>
    </row>
    <row r="6561" spans="1:14">
      <c r="A6561" s="499">
        <v>45713</v>
      </c>
      <c r="B6561" s="499">
        <v>45714</v>
      </c>
      <c r="C6561" s="500" t="s">
        <v>173</v>
      </c>
      <c r="D6561" s="500" t="s">
        <v>763</v>
      </c>
      <c r="E6561" s="501">
        <v>6034885261.7799997</v>
      </c>
      <c r="F6561" s="502" t="s">
        <v>878</v>
      </c>
      <c r="G6561" s="100">
        <v>116118718</v>
      </c>
      <c r="H6561" s="100">
        <v>116118718</v>
      </c>
      <c r="I6561" s="422" t="s">
        <v>684</v>
      </c>
      <c r="J6561" s="484"/>
      <c r="K6561" s="548"/>
      <c r="L6561" s="548"/>
      <c r="M6561" s="548"/>
      <c r="N6561" s="552"/>
    </row>
    <row r="6562" spans="1:14">
      <c r="A6562" s="499">
        <v>45713</v>
      </c>
      <c r="B6562" s="499">
        <v>45714</v>
      </c>
      <c r="C6562" s="500" t="s">
        <v>173</v>
      </c>
      <c r="D6562" s="500" t="s">
        <v>763</v>
      </c>
      <c r="E6562" s="501">
        <v>25019128.030000001</v>
      </c>
      <c r="F6562" s="502" t="s">
        <v>878</v>
      </c>
      <c r="G6562" s="100">
        <v>116118912</v>
      </c>
      <c r="H6562" s="100">
        <v>116118912</v>
      </c>
      <c r="I6562" s="422" t="s">
        <v>653</v>
      </c>
      <c r="J6562" s="484"/>
      <c r="K6562" s="548"/>
      <c r="L6562" s="548"/>
      <c r="M6562" s="548"/>
      <c r="N6562" s="552"/>
    </row>
    <row r="6563" spans="1:14">
      <c r="A6563" s="499">
        <v>45714</v>
      </c>
      <c r="B6563" s="499">
        <v>45714</v>
      </c>
      <c r="C6563" s="500" t="s">
        <v>173</v>
      </c>
      <c r="D6563" s="500" t="s">
        <v>761</v>
      </c>
      <c r="E6563" s="501">
        <v>-1070426815.51</v>
      </c>
      <c r="F6563" s="502" t="s">
        <v>878</v>
      </c>
      <c r="G6563" s="100">
        <v>116138924</v>
      </c>
      <c r="H6563" s="530"/>
      <c r="I6563" s="422" t="s">
        <v>707</v>
      </c>
      <c r="J6563" s="484"/>
      <c r="K6563" s="548"/>
      <c r="L6563" s="548"/>
      <c r="M6563" s="548"/>
      <c r="N6563" s="552"/>
    </row>
    <row r="6564" spans="1:14">
      <c r="A6564" s="499">
        <v>45714</v>
      </c>
      <c r="B6564" s="499">
        <v>45714</v>
      </c>
      <c r="C6564" s="500" t="s">
        <v>173</v>
      </c>
      <c r="D6564" s="500" t="s">
        <v>761</v>
      </c>
      <c r="E6564" s="501">
        <v>-2339654136.4400001</v>
      </c>
      <c r="F6564" s="502" t="s">
        <v>878</v>
      </c>
      <c r="G6564" s="100">
        <v>116138928</v>
      </c>
      <c r="H6564" s="530"/>
      <c r="I6564" s="422" t="s">
        <v>695</v>
      </c>
      <c r="J6564" s="484"/>
      <c r="K6564" s="548"/>
      <c r="L6564" s="548"/>
      <c r="M6564" s="548"/>
      <c r="N6564" s="552"/>
    </row>
    <row r="6565" spans="1:14">
      <c r="A6565" s="499">
        <v>45714</v>
      </c>
      <c r="B6565" s="499">
        <v>45714</v>
      </c>
      <c r="C6565" s="500" t="s">
        <v>173</v>
      </c>
      <c r="D6565" s="500" t="s">
        <v>761</v>
      </c>
      <c r="E6565" s="501">
        <v>-1011072234.74</v>
      </c>
      <c r="F6565" s="502" t="s">
        <v>878</v>
      </c>
      <c r="G6565" s="100">
        <v>116140018</v>
      </c>
      <c r="H6565" s="530"/>
      <c r="I6565" s="422" t="s">
        <v>633</v>
      </c>
      <c r="J6565" s="484"/>
      <c r="K6565" s="548"/>
      <c r="L6565" s="548"/>
      <c r="M6565" s="548"/>
      <c r="N6565" s="552"/>
    </row>
    <row r="6566" spans="1:14">
      <c r="A6566" s="499">
        <v>45714</v>
      </c>
      <c r="B6566" s="499">
        <v>45714</v>
      </c>
      <c r="C6566" s="500" t="s">
        <v>173</v>
      </c>
      <c r="D6566" s="500" t="s">
        <v>761</v>
      </c>
      <c r="E6566" s="501">
        <v>-5003203.38</v>
      </c>
      <c r="F6566" s="502" t="s">
        <v>878</v>
      </c>
      <c r="G6566" s="100">
        <v>116146039</v>
      </c>
      <c r="H6566" s="530"/>
      <c r="I6566" s="422" t="s">
        <v>684</v>
      </c>
      <c r="J6566" s="484"/>
      <c r="K6566" s="548"/>
      <c r="L6566" s="548"/>
      <c r="M6566" s="548"/>
      <c r="N6566" s="552"/>
    </row>
    <row r="6567" spans="1:14">
      <c r="A6567" s="499">
        <v>45714</v>
      </c>
      <c r="B6567" s="499">
        <v>45721</v>
      </c>
      <c r="C6567" s="500" t="s">
        <v>173</v>
      </c>
      <c r="D6567" s="500" t="s">
        <v>761</v>
      </c>
      <c r="E6567" s="501">
        <v>1073588240.46</v>
      </c>
      <c r="F6567" s="502" t="s">
        <v>878</v>
      </c>
      <c r="G6567" s="100">
        <v>116138924</v>
      </c>
      <c r="H6567" s="484">
        <v>116138924</v>
      </c>
      <c r="I6567" s="422" t="s">
        <v>707</v>
      </c>
      <c r="J6567" s="484"/>
      <c r="K6567" s="548"/>
      <c r="L6567" s="548"/>
      <c r="M6567" s="548"/>
      <c r="N6567" s="552"/>
    </row>
    <row r="6568" spans="1:14">
      <c r="A6568" s="499">
        <v>45714</v>
      </c>
      <c r="B6568" s="499">
        <v>45721</v>
      </c>
      <c r="C6568" s="500" t="s">
        <v>173</v>
      </c>
      <c r="D6568" s="500" t="s">
        <v>761</v>
      </c>
      <c r="E6568" s="501">
        <v>2346564128.6599998</v>
      </c>
      <c r="F6568" s="502" t="s">
        <v>878</v>
      </c>
      <c r="G6568" s="100">
        <v>116138928</v>
      </c>
      <c r="H6568" s="484">
        <v>116138928</v>
      </c>
      <c r="I6568" s="422" t="s">
        <v>695</v>
      </c>
      <c r="J6568" s="484"/>
      <c r="K6568" s="548"/>
      <c r="L6568" s="548"/>
      <c r="M6568" s="548"/>
      <c r="N6568" s="552"/>
    </row>
    <row r="6569" spans="1:14">
      <c r="A6569" s="499">
        <v>45714</v>
      </c>
      <c r="B6569" s="499">
        <v>45715</v>
      </c>
      <c r="C6569" s="500" t="s">
        <v>173</v>
      </c>
      <c r="D6569" s="500" t="s">
        <v>761</v>
      </c>
      <c r="E6569" s="501">
        <v>1011520984.61</v>
      </c>
      <c r="F6569" s="502" t="s">
        <v>878</v>
      </c>
      <c r="G6569" s="100">
        <v>116140018</v>
      </c>
      <c r="H6569" s="484">
        <v>116140018</v>
      </c>
      <c r="I6569" s="422" t="s">
        <v>633</v>
      </c>
      <c r="J6569" s="484"/>
      <c r="K6569" s="548"/>
      <c r="L6569" s="548"/>
      <c r="M6569" s="548"/>
      <c r="N6569" s="552"/>
    </row>
    <row r="6570" spans="1:14">
      <c r="A6570" s="499">
        <v>45714</v>
      </c>
      <c r="B6570" s="499">
        <v>45715</v>
      </c>
      <c r="C6570" s="500" t="s">
        <v>173</v>
      </c>
      <c r="D6570" s="500" t="s">
        <v>761</v>
      </c>
      <c r="E6570" s="501">
        <v>5005376.07</v>
      </c>
      <c r="F6570" s="502" t="s">
        <v>878</v>
      </c>
      <c r="G6570" s="100">
        <v>116146039</v>
      </c>
      <c r="H6570" s="484">
        <v>116146039</v>
      </c>
      <c r="I6570" s="422" t="s">
        <v>684</v>
      </c>
      <c r="J6570" s="484"/>
      <c r="K6570" s="548"/>
      <c r="L6570" s="548"/>
      <c r="M6570" s="548"/>
      <c r="N6570" s="552"/>
    </row>
    <row r="6571" spans="1:14">
      <c r="A6571" s="499">
        <v>45714</v>
      </c>
      <c r="B6571" s="499">
        <v>45714</v>
      </c>
      <c r="C6571" s="500" t="s">
        <v>173</v>
      </c>
      <c r="D6571" s="500" t="s">
        <v>759</v>
      </c>
      <c r="E6571" s="501">
        <v>-522434822.87</v>
      </c>
      <c r="F6571" s="502" t="s">
        <v>878</v>
      </c>
      <c r="G6571" s="100">
        <v>116141894</v>
      </c>
      <c r="H6571" s="530"/>
      <c r="I6571" s="422" t="s">
        <v>681</v>
      </c>
      <c r="J6571" s="484"/>
      <c r="K6571" s="548"/>
      <c r="L6571" s="548"/>
      <c r="M6571" s="548"/>
      <c r="N6571" s="552"/>
    </row>
    <row r="6572" spans="1:14">
      <c r="A6572" s="499">
        <v>45714</v>
      </c>
      <c r="B6572" s="499">
        <v>45714</v>
      </c>
      <c r="C6572" s="500" t="s">
        <v>173</v>
      </c>
      <c r="D6572" s="500" t="s">
        <v>759</v>
      </c>
      <c r="E6572" s="501">
        <v>-1490106458.71</v>
      </c>
      <c r="F6572" s="502" t="s">
        <v>878</v>
      </c>
      <c r="G6572" s="100">
        <v>116142041</v>
      </c>
      <c r="H6572" s="530"/>
      <c r="I6572" s="422" t="s">
        <v>633</v>
      </c>
      <c r="J6572" s="484"/>
      <c r="K6572" s="548"/>
      <c r="L6572" s="548"/>
      <c r="M6572" s="548"/>
      <c r="N6572" s="552"/>
    </row>
    <row r="6573" spans="1:14">
      <c r="A6573" s="499">
        <v>45714</v>
      </c>
      <c r="B6573" s="499">
        <v>45714</v>
      </c>
      <c r="C6573" s="500" t="s">
        <v>173</v>
      </c>
      <c r="D6573" s="500" t="s">
        <v>759</v>
      </c>
      <c r="E6573" s="501">
        <v>-9000344.5999999996</v>
      </c>
      <c r="F6573" s="502" t="s">
        <v>878</v>
      </c>
      <c r="G6573" s="100">
        <v>116143457</v>
      </c>
      <c r="H6573" s="530"/>
      <c r="I6573" s="422" t="s">
        <v>1040</v>
      </c>
      <c r="J6573" s="484"/>
      <c r="K6573" s="548"/>
      <c r="L6573" s="548"/>
      <c r="M6573" s="548"/>
      <c r="N6573" s="552"/>
    </row>
    <row r="6574" spans="1:14">
      <c r="A6574" s="499">
        <v>45714</v>
      </c>
      <c r="B6574" s="499">
        <v>45715</v>
      </c>
      <c r="C6574" s="500" t="s">
        <v>173</v>
      </c>
      <c r="D6574" s="500" t="s">
        <v>759</v>
      </c>
      <c r="E6574" s="501">
        <v>522663833.95999998</v>
      </c>
      <c r="F6574" s="502" t="s">
        <v>878</v>
      </c>
      <c r="G6574" s="100">
        <v>116141894</v>
      </c>
      <c r="H6574" s="484">
        <v>116141894</v>
      </c>
      <c r="I6574" s="422" t="s">
        <v>681</v>
      </c>
      <c r="J6574" s="484"/>
      <c r="K6574" s="548"/>
      <c r="L6574" s="548"/>
      <c r="M6574" s="548"/>
      <c r="N6574" s="552"/>
    </row>
    <row r="6575" spans="1:14">
      <c r="A6575" s="499">
        <v>45714</v>
      </c>
      <c r="B6575" s="499">
        <v>45715</v>
      </c>
      <c r="C6575" s="500" t="s">
        <v>173</v>
      </c>
      <c r="D6575" s="500" t="s">
        <v>759</v>
      </c>
      <c r="E6575" s="501">
        <v>1490759651.98</v>
      </c>
      <c r="F6575" s="502" t="s">
        <v>878</v>
      </c>
      <c r="G6575" s="100">
        <v>116142041</v>
      </c>
      <c r="H6575" s="484">
        <v>116142041</v>
      </c>
      <c r="I6575" s="422" t="s">
        <v>633</v>
      </c>
      <c r="J6575" s="484"/>
      <c r="K6575" s="548"/>
      <c r="L6575" s="548"/>
      <c r="M6575" s="548"/>
      <c r="N6575" s="552"/>
    </row>
    <row r="6576" spans="1:14">
      <c r="A6576" s="499">
        <v>45714</v>
      </c>
      <c r="B6576" s="499">
        <v>45715</v>
      </c>
      <c r="C6576" s="500" t="s">
        <v>173</v>
      </c>
      <c r="D6576" s="500" t="s">
        <v>759</v>
      </c>
      <c r="E6576" s="501">
        <v>9004252.9700000007</v>
      </c>
      <c r="F6576" s="502" t="s">
        <v>878</v>
      </c>
      <c r="G6576" s="100">
        <v>116143457</v>
      </c>
      <c r="H6576" s="484">
        <v>116143457</v>
      </c>
      <c r="I6576" s="422" t="s">
        <v>1040</v>
      </c>
      <c r="J6576" s="484"/>
      <c r="K6576" s="548"/>
      <c r="L6576" s="548"/>
      <c r="M6576" s="548"/>
      <c r="N6576" s="552"/>
    </row>
    <row r="6577" spans="1:14">
      <c r="A6577" s="499">
        <v>45714</v>
      </c>
      <c r="B6577" s="499">
        <v>45714</v>
      </c>
      <c r="C6577" s="500" t="s">
        <v>173</v>
      </c>
      <c r="D6577" s="500" t="s">
        <v>764</v>
      </c>
      <c r="E6577" s="501">
        <v>-2311479961.5599999</v>
      </c>
      <c r="F6577" s="502" t="s">
        <v>878</v>
      </c>
      <c r="G6577" s="100">
        <v>116139355</v>
      </c>
      <c r="H6577" s="530"/>
      <c r="I6577" s="422" t="s">
        <v>684</v>
      </c>
      <c r="J6577" s="484"/>
      <c r="K6577" s="548"/>
      <c r="L6577" s="548"/>
      <c r="M6577" s="548"/>
      <c r="N6577" s="552"/>
    </row>
    <row r="6578" spans="1:14">
      <c r="A6578" s="499">
        <v>45714</v>
      </c>
      <c r="B6578" s="499">
        <v>45714</v>
      </c>
      <c r="C6578" s="500" t="s">
        <v>173</v>
      </c>
      <c r="D6578" s="500" t="s">
        <v>764</v>
      </c>
      <c r="E6578" s="501">
        <v>-5004743.24</v>
      </c>
      <c r="F6578" s="502" t="s">
        <v>878</v>
      </c>
      <c r="G6578" s="100">
        <v>116139490</v>
      </c>
      <c r="H6578" s="530"/>
      <c r="I6578" s="422" t="s">
        <v>525</v>
      </c>
      <c r="J6578" s="484"/>
      <c r="K6578" s="548"/>
      <c r="L6578" s="548"/>
      <c r="M6578" s="548"/>
      <c r="N6578" s="552"/>
    </row>
    <row r="6579" spans="1:14">
      <c r="A6579" s="499">
        <v>45714</v>
      </c>
      <c r="B6579" s="499">
        <v>45714</v>
      </c>
      <c r="C6579" s="500" t="s">
        <v>173</v>
      </c>
      <c r="D6579" s="500" t="s">
        <v>764</v>
      </c>
      <c r="E6579" s="501">
        <v>-11000785.939999999</v>
      </c>
      <c r="F6579" s="502" t="s">
        <v>878</v>
      </c>
      <c r="G6579" s="100">
        <v>116139653</v>
      </c>
      <c r="H6579" s="530"/>
      <c r="I6579" s="422" t="s">
        <v>633</v>
      </c>
      <c r="J6579" s="484"/>
      <c r="K6579" s="548"/>
      <c r="L6579" s="548"/>
      <c r="M6579" s="548"/>
      <c r="N6579" s="552"/>
    </row>
    <row r="6580" spans="1:14">
      <c r="A6580" s="499">
        <v>45714</v>
      </c>
      <c r="B6580" s="499">
        <v>45715</v>
      </c>
      <c r="C6580" s="500" t="s">
        <v>173</v>
      </c>
      <c r="D6580" s="500" t="s">
        <v>764</v>
      </c>
      <c r="E6580" s="501">
        <v>2312474214.5799999</v>
      </c>
      <c r="F6580" s="502" t="s">
        <v>878</v>
      </c>
      <c r="G6580" s="100">
        <v>116139355</v>
      </c>
      <c r="H6580" s="484">
        <v>116139355</v>
      </c>
      <c r="I6580" s="422" t="s">
        <v>684</v>
      </c>
      <c r="J6580" s="484"/>
      <c r="K6580" s="548"/>
      <c r="L6580" s="548"/>
      <c r="M6580" s="548"/>
      <c r="N6580" s="552"/>
    </row>
    <row r="6581" spans="1:14">
      <c r="A6581" s="499">
        <v>45714</v>
      </c>
      <c r="B6581" s="499">
        <v>45715</v>
      </c>
      <c r="C6581" s="500" t="s">
        <v>173</v>
      </c>
      <c r="D6581" s="500" t="s">
        <v>764</v>
      </c>
      <c r="E6581" s="501">
        <v>5006895.97</v>
      </c>
      <c r="F6581" s="502" t="s">
        <v>878</v>
      </c>
      <c r="G6581" s="100">
        <v>116139490</v>
      </c>
      <c r="H6581" s="484">
        <v>116139490</v>
      </c>
      <c r="I6581" s="422" t="s">
        <v>525</v>
      </c>
      <c r="J6581" s="484"/>
      <c r="K6581" s="548"/>
      <c r="L6581" s="548"/>
      <c r="M6581" s="548"/>
      <c r="N6581" s="552"/>
    </row>
    <row r="6582" spans="1:14">
      <c r="A6582" s="499">
        <v>45714</v>
      </c>
      <c r="B6582" s="499">
        <v>45715</v>
      </c>
      <c r="C6582" s="500" t="s">
        <v>173</v>
      </c>
      <c r="D6582" s="500" t="s">
        <v>764</v>
      </c>
      <c r="E6582" s="501">
        <v>11005517.779999999</v>
      </c>
      <c r="F6582" s="502" t="s">
        <v>878</v>
      </c>
      <c r="G6582" s="100">
        <v>116139653</v>
      </c>
      <c r="H6582" s="484">
        <v>116139653</v>
      </c>
      <c r="I6582" s="422" t="s">
        <v>633</v>
      </c>
      <c r="J6582" s="484"/>
      <c r="K6582" s="548"/>
      <c r="L6582" s="548"/>
      <c r="M6582" s="548"/>
      <c r="N6582" s="552"/>
    </row>
    <row r="6583" spans="1:14">
      <c r="A6583" s="499">
        <v>45714</v>
      </c>
      <c r="B6583" s="499">
        <v>45714</v>
      </c>
      <c r="C6583" s="500" t="s">
        <v>173</v>
      </c>
      <c r="D6583" s="500" t="s">
        <v>763</v>
      </c>
      <c r="E6583" s="501">
        <v>-6032862635.6000004</v>
      </c>
      <c r="F6583" s="502" t="s">
        <v>878</v>
      </c>
      <c r="G6583" s="100">
        <v>116138375</v>
      </c>
      <c r="H6583" s="530"/>
      <c r="I6583" s="422" t="s">
        <v>684</v>
      </c>
      <c r="J6583" s="484"/>
      <c r="K6583" s="548"/>
      <c r="L6583" s="548"/>
      <c r="M6583" s="548"/>
      <c r="N6583" s="552"/>
    </row>
    <row r="6584" spans="1:14">
      <c r="A6584" s="499">
        <v>45714</v>
      </c>
      <c r="B6584" s="499">
        <v>45714</v>
      </c>
      <c r="C6584" s="500" t="s">
        <v>173</v>
      </c>
      <c r="D6584" s="500" t="s">
        <v>763</v>
      </c>
      <c r="E6584" s="501">
        <v>-27001929.120000001</v>
      </c>
      <c r="F6584" s="502" t="s">
        <v>878</v>
      </c>
      <c r="G6584" s="100">
        <v>116138405</v>
      </c>
      <c r="H6584" s="530"/>
      <c r="I6584" s="422" t="s">
        <v>633</v>
      </c>
      <c r="J6584" s="484"/>
      <c r="K6584" s="548"/>
      <c r="L6584" s="548"/>
      <c r="M6584" s="548"/>
      <c r="N6584" s="552"/>
    </row>
    <row r="6585" spans="1:14">
      <c r="A6585" s="499">
        <v>45714</v>
      </c>
      <c r="B6585" s="499">
        <v>45715</v>
      </c>
      <c r="C6585" s="500" t="s">
        <v>173</v>
      </c>
      <c r="D6585" s="500" t="s">
        <v>763</v>
      </c>
      <c r="E6585" s="501">
        <v>6035350158.4099998</v>
      </c>
      <c r="F6585" s="502" t="s">
        <v>878</v>
      </c>
      <c r="G6585" s="100">
        <v>116138375</v>
      </c>
      <c r="H6585" s="484">
        <v>116138375</v>
      </c>
      <c r="I6585" s="422" t="s">
        <v>684</v>
      </c>
      <c r="J6585" s="484"/>
      <c r="K6585" s="548"/>
      <c r="L6585" s="548"/>
      <c r="M6585" s="548"/>
      <c r="N6585" s="552"/>
    </row>
    <row r="6586" spans="1:14">
      <c r="A6586" s="499">
        <v>45714</v>
      </c>
      <c r="B6586" s="499">
        <v>45715</v>
      </c>
      <c r="C6586" s="500" t="s">
        <v>173</v>
      </c>
      <c r="D6586" s="500" t="s">
        <v>763</v>
      </c>
      <c r="E6586" s="501">
        <v>27013062.870000001</v>
      </c>
      <c r="F6586" s="502" t="s">
        <v>878</v>
      </c>
      <c r="G6586" s="100">
        <v>116138405</v>
      </c>
      <c r="H6586" s="484">
        <v>116138405</v>
      </c>
      <c r="I6586" s="422" t="s">
        <v>633</v>
      </c>
      <c r="J6586" s="484"/>
      <c r="K6586" s="548"/>
      <c r="L6586" s="548"/>
      <c r="M6586" s="548"/>
      <c r="N6586" s="552"/>
    </row>
    <row r="6587" spans="1:14">
      <c r="A6587" s="499">
        <v>45715</v>
      </c>
      <c r="B6587" s="499">
        <v>45715</v>
      </c>
      <c r="C6587" s="500" t="s">
        <v>173</v>
      </c>
      <c r="D6587" s="500" t="s">
        <v>761</v>
      </c>
      <c r="E6587" s="501">
        <v>-1012822199.4</v>
      </c>
      <c r="F6587" s="502" t="s">
        <v>878</v>
      </c>
      <c r="G6587" s="100">
        <v>116162103</v>
      </c>
      <c r="H6587" s="530"/>
      <c r="I6587" s="422" t="s">
        <v>709</v>
      </c>
      <c r="J6587" s="484"/>
      <c r="K6587" s="548"/>
      <c r="L6587" s="548"/>
      <c r="M6587" s="548"/>
      <c r="N6587" s="552"/>
    </row>
    <row r="6588" spans="1:14">
      <c r="A6588" s="499">
        <v>45715</v>
      </c>
      <c r="B6588" s="499">
        <v>45715</v>
      </c>
      <c r="C6588" s="500" t="s">
        <v>173</v>
      </c>
      <c r="D6588" s="500" t="s">
        <v>761</v>
      </c>
      <c r="E6588" s="501">
        <v>-4001258.73</v>
      </c>
      <c r="F6588" s="502" t="s">
        <v>878</v>
      </c>
      <c r="G6588" s="100">
        <v>116162133</v>
      </c>
      <c r="H6588" s="530"/>
      <c r="I6588" s="422" t="s">
        <v>1013</v>
      </c>
      <c r="J6588" s="484"/>
      <c r="K6588" s="548"/>
      <c r="L6588" s="548"/>
      <c r="M6588" s="548"/>
      <c r="N6588" s="552"/>
    </row>
    <row r="6589" spans="1:14">
      <c r="A6589" s="499">
        <v>45715</v>
      </c>
      <c r="B6589" s="499">
        <v>45716</v>
      </c>
      <c r="C6589" s="500" t="s">
        <v>173</v>
      </c>
      <c r="D6589" s="500" t="s">
        <v>761</v>
      </c>
      <c r="E6589" s="501">
        <v>1013227328.28</v>
      </c>
      <c r="F6589" s="502" t="s">
        <v>878</v>
      </c>
      <c r="G6589" s="100">
        <v>116162103</v>
      </c>
      <c r="H6589" s="484">
        <v>116162103</v>
      </c>
      <c r="I6589" s="422" t="s">
        <v>709</v>
      </c>
      <c r="J6589" s="484"/>
      <c r="K6589" s="548"/>
      <c r="L6589" s="548"/>
      <c r="M6589" s="548"/>
      <c r="N6589" s="552"/>
    </row>
    <row r="6590" spans="1:14">
      <c r="A6590" s="499">
        <v>45715</v>
      </c>
      <c r="B6590" s="499">
        <v>45716</v>
      </c>
      <c r="C6590" s="500" t="s">
        <v>173</v>
      </c>
      <c r="D6590" s="500" t="s">
        <v>761</v>
      </c>
      <c r="E6590" s="501">
        <v>4002859.24</v>
      </c>
      <c r="F6590" s="502" t="s">
        <v>878</v>
      </c>
      <c r="G6590" s="100">
        <v>116162133</v>
      </c>
      <c r="H6590" s="484">
        <v>116162133</v>
      </c>
      <c r="I6590" s="422" t="s">
        <v>1013</v>
      </c>
      <c r="J6590" s="484"/>
      <c r="K6590" s="548"/>
      <c r="L6590" s="548"/>
      <c r="M6590" s="548"/>
      <c r="N6590" s="552"/>
    </row>
    <row r="6591" spans="1:14">
      <c r="A6591" s="499">
        <v>45715</v>
      </c>
      <c r="B6591" s="499">
        <v>45715</v>
      </c>
      <c r="C6591" s="500" t="s">
        <v>173</v>
      </c>
      <c r="D6591" s="500" t="s">
        <v>759</v>
      </c>
      <c r="E6591" s="501">
        <v>-2819569104</v>
      </c>
      <c r="F6591" s="502" t="s">
        <v>878</v>
      </c>
      <c r="G6591" s="100">
        <v>116158110</v>
      </c>
      <c r="H6591" s="530"/>
      <c r="I6591" s="422" t="s">
        <v>670</v>
      </c>
      <c r="J6591" s="484"/>
      <c r="K6591" s="548"/>
      <c r="L6591" s="548">
        <v>-1</v>
      </c>
      <c r="M6591" s="548"/>
      <c r="N6591" s="552"/>
    </row>
    <row r="6592" spans="1:14">
      <c r="A6592" s="499">
        <v>45715</v>
      </c>
      <c r="B6592" s="499">
        <v>45715</v>
      </c>
      <c r="C6592" s="500" t="s">
        <v>173</v>
      </c>
      <c r="D6592" s="500" t="s">
        <v>759</v>
      </c>
      <c r="E6592" s="501">
        <v>-697132328.24000001</v>
      </c>
      <c r="F6592" s="502" t="s">
        <v>878</v>
      </c>
      <c r="G6592" s="100">
        <v>116158113</v>
      </c>
      <c r="H6592" s="530"/>
      <c r="I6592" s="422" t="s">
        <v>604</v>
      </c>
      <c r="J6592" s="484"/>
      <c r="K6592" s="548"/>
      <c r="L6592" s="548"/>
      <c r="M6592" s="548"/>
      <c r="N6592" s="552"/>
    </row>
    <row r="6593" spans="1:14">
      <c r="A6593" s="499">
        <v>45715</v>
      </c>
      <c r="B6593" s="499">
        <v>45715</v>
      </c>
      <c r="C6593" s="500" t="s">
        <v>173</v>
      </c>
      <c r="D6593" s="500" t="s">
        <v>759</v>
      </c>
      <c r="E6593" s="501">
        <v>-553261108.89999998</v>
      </c>
      <c r="F6593" s="502" t="s">
        <v>878</v>
      </c>
      <c r="G6593" s="100">
        <v>116158116</v>
      </c>
      <c r="H6593" s="530"/>
      <c r="I6593" s="422" t="s">
        <v>658</v>
      </c>
      <c r="J6593" s="484"/>
      <c r="K6593" s="548"/>
      <c r="L6593" s="548"/>
      <c r="M6593" s="548"/>
      <c r="N6593" s="552"/>
    </row>
    <row r="6594" spans="1:14">
      <c r="A6594" s="499">
        <v>45715</v>
      </c>
      <c r="B6594" s="499">
        <v>45715</v>
      </c>
      <c r="C6594" s="500" t="s">
        <v>173</v>
      </c>
      <c r="D6594" s="500" t="s">
        <v>759</v>
      </c>
      <c r="E6594" s="501">
        <v>-287050415.56999999</v>
      </c>
      <c r="F6594" s="502" t="s">
        <v>878</v>
      </c>
      <c r="G6594" s="100">
        <v>116158119</v>
      </c>
      <c r="H6594" s="530"/>
      <c r="I6594" s="422" t="s">
        <v>692</v>
      </c>
      <c r="J6594" s="484"/>
      <c r="K6594" s="548"/>
      <c r="L6594" s="548"/>
      <c r="M6594" s="548"/>
      <c r="N6594" s="552"/>
    </row>
    <row r="6595" spans="1:14">
      <c r="A6595" s="499">
        <v>45715</v>
      </c>
      <c r="B6595" s="499">
        <v>45715</v>
      </c>
      <c r="C6595" s="500" t="s">
        <v>173</v>
      </c>
      <c r="D6595" s="500" t="s">
        <v>759</v>
      </c>
      <c r="E6595" s="501">
        <v>-198156567.31</v>
      </c>
      <c r="F6595" s="502" t="s">
        <v>878</v>
      </c>
      <c r="G6595" s="100">
        <v>116158122</v>
      </c>
      <c r="H6595" s="530"/>
      <c r="I6595" s="422" t="s">
        <v>690</v>
      </c>
      <c r="J6595" s="484"/>
      <c r="K6595" s="548"/>
      <c r="L6595" s="548"/>
      <c r="M6595" s="548"/>
      <c r="N6595" s="552"/>
    </row>
    <row r="6596" spans="1:14">
      <c r="A6596" s="499">
        <v>45715</v>
      </c>
      <c r="B6596" s="499">
        <v>45715</v>
      </c>
      <c r="C6596" s="500" t="s">
        <v>173</v>
      </c>
      <c r="D6596" s="500" t="s">
        <v>759</v>
      </c>
      <c r="E6596" s="501">
        <v>-105027789.93000001</v>
      </c>
      <c r="F6596" s="502" t="s">
        <v>878</v>
      </c>
      <c r="G6596" s="100">
        <v>116158125</v>
      </c>
      <c r="H6596" s="530"/>
      <c r="I6596" s="422" t="s">
        <v>598</v>
      </c>
      <c r="J6596" s="484"/>
      <c r="K6596" s="548"/>
      <c r="L6596" s="548"/>
      <c r="M6596" s="548"/>
      <c r="N6596" s="552"/>
    </row>
    <row r="6597" spans="1:14">
      <c r="A6597" s="499">
        <v>45715</v>
      </c>
      <c r="B6597" s="499">
        <v>45715</v>
      </c>
      <c r="C6597" s="500" t="s">
        <v>173</v>
      </c>
      <c r="D6597" s="500" t="s">
        <v>759</v>
      </c>
      <c r="E6597" s="501">
        <v>-2000821650</v>
      </c>
      <c r="F6597" s="502" t="s">
        <v>878</v>
      </c>
      <c r="G6597" s="100">
        <v>116158342</v>
      </c>
      <c r="H6597" s="530"/>
      <c r="I6597" s="422" t="s">
        <v>677</v>
      </c>
      <c r="J6597" s="484"/>
      <c r="K6597" s="548"/>
      <c r="L6597" s="548"/>
      <c r="M6597" s="548"/>
      <c r="N6597" s="552"/>
    </row>
    <row r="6598" spans="1:14">
      <c r="A6598" s="499">
        <v>45715</v>
      </c>
      <c r="B6598" s="499">
        <v>45715</v>
      </c>
      <c r="C6598" s="500" t="s">
        <v>173</v>
      </c>
      <c r="D6598" s="500" t="s">
        <v>759</v>
      </c>
      <c r="E6598" s="501">
        <v>-31031200.260000002</v>
      </c>
      <c r="F6598" s="502" t="s">
        <v>878</v>
      </c>
      <c r="G6598" s="100">
        <v>116161166</v>
      </c>
      <c r="H6598" s="530"/>
      <c r="I6598" s="422" t="s">
        <v>680</v>
      </c>
      <c r="J6598" s="484"/>
      <c r="K6598" s="548"/>
      <c r="L6598" s="548"/>
      <c r="M6598" s="548"/>
      <c r="N6598" s="552"/>
    </row>
    <row r="6599" spans="1:14">
      <c r="A6599" s="499">
        <v>45715</v>
      </c>
      <c r="B6599" s="499">
        <v>45722</v>
      </c>
      <c r="C6599" s="500" t="s">
        <v>173</v>
      </c>
      <c r="D6599" s="500" t="s">
        <v>759</v>
      </c>
      <c r="E6599" s="501">
        <v>2827891027.4499998</v>
      </c>
      <c r="F6599" s="502" t="s">
        <v>878</v>
      </c>
      <c r="G6599" s="100">
        <v>116158110</v>
      </c>
      <c r="H6599" s="484">
        <v>116158110</v>
      </c>
      <c r="I6599" s="422" t="s">
        <v>670</v>
      </c>
      <c r="J6599" s="484"/>
      <c r="K6599" s="548"/>
      <c r="L6599" s="548"/>
      <c r="M6599" s="548"/>
      <c r="N6599" s="552"/>
    </row>
    <row r="6600" spans="1:14">
      <c r="A6600" s="499">
        <v>45715</v>
      </c>
      <c r="B6600" s="499">
        <v>45722</v>
      </c>
      <c r="C6600" s="500" t="s">
        <v>173</v>
      </c>
      <c r="D6600" s="500" t="s">
        <v>759</v>
      </c>
      <c r="E6600" s="501">
        <v>699189905.71000004</v>
      </c>
      <c r="F6600" s="502" t="s">
        <v>878</v>
      </c>
      <c r="G6600" s="100">
        <v>116158113</v>
      </c>
      <c r="H6600" s="484">
        <v>116158113</v>
      </c>
      <c r="I6600" s="422" t="s">
        <v>604</v>
      </c>
      <c r="J6600" s="484"/>
      <c r="K6600" s="548"/>
      <c r="L6600" s="548"/>
      <c r="M6600" s="548"/>
      <c r="N6600" s="552"/>
    </row>
    <row r="6601" spans="1:14">
      <c r="A6601" s="499">
        <v>45715</v>
      </c>
      <c r="B6601" s="499">
        <v>45722</v>
      </c>
      <c r="C6601" s="500" t="s">
        <v>173</v>
      </c>
      <c r="D6601" s="500" t="s">
        <v>759</v>
      </c>
      <c r="E6601" s="501">
        <v>554894052.24000001</v>
      </c>
      <c r="F6601" s="502" t="s">
        <v>878</v>
      </c>
      <c r="G6601" s="100">
        <v>116158116</v>
      </c>
      <c r="H6601" s="484">
        <v>116158116</v>
      </c>
      <c r="I6601" s="422" t="s">
        <v>658</v>
      </c>
      <c r="J6601" s="484"/>
      <c r="K6601" s="548"/>
      <c r="L6601" s="548"/>
      <c r="M6601" s="548"/>
      <c r="N6601" s="552"/>
    </row>
    <row r="6602" spans="1:14">
      <c r="A6602" s="499">
        <v>45715</v>
      </c>
      <c r="B6602" s="499">
        <v>45722</v>
      </c>
      <c r="C6602" s="500" t="s">
        <v>173</v>
      </c>
      <c r="D6602" s="500" t="s">
        <v>759</v>
      </c>
      <c r="E6602" s="501">
        <v>287897641.32999998</v>
      </c>
      <c r="F6602" s="502" t="s">
        <v>878</v>
      </c>
      <c r="G6602" s="100">
        <v>116158119</v>
      </c>
      <c r="H6602" s="484">
        <v>116158119</v>
      </c>
      <c r="I6602" s="422" t="s">
        <v>692</v>
      </c>
      <c r="J6602" s="484"/>
      <c r="K6602" s="548"/>
      <c r="L6602" s="548"/>
      <c r="M6602" s="548"/>
      <c r="N6602" s="552"/>
    </row>
    <row r="6603" spans="1:14">
      <c r="A6603" s="499">
        <v>45715</v>
      </c>
      <c r="B6603" s="499">
        <v>45722</v>
      </c>
      <c r="C6603" s="500" t="s">
        <v>173</v>
      </c>
      <c r="D6603" s="500" t="s">
        <v>759</v>
      </c>
      <c r="E6603" s="501">
        <v>198741423.97999999</v>
      </c>
      <c r="F6603" s="502" t="s">
        <v>878</v>
      </c>
      <c r="G6603" s="100">
        <v>116158122</v>
      </c>
      <c r="H6603" s="484">
        <v>116158122</v>
      </c>
      <c r="I6603" s="422" t="s">
        <v>690</v>
      </c>
      <c r="J6603" s="484"/>
      <c r="K6603" s="548"/>
      <c r="L6603" s="548"/>
      <c r="M6603" s="548"/>
      <c r="N6603" s="552"/>
    </row>
    <row r="6604" spans="1:14">
      <c r="A6604" s="499">
        <v>45715</v>
      </c>
      <c r="B6604" s="499">
        <v>45722</v>
      </c>
      <c r="C6604" s="500" t="s">
        <v>173</v>
      </c>
      <c r="D6604" s="500" t="s">
        <v>759</v>
      </c>
      <c r="E6604" s="501">
        <v>105337778.16</v>
      </c>
      <c r="F6604" s="502" t="s">
        <v>878</v>
      </c>
      <c r="G6604" s="100">
        <v>116158125</v>
      </c>
      <c r="H6604" s="484">
        <v>116158125</v>
      </c>
      <c r="I6604" s="422" t="s">
        <v>598</v>
      </c>
      <c r="J6604" s="484"/>
      <c r="K6604" s="548"/>
      <c r="L6604" s="548"/>
      <c r="M6604" s="548"/>
      <c r="N6604" s="552"/>
    </row>
    <row r="6605" spans="1:14">
      <c r="A6605" s="499">
        <v>45715</v>
      </c>
      <c r="B6605" s="499">
        <v>45716</v>
      </c>
      <c r="C6605" s="500" t="s">
        <v>173</v>
      </c>
      <c r="D6605" s="500" t="s">
        <v>759</v>
      </c>
      <c r="E6605" s="501">
        <v>2001671335.9200001</v>
      </c>
      <c r="F6605" s="502" t="s">
        <v>878</v>
      </c>
      <c r="G6605" s="100">
        <v>116158342</v>
      </c>
      <c r="H6605" s="484">
        <v>116158342</v>
      </c>
      <c r="I6605" s="422" t="s">
        <v>677</v>
      </c>
      <c r="J6605" s="484"/>
      <c r="K6605" s="548"/>
      <c r="L6605" s="548"/>
      <c r="M6605" s="548"/>
      <c r="N6605" s="552"/>
    </row>
    <row r="6606" spans="1:14">
      <c r="A6606" s="499">
        <v>45715</v>
      </c>
      <c r="B6606" s="499">
        <v>45722</v>
      </c>
      <c r="C6606" s="500" t="s">
        <v>173</v>
      </c>
      <c r="D6606" s="500" t="s">
        <v>759</v>
      </c>
      <c r="E6606" s="501">
        <v>31121182.239999998</v>
      </c>
      <c r="F6606" s="502" t="s">
        <v>878</v>
      </c>
      <c r="G6606" s="100">
        <v>116161166</v>
      </c>
      <c r="H6606" s="484">
        <v>116161166</v>
      </c>
      <c r="I6606" s="422" t="s">
        <v>680</v>
      </c>
      <c r="J6606" s="484"/>
      <c r="K6606" s="548"/>
      <c r="L6606" s="548"/>
      <c r="M6606" s="548"/>
      <c r="N6606" s="552"/>
    </row>
    <row r="6607" spans="1:14">
      <c r="A6607" s="499">
        <v>45715</v>
      </c>
      <c r="B6607" s="499">
        <v>45715</v>
      </c>
      <c r="C6607" s="500" t="s">
        <v>173</v>
      </c>
      <c r="D6607" s="500" t="s">
        <v>764</v>
      </c>
      <c r="E6607" s="501">
        <v>-2317359908.8800001</v>
      </c>
      <c r="F6607" s="502" t="s">
        <v>878</v>
      </c>
      <c r="G6607" s="100">
        <v>116160585</v>
      </c>
      <c r="H6607" s="530"/>
      <c r="I6607" s="422" t="s">
        <v>687</v>
      </c>
      <c r="J6607" s="484"/>
      <c r="K6607" s="548"/>
      <c r="L6607" s="548"/>
      <c r="M6607" s="548"/>
      <c r="N6607" s="552"/>
    </row>
    <row r="6608" spans="1:14">
      <c r="A6608" s="499">
        <v>45715</v>
      </c>
      <c r="B6608" s="499">
        <v>45715</v>
      </c>
      <c r="C6608" s="500" t="s">
        <v>173</v>
      </c>
      <c r="D6608" s="500" t="s">
        <v>764</v>
      </c>
      <c r="E6608" s="501">
        <v>-11006458.98</v>
      </c>
      <c r="F6608" s="502" t="s">
        <v>878</v>
      </c>
      <c r="G6608" s="100">
        <v>116160607</v>
      </c>
      <c r="H6608" s="530"/>
      <c r="I6608" s="422" t="s">
        <v>687</v>
      </c>
      <c r="J6608" s="484"/>
      <c r="K6608" s="548"/>
      <c r="L6608" s="548"/>
      <c r="M6608" s="548"/>
      <c r="N6608" s="552"/>
    </row>
    <row r="6609" spans="1:14">
      <c r="A6609" s="499">
        <v>45715</v>
      </c>
      <c r="B6609" s="499">
        <v>45716</v>
      </c>
      <c r="C6609" s="500" t="s">
        <v>173</v>
      </c>
      <c r="D6609" s="500" t="s">
        <v>764</v>
      </c>
      <c r="E6609" s="501">
        <v>2318296382.5900002</v>
      </c>
      <c r="F6609" s="502" t="s">
        <v>878</v>
      </c>
      <c r="G6609" s="100">
        <v>116160585</v>
      </c>
      <c r="H6609" s="100">
        <v>116160585</v>
      </c>
      <c r="I6609" s="422" t="s">
        <v>687</v>
      </c>
      <c r="J6609" s="484"/>
      <c r="K6609" s="548"/>
      <c r="L6609" s="548"/>
      <c r="M6609" s="548"/>
      <c r="N6609" s="552"/>
    </row>
    <row r="6610" spans="1:14">
      <c r="A6610" s="499">
        <v>45715</v>
      </c>
      <c r="B6610" s="499">
        <v>45716</v>
      </c>
      <c r="C6610" s="500" t="s">
        <v>173</v>
      </c>
      <c r="D6610" s="500" t="s">
        <v>764</v>
      </c>
      <c r="E6610" s="501">
        <v>11010906.83</v>
      </c>
      <c r="F6610" s="502" t="s">
        <v>878</v>
      </c>
      <c r="G6610" s="100">
        <v>116160607</v>
      </c>
      <c r="H6610" s="100">
        <v>116160607</v>
      </c>
      <c r="I6610" s="422" t="s">
        <v>687</v>
      </c>
      <c r="J6610" s="484"/>
      <c r="K6610" s="548"/>
      <c r="L6610" s="548"/>
      <c r="M6610" s="548"/>
      <c r="N6610" s="552"/>
    </row>
    <row r="6611" spans="1:14">
      <c r="A6611" s="499">
        <v>45715</v>
      </c>
      <c r="B6611" s="499">
        <v>45715</v>
      </c>
      <c r="C6611" s="500" t="s">
        <v>173</v>
      </c>
      <c r="D6611" s="500" t="s">
        <v>763</v>
      </c>
      <c r="E6611" s="501">
        <v>-6033265320.5799999</v>
      </c>
      <c r="F6611" s="502" t="s">
        <v>878</v>
      </c>
      <c r="G6611" s="100">
        <v>116156560</v>
      </c>
      <c r="H6611" s="530"/>
      <c r="I6611" s="422" t="s">
        <v>684</v>
      </c>
      <c r="J6611" s="484"/>
      <c r="K6611" s="548"/>
      <c r="L6611" s="548"/>
      <c r="M6611" s="548"/>
      <c r="N6611" s="552"/>
    </row>
    <row r="6612" spans="1:14">
      <c r="A6612" s="499">
        <v>45715</v>
      </c>
      <c r="B6612" s="499">
        <v>45715</v>
      </c>
      <c r="C6612" s="500" t="s">
        <v>173</v>
      </c>
      <c r="D6612" s="500" t="s">
        <v>763</v>
      </c>
      <c r="E6612" s="501">
        <v>-29006083.27</v>
      </c>
      <c r="F6612" s="502" t="s">
        <v>878</v>
      </c>
      <c r="G6612" s="100">
        <v>116156675</v>
      </c>
      <c r="H6612" s="530"/>
      <c r="I6612" s="422" t="s">
        <v>684</v>
      </c>
      <c r="J6612" s="484"/>
      <c r="K6612" s="548"/>
      <c r="L6612" s="548"/>
      <c r="M6612" s="548"/>
      <c r="N6612" s="552"/>
    </row>
    <row r="6613" spans="1:14">
      <c r="A6613" s="499">
        <v>45715</v>
      </c>
      <c r="B6613" s="499">
        <v>45716</v>
      </c>
      <c r="C6613" s="500" t="s">
        <v>173</v>
      </c>
      <c r="D6613" s="500" t="s">
        <v>763</v>
      </c>
      <c r="E6613" s="501">
        <v>6035703420.9499998</v>
      </c>
      <c r="F6613" s="502" t="s">
        <v>878</v>
      </c>
      <c r="G6613" s="100">
        <v>116156560</v>
      </c>
      <c r="H6613" s="484">
        <v>116156560</v>
      </c>
      <c r="I6613" s="422" t="s">
        <v>684</v>
      </c>
      <c r="J6613" s="484"/>
      <c r="K6613" s="548"/>
      <c r="L6613" s="548"/>
      <c r="M6613" s="548"/>
      <c r="N6613" s="552"/>
    </row>
    <row r="6614" spans="1:14">
      <c r="A6614" s="499">
        <v>45715</v>
      </c>
      <c r="B6614" s="499">
        <v>45716</v>
      </c>
      <c r="C6614" s="500" t="s">
        <v>173</v>
      </c>
      <c r="D6614" s="500" t="s">
        <v>763</v>
      </c>
      <c r="E6614" s="501">
        <v>29017844.719999999</v>
      </c>
      <c r="F6614" s="502" t="s">
        <v>878</v>
      </c>
      <c r="G6614" s="100">
        <v>116156675</v>
      </c>
      <c r="H6614" s="484">
        <v>116156675</v>
      </c>
      <c r="I6614" s="422" t="s">
        <v>684</v>
      </c>
      <c r="J6614" s="484"/>
      <c r="K6614" s="548"/>
      <c r="L6614" s="548"/>
      <c r="M6614" s="548"/>
      <c r="N6614" s="552"/>
    </row>
    <row r="6615" spans="1:14">
      <c r="A6615" s="499">
        <v>45716</v>
      </c>
      <c r="B6615" s="499">
        <v>45716</v>
      </c>
      <c r="C6615" s="500" t="s">
        <v>173</v>
      </c>
      <c r="D6615" s="500" t="s">
        <v>761</v>
      </c>
      <c r="E6615" s="501">
        <v>-1012408207.4</v>
      </c>
      <c r="F6615" s="502" t="s">
        <v>878</v>
      </c>
      <c r="G6615" s="100">
        <v>116186079</v>
      </c>
      <c r="H6615" s="530"/>
      <c r="I6615" s="422" t="s">
        <v>657</v>
      </c>
      <c r="J6615" s="484"/>
      <c r="K6615" s="548"/>
      <c r="L6615" s="548"/>
      <c r="M6615" s="548"/>
      <c r="N6615" s="552"/>
    </row>
    <row r="6616" spans="1:14">
      <c r="A6616" s="499">
        <v>45716</v>
      </c>
      <c r="B6616" s="499">
        <v>45716</v>
      </c>
      <c r="C6616" s="500" t="s">
        <v>173</v>
      </c>
      <c r="D6616" s="500" t="s">
        <v>761</v>
      </c>
      <c r="E6616" s="501">
        <v>-5002016.84</v>
      </c>
      <c r="F6616" s="502" t="s">
        <v>878</v>
      </c>
      <c r="G6616" s="100">
        <v>116186466</v>
      </c>
      <c r="H6616" s="530"/>
      <c r="I6616" s="422" t="s">
        <v>657</v>
      </c>
      <c r="J6616" s="484"/>
      <c r="K6616" s="548"/>
      <c r="L6616" s="548"/>
      <c r="M6616" s="548"/>
      <c r="N6616" s="552"/>
    </row>
    <row r="6617" spans="1:14">
      <c r="A6617" s="499">
        <v>45716</v>
      </c>
      <c r="B6617" s="499">
        <v>45719</v>
      </c>
      <c r="C6617" s="500" t="s">
        <v>173</v>
      </c>
      <c r="D6617" s="500" t="s">
        <v>761</v>
      </c>
      <c r="E6617" s="501">
        <v>1013638907.46</v>
      </c>
      <c r="F6617" s="502" t="s">
        <v>878</v>
      </c>
      <c r="G6617" s="100">
        <v>116186079</v>
      </c>
      <c r="H6617" s="100">
        <v>116186079</v>
      </c>
      <c r="I6617" s="422" t="s">
        <v>657</v>
      </c>
      <c r="J6617" s="484"/>
      <c r="K6617" s="548"/>
      <c r="L6617" s="548"/>
      <c r="M6617" s="548"/>
      <c r="N6617" s="552"/>
    </row>
    <row r="6618" spans="1:14">
      <c r="A6618" s="499">
        <v>45716</v>
      </c>
      <c r="B6618" s="499">
        <v>45719</v>
      </c>
      <c r="C6618" s="500" t="s">
        <v>173</v>
      </c>
      <c r="D6618" s="500" t="s">
        <v>761</v>
      </c>
      <c r="E6618" s="501">
        <v>5008097.37</v>
      </c>
      <c r="F6618" s="502" t="s">
        <v>878</v>
      </c>
      <c r="G6618" s="100">
        <v>116186466</v>
      </c>
      <c r="H6618" s="100">
        <v>116186466</v>
      </c>
      <c r="I6618" s="422" t="s">
        <v>657</v>
      </c>
      <c r="J6618" s="484"/>
      <c r="K6618" s="548"/>
      <c r="L6618" s="548">
        <v>-1</v>
      </c>
      <c r="M6618" s="548"/>
      <c r="N6618" s="552"/>
    </row>
    <row r="6619" spans="1:14">
      <c r="A6619" s="499">
        <v>45716</v>
      </c>
      <c r="B6619" s="499">
        <v>45716</v>
      </c>
      <c r="C6619" s="500" t="s">
        <v>173</v>
      </c>
      <c r="D6619" s="500" t="s">
        <v>759</v>
      </c>
      <c r="E6619" s="501">
        <v>-207141340.63999999</v>
      </c>
      <c r="F6619" s="502" t="s">
        <v>878</v>
      </c>
      <c r="G6619" s="100">
        <v>116185999</v>
      </c>
      <c r="H6619" s="530"/>
      <c r="I6619" s="422" t="s">
        <v>654</v>
      </c>
      <c r="J6619" s="484"/>
      <c r="K6619" s="548"/>
      <c r="L6619" s="548"/>
      <c r="M6619" s="548"/>
      <c r="N6619" s="552"/>
    </row>
    <row r="6620" spans="1:14">
      <c r="A6620" s="499">
        <v>45716</v>
      </c>
      <c r="B6620" s="499">
        <v>45716</v>
      </c>
      <c r="C6620" s="500" t="s">
        <v>173</v>
      </c>
      <c r="D6620" s="500" t="s">
        <v>759</v>
      </c>
      <c r="E6620" s="501">
        <v>-215067200.19</v>
      </c>
      <c r="F6620" s="502" t="s">
        <v>878</v>
      </c>
      <c r="G6620" s="100">
        <v>116186002</v>
      </c>
      <c r="H6620" s="530"/>
      <c r="I6620" s="422" t="s">
        <v>598</v>
      </c>
      <c r="J6620" s="484"/>
      <c r="K6620" s="548"/>
      <c r="L6620" s="548"/>
      <c r="M6620" s="548"/>
      <c r="N6620" s="552"/>
    </row>
    <row r="6621" spans="1:14">
      <c r="A6621" s="499">
        <v>45716</v>
      </c>
      <c r="B6621" s="499">
        <v>45716</v>
      </c>
      <c r="C6621" s="500" t="s">
        <v>173</v>
      </c>
      <c r="D6621" s="500" t="s">
        <v>759</v>
      </c>
      <c r="E6621" s="501">
        <v>-218141768.88999999</v>
      </c>
      <c r="F6621" s="502" t="s">
        <v>878</v>
      </c>
      <c r="G6621" s="100">
        <v>116186005</v>
      </c>
      <c r="H6621" s="530"/>
      <c r="I6621" s="422" t="s">
        <v>684</v>
      </c>
      <c r="J6621" s="484"/>
      <c r="K6621" s="548"/>
      <c r="L6621" s="548"/>
      <c r="M6621" s="548"/>
      <c r="N6621" s="552"/>
    </row>
    <row r="6622" spans="1:14">
      <c r="A6622" s="499">
        <v>45716</v>
      </c>
      <c r="B6622" s="499">
        <v>45716</v>
      </c>
      <c r="C6622" s="500" t="s">
        <v>173</v>
      </c>
      <c r="D6622" s="500" t="s">
        <v>759</v>
      </c>
      <c r="E6622" s="501">
        <v>-221032599.71000001</v>
      </c>
      <c r="F6622" s="502" t="s">
        <v>878</v>
      </c>
      <c r="G6622" s="100">
        <v>116186008</v>
      </c>
      <c r="H6622" s="530"/>
      <c r="I6622" s="422" t="s">
        <v>696</v>
      </c>
      <c r="J6622" s="484"/>
      <c r="K6622" s="548"/>
      <c r="L6622" s="548"/>
      <c r="M6622" s="548"/>
      <c r="N6622" s="552"/>
    </row>
    <row r="6623" spans="1:14">
      <c r="A6623" s="499">
        <v>45716</v>
      </c>
      <c r="B6623" s="499">
        <v>45716</v>
      </c>
      <c r="C6623" s="500" t="s">
        <v>173</v>
      </c>
      <c r="D6623" s="500" t="s">
        <v>759</v>
      </c>
      <c r="E6623" s="501">
        <v>-223080821.88999999</v>
      </c>
      <c r="F6623" s="502" t="s">
        <v>878</v>
      </c>
      <c r="G6623" s="100">
        <v>116186011</v>
      </c>
      <c r="H6623" s="530"/>
      <c r="I6623" s="422" t="s">
        <v>656</v>
      </c>
      <c r="J6623" s="484"/>
      <c r="K6623" s="548"/>
      <c r="L6623" s="548"/>
      <c r="M6623" s="548"/>
      <c r="N6623" s="552"/>
    </row>
    <row r="6624" spans="1:14">
      <c r="A6624" s="499">
        <v>45716</v>
      </c>
      <c r="B6624" s="499">
        <v>45716</v>
      </c>
      <c r="C6624" s="500" t="s">
        <v>173</v>
      </c>
      <c r="D6624" s="500" t="s">
        <v>759</v>
      </c>
      <c r="E6624" s="501">
        <v>-224159246.08000001</v>
      </c>
      <c r="F6624" s="502" t="s">
        <v>878</v>
      </c>
      <c r="G6624" s="100">
        <v>116186014</v>
      </c>
      <c r="H6624" s="530"/>
      <c r="I6624" s="422" t="s">
        <v>675</v>
      </c>
      <c r="J6624" s="484"/>
      <c r="K6624" s="548"/>
      <c r="L6624" s="548"/>
      <c r="M6624" s="548"/>
      <c r="N6624" s="552"/>
    </row>
    <row r="6625" spans="1:14">
      <c r="A6625" s="499">
        <v>45716</v>
      </c>
      <c r="B6625" s="499">
        <v>45716</v>
      </c>
      <c r="C6625" s="500" t="s">
        <v>173</v>
      </c>
      <c r="D6625" s="500" t="s">
        <v>759</v>
      </c>
      <c r="E6625" s="501">
        <v>-231131729.37</v>
      </c>
      <c r="F6625" s="502" t="s">
        <v>878</v>
      </c>
      <c r="G6625" s="100">
        <v>116186017</v>
      </c>
      <c r="H6625" s="530"/>
      <c r="I6625" s="422" t="s">
        <v>687</v>
      </c>
      <c r="J6625" s="484"/>
      <c r="K6625" s="548"/>
      <c r="L6625" s="548"/>
      <c r="M6625" s="548"/>
      <c r="N6625" s="552"/>
    </row>
    <row r="6626" spans="1:14">
      <c r="A6626" s="499">
        <v>45716</v>
      </c>
      <c r="B6626" s="499">
        <v>45716</v>
      </c>
      <c r="C6626" s="500" t="s">
        <v>173</v>
      </c>
      <c r="D6626" s="500" t="s">
        <v>759</v>
      </c>
      <c r="E6626" s="501">
        <v>-232021096.91999999</v>
      </c>
      <c r="F6626" s="502" t="s">
        <v>878</v>
      </c>
      <c r="G6626" s="100">
        <v>116186020</v>
      </c>
      <c r="H6626" s="530"/>
      <c r="I6626" s="422" t="s">
        <v>701</v>
      </c>
      <c r="J6626" s="484"/>
      <c r="K6626" s="548"/>
      <c r="L6626" s="548"/>
      <c r="M6626" s="548"/>
      <c r="N6626" s="552"/>
    </row>
    <row r="6627" spans="1:14">
      <c r="A6627" s="499">
        <v>45716</v>
      </c>
      <c r="B6627" s="499">
        <v>45716</v>
      </c>
      <c r="C6627" s="500" t="s">
        <v>173</v>
      </c>
      <c r="D6627" s="500" t="s">
        <v>759</v>
      </c>
      <c r="E6627" s="501">
        <v>-220047107.94</v>
      </c>
      <c r="F6627" s="502" t="s">
        <v>878</v>
      </c>
      <c r="G6627" s="100">
        <v>116186023</v>
      </c>
      <c r="H6627" s="530"/>
      <c r="I6627" s="422" t="s">
        <v>678</v>
      </c>
      <c r="J6627" s="484"/>
      <c r="K6627" s="548"/>
      <c r="L6627" s="548"/>
      <c r="M6627" s="548"/>
      <c r="N6627" s="552"/>
    </row>
    <row r="6628" spans="1:14">
      <c r="A6628" s="499">
        <v>45716</v>
      </c>
      <c r="B6628" s="499">
        <v>45716</v>
      </c>
      <c r="C6628" s="500" t="s">
        <v>173</v>
      </c>
      <c r="D6628" s="500" t="s">
        <v>759</v>
      </c>
      <c r="E6628" s="501">
        <v>-10003029.119999999</v>
      </c>
      <c r="F6628" s="502" t="s">
        <v>878</v>
      </c>
      <c r="G6628" s="100">
        <v>116191012</v>
      </c>
      <c r="H6628" s="530"/>
      <c r="I6628" s="422" t="s">
        <v>653</v>
      </c>
      <c r="J6628" s="484"/>
      <c r="K6628" s="548"/>
      <c r="L6628" s="548"/>
      <c r="M6628" s="548"/>
      <c r="N6628" s="552"/>
    </row>
    <row r="6629" spans="1:14">
      <c r="A6629" s="499">
        <v>45716</v>
      </c>
      <c r="B6629" s="499">
        <v>45719</v>
      </c>
      <c r="C6629" s="500" t="s">
        <v>173</v>
      </c>
      <c r="D6629" s="500" t="s">
        <v>759</v>
      </c>
      <c r="E6629" s="501">
        <v>207393311.91</v>
      </c>
      <c r="F6629" s="502" t="s">
        <v>878</v>
      </c>
      <c r="G6629" s="100">
        <v>116185999</v>
      </c>
      <c r="H6629" s="100">
        <v>116185999</v>
      </c>
      <c r="I6629" s="422" t="s">
        <v>654</v>
      </c>
      <c r="J6629" s="484"/>
      <c r="K6629" s="548"/>
      <c r="L6629" s="548"/>
      <c r="M6629" s="548"/>
      <c r="N6629" s="552"/>
    </row>
    <row r="6630" spans="1:14">
      <c r="A6630" s="499">
        <v>45716</v>
      </c>
      <c r="B6630" s="499">
        <v>45719</v>
      </c>
      <c r="C6630" s="500" t="s">
        <v>173</v>
      </c>
      <c r="D6630" s="500" t="s">
        <v>759</v>
      </c>
      <c r="E6630" s="501">
        <v>215328812.65000001</v>
      </c>
      <c r="F6630" s="502" t="s">
        <v>878</v>
      </c>
      <c r="G6630" s="100">
        <v>116186002</v>
      </c>
      <c r="H6630" s="100">
        <v>116186002</v>
      </c>
      <c r="I6630" s="422" t="s">
        <v>598</v>
      </c>
      <c r="J6630" s="484"/>
      <c r="K6630" s="548"/>
      <c r="L6630" s="548"/>
      <c r="M6630" s="548"/>
      <c r="N6630" s="552"/>
    </row>
    <row r="6631" spans="1:14">
      <c r="A6631" s="499">
        <v>45716</v>
      </c>
      <c r="B6631" s="499">
        <v>45719</v>
      </c>
      <c r="C6631" s="500" t="s">
        <v>173</v>
      </c>
      <c r="D6631" s="500" t="s">
        <v>759</v>
      </c>
      <c r="E6631" s="501">
        <v>218407121.31999999</v>
      </c>
      <c r="F6631" s="502" t="s">
        <v>878</v>
      </c>
      <c r="G6631" s="100">
        <v>116186005</v>
      </c>
      <c r="H6631" s="100">
        <v>116186005</v>
      </c>
      <c r="I6631" s="422" t="s">
        <v>684</v>
      </c>
      <c r="J6631" s="484"/>
      <c r="K6631" s="548"/>
      <c r="L6631" s="548"/>
      <c r="M6631" s="548"/>
      <c r="N6631" s="552"/>
    </row>
    <row r="6632" spans="1:14">
      <c r="A6632" s="499">
        <v>45716</v>
      </c>
      <c r="B6632" s="499">
        <v>45719</v>
      </c>
      <c r="C6632" s="500" t="s">
        <v>173</v>
      </c>
      <c r="D6632" s="500" t="s">
        <v>759</v>
      </c>
      <c r="E6632" s="501">
        <v>221301468.61000001</v>
      </c>
      <c r="F6632" s="502" t="s">
        <v>878</v>
      </c>
      <c r="G6632" s="100">
        <v>116186008</v>
      </c>
      <c r="H6632" s="100">
        <v>116186008</v>
      </c>
      <c r="I6632" s="422" t="s">
        <v>696</v>
      </c>
      <c r="J6632" s="484"/>
      <c r="K6632" s="548"/>
      <c r="L6632" s="548"/>
      <c r="M6632" s="548"/>
      <c r="N6632" s="552"/>
    </row>
    <row r="6633" spans="1:14">
      <c r="A6633" s="499">
        <v>45716</v>
      </c>
      <c r="B6633" s="499">
        <v>45719</v>
      </c>
      <c r="C6633" s="500" t="s">
        <v>173</v>
      </c>
      <c r="D6633" s="500" t="s">
        <v>759</v>
      </c>
      <c r="E6633" s="501">
        <v>223352182.28999999</v>
      </c>
      <c r="F6633" s="502" t="s">
        <v>878</v>
      </c>
      <c r="G6633" s="100">
        <v>116186011</v>
      </c>
      <c r="H6633" s="100">
        <v>116186011</v>
      </c>
      <c r="I6633" s="422" t="s">
        <v>656</v>
      </c>
      <c r="J6633" s="484"/>
      <c r="K6633" s="548"/>
      <c r="L6633" s="548"/>
      <c r="M6633" s="548"/>
      <c r="N6633" s="552"/>
    </row>
    <row r="6634" spans="1:14">
      <c r="A6634" s="499">
        <v>45716</v>
      </c>
      <c r="B6634" s="499">
        <v>45719</v>
      </c>
      <c r="C6634" s="500" t="s">
        <v>173</v>
      </c>
      <c r="D6634" s="500" t="s">
        <v>759</v>
      </c>
      <c r="E6634" s="501">
        <v>224431918.30000001</v>
      </c>
      <c r="F6634" s="502" t="s">
        <v>878</v>
      </c>
      <c r="G6634" s="100">
        <v>116186014</v>
      </c>
      <c r="H6634" s="100">
        <v>116186014</v>
      </c>
      <c r="I6634" s="422" t="s">
        <v>675</v>
      </c>
      <c r="J6634" s="484"/>
      <c r="K6634" s="548"/>
      <c r="L6634" s="548"/>
      <c r="M6634" s="548"/>
      <c r="N6634" s="552"/>
    </row>
    <row r="6635" spans="1:14">
      <c r="A6635" s="499">
        <v>45716</v>
      </c>
      <c r="B6635" s="499">
        <v>45719</v>
      </c>
      <c r="C6635" s="500" t="s">
        <v>173</v>
      </c>
      <c r="D6635" s="500" t="s">
        <v>759</v>
      </c>
      <c r="E6635" s="501">
        <v>231412883.06999999</v>
      </c>
      <c r="F6635" s="502" t="s">
        <v>878</v>
      </c>
      <c r="G6635" s="100">
        <v>116186017</v>
      </c>
      <c r="H6635" s="100">
        <v>116186017</v>
      </c>
      <c r="I6635" s="422" t="s">
        <v>687</v>
      </c>
      <c r="J6635" s="484"/>
      <c r="K6635" s="548"/>
      <c r="L6635" s="548"/>
      <c r="M6635" s="548"/>
      <c r="N6635" s="552"/>
    </row>
    <row r="6636" spans="1:14">
      <c r="A6636" s="499">
        <v>45716</v>
      </c>
      <c r="B6636" s="499">
        <v>45719</v>
      </c>
      <c r="C6636" s="500" t="s">
        <v>173</v>
      </c>
      <c r="D6636" s="500" t="s">
        <v>759</v>
      </c>
      <c r="E6636" s="501">
        <v>232303332.47</v>
      </c>
      <c r="F6636" s="502" t="s">
        <v>878</v>
      </c>
      <c r="G6636" s="100">
        <v>116186020</v>
      </c>
      <c r="H6636" s="100">
        <v>116186020</v>
      </c>
      <c r="I6636" s="422" t="s">
        <v>701</v>
      </c>
      <c r="J6636" s="484"/>
      <c r="K6636" s="548"/>
      <c r="L6636" s="548"/>
      <c r="M6636" s="548"/>
      <c r="N6636" s="552"/>
    </row>
    <row r="6637" spans="1:14">
      <c r="A6637" s="499">
        <v>45716</v>
      </c>
      <c r="B6637" s="499">
        <v>45719</v>
      </c>
      <c r="C6637" s="500" t="s">
        <v>173</v>
      </c>
      <c r="D6637" s="500" t="s">
        <v>759</v>
      </c>
      <c r="E6637" s="501">
        <v>220314778.06999999</v>
      </c>
      <c r="F6637" s="502" t="s">
        <v>878</v>
      </c>
      <c r="G6637" s="100">
        <v>116186023</v>
      </c>
      <c r="H6637" s="100">
        <v>116186023</v>
      </c>
      <c r="I6637" s="422" t="s">
        <v>678</v>
      </c>
      <c r="J6637" s="484"/>
      <c r="K6637" s="548"/>
      <c r="L6637" s="548"/>
      <c r="M6637" s="548"/>
      <c r="N6637" s="552"/>
    </row>
    <row r="6638" spans="1:14">
      <c r="A6638" s="499">
        <v>45716</v>
      </c>
      <c r="B6638" s="499">
        <v>45719</v>
      </c>
      <c r="C6638" s="500" t="s">
        <v>173</v>
      </c>
      <c r="D6638" s="500" t="s">
        <v>759</v>
      </c>
      <c r="E6638" s="501">
        <v>10014868.32</v>
      </c>
      <c r="F6638" s="502" t="s">
        <v>878</v>
      </c>
      <c r="G6638" s="100">
        <v>116191012</v>
      </c>
      <c r="H6638" s="100">
        <v>116191012</v>
      </c>
      <c r="I6638" s="422" t="s">
        <v>653</v>
      </c>
      <c r="J6638" s="484"/>
      <c r="K6638" s="548"/>
      <c r="L6638" s="548"/>
      <c r="M6638" s="548"/>
      <c r="N6638" s="552"/>
    </row>
    <row r="6639" spans="1:14">
      <c r="A6639" s="499">
        <v>45716</v>
      </c>
      <c r="B6639" s="499">
        <v>45716</v>
      </c>
      <c r="C6639" s="500" t="s">
        <v>173</v>
      </c>
      <c r="D6639" s="500" t="s">
        <v>764</v>
      </c>
      <c r="E6639" s="501">
        <v>-462084849.06999999</v>
      </c>
      <c r="F6639" s="502" t="s">
        <v>878</v>
      </c>
      <c r="G6639" s="100">
        <v>116184697</v>
      </c>
      <c r="H6639" s="530"/>
      <c r="I6639" s="422" t="s">
        <v>604</v>
      </c>
      <c r="J6639" s="484"/>
      <c r="K6639" s="548"/>
      <c r="L6639" s="548"/>
      <c r="M6639" s="548"/>
      <c r="N6639" s="552"/>
    </row>
    <row r="6640" spans="1:14">
      <c r="A6640" s="499">
        <v>45716</v>
      </c>
      <c r="B6640" s="499">
        <v>45716</v>
      </c>
      <c r="C6640" s="500" t="s">
        <v>173</v>
      </c>
      <c r="D6640" s="500" t="s">
        <v>764</v>
      </c>
      <c r="E6640" s="501">
        <v>-97024720.450000003</v>
      </c>
      <c r="F6640" s="502" t="s">
        <v>878</v>
      </c>
      <c r="G6640" s="100">
        <v>116184710</v>
      </c>
      <c r="H6640" s="530"/>
      <c r="I6640" s="422" t="s">
        <v>711</v>
      </c>
      <c r="J6640" s="484"/>
      <c r="K6640" s="548"/>
      <c r="L6640" s="548"/>
      <c r="M6640" s="548"/>
      <c r="N6640" s="552"/>
    </row>
    <row r="6641" spans="1:14">
      <c r="A6641" s="499">
        <v>45716</v>
      </c>
      <c r="B6641" s="499">
        <v>45716</v>
      </c>
      <c r="C6641" s="500" t="s">
        <v>173</v>
      </c>
      <c r="D6641" s="500" t="s">
        <v>764</v>
      </c>
      <c r="E6641" s="501">
        <v>-4003593.44</v>
      </c>
      <c r="F6641" s="502" t="s">
        <v>878</v>
      </c>
      <c r="G6641" s="100">
        <v>116185346</v>
      </c>
      <c r="H6641" s="530"/>
      <c r="I6641" s="422" t="s">
        <v>596</v>
      </c>
      <c r="J6641" s="484"/>
      <c r="K6641" s="548"/>
      <c r="L6641" s="548"/>
      <c r="M6641" s="548"/>
      <c r="N6641" s="552"/>
    </row>
    <row r="6642" spans="1:14">
      <c r="A6642" s="499">
        <v>45716</v>
      </c>
      <c r="B6642" s="499">
        <v>45716</v>
      </c>
      <c r="C6642" s="500" t="s">
        <v>173</v>
      </c>
      <c r="D6642" s="500" t="s">
        <v>764</v>
      </c>
      <c r="E6642" s="501">
        <v>-7001285.5899999999</v>
      </c>
      <c r="F6642" s="502" t="s">
        <v>878</v>
      </c>
      <c r="G6642" s="100">
        <v>116185349</v>
      </c>
      <c r="H6642" s="530"/>
      <c r="I6642" s="422" t="s">
        <v>604</v>
      </c>
      <c r="J6642" s="484"/>
      <c r="K6642" s="548"/>
      <c r="L6642" s="548"/>
      <c r="M6642" s="548"/>
      <c r="N6642" s="552"/>
    </row>
    <row r="6643" spans="1:14">
      <c r="A6643" s="499">
        <v>45716</v>
      </c>
      <c r="B6643" s="499">
        <v>45716</v>
      </c>
      <c r="C6643" s="500" t="s">
        <v>173</v>
      </c>
      <c r="D6643" s="500" t="s">
        <v>764</v>
      </c>
      <c r="E6643" s="501">
        <v>-7006289.29</v>
      </c>
      <c r="F6643" s="502" t="s">
        <v>878</v>
      </c>
      <c r="G6643" s="100">
        <v>116185352</v>
      </c>
      <c r="H6643" s="530"/>
      <c r="I6643" s="422" t="s">
        <v>671</v>
      </c>
      <c r="J6643" s="484"/>
      <c r="K6643" s="548"/>
      <c r="L6643" s="548"/>
      <c r="M6643" s="548"/>
      <c r="N6643" s="552"/>
    </row>
    <row r="6644" spans="1:14">
      <c r="A6644" s="499">
        <v>45716</v>
      </c>
      <c r="B6644" s="499">
        <v>45716</v>
      </c>
      <c r="C6644" s="500" t="s">
        <v>173</v>
      </c>
      <c r="D6644" s="500" t="s">
        <v>764</v>
      </c>
      <c r="E6644" s="501">
        <v>-9008533.1699999999</v>
      </c>
      <c r="F6644" s="502" t="s">
        <v>878</v>
      </c>
      <c r="G6644" s="100">
        <v>116185355</v>
      </c>
      <c r="H6644" s="530"/>
      <c r="I6644" s="422" t="s">
        <v>677</v>
      </c>
      <c r="J6644" s="484"/>
      <c r="K6644" s="548"/>
      <c r="L6644" s="548"/>
      <c r="M6644" s="548"/>
      <c r="N6644" s="552"/>
    </row>
    <row r="6645" spans="1:14">
      <c r="A6645" s="499">
        <v>45716</v>
      </c>
      <c r="B6645" s="499">
        <v>45716</v>
      </c>
      <c r="C6645" s="500" t="s">
        <v>173</v>
      </c>
      <c r="D6645" s="500" t="s">
        <v>764</v>
      </c>
      <c r="E6645" s="501">
        <v>-14006415.5</v>
      </c>
      <c r="F6645" s="502" t="s">
        <v>878</v>
      </c>
      <c r="G6645" s="100">
        <v>116185358</v>
      </c>
      <c r="H6645" s="530"/>
      <c r="I6645" s="422" t="s">
        <v>714</v>
      </c>
      <c r="J6645" s="484"/>
      <c r="K6645" s="548"/>
      <c r="L6645" s="548"/>
      <c r="M6645" s="548"/>
      <c r="N6645" s="552"/>
    </row>
    <row r="6646" spans="1:14">
      <c r="A6646" s="499">
        <v>45716</v>
      </c>
      <c r="B6646" s="499">
        <v>45716</v>
      </c>
      <c r="C6646" s="500" t="s">
        <v>173</v>
      </c>
      <c r="D6646" s="500" t="s">
        <v>764</v>
      </c>
      <c r="E6646" s="501">
        <v>-14007987.630000001</v>
      </c>
      <c r="F6646" s="502" t="s">
        <v>878</v>
      </c>
      <c r="G6646" s="100">
        <v>116185361</v>
      </c>
      <c r="H6646" s="530"/>
      <c r="I6646" s="422" t="s">
        <v>706</v>
      </c>
      <c r="J6646" s="484"/>
      <c r="K6646" s="548"/>
      <c r="L6646" s="548"/>
      <c r="M6646" s="548"/>
      <c r="N6646" s="552"/>
    </row>
    <row r="6647" spans="1:14">
      <c r="A6647" s="499">
        <v>45716</v>
      </c>
      <c r="B6647" s="499">
        <v>45716</v>
      </c>
      <c r="C6647" s="500" t="s">
        <v>173</v>
      </c>
      <c r="D6647" s="500" t="s">
        <v>764</v>
      </c>
      <c r="E6647" s="501">
        <v>-24011583.050000001</v>
      </c>
      <c r="F6647" s="502" t="s">
        <v>878</v>
      </c>
      <c r="G6647" s="100">
        <v>116185364</v>
      </c>
      <c r="H6647" s="530"/>
      <c r="I6647" s="422" t="s">
        <v>550</v>
      </c>
      <c r="J6647" s="484"/>
      <c r="K6647" s="548"/>
      <c r="L6647" s="548"/>
      <c r="M6647" s="548"/>
      <c r="N6647" s="552"/>
    </row>
    <row r="6648" spans="1:14">
      <c r="A6648" s="499">
        <v>45716</v>
      </c>
      <c r="B6648" s="499">
        <v>45716</v>
      </c>
      <c r="C6648" s="500" t="s">
        <v>173</v>
      </c>
      <c r="D6648" s="500" t="s">
        <v>764</v>
      </c>
      <c r="E6648" s="501">
        <v>-30013507.800000001</v>
      </c>
      <c r="F6648" s="502" t="s">
        <v>878</v>
      </c>
      <c r="G6648" s="100">
        <v>116185367</v>
      </c>
      <c r="H6648" s="530"/>
      <c r="I6648" s="422" t="s">
        <v>681</v>
      </c>
      <c r="J6648" s="484"/>
      <c r="K6648" s="548"/>
      <c r="L6648" s="548"/>
      <c r="M6648" s="548"/>
      <c r="N6648" s="552"/>
    </row>
    <row r="6649" spans="1:14">
      <c r="A6649" s="499">
        <v>45716</v>
      </c>
      <c r="B6649" s="499">
        <v>45716</v>
      </c>
      <c r="C6649" s="500" t="s">
        <v>173</v>
      </c>
      <c r="D6649" s="500" t="s">
        <v>764</v>
      </c>
      <c r="E6649" s="501">
        <v>-30029878.440000001</v>
      </c>
      <c r="F6649" s="502" t="s">
        <v>878</v>
      </c>
      <c r="G6649" s="100">
        <v>116185370</v>
      </c>
      <c r="H6649" s="530"/>
      <c r="I6649" s="422" t="s">
        <v>650</v>
      </c>
      <c r="J6649" s="484"/>
      <c r="K6649" s="548"/>
      <c r="L6649" s="548"/>
      <c r="M6649" s="548"/>
      <c r="N6649" s="552"/>
    </row>
    <row r="6650" spans="1:14">
      <c r="A6650" s="499">
        <v>45716</v>
      </c>
      <c r="B6650" s="499">
        <v>45716</v>
      </c>
      <c r="C6650" s="500" t="s">
        <v>173</v>
      </c>
      <c r="D6650" s="500" t="s">
        <v>764</v>
      </c>
      <c r="E6650" s="501">
        <v>-36023411.380000003</v>
      </c>
      <c r="F6650" s="502" t="s">
        <v>878</v>
      </c>
      <c r="G6650" s="100">
        <v>116185373</v>
      </c>
      <c r="H6650" s="530"/>
      <c r="I6650" s="422" t="s">
        <v>684</v>
      </c>
      <c r="J6650" s="484"/>
      <c r="K6650" s="548"/>
      <c r="L6650" s="548"/>
      <c r="M6650" s="548"/>
      <c r="N6650" s="552"/>
    </row>
    <row r="6651" spans="1:14">
      <c r="A6651" s="499">
        <v>45716</v>
      </c>
      <c r="B6651" s="499">
        <v>45716</v>
      </c>
      <c r="C6651" s="500" t="s">
        <v>173</v>
      </c>
      <c r="D6651" s="500" t="s">
        <v>764</v>
      </c>
      <c r="E6651" s="501">
        <v>-42011016.68</v>
      </c>
      <c r="F6651" s="502" t="s">
        <v>878</v>
      </c>
      <c r="G6651" s="100">
        <v>116185376</v>
      </c>
      <c r="H6651" s="530"/>
      <c r="I6651" s="422" t="s">
        <v>692</v>
      </c>
      <c r="J6651" s="484"/>
      <c r="K6651" s="548"/>
      <c r="L6651" s="548"/>
      <c r="M6651" s="548"/>
      <c r="N6651" s="552"/>
    </row>
    <row r="6652" spans="1:14">
      <c r="A6652" s="499">
        <v>45716</v>
      </c>
      <c r="B6652" s="499">
        <v>45716</v>
      </c>
      <c r="C6652" s="500" t="s">
        <v>173</v>
      </c>
      <c r="D6652" s="500" t="s">
        <v>764</v>
      </c>
      <c r="E6652" s="501">
        <v>-44008210.490000002</v>
      </c>
      <c r="F6652" s="502" t="s">
        <v>878</v>
      </c>
      <c r="G6652" s="100">
        <v>116185379</v>
      </c>
      <c r="H6652" s="530"/>
      <c r="I6652" s="422" t="s">
        <v>713</v>
      </c>
      <c r="J6652" s="484"/>
      <c r="K6652" s="548"/>
      <c r="L6652" s="548"/>
      <c r="M6652" s="548"/>
      <c r="N6652" s="552"/>
    </row>
    <row r="6653" spans="1:14">
      <c r="A6653" s="499">
        <v>45716</v>
      </c>
      <c r="B6653" s="499">
        <v>45716</v>
      </c>
      <c r="C6653" s="500" t="s">
        <v>173</v>
      </c>
      <c r="D6653" s="500" t="s">
        <v>764</v>
      </c>
      <c r="E6653" s="501">
        <v>-46033823.619999997</v>
      </c>
      <c r="F6653" s="502" t="s">
        <v>878</v>
      </c>
      <c r="G6653" s="100">
        <v>116185382</v>
      </c>
      <c r="H6653" s="530"/>
      <c r="I6653" s="422" t="s">
        <v>709</v>
      </c>
      <c r="J6653" s="484"/>
      <c r="K6653" s="548"/>
      <c r="L6653" s="548"/>
      <c r="M6653" s="548"/>
      <c r="N6653" s="552"/>
    </row>
    <row r="6654" spans="1:14">
      <c r="A6654" s="499">
        <v>45716</v>
      </c>
      <c r="B6654" s="499">
        <v>45716</v>
      </c>
      <c r="C6654" s="500" t="s">
        <v>173</v>
      </c>
      <c r="D6654" s="500" t="s">
        <v>764</v>
      </c>
      <c r="E6654" s="501">
        <v>-58035749.460000001</v>
      </c>
      <c r="F6654" s="502" t="s">
        <v>878</v>
      </c>
      <c r="G6654" s="100">
        <v>116185385</v>
      </c>
      <c r="H6654" s="530"/>
      <c r="I6654" s="422" t="s">
        <v>723</v>
      </c>
      <c r="J6654" s="484"/>
      <c r="K6654" s="548"/>
      <c r="L6654" s="548"/>
      <c r="M6654" s="548"/>
      <c r="N6654" s="552"/>
    </row>
    <row r="6655" spans="1:14">
      <c r="A6655" s="499">
        <v>45716</v>
      </c>
      <c r="B6655" s="499">
        <v>45716</v>
      </c>
      <c r="C6655" s="500" t="s">
        <v>173</v>
      </c>
      <c r="D6655" s="500" t="s">
        <v>764</v>
      </c>
      <c r="E6655" s="501">
        <v>-59041944.280000001</v>
      </c>
      <c r="F6655" s="502" t="s">
        <v>878</v>
      </c>
      <c r="G6655" s="100">
        <v>116185388</v>
      </c>
      <c r="H6655" s="530"/>
      <c r="I6655" s="422" t="s">
        <v>675</v>
      </c>
      <c r="J6655" s="484"/>
      <c r="K6655" s="548"/>
      <c r="L6655" s="548"/>
      <c r="M6655" s="548"/>
      <c r="N6655" s="552"/>
    </row>
    <row r="6656" spans="1:14">
      <c r="A6656" s="499">
        <v>45716</v>
      </c>
      <c r="B6656" s="499">
        <v>45716</v>
      </c>
      <c r="C6656" s="500" t="s">
        <v>173</v>
      </c>
      <c r="D6656" s="500" t="s">
        <v>764</v>
      </c>
      <c r="E6656" s="501">
        <v>-68016123.280000001</v>
      </c>
      <c r="F6656" s="502" t="s">
        <v>878</v>
      </c>
      <c r="G6656" s="100">
        <v>116185391</v>
      </c>
      <c r="H6656" s="530"/>
      <c r="I6656" s="422" t="s">
        <v>721</v>
      </c>
      <c r="J6656" s="484"/>
      <c r="K6656" s="548"/>
      <c r="L6656" s="548"/>
      <c r="M6656" s="548"/>
      <c r="N6656" s="552"/>
    </row>
    <row r="6657" spans="1:14">
      <c r="A6657" s="499">
        <v>45716</v>
      </c>
      <c r="B6657" s="499">
        <v>45716</v>
      </c>
      <c r="C6657" s="500" t="s">
        <v>173</v>
      </c>
      <c r="D6657" s="500" t="s">
        <v>764</v>
      </c>
      <c r="E6657" s="501">
        <v>-74015845.400000006</v>
      </c>
      <c r="F6657" s="502" t="s">
        <v>878</v>
      </c>
      <c r="G6657" s="100">
        <v>116185394</v>
      </c>
      <c r="H6657" s="530"/>
      <c r="I6657" s="422" t="s">
        <v>678</v>
      </c>
      <c r="J6657" s="484"/>
      <c r="K6657" s="548"/>
      <c r="L6657" s="548"/>
      <c r="M6657" s="548"/>
      <c r="N6657" s="552"/>
    </row>
    <row r="6658" spans="1:14">
      <c r="A6658" s="499">
        <v>45716</v>
      </c>
      <c r="B6658" s="499">
        <v>45716</v>
      </c>
      <c r="C6658" s="500" t="s">
        <v>173</v>
      </c>
      <c r="D6658" s="500" t="s">
        <v>764</v>
      </c>
      <c r="E6658" s="501">
        <v>-82058070.920000002</v>
      </c>
      <c r="F6658" s="502" t="s">
        <v>878</v>
      </c>
      <c r="G6658" s="100">
        <v>116185397</v>
      </c>
      <c r="H6658" s="530"/>
      <c r="I6658" s="422" t="s">
        <v>685</v>
      </c>
      <c r="J6658" s="484"/>
      <c r="K6658" s="548"/>
      <c r="L6658" s="548"/>
      <c r="M6658" s="548"/>
      <c r="N6658" s="552"/>
    </row>
    <row r="6659" spans="1:14">
      <c r="A6659" s="499">
        <v>45716</v>
      </c>
      <c r="B6659" s="499">
        <v>45716</v>
      </c>
      <c r="C6659" s="500" t="s">
        <v>173</v>
      </c>
      <c r="D6659" s="500" t="s">
        <v>764</v>
      </c>
      <c r="E6659" s="501">
        <v>-93093599.849999994</v>
      </c>
      <c r="F6659" s="502" t="s">
        <v>878</v>
      </c>
      <c r="G6659" s="100">
        <v>116185400</v>
      </c>
      <c r="H6659" s="530"/>
      <c r="I6659" s="422" t="s">
        <v>588</v>
      </c>
      <c r="J6659" s="484"/>
      <c r="K6659" s="548"/>
      <c r="L6659" s="548"/>
      <c r="M6659" s="548"/>
      <c r="N6659" s="552"/>
    </row>
    <row r="6660" spans="1:14">
      <c r="A6660" s="499">
        <v>45716</v>
      </c>
      <c r="B6660" s="499">
        <v>45716</v>
      </c>
      <c r="C6660" s="500" t="s">
        <v>173</v>
      </c>
      <c r="D6660" s="500" t="s">
        <v>764</v>
      </c>
      <c r="E6660" s="501">
        <v>-227022963.31999999</v>
      </c>
      <c r="F6660" s="502" t="s">
        <v>878</v>
      </c>
      <c r="G6660" s="100">
        <v>116185403</v>
      </c>
      <c r="H6660" s="530"/>
      <c r="I6660" s="422" t="s">
        <v>689</v>
      </c>
      <c r="J6660" s="484"/>
      <c r="K6660" s="548"/>
      <c r="L6660" s="548"/>
      <c r="M6660" s="548"/>
      <c r="N6660" s="552"/>
    </row>
    <row r="6661" spans="1:14">
      <c r="A6661" s="499">
        <v>45716</v>
      </c>
      <c r="B6661" s="499">
        <v>45716</v>
      </c>
      <c r="C6661" s="500" t="s">
        <v>173</v>
      </c>
      <c r="D6661" s="500" t="s">
        <v>764</v>
      </c>
      <c r="E6661" s="501">
        <v>-235049637.16999999</v>
      </c>
      <c r="F6661" s="502" t="s">
        <v>878</v>
      </c>
      <c r="G6661" s="100">
        <v>116185406</v>
      </c>
      <c r="H6661" s="530"/>
      <c r="I6661" s="422" t="s">
        <v>672</v>
      </c>
      <c r="J6661" s="484"/>
      <c r="K6661" s="548"/>
      <c r="L6661" s="548"/>
      <c r="M6661" s="548"/>
      <c r="N6661" s="552"/>
    </row>
    <row r="6662" spans="1:14">
      <c r="A6662" s="499">
        <v>45716</v>
      </c>
      <c r="B6662" s="499">
        <v>45716</v>
      </c>
      <c r="C6662" s="500" t="s">
        <v>173</v>
      </c>
      <c r="D6662" s="500" t="s">
        <v>764</v>
      </c>
      <c r="E6662" s="501">
        <v>-238195649.09</v>
      </c>
      <c r="F6662" s="502" t="s">
        <v>878</v>
      </c>
      <c r="G6662" s="100">
        <v>116185409</v>
      </c>
      <c r="H6662" s="530"/>
      <c r="I6662" s="422" t="s">
        <v>676</v>
      </c>
      <c r="J6662" s="484"/>
      <c r="K6662" s="548"/>
      <c r="L6662" s="548"/>
      <c r="M6662" s="548"/>
      <c r="N6662" s="552"/>
    </row>
    <row r="6663" spans="1:14">
      <c r="A6663" s="499">
        <v>45716</v>
      </c>
      <c r="B6663" s="499">
        <v>45716</v>
      </c>
      <c r="C6663" s="500" t="s">
        <v>173</v>
      </c>
      <c r="D6663" s="500" t="s">
        <v>764</v>
      </c>
      <c r="E6663" s="501">
        <v>-317046760.67000002</v>
      </c>
      <c r="F6663" s="502" t="s">
        <v>878</v>
      </c>
      <c r="G6663" s="100">
        <v>116185412</v>
      </c>
      <c r="H6663" s="530"/>
      <c r="I6663" s="422" t="s">
        <v>696</v>
      </c>
      <c r="J6663" s="484"/>
      <c r="K6663" s="548"/>
      <c r="L6663" s="548"/>
      <c r="M6663" s="548"/>
      <c r="N6663" s="552"/>
    </row>
    <row r="6664" spans="1:14">
      <c r="A6664" s="499">
        <v>45716</v>
      </c>
      <c r="B6664" s="499">
        <v>45716</v>
      </c>
      <c r="C6664" s="500" t="s">
        <v>173</v>
      </c>
      <c r="D6664" s="500" t="s">
        <v>764</v>
      </c>
      <c r="E6664" s="501">
        <v>-11000478.720000001</v>
      </c>
      <c r="F6664" s="502" t="s">
        <v>878</v>
      </c>
      <c r="G6664" s="100">
        <v>116185702</v>
      </c>
      <c r="H6664" s="530"/>
      <c r="I6664" s="422" t="s">
        <v>674</v>
      </c>
      <c r="J6664" s="484"/>
      <c r="K6664" s="548"/>
      <c r="L6664" s="548"/>
      <c r="M6664" s="548"/>
      <c r="N6664" s="552"/>
    </row>
    <row r="6665" spans="1:14">
      <c r="A6665" s="499">
        <v>45716</v>
      </c>
      <c r="B6665" s="499">
        <v>45723</v>
      </c>
      <c r="C6665" s="500" t="s">
        <v>173</v>
      </c>
      <c r="D6665" s="500" t="s">
        <v>764</v>
      </c>
      <c r="E6665" s="501">
        <v>463431858.05000001</v>
      </c>
      <c r="F6665" s="502" t="s">
        <v>878</v>
      </c>
      <c r="G6665" s="100">
        <v>116184697</v>
      </c>
      <c r="H6665" s="100">
        <v>116184697</v>
      </c>
      <c r="I6665" s="422" t="s">
        <v>604</v>
      </c>
      <c r="J6665" s="484"/>
      <c r="K6665" s="548"/>
      <c r="L6665" s="548"/>
      <c r="M6665" s="548"/>
      <c r="N6665" s="552"/>
    </row>
    <row r="6666" spans="1:14">
      <c r="A6666" s="499">
        <v>45716</v>
      </c>
      <c r="B6666" s="499">
        <v>45723</v>
      </c>
      <c r="C6666" s="500" t="s">
        <v>173</v>
      </c>
      <c r="D6666" s="500" t="s">
        <v>764</v>
      </c>
      <c r="E6666" s="501">
        <v>97307554.159999996</v>
      </c>
      <c r="F6666" s="502" t="s">
        <v>878</v>
      </c>
      <c r="G6666" s="100">
        <v>116184710</v>
      </c>
      <c r="H6666" s="100">
        <v>116184710</v>
      </c>
      <c r="I6666" s="422" t="s">
        <v>711</v>
      </c>
      <c r="J6666" s="484"/>
      <c r="K6666" s="548"/>
      <c r="L6666" s="548"/>
      <c r="M6666" s="548"/>
      <c r="N6666" s="552"/>
    </row>
    <row r="6667" spans="1:14">
      <c r="A6667" s="499">
        <v>45716</v>
      </c>
      <c r="B6667" s="499">
        <v>45723</v>
      </c>
      <c r="C6667" s="500" t="s">
        <v>173</v>
      </c>
      <c r="D6667" s="500" t="s">
        <v>764</v>
      </c>
      <c r="E6667" s="501">
        <v>4015264.19</v>
      </c>
      <c r="F6667" s="502" t="s">
        <v>878</v>
      </c>
      <c r="G6667" s="100">
        <v>116185346</v>
      </c>
      <c r="H6667" s="100">
        <v>116185346</v>
      </c>
      <c r="I6667" s="422" t="s">
        <v>596</v>
      </c>
      <c r="J6667" s="484"/>
      <c r="K6667" s="548"/>
      <c r="L6667" s="548"/>
      <c r="M6667" s="548"/>
      <c r="N6667" s="552"/>
    </row>
    <row r="6668" spans="1:14">
      <c r="A6668" s="499">
        <v>45716</v>
      </c>
      <c r="B6668" s="499">
        <v>45723</v>
      </c>
      <c r="C6668" s="500" t="s">
        <v>173</v>
      </c>
      <c r="D6668" s="500" t="s">
        <v>764</v>
      </c>
      <c r="E6668" s="501">
        <v>7021694.8200000003</v>
      </c>
      <c r="F6668" s="502" t="s">
        <v>878</v>
      </c>
      <c r="G6668" s="100">
        <v>116185349</v>
      </c>
      <c r="H6668" s="100">
        <v>116185349</v>
      </c>
      <c r="I6668" s="422" t="s">
        <v>604</v>
      </c>
      <c r="J6668" s="484"/>
      <c r="K6668" s="548"/>
      <c r="L6668" s="548"/>
      <c r="M6668" s="548"/>
      <c r="N6668" s="552"/>
    </row>
    <row r="6669" spans="1:14">
      <c r="A6669" s="499">
        <v>45716</v>
      </c>
      <c r="B6669" s="499">
        <v>45723</v>
      </c>
      <c r="C6669" s="500" t="s">
        <v>173</v>
      </c>
      <c r="D6669" s="500" t="s">
        <v>764</v>
      </c>
      <c r="E6669" s="501">
        <v>7026713.0999999996</v>
      </c>
      <c r="F6669" s="502" t="s">
        <v>878</v>
      </c>
      <c r="G6669" s="100">
        <v>116185352</v>
      </c>
      <c r="H6669" s="100">
        <v>116185352</v>
      </c>
      <c r="I6669" s="422" t="s">
        <v>671</v>
      </c>
      <c r="J6669" s="484"/>
      <c r="K6669" s="548"/>
      <c r="L6669" s="548"/>
      <c r="M6669" s="548"/>
      <c r="N6669" s="552"/>
    </row>
    <row r="6670" spans="1:14">
      <c r="A6670" s="499">
        <v>45716</v>
      </c>
      <c r="B6670" s="499">
        <v>45723</v>
      </c>
      <c r="C6670" s="500" t="s">
        <v>173</v>
      </c>
      <c r="D6670" s="500" t="s">
        <v>764</v>
      </c>
      <c r="E6670" s="501">
        <v>9034793.6600000001</v>
      </c>
      <c r="F6670" s="502" t="s">
        <v>878</v>
      </c>
      <c r="G6670" s="100">
        <v>116185355</v>
      </c>
      <c r="H6670" s="100">
        <v>116185355</v>
      </c>
      <c r="I6670" s="422" t="s">
        <v>677</v>
      </c>
      <c r="J6670" s="484"/>
      <c r="K6670" s="548"/>
      <c r="L6670" s="548"/>
      <c r="M6670" s="548"/>
      <c r="N6670" s="552"/>
    </row>
    <row r="6671" spans="1:14">
      <c r="A6671" s="499">
        <v>45716</v>
      </c>
      <c r="B6671" s="499">
        <v>45723</v>
      </c>
      <c r="C6671" s="500" t="s">
        <v>173</v>
      </c>
      <c r="D6671" s="500" t="s">
        <v>764</v>
      </c>
      <c r="E6671" s="501">
        <v>14047245.16</v>
      </c>
      <c r="F6671" s="502" t="s">
        <v>878</v>
      </c>
      <c r="G6671" s="100">
        <v>116185358</v>
      </c>
      <c r="H6671" s="100">
        <v>116185358</v>
      </c>
      <c r="I6671" s="422" t="s">
        <v>714</v>
      </c>
      <c r="J6671" s="484"/>
      <c r="K6671" s="548"/>
      <c r="L6671" s="548"/>
      <c r="M6671" s="548"/>
      <c r="N6671" s="552"/>
    </row>
    <row r="6672" spans="1:14">
      <c r="A6672" s="499">
        <v>45716</v>
      </c>
      <c r="B6672" s="499">
        <v>45723</v>
      </c>
      <c r="C6672" s="500" t="s">
        <v>173</v>
      </c>
      <c r="D6672" s="500" t="s">
        <v>764</v>
      </c>
      <c r="E6672" s="501">
        <v>14048821.869999999</v>
      </c>
      <c r="F6672" s="502" t="s">
        <v>878</v>
      </c>
      <c r="G6672" s="100">
        <v>116185361</v>
      </c>
      <c r="H6672" s="100">
        <v>116185361</v>
      </c>
      <c r="I6672" s="422" t="s">
        <v>706</v>
      </c>
      <c r="J6672" s="484"/>
      <c r="K6672" s="548"/>
      <c r="L6672" s="548"/>
      <c r="M6672" s="548"/>
      <c r="N6672" s="552"/>
    </row>
    <row r="6673" spans="1:14">
      <c r="A6673" s="499">
        <v>45716</v>
      </c>
      <c r="B6673" s="499">
        <v>45723</v>
      </c>
      <c r="C6673" s="500" t="s">
        <v>173</v>
      </c>
      <c r="D6673" s="500" t="s">
        <v>764</v>
      </c>
      <c r="E6673" s="501">
        <v>24081578.460000001</v>
      </c>
      <c r="F6673" s="502" t="s">
        <v>878</v>
      </c>
      <c r="G6673" s="100">
        <v>116185364</v>
      </c>
      <c r="H6673" s="100">
        <v>116185364</v>
      </c>
      <c r="I6673" s="422" t="s">
        <v>550</v>
      </c>
      <c r="J6673" s="484"/>
      <c r="K6673" s="548"/>
      <c r="L6673" s="548"/>
      <c r="M6673" s="548"/>
      <c r="N6673" s="552"/>
    </row>
    <row r="6674" spans="1:14">
      <c r="A6674" s="499">
        <v>45716</v>
      </c>
      <c r="B6674" s="499">
        <v>45723</v>
      </c>
      <c r="C6674" s="500" t="s">
        <v>173</v>
      </c>
      <c r="D6674" s="500" t="s">
        <v>764</v>
      </c>
      <c r="E6674" s="501">
        <v>30100999.23</v>
      </c>
      <c r="F6674" s="502" t="s">
        <v>878</v>
      </c>
      <c r="G6674" s="100">
        <v>116185367</v>
      </c>
      <c r="H6674" s="100">
        <v>116185367</v>
      </c>
      <c r="I6674" s="422" t="s">
        <v>681</v>
      </c>
      <c r="J6674" s="484"/>
      <c r="K6674" s="548"/>
      <c r="L6674" s="548"/>
      <c r="M6674" s="548"/>
      <c r="N6674" s="552"/>
    </row>
    <row r="6675" spans="1:14">
      <c r="A6675" s="499">
        <v>45716</v>
      </c>
      <c r="B6675" s="499">
        <v>45723</v>
      </c>
      <c r="C6675" s="500" t="s">
        <v>173</v>
      </c>
      <c r="D6675" s="500" t="s">
        <v>764</v>
      </c>
      <c r="E6675" s="501">
        <v>30117417.59</v>
      </c>
      <c r="F6675" s="502" t="s">
        <v>878</v>
      </c>
      <c r="G6675" s="100">
        <v>116185370</v>
      </c>
      <c r="H6675" s="100">
        <v>116185370</v>
      </c>
      <c r="I6675" s="422" t="s">
        <v>650</v>
      </c>
      <c r="J6675" s="484"/>
      <c r="K6675" s="548"/>
      <c r="L6675" s="548"/>
      <c r="M6675" s="548"/>
      <c r="N6675" s="552"/>
    </row>
    <row r="6676" spans="1:14">
      <c r="A6676" s="499">
        <v>45716</v>
      </c>
      <c r="B6676" s="499">
        <v>45723</v>
      </c>
      <c r="C6676" s="500" t="s">
        <v>173</v>
      </c>
      <c r="D6676" s="500" t="s">
        <v>764</v>
      </c>
      <c r="E6676" s="501">
        <v>36128422.090000004</v>
      </c>
      <c r="F6676" s="502" t="s">
        <v>878</v>
      </c>
      <c r="G6676" s="100">
        <v>116185373</v>
      </c>
      <c r="H6676" s="100">
        <v>116185373</v>
      </c>
      <c r="I6676" s="422" t="s">
        <v>684</v>
      </c>
      <c r="J6676" s="484"/>
      <c r="K6676" s="548"/>
      <c r="L6676" s="548"/>
      <c r="M6676" s="548"/>
      <c r="N6676" s="552"/>
    </row>
    <row r="6677" spans="1:14">
      <c r="A6677" s="499">
        <v>45716</v>
      </c>
      <c r="B6677" s="499">
        <v>45723</v>
      </c>
      <c r="C6677" s="500" t="s">
        <v>173</v>
      </c>
      <c r="D6677" s="500" t="s">
        <v>764</v>
      </c>
      <c r="E6677" s="501">
        <v>42133481.670000002</v>
      </c>
      <c r="F6677" s="502" t="s">
        <v>878</v>
      </c>
      <c r="G6677" s="100">
        <v>116185376</v>
      </c>
      <c r="H6677" s="100">
        <v>116185376</v>
      </c>
      <c r="I6677" s="422" t="s">
        <v>692</v>
      </c>
      <c r="J6677" s="484"/>
      <c r="K6677" s="548"/>
      <c r="L6677" s="548"/>
      <c r="M6677" s="548"/>
      <c r="N6677" s="552"/>
    </row>
    <row r="6678" spans="1:14">
      <c r="A6678" s="499">
        <v>45716</v>
      </c>
      <c r="B6678" s="499">
        <v>45723</v>
      </c>
      <c r="C6678" s="500" t="s">
        <v>173</v>
      </c>
      <c r="D6678" s="500" t="s">
        <v>764</v>
      </c>
      <c r="E6678" s="501">
        <v>44136497.439999998</v>
      </c>
      <c r="F6678" s="502" t="s">
        <v>878</v>
      </c>
      <c r="G6678" s="100">
        <v>116185379</v>
      </c>
      <c r="H6678" s="100">
        <v>116185379</v>
      </c>
      <c r="I6678" s="422" t="s">
        <v>713</v>
      </c>
      <c r="J6678" s="484"/>
      <c r="K6678" s="548"/>
      <c r="L6678" s="548"/>
      <c r="M6678" s="548"/>
      <c r="N6678" s="552"/>
    </row>
    <row r="6679" spans="1:14">
      <c r="A6679" s="499">
        <v>45716</v>
      </c>
      <c r="B6679" s="499">
        <v>45723</v>
      </c>
      <c r="C6679" s="500" t="s">
        <v>173</v>
      </c>
      <c r="D6679" s="500" t="s">
        <v>764</v>
      </c>
      <c r="E6679" s="501">
        <v>46168015.369999997</v>
      </c>
      <c r="F6679" s="502" t="s">
        <v>878</v>
      </c>
      <c r="G6679" s="100">
        <v>116185382</v>
      </c>
      <c r="H6679" s="100">
        <v>116185382</v>
      </c>
      <c r="I6679" s="422" t="s">
        <v>709</v>
      </c>
      <c r="J6679" s="484"/>
      <c r="K6679" s="548"/>
      <c r="L6679" s="548"/>
      <c r="M6679" s="548"/>
      <c r="N6679" s="552"/>
    </row>
    <row r="6680" spans="1:14">
      <c r="A6680" s="499">
        <v>45716</v>
      </c>
      <c r="B6680" s="499">
        <v>45723</v>
      </c>
      <c r="C6680" s="500" t="s">
        <v>173</v>
      </c>
      <c r="D6680" s="500" t="s">
        <v>764</v>
      </c>
      <c r="E6680" s="501">
        <v>58204927.640000001</v>
      </c>
      <c r="F6680" s="502" t="s">
        <v>878</v>
      </c>
      <c r="G6680" s="100">
        <v>116185385</v>
      </c>
      <c r="H6680" s="100">
        <v>116185385</v>
      </c>
      <c r="I6680" s="422" t="s">
        <v>723</v>
      </c>
      <c r="J6680" s="484"/>
      <c r="K6680" s="548"/>
      <c r="L6680" s="548"/>
      <c r="M6680" s="548"/>
      <c r="N6680" s="552"/>
    </row>
    <row r="6681" spans="1:14">
      <c r="A6681" s="499">
        <v>45716</v>
      </c>
      <c r="B6681" s="499">
        <v>45723</v>
      </c>
      <c r="C6681" s="500" t="s">
        <v>173</v>
      </c>
      <c r="D6681" s="500" t="s">
        <v>764</v>
      </c>
      <c r="E6681" s="501">
        <v>59214055.590000004</v>
      </c>
      <c r="F6681" s="502" t="s">
        <v>878</v>
      </c>
      <c r="G6681" s="100">
        <v>116185388</v>
      </c>
      <c r="H6681" s="100">
        <v>116185388</v>
      </c>
      <c r="I6681" s="422" t="s">
        <v>675</v>
      </c>
      <c r="J6681" s="484"/>
      <c r="K6681" s="548"/>
      <c r="L6681" s="548"/>
      <c r="M6681" s="548"/>
      <c r="N6681" s="552"/>
    </row>
    <row r="6682" spans="1:14">
      <c r="A6682" s="499">
        <v>45716</v>
      </c>
      <c r="B6682" s="499">
        <v>45723</v>
      </c>
      <c r="C6682" s="500" t="s">
        <v>173</v>
      </c>
      <c r="D6682" s="500" t="s">
        <v>764</v>
      </c>
      <c r="E6682" s="501">
        <v>68214394.939999998</v>
      </c>
      <c r="F6682" s="502" t="s">
        <v>878</v>
      </c>
      <c r="G6682" s="100">
        <v>116185391</v>
      </c>
      <c r="H6682" s="100">
        <v>116185391</v>
      </c>
      <c r="I6682" s="422" t="s">
        <v>721</v>
      </c>
      <c r="J6682" s="484"/>
      <c r="K6682" s="548"/>
      <c r="L6682" s="548"/>
      <c r="M6682" s="548"/>
      <c r="N6682" s="552"/>
    </row>
    <row r="6683" spans="1:14">
      <c r="A6683" s="499">
        <v>45716</v>
      </c>
      <c r="B6683" s="499">
        <v>45723</v>
      </c>
      <c r="C6683" s="500" t="s">
        <v>173</v>
      </c>
      <c r="D6683" s="500" t="s">
        <v>764</v>
      </c>
      <c r="E6683" s="501">
        <v>74231606.659999996</v>
      </c>
      <c r="F6683" s="502" t="s">
        <v>878</v>
      </c>
      <c r="G6683" s="100">
        <v>116185394</v>
      </c>
      <c r="H6683" s="100">
        <v>116185394</v>
      </c>
      <c r="I6683" s="422" t="s">
        <v>678</v>
      </c>
      <c r="J6683" s="484"/>
      <c r="K6683" s="548"/>
      <c r="L6683" s="548"/>
      <c r="M6683" s="548"/>
      <c r="N6683" s="552"/>
    </row>
    <row r="6684" spans="1:14">
      <c r="A6684" s="499">
        <v>45716</v>
      </c>
      <c r="B6684" s="499">
        <v>45723</v>
      </c>
      <c r="C6684" s="500" t="s">
        <v>173</v>
      </c>
      <c r="D6684" s="500" t="s">
        <v>764</v>
      </c>
      <c r="E6684" s="501">
        <v>82297275.819999993</v>
      </c>
      <c r="F6684" s="502" t="s">
        <v>878</v>
      </c>
      <c r="G6684" s="100">
        <v>116185397</v>
      </c>
      <c r="H6684" s="100">
        <v>116185397</v>
      </c>
      <c r="I6684" s="422" t="s">
        <v>685</v>
      </c>
      <c r="J6684" s="484"/>
      <c r="K6684" s="548"/>
      <c r="L6684" s="548"/>
      <c r="M6684" s="548"/>
      <c r="N6684" s="552"/>
    </row>
    <row r="6685" spans="1:14">
      <c r="A6685" s="499">
        <v>45716</v>
      </c>
      <c r="B6685" s="499">
        <v>45723</v>
      </c>
      <c r="C6685" s="500" t="s">
        <v>173</v>
      </c>
      <c r="D6685" s="500" t="s">
        <v>764</v>
      </c>
      <c r="E6685" s="501">
        <v>93364974.069999993</v>
      </c>
      <c r="F6685" s="502" t="s">
        <v>878</v>
      </c>
      <c r="G6685" s="100">
        <v>116185400</v>
      </c>
      <c r="H6685" s="100">
        <v>116185400</v>
      </c>
      <c r="I6685" s="422" t="s">
        <v>588</v>
      </c>
      <c r="J6685" s="484"/>
      <c r="K6685" s="548"/>
      <c r="L6685" s="548"/>
      <c r="M6685" s="548"/>
      <c r="N6685" s="552"/>
    </row>
    <row r="6686" spans="1:14">
      <c r="A6686" s="499">
        <v>45716</v>
      </c>
      <c r="B6686" s="499">
        <v>45723</v>
      </c>
      <c r="C6686" s="500" t="s">
        <v>173</v>
      </c>
      <c r="D6686" s="500" t="s">
        <v>764</v>
      </c>
      <c r="E6686" s="501">
        <v>227684750.81</v>
      </c>
      <c r="F6686" s="502" t="s">
        <v>878</v>
      </c>
      <c r="G6686" s="100">
        <v>116185403</v>
      </c>
      <c r="H6686" s="100">
        <v>116185403</v>
      </c>
      <c r="I6686" s="422" t="s">
        <v>689</v>
      </c>
      <c r="J6686" s="484"/>
      <c r="K6686" s="548"/>
      <c r="L6686" s="548"/>
      <c r="M6686" s="548"/>
      <c r="N6686" s="552"/>
    </row>
    <row r="6687" spans="1:14">
      <c r="A6687" s="499">
        <v>45716</v>
      </c>
      <c r="B6687" s="499">
        <v>45723</v>
      </c>
      <c r="C6687" s="500" t="s">
        <v>173</v>
      </c>
      <c r="D6687" s="500" t="s">
        <v>764</v>
      </c>
      <c r="E6687" s="501">
        <v>235734822.96000001</v>
      </c>
      <c r="F6687" s="502" t="s">
        <v>878</v>
      </c>
      <c r="G6687" s="100">
        <v>116185406</v>
      </c>
      <c r="H6687" s="100">
        <v>116185406</v>
      </c>
      <c r="I6687" s="422" t="s">
        <v>672</v>
      </c>
      <c r="J6687" s="484"/>
      <c r="K6687" s="548"/>
      <c r="L6687" s="548"/>
      <c r="M6687" s="548"/>
      <c r="N6687" s="552"/>
    </row>
    <row r="6688" spans="1:14">
      <c r="A6688" s="499">
        <v>45716</v>
      </c>
      <c r="B6688" s="499">
        <v>45723</v>
      </c>
      <c r="C6688" s="500" t="s">
        <v>173</v>
      </c>
      <c r="D6688" s="500" t="s">
        <v>764</v>
      </c>
      <c r="E6688" s="501">
        <v>238890005.72</v>
      </c>
      <c r="F6688" s="502" t="s">
        <v>878</v>
      </c>
      <c r="G6688" s="100">
        <v>116185409</v>
      </c>
      <c r="H6688" s="100">
        <v>116185409</v>
      </c>
      <c r="I6688" s="422" t="s">
        <v>676</v>
      </c>
      <c r="J6688" s="484"/>
      <c r="K6688" s="548"/>
      <c r="L6688" s="548"/>
      <c r="M6688" s="548"/>
      <c r="N6688" s="552"/>
    </row>
    <row r="6689" spans="1:14">
      <c r="A6689" s="499">
        <v>45716</v>
      </c>
      <c r="B6689" s="499">
        <v>45723</v>
      </c>
      <c r="C6689" s="500" t="s">
        <v>173</v>
      </c>
      <c r="D6689" s="500" t="s">
        <v>764</v>
      </c>
      <c r="E6689" s="501">
        <v>317970973.69</v>
      </c>
      <c r="F6689" s="502" t="s">
        <v>878</v>
      </c>
      <c r="G6689" s="100">
        <v>116185412</v>
      </c>
      <c r="H6689" s="100">
        <v>116185412</v>
      </c>
      <c r="I6689" s="422" t="s">
        <v>696</v>
      </c>
      <c r="J6689" s="484"/>
      <c r="K6689" s="548"/>
      <c r="L6689" s="548"/>
      <c r="M6689" s="548"/>
      <c r="N6689" s="552"/>
    </row>
    <row r="6690" spans="1:14">
      <c r="A6690" s="499">
        <v>45716</v>
      </c>
      <c r="B6690" s="499">
        <v>45723</v>
      </c>
      <c r="C6690" s="500" t="s">
        <v>173</v>
      </c>
      <c r="D6690" s="500" t="s">
        <v>764</v>
      </c>
      <c r="E6690" s="501">
        <v>11032545.869999999</v>
      </c>
      <c r="F6690" s="502" t="s">
        <v>878</v>
      </c>
      <c r="G6690" s="100">
        <v>116185702</v>
      </c>
      <c r="H6690" s="100">
        <v>116185702</v>
      </c>
      <c r="I6690" s="422" t="s">
        <v>674</v>
      </c>
      <c r="J6690" s="484"/>
      <c r="K6690" s="548"/>
      <c r="L6690" s="548"/>
      <c r="M6690" s="548"/>
      <c r="N6690" s="552"/>
    </row>
    <row r="6691" spans="1:14">
      <c r="A6691" s="499">
        <v>45716</v>
      </c>
      <c r="B6691" s="499">
        <v>45716</v>
      </c>
      <c r="C6691" s="500" t="s">
        <v>173</v>
      </c>
      <c r="D6691" s="500" t="s">
        <v>763</v>
      </c>
      <c r="E6691" s="501">
        <v>-6037924006.7399998</v>
      </c>
      <c r="F6691" s="502" t="s">
        <v>878</v>
      </c>
      <c r="G6691" s="100">
        <v>116186743</v>
      </c>
      <c r="H6691" s="530"/>
      <c r="I6691" s="422" t="s">
        <v>684</v>
      </c>
      <c r="J6691" s="484"/>
      <c r="K6691" s="548"/>
      <c r="L6691" s="548"/>
      <c r="M6691" s="548"/>
      <c r="N6691" s="552"/>
    </row>
    <row r="6692" spans="1:14">
      <c r="A6692" s="499">
        <v>45716</v>
      </c>
      <c r="B6692" s="499">
        <v>45716</v>
      </c>
      <c r="C6692" s="500" t="s">
        <v>173</v>
      </c>
      <c r="D6692" s="500" t="s">
        <v>763</v>
      </c>
      <c r="E6692" s="501">
        <v>-27017558.530000001</v>
      </c>
      <c r="F6692" s="502" t="s">
        <v>878</v>
      </c>
      <c r="G6692" s="100">
        <v>116186760</v>
      </c>
      <c r="H6692" s="530"/>
      <c r="I6692" s="422" t="s">
        <v>684</v>
      </c>
      <c r="J6692" s="484"/>
      <c r="K6692" s="548"/>
      <c r="L6692" s="548"/>
      <c r="M6692" s="548"/>
      <c r="N6692" s="552"/>
    </row>
    <row r="6693" spans="1:14">
      <c r="A6693" s="499">
        <v>45716</v>
      </c>
      <c r="B6693" s="499">
        <v>45719</v>
      </c>
      <c r="C6693" s="500" t="s">
        <v>173</v>
      </c>
      <c r="D6693" s="500" t="s">
        <v>763</v>
      </c>
      <c r="E6693" s="501">
        <v>6045263856.04</v>
      </c>
      <c r="F6693" s="502" t="s">
        <v>878</v>
      </c>
      <c r="G6693" s="100">
        <v>116186743</v>
      </c>
      <c r="H6693" s="100">
        <v>116186743</v>
      </c>
      <c r="I6693" s="422" t="s">
        <v>684</v>
      </c>
      <c r="J6693" s="484"/>
      <c r="K6693" s="548"/>
      <c r="L6693" s="548"/>
      <c r="M6693" s="548"/>
      <c r="N6693" s="552"/>
    </row>
    <row r="6694" spans="1:14">
      <c r="A6694" s="499">
        <v>45716</v>
      </c>
      <c r="B6694" s="499">
        <v>45719</v>
      </c>
      <c r="C6694" s="500" t="s">
        <v>173</v>
      </c>
      <c r="D6694" s="500" t="s">
        <v>763</v>
      </c>
      <c r="E6694" s="501">
        <v>27050401.739999998</v>
      </c>
      <c r="F6694" s="502" t="s">
        <v>878</v>
      </c>
      <c r="G6694" s="100">
        <v>116186760</v>
      </c>
      <c r="H6694" s="100">
        <v>116186760</v>
      </c>
      <c r="I6694" s="422" t="s">
        <v>684</v>
      </c>
      <c r="J6694" s="484"/>
      <c r="K6694" s="548"/>
      <c r="L6694" s="548"/>
      <c r="M6694" s="548"/>
      <c r="N6694" s="552"/>
    </row>
    <row r="6695" spans="1:14">
      <c r="A6695" s="499">
        <v>45719</v>
      </c>
      <c r="B6695" s="499">
        <v>45719</v>
      </c>
      <c r="C6695" s="500" t="s">
        <v>173</v>
      </c>
      <c r="D6695" s="500" t="s">
        <v>762</v>
      </c>
      <c r="E6695" s="501">
        <v>-5003478210</v>
      </c>
      <c r="F6695" s="502" t="s">
        <v>878</v>
      </c>
      <c r="G6695" s="100">
        <v>116206978</v>
      </c>
      <c r="H6695" s="530"/>
      <c r="I6695" s="422" t="s">
        <v>717</v>
      </c>
      <c r="J6695" s="484"/>
      <c r="K6695" s="548"/>
      <c r="L6695" s="548"/>
      <c r="M6695" s="548"/>
      <c r="N6695" s="552"/>
    </row>
    <row r="6696" spans="1:14">
      <c r="A6696" s="499">
        <v>45719</v>
      </c>
      <c r="B6696" s="499">
        <v>45719</v>
      </c>
      <c r="C6696" s="500" t="s">
        <v>173</v>
      </c>
      <c r="D6696" s="500" t="s">
        <v>762</v>
      </c>
      <c r="E6696" s="501">
        <v>-309072708.94</v>
      </c>
      <c r="F6696" s="502" t="s">
        <v>878</v>
      </c>
      <c r="G6696" s="100">
        <v>116206981</v>
      </c>
      <c r="H6696" s="530"/>
      <c r="I6696" s="422" t="s">
        <v>677</v>
      </c>
      <c r="J6696" s="484"/>
      <c r="K6696" s="548"/>
      <c r="L6696" s="548"/>
      <c r="M6696" s="548"/>
      <c r="N6696" s="552"/>
    </row>
    <row r="6697" spans="1:14">
      <c r="A6697" s="499">
        <v>45719</v>
      </c>
      <c r="B6697" s="499">
        <v>45719</v>
      </c>
      <c r="C6697" s="500" t="s">
        <v>173</v>
      </c>
      <c r="D6697" s="500" t="s">
        <v>762</v>
      </c>
      <c r="E6697" s="501">
        <v>-23016633.050000001</v>
      </c>
      <c r="F6697" s="502" t="s">
        <v>878</v>
      </c>
      <c r="G6697" s="100">
        <v>116208910</v>
      </c>
      <c r="H6697" s="530"/>
      <c r="I6697" s="422" t="s">
        <v>604</v>
      </c>
      <c r="J6697" s="484"/>
      <c r="K6697" s="548"/>
      <c r="L6697" s="548"/>
      <c r="M6697" s="548"/>
      <c r="N6697" s="552"/>
    </row>
    <row r="6698" spans="1:14">
      <c r="A6698" s="499">
        <v>45719</v>
      </c>
      <c r="B6698" s="499">
        <v>45727</v>
      </c>
      <c r="C6698" s="500" t="s">
        <v>173</v>
      </c>
      <c r="D6698" s="500" t="s">
        <v>762</v>
      </c>
      <c r="E6698" s="501">
        <v>5019949934.4300003</v>
      </c>
      <c r="F6698" s="502" t="s">
        <v>878</v>
      </c>
      <c r="G6698" s="100">
        <v>116206978</v>
      </c>
      <c r="H6698" s="484">
        <v>116206978</v>
      </c>
      <c r="I6698" s="422" t="s">
        <v>717</v>
      </c>
      <c r="J6698" s="484"/>
      <c r="K6698" s="548"/>
      <c r="L6698" s="548"/>
      <c r="M6698" s="548"/>
      <c r="N6698" s="552"/>
    </row>
    <row r="6699" spans="1:14">
      <c r="A6699" s="499">
        <v>45719</v>
      </c>
      <c r="B6699" s="499">
        <v>45727</v>
      </c>
      <c r="C6699" s="500" t="s">
        <v>173</v>
      </c>
      <c r="D6699" s="500" t="s">
        <v>762</v>
      </c>
      <c r="E6699" s="501">
        <v>310089522.58999997</v>
      </c>
      <c r="F6699" s="502" t="s">
        <v>878</v>
      </c>
      <c r="G6699" s="100">
        <v>116206981</v>
      </c>
      <c r="H6699" s="484">
        <v>116206981</v>
      </c>
      <c r="I6699" s="422" t="s">
        <v>677</v>
      </c>
      <c r="J6699" s="484"/>
      <c r="K6699" s="548"/>
      <c r="L6699" s="548"/>
      <c r="M6699" s="548"/>
      <c r="N6699" s="552"/>
    </row>
    <row r="6700" spans="1:14">
      <c r="A6700" s="499">
        <v>45719</v>
      </c>
      <c r="B6700" s="499">
        <v>45727</v>
      </c>
      <c r="C6700" s="500" t="s">
        <v>173</v>
      </c>
      <c r="D6700" s="500" t="s">
        <v>762</v>
      </c>
      <c r="E6700" s="501">
        <v>23092556.41</v>
      </c>
      <c r="F6700" s="502" t="s">
        <v>878</v>
      </c>
      <c r="G6700" s="100">
        <v>116208910</v>
      </c>
      <c r="H6700" s="484">
        <v>116208910</v>
      </c>
      <c r="I6700" s="422" t="s">
        <v>604</v>
      </c>
      <c r="J6700" s="484"/>
      <c r="K6700" s="548"/>
      <c r="L6700" s="548"/>
      <c r="M6700" s="548"/>
      <c r="N6700" s="552"/>
    </row>
    <row r="6701" spans="1:14">
      <c r="A6701" s="499">
        <v>45719</v>
      </c>
      <c r="B6701" s="499">
        <v>45719</v>
      </c>
      <c r="C6701" s="500" t="s">
        <v>173</v>
      </c>
      <c r="D6701" s="500" t="s">
        <v>761</v>
      </c>
      <c r="E6701" s="501">
        <v>-1013100190.77</v>
      </c>
      <c r="F6701" s="502" t="s">
        <v>878</v>
      </c>
      <c r="G6701" s="100">
        <v>116210659</v>
      </c>
      <c r="H6701" s="530"/>
      <c r="I6701" s="422" t="s">
        <v>681</v>
      </c>
      <c r="J6701" s="484"/>
      <c r="K6701" s="548"/>
      <c r="L6701" s="548"/>
      <c r="M6701" s="548"/>
      <c r="N6701" s="552"/>
    </row>
    <row r="6702" spans="1:14">
      <c r="A6702" s="499">
        <v>45719</v>
      </c>
      <c r="B6702" s="499">
        <v>45719</v>
      </c>
      <c r="C6702" s="500" t="s">
        <v>173</v>
      </c>
      <c r="D6702" s="500" t="s">
        <v>761</v>
      </c>
      <c r="E6702" s="501">
        <v>-5000494.53</v>
      </c>
      <c r="F6702" s="502" t="s">
        <v>878</v>
      </c>
      <c r="G6702" s="100">
        <v>116210681</v>
      </c>
      <c r="H6702" s="530"/>
      <c r="I6702" s="422" t="s">
        <v>681</v>
      </c>
      <c r="J6702" s="484"/>
      <c r="K6702" s="548"/>
      <c r="L6702" s="548"/>
      <c r="M6702" s="548"/>
      <c r="N6702" s="552"/>
    </row>
    <row r="6703" spans="1:14">
      <c r="A6703" s="499">
        <v>45719</v>
      </c>
      <c r="B6703" s="499">
        <v>45719</v>
      </c>
      <c r="C6703" s="500" t="s">
        <v>173</v>
      </c>
      <c r="D6703" s="500" t="s">
        <v>761</v>
      </c>
      <c r="E6703" s="501">
        <v>-83001895.390000001</v>
      </c>
      <c r="F6703" s="502" t="s">
        <v>878</v>
      </c>
      <c r="G6703" s="100">
        <v>116216021</v>
      </c>
      <c r="H6703" s="530"/>
      <c r="I6703" s="422" t="s">
        <v>1018</v>
      </c>
      <c r="J6703" s="484"/>
      <c r="K6703" s="548"/>
      <c r="L6703" s="548"/>
      <c r="M6703" s="548"/>
      <c r="N6703" s="552"/>
    </row>
    <row r="6704" spans="1:14">
      <c r="A6704" s="499">
        <v>45719</v>
      </c>
      <c r="B6704" s="499">
        <v>45720</v>
      </c>
      <c r="C6704" s="500" t="s">
        <v>173</v>
      </c>
      <c r="D6704" s="500" t="s">
        <v>761</v>
      </c>
      <c r="E6704" s="501">
        <v>1013505430.85</v>
      </c>
      <c r="F6704" s="502" t="s">
        <v>878</v>
      </c>
      <c r="G6704" s="100">
        <v>116210659</v>
      </c>
      <c r="H6704" s="484">
        <v>116210659</v>
      </c>
      <c r="I6704" s="422" t="s">
        <v>681</v>
      </c>
      <c r="J6704" s="484"/>
      <c r="K6704" s="548"/>
      <c r="L6704" s="548"/>
      <c r="M6704" s="548"/>
      <c r="N6704" s="552"/>
    </row>
    <row r="6705" spans="1:14">
      <c r="A6705" s="499">
        <v>45719</v>
      </c>
      <c r="B6705" s="499">
        <v>45720</v>
      </c>
      <c r="C6705" s="500" t="s">
        <v>173</v>
      </c>
      <c r="D6705" s="500" t="s">
        <v>761</v>
      </c>
      <c r="E6705" s="501">
        <v>5002494.7300000004</v>
      </c>
      <c r="F6705" s="502" t="s">
        <v>878</v>
      </c>
      <c r="G6705" s="100">
        <v>116210681</v>
      </c>
      <c r="H6705" s="484">
        <v>116210681</v>
      </c>
      <c r="I6705" s="422" t="s">
        <v>681</v>
      </c>
      <c r="J6705" s="484"/>
      <c r="K6705" s="548"/>
      <c r="L6705" s="548"/>
      <c r="M6705" s="548"/>
      <c r="N6705" s="552"/>
    </row>
    <row r="6706" spans="1:14">
      <c r="A6706" s="499">
        <v>45719</v>
      </c>
      <c r="B6706" s="499">
        <v>45720</v>
      </c>
      <c r="C6706" s="500" t="s">
        <v>173</v>
      </c>
      <c r="D6706" s="500" t="s">
        <v>761</v>
      </c>
      <c r="E6706" s="501">
        <v>83033504.329999998</v>
      </c>
      <c r="F6706" s="502" t="s">
        <v>878</v>
      </c>
      <c r="G6706" s="100">
        <v>116216021</v>
      </c>
      <c r="H6706" s="484">
        <v>116216021</v>
      </c>
      <c r="I6706" s="422" t="s">
        <v>1018</v>
      </c>
      <c r="J6706" s="484"/>
      <c r="K6706" s="548"/>
      <c r="L6706" s="548"/>
      <c r="M6706" s="548"/>
      <c r="N6706" s="552"/>
    </row>
    <row r="6707" spans="1:14">
      <c r="A6707" s="499">
        <v>45719</v>
      </c>
      <c r="B6707" s="499">
        <v>45719</v>
      </c>
      <c r="C6707" s="500" t="s">
        <v>173</v>
      </c>
      <c r="D6707" s="500" t="s">
        <v>761</v>
      </c>
      <c r="E6707" s="501">
        <v>30600000</v>
      </c>
      <c r="F6707" s="502" t="s">
        <v>381</v>
      </c>
      <c r="G6707" s="100" t="s">
        <v>503</v>
      </c>
      <c r="H6707" s="530"/>
      <c r="I6707" s="422"/>
      <c r="K6707" s="548"/>
      <c r="L6707" s="548"/>
      <c r="M6707" s="548"/>
      <c r="N6707" s="552"/>
    </row>
    <row r="6708" spans="1:14">
      <c r="A6708" s="499">
        <v>45719</v>
      </c>
      <c r="B6708" s="499">
        <v>45719</v>
      </c>
      <c r="C6708" s="500" t="s">
        <v>173</v>
      </c>
      <c r="D6708" s="500" t="s">
        <v>761</v>
      </c>
      <c r="E6708" s="501">
        <v>52173000</v>
      </c>
      <c r="F6708" s="502" t="s">
        <v>381</v>
      </c>
      <c r="G6708" s="100" t="s">
        <v>503</v>
      </c>
      <c r="H6708" s="530"/>
      <c r="I6708" s="422"/>
      <c r="K6708" s="548"/>
      <c r="L6708" s="548"/>
      <c r="M6708" s="548"/>
      <c r="N6708" s="552"/>
    </row>
    <row r="6709" spans="1:14">
      <c r="A6709" s="499">
        <v>45719</v>
      </c>
      <c r="B6709" s="499">
        <v>45719</v>
      </c>
      <c r="C6709" s="500" t="s">
        <v>173</v>
      </c>
      <c r="D6709" s="500" t="s">
        <v>759</v>
      </c>
      <c r="E6709" s="501">
        <v>-120039294.72</v>
      </c>
      <c r="F6709" s="502" t="s">
        <v>878</v>
      </c>
      <c r="G6709" s="100">
        <v>116205274</v>
      </c>
      <c r="H6709" s="530"/>
      <c r="I6709" s="422" t="s">
        <v>709</v>
      </c>
      <c r="J6709" s="484"/>
      <c r="K6709" s="548"/>
      <c r="L6709" s="548">
        <v>-1</v>
      </c>
      <c r="M6709" s="548"/>
      <c r="N6709" s="552"/>
    </row>
    <row r="6710" spans="1:14">
      <c r="A6710" s="499">
        <v>45719</v>
      </c>
      <c r="B6710" s="499">
        <v>45719</v>
      </c>
      <c r="C6710" s="500" t="s">
        <v>173</v>
      </c>
      <c r="D6710" s="500" t="s">
        <v>759</v>
      </c>
      <c r="E6710" s="501">
        <v>-120016965.12</v>
      </c>
      <c r="F6710" s="502" t="s">
        <v>878</v>
      </c>
      <c r="G6710" s="100">
        <v>116205277</v>
      </c>
      <c r="H6710" s="530"/>
      <c r="I6710" s="422" t="s">
        <v>684</v>
      </c>
      <c r="J6710" s="484"/>
      <c r="K6710" s="548"/>
      <c r="L6710" s="548"/>
      <c r="M6710" s="548"/>
      <c r="N6710" s="552"/>
    </row>
    <row r="6711" spans="1:14">
      <c r="A6711" s="499">
        <v>45719</v>
      </c>
      <c r="B6711" s="499">
        <v>45719</v>
      </c>
      <c r="C6711" s="500" t="s">
        <v>173</v>
      </c>
      <c r="D6711" s="500" t="s">
        <v>759</v>
      </c>
      <c r="E6711" s="501">
        <v>-121094912.52</v>
      </c>
      <c r="F6711" s="502" t="s">
        <v>878</v>
      </c>
      <c r="G6711" s="100">
        <v>116205280</v>
      </c>
      <c r="H6711" s="530"/>
      <c r="I6711" s="422" t="s">
        <v>817</v>
      </c>
      <c r="J6711" s="484"/>
      <c r="K6711" s="548"/>
      <c r="L6711" s="548"/>
      <c r="M6711" s="548"/>
      <c r="N6711" s="552"/>
    </row>
    <row r="6712" spans="1:14">
      <c r="A6712" s="499">
        <v>45719</v>
      </c>
      <c r="B6712" s="499">
        <v>45719</v>
      </c>
      <c r="C6712" s="500" t="s">
        <v>173</v>
      </c>
      <c r="D6712" s="500" t="s">
        <v>759</v>
      </c>
      <c r="E6712" s="501">
        <v>-126112493.3</v>
      </c>
      <c r="F6712" s="502" t="s">
        <v>878</v>
      </c>
      <c r="G6712" s="100">
        <v>116205283</v>
      </c>
      <c r="H6712" s="530"/>
      <c r="I6712" s="422" t="s">
        <v>824</v>
      </c>
      <c r="J6712" s="484"/>
      <c r="K6712" s="548"/>
      <c r="L6712" s="548"/>
      <c r="M6712" s="548"/>
      <c r="N6712" s="552"/>
    </row>
    <row r="6713" spans="1:14">
      <c r="A6713" s="499">
        <v>45719</v>
      </c>
      <c r="B6713" s="499">
        <v>45719</v>
      </c>
      <c r="C6713" s="500" t="s">
        <v>173</v>
      </c>
      <c r="D6713" s="500" t="s">
        <v>759</v>
      </c>
      <c r="E6713" s="501">
        <v>-148045295.09999999</v>
      </c>
      <c r="F6713" s="502" t="s">
        <v>878</v>
      </c>
      <c r="G6713" s="100">
        <v>116205286</v>
      </c>
      <c r="H6713" s="530"/>
      <c r="I6713" s="422" t="s">
        <v>600</v>
      </c>
      <c r="J6713" s="484"/>
      <c r="K6713" s="548"/>
      <c r="L6713" s="548"/>
      <c r="M6713" s="548"/>
      <c r="N6713" s="552"/>
    </row>
    <row r="6714" spans="1:14">
      <c r="A6714" s="499">
        <v>45719</v>
      </c>
      <c r="B6714" s="499">
        <v>45719</v>
      </c>
      <c r="C6714" s="500" t="s">
        <v>173</v>
      </c>
      <c r="D6714" s="500" t="s">
        <v>759</v>
      </c>
      <c r="E6714" s="501">
        <v>-163017460.56</v>
      </c>
      <c r="F6714" s="502" t="s">
        <v>878</v>
      </c>
      <c r="G6714" s="100">
        <v>116205318</v>
      </c>
      <c r="H6714" s="530"/>
      <c r="I6714" s="422" t="s">
        <v>602</v>
      </c>
      <c r="J6714" s="484"/>
      <c r="K6714" s="548"/>
      <c r="L6714" s="548"/>
      <c r="M6714" s="548"/>
      <c r="N6714" s="552"/>
    </row>
    <row r="6715" spans="1:14">
      <c r="A6715" s="499">
        <v>45719</v>
      </c>
      <c r="B6715" s="499">
        <v>45719</v>
      </c>
      <c r="C6715" s="500" t="s">
        <v>173</v>
      </c>
      <c r="D6715" s="500" t="s">
        <v>759</v>
      </c>
      <c r="E6715" s="501">
        <v>-174031694.09999999</v>
      </c>
      <c r="F6715" s="502" t="s">
        <v>878</v>
      </c>
      <c r="G6715" s="100">
        <v>116205321</v>
      </c>
      <c r="H6715" s="530"/>
      <c r="I6715" s="422" t="s">
        <v>708</v>
      </c>
      <c r="J6715" s="484"/>
      <c r="K6715" s="548"/>
      <c r="L6715" s="548"/>
      <c r="M6715" s="548"/>
      <c r="N6715" s="552"/>
    </row>
    <row r="6716" spans="1:14">
      <c r="A6716" s="499">
        <v>45719</v>
      </c>
      <c r="B6716" s="499">
        <v>45719</v>
      </c>
      <c r="C6716" s="500" t="s">
        <v>173</v>
      </c>
      <c r="D6716" s="500" t="s">
        <v>759</v>
      </c>
      <c r="E6716" s="501">
        <v>-189168739.96000001</v>
      </c>
      <c r="F6716" s="502" t="s">
        <v>878</v>
      </c>
      <c r="G6716" s="100">
        <v>116205324</v>
      </c>
      <c r="H6716" s="530"/>
      <c r="I6716" s="422" t="s">
        <v>824</v>
      </c>
      <c r="J6716" s="484"/>
      <c r="K6716" s="548"/>
      <c r="L6716" s="548"/>
      <c r="M6716" s="548"/>
      <c r="N6716" s="552"/>
    </row>
    <row r="6717" spans="1:14">
      <c r="A6717" s="499">
        <v>45719</v>
      </c>
      <c r="B6717" s="499">
        <v>45719</v>
      </c>
      <c r="C6717" s="500" t="s">
        <v>173</v>
      </c>
      <c r="D6717" s="500" t="s">
        <v>759</v>
      </c>
      <c r="E6717" s="501">
        <v>-199103234.83000001</v>
      </c>
      <c r="F6717" s="502" t="s">
        <v>878</v>
      </c>
      <c r="G6717" s="100">
        <v>116205328</v>
      </c>
      <c r="H6717" s="530"/>
      <c r="I6717" s="422" t="s">
        <v>590</v>
      </c>
      <c r="J6717" s="484"/>
      <c r="K6717" s="548"/>
      <c r="L6717" s="548"/>
      <c r="M6717" s="548"/>
      <c r="N6717" s="552"/>
    </row>
    <row r="6718" spans="1:14">
      <c r="A6718" s="499">
        <v>45719</v>
      </c>
      <c r="B6718" s="499">
        <v>45719</v>
      </c>
      <c r="C6718" s="500" t="s">
        <v>173</v>
      </c>
      <c r="D6718" s="500" t="s">
        <v>759</v>
      </c>
      <c r="E6718" s="501">
        <v>-208017400.44999999</v>
      </c>
      <c r="F6718" s="502" t="s">
        <v>878</v>
      </c>
      <c r="G6718" s="100">
        <v>116205331</v>
      </c>
      <c r="H6718" s="530"/>
      <c r="I6718" s="422" t="s">
        <v>654</v>
      </c>
      <c r="J6718" s="484"/>
      <c r="K6718" s="548"/>
      <c r="L6718" s="548"/>
      <c r="M6718" s="548"/>
      <c r="N6718" s="552"/>
    </row>
    <row r="6719" spans="1:14">
      <c r="A6719" s="499">
        <v>45719</v>
      </c>
      <c r="B6719" s="499">
        <v>45719</v>
      </c>
      <c r="C6719" s="500" t="s">
        <v>173</v>
      </c>
      <c r="D6719" s="500" t="s">
        <v>759</v>
      </c>
      <c r="E6719" s="501">
        <v>-36000526.25</v>
      </c>
      <c r="F6719" s="502" t="s">
        <v>878</v>
      </c>
      <c r="G6719" s="100">
        <v>116205521</v>
      </c>
      <c r="H6719" s="530"/>
      <c r="I6719" s="422" t="s">
        <v>916</v>
      </c>
      <c r="J6719" s="484"/>
      <c r="K6719" s="548"/>
      <c r="L6719" s="548"/>
      <c r="M6719" s="548"/>
      <c r="N6719" s="552"/>
    </row>
    <row r="6720" spans="1:14">
      <c r="A6720" s="499">
        <v>45719</v>
      </c>
      <c r="B6720" s="499">
        <v>45719</v>
      </c>
      <c r="C6720" s="500" t="s">
        <v>173</v>
      </c>
      <c r="D6720" s="500" t="s">
        <v>759</v>
      </c>
      <c r="E6720" s="501">
        <v>-25015855.300000001</v>
      </c>
      <c r="F6720" s="502" t="s">
        <v>878</v>
      </c>
      <c r="G6720" s="100">
        <v>116205585</v>
      </c>
      <c r="H6720" s="530"/>
      <c r="I6720" s="422" t="s">
        <v>680</v>
      </c>
      <c r="J6720" s="484"/>
      <c r="K6720" s="548"/>
      <c r="L6720" s="548"/>
      <c r="M6720" s="548"/>
      <c r="N6720" s="552"/>
    </row>
    <row r="6721" spans="1:14">
      <c r="A6721" s="499">
        <v>45719</v>
      </c>
      <c r="B6721" s="499">
        <v>45719</v>
      </c>
      <c r="C6721" s="500" t="s">
        <v>173</v>
      </c>
      <c r="D6721" s="500" t="s">
        <v>759</v>
      </c>
      <c r="E6721" s="501">
        <v>-373306326.25</v>
      </c>
      <c r="F6721" s="502" t="s">
        <v>878</v>
      </c>
      <c r="G6721" s="100">
        <v>116207926</v>
      </c>
      <c r="H6721" s="530"/>
      <c r="I6721" s="422" t="s">
        <v>674</v>
      </c>
      <c r="J6721" s="484"/>
      <c r="K6721" s="548"/>
      <c r="L6721" s="548"/>
      <c r="M6721" s="548"/>
      <c r="N6721" s="552"/>
    </row>
    <row r="6722" spans="1:14">
      <c r="A6722" s="499">
        <v>45719</v>
      </c>
      <c r="B6722" s="499">
        <v>45720</v>
      </c>
      <c r="C6722" s="500" t="s">
        <v>173</v>
      </c>
      <c r="D6722" s="500" t="s">
        <v>759</v>
      </c>
      <c r="E6722" s="501">
        <v>120087968.19</v>
      </c>
      <c r="F6722" s="502" t="s">
        <v>878</v>
      </c>
      <c r="G6722" s="100">
        <v>116205274</v>
      </c>
      <c r="H6722" s="100">
        <v>116205274</v>
      </c>
      <c r="I6722" s="422" t="s">
        <v>709</v>
      </c>
      <c r="J6722" s="484"/>
      <c r="K6722" s="548"/>
      <c r="L6722" s="548"/>
      <c r="M6722" s="548"/>
      <c r="N6722" s="552"/>
    </row>
    <row r="6723" spans="1:14">
      <c r="A6723" s="499">
        <v>45719</v>
      </c>
      <c r="B6723" s="499">
        <v>45720</v>
      </c>
      <c r="C6723" s="500" t="s">
        <v>173</v>
      </c>
      <c r="D6723" s="500" t="s">
        <v>759</v>
      </c>
      <c r="E6723" s="501">
        <v>120065629.53</v>
      </c>
      <c r="F6723" s="502" t="s">
        <v>878</v>
      </c>
      <c r="G6723" s="100">
        <v>116205277</v>
      </c>
      <c r="H6723" s="100">
        <v>116205277</v>
      </c>
      <c r="I6723" s="422" t="s">
        <v>684</v>
      </c>
      <c r="J6723" s="484"/>
      <c r="K6723" s="548"/>
      <c r="L6723" s="548"/>
      <c r="M6723" s="548"/>
      <c r="N6723" s="552"/>
    </row>
    <row r="6724" spans="1:14">
      <c r="A6724" s="499">
        <v>45719</v>
      </c>
      <c r="B6724" s="499">
        <v>45720</v>
      </c>
      <c r="C6724" s="500" t="s">
        <v>173</v>
      </c>
      <c r="D6724" s="500" t="s">
        <v>759</v>
      </c>
      <c r="E6724" s="501">
        <v>121144014.02</v>
      </c>
      <c r="F6724" s="502" t="s">
        <v>878</v>
      </c>
      <c r="G6724" s="100">
        <v>116205280</v>
      </c>
      <c r="H6724" s="100">
        <v>116205280</v>
      </c>
      <c r="I6724" s="422" t="s">
        <v>817</v>
      </c>
      <c r="J6724" s="484"/>
      <c r="K6724" s="548"/>
      <c r="L6724" s="548"/>
      <c r="M6724" s="548"/>
      <c r="N6724" s="552"/>
    </row>
    <row r="6725" spans="1:14">
      <c r="A6725" s="499">
        <v>45719</v>
      </c>
      <c r="B6725" s="499">
        <v>45720</v>
      </c>
      <c r="C6725" s="500" t="s">
        <v>173</v>
      </c>
      <c r="D6725" s="500" t="s">
        <v>759</v>
      </c>
      <c r="E6725" s="501">
        <v>126163629.31999999</v>
      </c>
      <c r="F6725" s="502" t="s">
        <v>878</v>
      </c>
      <c r="G6725" s="100">
        <v>116205283</v>
      </c>
      <c r="H6725" s="100">
        <v>116205283</v>
      </c>
      <c r="I6725" s="422" t="s">
        <v>824</v>
      </c>
      <c r="J6725" s="484"/>
      <c r="K6725" s="548"/>
      <c r="L6725" s="548"/>
      <c r="M6725" s="548"/>
      <c r="N6725" s="552"/>
    </row>
    <row r="6726" spans="1:14">
      <c r="A6726" s="499">
        <v>45719</v>
      </c>
      <c r="B6726" s="499">
        <v>45720</v>
      </c>
      <c r="C6726" s="500" t="s">
        <v>173</v>
      </c>
      <c r="D6726" s="500" t="s">
        <v>759</v>
      </c>
      <c r="E6726" s="501">
        <v>148105324.43000001</v>
      </c>
      <c r="F6726" s="502" t="s">
        <v>878</v>
      </c>
      <c r="G6726" s="100">
        <v>116205286</v>
      </c>
      <c r="H6726" s="100">
        <v>116205286</v>
      </c>
      <c r="I6726" s="422" t="s">
        <v>600</v>
      </c>
      <c r="J6726" s="484"/>
      <c r="K6726" s="548"/>
      <c r="L6726" s="548"/>
      <c r="M6726" s="548"/>
      <c r="N6726" s="552"/>
    </row>
    <row r="6727" spans="1:14">
      <c r="A6727" s="499">
        <v>45719</v>
      </c>
      <c r="B6727" s="499">
        <v>45720</v>
      </c>
      <c r="C6727" s="500" t="s">
        <v>173</v>
      </c>
      <c r="D6727" s="500" t="s">
        <v>759</v>
      </c>
      <c r="E6727" s="501">
        <v>163083560.78999999</v>
      </c>
      <c r="F6727" s="502" t="s">
        <v>878</v>
      </c>
      <c r="G6727" s="100">
        <v>116205318</v>
      </c>
      <c r="H6727" s="100">
        <v>116205318</v>
      </c>
      <c r="I6727" s="422" t="s">
        <v>602</v>
      </c>
      <c r="J6727" s="484"/>
      <c r="K6727" s="548"/>
      <c r="L6727" s="548"/>
      <c r="M6727" s="548"/>
      <c r="N6727" s="552"/>
    </row>
    <row r="6728" spans="1:14">
      <c r="A6728" s="499">
        <v>45719</v>
      </c>
      <c r="B6728" s="499">
        <v>45720</v>
      </c>
      <c r="C6728" s="500" t="s">
        <v>173</v>
      </c>
      <c r="D6728" s="500" t="s">
        <v>759</v>
      </c>
      <c r="E6728" s="501">
        <v>174102260.38</v>
      </c>
      <c r="F6728" s="502" t="s">
        <v>878</v>
      </c>
      <c r="G6728" s="100">
        <v>116205321</v>
      </c>
      <c r="H6728" s="100">
        <v>116205321</v>
      </c>
      <c r="I6728" s="422" t="s">
        <v>708</v>
      </c>
      <c r="J6728" s="484"/>
      <c r="K6728" s="548"/>
      <c r="L6728" s="548"/>
      <c r="M6728" s="548"/>
      <c r="N6728" s="552"/>
    </row>
    <row r="6729" spans="1:14">
      <c r="A6729" s="499">
        <v>45719</v>
      </c>
      <c r="B6729" s="499">
        <v>45720</v>
      </c>
      <c r="C6729" s="500" t="s">
        <v>173</v>
      </c>
      <c r="D6729" s="500" t="s">
        <v>759</v>
      </c>
      <c r="E6729" s="501">
        <v>189245444</v>
      </c>
      <c r="F6729" s="502" t="s">
        <v>878</v>
      </c>
      <c r="G6729" s="100">
        <v>116205324</v>
      </c>
      <c r="H6729" s="100">
        <v>116205324</v>
      </c>
      <c r="I6729" s="422" t="s">
        <v>824</v>
      </c>
      <c r="J6729" s="484"/>
      <c r="K6729" s="548"/>
      <c r="L6729" s="548"/>
      <c r="M6729" s="548"/>
      <c r="N6729" s="552"/>
    </row>
    <row r="6730" spans="1:14">
      <c r="A6730" s="499">
        <v>45719</v>
      </c>
      <c r="B6730" s="499">
        <v>45720</v>
      </c>
      <c r="C6730" s="500" t="s">
        <v>173</v>
      </c>
      <c r="D6730" s="500" t="s">
        <v>759</v>
      </c>
      <c r="E6730" s="501">
        <v>199183967.09999999</v>
      </c>
      <c r="F6730" s="502" t="s">
        <v>878</v>
      </c>
      <c r="G6730" s="100">
        <v>116205328</v>
      </c>
      <c r="H6730" s="100">
        <v>116205328</v>
      </c>
      <c r="I6730" s="422" t="s">
        <v>590</v>
      </c>
      <c r="J6730" s="484"/>
      <c r="K6730" s="548"/>
      <c r="L6730" s="548"/>
      <c r="M6730" s="548"/>
      <c r="N6730" s="552"/>
    </row>
    <row r="6731" spans="1:14">
      <c r="A6731" s="499">
        <v>45719</v>
      </c>
      <c r="B6731" s="499">
        <v>45720</v>
      </c>
      <c r="C6731" s="500" t="s">
        <v>173</v>
      </c>
      <c r="D6731" s="500" t="s">
        <v>759</v>
      </c>
      <c r="E6731" s="501">
        <v>208101747.22999999</v>
      </c>
      <c r="F6731" s="502" t="s">
        <v>878</v>
      </c>
      <c r="G6731" s="100">
        <v>116205331</v>
      </c>
      <c r="H6731" s="100">
        <v>116205331</v>
      </c>
      <c r="I6731" s="422" t="s">
        <v>654</v>
      </c>
      <c r="J6731" s="484"/>
      <c r="K6731" s="548"/>
      <c r="L6731" s="548"/>
      <c r="M6731" s="548"/>
      <c r="N6731" s="552"/>
    </row>
    <row r="6732" spans="1:14">
      <c r="A6732" s="499">
        <v>45719</v>
      </c>
      <c r="B6732" s="499">
        <v>45720</v>
      </c>
      <c r="C6732" s="500" t="s">
        <v>173</v>
      </c>
      <c r="D6732" s="500" t="s">
        <v>759</v>
      </c>
      <c r="E6732" s="501">
        <v>36015123.719999999</v>
      </c>
      <c r="F6732" s="502" t="s">
        <v>878</v>
      </c>
      <c r="G6732" s="100">
        <v>116205521</v>
      </c>
      <c r="H6732" s="100">
        <v>116205521</v>
      </c>
      <c r="I6732" s="422" t="s">
        <v>916</v>
      </c>
      <c r="J6732" s="484"/>
      <c r="K6732" s="548"/>
      <c r="L6732" s="548"/>
      <c r="M6732" s="548"/>
      <c r="N6732" s="552"/>
    </row>
    <row r="6733" spans="1:14">
      <c r="A6733" s="499">
        <v>45719</v>
      </c>
      <c r="B6733" s="499">
        <v>45720</v>
      </c>
      <c r="C6733" s="500" t="s">
        <v>173</v>
      </c>
      <c r="D6733" s="500" t="s">
        <v>759</v>
      </c>
      <c r="E6733" s="501">
        <v>25025998.719999999</v>
      </c>
      <c r="F6733" s="502" t="s">
        <v>878</v>
      </c>
      <c r="G6733" s="100">
        <v>116205585</v>
      </c>
      <c r="H6733" s="100">
        <v>116205585</v>
      </c>
      <c r="I6733" s="422" t="s">
        <v>680</v>
      </c>
      <c r="J6733" s="484"/>
      <c r="K6733" s="548"/>
      <c r="L6733" s="548"/>
      <c r="M6733" s="548"/>
      <c r="N6733" s="552"/>
    </row>
    <row r="6734" spans="1:14">
      <c r="A6734" s="499">
        <v>45719</v>
      </c>
      <c r="B6734" s="499">
        <v>45720</v>
      </c>
      <c r="C6734" s="500" t="s">
        <v>173</v>
      </c>
      <c r="D6734" s="500" t="s">
        <v>759</v>
      </c>
      <c r="E6734" s="501">
        <v>373455752.07999998</v>
      </c>
      <c r="F6734" s="502" t="s">
        <v>878</v>
      </c>
      <c r="G6734" s="100">
        <v>116207926</v>
      </c>
      <c r="H6734" s="100">
        <v>116207926</v>
      </c>
      <c r="I6734" s="422" t="s">
        <v>674</v>
      </c>
      <c r="J6734" s="484"/>
      <c r="K6734" s="548"/>
      <c r="L6734" s="548"/>
      <c r="M6734" s="548"/>
      <c r="N6734" s="552"/>
    </row>
    <row r="6735" spans="1:14">
      <c r="A6735" s="499">
        <v>45719</v>
      </c>
      <c r="B6735" s="499">
        <v>45719</v>
      </c>
      <c r="C6735" s="500" t="s">
        <v>173</v>
      </c>
      <c r="D6735" s="500" t="s">
        <v>760</v>
      </c>
      <c r="E6735" s="501">
        <v>-150104346.30000001</v>
      </c>
      <c r="F6735" s="502" t="s">
        <v>878</v>
      </c>
      <c r="G6735" s="100">
        <v>116206932</v>
      </c>
      <c r="H6735" s="530"/>
      <c r="I6735" s="422" t="s">
        <v>717</v>
      </c>
      <c r="J6735" s="484"/>
      <c r="K6735" s="548"/>
      <c r="L6735" s="548"/>
      <c r="M6735" s="548"/>
      <c r="N6735" s="552"/>
    </row>
    <row r="6736" spans="1:14">
      <c r="A6736" s="499">
        <v>45719</v>
      </c>
      <c r="B6736" s="499">
        <v>45719</v>
      </c>
      <c r="C6736" s="500" t="s">
        <v>173</v>
      </c>
      <c r="D6736" s="500" t="s">
        <v>760</v>
      </c>
      <c r="E6736" s="501">
        <v>-148098642</v>
      </c>
      <c r="F6736" s="502" t="s">
        <v>878</v>
      </c>
      <c r="G6736" s="100">
        <v>116207069</v>
      </c>
      <c r="H6736" s="530"/>
      <c r="I6736" s="422" t="s">
        <v>675</v>
      </c>
      <c r="J6736" s="484"/>
      <c r="K6736" s="548"/>
      <c r="L6736" s="548"/>
      <c r="M6736" s="548"/>
      <c r="N6736" s="552"/>
    </row>
    <row r="6737" spans="1:14">
      <c r="A6737" s="499">
        <v>45719</v>
      </c>
      <c r="B6737" s="499">
        <v>45719</v>
      </c>
      <c r="C6737" s="500" t="s">
        <v>173</v>
      </c>
      <c r="D6737" s="500" t="s">
        <v>760</v>
      </c>
      <c r="E6737" s="501">
        <v>-298198617</v>
      </c>
      <c r="F6737" s="502" t="s">
        <v>878</v>
      </c>
      <c r="G6737" s="100">
        <v>116207072</v>
      </c>
      <c r="H6737" s="530"/>
      <c r="I6737" s="422" t="s">
        <v>675</v>
      </c>
      <c r="J6737" s="484"/>
      <c r="K6737" s="548"/>
      <c r="L6737" s="548"/>
      <c r="M6737" s="548"/>
      <c r="N6737" s="552"/>
    </row>
    <row r="6738" spans="1:14">
      <c r="A6738" s="499">
        <v>45719</v>
      </c>
      <c r="B6738" s="499">
        <v>45719</v>
      </c>
      <c r="C6738" s="500" t="s">
        <v>173</v>
      </c>
      <c r="D6738" s="500" t="s">
        <v>760</v>
      </c>
      <c r="E6738" s="501">
        <v>-62044836.909999996</v>
      </c>
      <c r="F6738" s="502" t="s">
        <v>878</v>
      </c>
      <c r="G6738" s="100">
        <v>116207629</v>
      </c>
      <c r="H6738" s="530"/>
      <c r="I6738" s="422" t="s">
        <v>604</v>
      </c>
      <c r="J6738" s="484"/>
      <c r="K6738" s="548"/>
      <c r="L6738" s="548"/>
      <c r="M6738" s="548"/>
      <c r="N6738" s="552"/>
    </row>
    <row r="6739" spans="1:14">
      <c r="A6739" s="499">
        <v>45719</v>
      </c>
      <c r="B6739" s="499">
        <v>45727</v>
      </c>
      <c r="C6739" s="500" t="s">
        <v>173</v>
      </c>
      <c r="D6739" s="500" t="s">
        <v>760</v>
      </c>
      <c r="E6739" s="501">
        <v>150601130</v>
      </c>
      <c r="F6739" s="502" t="s">
        <v>878</v>
      </c>
      <c r="G6739" s="100">
        <v>116206932</v>
      </c>
      <c r="H6739" s="484">
        <v>116206932</v>
      </c>
      <c r="I6739" s="422" t="s">
        <v>717</v>
      </c>
      <c r="J6739" s="484"/>
      <c r="K6739" s="548"/>
      <c r="L6739" s="548"/>
      <c r="M6739" s="548"/>
      <c r="N6739" s="552"/>
    </row>
    <row r="6740" spans="1:14">
      <c r="A6740" s="499">
        <v>45719</v>
      </c>
      <c r="B6740" s="499">
        <v>45727</v>
      </c>
      <c r="C6740" s="500" t="s">
        <v>173</v>
      </c>
      <c r="D6740" s="500" t="s">
        <v>760</v>
      </c>
      <c r="E6740" s="501">
        <v>148588787.63999999</v>
      </c>
      <c r="F6740" s="502" t="s">
        <v>878</v>
      </c>
      <c r="G6740" s="100">
        <v>116207069</v>
      </c>
      <c r="H6740" s="484">
        <v>116207069</v>
      </c>
      <c r="I6740" s="422" t="s">
        <v>675</v>
      </c>
      <c r="J6740" s="484"/>
      <c r="K6740" s="548"/>
      <c r="L6740" s="548"/>
      <c r="M6740" s="548"/>
      <c r="N6740" s="552"/>
    </row>
    <row r="6741" spans="1:14">
      <c r="A6741" s="499">
        <v>45719</v>
      </c>
      <c r="B6741" s="499">
        <v>45727</v>
      </c>
      <c r="C6741" s="500" t="s">
        <v>173</v>
      </c>
      <c r="D6741" s="500" t="s">
        <v>760</v>
      </c>
      <c r="E6741" s="501">
        <v>299185531.87</v>
      </c>
      <c r="F6741" s="502" t="s">
        <v>878</v>
      </c>
      <c r="G6741" s="100">
        <v>116207072</v>
      </c>
      <c r="H6741" s="484">
        <v>116207072</v>
      </c>
      <c r="I6741" s="422" t="s">
        <v>675</v>
      </c>
      <c r="J6741" s="484"/>
      <c r="K6741" s="548"/>
      <c r="L6741" s="548"/>
      <c r="M6741" s="548">
        <v>-1</v>
      </c>
      <c r="N6741" s="552"/>
    </row>
    <row r="6742" spans="1:14">
      <c r="A6742" s="499">
        <v>45719</v>
      </c>
      <c r="B6742" s="499">
        <v>45727</v>
      </c>
      <c r="C6742" s="500" t="s">
        <v>173</v>
      </c>
      <c r="D6742" s="500" t="s">
        <v>760</v>
      </c>
      <c r="E6742" s="501">
        <v>62249132.710000001</v>
      </c>
      <c r="F6742" s="502" t="s">
        <v>878</v>
      </c>
      <c r="G6742" s="100">
        <v>116207629</v>
      </c>
      <c r="H6742" s="484">
        <v>116207629</v>
      </c>
      <c r="I6742" s="422" t="s">
        <v>604</v>
      </c>
      <c r="J6742" s="484"/>
      <c r="K6742" s="548"/>
      <c r="L6742" s="548"/>
      <c r="M6742" s="548"/>
      <c r="N6742" s="552"/>
    </row>
    <row r="6743" spans="1:14">
      <c r="A6743" s="499">
        <v>45719</v>
      </c>
      <c r="B6743" s="499">
        <v>45719</v>
      </c>
      <c r="C6743" s="500" t="s">
        <v>173</v>
      </c>
      <c r="D6743" s="500" t="s">
        <v>763</v>
      </c>
      <c r="E6743" s="501">
        <v>-6042854193.79</v>
      </c>
      <c r="F6743" s="502" t="s">
        <v>878</v>
      </c>
      <c r="G6743" s="100">
        <v>116204015</v>
      </c>
      <c r="H6743" s="530"/>
      <c r="I6743" s="422" t="s">
        <v>684</v>
      </c>
      <c r="J6743" s="484"/>
      <c r="K6743" s="548"/>
      <c r="L6743" s="548"/>
      <c r="M6743" s="548"/>
      <c r="N6743" s="552"/>
    </row>
    <row r="6744" spans="1:14">
      <c r="A6744" s="499">
        <v>45719</v>
      </c>
      <c r="B6744" s="499">
        <v>45719</v>
      </c>
      <c r="C6744" s="500" t="s">
        <v>173</v>
      </c>
      <c r="D6744" s="500" t="s">
        <v>763</v>
      </c>
      <c r="E6744" s="501">
        <v>-29004099.899999999</v>
      </c>
      <c r="F6744" s="502" t="s">
        <v>878</v>
      </c>
      <c r="G6744" s="100">
        <v>116204077</v>
      </c>
      <c r="H6744" s="530"/>
      <c r="I6744" s="422" t="s">
        <v>684</v>
      </c>
      <c r="J6744" s="484"/>
      <c r="K6744" s="548"/>
      <c r="L6744" s="548"/>
      <c r="M6744" s="548"/>
      <c r="N6744" s="552"/>
    </row>
    <row r="6745" spans="1:14">
      <c r="A6745" s="499">
        <v>45719</v>
      </c>
      <c r="B6745" s="499">
        <v>45720</v>
      </c>
      <c r="C6745" s="500" t="s">
        <v>173</v>
      </c>
      <c r="D6745" s="500" t="s">
        <v>763</v>
      </c>
      <c r="E6745" s="501">
        <v>6045271335.4700003</v>
      </c>
      <c r="F6745" s="502" t="s">
        <v>878</v>
      </c>
      <c r="G6745" s="100">
        <v>116204015</v>
      </c>
      <c r="H6745" s="100">
        <v>116204015</v>
      </c>
      <c r="I6745" s="422" t="s">
        <v>684</v>
      </c>
      <c r="J6745" s="484"/>
      <c r="K6745" s="548"/>
      <c r="L6745" s="548"/>
      <c r="M6745" s="548"/>
      <c r="N6745" s="552"/>
    </row>
    <row r="6746" spans="1:14">
      <c r="A6746" s="499">
        <v>45719</v>
      </c>
      <c r="B6746" s="499">
        <v>45720</v>
      </c>
      <c r="C6746" s="500" t="s">
        <v>173</v>
      </c>
      <c r="D6746" s="500" t="s">
        <v>763</v>
      </c>
      <c r="E6746" s="501">
        <v>29015701.539999999</v>
      </c>
      <c r="F6746" s="502" t="s">
        <v>878</v>
      </c>
      <c r="G6746" s="100">
        <v>116204077</v>
      </c>
      <c r="H6746" s="100">
        <v>116204077</v>
      </c>
      <c r="I6746" s="422" t="s">
        <v>684</v>
      </c>
      <c r="J6746" s="484"/>
      <c r="K6746" s="548"/>
      <c r="L6746" s="548"/>
      <c r="M6746" s="548"/>
      <c r="N6746" s="552"/>
    </row>
    <row r="6747" spans="1:14">
      <c r="A6747" s="499">
        <v>45720</v>
      </c>
      <c r="B6747" s="499">
        <v>45720</v>
      </c>
      <c r="C6747" s="500" t="s">
        <v>173</v>
      </c>
      <c r="D6747" s="500" t="s">
        <v>761</v>
      </c>
      <c r="E6747" s="501">
        <v>-500415468</v>
      </c>
      <c r="F6747" s="502" t="s">
        <v>878</v>
      </c>
      <c r="G6747" s="100">
        <v>116204078</v>
      </c>
      <c r="H6747" s="530"/>
      <c r="I6747" s="422" t="s">
        <v>651</v>
      </c>
      <c r="J6747" s="535"/>
      <c r="K6747" s="548"/>
      <c r="L6747" s="548"/>
      <c r="M6747" s="548"/>
      <c r="N6747" s="552"/>
    </row>
    <row r="6748" spans="1:14">
      <c r="A6748" s="499">
        <v>45720</v>
      </c>
      <c r="B6748" s="499">
        <v>45720</v>
      </c>
      <c r="C6748" s="500" t="s">
        <v>173</v>
      </c>
      <c r="D6748" s="500" t="s">
        <v>761</v>
      </c>
      <c r="E6748" s="501">
        <v>-75019959.930000007</v>
      </c>
      <c r="F6748" s="502" t="s">
        <v>878</v>
      </c>
      <c r="G6748" s="100">
        <v>116204079</v>
      </c>
      <c r="H6748" s="530"/>
      <c r="I6748" s="422" t="s">
        <v>634</v>
      </c>
      <c r="J6748" s="535"/>
      <c r="K6748" s="548"/>
      <c r="L6748" s="548"/>
      <c r="M6748" s="548"/>
      <c r="N6748" s="552"/>
    </row>
    <row r="6749" spans="1:14">
      <c r="A6749" s="499">
        <v>45720</v>
      </c>
      <c r="B6749" s="499">
        <v>45720</v>
      </c>
      <c r="C6749" s="500" t="s">
        <v>173</v>
      </c>
      <c r="D6749" s="500" t="s">
        <v>761</v>
      </c>
      <c r="E6749" s="501">
        <v>-5000004.97</v>
      </c>
      <c r="F6749" s="502" t="s">
        <v>878</v>
      </c>
      <c r="G6749" s="100">
        <v>116204080</v>
      </c>
      <c r="H6749" s="530"/>
      <c r="I6749" s="422" t="s">
        <v>812</v>
      </c>
      <c r="J6749" s="535"/>
      <c r="K6749" s="548"/>
      <c r="L6749" s="548"/>
      <c r="M6749" s="548"/>
      <c r="N6749" s="552"/>
    </row>
    <row r="6750" spans="1:14">
      <c r="A6750" s="499">
        <v>45720</v>
      </c>
      <c r="B6750" s="499">
        <v>45720</v>
      </c>
      <c r="C6750" s="500" t="s">
        <v>173</v>
      </c>
      <c r="D6750" s="500" t="s">
        <v>761</v>
      </c>
      <c r="E6750" s="501">
        <v>-521138654.98000002</v>
      </c>
      <c r="F6750" s="502" t="s">
        <v>878</v>
      </c>
      <c r="G6750" s="100">
        <v>116204081</v>
      </c>
      <c r="H6750" s="530"/>
      <c r="I6750" s="422" t="s">
        <v>634</v>
      </c>
      <c r="J6750" s="535"/>
      <c r="K6750" s="548"/>
      <c r="L6750" s="548"/>
      <c r="M6750" s="548"/>
      <c r="N6750" s="552"/>
    </row>
    <row r="6751" spans="1:14">
      <c r="A6751" s="499">
        <v>45720</v>
      </c>
      <c r="B6751" s="499">
        <v>45721</v>
      </c>
      <c r="C6751" s="500" t="s">
        <v>173</v>
      </c>
      <c r="D6751" s="500" t="s">
        <v>761</v>
      </c>
      <c r="E6751" s="501">
        <v>500616182.58999997</v>
      </c>
      <c r="F6751" s="502" t="s">
        <v>878</v>
      </c>
      <c r="G6751" s="100">
        <v>116204078</v>
      </c>
      <c r="H6751" s="100">
        <v>116204078</v>
      </c>
      <c r="I6751" s="422" t="s">
        <v>651</v>
      </c>
      <c r="J6751" s="535"/>
      <c r="K6751" s="548"/>
      <c r="L6751" s="548"/>
      <c r="M6751" s="548"/>
      <c r="N6751" s="552"/>
    </row>
    <row r="6752" spans="1:14">
      <c r="A6752" s="499">
        <v>45720</v>
      </c>
      <c r="B6752" s="499">
        <v>45721</v>
      </c>
      <c r="C6752" s="500" t="s">
        <v>173</v>
      </c>
      <c r="D6752" s="500" t="s">
        <v>761</v>
      </c>
      <c r="E6752" s="501">
        <v>75050050.129999995</v>
      </c>
      <c r="F6752" s="502" t="s">
        <v>878</v>
      </c>
      <c r="G6752" s="100">
        <v>116204079</v>
      </c>
      <c r="H6752" s="100">
        <v>116204079</v>
      </c>
      <c r="I6752" s="422" t="s">
        <v>634</v>
      </c>
      <c r="J6752" s="535"/>
      <c r="K6752" s="548"/>
      <c r="L6752" s="548"/>
      <c r="M6752" s="548"/>
      <c r="N6752" s="552"/>
    </row>
    <row r="6753" spans="1:14">
      <c r="A6753" s="499">
        <v>45720</v>
      </c>
      <c r="B6753" s="499">
        <v>45721</v>
      </c>
      <c r="C6753" s="500" t="s">
        <v>173</v>
      </c>
      <c r="D6753" s="500" t="s">
        <v>761</v>
      </c>
      <c r="E6753" s="501">
        <v>5001998.1399999997</v>
      </c>
      <c r="F6753" s="502" t="s">
        <v>878</v>
      </c>
      <c r="G6753" s="100">
        <v>116204080</v>
      </c>
      <c r="H6753" s="100">
        <v>116204080</v>
      </c>
      <c r="I6753" s="422" t="s">
        <v>812</v>
      </c>
      <c r="J6753" s="535"/>
      <c r="K6753" s="548"/>
      <c r="L6753" s="548"/>
      <c r="M6753" s="548"/>
      <c r="N6753" s="552"/>
    </row>
    <row r="6754" spans="1:14">
      <c r="A6754" s="499">
        <v>45720</v>
      </c>
      <c r="B6754" s="499">
        <v>45721</v>
      </c>
      <c r="C6754" s="500" t="s">
        <v>173</v>
      </c>
      <c r="D6754" s="500" t="s">
        <v>761</v>
      </c>
      <c r="E6754" s="501">
        <v>521347681.55000001</v>
      </c>
      <c r="F6754" s="502" t="s">
        <v>878</v>
      </c>
      <c r="G6754" s="100">
        <v>116204081</v>
      </c>
      <c r="H6754" s="100">
        <v>116204081</v>
      </c>
      <c r="I6754" s="422" t="s">
        <v>634</v>
      </c>
      <c r="J6754" s="535"/>
      <c r="K6754" s="548"/>
      <c r="L6754" s="548"/>
      <c r="M6754" s="548"/>
      <c r="N6754" s="552"/>
    </row>
    <row r="6755" spans="1:14">
      <c r="A6755" s="499">
        <v>45720</v>
      </c>
      <c r="B6755" s="499">
        <v>45720</v>
      </c>
      <c r="C6755" s="500" t="s">
        <v>173</v>
      </c>
      <c r="D6755" s="500" t="s">
        <v>759</v>
      </c>
      <c r="E6755" s="501">
        <v>-1994783944.27</v>
      </c>
      <c r="F6755" s="502" t="s">
        <v>878</v>
      </c>
      <c r="G6755" s="100">
        <v>116226936</v>
      </c>
      <c r="H6755" s="530"/>
      <c r="I6755" s="422" t="s">
        <v>673</v>
      </c>
      <c r="J6755" s="484"/>
      <c r="K6755" s="548"/>
      <c r="L6755" s="548"/>
      <c r="M6755" s="548"/>
      <c r="N6755" s="552"/>
    </row>
    <row r="6756" spans="1:14">
      <c r="A6756" s="499">
        <v>45720</v>
      </c>
      <c r="B6756" s="499">
        <v>45720</v>
      </c>
      <c r="C6756" s="500" t="s">
        <v>173</v>
      </c>
      <c r="D6756" s="500" t="s">
        <v>759</v>
      </c>
      <c r="E6756" s="501">
        <v>-10004722</v>
      </c>
      <c r="F6756" s="502" t="s">
        <v>878</v>
      </c>
      <c r="G6756" s="100">
        <v>116229419</v>
      </c>
      <c r="H6756" s="530"/>
      <c r="I6756" s="422" t="s">
        <v>672</v>
      </c>
      <c r="J6756" s="484"/>
      <c r="K6756" s="548"/>
      <c r="L6756" s="548"/>
      <c r="M6756" s="548"/>
      <c r="N6756" s="552"/>
    </row>
    <row r="6757" spans="1:14">
      <c r="A6757" s="499">
        <v>45720</v>
      </c>
      <c r="B6757" s="499">
        <v>45721</v>
      </c>
      <c r="C6757" s="500" t="s">
        <v>173</v>
      </c>
      <c r="D6757" s="500" t="s">
        <v>759</v>
      </c>
      <c r="E6757" s="501">
        <v>1995579152.5899999</v>
      </c>
      <c r="F6757" s="502" t="s">
        <v>878</v>
      </c>
      <c r="G6757" s="100">
        <v>116226936</v>
      </c>
      <c r="H6757" s="100">
        <v>116226936</v>
      </c>
      <c r="I6757" s="422" t="s">
        <v>673</v>
      </c>
      <c r="J6757" s="484"/>
      <c r="K6757" s="548"/>
      <c r="L6757" s="548"/>
      <c r="M6757" s="548"/>
      <c r="N6757" s="552"/>
    </row>
    <row r="6758" spans="1:14">
      <c r="A6758" s="499">
        <v>45720</v>
      </c>
      <c r="B6758" s="499">
        <v>45721</v>
      </c>
      <c r="C6758" s="500" t="s">
        <v>173</v>
      </c>
      <c r="D6758" s="500" t="s">
        <v>759</v>
      </c>
      <c r="E6758" s="501">
        <v>10008696.529999999</v>
      </c>
      <c r="F6758" s="502" t="s">
        <v>878</v>
      </c>
      <c r="G6758" s="100">
        <v>116229419</v>
      </c>
      <c r="H6758" s="100">
        <v>116229419</v>
      </c>
      <c r="I6758" s="422" t="s">
        <v>672</v>
      </c>
      <c r="J6758" s="484"/>
      <c r="K6758" s="548"/>
      <c r="L6758" s="548"/>
      <c r="M6758" s="548"/>
      <c r="N6758" s="552"/>
    </row>
    <row r="6759" spans="1:14">
      <c r="A6759" s="499">
        <v>45720</v>
      </c>
      <c r="B6759" s="499">
        <v>45720</v>
      </c>
      <c r="C6759" s="500" t="s">
        <v>173</v>
      </c>
      <c r="D6759" s="500" t="s">
        <v>763</v>
      </c>
      <c r="E6759" s="501">
        <v>-6048669218.2799997</v>
      </c>
      <c r="F6759" s="502" t="s">
        <v>878</v>
      </c>
      <c r="G6759" s="100">
        <v>116224537</v>
      </c>
      <c r="H6759" s="530"/>
      <c r="I6759" s="422" t="s">
        <v>684</v>
      </c>
      <c r="J6759" s="484"/>
      <c r="K6759" s="548"/>
      <c r="L6759" s="548"/>
      <c r="M6759" s="548"/>
      <c r="N6759" s="552"/>
    </row>
    <row r="6760" spans="1:14">
      <c r="A6760" s="499">
        <v>45720</v>
      </c>
      <c r="B6760" s="499">
        <v>45720</v>
      </c>
      <c r="C6760" s="500" t="s">
        <v>173</v>
      </c>
      <c r="D6760" s="500" t="s">
        <v>763</v>
      </c>
      <c r="E6760" s="501">
        <v>-26015781.579999998</v>
      </c>
      <c r="F6760" s="502" t="s">
        <v>878</v>
      </c>
      <c r="G6760" s="100">
        <v>116224672</v>
      </c>
      <c r="H6760" s="530"/>
      <c r="I6760" s="422" t="s">
        <v>684</v>
      </c>
      <c r="J6760" s="484"/>
      <c r="K6760" s="548"/>
      <c r="L6760" s="548"/>
      <c r="M6760" s="548"/>
      <c r="N6760" s="552"/>
    </row>
    <row r="6761" spans="1:14">
      <c r="A6761" s="499">
        <v>45720</v>
      </c>
      <c r="B6761" s="499">
        <v>45721</v>
      </c>
      <c r="C6761" s="500" t="s">
        <v>173</v>
      </c>
      <c r="D6761" s="500" t="s">
        <v>763</v>
      </c>
      <c r="E6761" s="501">
        <v>6051073771.4399996</v>
      </c>
      <c r="F6761" s="502" t="s">
        <v>878</v>
      </c>
      <c r="G6761" s="100">
        <v>116224537</v>
      </c>
      <c r="H6761" s="484">
        <v>116224537</v>
      </c>
      <c r="I6761" s="422" t="s">
        <v>684</v>
      </c>
      <c r="J6761" s="484"/>
      <c r="K6761" s="548"/>
      <c r="L6761" s="548"/>
      <c r="M6761" s="548"/>
      <c r="N6761" s="552"/>
    </row>
    <row r="6762" spans="1:14">
      <c r="A6762" s="499">
        <v>45720</v>
      </c>
      <c r="B6762" s="499">
        <v>45721</v>
      </c>
      <c r="C6762" s="500" t="s">
        <v>173</v>
      </c>
      <c r="D6762" s="500" t="s">
        <v>763</v>
      </c>
      <c r="E6762" s="501">
        <v>26026123.890000001</v>
      </c>
      <c r="F6762" s="502" t="s">
        <v>878</v>
      </c>
      <c r="G6762" s="100">
        <v>116224672</v>
      </c>
      <c r="H6762" s="484">
        <v>116224672</v>
      </c>
      <c r="I6762" s="422" t="s">
        <v>684</v>
      </c>
      <c r="J6762" s="484"/>
      <c r="K6762" s="548"/>
      <c r="L6762" s="548">
        <v>-1</v>
      </c>
      <c r="M6762" s="548"/>
      <c r="N6762" s="552"/>
    </row>
    <row r="6763" spans="1:14">
      <c r="A6763" s="499">
        <v>45721</v>
      </c>
      <c r="B6763" s="499">
        <v>45721</v>
      </c>
      <c r="C6763" s="500" t="s">
        <v>173</v>
      </c>
      <c r="D6763" s="500" t="s">
        <v>761</v>
      </c>
      <c r="E6763" s="501">
        <v>-995050475.20000005</v>
      </c>
      <c r="F6763" s="502" t="s">
        <v>878</v>
      </c>
      <c r="G6763" s="100">
        <v>116244622</v>
      </c>
      <c r="H6763" s="530"/>
      <c r="I6763" s="422" t="s">
        <v>633</v>
      </c>
      <c r="J6763" s="484"/>
      <c r="K6763" s="548"/>
      <c r="L6763" s="548"/>
      <c r="M6763" s="548"/>
      <c r="N6763" s="552"/>
    </row>
    <row r="6764" spans="1:14">
      <c r="A6764" s="499">
        <v>45721</v>
      </c>
      <c r="B6764" s="499">
        <v>45721</v>
      </c>
      <c r="C6764" s="500" t="s">
        <v>173</v>
      </c>
      <c r="D6764" s="500" t="s">
        <v>761</v>
      </c>
      <c r="E6764" s="501">
        <v>-2941748677</v>
      </c>
      <c r="F6764" s="502" t="s">
        <v>878</v>
      </c>
      <c r="G6764" s="100">
        <v>116244938</v>
      </c>
      <c r="H6764" s="530"/>
      <c r="I6764" s="422" t="s">
        <v>701</v>
      </c>
      <c r="J6764" s="484"/>
      <c r="K6764" s="548"/>
      <c r="L6764" s="548"/>
      <c r="M6764" s="548"/>
      <c r="N6764" s="552"/>
    </row>
    <row r="6765" spans="1:14">
      <c r="A6765" s="499">
        <v>45721</v>
      </c>
      <c r="B6765" s="499">
        <v>45721</v>
      </c>
      <c r="C6765" s="500" t="s">
        <v>173</v>
      </c>
      <c r="D6765" s="500" t="s">
        <v>761</v>
      </c>
      <c r="E6765" s="501">
        <v>-565020938.89999998</v>
      </c>
      <c r="F6765" s="502" t="s">
        <v>878</v>
      </c>
      <c r="G6765" s="100">
        <v>116246047</v>
      </c>
      <c r="H6765" s="530"/>
      <c r="I6765" s="422" t="s">
        <v>719</v>
      </c>
      <c r="J6765" s="484"/>
      <c r="K6765" s="548"/>
      <c r="L6765" s="548"/>
      <c r="M6765" s="548"/>
      <c r="N6765" s="552"/>
    </row>
    <row r="6766" spans="1:14">
      <c r="A6766" s="499">
        <v>45721</v>
      </c>
      <c r="B6766" s="499">
        <v>45721</v>
      </c>
      <c r="C6766" s="500" t="s">
        <v>173</v>
      </c>
      <c r="D6766" s="500" t="s">
        <v>761</v>
      </c>
      <c r="E6766" s="501">
        <v>-20001014.579999998</v>
      </c>
      <c r="F6766" s="502" t="s">
        <v>878</v>
      </c>
      <c r="G6766" s="100">
        <v>116246097</v>
      </c>
      <c r="H6766" s="530"/>
      <c r="I6766" s="422" t="s">
        <v>633</v>
      </c>
      <c r="J6766" s="484"/>
      <c r="K6766" s="548"/>
      <c r="L6766" s="548"/>
      <c r="M6766" s="548"/>
      <c r="N6766" s="552"/>
    </row>
    <row r="6767" spans="1:14">
      <c r="A6767" s="499">
        <v>45721</v>
      </c>
      <c r="B6767" s="499">
        <v>45722</v>
      </c>
      <c r="C6767" s="500" t="s">
        <v>173</v>
      </c>
      <c r="D6767" s="500" t="s">
        <v>761</v>
      </c>
      <c r="E6767" s="501">
        <v>995450948.89999998</v>
      </c>
      <c r="F6767" s="502" t="s">
        <v>878</v>
      </c>
      <c r="G6767" s="100">
        <v>116244622</v>
      </c>
      <c r="H6767" s="484">
        <v>116244622</v>
      </c>
      <c r="I6767" s="422" t="s">
        <v>633</v>
      </c>
      <c r="J6767" s="484"/>
      <c r="K6767" s="548"/>
      <c r="L6767" s="548"/>
      <c r="M6767" s="548"/>
      <c r="N6767" s="552"/>
    </row>
    <row r="6768" spans="1:14">
      <c r="A6768" s="499">
        <v>45721</v>
      </c>
      <c r="B6768" s="499">
        <v>45728</v>
      </c>
      <c r="C6768" s="500" t="s">
        <v>173</v>
      </c>
      <c r="D6768" s="500" t="s">
        <v>761</v>
      </c>
      <c r="E6768" s="501">
        <v>2950267659</v>
      </c>
      <c r="F6768" s="502" t="s">
        <v>878</v>
      </c>
      <c r="G6768" s="100">
        <v>116244938</v>
      </c>
      <c r="H6768" s="484">
        <v>116244938</v>
      </c>
      <c r="I6768" s="422" t="s">
        <v>701</v>
      </c>
      <c r="J6768" s="484"/>
      <c r="K6768" s="548"/>
      <c r="L6768" s="548"/>
      <c r="M6768" s="548"/>
      <c r="N6768" s="552"/>
    </row>
    <row r="6769" spans="1:14">
      <c r="A6769" s="499">
        <v>45721</v>
      </c>
      <c r="B6769" s="499">
        <v>45728</v>
      </c>
      <c r="C6769" s="500" t="s">
        <v>173</v>
      </c>
      <c r="D6769" s="500" t="s">
        <v>761</v>
      </c>
      <c r="E6769" s="501">
        <v>566657177.60000002</v>
      </c>
      <c r="F6769" s="502" t="s">
        <v>878</v>
      </c>
      <c r="G6769" s="100">
        <v>116246047</v>
      </c>
      <c r="H6769" s="484">
        <v>116246047</v>
      </c>
      <c r="I6769" s="422" t="s">
        <v>719</v>
      </c>
      <c r="J6769" s="484"/>
      <c r="K6769" s="548"/>
      <c r="L6769" s="548"/>
      <c r="M6769" s="548"/>
      <c r="N6769" s="552"/>
    </row>
    <row r="6770" spans="1:14">
      <c r="A6770" s="499">
        <v>45721</v>
      </c>
      <c r="B6770" s="499">
        <v>45722</v>
      </c>
      <c r="C6770" s="500" t="s">
        <v>173</v>
      </c>
      <c r="D6770" s="500" t="s">
        <v>761</v>
      </c>
      <c r="E6770" s="501">
        <v>20009097.18</v>
      </c>
      <c r="F6770" s="502" t="s">
        <v>878</v>
      </c>
      <c r="G6770" s="100">
        <v>116246097</v>
      </c>
      <c r="H6770" s="484">
        <v>116246097</v>
      </c>
      <c r="I6770" s="422" t="s">
        <v>633</v>
      </c>
      <c r="J6770" s="484"/>
      <c r="K6770" s="548"/>
      <c r="L6770" s="548"/>
      <c r="M6770" s="548"/>
      <c r="N6770" s="552"/>
    </row>
    <row r="6771" spans="1:14">
      <c r="A6771" s="499">
        <v>45721</v>
      </c>
      <c r="B6771" s="499">
        <v>45721</v>
      </c>
      <c r="C6771" s="500" t="s">
        <v>173</v>
      </c>
      <c r="D6771" s="500" t="s">
        <v>759</v>
      </c>
      <c r="E6771" s="501">
        <v>-1997153628.1199999</v>
      </c>
      <c r="F6771" s="502" t="s">
        <v>878</v>
      </c>
      <c r="G6771" s="100">
        <v>116246177</v>
      </c>
      <c r="H6771" s="530"/>
      <c r="I6771" s="422" t="s">
        <v>654</v>
      </c>
      <c r="J6771" s="484"/>
      <c r="K6771" s="548"/>
      <c r="L6771" s="548"/>
      <c r="M6771" s="548"/>
      <c r="N6771" s="552"/>
    </row>
    <row r="6772" spans="1:14">
      <c r="A6772" s="499">
        <v>45721</v>
      </c>
      <c r="B6772" s="499">
        <v>45721</v>
      </c>
      <c r="C6772" s="500" t="s">
        <v>173</v>
      </c>
      <c r="D6772" s="500" t="s">
        <v>759</v>
      </c>
      <c r="E6772" s="501">
        <v>-9000456.5600000005</v>
      </c>
      <c r="F6772" s="502" t="s">
        <v>878</v>
      </c>
      <c r="G6772" s="100">
        <v>116248878</v>
      </c>
      <c r="H6772" s="530"/>
      <c r="I6772" s="422" t="s">
        <v>633</v>
      </c>
      <c r="J6772" s="484"/>
      <c r="K6772" s="548"/>
      <c r="L6772" s="548"/>
      <c r="M6772" s="548"/>
      <c r="N6772" s="552"/>
    </row>
    <row r="6773" spans="1:14">
      <c r="A6773" s="499">
        <v>45721</v>
      </c>
      <c r="B6773" s="499">
        <v>45722</v>
      </c>
      <c r="C6773" s="500" t="s">
        <v>173</v>
      </c>
      <c r="D6773" s="500" t="s">
        <v>759</v>
      </c>
      <c r="E6773" s="501">
        <v>1997960702.52</v>
      </c>
      <c r="F6773" s="502" t="s">
        <v>878</v>
      </c>
      <c r="G6773" s="100">
        <v>116246177</v>
      </c>
      <c r="H6773" s="484">
        <v>116246177</v>
      </c>
      <c r="I6773" s="422" t="s">
        <v>654</v>
      </c>
      <c r="J6773" s="484"/>
      <c r="K6773" s="548"/>
      <c r="L6773" s="548"/>
      <c r="M6773" s="548"/>
      <c r="N6773" s="552"/>
    </row>
    <row r="6774" spans="1:14">
      <c r="A6774" s="499">
        <v>45721</v>
      </c>
      <c r="B6774" s="499">
        <v>45722</v>
      </c>
      <c r="C6774" s="500" t="s">
        <v>173</v>
      </c>
      <c r="D6774" s="500" t="s">
        <v>759</v>
      </c>
      <c r="E6774" s="501">
        <v>9004093.8800000008</v>
      </c>
      <c r="F6774" s="502" t="s">
        <v>878</v>
      </c>
      <c r="G6774" s="100">
        <v>116248878</v>
      </c>
      <c r="H6774" s="484">
        <v>116248878</v>
      </c>
      <c r="I6774" s="422" t="s">
        <v>633</v>
      </c>
      <c r="J6774" s="484"/>
      <c r="K6774" s="548"/>
      <c r="L6774" s="548"/>
      <c r="M6774" s="548"/>
      <c r="N6774" s="552"/>
    </row>
    <row r="6775" spans="1:14">
      <c r="A6775" s="499">
        <v>45721</v>
      </c>
      <c r="B6775" s="499">
        <v>45721</v>
      </c>
      <c r="C6775" s="500" t="s">
        <v>173</v>
      </c>
      <c r="D6775" s="500" t="s">
        <v>763</v>
      </c>
      <c r="E6775" s="501">
        <v>-6050606442.8900003</v>
      </c>
      <c r="F6775" s="502" t="s">
        <v>878</v>
      </c>
      <c r="G6775" s="100">
        <v>116243784</v>
      </c>
      <c r="H6775" s="530"/>
      <c r="I6775" s="422" t="s">
        <v>684</v>
      </c>
      <c r="J6775" s="484"/>
      <c r="K6775" s="548"/>
      <c r="L6775" s="548"/>
      <c r="M6775" s="548"/>
      <c r="N6775" s="552"/>
    </row>
    <row r="6776" spans="1:14">
      <c r="A6776" s="499">
        <v>45721</v>
      </c>
      <c r="B6776" s="499">
        <v>45721</v>
      </c>
      <c r="C6776" s="500" t="s">
        <v>173</v>
      </c>
      <c r="D6776" s="500" t="s">
        <v>763</v>
      </c>
      <c r="E6776" s="501">
        <v>-23013717.25</v>
      </c>
      <c r="F6776" s="502" t="s">
        <v>878</v>
      </c>
      <c r="G6776" s="100">
        <v>116243926</v>
      </c>
      <c r="H6776" s="530"/>
      <c r="I6776" s="422" t="s">
        <v>684</v>
      </c>
      <c r="J6776" s="484"/>
      <c r="K6776" s="548"/>
      <c r="L6776" s="548"/>
      <c r="M6776" s="548"/>
      <c r="N6776" s="552"/>
    </row>
    <row r="6777" spans="1:14">
      <c r="A6777" s="499">
        <v>45721</v>
      </c>
      <c r="B6777" s="499">
        <v>45721</v>
      </c>
      <c r="C6777" s="500" t="s">
        <v>173</v>
      </c>
      <c r="D6777" s="500" t="s">
        <v>763</v>
      </c>
      <c r="E6777" s="501">
        <v>-3003069.72</v>
      </c>
      <c r="F6777" s="502" t="s">
        <v>878</v>
      </c>
      <c r="G6777" s="100">
        <v>116243929</v>
      </c>
      <c r="H6777" s="530"/>
      <c r="I6777" s="422" t="s">
        <v>650</v>
      </c>
      <c r="J6777" s="484"/>
      <c r="K6777" s="548"/>
      <c r="L6777" s="548"/>
      <c r="M6777" s="548"/>
      <c r="N6777" s="552"/>
    </row>
    <row r="6778" spans="1:14">
      <c r="A6778" s="499">
        <v>45721</v>
      </c>
      <c r="B6778" s="499">
        <v>45722</v>
      </c>
      <c r="C6778" s="500" t="s">
        <v>173</v>
      </c>
      <c r="D6778" s="500" t="s">
        <v>763</v>
      </c>
      <c r="E6778" s="501">
        <v>6053011766.1599998</v>
      </c>
      <c r="F6778" s="502" t="s">
        <v>878</v>
      </c>
      <c r="G6778" s="100">
        <v>116243784</v>
      </c>
      <c r="H6778" s="484">
        <v>116243784</v>
      </c>
      <c r="I6778" s="422" t="s">
        <v>684</v>
      </c>
      <c r="J6778" s="484"/>
      <c r="K6778" s="548"/>
      <c r="L6778" s="548"/>
      <c r="M6778" s="548"/>
      <c r="N6778" s="552"/>
    </row>
    <row r="6779" spans="1:14">
      <c r="A6779" s="499">
        <v>45721</v>
      </c>
      <c r="B6779" s="499">
        <v>45722</v>
      </c>
      <c r="C6779" s="500" t="s">
        <v>173</v>
      </c>
      <c r="D6779" s="500" t="s">
        <v>763</v>
      </c>
      <c r="E6779" s="501">
        <v>23022865.989999998</v>
      </c>
      <c r="F6779" s="502" t="s">
        <v>878</v>
      </c>
      <c r="G6779" s="100">
        <v>116243926</v>
      </c>
      <c r="H6779" s="484">
        <v>116243926</v>
      </c>
      <c r="I6779" s="422" t="s">
        <v>684</v>
      </c>
      <c r="J6779" s="484"/>
      <c r="K6779" s="548"/>
      <c r="L6779" s="548"/>
      <c r="M6779" s="548"/>
      <c r="N6779" s="552"/>
    </row>
    <row r="6780" spans="1:14">
      <c r="A6780" s="499">
        <v>45721</v>
      </c>
      <c r="B6780" s="499">
        <v>45722</v>
      </c>
      <c r="C6780" s="500" t="s">
        <v>173</v>
      </c>
      <c r="D6780" s="500" t="s">
        <v>763</v>
      </c>
      <c r="E6780" s="501">
        <v>3004263.54</v>
      </c>
      <c r="F6780" s="502" t="s">
        <v>878</v>
      </c>
      <c r="G6780" s="100">
        <v>116243929</v>
      </c>
      <c r="H6780" s="484">
        <v>116243929</v>
      </c>
      <c r="I6780" s="422" t="s">
        <v>650</v>
      </c>
      <c r="J6780" s="484"/>
      <c r="K6780" s="548"/>
      <c r="L6780" s="548"/>
      <c r="M6780" s="548"/>
      <c r="N6780" s="552"/>
    </row>
    <row r="6781" spans="1:14">
      <c r="A6781" s="499">
        <v>45722</v>
      </c>
      <c r="B6781" s="499">
        <v>45722</v>
      </c>
      <c r="C6781" s="500" t="s">
        <v>173</v>
      </c>
      <c r="D6781" s="500" t="s">
        <v>762</v>
      </c>
      <c r="E6781" s="501">
        <v>-179116259.78</v>
      </c>
      <c r="F6781" s="502" t="s">
        <v>878</v>
      </c>
      <c r="G6781" s="100">
        <v>116265625</v>
      </c>
      <c r="H6781" s="530"/>
      <c r="I6781" s="422" t="s">
        <v>672</v>
      </c>
      <c r="J6781" s="484"/>
      <c r="K6781" s="548"/>
      <c r="L6781" s="548"/>
      <c r="M6781" s="548"/>
      <c r="N6781" s="552"/>
    </row>
    <row r="6782" spans="1:14">
      <c r="A6782" s="499">
        <v>45722</v>
      </c>
      <c r="B6782" s="499">
        <v>45723</v>
      </c>
      <c r="C6782" s="500" t="s">
        <v>173</v>
      </c>
      <c r="D6782" s="500" t="s">
        <v>762</v>
      </c>
      <c r="E6782" s="501">
        <v>179186679.46000001</v>
      </c>
      <c r="F6782" s="502" t="s">
        <v>878</v>
      </c>
      <c r="G6782" s="100">
        <v>116265625</v>
      </c>
      <c r="H6782" s="100">
        <v>116265625</v>
      </c>
      <c r="I6782" s="422" t="s">
        <v>672</v>
      </c>
      <c r="J6782" s="484"/>
      <c r="K6782" s="548"/>
      <c r="L6782" s="548"/>
      <c r="M6782" s="548"/>
      <c r="N6782" s="552"/>
    </row>
    <row r="6783" spans="1:14">
      <c r="A6783" s="499">
        <v>45722</v>
      </c>
      <c r="B6783" s="499">
        <v>45722</v>
      </c>
      <c r="C6783" s="500" t="s">
        <v>173</v>
      </c>
      <c r="D6783" s="500" t="s">
        <v>761</v>
      </c>
      <c r="E6783" s="501">
        <v>-498155199.20999998</v>
      </c>
      <c r="F6783" s="502" t="s">
        <v>878</v>
      </c>
      <c r="G6783" s="100">
        <v>116265658</v>
      </c>
      <c r="H6783" s="530"/>
      <c r="I6783" s="422" t="s">
        <v>713</v>
      </c>
      <c r="J6783" s="484"/>
      <c r="K6783" s="548"/>
      <c r="L6783" s="548"/>
      <c r="M6783" s="548"/>
      <c r="N6783" s="552"/>
    </row>
    <row r="6784" spans="1:14">
      <c r="A6784" s="499">
        <v>45722</v>
      </c>
      <c r="B6784" s="499">
        <v>45722</v>
      </c>
      <c r="C6784" s="500" t="s">
        <v>173</v>
      </c>
      <c r="D6784" s="500" t="s">
        <v>761</v>
      </c>
      <c r="E6784" s="501">
        <v>-515026639.92000002</v>
      </c>
      <c r="F6784" s="502" t="s">
        <v>878</v>
      </c>
      <c r="G6784" s="100">
        <v>116270513</v>
      </c>
      <c r="H6784" s="530"/>
      <c r="I6784" s="422" t="s">
        <v>680</v>
      </c>
      <c r="J6784" s="484"/>
      <c r="K6784" s="548"/>
      <c r="L6784" s="548"/>
      <c r="M6784" s="548"/>
      <c r="N6784" s="552"/>
    </row>
    <row r="6785" spans="1:14">
      <c r="A6785" s="499">
        <v>45722</v>
      </c>
      <c r="B6785" s="499">
        <v>45722</v>
      </c>
      <c r="C6785" s="500" t="s">
        <v>173</v>
      </c>
      <c r="D6785" s="500" t="s">
        <v>761</v>
      </c>
      <c r="E6785" s="501">
        <v>-3000155.18</v>
      </c>
      <c r="F6785" s="502" t="s">
        <v>878</v>
      </c>
      <c r="G6785" s="100">
        <v>116270526</v>
      </c>
      <c r="H6785" s="530"/>
      <c r="I6785" s="422" t="s">
        <v>680</v>
      </c>
      <c r="J6785" s="484"/>
      <c r="K6785" s="548"/>
      <c r="L6785" s="548"/>
      <c r="M6785" s="548"/>
      <c r="N6785" s="552"/>
    </row>
    <row r="6786" spans="1:14">
      <c r="A6786" s="499">
        <v>45722</v>
      </c>
      <c r="B6786" s="499">
        <v>45736</v>
      </c>
      <c r="C6786" s="500" t="s">
        <v>173</v>
      </c>
      <c r="D6786" s="500" t="s">
        <v>761</v>
      </c>
      <c r="E6786" s="501">
        <v>501021297.62</v>
      </c>
      <c r="F6786" s="502" t="s">
        <v>878</v>
      </c>
      <c r="G6786" s="100">
        <v>116265658</v>
      </c>
      <c r="H6786" s="484">
        <v>116265658</v>
      </c>
      <c r="I6786" s="422" t="s">
        <v>713</v>
      </c>
      <c r="J6786" s="484"/>
      <c r="K6786" s="548"/>
      <c r="L6786" s="548"/>
      <c r="M6786" s="548"/>
      <c r="N6786" s="552"/>
    </row>
    <row r="6787" spans="1:14">
      <c r="A6787" s="499">
        <v>45722</v>
      </c>
      <c r="B6787" s="499">
        <v>45723</v>
      </c>
      <c r="C6787" s="500" t="s">
        <v>173</v>
      </c>
      <c r="D6787" s="500" t="s">
        <v>761</v>
      </c>
      <c r="E6787" s="501">
        <v>515226300.93000001</v>
      </c>
      <c r="F6787" s="502" t="s">
        <v>878</v>
      </c>
      <c r="G6787" s="100">
        <v>116270513</v>
      </c>
      <c r="H6787" s="484">
        <v>116270513</v>
      </c>
      <c r="I6787" s="422" t="s">
        <v>680</v>
      </c>
      <c r="J6787" s="484"/>
      <c r="K6787" s="548"/>
      <c r="L6787" s="548"/>
      <c r="M6787" s="548"/>
      <c r="N6787" s="552"/>
    </row>
    <row r="6788" spans="1:14">
      <c r="A6788" s="499">
        <v>45722</v>
      </c>
      <c r="B6788" s="499">
        <v>45723</v>
      </c>
      <c r="C6788" s="500" t="s">
        <v>173</v>
      </c>
      <c r="D6788" s="500" t="s">
        <v>761</v>
      </c>
      <c r="E6788" s="501">
        <v>3001318.25</v>
      </c>
      <c r="F6788" s="502" t="s">
        <v>878</v>
      </c>
      <c r="G6788" s="100">
        <v>116270526</v>
      </c>
      <c r="H6788" s="484">
        <v>116270526</v>
      </c>
      <c r="I6788" s="422" t="s">
        <v>680</v>
      </c>
      <c r="J6788" s="484"/>
      <c r="K6788" s="548"/>
      <c r="L6788" s="548"/>
      <c r="M6788" s="548"/>
      <c r="N6788" s="552"/>
    </row>
    <row r="6789" spans="1:14">
      <c r="A6789" s="499">
        <v>45722</v>
      </c>
      <c r="B6789" s="499">
        <v>45722</v>
      </c>
      <c r="C6789" s="500" t="s">
        <v>173</v>
      </c>
      <c r="D6789" s="500" t="s">
        <v>763</v>
      </c>
      <c r="E6789" s="501">
        <v>-6051309292.6000004</v>
      </c>
      <c r="F6789" s="502" t="s">
        <v>878</v>
      </c>
      <c r="G6789" s="100">
        <v>116262021</v>
      </c>
      <c r="H6789" s="530"/>
      <c r="I6789" s="422" t="s">
        <v>684</v>
      </c>
      <c r="J6789" s="484"/>
      <c r="K6789" s="548"/>
      <c r="L6789" s="548"/>
      <c r="M6789" s="548"/>
      <c r="N6789" s="552"/>
    </row>
    <row r="6790" spans="1:14">
      <c r="A6790" s="499">
        <v>45722</v>
      </c>
      <c r="B6790" s="499">
        <v>45722</v>
      </c>
      <c r="C6790" s="500" t="s">
        <v>173</v>
      </c>
      <c r="D6790" s="500" t="s">
        <v>763</v>
      </c>
      <c r="E6790" s="501">
        <v>-28006059.539999999</v>
      </c>
      <c r="F6790" s="502" t="s">
        <v>878</v>
      </c>
      <c r="G6790" s="100">
        <v>116262107</v>
      </c>
      <c r="H6790" s="530"/>
      <c r="I6790" s="422" t="s">
        <v>684</v>
      </c>
      <c r="J6790" s="484"/>
      <c r="K6790" s="548"/>
      <c r="L6790" s="548"/>
      <c r="M6790" s="548"/>
      <c r="N6790" s="552"/>
    </row>
    <row r="6791" spans="1:14">
      <c r="A6791" s="499">
        <v>45722</v>
      </c>
      <c r="B6791" s="499">
        <v>45723</v>
      </c>
      <c r="C6791" s="500" t="s">
        <v>173</v>
      </c>
      <c r="D6791" s="500" t="s">
        <v>763</v>
      </c>
      <c r="E6791" s="501">
        <v>6053714895.2799997</v>
      </c>
      <c r="F6791" s="502" t="s">
        <v>878</v>
      </c>
      <c r="G6791" s="100">
        <v>116262021</v>
      </c>
      <c r="H6791" s="100">
        <v>116262021</v>
      </c>
      <c r="I6791" s="422" t="s">
        <v>684</v>
      </c>
      <c r="J6791" s="484"/>
      <c r="K6791" s="548"/>
      <c r="L6791" s="548"/>
      <c r="M6791" s="548"/>
      <c r="N6791" s="552"/>
    </row>
    <row r="6792" spans="1:14">
      <c r="A6792" s="499">
        <v>45722</v>
      </c>
      <c r="B6792" s="499">
        <v>45723</v>
      </c>
      <c r="C6792" s="500" t="s">
        <v>173</v>
      </c>
      <c r="D6792" s="500" t="s">
        <v>763</v>
      </c>
      <c r="E6792" s="501">
        <v>28017192.91</v>
      </c>
      <c r="F6792" s="502" t="s">
        <v>878</v>
      </c>
      <c r="G6792" s="100">
        <v>116262107</v>
      </c>
      <c r="H6792" s="100">
        <v>116262107</v>
      </c>
      <c r="I6792" s="422" t="s">
        <v>684</v>
      </c>
      <c r="J6792" s="484"/>
      <c r="K6792" s="548"/>
      <c r="L6792" s="548">
        <v>-1</v>
      </c>
      <c r="M6792" s="548"/>
      <c r="N6792" s="552"/>
    </row>
    <row r="6793" spans="1:14">
      <c r="A6793" s="499">
        <v>45722</v>
      </c>
      <c r="B6793" s="499">
        <v>45722</v>
      </c>
      <c r="C6793" s="500" t="s">
        <v>173</v>
      </c>
      <c r="D6793" s="500" t="s">
        <v>762</v>
      </c>
      <c r="E6793" s="501">
        <v>180000000</v>
      </c>
      <c r="F6793" s="502" t="s">
        <v>381</v>
      </c>
      <c r="G6793" s="100" t="s">
        <v>86</v>
      </c>
      <c r="H6793" s="530"/>
      <c r="I6793" s="422"/>
      <c r="K6793" s="548"/>
      <c r="L6793" s="548"/>
      <c r="M6793" s="548"/>
      <c r="N6793" s="552"/>
    </row>
    <row r="6794" spans="1:14">
      <c r="A6794" s="499">
        <v>45722</v>
      </c>
      <c r="B6794" s="499">
        <v>45722</v>
      </c>
      <c r="C6794" s="500" t="s">
        <v>173</v>
      </c>
      <c r="D6794" s="500" t="s">
        <v>759</v>
      </c>
      <c r="E6794" s="501">
        <v>-4679242035.3100004</v>
      </c>
      <c r="F6794" s="502" t="s">
        <v>878</v>
      </c>
      <c r="G6794" s="100">
        <v>116263591</v>
      </c>
      <c r="H6794" s="530"/>
      <c r="I6794" s="422" t="s">
        <v>680</v>
      </c>
      <c r="J6794" s="484"/>
      <c r="K6794" s="548"/>
      <c r="L6794" s="548"/>
      <c r="M6794" s="548"/>
      <c r="N6794" s="552"/>
    </row>
    <row r="6795" spans="1:14">
      <c r="A6795" s="499">
        <v>45722</v>
      </c>
      <c r="B6795" s="499">
        <v>45722</v>
      </c>
      <c r="C6795" s="500" t="s">
        <v>173</v>
      </c>
      <c r="D6795" s="500" t="s">
        <v>759</v>
      </c>
      <c r="E6795" s="501">
        <v>-1711965123.77</v>
      </c>
      <c r="F6795" s="502" t="s">
        <v>878</v>
      </c>
      <c r="G6795" s="100">
        <v>116263714</v>
      </c>
      <c r="H6795" s="530"/>
      <c r="I6795" s="422" t="s">
        <v>525</v>
      </c>
      <c r="J6795" s="484"/>
      <c r="K6795" s="548"/>
      <c r="L6795" s="548"/>
      <c r="M6795" s="548"/>
      <c r="N6795" s="552"/>
    </row>
    <row r="6796" spans="1:14">
      <c r="A6796" s="499">
        <v>45722</v>
      </c>
      <c r="B6796" s="499">
        <v>45722</v>
      </c>
      <c r="C6796" s="500" t="s">
        <v>173</v>
      </c>
      <c r="D6796" s="500" t="s">
        <v>759</v>
      </c>
      <c r="E6796" s="501">
        <v>-289091558.02999997</v>
      </c>
      <c r="F6796" s="502" t="s">
        <v>878</v>
      </c>
      <c r="G6796" s="100">
        <v>116263717</v>
      </c>
      <c r="H6796" s="530"/>
      <c r="I6796" s="422" t="s">
        <v>550</v>
      </c>
      <c r="J6796" s="484"/>
      <c r="K6796" s="548"/>
      <c r="L6796" s="548"/>
      <c r="M6796" s="548"/>
      <c r="N6796" s="552"/>
    </row>
    <row r="6797" spans="1:14">
      <c r="A6797" s="499">
        <v>45722</v>
      </c>
      <c r="B6797" s="499">
        <v>45722</v>
      </c>
      <c r="C6797" s="500" t="s">
        <v>173</v>
      </c>
      <c r="D6797" s="500" t="s">
        <v>759</v>
      </c>
      <c r="E6797" s="501">
        <v>-31004318.98</v>
      </c>
      <c r="F6797" s="502" t="s">
        <v>878</v>
      </c>
      <c r="G6797" s="100">
        <v>116264132</v>
      </c>
      <c r="H6797" s="530"/>
      <c r="I6797" s="422" t="s">
        <v>682</v>
      </c>
      <c r="J6797" s="484"/>
      <c r="K6797" s="548"/>
      <c r="L6797" s="548"/>
      <c r="M6797" s="548"/>
      <c r="N6797" s="552"/>
    </row>
    <row r="6798" spans="1:14">
      <c r="A6798" s="499">
        <v>45722</v>
      </c>
      <c r="B6798" s="499">
        <v>45729</v>
      </c>
      <c r="C6798" s="500" t="s">
        <v>173</v>
      </c>
      <c r="D6798" s="500" t="s">
        <v>759</v>
      </c>
      <c r="E6798" s="501">
        <v>4692747738.0100002</v>
      </c>
      <c r="F6798" s="502" t="s">
        <v>878</v>
      </c>
      <c r="G6798" s="100">
        <v>116263591</v>
      </c>
      <c r="H6798" s="484">
        <v>116263591</v>
      </c>
      <c r="I6798" s="422" t="s">
        <v>680</v>
      </c>
      <c r="J6798" s="484"/>
      <c r="K6798" s="548"/>
      <c r="L6798" s="548"/>
      <c r="M6798" s="548"/>
      <c r="N6798" s="552"/>
    </row>
    <row r="6799" spans="1:14">
      <c r="A6799" s="499">
        <v>45722</v>
      </c>
      <c r="B6799" s="499">
        <v>45723</v>
      </c>
      <c r="C6799" s="500" t="s">
        <v>173</v>
      </c>
      <c r="D6799" s="500" t="s">
        <v>759</v>
      </c>
      <c r="E6799" s="501">
        <v>1712649909.8199999</v>
      </c>
      <c r="F6799" s="502" t="s">
        <v>878</v>
      </c>
      <c r="G6799" s="100">
        <v>116263714</v>
      </c>
      <c r="H6799" s="484">
        <v>116263714</v>
      </c>
      <c r="I6799" s="422" t="s">
        <v>525</v>
      </c>
      <c r="J6799" s="484"/>
      <c r="K6799" s="548"/>
      <c r="L6799" s="548"/>
      <c r="M6799" s="548"/>
      <c r="N6799" s="552"/>
    </row>
    <row r="6800" spans="1:14">
      <c r="A6800" s="499">
        <v>45722</v>
      </c>
      <c r="B6800" s="499">
        <v>45723</v>
      </c>
      <c r="C6800" s="500" t="s">
        <v>173</v>
      </c>
      <c r="D6800" s="500" t="s">
        <v>759</v>
      </c>
      <c r="E6800" s="501">
        <v>289207194.64999998</v>
      </c>
      <c r="F6800" s="502" t="s">
        <v>878</v>
      </c>
      <c r="G6800" s="100">
        <v>116263717</v>
      </c>
      <c r="H6800" s="484">
        <v>116263717</v>
      </c>
      <c r="I6800" s="422" t="s">
        <v>550</v>
      </c>
      <c r="J6800" s="484"/>
      <c r="K6800" s="548"/>
      <c r="L6800" s="548"/>
      <c r="M6800" s="548"/>
      <c r="N6800" s="552"/>
    </row>
    <row r="6801" spans="1:25">
      <c r="A6801" s="499">
        <v>45722</v>
      </c>
      <c r="B6801" s="499">
        <v>45729</v>
      </c>
      <c r="C6801" s="500" t="s">
        <v>173</v>
      </c>
      <c r="D6801" s="500" t="s">
        <v>759</v>
      </c>
      <c r="E6801" s="501">
        <v>31093807.98</v>
      </c>
      <c r="F6801" s="502" t="s">
        <v>878</v>
      </c>
      <c r="G6801" s="100">
        <v>116264132</v>
      </c>
      <c r="H6801" s="484">
        <v>116264132</v>
      </c>
      <c r="I6801" s="422" t="s">
        <v>682</v>
      </c>
      <c r="J6801" s="484"/>
      <c r="K6801" s="548"/>
      <c r="L6801" s="548"/>
      <c r="M6801" s="548"/>
      <c r="N6801" s="552"/>
    </row>
    <row r="6802" spans="1:25">
      <c r="A6802" s="499">
        <v>45723</v>
      </c>
      <c r="B6802" s="499">
        <v>45723</v>
      </c>
      <c r="C6802" s="500" t="s">
        <v>173</v>
      </c>
      <c r="D6802" s="500" t="s">
        <v>762</v>
      </c>
      <c r="E6802" s="501">
        <v>-178083164.44999999</v>
      </c>
      <c r="F6802" s="502" t="s">
        <v>878</v>
      </c>
      <c r="G6802" s="100">
        <v>116285463</v>
      </c>
      <c r="H6802" s="530"/>
      <c r="I6802" s="422" t="s">
        <v>650</v>
      </c>
      <c r="J6802" s="100"/>
      <c r="K6802" s="548"/>
      <c r="L6802" s="548"/>
      <c r="M6802" s="548"/>
      <c r="N6802" s="552"/>
    </row>
    <row r="6803" spans="1:25">
      <c r="A6803" s="499">
        <v>45723</v>
      </c>
      <c r="B6803" s="499">
        <v>45727</v>
      </c>
      <c r="C6803" s="500" t="s">
        <v>173</v>
      </c>
      <c r="D6803" s="500" t="s">
        <v>762</v>
      </c>
      <c r="E6803" s="501">
        <v>178360681.44999999</v>
      </c>
      <c r="F6803" s="502" t="s">
        <v>878</v>
      </c>
      <c r="G6803" s="100">
        <v>116285463</v>
      </c>
      <c r="H6803" s="100">
        <v>116285463</v>
      </c>
      <c r="I6803" s="422" t="s">
        <v>650</v>
      </c>
      <c r="J6803" s="484"/>
      <c r="K6803" s="548"/>
      <c r="L6803" s="548"/>
      <c r="M6803" s="548"/>
      <c r="N6803" s="552"/>
    </row>
    <row r="6804" spans="1:25">
      <c r="A6804" s="499">
        <v>45723</v>
      </c>
      <c r="B6804" s="499">
        <v>45728</v>
      </c>
      <c r="C6804" s="500" t="s">
        <v>173</v>
      </c>
      <c r="D6804" s="500" t="s">
        <v>762</v>
      </c>
      <c r="E6804" s="501">
        <v>160427916.66999999</v>
      </c>
      <c r="F6804" s="502" t="s">
        <v>912</v>
      </c>
      <c r="G6804" s="100" t="s">
        <v>903</v>
      </c>
      <c r="H6804" s="530"/>
      <c r="I6804" s="422"/>
      <c r="K6804" s="548"/>
      <c r="L6804" s="548">
        <v>99.07</v>
      </c>
      <c r="M6804" s="548">
        <f>E6804/(N6804*O6804)*100</f>
        <v>106.95194444666664</v>
      </c>
      <c r="N6804" s="552">
        <v>150000</v>
      </c>
      <c r="O6804" s="539">
        <v>1000</v>
      </c>
      <c r="W6804" s="550">
        <f>VLOOKUP(G6804,Справочник!A:C,3,0)</f>
        <v>0.125</v>
      </c>
      <c r="X6804" s="539" t="str">
        <f>VLOOKUP(G6804,Справочник!A:G,7,0)</f>
        <v>АО "Казахстанский фонд устойчивости"</v>
      </c>
      <c r="Y6804" s="551">
        <f>VLOOKUP(G6804,Справочник!A:B,2,0)</f>
        <v>45863</v>
      </c>
    </row>
    <row r="6805" spans="1:25">
      <c r="A6805" s="499">
        <v>45723</v>
      </c>
      <c r="B6805" s="499">
        <v>45723</v>
      </c>
      <c r="C6805" s="500" t="s">
        <v>173</v>
      </c>
      <c r="D6805" s="500" t="s">
        <v>759</v>
      </c>
      <c r="E6805" s="501">
        <v>240000000</v>
      </c>
      <c r="F6805" s="502" t="s">
        <v>381</v>
      </c>
      <c r="G6805" s="100" t="s">
        <v>516</v>
      </c>
      <c r="H6805" s="530"/>
      <c r="I6805" s="422"/>
      <c r="K6805" s="548"/>
      <c r="L6805" s="548"/>
      <c r="M6805" s="548"/>
      <c r="N6805" s="552"/>
    </row>
    <row r="6806" spans="1:25">
      <c r="A6806" s="499">
        <v>45723</v>
      </c>
      <c r="B6806" s="499">
        <v>45723</v>
      </c>
      <c r="C6806" s="500" t="s">
        <v>173</v>
      </c>
      <c r="D6806" s="500" t="s">
        <v>759</v>
      </c>
      <c r="E6806" s="501">
        <v>360000000</v>
      </c>
      <c r="F6806" s="502" t="s">
        <v>381</v>
      </c>
      <c r="G6806" s="100" t="s">
        <v>516</v>
      </c>
      <c r="H6806" s="530"/>
      <c r="I6806" s="422"/>
      <c r="K6806" s="548"/>
      <c r="L6806" s="548"/>
      <c r="M6806" s="548"/>
      <c r="N6806" s="552"/>
    </row>
    <row r="6807" spans="1:25">
      <c r="A6807" s="499">
        <v>45723</v>
      </c>
      <c r="B6807" s="499">
        <v>45723</v>
      </c>
      <c r="C6807" s="500" t="s">
        <v>173</v>
      </c>
      <c r="D6807" s="500" t="s">
        <v>760</v>
      </c>
      <c r="E6807" s="501">
        <v>124617600</v>
      </c>
      <c r="F6807" s="502" t="s">
        <v>381</v>
      </c>
      <c r="G6807" s="100" t="s">
        <v>516</v>
      </c>
      <c r="H6807" s="530"/>
      <c r="I6807" s="422"/>
      <c r="K6807" s="548"/>
      <c r="L6807" s="548"/>
      <c r="M6807" s="548"/>
      <c r="N6807" s="552"/>
    </row>
    <row r="6808" spans="1:25">
      <c r="A6808" s="499">
        <v>45723</v>
      </c>
      <c r="B6808" s="499">
        <v>45723</v>
      </c>
      <c r="C6808" s="500" t="s">
        <v>173</v>
      </c>
      <c r="D6808" s="500" t="s">
        <v>761</v>
      </c>
      <c r="E6808" s="501">
        <v>36000000</v>
      </c>
      <c r="F6808" s="502" t="s">
        <v>381</v>
      </c>
      <c r="G6808" s="100" t="s">
        <v>516</v>
      </c>
      <c r="H6808" s="530"/>
      <c r="I6808" s="422"/>
      <c r="K6808" s="548"/>
      <c r="L6808" s="548"/>
      <c r="M6808" s="548"/>
      <c r="N6808" s="552"/>
    </row>
    <row r="6809" spans="1:25">
      <c r="A6809" s="499">
        <v>45723</v>
      </c>
      <c r="B6809" s="499">
        <v>45723</v>
      </c>
      <c r="C6809" s="500" t="s">
        <v>173</v>
      </c>
      <c r="D6809" s="500" t="s">
        <v>761</v>
      </c>
      <c r="E6809" s="501">
        <v>34629480</v>
      </c>
      <c r="F6809" s="502" t="s">
        <v>381</v>
      </c>
      <c r="G6809" s="100" t="s">
        <v>516</v>
      </c>
      <c r="H6809" s="530"/>
      <c r="I6809" s="422"/>
      <c r="K6809" s="548"/>
      <c r="L6809" s="548"/>
      <c r="M6809" s="548"/>
      <c r="N6809" s="552"/>
    </row>
    <row r="6810" spans="1:25">
      <c r="A6810" s="499">
        <v>45723</v>
      </c>
      <c r="B6810" s="499">
        <v>45723</v>
      </c>
      <c r="C6810" s="500" t="s">
        <v>173</v>
      </c>
      <c r="D6810" s="500" t="s">
        <v>764</v>
      </c>
      <c r="E6810" s="501">
        <v>121560000</v>
      </c>
      <c r="F6810" s="502" t="s">
        <v>381</v>
      </c>
      <c r="G6810" s="100" t="s">
        <v>516</v>
      </c>
      <c r="H6810" s="530"/>
      <c r="I6810" s="422"/>
      <c r="K6810" s="548"/>
      <c r="L6810" s="548"/>
      <c r="M6810" s="548"/>
      <c r="N6810" s="552"/>
    </row>
    <row r="6811" spans="1:25">
      <c r="A6811" s="499">
        <v>45723</v>
      </c>
      <c r="B6811" s="499">
        <v>45723</v>
      </c>
      <c r="C6811" s="500" t="s">
        <v>173</v>
      </c>
      <c r="D6811" s="500" t="s">
        <v>764</v>
      </c>
      <c r="E6811" s="501">
        <v>58928160</v>
      </c>
      <c r="F6811" s="502" t="s">
        <v>381</v>
      </c>
      <c r="G6811" s="100" t="s">
        <v>516</v>
      </c>
      <c r="H6811" s="530"/>
      <c r="I6811" s="422"/>
      <c r="K6811" s="548"/>
      <c r="L6811" s="548"/>
      <c r="M6811" s="548"/>
      <c r="N6811" s="552"/>
    </row>
    <row r="6812" spans="1:25">
      <c r="A6812" s="499">
        <v>45723</v>
      </c>
      <c r="B6812" s="499">
        <v>45723</v>
      </c>
      <c r="C6812" s="500" t="s">
        <v>173</v>
      </c>
      <c r="D6812" s="500" t="s">
        <v>761</v>
      </c>
      <c r="E6812" s="501">
        <v>-585383599.13</v>
      </c>
      <c r="F6812" s="502" t="s">
        <v>878</v>
      </c>
      <c r="G6812" s="100">
        <v>116284402</v>
      </c>
      <c r="H6812" s="530"/>
      <c r="I6812" s="422" t="s">
        <v>693</v>
      </c>
      <c r="J6812" s="484"/>
      <c r="K6812" s="548"/>
      <c r="L6812" s="548"/>
      <c r="M6812" s="548"/>
      <c r="N6812" s="552"/>
    </row>
    <row r="6813" spans="1:25">
      <c r="A6813" s="499">
        <v>45723</v>
      </c>
      <c r="B6813" s="499">
        <v>45723</v>
      </c>
      <c r="C6813" s="500" t="s">
        <v>173</v>
      </c>
      <c r="D6813" s="500" t="s">
        <v>761</v>
      </c>
      <c r="E6813" s="501">
        <v>-3002481.64</v>
      </c>
      <c r="F6813" s="502" t="s">
        <v>878</v>
      </c>
      <c r="G6813" s="100">
        <v>116284451</v>
      </c>
      <c r="H6813" s="530"/>
      <c r="I6813" s="422" t="s">
        <v>657</v>
      </c>
      <c r="J6813" s="484"/>
      <c r="K6813" s="548"/>
      <c r="L6813" s="548"/>
      <c r="M6813" s="548"/>
      <c r="N6813" s="552"/>
    </row>
    <row r="6814" spans="1:25">
      <c r="A6814" s="499">
        <v>45723</v>
      </c>
      <c r="B6814" s="499">
        <v>45730</v>
      </c>
      <c r="C6814" s="500" t="s">
        <v>173</v>
      </c>
      <c r="D6814" s="500" t="s">
        <v>761</v>
      </c>
      <c r="E6814" s="501">
        <v>587123712.01999998</v>
      </c>
      <c r="F6814" s="502" t="s">
        <v>878</v>
      </c>
      <c r="G6814" s="100">
        <v>116284402</v>
      </c>
      <c r="H6814" s="484">
        <v>116284402</v>
      </c>
      <c r="I6814" s="422" t="s">
        <v>693</v>
      </c>
      <c r="J6814" s="484"/>
      <c r="K6814" s="548"/>
      <c r="L6814" s="548"/>
      <c r="M6814" s="548"/>
      <c r="N6814" s="552"/>
    </row>
    <row r="6815" spans="1:25">
      <c r="A6815" s="499">
        <v>45723</v>
      </c>
      <c r="B6815" s="499">
        <v>45730</v>
      </c>
      <c r="C6815" s="500" t="s">
        <v>173</v>
      </c>
      <c r="D6815" s="500" t="s">
        <v>761</v>
      </c>
      <c r="E6815" s="501">
        <v>3011211.74</v>
      </c>
      <c r="F6815" s="502" t="s">
        <v>878</v>
      </c>
      <c r="G6815" s="100">
        <v>116284451</v>
      </c>
      <c r="H6815" s="484">
        <v>116284451</v>
      </c>
      <c r="I6815" s="422" t="s">
        <v>657</v>
      </c>
      <c r="J6815" s="484"/>
      <c r="K6815" s="548"/>
      <c r="L6815" s="548"/>
      <c r="M6815" s="548"/>
      <c r="N6815" s="552"/>
    </row>
    <row r="6816" spans="1:25">
      <c r="A6816" s="499">
        <v>45723</v>
      </c>
      <c r="B6816" s="499">
        <v>45728</v>
      </c>
      <c r="C6816" s="500" t="s">
        <v>173</v>
      </c>
      <c r="D6816" s="500" t="s">
        <v>761</v>
      </c>
      <c r="E6816" s="501">
        <v>463327222.22000003</v>
      </c>
      <c r="F6816" s="502" t="s">
        <v>912</v>
      </c>
      <c r="G6816" s="100" t="s">
        <v>417</v>
      </c>
      <c r="H6816" s="530"/>
      <c r="I6816" s="422"/>
      <c r="K6816" s="548"/>
      <c r="L6816" s="548">
        <v>82.508499999999998</v>
      </c>
      <c r="M6816" s="548">
        <f>E6816/(N6816*O6816)*100</f>
        <v>92.665444444000002</v>
      </c>
      <c r="N6816" s="552">
        <v>500000</v>
      </c>
      <c r="O6816" s="539">
        <v>1000</v>
      </c>
      <c r="W6816" s="550">
        <f>VLOOKUP(G6816,Справочник!A:C,3,0)</f>
        <v>0.10299999999999999</v>
      </c>
      <c r="X6816" s="539" t="str">
        <f>VLOOKUP(G6816,Справочник!A:G,7,0)</f>
        <v>Министерство финансов Республики Казахстан</v>
      </c>
      <c r="Y6816" s="551">
        <f>VLOOKUP(G6816,Справочник!A:B,2,0)</f>
        <v>47924</v>
      </c>
    </row>
    <row r="6817" spans="1:14">
      <c r="A6817" s="499">
        <v>45723</v>
      </c>
      <c r="B6817" s="499">
        <v>45723</v>
      </c>
      <c r="C6817" s="500" t="s">
        <v>173</v>
      </c>
      <c r="D6817" s="500" t="s">
        <v>759</v>
      </c>
      <c r="E6817" s="501">
        <v>-2590178528.6999998</v>
      </c>
      <c r="F6817" s="502" t="s">
        <v>878</v>
      </c>
      <c r="G6817" s="100">
        <v>116284790</v>
      </c>
      <c r="H6817" s="530"/>
      <c r="I6817" s="422" t="s">
        <v>680</v>
      </c>
      <c r="J6817" s="484"/>
      <c r="K6817" s="548"/>
      <c r="L6817" s="548"/>
      <c r="M6817" s="548"/>
      <c r="N6817" s="552"/>
    </row>
    <row r="6818" spans="1:14">
      <c r="A6818" s="499">
        <v>45723</v>
      </c>
      <c r="B6818" s="499">
        <v>45723</v>
      </c>
      <c r="C6818" s="500" t="s">
        <v>173</v>
      </c>
      <c r="D6818" s="500" t="s">
        <v>759</v>
      </c>
      <c r="E6818" s="501">
        <v>-12005606.59</v>
      </c>
      <c r="F6818" s="502" t="s">
        <v>878</v>
      </c>
      <c r="G6818" s="100">
        <v>116285405</v>
      </c>
      <c r="H6818" s="530"/>
      <c r="I6818" s="422" t="s">
        <v>650</v>
      </c>
      <c r="J6818" s="484"/>
      <c r="K6818" s="548"/>
      <c r="L6818" s="548"/>
      <c r="M6818" s="548"/>
      <c r="N6818" s="552"/>
    </row>
    <row r="6819" spans="1:14">
      <c r="A6819" s="499">
        <v>45723</v>
      </c>
      <c r="B6819" s="499">
        <v>45727</v>
      </c>
      <c r="C6819" s="500" t="s">
        <v>173</v>
      </c>
      <c r="D6819" s="500" t="s">
        <v>759</v>
      </c>
      <c r="E6819" s="501">
        <v>2594237657.79</v>
      </c>
      <c r="F6819" s="502" t="s">
        <v>878</v>
      </c>
      <c r="G6819" s="100">
        <v>116284790</v>
      </c>
      <c r="H6819" s="100">
        <v>116284790</v>
      </c>
      <c r="I6819" s="422" t="s">
        <v>680</v>
      </c>
      <c r="J6819" s="484"/>
      <c r="K6819" s="548"/>
      <c r="L6819" s="548"/>
      <c r="M6819" s="548"/>
      <c r="N6819" s="552"/>
    </row>
    <row r="6820" spans="1:14">
      <c r="A6820" s="499">
        <v>45723</v>
      </c>
      <c r="B6820" s="499">
        <v>45727</v>
      </c>
      <c r="C6820" s="500" t="s">
        <v>173</v>
      </c>
      <c r="D6820" s="500" t="s">
        <v>759</v>
      </c>
      <c r="E6820" s="501">
        <v>12024315.6</v>
      </c>
      <c r="F6820" s="502" t="s">
        <v>878</v>
      </c>
      <c r="G6820" s="100">
        <v>116285405</v>
      </c>
      <c r="H6820" s="100">
        <v>116285405</v>
      </c>
      <c r="I6820" s="422" t="s">
        <v>650</v>
      </c>
      <c r="J6820" s="484"/>
      <c r="K6820" s="548"/>
      <c r="L6820" s="548"/>
      <c r="M6820" s="548"/>
      <c r="N6820" s="552"/>
    </row>
    <row r="6821" spans="1:14">
      <c r="A6821" s="499">
        <v>45723</v>
      </c>
      <c r="B6821" s="499">
        <v>45723</v>
      </c>
      <c r="C6821" s="500" t="s">
        <v>173</v>
      </c>
      <c r="D6821" s="500" t="s">
        <v>760</v>
      </c>
      <c r="E6821" s="501">
        <v>-125047878.13</v>
      </c>
      <c r="F6821" s="502" t="s">
        <v>878</v>
      </c>
      <c r="G6821" s="100">
        <v>116283090</v>
      </c>
      <c r="H6821" s="530"/>
      <c r="I6821" s="422" t="s">
        <v>686</v>
      </c>
      <c r="J6821" s="484"/>
      <c r="K6821" s="548"/>
      <c r="L6821" s="548"/>
      <c r="M6821" s="548"/>
      <c r="N6821" s="552"/>
    </row>
    <row r="6822" spans="1:14">
      <c r="A6822" s="499">
        <v>45723</v>
      </c>
      <c r="B6822" s="499">
        <v>45727</v>
      </c>
      <c r="C6822" s="500" t="s">
        <v>173</v>
      </c>
      <c r="D6822" s="500" t="s">
        <v>760</v>
      </c>
      <c r="E6822" s="501">
        <v>125253433.55</v>
      </c>
      <c r="F6822" s="502" t="s">
        <v>878</v>
      </c>
      <c r="G6822" s="100">
        <v>116283090</v>
      </c>
      <c r="H6822" s="484">
        <v>116283090</v>
      </c>
      <c r="I6822" s="422" t="s">
        <v>686</v>
      </c>
      <c r="J6822" s="484"/>
      <c r="K6822" s="548"/>
      <c r="L6822" s="548"/>
      <c r="M6822" s="548"/>
      <c r="N6822" s="552"/>
    </row>
    <row r="6823" spans="1:14">
      <c r="A6823" s="499">
        <v>45723</v>
      </c>
      <c r="B6823" s="499">
        <v>45723</v>
      </c>
      <c r="C6823" s="500" t="s">
        <v>173</v>
      </c>
      <c r="D6823" s="500" t="s">
        <v>763</v>
      </c>
      <c r="E6823" s="501">
        <v>-6054318067.3000002</v>
      </c>
      <c r="F6823" s="502" t="s">
        <v>878</v>
      </c>
      <c r="G6823" s="100">
        <v>116283860</v>
      </c>
      <c r="H6823" s="530"/>
      <c r="I6823" s="422" t="s">
        <v>686</v>
      </c>
      <c r="J6823" s="484"/>
      <c r="K6823" s="548"/>
      <c r="L6823" s="548"/>
      <c r="M6823" s="548"/>
      <c r="N6823" s="552"/>
    </row>
    <row r="6824" spans="1:14">
      <c r="A6824" s="499">
        <v>45723</v>
      </c>
      <c r="B6824" s="499">
        <v>45723</v>
      </c>
      <c r="C6824" s="500" t="s">
        <v>173</v>
      </c>
      <c r="D6824" s="500" t="s">
        <v>763</v>
      </c>
      <c r="E6824" s="501">
        <v>-27012508.719999999</v>
      </c>
      <c r="F6824" s="502" t="s">
        <v>878</v>
      </c>
      <c r="G6824" s="100">
        <v>116284690</v>
      </c>
      <c r="H6824" s="530"/>
      <c r="I6824" s="422" t="s">
        <v>701</v>
      </c>
      <c r="J6824" s="484"/>
      <c r="K6824" s="548"/>
      <c r="L6824" s="548"/>
      <c r="M6824" s="548"/>
      <c r="N6824" s="552"/>
    </row>
    <row r="6825" spans="1:14">
      <c r="A6825" s="499">
        <v>45723</v>
      </c>
      <c r="B6825" s="499">
        <v>45727</v>
      </c>
      <c r="C6825" s="500" t="s">
        <v>173</v>
      </c>
      <c r="D6825" s="500" t="s">
        <v>763</v>
      </c>
      <c r="E6825" s="501">
        <v>6064071324.8999996</v>
      </c>
      <c r="F6825" s="502" t="s">
        <v>878</v>
      </c>
      <c r="G6825" s="100">
        <v>116283860</v>
      </c>
      <c r="H6825" s="484">
        <v>116283860</v>
      </c>
      <c r="I6825" s="422" t="s">
        <v>686</v>
      </c>
      <c r="J6825" s="484"/>
      <c r="K6825" s="548"/>
      <c r="L6825" s="548"/>
      <c r="M6825" s="548"/>
      <c r="N6825" s="552"/>
    </row>
    <row r="6826" spans="1:14">
      <c r="A6826" s="499">
        <v>45723</v>
      </c>
      <c r="B6826" s="499">
        <v>45727</v>
      </c>
      <c r="C6826" s="500" t="s">
        <v>173</v>
      </c>
      <c r="D6826" s="500" t="s">
        <v>763</v>
      </c>
      <c r="E6826" s="501">
        <v>27054692.640000001</v>
      </c>
      <c r="F6826" s="502" t="s">
        <v>878</v>
      </c>
      <c r="G6826" s="100">
        <v>116284690</v>
      </c>
      <c r="H6826" s="484">
        <v>116284690</v>
      </c>
      <c r="I6826" s="422" t="s">
        <v>701</v>
      </c>
      <c r="J6826" s="484"/>
      <c r="K6826" s="548"/>
      <c r="L6826" s="548"/>
      <c r="M6826" s="548"/>
      <c r="N6826" s="552"/>
    </row>
    <row r="6827" spans="1:14">
      <c r="A6827" s="499">
        <v>45723</v>
      </c>
      <c r="B6827" s="499">
        <v>45723</v>
      </c>
      <c r="C6827" s="500" t="s">
        <v>173</v>
      </c>
      <c r="D6827" s="500" t="s">
        <v>764</v>
      </c>
      <c r="E6827" s="501">
        <v>-2324860586.5</v>
      </c>
      <c r="F6827" s="502" t="s">
        <v>878</v>
      </c>
      <c r="G6827" s="100">
        <v>116286398</v>
      </c>
      <c r="H6827" s="530"/>
      <c r="I6827" s="422" t="s">
        <v>705</v>
      </c>
      <c r="J6827" s="484"/>
      <c r="K6827" s="548"/>
      <c r="L6827" s="548"/>
      <c r="M6827" s="548"/>
      <c r="N6827" s="552"/>
    </row>
    <row r="6828" spans="1:14">
      <c r="A6828" s="499">
        <v>45723</v>
      </c>
      <c r="B6828" s="499">
        <v>45723</v>
      </c>
      <c r="C6828" s="500" t="s">
        <v>173</v>
      </c>
      <c r="D6828" s="500" t="s">
        <v>764</v>
      </c>
      <c r="E6828" s="501">
        <v>-10003703.039999999</v>
      </c>
      <c r="F6828" s="502" t="s">
        <v>878</v>
      </c>
      <c r="G6828" s="100">
        <v>116286409</v>
      </c>
      <c r="H6828" s="530"/>
      <c r="I6828" s="422" t="s">
        <v>705</v>
      </c>
      <c r="J6828" s="484"/>
      <c r="K6828" s="548"/>
      <c r="L6828" s="548"/>
      <c r="M6828" s="548"/>
      <c r="N6828" s="552"/>
    </row>
    <row r="6829" spans="1:14">
      <c r="A6829" s="499">
        <v>45723</v>
      </c>
      <c r="B6829" s="499">
        <v>45727</v>
      </c>
      <c r="C6829" s="500" t="s">
        <v>173</v>
      </c>
      <c r="D6829" s="500" t="s">
        <v>764</v>
      </c>
      <c r="E6829" s="501">
        <v>2328491190.6999998</v>
      </c>
      <c r="F6829" s="502" t="s">
        <v>878</v>
      </c>
      <c r="G6829" s="100">
        <v>116286398</v>
      </c>
      <c r="H6829" s="484">
        <v>116286398</v>
      </c>
      <c r="I6829" s="422" t="s">
        <v>705</v>
      </c>
      <c r="J6829" s="484"/>
      <c r="K6829" s="548"/>
      <c r="L6829" s="548"/>
      <c r="M6829" s="548"/>
      <c r="N6829" s="552"/>
    </row>
    <row r="6830" spans="1:14">
      <c r="A6830" s="499">
        <v>45723</v>
      </c>
      <c r="B6830" s="499">
        <v>45727</v>
      </c>
      <c r="C6830" s="500" t="s">
        <v>173</v>
      </c>
      <c r="D6830" s="500" t="s">
        <v>764</v>
      </c>
      <c r="E6830" s="501">
        <v>10019325.26</v>
      </c>
      <c r="F6830" s="502" t="s">
        <v>878</v>
      </c>
      <c r="G6830" s="100">
        <v>116286409</v>
      </c>
      <c r="H6830" s="484">
        <v>116286409</v>
      </c>
      <c r="I6830" s="422" t="s">
        <v>705</v>
      </c>
      <c r="J6830" s="484"/>
      <c r="K6830" s="548"/>
      <c r="L6830" s="548"/>
      <c r="M6830" s="548"/>
      <c r="N6830" s="552"/>
    </row>
    <row r="6831" spans="1:14">
      <c r="A6831" s="499">
        <v>45727</v>
      </c>
      <c r="B6831" s="499">
        <v>45727</v>
      </c>
      <c r="C6831" s="500" t="s">
        <v>173</v>
      </c>
      <c r="D6831" s="500" t="s">
        <v>762</v>
      </c>
      <c r="E6831" s="501">
        <v>-5507114703.1599998</v>
      </c>
      <c r="F6831" s="502" t="s">
        <v>878</v>
      </c>
      <c r="G6831" s="100">
        <v>116301848</v>
      </c>
      <c r="H6831" s="530"/>
      <c r="I6831" s="422" t="s">
        <v>686</v>
      </c>
      <c r="J6831" s="484"/>
      <c r="K6831" s="548"/>
      <c r="L6831" s="548"/>
      <c r="M6831" s="548"/>
      <c r="N6831" s="552"/>
    </row>
    <row r="6832" spans="1:14">
      <c r="A6832" s="499">
        <v>45727</v>
      </c>
      <c r="B6832" s="499">
        <v>45727</v>
      </c>
      <c r="C6832" s="500" t="s">
        <v>173</v>
      </c>
      <c r="D6832" s="500" t="s">
        <v>762</v>
      </c>
      <c r="E6832" s="501">
        <v>-26022552.399999999</v>
      </c>
      <c r="F6832" s="502" t="s">
        <v>878</v>
      </c>
      <c r="G6832" s="100">
        <v>116304534</v>
      </c>
      <c r="H6832" s="530"/>
      <c r="I6832" s="422" t="s">
        <v>588</v>
      </c>
      <c r="J6832" s="484"/>
      <c r="K6832" s="548"/>
      <c r="L6832" s="548"/>
      <c r="M6832" s="548"/>
      <c r="N6832" s="552"/>
    </row>
    <row r="6833" spans="1:25">
      <c r="A6833" s="499">
        <v>45727</v>
      </c>
      <c r="B6833" s="499">
        <v>45728</v>
      </c>
      <c r="C6833" s="500" t="s">
        <v>173</v>
      </c>
      <c r="D6833" s="500" t="s">
        <v>762</v>
      </c>
      <c r="E6833" s="501">
        <v>5509528780.8400002</v>
      </c>
      <c r="F6833" s="502" t="s">
        <v>878</v>
      </c>
      <c r="G6833" s="100">
        <v>116301848</v>
      </c>
      <c r="H6833" s="484">
        <v>116301848</v>
      </c>
      <c r="I6833" s="422" t="s">
        <v>686</v>
      </c>
      <c r="J6833" s="484"/>
      <c r="K6833" s="548"/>
      <c r="L6833" s="548"/>
      <c r="M6833" s="548"/>
      <c r="N6833" s="552"/>
    </row>
    <row r="6834" spans="1:25">
      <c r="A6834" s="499">
        <v>45727</v>
      </c>
      <c r="B6834" s="499">
        <v>45728</v>
      </c>
      <c r="C6834" s="500" t="s">
        <v>173</v>
      </c>
      <c r="D6834" s="500" t="s">
        <v>762</v>
      </c>
      <c r="E6834" s="501">
        <v>26033603.219999999</v>
      </c>
      <c r="F6834" s="502" t="s">
        <v>878</v>
      </c>
      <c r="G6834" s="100">
        <v>116304534</v>
      </c>
      <c r="H6834" s="484">
        <v>116304534</v>
      </c>
      <c r="I6834" s="422" t="s">
        <v>588</v>
      </c>
      <c r="J6834" s="484"/>
      <c r="K6834" s="548"/>
      <c r="L6834" s="548"/>
      <c r="M6834" s="548"/>
      <c r="N6834" s="552"/>
    </row>
    <row r="6835" spans="1:25">
      <c r="A6835" s="499">
        <v>45727</v>
      </c>
      <c r="B6835" s="499">
        <v>45729</v>
      </c>
      <c r="C6835" s="500" t="s">
        <v>173</v>
      </c>
      <c r="D6835" s="500" t="s">
        <v>762</v>
      </c>
      <c r="E6835" s="501">
        <v>-799586666.66999996</v>
      </c>
      <c r="F6835" s="502" t="s">
        <v>906</v>
      </c>
      <c r="G6835" s="100" t="s">
        <v>71</v>
      </c>
      <c r="H6835" s="530"/>
      <c r="I6835" s="422" t="s">
        <v>704</v>
      </c>
      <c r="K6835" s="548">
        <v>116319473</v>
      </c>
      <c r="L6835" s="549">
        <v>78.093500000000006</v>
      </c>
      <c r="M6835" s="549">
        <f>E6835*(-1)/(N6835*O6835)*100</f>
        <v>79.958666667000003</v>
      </c>
      <c r="N6835" s="549">
        <v>1000000</v>
      </c>
      <c r="O6835" s="539">
        <v>1000</v>
      </c>
      <c r="T6835" s="538">
        <v>15.3</v>
      </c>
      <c r="U6835" s="538">
        <v>0</v>
      </c>
      <c r="V6835" s="538">
        <v>79958.67</v>
      </c>
      <c r="W6835" s="550">
        <f>VLOOKUP(G6835,Справочник!A:C,3,0)</f>
        <v>7.22E-2</v>
      </c>
      <c r="X6835" s="539" t="str">
        <f>VLOOKUP(G6835,Справочник!A:G,7,0)</f>
        <v>Министерство финансов Республики Казахстан</v>
      </c>
      <c r="Y6835" s="551" t="str">
        <f>VLOOKUP(G6835,Справочник!A:B,2,0)</f>
        <v>10.12.2028</v>
      </c>
    </row>
    <row r="6836" spans="1:25">
      <c r="A6836" s="499">
        <v>45727</v>
      </c>
      <c r="B6836" s="499">
        <v>45729</v>
      </c>
      <c r="C6836" s="500" t="s">
        <v>173</v>
      </c>
      <c r="D6836" s="500" t="s">
        <v>761</v>
      </c>
      <c r="E6836" s="501">
        <v>197475264</v>
      </c>
      <c r="F6836" s="502" t="s">
        <v>912</v>
      </c>
      <c r="G6836" s="100" t="s">
        <v>390</v>
      </c>
      <c r="H6836" s="530"/>
      <c r="I6836" s="422"/>
      <c r="K6836" s="548"/>
      <c r="L6836" s="548">
        <v>87.468400000000003</v>
      </c>
      <c r="M6836" s="548">
        <f>E6836/(N6836*O6836)*100</f>
        <v>91.423733333333331</v>
      </c>
      <c r="N6836" s="552">
        <v>216000</v>
      </c>
      <c r="O6836" s="539">
        <v>1000</v>
      </c>
      <c r="W6836" s="550">
        <f>VLOOKUP(G6836,Справочник!A:C,3,0)</f>
        <v>0.1047</v>
      </c>
      <c r="X6836" s="539" t="str">
        <f>VLOOKUP(G6836,Справочник!A:G,7,0)</f>
        <v>Министерство финансов Республики Казахстан</v>
      </c>
      <c r="Y6836" s="551">
        <f>VLOOKUP(G6836,Справочник!A:B,2,0)</f>
        <v>47053</v>
      </c>
    </row>
    <row r="6837" spans="1:25">
      <c r="A6837" s="499">
        <v>45727</v>
      </c>
      <c r="B6837" s="499">
        <v>45729</v>
      </c>
      <c r="C6837" s="500" t="s">
        <v>173</v>
      </c>
      <c r="D6837" s="500" t="s">
        <v>761</v>
      </c>
      <c r="E6837" s="501">
        <v>201642400</v>
      </c>
      <c r="F6837" s="502" t="s">
        <v>912</v>
      </c>
      <c r="G6837" s="100" t="s">
        <v>503</v>
      </c>
      <c r="H6837" s="530"/>
      <c r="I6837" s="422"/>
      <c r="K6837" s="548"/>
      <c r="L6837" s="548">
        <v>100.39619999999999</v>
      </c>
      <c r="M6837" s="548">
        <f>E6837/(N6837*O6837)*100</f>
        <v>100.8212</v>
      </c>
      <c r="N6837" s="552">
        <v>200000</v>
      </c>
      <c r="O6837" s="539">
        <v>1000</v>
      </c>
      <c r="W6837" s="550">
        <f>VLOOKUP(G6837,Справочник!A:C,3,0)</f>
        <v>0.153</v>
      </c>
      <c r="X6837" s="539" t="str">
        <f>VLOOKUP(G6837,Справочник!A:G,7,0)</f>
        <v>Министерство финансов Республики Казахстан</v>
      </c>
      <c r="Y6837" s="551">
        <f>VLOOKUP(G6837,Справочник!A:B,2,0)</f>
        <v>47180</v>
      </c>
    </row>
    <row r="6838" spans="1:25" ht="15">
      <c r="A6838" s="499">
        <v>45727</v>
      </c>
      <c r="B6838" s="499">
        <v>45729</v>
      </c>
      <c r="C6838" s="500" t="s">
        <v>173</v>
      </c>
      <c r="D6838" s="500" t="s">
        <v>761</v>
      </c>
      <c r="E6838" s="501">
        <v>-399793333.32999998</v>
      </c>
      <c r="F6838" s="502" t="s">
        <v>906</v>
      </c>
      <c r="G6838" s="100" t="s">
        <v>71</v>
      </c>
      <c r="H6838" s="530"/>
      <c r="I6838" s="526" t="s">
        <v>704</v>
      </c>
      <c r="K6838" s="548">
        <v>116319472</v>
      </c>
      <c r="L6838" s="549">
        <v>78.093500000000006</v>
      </c>
      <c r="M6838" s="549">
        <f>E6838*(-1)/(N6838*O6838)*100</f>
        <v>79.958666665999999</v>
      </c>
      <c r="N6838" s="549">
        <v>500000</v>
      </c>
      <c r="O6838" s="539">
        <v>1000</v>
      </c>
      <c r="T6838" s="554">
        <v>15.3</v>
      </c>
      <c r="U6838" s="554">
        <v>0</v>
      </c>
      <c r="V6838" s="554">
        <v>39979.33</v>
      </c>
      <c r="W6838" s="550">
        <f>VLOOKUP(G6838,Справочник!A:C,3,0)</f>
        <v>7.22E-2</v>
      </c>
      <c r="X6838" s="539" t="str">
        <f>VLOOKUP(G6838,Справочник!A:G,7,0)</f>
        <v>Министерство финансов Республики Казахстан</v>
      </c>
      <c r="Y6838" s="551" t="str">
        <f>VLOOKUP(G6838,Справочник!A:B,2,0)</f>
        <v>10.12.2028</v>
      </c>
    </row>
    <row r="6839" spans="1:25">
      <c r="A6839" s="499">
        <v>45727</v>
      </c>
      <c r="B6839" s="499">
        <v>45727</v>
      </c>
      <c r="C6839" s="500" t="s">
        <v>173</v>
      </c>
      <c r="D6839" s="500" t="s">
        <v>764</v>
      </c>
      <c r="E6839" s="501">
        <v>-1796352981.25</v>
      </c>
      <c r="F6839" s="502" t="s">
        <v>878</v>
      </c>
      <c r="G6839" s="100">
        <v>116305549</v>
      </c>
      <c r="H6839" s="530"/>
      <c r="I6839" s="422" t="s">
        <v>1049</v>
      </c>
      <c r="J6839" s="484"/>
      <c r="K6839" s="548"/>
      <c r="L6839" s="548"/>
      <c r="M6839" s="548"/>
      <c r="N6839" s="552"/>
    </row>
    <row r="6840" spans="1:25">
      <c r="A6840" s="499">
        <v>45727</v>
      </c>
      <c r="B6840" s="499">
        <v>45727</v>
      </c>
      <c r="C6840" s="500" t="s">
        <v>173</v>
      </c>
      <c r="D6840" s="500" t="s">
        <v>764</v>
      </c>
      <c r="E6840" s="501">
        <v>-713006024.85000002</v>
      </c>
      <c r="F6840" s="502" t="s">
        <v>878</v>
      </c>
      <c r="G6840" s="100">
        <v>116305552</v>
      </c>
      <c r="H6840" s="530"/>
      <c r="I6840" s="422" t="s">
        <v>1050</v>
      </c>
      <c r="J6840" s="484"/>
      <c r="K6840" s="548"/>
      <c r="L6840" s="548"/>
      <c r="M6840" s="548"/>
      <c r="N6840" s="552"/>
    </row>
    <row r="6841" spans="1:25">
      <c r="A6841" s="499">
        <v>45727</v>
      </c>
      <c r="B6841" s="499">
        <v>45727</v>
      </c>
      <c r="C6841" s="500" t="s">
        <v>173</v>
      </c>
      <c r="D6841" s="500" t="s">
        <v>764</v>
      </c>
      <c r="E6841" s="501">
        <v>-10000084.5</v>
      </c>
      <c r="F6841" s="502" t="s">
        <v>878</v>
      </c>
      <c r="G6841" s="100">
        <v>116305605</v>
      </c>
      <c r="H6841" s="530"/>
      <c r="I6841" s="422" t="s">
        <v>1050</v>
      </c>
      <c r="J6841" s="484"/>
      <c r="K6841" s="548"/>
      <c r="L6841" s="548"/>
      <c r="M6841" s="548"/>
      <c r="N6841" s="552"/>
    </row>
    <row r="6842" spans="1:25">
      <c r="A6842" s="499">
        <v>45727</v>
      </c>
      <c r="B6842" s="499">
        <v>45728</v>
      </c>
      <c r="C6842" s="500" t="s">
        <v>173</v>
      </c>
      <c r="D6842" s="500" t="s">
        <v>764</v>
      </c>
      <c r="E6842" s="501">
        <v>1797091208.5</v>
      </c>
      <c r="F6842" s="502" t="s">
        <v>878</v>
      </c>
      <c r="G6842" s="100">
        <v>116305549</v>
      </c>
      <c r="H6842" s="484">
        <v>116305549</v>
      </c>
      <c r="I6842" s="422" t="s">
        <v>1049</v>
      </c>
      <c r="J6842" s="484"/>
      <c r="K6842" s="548"/>
      <c r="L6842" s="548"/>
      <c r="M6842" s="548"/>
      <c r="N6842" s="552"/>
    </row>
    <row r="6843" spans="1:25">
      <c r="A6843" s="499">
        <v>45727</v>
      </c>
      <c r="B6843" s="499">
        <v>45728</v>
      </c>
      <c r="C6843" s="500" t="s">
        <v>173</v>
      </c>
      <c r="D6843" s="500" t="s">
        <v>764</v>
      </c>
      <c r="E6843" s="501">
        <v>713299041.01999998</v>
      </c>
      <c r="F6843" s="502" t="s">
        <v>878</v>
      </c>
      <c r="G6843" s="100">
        <v>116305552</v>
      </c>
      <c r="H6843" s="484">
        <v>116305552</v>
      </c>
      <c r="I6843" s="422" t="s">
        <v>1050</v>
      </c>
      <c r="J6843" s="484"/>
      <c r="K6843" s="548"/>
      <c r="L6843" s="548"/>
      <c r="M6843" s="548"/>
      <c r="N6843" s="552"/>
    </row>
    <row r="6844" spans="1:25">
      <c r="A6844" s="499">
        <v>45727</v>
      </c>
      <c r="B6844" s="499">
        <v>45728</v>
      </c>
      <c r="C6844" s="500" t="s">
        <v>173</v>
      </c>
      <c r="D6844" s="500" t="s">
        <v>764</v>
      </c>
      <c r="E6844" s="501">
        <v>10004194.119999999</v>
      </c>
      <c r="F6844" s="502" t="s">
        <v>878</v>
      </c>
      <c r="G6844" s="100">
        <v>116305605</v>
      </c>
      <c r="H6844" s="484">
        <v>116305605</v>
      </c>
      <c r="I6844" s="422" t="s">
        <v>1050</v>
      </c>
      <c r="J6844" s="484"/>
      <c r="K6844" s="548"/>
      <c r="L6844" s="548"/>
      <c r="M6844" s="548"/>
      <c r="N6844" s="552"/>
    </row>
    <row r="6845" spans="1:25">
      <c r="A6845" s="499">
        <v>45727</v>
      </c>
      <c r="B6845" s="499">
        <v>45727</v>
      </c>
      <c r="C6845" s="500" t="s">
        <v>173</v>
      </c>
      <c r="D6845" s="500" t="s">
        <v>760</v>
      </c>
      <c r="E6845" s="501">
        <v>-298054402.88</v>
      </c>
      <c r="F6845" s="502" t="s">
        <v>878</v>
      </c>
      <c r="G6845" s="100">
        <v>116300679</v>
      </c>
      <c r="H6845" s="530"/>
      <c r="I6845" s="422" t="s">
        <v>675</v>
      </c>
      <c r="J6845" s="484"/>
      <c r="K6845" s="548"/>
      <c r="L6845" s="548"/>
      <c r="M6845" s="548"/>
      <c r="N6845" s="552"/>
    </row>
    <row r="6846" spans="1:25">
      <c r="A6846" s="499">
        <v>45727</v>
      </c>
      <c r="B6846" s="499">
        <v>45727</v>
      </c>
      <c r="C6846" s="500" t="s">
        <v>173</v>
      </c>
      <c r="D6846" s="500" t="s">
        <v>760</v>
      </c>
      <c r="E6846" s="501">
        <v>-298054402.88</v>
      </c>
      <c r="F6846" s="502" t="s">
        <v>878</v>
      </c>
      <c r="G6846" s="100">
        <v>116300682</v>
      </c>
      <c r="H6846" s="530"/>
      <c r="I6846" s="422" t="s">
        <v>675</v>
      </c>
      <c r="J6846" s="484"/>
      <c r="K6846" s="548"/>
      <c r="L6846" s="548"/>
      <c r="M6846" s="548"/>
      <c r="N6846" s="552"/>
    </row>
    <row r="6847" spans="1:25">
      <c r="A6847" s="499">
        <v>45727</v>
      </c>
      <c r="B6847" s="499">
        <v>45727</v>
      </c>
      <c r="C6847" s="500" t="s">
        <v>173</v>
      </c>
      <c r="D6847" s="500" t="s">
        <v>760</v>
      </c>
      <c r="E6847" s="501">
        <v>-188018200.50999999</v>
      </c>
      <c r="F6847" s="502" t="s">
        <v>878</v>
      </c>
      <c r="G6847" s="100">
        <v>116303343</v>
      </c>
      <c r="H6847" s="530"/>
      <c r="I6847" s="422" t="s">
        <v>633</v>
      </c>
      <c r="J6847" s="484"/>
      <c r="K6847" s="548"/>
      <c r="L6847" s="548"/>
      <c r="M6847" s="548"/>
      <c r="N6847" s="552"/>
    </row>
    <row r="6848" spans="1:25">
      <c r="A6848" s="499">
        <v>45727</v>
      </c>
      <c r="B6848" s="499">
        <v>45734</v>
      </c>
      <c r="C6848" s="500" t="s">
        <v>173</v>
      </c>
      <c r="D6848" s="500" t="s">
        <v>760</v>
      </c>
      <c r="E6848" s="501">
        <v>298991833.79000002</v>
      </c>
      <c r="F6848" s="502" t="s">
        <v>878</v>
      </c>
      <c r="G6848" s="100">
        <v>116300679</v>
      </c>
      <c r="H6848" s="484">
        <v>116300679</v>
      </c>
      <c r="I6848" s="422" t="s">
        <v>675</v>
      </c>
      <c r="J6848" s="484"/>
      <c r="K6848" s="548"/>
      <c r="L6848" s="548"/>
      <c r="M6848" s="548"/>
      <c r="N6848" s="552"/>
    </row>
    <row r="6849" spans="1:25">
      <c r="A6849" s="499">
        <v>45727</v>
      </c>
      <c r="B6849" s="499">
        <v>45734</v>
      </c>
      <c r="C6849" s="500" t="s">
        <v>173</v>
      </c>
      <c r="D6849" s="500" t="s">
        <v>760</v>
      </c>
      <c r="E6849" s="501">
        <v>298991833.79000002</v>
      </c>
      <c r="F6849" s="502" t="s">
        <v>878</v>
      </c>
      <c r="G6849" s="100">
        <v>116300682</v>
      </c>
      <c r="H6849" s="484">
        <v>116300682</v>
      </c>
      <c r="I6849" s="422" t="s">
        <v>675</v>
      </c>
      <c r="J6849" s="484"/>
      <c r="K6849" s="548"/>
      <c r="L6849" s="548"/>
      <c r="M6849" s="548"/>
      <c r="N6849" s="552"/>
    </row>
    <row r="6850" spans="1:25">
      <c r="A6850" s="499">
        <v>45727</v>
      </c>
      <c r="B6850" s="499">
        <v>45734</v>
      </c>
      <c r="C6850" s="500" t="s">
        <v>173</v>
      </c>
      <c r="D6850" s="500" t="s">
        <v>760</v>
      </c>
      <c r="E6850" s="501">
        <v>188598735.28999999</v>
      </c>
      <c r="F6850" s="502" t="s">
        <v>878</v>
      </c>
      <c r="G6850" s="100">
        <v>116303343</v>
      </c>
      <c r="H6850" s="484">
        <v>116303343</v>
      </c>
      <c r="I6850" s="422" t="s">
        <v>633</v>
      </c>
      <c r="J6850" s="484"/>
      <c r="K6850" s="548"/>
      <c r="L6850" s="548"/>
      <c r="M6850" s="548"/>
      <c r="N6850" s="552"/>
    </row>
    <row r="6851" spans="1:25">
      <c r="A6851" s="499">
        <v>45727</v>
      </c>
      <c r="B6851" s="499">
        <v>45727</v>
      </c>
      <c r="C6851" s="500" t="s">
        <v>173</v>
      </c>
      <c r="D6851" s="500" t="s">
        <v>763</v>
      </c>
      <c r="E6851" s="501">
        <v>-6064063832.1499996</v>
      </c>
      <c r="F6851" s="502" t="s">
        <v>878</v>
      </c>
      <c r="G6851" s="100">
        <v>116302473</v>
      </c>
      <c r="H6851" s="530"/>
      <c r="I6851" s="422" t="s">
        <v>673</v>
      </c>
      <c r="J6851" s="484"/>
      <c r="K6851" s="548"/>
      <c r="L6851" s="548"/>
      <c r="M6851" s="548"/>
      <c r="N6851" s="552"/>
    </row>
    <row r="6852" spans="1:25">
      <c r="A6852" s="499">
        <v>45727</v>
      </c>
      <c r="B6852" s="499">
        <v>45727</v>
      </c>
      <c r="C6852" s="500" t="s">
        <v>173</v>
      </c>
      <c r="D6852" s="500" t="s">
        <v>763</v>
      </c>
      <c r="E6852" s="501">
        <v>-27009192.260000002</v>
      </c>
      <c r="F6852" s="502" t="s">
        <v>878</v>
      </c>
      <c r="G6852" s="100">
        <v>116302523</v>
      </c>
      <c r="H6852" s="530"/>
      <c r="I6852" s="422" t="s">
        <v>673</v>
      </c>
      <c r="J6852" s="484"/>
      <c r="K6852" s="548"/>
      <c r="L6852" s="548"/>
      <c r="M6852" s="548"/>
      <c r="N6852" s="552"/>
    </row>
    <row r="6853" spans="1:25">
      <c r="A6853" s="499">
        <v>45727</v>
      </c>
      <c r="B6853" s="499">
        <v>45728</v>
      </c>
      <c r="C6853" s="500" t="s">
        <v>173</v>
      </c>
      <c r="D6853" s="500" t="s">
        <v>763</v>
      </c>
      <c r="E6853" s="501">
        <v>6066680533.8400002</v>
      </c>
      <c r="F6853" s="502" t="s">
        <v>878</v>
      </c>
      <c r="G6853" s="100">
        <v>116302473</v>
      </c>
      <c r="H6853" s="100">
        <v>116302473</v>
      </c>
      <c r="I6853" s="422" t="s">
        <v>673</v>
      </c>
      <c r="J6853" s="484"/>
      <c r="K6853" s="548"/>
      <c r="L6853" s="548"/>
      <c r="M6853" s="548"/>
      <c r="N6853" s="552"/>
    </row>
    <row r="6854" spans="1:25">
      <c r="A6854" s="499">
        <v>45727</v>
      </c>
      <c r="B6854" s="499">
        <v>45728</v>
      </c>
      <c r="C6854" s="500" t="s">
        <v>173</v>
      </c>
      <c r="D6854" s="500" t="s">
        <v>763</v>
      </c>
      <c r="E6854" s="501">
        <v>27020846.989999998</v>
      </c>
      <c r="F6854" s="502" t="s">
        <v>878</v>
      </c>
      <c r="G6854" s="100">
        <v>116302523</v>
      </c>
      <c r="H6854" s="100">
        <v>116302523</v>
      </c>
      <c r="I6854" s="422" t="s">
        <v>673</v>
      </c>
      <c r="J6854" s="484"/>
      <c r="K6854" s="548"/>
      <c r="L6854" s="548"/>
      <c r="M6854" s="548"/>
      <c r="N6854" s="552"/>
    </row>
    <row r="6855" spans="1:25">
      <c r="A6855" s="499">
        <v>45727</v>
      </c>
      <c r="B6855" s="499">
        <v>45729</v>
      </c>
      <c r="C6855" s="500" t="s">
        <v>173</v>
      </c>
      <c r="D6855" s="500" t="s">
        <v>763</v>
      </c>
      <c r="E6855" s="501">
        <v>-492443050</v>
      </c>
      <c r="F6855" s="502" t="s">
        <v>906</v>
      </c>
      <c r="G6855" s="100" t="s">
        <v>516</v>
      </c>
      <c r="H6855" s="530"/>
      <c r="I6855" s="422" t="s">
        <v>672</v>
      </c>
      <c r="K6855" s="548">
        <v>116319464</v>
      </c>
      <c r="L6855" s="549">
        <v>89.335099999999997</v>
      </c>
      <c r="M6855" s="549">
        <f>E6855*(-1)/(N6855*O6855)*100</f>
        <v>89.5351</v>
      </c>
      <c r="N6855" s="549">
        <v>550000</v>
      </c>
      <c r="O6855" s="539">
        <v>1000</v>
      </c>
      <c r="T6855" s="549">
        <v>15.2</v>
      </c>
      <c r="W6855" s="550">
        <f>VLOOKUP(G6855,Справочник!A:C,3,0)</f>
        <v>0.12</v>
      </c>
      <c r="X6855" s="539" t="str">
        <f>VLOOKUP(G6855,Справочник!A:G,7,0)</f>
        <v>Министерство финансов Республики Казахстан</v>
      </c>
      <c r="Y6855" s="551">
        <f>VLOOKUP(G6855,Справочник!A:B,2,0)</f>
        <v>47549</v>
      </c>
    </row>
    <row r="6856" spans="1:25">
      <c r="A6856" s="499">
        <v>45727</v>
      </c>
      <c r="B6856" s="499">
        <v>45729</v>
      </c>
      <c r="C6856" s="500" t="s">
        <v>173</v>
      </c>
      <c r="D6856" s="500" t="s">
        <v>763</v>
      </c>
      <c r="E6856" s="501">
        <v>-1003902278.4</v>
      </c>
      <c r="F6856" s="502" t="s">
        <v>906</v>
      </c>
      <c r="G6856" s="100" t="s">
        <v>1041</v>
      </c>
      <c r="H6856" s="530"/>
      <c r="I6856" s="422" t="s">
        <v>1090</v>
      </c>
      <c r="K6856" s="548">
        <v>116319494</v>
      </c>
      <c r="L6856" s="549">
        <v>87.876599999999996</v>
      </c>
      <c r="M6856" s="549">
        <f>E6856*(-1)/(N6856*O6856)*100</f>
        <v>87.876599999999996</v>
      </c>
      <c r="N6856" s="549">
        <v>11424000</v>
      </c>
      <c r="O6856" s="539">
        <v>100</v>
      </c>
      <c r="T6856" s="549">
        <v>15.26</v>
      </c>
      <c r="W6856" s="550">
        <f>VLOOKUP(G6856,Справочник!A:C,3,0)</f>
        <v>0</v>
      </c>
      <c r="X6856" s="539" t="str">
        <f>VLOOKUP(G6856,Справочник!A:G,7,0)</f>
        <v>Министерство финансов Республики Казахстан</v>
      </c>
      <c r="Y6856" s="551">
        <f>VLOOKUP(G6856,Справочник!A:B,2,0)</f>
        <v>46059</v>
      </c>
    </row>
    <row r="6857" spans="1:25">
      <c r="A6857" s="499">
        <v>45727</v>
      </c>
      <c r="B6857" s="499">
        <v>45727</v>
      </c>
      <c r="C6857" s="500" t="s">
        <v>173</v>
      </c>
      <c r="D6857" s="500" t="s">
        <v>759</v>
      </c>
      <c r="E6857" s="501">
        <v>-2595939585.6799998</v>
      </c>
      <c r="F6857" s="502" t="s">
        <v>878</v>
      </c>
      <c r="G6857" s="100">
        <v>116301851</v>
      </c>
      <c r="H6857" s="530"/>
      <c r="I6857" s="422" t="s">
        <v>686</v>
      </c>
      <c r="J6857" s="484"/>
      <c r="K6857" s="548"/>
      <c r="L6857" s="548"/>
      <c r="M6857" s="548"/>
      <c r="N6857" s="552"/>
    </row>
    <row r="6858" spans="1:25">
      <c r="A6858" s="499">
        <v>45727</v>
      </c>
      <c r="B6858" s="499">
        <v>45727</v>
      </c>
      <c r="C6858" s="500" t="s">
        <v>173</v>
      </c>
      <c r="D6858" s="500" t="s">
        <v>759</v>
      </c>
      <c r="E6858" s="501">
        <v>-11003336.17</v>
      </c>
      <c r="F6858" s="502" t="s">
        <v>878</v>
      </c>
      <c r="G6858" s="100">
        <v>116305507</v>
      </c>
      <c r="H6858" s="530"/>
      <c r="I6858" s="422" t="s">
        <v>708</v>
      </c>
      <c r="J6858" s="484"/>
      <c r="K6858" s="548"/>
      <c r="L6858" s="548"/>
      <c r="M6858" s="548"/>
      <c r="N6858" s="552"/>
    </row>
    <row r="6859" spans="1:25">
      <c r="A6859" s="499">
        <v>45727</v>
      </c>
      <c r="B6859" s="499">
        <v>45728</v>
      </c>
      <c r="C6859" s="500" t="s">
        <v>173</v>
      </c>
      <c r="D6859" s="500" t="s">
        <v>759</v>
      </c>
      <c r="E6859" s="501">
        <v>2597077531.8000002</v>
      </c>
      <c r="F6859" s="502" t="s">
        <v>878</v>
      </c>
      <c r="G6859" s="100">
        <v>116301851</v>
      </c>
      <c r="H6859" s="100">
        <v>116301851</v>
      </c>
      <c r="I6859" s="422" t="s">
        <v>686</v>
      </c>
      <c r="J6859" s="484"/>
      <c r="K6859" s="548"/>
      <c r="L6859" s="548"/>
      <c r="M6859" s="548"/>
      <c r="N6859" s="552"/>
    </row>
    <row r="6860" spans="1:25">
      <c r="A6860" s="499">
        <v>45727</v>
      </c>
      <c r="B6860" s="499">
        <v>45728</v>
      </c>
      <c r="C6860" s="500" t="s">
        <v>173</v>
      </c>
      <c r="D6860" s="500" t="s">
        <v>759</v>
      </c>
      <c r="E6860" s="501">
        <v>11007858.09</v>
      </c>
      <c r="F6860" s="502" t="s">
        <v>878</v>
      </c>
      <c r="G6860" s="100">
        <v>116305507</v>
      </c>
      <c r="H6860" s="100">
        <v>116305507</v>
      </c>
      <c r="I6860" s="422" t="s">
        <v>708</v>
      </c>
      <c r="J6860" s="484"/>
      <c r="K6860" s="548"/>
      <c r="L6860" s="548"/>
      <c r="M6860" s="548"/>
      <c r="N6860" s="552"/>
    </row>
    <row r="6861" spans="1:25">
      <c r="A6861" s="499">
        <v>45728</v>
      </c>
      <c r="B6861" s="499">
        <v>45728</v>
      </c>
      <c r="C6861" s="500" t="s">
        <v>173</v>
      </c>
      <c r="D6861" s="500" t="s">
        <v>762</v>
      </c>
      <c r="E6861" s="501">
        <v>-3809231507.1999998</v>
      </c>
      <c r="F6861" s="502" t="s">
        <v>878</v>
      </c>
      <c r="G6861" s="100">
        <v>116325240</v>
      </c>
      <c r="H6861" s="530"/>
      <c r="I6861" s="422" t="s">
        <v>650</v>
      </c>
      <c r="J6861" s="484"/>
      <c r="K6861" s="548"/>
      <c r="L6861" s="548"/>
      <c r="M6861" s="548"/>
      <c r="N6861" s="552"/>
      <c r="P6861" s="539">
        <v>-1</v>
      </c>
    </row>
    <row r="6862" spans="1:25">
      <c r="A6862" s="499">
        <v>45728</v>
      </c>
      <c r="B6862" s="499">
        <v>45728</v>
      </c>
      <c r="C6862" s="500" t="s">
        <v>173</v>
      </c>
      <c r="D6862" s="500" t="s">
        <v>762</v>
      </c>
      <c r="E6862" s="501">
        <v>-500000011.5</v>
      </c>
      <c r="F6862" s="502" t="s">
        <v>878</v>
      </c>
      <c r="G6862" s="100">
        <v>116325243</v>
      </c>
      <c r="H6862" s="530"/>
      <c r="I6862" s="422" t="s">
        <v>1048</v>
      </c>
      <c r="J6862" s="484"/>
      <c r="K6862" s="548"/>
      <c r="L6862" s="548"/>
      <c r="M6862" s="548"/>
      <c r="N6862" s="552"/>
    </row>
    <row r="6863" spans="1:25">
      <c r="A6863" s="499">
        <v>45728</v>
      </c>
      <c r="B6863" s="499">
        <v>45728</v>
      </c>
      <c r="C6863" s="500" t="s">
        <v>173</v>
      </c>
      <c r="D6863" s="500" t="s">
        <v>762</v>
      </c>
      <c r="E6863" s="501">
        <v>-519167844.60000002</v>
      </c>
      <c r="F6863" s="502" t="s">
        <v>878</v>
      </c>
      <c r="G6863" s="100">
        <v>116325246</v>
      </c>
      <c r="H6863" s="530"/>
      <c r="I6863" s="422" t="s">
        <v>650</v>
      </c>
      <c r="J6863" s="484"/>
      <c r="K6863" s="548"/>
      <c r="L6863" s="548"/>
      <c r="M6863" s="548"/>
      <c r="N6863" s="552"/>
    </row>
    <row r="6864" spans="1:25">
      <c r="A6864" s="499">
        <v>45728</v>
      </c>
      <c r="B6864" s="499">
        <v>45728</v>
      </c>
      <c r="C6864" s="500" t="s">
        <v>173</v>
      </c>
      <c r="D6864" s="500" t="s">
        <v>762</v>
      </c>
      <c r="E6864" s="501">
        <v>-73032280.510000005</v>
      </c>
      <c r="F6864" s="502" t="s">
        <v>878</v>
      </c>
      <c r="G6864" s="100">
        <v>116325249</v>
      </c>
      <c r="H6864" s="530"/>
      <c r="I6864" s="422" t="s">
        <v>633</v>
      </c>
      <c r="J6864" s="484"/>
      <c r="K6864" s="548"/>
      <c r="L6864" s="548"/>
      <c r="M6864" s="548"/>
      <c r="N6864" s="552"/>
    </row>
    <row r="6865" spans="1:14">
      <c r="A6865" s="499">
        <v>45728</v>
      </c>
      <c r="B6865" s="499">
        <v>45728</v>
      </c>
      <c r="C6865" s="500" t="s">
        <v>173</v>
      </c>
      <c r="D6865" s="500" t="s">
        <v>762</v>
      </c>
      <c r="E6865" s="501">
        <v>-767461569.86000001</v>
      </c>
      <c r="F6865" s="502" t="s">
        <v>878</v>
      </c>
      <c r="G6865" s="100">
        <v>116325252</v>
      </c>
      <c r="H6865" s="530"/>
      <c r="I6865" s="422" t="s">
        <v>687</v>
      </c>
      <c r="J6865" s="484"/>
      <c r="K6865" s="548"/>
      <c r="L6865" s="548"/>
      <c r="M6865" s="548"/>
      <c r="N6865" s="552"/>
    </row>
    <row r="6866" spans="1:14">
      <c r="A6866" s="499">
        <v>45728</v>
      </c>
      <c r="B6866" s="499">
        <v>45728</v>
      </c>
      <c r="C6866" s="500" t="s">
        <v>173</v>
      </c>
      <c r="D6866" s="500" t="s">
        <v>762</v>
      </c>
      <c r="E6866" s="501">
        <v>-26015646.440000001</v>
      </c>
      <c r="F6866" s="502" t="s">
        <v>878</v>
      </c>
      <c r="G6866" s="100">
        <v>116325275</v>
      </c>
      <c r="H6866" s="530"/>
      <c r="I6866" s="422" t="s">
        <v>687</v>
      </c>
      <c r="J6866" s="484"/>
      <c r="K6866" s="548"/>
      <c r="L6866" s="548"/>
      <c r="M6866" s="548"/>
      <c r="N6866" s="552"/>
    </row>
    <row r="6867" spans="1:14">
      <c r="A6867" s="499">
        <v>45728</v>
      </c>
      <c r="B6867" s="499">
        <v>45729</v>
      </c>
      <c r="C6867" s="500" t="s">
        <v>173</v>
      </c>
      <c r="D6867" s="500" t="s">
        <v>762</v>
      </c>
      <c r="E6867" s="501">
        <v>3810828274.4299998</v>
      </c>
      <c r="F6867" s="502" t="s">
        <v>878</v>
      </c>
      <c r="G6867" s="100">
        <v>116325240</v>
      </c>
      <c r="H6867" s="484">
        <v>116325240</v>
      </c>
      <c r="I6867" s="422" t="s">
        <v>650</v>
      </c>
      <c r="J6867" s="484"/>
      <c r="K6867" s="548"/>
      <c r="L6867" s="548"/>
      <c r="M6867" s="548"/>
      <c r="N6867" s="552"/>
    </row>
    <row r="6868" spans="1:14">
      <c r="A6868" s="499">
        <v>45728</v>
      </c>
      <c r="B6868" s="499">
        <v>45729</v>
      </c>
      <c r="C6868" s="500" t="s">
        <v>173</v>
      </c>
      <c r="D6868" s="500" t="s">
        <v>762</v>
      </c>
      <c r="E6868" s="501">
        <v>500209601.92000002</v>
      </c>
      <c r="F6868" s="502" t="s">
        <v>878</v>
      </c>
      <c r="G6868" s="100">
        <v>116325243</v>
      </c>
      <c r="H6868" s="484">
        <v>116325243</v>
      </c>
      <c r="I6868" s="422" t="s">
        <v>1048</v>
      </c>
      <c r="J6868" s="484"/>
      <c r="K6868" s="548"/>
      <c r="L6868" s="548"/>
      <c r="M6868" s="548"/>
      <c r="N6868" s="552"/>
    </row>
    <row r="6869" spans="1:14">
      <c r="A6869" s="499">
        <v>45728</v>
      </c>
      <c r="B6869" s="499">
        <v>45729</v>
      </c>
      <c r="C6869" s="500" t="s">
        <v>173</v>
      </c>
      <c r="D6869" s="500" t="s">
        <v>762</v>
      </c>
      <c r="E6869" s="501">
        <v>519385469.80000001</v>
      </c>
      <c r="F6869" s="502" t="s">
        <v>878</v>
      </c>
      <c r="G6869" s="100">
        <v>116325246</v>
      </c>
      <c r="H6869" s="484">
        <v>116325246</v>
      </c>
      <c r="I6869" s="422" t="s">
        <v>650</v>
      </c>
      <c r="J6869" s="484"/>
      <c r="K6869" s="548"/>
      <c r="L6869" s="548"/>
      <c r="M6869" s="548"/>
      <c r="N6869" s="552"/>
    </row>
    <row r="6870" spans="1:14">
      <c r="A6870" s="499">
        <v>45728</v>
      </c>
      <c r="B6870" s="499">
        <v>45729</v>
      </c>
      <c r="C6870" s="500" t="s">
        <v>173</v>
      </c>
      <c r="D6870" s="500" t="s">
        <v>762</v>
      </c>
      <c r="E6870" s="501">
        <v>73062894.239999995</v>
      </c>
      <c r="F6870" s="502" t="s">
        <v>878</v>
      </c>
      <c r="G6870" s="100">
        <v>116325249</v>
      </c>
      <c r="H6870" s="484">
        <v>116325249</v>
      </c>
      <c r="I6870" s="422" t="s">
        <v>633</v>
      </c>
      <c r="J6870" s="484"/>
      <c r="K6870" s="548"/>
      <c r="L6870" s="548"/>
      <c r="M6870" s="548"/>
      <c r="N6870" s="552"/>
    </row>
    <row r="6871" spans="1:14">
      <c r="A6871" s="499">
        <v>45728</v>
      </c>
      <c r="B6871" s="499">
        <v>45729</v>
      </c>
      <c r="C6871" s="500" t="s">
        <v>173</v>
      </c>
      <c r="D6871" s="500" t="s">
        <v>762</v>
      </c>
      <c r="E6871" s="501">
        <v>767783275.02999997</v>
      </c>
      <c r="F6871" s="502" t="s">
        <v>878</v>
      </c>
      <c r="G6871" s="100">
        <v>116325252</v>
      </c>
      <c r="H6871" s="484">
        <v>116325252</v>
      </c>
      <c r="I6871" s="422" t="s">
        <v>687</v>
      </c>
      <c r="J6871" s="484"/>
      <c r="K6871" s="548"/>
      <c r="L6871" s="548"/>
      <c r="M6871" s="548"/>
      <c r="N6871" s="552"/>
    </row>
    <row r="6872" spans="1:14">
      <c r="A6872" s="499">
        <v>45728</v>
      </c>
      <c r="B6872" s="499">
        <v>45729</v>
      </c>
      <c r="C6872" s="500" t="s">
        <v>173</v>
      </c>
      <c r="D6872" s="500" t="s">
        <v>762</v>
      </c>
      <c r="E6872" s="501">
        <v>26026551.699999999</v>
      </c>
      <c r="F6872" s="502" t="s">
        <v>878</v>
      </c>
      <c r="G6872" s="100">
        <v>116325275</v>
      </c>
      <c r="H6872" s="484">
        <v>116325275</v>
      </c>
      <c r="I6872" s="422" t="s">
        <v>687</v>
      </c>
      <c r="J6872" s="484"/>
      <c r="K6872" s="548"/>
      <c r="L6872" s="548"/>
      <c r="M6872" s="548"/>
      <c r="N6872" s="552"/>
    </row>
    <row r="6873" spans="1:14">
      <c r="A6873" s="499">
        <v>45728</v>
      </c>
      <c r="B6873" s="499">
        <v>45728</v>
      </c>
      <c r="C6873" s="500" t="s">
        <v>173</v>
      </c>
      <c r="D6873" s="500" t="s">
        <v>761</v>
      </c>
      <c r="E6873" s="501">
        <v>-3264818959.3499999</v>
      </c>
      <c r="F6873" s="502" t="s">
        <v>878</v>
      </c>
      <c r="G6873" s="100">
        <v>116323654</v>
      </c>
      <c r="H6873" s="530"/>
      <c r="I6873" s="422" t="s">
        <v>672</v>
      </c>
      <c r="J6873" s="484"/>
      <c r="K6873" s="548"/>
      <c r="L6873" s="548"/>
      <c r="M6873" s="548"/>
      <c r="N6873" s="552"/>
    </row>
    <row r="6874" spans="1:14">
      <c r="A6874" s="499">
        <v>45728</v>
      </c>
      <c r="B6874" s="499">
        <v>45728</v>
      </c>
      <c r="C6874" s="500" t="s">
        <v>173</v>
      </c>
      <c r="D6874" s="500" t="s">
        <v>761</v>
      </c>
      <c r="E6874" s="501">
        <v>-15004889.76</v>
      </c>
      <c r="F6874" s="502" t="s">
        <v>878</v>
      </c>
      <c r="G6874" s="100">
        <v>116325140</v>
      </c>
      <c r="H6874" s="530"/>
      <c r="I6874" s="422" t="s">
        <v>656</v>
      </c>
      <c r="J6874" s="484"/>
      <c r="K6874" s="548"/>
      <c r="L6874" s="548"/>
      <c r="M6874" s="548"/>
      <c r="N6874" s="552"/>
    </row>
    <row r="6875" spans="1:14">
      <c r="A6875" s="499">
        <v>45728</v>
      </c>
      <c r="B6875" s="499">
        <v>45728</v>
      </c>
      <c r="C6875" s="500" t="s">
        <v>173</v>
      </c>
      <c r="D6875" s="500" t="s">
        <v>761</v>
      </c>
      <c r="E6875" s="501">
        <v>-697225409.79999995</v>
      </c>
      <c r="F6875" s="502" t="s">
        <v>878</v>
      </c>
      <c r="G6875" s="100">
        <v>116326431</v>
      </c>
      <c r="H6875" s="530"/>
      <c r="I6875" s="422" t="s">
        <v>650</v>
      </c>
      <c r="J6875" s="484"/>
      <c r="K6875" s="548"/>
      <c r="L6875" s="548"/>
      <c r="M6875" s="548"/>
      <c r="N6875" s="552"/>
    </row>
    <row r="6876" spans="1:14">
      <c r="A6876" s="499">
        <v>45728</v>
      </c>
      <c r="B6876" s="499">
        <v>45728</v>
      </c>
      <c r="C6876" s="500" t="s">
        <v>173</v>
      </c>
      <c r="D6876" s="500" t="s">
        <v>761</v>
      </c>
      <c r="E6876" s="501">
        <v>-3000970.2</v>
      </c>
      <c r="F6876" s="502" t="s">
        <v>878</v>
      </c>
      <c r="G6876" s="100">
        <v>116326445</v>
      </c>
      <c r="H6876" s="530"/>
      <c r="I6876" s="422" t="s">
        <v>650</v>
      </c>
      <c r="J6876" s="484"/>
      <c r="K6876" s="548"/>
      <c r="L6876" s="548"/>
      <c r="M6876" s="548"/>
      <c r="N6876" s="552"/>
    </row>
    <row r="6877" spans="1:14">
      <c r="A6877" s="499">
        <v>45728</v>
      </c>
      <c r="B6877" s="499">
        <v>45735</v>
      </c>
      <c r="C6877" s="500" t="s">
        <v>173</v>
      </c>
      <c r="D6877" s="500" t="s">
        <v>761</v>
      </c>
      <c r="E6877" s="501">
        <v>3274774421</v>
      </c>
      <c r="F6877" s="502" t="s">
        <v>878</v>
      </c>
      <c r="G6877" s="100">
        <v>116323654</v>
      </c>
      <c r="H6877" s="484">
        <v>116323654</v>
      </c>
      <c r="I6877" s="422" t="s">
        <v>672</v>
      </c>
      <c r="J6877" s="484"/>
      <c r="K6877" s="548"/>
      <c r="L6877" s="548"/>
      <c r="M6877" s="548"/>
      <c r="N6877" s="552"/>
    </row>
    <row r="6878" spans="1:14">
      <c r="A6878" s="499">
        <v>45728</v>
      </c>
      <c r="B6878" s="499">
        <v>45735</v>
      </c>
      <c r="C6878" s="500" t="s">
        <v>173</v>
      </c>
      <c r="D6878" s="500" t="s">
        <v>761</v>
      </c>
      <c r="E6878" s="501">
        <v>15050644.68</v>
      </c>
      <c r="F6878" s="502" t="s">
        <v>878</v>
      </c>
      <c r="G6878" s="100">
        <v>116325140</v>
      </c>
      <c r="H6878" s="484">
        <v>116325140</v>
      </c>
      <c r="I6878" s="422" t="s">
        <v>656</v>
      </c>
      <c r="J6878" s="484"/>
      <c r="K6878" s="548"/>
      <c r="L6878" s="548"/>
      <c r="M6878" s="548"/>
      <c r="N6878" s="552"/>
    </row>
    <row r="6879" spans="1:14">
      <c r="A6879" s="499">
        <v>45728</v>
      </c>
      <c r="B6879" s="499">
        <v>45729</v>
      </c>
      <c r="C6879" s="500" t="s">
        <v>173</v>
      </c>
      <c r="D6879" s="500" t="s">
        <v>761</v>
      </c>
      <c r="E6879" s="501">
        <v>697516716.30999994</v>
      </c>
      <c r="F6879" s="502" t="s">
        <v>878</v>
      </c>
      <c r="G6879" s="100">
        <v>116326431</v>
      </c>
      <c r="H6879" s="484">
        <v>116326431</v>
      </c>
      <c r="I6879" s="422" t="s">
        <v>650</v>
      </c>
      <c r="J6879" s="484"/>
      <c r="K6879" s="548"/>
      <c r="L6879" s="548"/>
      <c r="M6879" s="548"/>
      <c r="N6879" s="552"/>
    </row>
    <row r="6880" spans="1:14">
      <c r="A6880" s="499">
        <v>45728</v>
      </c>
      <c r="B6880" s="499">
        <v>45729</v>
      </c>
      <c r="C6880" s="500" t="s">
        <v>173</v>
      </c>
      <c r="D6880" s="500" t="s">
        <v>761</v>
      </c>
      <c r="E6880" s="501">
        <v>3002224.03</v>
      </c>
      <c r="F6880" s="502" t="s">
        <v>878</v>
      </c>
      <c r="G6880" s="100">
        <v>116326445</v>
      </c>
      <c r="H6880" s="484">
        <v>116326445</v>
      </c>
      <c r="I6880" s="422" t="s">
        <v>650</v>
      </c>
      <c r="J6880" s="484"/>
      <c r="K6880" s="548"/>
      <c r="L6880" s="548"/>
      <c r="M6880" s="548"/>
      <c r="N6880" s="552"/>
    </row>
    <row r="6881" spans="1:14">
      <c r="A6881" s="499">
        <v>45728</v>
      </c>
      <c r="B6881" s="499">
        <v>45728</v>
      </c>
      <c r="C6881" s="500" t="s">
        <v>173</v>
      </c>
      <c r="D6881" s="500" t="s">
        <v>763</v>
      </c>
      <c r="E6881" s="501">
        <v>-438140337.38999999</v>
      </c>
      <c r="F6881" s="502" t="s">
        <v>878</v>
      </c>
      <c r="G6881" s="100">
        <v>116323569</v>
      </c>
      <c r="H6881" s="530"/>
      <c r="I6881" s="422" t="s">
        <v>693</v>
      </c>
      <c r="J6881" s="484"/>
      <c r="K6881" s="548"/>
      <c r="L6881" s="548"/>
      <c r="M6881" s="548"/>
      <c r="N6881" s="552"/>
    </row>
    <row r="6882" spans="1:14">
      <c r="A6882" s="499">
        <v>45728</v>
      </c>
      <c r="B6882" s="499">
        <v>45728</v>
      </c>
      <c r="C6882" s="500" t="s">
        <v>173</v>
      </c>
      <c r="D6882" s="500" t="s">
        <v>763</v>
      </c>
      <c r="E6882" s="501">
        <v>-2242625412.6300001</v>
      </c>
      <c r="F6882" s="502" t="s">
        <v>878</v>
      </c>
      <c r="G6882" s="100">
        <v>116323572</v>
      </c>
      <c r="H6882" s="530"/>
      <c r="I6882" s="422" t="s">
        <v>684</v>
      </c>
      <c r="J6882" s="484"/>
      <c r="K6882" s="548"/>
      <c r="L6882" s="548"/>
      <c r="M6882" s="548"/>
      <c r="N6882" s="552"/>
    </row>
    <row r="6883" spans="1:14">
      <c r="A6883" s="499">
        <v>45728</v>
      </c>
      <c r="B6883" s="499">
        <v>45728</v>
      </c>
      <c r="C6883" s="500" t="s">
        <v>173</v>
      </c>
      <c r="D6883" s="500" t="s">
        <v>763</v>
      </c>
      <c r="E6883" s="501">
        <v>-3386726526.7399998</v>
      </c>
      <c r="F6883" s="502" t="s">
        <v>878</v>
      </c>
      <c r="G6883" s="100">
        <v>116324140</v>
      </c>
      <c r="H6883" s="530"/>
      <c r="I6883" s="422" t="s">
        <v>682</v>
      </c>
      <c r="J6883" s="484"/>
      <c r="K6883" s="548"/>
      <c r="L6883" s="548"/>
      <c r="M6883" s="548"/>
      <c r="N6883" s="552"/>
    </row>
    <row r="6884" spans="1:14">
      <c r="A6884" s="499">
        <v>45728</v>
      </c>
      <c r="B6884" s="499">
        <v>45728</v>
      </c>
      <c r="C6884" s="500" t="s">
        <v>173</v>
      </c>
      <c r="D6884" s="500" t="s">
        <v>763</v>
      </c>
      <c r="E6884" s="501">
        <v>-27029741.719999999</v>
      </c>
      <c r="F6884" s="502" t="s">
        <v>878</v>
      </c>
      <c r="G6884" s="100">
        <v>116324213</v>
      </c>
      <c r="H6884" s="530"/>
      <c r="I6884" s="422" t="s">
        <v>682</v>
      </c>
      <c r="J6884" s="484"/>
      <c r="K6884" s="548"/>
      <c r="L6884" s="548"/>
      <c r="M6884" s="548"/>
      <c r="N6884" s="552"/>
    </row>
    <row r="6885" spans="1:14">
      <c r="A6885" s="499">
        <v>45728</v>
      </c>
      <c r="B6885" s="499">
        <v>45729</v>
      </c>
      <c r="C6885" s="500" t="s">
        <v>173</v>
      </c>
      <c r="D6885" s="500" t="s">
        <v>763</v>
      </c>
      <c r="E6885" s="501">
        <v>438328198.75999999</v>
      </c>
      <c r="F6885" s="502" t="s">
        <v>878</v>
      </c>
      <c r="G6885" s="100">
        <v>116323569</v>
      </c>
      <c r="H6885" s="484">
        <v>116323569</v>
      </c>
      <c r="I6885" s="422" t="s">
        <v>693</v>
      </c>
      <c r="J6885" s="484"/>
      <c r="K6885" s="548"/>
      <c r="L6885" s="548"/>
      <c r="M6885" s="548"/>
      <c r="N6885" s="552"/>
    </row>
    <row r="6886" spans="1:14">
      <c r="A6886" s="499">
        <v>45728</v>
      </c>
      <c r="B6886" s="499">
        <v>45729</v>
      </c>
      <c r="C6886" s="500" t="s">
        <v>173</v>
      </c>
      <c r="D6886" s="500" t="s">
        <v>763</v>
      </c>
      <c r="E6886" s="501">
        <v>2243586976.6799998</v>
      </c>
      <c r="F6886" s="502" t="s">
        <v>878</v>
      </c>
      <c r="G6886" s="100">
        <v>116323572</v>
      </c>
      <c r="H6886" s="484">
        <v>116323572</v>
      </c>
      <c r="I6886" s="422" t="s">
        <v>684</v>
      </c>
      <c r="J6886" s="484"/>
      <c r="K6886" s="548"/>
      <c r="L6886" s="548"/>
      <c r="M6886" s="548"/>
      <c r="N6886" s="552"/>
    </row>
    <row r="6887" spans="1:14">
      <c r="A6887" s="499">
        <v>45728</v>
      </c>
      <c r="B6887" s="499">
        <v>45729</v>
      </c>
      <c r="C6887" s="500" t="s">
        <v>173</v>
      </c>
      <c r="D6887" s="500" t="s">
        <v>763</v>
      </c>
      <c r="E6887" s="501">
        <v>3388164762.79</v>
      </c>
      <c r="F6887" s="502" t="s">
        <v>878</v>
      </c>
      <c r="G6887" s="100">
        <v>116324140</v>
      </c>
      <c r="H6887" s="484">
        <v>116324140</v>
      </c>
      <c r="I6887" s="422" t="s">
        <v>682</v>
      </c>
      <c r="J6887" s="484"/>
      <c r="K6887" s="548"/>
      <c r="L6887" s="548"/>
      <c r="M6887" s="548"/>
      <c r="N6887" s="552"/>
    </row>
    <row r="6888" spans="1:14">
      <c r="A6888" s="499">
        <v>45728</v>
      </c>
      <c r="B6888" s="499">
        <v>45729</v>
      </c>
      <c r="C6888" s="500" t="s">
        <v>173</v>
      </c>
      <c r="D6888" s="500" t="s">
        <v>763</v>
      </c>
      <c r="E6888" s="501">
        <v>27041220.399999999</v>
      </c>
      <c r="F6888" s="502" t="s">
        <v>878</v>
      </c>
      <c r="G6888" s="100">
        <v>116324213</v>
      </c>
      <c r="H6888" s="484">
        <v>116324213</v>
      </c>
      <c r="I6888" s="422" t="s">
        <v>682</v>
      </c>
      <c r="J6888" s="484"/>
      <c r="K6888" s="548"/>
      <c r="L6888" s="548"/>
      <c r="M6888" s="548"/>
      <c r="N6888" s="552"/>
    </row>
    <row r="6889" spans="1:14">
      <c r="A6889" s="499">
        <v>45728</v>
      </c>
      <c r="B6889" s="499">
        <v>45728</v>
      </c>
      <c r="C6889" s="500" t="s">
        <v>173</v>
      </c>
      <c r="D6889" s="500" t="s">
        <v>759</v>
      </c>
      <c r="E6889" s="501">
        <v>-2596857407.73</v>
      </c>
      <c r="F6889" s="502" t="s">
        <v>878</v>
      </c>
      <c r="G6889" s="100">
        <v>116324325</v>
      </c>
      <c r="H6889" s="530"/>
      <c r="I6889" s="422" t="s">
        <v>682</v>
      </c>
      <c r="J6889" s="484"/>
      <c r="K6889" s="548"/>
      <c r="L6889" s="548"/>
      <c r="M6889" s="548"/>
      <c r="N6889" s="552"/>
    </row>
    <row r="6890" spans="1:14">
      <c r="A6890" s="499">
        <v>45728</v>
      </c>
      <c r="B6890" s="499">
        <v>45728</v>
      </c>
      <c r="C6890" s="500" t="s">
        <v>173</v>
      </c>
      <c r="D6890" s="500" t="s">
        <v>759</v>
      </c>
      <c r="E6890" s="501">
        <v>-11002865.949999999</v>
      </c>
      <c r="F6890" s="502" t="s">
        <v>878</v>
      </c>
      <c r="G6890" s="100">
        <v>116324608</v>
      </c>
      <c r="H6890" s="530"/>
      <c r="I6890" s="422" t="s">
        <v>673</v>
      </c>
      <c r="J6890" s="484"/>
      <c r="K6890" s="548"/>
      <c r="L6890" s="548"/>
      <c r="M6890" s="548"/>
      <c r="N6890" s="552"/>
    </row>
    <row r="6891" spans="1:14">
      <c r="A6891" s="499">
        <v>45728</v>
      </c>
      <c r="B6891" s="499">
        <v>45729</v>
      </c>
      <c r="C6891" s="500" t="s">
        <v>173</v>
      </c>
      <c r="D6891" s="500" t="s">
        <v>759</v>
      </c>
      <c r="E6891" s="501">
        <v>2597960211.25</v>
      </c>
      <c r="F6891" s="502" t="s">
        <v>878</v>
      </c>
      <c r="G6891" s="100">
        <v>116324325</v>
      </c>
      <c r="H6891" s="484">
        <v>116324325</v>
      </c>
      <c r="I6891" s="422" t="s">
        <v>682</v>
      </c>
      <c r="J6891" s="484"/>
      <c r="K6891" s="548"/>
      <c r="L6891" s="548"/>
      <c r="M6891" s="548"/>
      <c r="N6891" s="552"/>
    </row>
    <row r="6892" spans="1:14">
      <c r="A6892" s="499">
        <v>45728</v>
      </c>
      <c r="B6892" s="499">
        <v>45729</v>
      </c>
      <c r="C6892" s="500" t="s">
        <v>173</v>
      </c>
      <c r="D6892" s="500" t="s">
        <v>759</v>
      </c>
      <c r="E6892" s="501">
        <v>11007538.43</v>
      </c>
      <c r="F6892" s="502" t="s">
        <v>878</v>
      </c>
      <c r="G6892" s="100">
        <v>116324608</v>
      </c>
      <c r="H6892" s="484">
        <v>116324608</v>
      </c>
      <c r="I6892" s="422" t="s">
        <v>673</v>
      </c>
      <c r="J6892" s="484"/>
      <c r="K6892" s="548"/>
      <c r="L6892" s="548"/>
      <c r="M6892" s="548"/>
      <c r="N6892" s="552"/>
    </row>
    <row r="6893" spans="1:14">
      <c r="A6893" s="499">
        <v>45728</v>
      </c>
      <c r="B6893" s="499">
        <v>45728</v>
      </c>
      <c r="C6893" s="500" t="s">
        <v>173</v>
      </c>
      <c r="D6893" s="500" t="s">
        <v>764</v>
      </c>
      <c r="E6893" s="501">
        <v>-2509577622.29</v>
      </c>
      <c r="F6893" s="502" t="s">
        <v>878</v>
      </c>
      <c r="G6893" s="100">
        <v>116324094</v>
      </c>
      <c r="H6893" s="530"/>
      <c r="I6893" s="422" t="s">
        <v>686</v>
      </c>
      <c r="J6893" s="484"/>
      <c r="K6893" s="548"/>
      <c r="L6893" s="548"/>
      <c r="M6893" s="548"/>
      <c r="N6893" s="552"/>
    </row>
    <row r="6894" spans="1:14">
      <c r="A6894" s="499">
        <v>45728</v>
      </c>
      <c r="B6894" s="499">
        <v>45728</v>
      </c>
      <c r="C6894" s="500" t="s">
        <v>173</v>
      </c>
      <c r="D6894" s="500" t="s">
        <v>764</v>
      </c>
      <c r="E6894" s="501">
        <v>-11006919.4</v>
      </c>
      <c r="F6894" s="502" t="s">
        <v>878</v>
      </c>
      <c r="G6894" s="100">
        <v>116324432</v>
      </c>
      <c r="H6894" s="530"/>
      <c r="I6894" s="422" t="s">
        <v>686</v>
      </c>
      <c r="J6894" s="484"/>
      <c r="K6894" s="548"/>
      <c r="L6894" s="548"/>
      <c r="M6894" s="548"/>
      <c r="N6894" s="552"/>
    </row>
    <row r="6895" spans="1:14">
      <c r="A6895" s="499">
        <v>45728</v>
      </c>
      <c r="B6895" s="499">
        <v>45735</v>
      </c>
      <c r="C6895" s="500" t="s">
        <v>173</v>
      </c>
      <c r="D6895" s="500" t="s">
        <v>764</v>
      </c>
      <c r="E6895" s="501">
        <v>2517225302.2600002</v>
      </c>
      <c r="F6895" s="502" t="s">
        <v>878</v>
      </c>
      <c r="G6895" s="100">
        <v>116324094</v>
      </c>
      <c r="H6895" s="100">
        <v>116324094</v>
      </c>
      <c r="I6895" s="422" t="s">
        <v>686</v>
      </c>
      <c r="J6895" s="484"/>
      <c r="K6895" s="548"/>
      <c r="L6895" s="548"/>
      <c r="M6895" s="548"/>
      <c r="N6895" s="552"/>
    </row>
    <row r="6896" spans="1:14">
      <c r="A6896" s="499">
        <v>45728</v>
      </c>
      <c r="B6896" s="499">
        <v>45735</v>
      </c>
      <c r="C6896" s="500" t="s">
        <v>173</v>
      </c>
      <c r="D6896" s="500" t="s">
        <v>764</v>
      </c>
      <c r="E6896" s="501">
        <v>11040461.859999999</v>
      </c>
      <c r="F6896" s="502" t="s">
        <v>878</v>
      </c>
      <c r="G6896" s="100">
        <v>116324432</v>
      </c>
      <c r="H6896" s="100">
        <v>116324432</v>
      </c>
      <c r="I6896" s="422" t="s">
        <v>686</v>
      </c>
      <c r="J6896" s="484"/>
      <c r="K6896" s="548"/>
      <c r="L6896" s="548"/>
      <c r="M6896" s="548"/>
      <c r="N6896" s="552"/>
    </row>
    <row r="6897" spans="1:16">
      <c r="A6897" s="499">
        <v>45729</v>
      </c>
      <c r="B6897" s="499">
        <v>45729</v>
      </c>
      <c r="C6897" s="500" t="s">
        <v>173</v>
      </c>
      <c r="D6897" s="500" t="s">
        <v>762</v>
      </c>
      <c r="E6897" s="501">
        <v>-74048324.959999993</v>
      </c>
      <c r="F6897" s="502" t="s">
        <v>878</v>
      </c>
      <c r="G6897" s="100">
        <v>116342522</v>
      </c>
      <c r="H6897" s="530"/>
      <c r="I6897" s="422" t="s">
        <v>675</v>
      </c>
      <c r="J6897" s="484"/>
      <c r="K6897" s="548"/>
      <c r="L6897" s="548"/>
      <c r="M6897" s="548"/>
      <c r="N6897" s="552"/>
    </row>
    <row r="6898" spans="1:16">
      <c r="A6898" s="499">
        <v>45729</v>
      </c>
      <c r="B6898" s="499">
        <v>45729</v>
      </c>
      <c r="C6898" s="500" t="s">
        <v>173</v>
      </c>
      <c r="D6898" s="500" t="s">
        <v>762</v>
      </c>
      <c r="E6898" s="501">
        <v>-4797378323</v>
      </c>
      <c r="F6898" s="502" t="s">
        <v>878</v>
      </c>
      <c r="G6898" s="100">
        <v>116342525</v>
      </c>
      <c r="H6898" s="530"/>
      <c r="I6898" s="422" t="s">
        <v>1013</v>
      </c>
      <c r="J6898" s="484"/>
      <c r="K6898" s="548"/>
      <c r="L6898" s="548"/>
      <c r="M6898" s="548"/>
      <c r="N6898" s="552"/>
    </row>
    <row r="6899" spans="1:16">
      <c r="A6899" s="499">
        <v>45729</v>
      </c>
      <c r="B6899" s="499">
        <v>45729</v>
      </c>
      <c r="C6899" s="500" t="s">
        <v>173</v>
      </c>
      <c r="D6899" s="500" t="s">
        <v>762</v>
      </c>
      <c r="E6899" s="501">
        <v>-25001757.300000001</v>
      </c>
      <c r="F6899" s="502" t="s">
        <v>878</v>
      </c>
      <c r="G6899" s="100">
        <v>116344239</v>
      </c>
      <c r="H6899" s="530"/>
      <c r="I6899" s="422" t="s">
        <v>1018</v>
      </c>
      <c r="J6899" s="484"/>
      <c r="K6899" s="548"/>
      <c r="L6899" s="548"/>
      <c r="M6899" s="548"/>
      <c r="N6899" s="552"/>
    </row>
    <row r="6900" spans="1:16">
      <c r="A6900" s="499">
        <v>45729</v>
      </c>
      <c r="B6900" s="499">
        <v>45730</v>
      </c>
      <c r="C6900" s="500" t="s">
        <v>173</v>
      </c>
      <c r="D6900" s="500" t="s">
        <v>762</v>
      </c>
      <c r="E6900" s="501">
        <v>74079932.640000001</v>
      </c>
      <c r="F6900" s="502" t="s">
        <v>878</v>
      </c>
      <c r="G6900" s="100">
        <v>116342522</v>
      </c>
      <c r="H6900" s="484">
        <v>116342522</v>
      </c>
      <c r="I6900" s="422" t="s">
        <v>675</v>
      </c>
      <c r="J6900" s="484"/>
      <c r="K6900" s="548"/>
      <c r="L6900" s="548"/>
      <c r="M6900" s="548"/>
      <c r="N6900" s="552"/>
    </row>
    <row r="6901" spans="1:16">
      <c r="A6901" s="499">
        <v>45729</v>
      </c>
      <c r="B6901" s="499">
        <v>45730</v>
      </c>
      <c r="C6901" s="500" t="s">
        <v>173</v>
      </c>
      <c r="D6901" s="500" t="s">
        <v>762</v>
      </c>
      <c r="E6901" s="501">
        <v>4799426094</v>
      </c>
      <c r="F6901" s="502" t="s">
        <v>878</v>
      </c>
      <c r="G6901" s="100">
        <v>116342525</v>
      </c>
      <c r="H6901" s="484">
        <v>116342525</v>
      </c>
      <c r="I6901" s="422" t="s">
        <v>1013</v>
      </c>
      <c r="J6901" s="484"/>
      <c r="K6901" s="548"/>
      <c r="L6901" s="548"/>
      <c r="M6901" s="548"/>
      <c r="N6901" s="552"/>
    </row>
    <row r="6902" spans="1:16">
      <c r="A6902" s="499">
        <v>45729</v>
      </c>
      <c r="B6902" s="499">
        <v>45730</v>
      </c>
      <c r="C6902" s="500" t="s">
        <v>173</v>
      </c>
      <c r="D6902" s="500" t="s">
        <v>762</v>
      </c>
      <c r="E6902" s="501">
        <v>25012444.010000002</v>
      </c>
      <c r="F6902" s="502" t="s">
        <v>878</v>
      </c>
      <c r="G6902" s="100">
        <v>116344239</v>
      </c>
      <c r="H6902" s="484">
        <v>116344239</v>
      </c>
      <c r="I6902" s="422" t="s">
        <v>1018</v>
      </c>
      <c r="J6902" s="484"/>
      <c r="K6902" s="548"/>
      <c r="L6902" s="548"/>
      <c r="M6902" s="548"/>
      <c r="N6902" s="552"/>
      <c r="P6902" s="539">
        <v>-1</v>
      </c>
    </row>
    <row r="6903" spans="1:16">
      <c r="A6903" s="499">
        <v>45729</v>
      </c>
      <c r="B6903" s="499">
        <v>45729</v>
      </c>
      <c r="C6903" s="500" t="s">
        <v>173</v>
      </c>
      <c r="D6903" s="500" t="s">
        <v>761</v>
      </c>
      <c r="E6903" s="501">
        <v>-22014366.879999999</v>
      </c>
      <c r="F6903" s="502" t="s">
        <v>878</v>
      </c>
      <c r="G6903" s="100">
        <v>116340344</v>
      </c>
      <c r="H6903" s="530"/>
      <c r="I6903" s="422" t="s">
        <v>675</v>
      </c>
      <c r="J6903" s="484"/>
      <c r="K6903" s="548"/>
      <c r="L6903" s="548"/>
      <c r="M6903" s="548"/>
      <c r="N6903" s="552"/>
    </row>
    <row r="6904" spans="1:16">
      <c r="A6904" s="499">
        <v>45729</v>
      </c>
      <c r="B6904" s="499">
        <v>45729</v>
      </c>
      <c r="C6904" s="500" t="s">
        <v>173</v>
      </c>
      <c r="D6904" s="500" t="s">
        <v>761</v>
      </c>
      <c r="E6904" s="501">
        <v>-127041702.98999999</v>
      </c>
      <c r="F6904" s="502" t="s">
        <v>878</v>
      </c>
      <c r="G6904" s="100">
        <v>116340347</v>
      </c>
      <c r="H6904" s="530"/>
      <c r="I6904" s="422" t="s">
        <v>824</v>
      </c>
      <c r="J6904" s="484"/>
      <c r="K6904" s="548"/>
      <c r="L6904" s="548"/>
      <c r="M6904" s="548"/>
      <c r="N6904" s="552"/>
    </row>
    <row r="6905" spans="1:16">
      <c r="A6905" s="499">
        <v>45729</v>
      </c>
      <c r="B6905" s="499">
        <v>45729</v>
      </c>
      <c r="C6905" s="500" t="s">
        <v>173</v>
      </c>
      <c r="D6905" s="500" t="s">
        <v>761</v>
      </c>
      <c r="E6905" s="501">
        <v>-133080214.95999999</v>
      </c>
      <c r="F6905" s="502" t="s">
        <v>878</v>
      </c>
      <c r="G6905" s="100">
        <v>116340350</v>
      </c>
      <c r="H6905" s="530"/>
      <c r="I6905" s="422" t="s">
        <v>656</v>
      </c>
      <c r="J6905" s="484"/>
      <c r="K6905" s="548"/>
      <c r="L6905" s="548"/>
      <c r="M6905" s="548"/>
      <c r="N6905" s="552"/>
    </row>
    <row r="6906" spans="1:16">
      <c r="A6906" s="499">
        <v>45729</v>
      </c>
      <c r="B6906" s="499">
        <v>45729</v>
      </c>
      <c r="C6906" s="500" t="s">
        <v>173</v>
      </c>
      <c r="D6906" s="500" t="s">
        <v>761</v>
      </c>
      <c r="E6906" s="501">
        <v>-146025902.74000001</v>
      </c>
      <c r="F6906" s="502" t="s">
        <v>878</v>
      </c>
      <c r="G6906" s="100">
        <v>116340353</v>
      </c>
      <c r="H6906" s="530"/>
      <c r="I6906" s="422" t="s">
        <v>600</v>
      </c>
      <c r="J6906" s="484"/>
      <c r="K6906" s="548"/>
      <c r="L6906" s="548"/>
      <c r="M6906" s="548"/>
      <c r="N6906" s="552"/>
    </row>
    <row r="6907" spans="1:16">
      <c r="A6907" s="499">
        <v>45729</v>
      </c>
      <c r="B6907" s="499">
        <v>45729</v>
      </c>
      <c r="C6907" s="500" t="s">
        <v>173</v>
      </c>
      <c r="D6907" s="500" t="s">
        <v>761</v>
      </c>
      <c r="E6907" s="501">
        <v>-160089223.68000001</v>
      </c>
      <c r="F6907" s="502" t="s">
        <v>878</v>
      </c>
      <c r="G6907" s="100">
        <v>116340356</v>
      </c>
      <c r="H6907" s="530"/>
      <c r="I6907" s="422" t="s">
        <v>602</v>
      </c>
      <c r="J6907" s="484"/>
      <c r="K6907" s="548"/>
      <c r="L6907" s="548"/>
      <c r="M6907" s="548"/>
      <c r="N6907" s="552"/>
    </row>
    <row r="6908" spans="1:16">
      <c r="A6908" s="499">
        <v>45729</v>
      </c>
      <c r="B6908" s="499">
        <v>45729</v>
      </c>
      <c r="C6908" s="500" t="s">
        <v>173</v>
      </c>
      <c r="D6908" s="500" t="s">
        <v>761</v>
      </c>
      <c r="E6908" s="501">
        <v>-109026199.79000001</v>
      </c>
      <c r="F6908" s="502" t="s">
        <v>878</v>
      </c>
      <c r="G6908" s="100">
        <v>116340359</v>
      </c>
      <c r="H6908" s="530"/>
      <c r="I6908" s="422" t="s">
        <v>708</v>
      </c>
      <c r="J6908" s="484"/>
      <c r="K6908" s="548"/>
      <c r="L6908" s="548"/>
      <c r="M6908" s="548"/>
      <c r="N6908" s="552"/>
    </row>
    <row r="6909" spans="1:16">
      <c r="A6909" s="499">
        <v>45729</v>
      </c>
      <c r="B6909" s="499">
        <v>45730</v>
      </c>
      <c r="C6909" s="500" t="s">
        <v>173</v>
      </c>
      <c r="D6909" s="500" t="s">
        <v>761</v>
      </c>
      <c r="E6909" s="501">
        <v>22023896.390000001</v>
      </c>
      <c r="F6909" s="502" t="s">
        <v>878</v>
      </c>
      <c r="G6909" s="100">
        <v>116340344</v>
      </c>
      <c r="H6909" s="484">
        <v>116340344</v>
      </c>
      <c r="I6909" s="422" t="s">
        <v>675</v>
      </c>
      <c r="J6909" s="484"/>
      <c r="K6909" s="548"/>
      <c r="L6909" s="548"/>
      <c r="M6909" s="548"/>
      <c r="N6909" s="552"/>
    </row>
    <row r="6910" spans="1:16">
      <c r="A6910" s="499">
        <v>45729</v>
      </c>
      <c r="B6910" s="499">
        <v>45730</v>
      </c>
      <c r="C6910" s="500" t="s">
        <v>173</v>
      </c>
      <c r="D6910" s="500" t="s">
        <v>761</v>
      </c>
      <c r="E6910" s="501">
        <v>127096696.38</v>
      </c>
      <c r="F6910" s="502" t="s">
        <v>878</v>
      </c>
      <c r="G6910" s="100">
        <v>116340347</v>
      </c>
      <c r="H6910" s="484">
        <v>116340347</v>
      </c>
      <c r="I6910" s="422" t="s">
        <v>824</v>
      </c>
      <c r="J6910" s="484"/>
      <c r="K6910" s="548"/>
      <c r="L6910" s="548"/>
      <c r="M6910" s="548"/>
      <c r="N6910" s="552"/>
    </row>
    <row r="6911" spans="1:16">
      <c r="A6911" s="499">
        <v>45729</v>
      </c>
      <c r="B6911" s="499">
        <v>45730</v>
      </c>
      <c r="C6911" s="500" t="s">
        <v>173</v>
      </c>
      <c r="D6911" s="500" t="s">
        <v>761</v>
      </c>
      <c r="E6911" s="501">
        <v>133137822.29000001</v>
      </c>
      <c r="F6911" s="502" t="s">
        <v>878</v>
      </c>
      <c r="G6911" s="100">
        <v>116340350</v>
      </c>
      <c r="H6911" s="484">
        <v>116340350</v>
      </c>
      <c r="I6911" s="422" t="s">
        <v>656</v>
      </c>
      <c r="J6911" s="484"/>
      <c r="K6911" s="548"/>
      <c r="L6911" s="548"/>
      <c r="M6911" s="548"/>
      <c r="N6911" s="552"/>
    </row>
    <row r="6912" spans="1:16">
      <c r="A6912" s="499">
        <v>45729</v>
      </c>
      <c r="B6912" s="499">
        <v>45730</v>
      </c>
      <c r="C6912" s="500" t="s">
        <v>173</v>
      </c>
      <c r="D6912" s="500" t="s">
        <v>761</v>
      </c>
      <c r="E6912" s="501">
        <v>146089113.94999999</v>
      </c>
      <c r="F6912" s="502" t="s">
        <v>878</v>
      </c>
      <c r="G6912" s="100">
        <v>116340353</v>
      </c>
      <c r="H6912" s="484">
        <v>116340353</v>
      </c>
      <c r="I6912" s="422" t="s">
        <v>600</v>
      </c>
      <c r="J6912" s="484"/>
      <c r="K6912" s="548"/>
      <c r="L6912" s="548"/>
      <c r="M6912" s="548"/>
      <c r="N6912" s="552"/>
    </row>
    <row r="6913" spans="1:14">
      <c r="A6913" s="499">
        <v>45729</v>
      </c>
      <c r="B6913" s="499">
        <v>45730</v>
      </c>
      <c r="C6913" s="500" t="s">
        <v>173</v>
      </c>
      <c r="D6913" s="500" t="s">
        <v>761</v>
      </c>
      <c r="E6913" s="501">
        <v>160158522.58000001</v>
      </c>
      <c r="F6913" s="502" t="s">
        <v>878</v>
      </c>
      <c r="G6913" s="100">
        <v>116340356</v>
      </c>
      <c r="H6913" s="484">
        <v>116340356</v>
      </c>
      <c r="I6913" s="422" t="s">
        <v>602</v>
      </c>
      <c r="J6913" s="484"/>
      <c r="K6913" s="548"/>
      <c r="L6913" s="548"/>
      <c r="M6913" s="548"/>
      <c r="N6913" s="552"/>
    </row>
    <row r="6914" spans="1:14">
      <c r="A6914" s="499">
        <v>45729</v>
      </c>
      <c r="B6914" s="499">
        <v>45730</v>
      </c>
      <c r="C6914" s="500" t="s">
        <v>173</v>
      </c>
      <c r="D6914" s="500" t="s">
        <v>761</v>
      </c>
      <c r="E6914" s="501">
        <v>109073394.69</v>
      </c>
      <c r="F6914" s="502" t="s">
        <v>878</v>
      </c>
      <c r="G6914" s="100">
        <v>116340359</v>
      </c>
      <c r="H6914" s="484">
        <v>116340359</v>
      </c>
      <c r="I6914" s="422" t="s">
        <v>708</v>
      </c>
      <c r="J6914" s="484"/>
      <c r="K6914" s="548"/>
      <c r="L6914" s="548"/>
      <c r="M6914" s="548"/>
      <c r="N6914" s="552"/>
    </row>
    <row r="6915" spans="1:14">
      <c r="A6915" s="499">
        <v>45729</v>
      </c>
      <c r="B6915" s="499">
        <v>45729</v>
      </c>
      <c r="C6915" s="500" t="s">
        <v>173</v>
      </c>
      <c r="D6915" s="500" t="s">
        <v>759</v>
      </c>
      <c r="E6915" s="501">
        <v>-100053439.2</v>
      </c>
      <c r="F6915" s="502" t="s">
        <v>878</v>
      </c>
      <c r="G6915" s="100">
        <v>116340580</v>
      </c>
      <c r="H6915" s="530"/>
      <c r="I6915" s="422" t="s">
        <v>590</v>
      </c>
      <c r="J6915" s="484"/>
      <c r="K6915" s="548"/>
      <c r="L6915" s="548"/>
      <c r="M6915" s="548"/>
      <c r="N6915" s="552"/>
    </row>
    <row r="6916" spans="1:14">
      <c r="A6916" s="499">
        <v>45729</v>
      </c>
      <c r="B6916" s="499">
        <v>45729</v>
      </c>
      <c r="C6916" s="500" t="s">
        <v>173</v>
      </c>
      <c r="D6916" s="500" t="s">
        <v>759</v>
      </c>
      <c r="E6916" s="501">
        <v>-204117913.22</v>
      </c>
      <c r="F6916" s="502" t="s">
        <v>878</v>
      </c>
      <c r="G6916" s="100">
        <v>116340583</v>
      </c>
      <c r="H6916" s="530"/>
      <c r="I6916" s="422" t="s">
        <v>654</v>
      </c>
      <c r="J6916" s="484"/>
      <c r="K6916" s="548"/>
      <c r="L6916" s="548"/>
      <c r="M6916" s="548"/>
      <c r="N6916" s="552"/>
    </row>
    <row r="6917" spans="1:14">
      <c r="A6917" s="499">
        <v>45729</v>
      </c>
      <c r="B6917" s="499">
        <v>45729</v>
      </c>
      <c r="C6917" s="500" t="s">
        <v>173</v>
      </c>
      <c r="D6917" s="500" t="s">
        <v>759</v>
      </c>
      <c r="E6917" s="501">
        <v>-214162708.47999999</v>
      </c>
      <c r="F6917" s="502" t="s">
        <v>878</v>
      </c>
      <c r="G6917" s="100">
        <v>116340586</v>
      </c>
      <c r="H6917" s="530"/>
      <c r="I6917" s="422" t="s">
        <v>598</v>
      </c>
      <c r="J6917" s="484"/>
      <c r="K6917" s="548"/>
      <c r="L6917" s="548"/>
      <c r="M6917" s="548"/>
      <c r="N6917" s="552"/>
    </row>
    <row r="6918" spans="1:14">
      <c r="A6918" s="499">
        <v>45729</v>
      </c>
      <c r="B6918" s="499">
        <v>45729</v>
      </c>
      <c r="C6918" s="500" t="s">
        <v>173</v>
      </c>
      <c r="D6918" s="500" t="s">
        <v>759</v>
      </c>
      <c r="E6918" s="501">
        <v>-218131480.16</v>
      </c>
      <c r="F6918" s="502" t="s">
        <v>878</v>
      </c>
      <c r="G6918" s="100">
        <v>116340589</v>
      </c>
      <c r="H6918" s="530"/>
      <c r="I6918" s="422" t="s">
        <v>656</v>
      </c>
      <c r="J6918" s="484"/>
      <c r="K6918" s="548"/>
      <c r="L6918" s="548"/>
      <c r="M6918" s="548"/>
      <c r="N6918" s="552"/>
    </row>
    <row r="6919" spans="1:14">
      <c r="A6919" s="499">
        <v>45729</v>
      </c>
      <c r="B6919" s="499">
        <v>45729</v>
      </c>
      <c r="C6919" s="500" t="s">
        <v>173</v>
      </c>
      <c r="D6919" s="500" t="s">
        <v>759</v>
      </c>
      <c r="E6919" s="501">
        <v>-222043060.00999999</v>
      </c>
      <c r="F6919" s="502" t="s">
        <v>878</v>
      </c>
      <c r="G6919" s="100">
        <v>116340592</v>
      </c>
      <c r="H6919" s="530"/>
      <c r="I6919" s="422" t="s">
        <v>687</v>
      </c>
      <c r="J6919" s="484"/>
      <c r="K6919" s="548"/>
      <c r="L6919" s="548"/>
      <c r="M6919" s="548"/>
      <c r="N6919" s="552"/>
    </row>
    <row r="6920" spans="1:14">
      <c r="A6920" s="499">
        <v>45729</v>
      </c>
      <c r="B6920" s="499">
        <v>45729</v>
      </c>
      <c r="C6920" s="500" t="s">
        <v>173</v>
      </c>
      <c r="D6920" s="500" t="s">
        <v>759</v>
      </c>
      <c r="E6920" s="501">
        <v>-289135362.11000001</v>
      </c>
      <c r="F6920" s="502" t="s">
        <v>878</v>
      </c>
      <c r="G6920" s="100">
        <v>116340600</v>
      </c>
      <c r="H6920" s="530"/>
      <c r="I6920" s="422" t="s">
        <v>693</v>
      </c>
      <c r="J6920" s="484"/>
      <c r="K6920" s="548"/>
      <c r="L6920" s="548"/>
      <c r="M6920" s="548"/>
      <c r="N6920" s="552"/>
    </row>
    <row r="6921" spans="1:14">
      <c r="A6921" s="499">
        <v>45729</v>
      </c>
      <c r="B6921" s="499">
        <v>45729</v>
      </c>
      <c r="C6921" s="500" t="s">
        <v>173</v>
      </c>
      <c r="D6921" s="500" t="s">
        <v>759</v>
      </c>
      <c r="E6921" s="501">
        <v>-290013593.45999998</v>
      </c>
      <c r="F6921" s="502" t="s">
        <v>878</v>
      </c>
      <c r="G6921" s="100">
        <v>116340603</v>
      </c>
      <c r="H6921" s="530"/>
      <c r="I6921" s="422" t="s">
        <v>819</v>
      </c>
      <c r="J6921" s="484"/>
      <c r="K6921" s="548"/>
      <c r="L6921" s="548"/>
      <c r="M6921" s="548"/>
      <c r="N6921" s="552"/>
    </row>
    <row r="6922" spans="1:14">
      <c r="A6922" s="499">
        <v>45729</v>
      </c>
      <c r="B6922" s="499">
        <v>45729</v>
      </c>
      <c r="C6922" s="500" t="s">
        <v>173</v>
      </c>
      <c r="D6922" s="500" t="s">
        <v>759</v>
      </c>
      <c r="E6922" s="501">
        <v>-297051217.06</v>
      </c>
      <c r="F6922" s="502" t="s">
        <v>878</v>
      </c>
      <c r="G6922" s="100">
        <v>116340606</v>
      </c>
      <c r="H6922" s="530"/>
      <c r="I6922" s="422" t="s">
        <v>671</v>
      </c>
      <c r="J6922" s="484"/>
      <c r="K6922" s="548"/>
      <c r="L6922" s="548"/>
      <c r="M6922" s="548"/>
      <c r="N6922" s="552"/>
    </row>
    <row r="6923" spans="1:14">
      <c r="A6923" s="499">
        <v>45729</v>
      </c>
      <c r="B6923" s="499">
        <v>45729</v>
      </c>
      <c r="C6923" s="500" t="s">
        <v>173</v>
      </c>
      <c r="D6923" s="500" t="s">
        <v>759</v>
      </c>
      <c r="E6923" s="501">
        <v>-44017412.560000002</v>
      </c>
      <c r="F6923" s="502" t="s">
        <v>878</v>
      </c>
      <c r="G6923" s="100">
        <v>116341085</v>
      </c>
      <c r="H6923" s="530"/>
      <c r="I6923" s="422" t="s">
        <v>695</v>
      </c>
      <c r="J6923" s="484"/>
      <c r="K6923" s="548"/>
      <c r="L6923" s="548"/>
      <c r="M6923" s="548"/>
      <c r="N6923" s="552"/>
    </row>
    <row r="6924" spans="1:14">
      <c r="A6924" s="499">
        <v>45729</v>
      </c>
      <c r="B6924" s="499">
        <v>45729</v>
      </c>
      <c r="C6924" s="500" t="s">
        <v>173</v>
      </c>
      <c r="D6924" s="500" t="s">
        <v>759</v>
      </c>
      <c r="E6924" s="501">
        <v>-624012757.05999994</v>
      </c>
      <c r="F6924" s="502" t="s">
        <v>878</v>
      </c>
      <c r="G6924" s="100">
        <v>116341088</v>
      </c>
      <c r="H6924" s="530"/>
      <c r="I6924" s="422" t="s">
        <v>684</v>
      </c>
      <c r="J6924" s="484"/>
      <c r="K6924" s="548"/>
      <c r="L6924" s="548"/>
      <c r="M6924" s="548"/>
      <c r="N6924" s="552"/>
    </row>
    <row r="6925" spans="1:14">
      <c r="A6925" s="499">
        <v>45729</v>
      </c>
      <c r="B6925" s="499">
        <v>45729</v>
      </c>
      <c r="C6925" s="500" t="s">
        <v>173</v>
      </c>
      <c r="D6925" s="500" t="s">
        <v>759</v>
      </c>
      <c r="E6925" s="501">
        <v>-1013364164.38</v>
      </c>
      <c r="F6925" s="502" t="s">
        <v>878</v>
      </c>
      <c r="G6925" s="100">
        <v>116341091</v>
      </c>
      <c r="H6925" s="530"/>
      <c r="I6925" s="422" t="s">
        <v>700</v>
      </c>
      <c r="J6925" s="484"/>
      <c r="K6925" s="548"/>
      <c r="L6925" s="548"/>
      <c r="M6925" s="548"/>
      <c r="N6925" s="552"/>
    </row>
    <row r="6926" spans="1:14">
      <c r="A6926" s="499">
        <v>45729</v>
      </c>
      <c r="B6926" s="499">
        <v>45729</v>
      </c>
      <c r="C6926" s="500" t="s">
        <v>173</v>
      </c>
      <c r="D6926" s="500" t="s">
        <v>759</v>
      </c>
      <c r="E6926" s="501">
        <v>-1161700222.3199999</v>
      </c>
      <c r="F6926" s="502" t="s">
        <v>878</v>
      </c>
      <c r="G6926" s="100">
        <v>116341094</v>
      </c>
      <c r="H6926" s="530"/>
      <c r="I6926" s="422" t="s">
        <v>656</v>
      </c>
      <c r="J6926" s="484"/>
      <c r="K6926" s="548"/>
      <c r="L6926" s="548"/>
      <c r="M6926" s="548"/>
      <c r="N6926" s="552"/>
    </row>
    <row r="6927" spans="1:14">
      <c r="A6927" s="499">
        <v>45729</v>
      </c>
      <c r="B6927" s="499">
        <v>45729</v>
      </c>
      <c r="C6927" s="500" t="s">
        <v>173</v>
      </c>
      <c r="D6927" s="500" t="s">
        <v>759</v>
      </c>
      <c r="E6927" s="501">
        <v>-1468873248.6099999</v>
      </c>
      <c r="F6927" s="502" t="s">
        <v>878</v>
      </c>
      <c r="G6927" s="100">
        <v>116341097</v>
      </c>
      <c r="H6927" s="530"/>
      <c r="I6927" s="422" t="s">
        <v>696</v>
      </c>
      <c r="J6927" s="484"/>
      <c r="K6927" s="548"/>
      <c r="L6927" s="548"/>
      <c r="M6927" s="548"/>
      <c r="N6927" s="552"/>
    </row>
    <row r="6928" spans="1:14">
      <c r="A6928" s="499">
        <v>45729</v>
      </c>
      <c r="B6928" s="499">
        <v>45729</v>
      </c>
      <c r="C6928" s="500" t="s">
        <v>173</v>
      </c>
      <c r="D6928" s="500" t="s">
        <v>759</v>
      </c>
      <c r="E6928" s="501">
        <v>-994124210.24000001</v>
      </c>
      <c r="F6928" s="502" t="s">
        <v>878</v>
      </c>
      <c r="G6928" s="100">
        <v>116341104</v>
      </c>
      <c r="H6928" s="530"/>
      <c r="I6928" s="422" t="s">
        <v>717</v>
      </c>
      <c r="J6928" s="484"/>
      <c r="K6928" s="548"/>
      <c r="L6928" s="548"/>
      <c r="M6928" s="548"/>
      <c r="N6928" s="552"/>
    </row>
    <row r="6929" spans="1:14">
      <c r="A6929" s="499">
        <v>45729</v>
      </c>
      <c r="B6929" s="499">
        <v>45729</v>
      </c>
      <c r="C6929" s="500" t="s">
        <v>173</v>
      </c>
      <c r="D6929" s="500" t="s">
        <v>759</v>
      </c>
      <c r="E6929" s="501">
        <v>-166104820.69999999</v>
      </c>
      <c r="F6929" s="502" t="s">
        <v>878</v>
      </c>
      <c r="G6929" s="100">
        <v>116344021</v>
      </c>
      <c r="H6929" s="530"/>
      <c r="I6929" s="422" t="s">
        <v>682</v>
      </c>
      <c r="J6929" s="484"/>
      <c r="K6929" s="548"/>
      <c r="L6929" s="548"/>
      <c r="M6929" s="548"/>
      <c r="N6929" s="552"/>
    </row>
    <row r="6930" spans="1:14">
      <c r="A6930" s="499">
        <v>45729</v>
      </c>
      <c r="B6930" s="499">
        <v>45729</v>
      </c>
      <c r="C6930" s="500" t="s">
        <v>173</v>
      </c>
      <c r="D6930" s="500" t="s">
        <v>759</v>
      </c>
      <c r="E6930" s="501">
        <v>-26024255.710000001</v>
      </c>
      <c r="F6930" s="502" t="s">
        <v>878</v>
      </c>
      <c r="G6930" s="100">
        <v>116344605</v>
      </c>
      <c r="H6930" s="530"/>
      <c r="I6930" s="422" t="s">
        <v>680</v>
      </c>
      <c r="J6930" s="484"/>
      <c r="K6930" s="548"/>
      <c r="L6930" s="548"/>
      <c r="M6930" s="548"/>
      <c r="N6930" s="552"/>
    </row>
    <row r="6931" spans="1:14">
      <c r="A6931" s="499">
        <v>45729</v>
      </c>
      <c r="B6931" s="499">
        <v>45730</v>
      </c>
      <c r="C6931" s="500" t="s">
        <v>173</v>
      </c>
      <c r="D6931" s="500" t="s">
        <v>759</v>
      </c>
      <c r="E6931" s="501">
        <v>100096612.94</v>
      </c>
      <c r="F6931" s="502" t="s">
        <v>878</v>
      </c>
      <c r="G6931" s="100">
        <v>116340580</v>
      </c>
      <c r="H6931" s="484">
        <v>116340580</v>
      </c>
      <c r="I6931" s="422" t="s">
        <v>590</v>
      </c>
      <c r="J6931" s="484"/>
      <c r="K6931" s="548"/>
      <c r="L6931" s="548"/>
      <c r="M6931" s="548"/>
      <c r="N6931" s="552"/>
    </row>
    <row r="6932" spans="1:14">
      <c r="A6932" s="499">
        <v>45729</v>
      </c>
      <c r="B6932" s="499">
        <v>45730</v>
      </c>
      <c r="C6932" s="500" t="s">
        <v>173</v>
      </c>
      <c r="D6932" s="500" t="s">
        <v>759</v>
      </c>
      <c r="E6932" s="501">
        <v>204205991.5</v>
      </c>
      <c r="F6932" s="502" t="s">
        <v>878</v>
      </c>
      <c r="G6932" s="100">
        <v>116340583</v>
      </c>
      <c r="H6932" s="484">
        <v>116340583</v>
      </c>
      <c r="I6932" s="422" t="s">
        <v>654</v>
      </c>
      <c r="J6932" s="484"/>
      <c r="K6932" s="548"/>
      <c r="L6932" s="548"/>
      <c r="M6932" s="548"/>
      <c r="N6932" s="552"/>
    </row>
    <row r="6933" spans="1:14">
      <c r="A6933" s="499">
        <v>45729</v>
      </c>
      <c r="B6933" s="499">
        <v>45730</v>
      </c>
      <c r="C6933" s="500" t="s">
        <v>173</v>
      </c>
      <c r="D6933" s="500" t="s">
        <v>759</v>
      </c>
      <c r="E6933" s="501">
        <v>214255121.16</v>
      </c>
      <c r="F6933" s="502" t="s">
        <v>878</v>
      </c>
      <c r="G6933" s="100">
        <v>116340586</v>
      </c>
      <c r="H6933" s="484">
        <v>116340586</v>
      </c>
      <c r="I6933" s="422" t="s">
        <v>598</v>
      </c>
      <c r="J6933" s="484"/>
      <c r="K6933" s="548"/>
      <c r="L6933" s="548"/>
      <c r="M6933" s="548"/>
      <c r="N6933" s="552"/>
    </row>
    <row r="6934" spans="1:14">
      <c r="A6934" s="499">
        <v>45729</v>
      </c>
      <c r="B6934" s="499">
        <v>45730</v>
      </c>
      <c r="C6934" s="500" t="s">
        <v>173</v>
      </c>
      <c r="D6934" s="500" t="s">
        <v>759</v>
      </c>
      <c r="E6934" s="501">
        <v>218225605.38999999</v>
      </c>
      <c r="F6934" s="502" t="s">
        <v>878</v>
      </c>
      <c r="G6934" s="100">
        <v>116340589</v>
      </c>
      <c r="H6934" s="484">
        <v>116340589</v>
      </c>
      <c r="I6934" s="422" t="s">
        <v>656</v>
      </c>
      <c r="J6934" s="484"/>
      <c r="K6934" s="548"/>
      <c r="L6934" s="548"/>
      <c r="M6934" s="548"/>
      <c r="N6934" s="552"/>
    </row>
    <row r="6935" spans="1:14">
      <c r="A6935" s="499">
        <v>45729</v>
      </c>
      <c r="B6935" s="499">
        <v>45730</v>
      </c>
      <c r="C6935" s="500" t="s">
        <v>173</v>
      </c>
      <c r="D6935" s="500" t="s">
        <v>759</v>
      </c>
      <c r="E6935" s="501">
        <v>222138873.11000001</v>
      </c>
      <c r="F6935" s="502" t="s">
        <v>878</v>
      </c>
      <c r="G6935" s="100">
        <v>116340592</v>
      </c>
      <c r="H6935" s="484">
        <v>116340592</v>
      </c>
      <c r="I6935" s="422" t="s">
        <v>687</v>
      </c>
      <c r="J6935" s="484"/>
      <c r="K6935" s="548"/>
      <c r="L6935" s="548"/>
      <c r="M6935" s="548"/>
      <c r="N6935" s="552"/>
    </row>
    <row r="6936" spans="1:14">
      <c r="A6936" s="499">
        <v>45729</v>
      </c>
      <c r="B6936" s="499">
        <v>45730</v>
      </c>
      <c r="C6936" s="500" t="s">
        <v>173</v>
      </c>
      <c r="D6936" s="500" t="s">
        <v>759</v>
      </c>
      <c r="E6936" s="501">
        <v>289260126</v>
      </c>
      <c r="F6936" s="502" t="s">
        <v>878</v>
      </c>
      <c r="G6936" s="100">
        <v>116340600</v>
      </c>
      <c r="H6936" s="484">
        <v>116340600</v>
      </c>
      <c r="I6936" s="422" t="s">
        <v>693</v>
      </c>
      <c r="J6936" s="484"/>
      <c r="K6936" s="548"/>
      <c r="L6936" s="548"/>
      <c r="M6936" s="548"/>
      <c r="N6936" s="552"/>
    </row>
    <row r="6937" spans="1:14">
      <c r="A6937" s="499">
        <v>45729</v>
      </c>
      <c r="B6937" s="499">
        <v>45730</v>
      </c>
      <c r="C6937" s="500" t="s">
        <v>173</v>
      </c>
      <c r="D6937" s="500" t="s">
        <v>759</v>
      </c>
      <c r="E6937" s="501">
        <v>290138736.31</v>
      </c>
      <c r="F6937" s="502" t="s">
        <v>878</v>
      </c>
      <c r="G6937" s="100">
        <v>116340603</v>
      </c>
      <c r="H6937" s="484">
        <v>116340603</v>
      </c>
      <c r="I6937" s="422" t="s">
        <v>819</v>
      </c>
      <c r="J6937" s="484"/>
      <c r="K6937" s="548"/>
      <c r="L6937" s="548"/>
      <c r="M6937" s="548"/>
      <c r="N6937" s="552"/>
    </row>
    <row r="6938" spans="1:14">
      <c r="A6938" s="499">
        <v>45729</v>
      </c>
      <c r="B6938" s="499">
        <v>45730</v>
      </c>
      <c r="C6938" s="500" t="s">
        <v>173</v>
      </c>
      <c r="D6938" s="500" t="s">
        <v>759</v>
      </c>
      <c r="E6938" s="501">
        <v>297179396.69</v>
      </c>
      <c r="F6938" s="502" t="s">
        <v>878</v>
      </c>
      <c r="G6938" s="100">
        <v>116340606</v>
      </c>
      <c r="H6938" s="484">
        <v>116340606</v>
      </c>
      <c r="I6938" s="422" t="s">
        <v>671</v>
      </c>
      <c r="J6938" s="484"/>
      <c r="K6938" s="548"/>
      <c r="L6938" s="548"/>
      <c r="M6938" s="548"/>
      <c r="N6938" s="552"/>
    </row>
    <row r="6939" spans="1:14">
      <c r="A6939" s="499">
        <v>45729</v>
      </c>
      <c r="B6939" s="499">
        <v>45736</v>
      </c>
      <c r="C6939" s="500" t="s">
        <v>173</v>
      </c>
      <c r="D6939" s="500" t="s">
        <v>759</v>
      </c>
      <c r="E6939" s="501">
        <v>44152310.859999999</v>
      </c>
      <c r="F6939" s="502" t="s">
        <v>878</v>
      </c>
      <c r="G6939" s="100">
        <v>116341085</v>
      </c>
      <c r="H6939" s="484">
        <v>116341085</v>
      </c>
      <c r="I6939" s="422" t="s">
        <v>695</v>
      </c>
      <c r="J6939" s="484"/>
      <c r="K6939" s="548"/>
      <c r="L6939" s="548"/>
      <c r="M6939" s="548"/>
      <c r="N6939" s="552"/>
    </row>
    <row r="6940" spans="1:14">
      <c r="A6940" s="499">
        <v>45729</v>
      </c>
      <c r="B6940" s="499">
        <v>45736</v>
      </c>
      <c r="C6940" s="500" t="s">
        <v>173</v>
      </c>
      <c r="D6940" s="500" t="s">
        <v>759</v>
      </c>
      <c r="E6940" s="501">
        <v>625925142.46000004</v>
      </c>
      <c r="F6940" s="502" t="s">
        <v>878</v>
      </c>
      <c r="G6940" s="100">
        <v>116341088</v>
      </c>
      <c r="H6940" s="484">
        <v>116341088</v>
      </c>
      <c r="I6940" s="422" t="s">
        <v>684</v>
      </c>
      <c r="J6940" s="484"/>
      <c r="K6940" s="548"/>
      <c r="L6940" s="548"/>
      <c r="M6940" s="548"/>
      <c r="N6940" s="552"/>
    </row>
    <row r="6941" spans="1:14">
      <c r="A6941" s="499">
        <v>45729</v>
      </c>
      <c r="B6941" s="499">
        <v>45736</v>
      </c>
      <c r="C6941" s="500" t="s">
        <v>173</v>
      </c>
      <c r="D6941" s="500" t="s">
        <v>759</v>
      </c>
      <c r="E6941" s="501">
        <v>1016469778.5</v>
      </c>
      <c r="F6941" s="502" t="s">
        <v>878</v>
      </c>
      <c r="G6941" s="100">
        <v>116341091</v>
      </c>
      <c r="H6941" s="484">
        <v>116341091</v>
      </c>
      <c r="I6941" s="422" t="s">
        <v>700</v>
      </c>
      <c r="J6941" s="484"/>
      <c r="K6941" s="548"/>
      <c r="L6941" s="548"/>
      <c r="M6941" s="548"/>
      <c r="N6941" s="552"/>
    </row>
    <row r="6942" spans="1:14">
      <c r="A6942" s="499">
        <v>45729</v>
      </c>
      <c r="B6942" s="499">
        <v>45736</v>
      </c>
      <c r="C6942" s="500" t="s">
        <v>173</v>
      </c>
      <c r="D6942" s="500" t="s">
        <v>759</v>
      </c>
      <c r="E6942" s="501">
        <v>1165260435.6600001</v>
      </c>
      <c r="F6942" s="502" t="s">
        <v>878</v>
      </c>
      <c r="G6942" s="100">
        <v>116341094</v>
      </c>
      <c r="H6942" s="484">
        <v>116341094</v>
      </c>
      <c r="I6942" s="422" t="s">
        <v>656</v>
      </c>
      <c r="J6942" s="484"/>
      <c r="K6942" s="548"/>
      <c r="L6942" s="548"/>
      <c r="M6942" s="548"/>
      <c r="N6942" s="552"/>
    </row>
    <row r="6943" spans="1:14">
      <c r="A6943" s="499">
        <v>45729</v>
      </c>
      <c r="B6943" s="499">
        <v>45736</v>
      </c>
      <c r="C6943" s="500" t="s">
        <v>173</v>
      </c>
      <c r="D6943" s="500" t="s">
        <v>759</v>
      </c>
      <c r="E6943" s="501">
        <v>1473374842.0799999</v>
      </c>
      <c r="F6943" s="502" t="s">
        <v>878</v>
      </c>
      <c r="G6943" s="100">
        <v>116341097</v>
      </c>
      <c r="H6943" s="484">
        <v>116341097</v>
      </c>
      <c r="I6943" s="422" t="s">
        <v>696</v>
      </c>
      <c r="J6943" s="484"/>
      <c r="K6943" s="548"/>
      <c r="L6943" s="548"/>
      <c r="M6943" s="548"/>
      <c r="N6943" s="552"/>
    </row>
    <row r="6944" spans="1:14">
      <c r="A6944" s="499">
        <v>45729</v>
      </c>
      <c r="B6944" s="499">
        <v>45736</v>
      </c>
      <c r="C6944" s="500" t="s">
        <v>173</v>
      </c>
      <c r="D6944" s="500" t="s">
        <v>759</v>
      </c>
      <c r="E6944" s="501">
        <v>997170860.49000001</v>
      </c>
      <c r="F6944" s="502" t="s">
        <v>878</v>
      </c>
      <c r="G6944" s="100">
        <v>116341104</v>
      </c>
      <c r="H6944" s="484">
        <v>116341104</v>
      </c>
      <c r="I6944" s="422" t="s">
        <v>717</v>
      </c>
      <c r="J6944" s="484"/>
      <c r="K6944" s="548"/>
      <c r="L6944" s="548"/>
      <c r="M6944" s="548"/>
      <c r="N6944" s="552"/>
    </row>
    <row r="6945" spans="1:16">
      <c r="A6945" s="499">
        <v>45729</v>
      </c>
      <c r="B6945" s="499">
        <v>45730</v>
      </c>
      <c r="C6945" s="500" t="s">
        <v>173</v>
      </c>
      <c r="D6945" s="500" t="s">
        <v>759</v>
      </c>
      <c r="E6945" s="501">
        <v>166176496.06999999</v>
      </c>
      <c r="F6945" s="502" t="s">
        <v>878</v>
      </c>
      <c r="G6945" s="100">
        <v>116344021</v>
      </c>
      <c r="H6945" s="484">
        <v>116344021</v>
      </c>
      <c r="I6945" s="422" t="s">
        <v>682</v>
      </c>
      <c r="J6945" s="484"/>
      <c r="K6945" s="548"/>
      <c r="L6945" s="548"/>
      <c r="M6945" s="548"/>
      <c r="N6945" s="552"/>
    </row>
    <row r="6946" spans="1:16">
      <c r="A6946" s="499">
        <v>45729</v>
      </c>
      <c r="B6946" s="499">
        <v>45736</v>
      </c>
      <c r="C6946" s="500" t="s">
        <v>173</v>
      </c>
      <c r="D6946" s="500" t="s">
        <v>759</v>
      </c>
      <c r="E6946" s="501">
        <v>26104610.059999999</v>
      </c>
      <c r="F6946" s="502" t="s">
        <v>878</v>
      </c>
      <c r="G6946" s="100">
        <v>116344605</v>
      </c>
      <c r="H6946" s="484">
        <v>116344605</v>
      </c>
      <c r="I6946" s="422" t="s">
        <v>680</v>
      </c>
      <c r="J6946" s="484"/>
      <c r="K6946" s="548"/>
      <c r="L6946" s="548"/>
      <c r="M6946" s="548"/>
      <c r="N6946" s="552"/>
    </row>
    <row r="6947" spans="1:16">
      <c r="A6947" s="499">
        <v>45729</v>
      </c>
      <c r="B6947" s="499">
        <v>45729</v>
      </c>
      <c r="C6947" s="500" t="s">
        <v>173</v>
      </c>
      <c r="D6947" s="500" t="s">
        <v>763</v>
      </c>
      <c r="E6947" s="501">
        <v>-2622184305.6199999</v>
      </c>
      <c r="F6947" s="502" t="s">
        <v>878</v>
      </c>
      <c r="G6947" s="100">
        <v>116341257</v>
      </c>
      <c r="H6947" s="530"/>
      <c r="I6947" s="422" t="s">
        <v>1018</v>
      </c>
      <c r="J6947" s="484"/>
      <c r="K6947" s="548"/>
      <c r="L6947" s="548"/>
      <c r="M6947" s="548"/>
      <c r="N6947" s="552"/>
    </row>
    <row r="6948" spans="1:16">
      <c r="A6948" s="499">
        <v>45729</v>
      </c>
      <c r="B6948" s="499">
        <v>45729</v>
      </c>
      <c r="C6948" s="500" t="s">
        <v>173</v>
      </c>
      <c r="D6948" s="500" t="s">
        <v>763</v>
      </c>
      <c r="E6948" s="501">
        <v>-1956823842.96</v>
      </c>
      <c r="F6948" s="502" t="s">
        <v>878</v>
      </c>
      <c r="G6948" s="100">
        <v>116341260</v>
      </c>
      <c r="H6948" s="530"/>
      <c r="I6948" s="422" t="s">
        <v>680</v>
      </c>
      <c r="J6948" s="484"/>
      <c r="K6948" s="548"/>
      <c r="L6948" s="548"/>
      <c r="M6948" s="548"/>
      <c r="N6948" s="552"/>
    </row>
    <row r="6949" spans="1:16">
      <c r="A6949" s="499">
        <v>45729</v>
      </c>
      <c r="B6949" s="499">
        <v>45729</v>
      </c>
      <c r="C6949" s="500" t="s">
        <v>173</v>
      </c>
      <c r="D6949" s="500" t="s">
        <v>763</v>
      </c>
      <c r="E6949" s="501">
        <v>-21007889.760000002</v>
      </c>
      <c r="F6949" s="502" t="s">
        <v>878</v>
      </c>
      <c r="G6949" s="100">
        <v>116341424</v>
      </c>
      <c r="H6949" s="530"/>
      <c r="I6949" s="422" t="s">
        <v>686</v>
      </c>
      <c r="J6949" s="484"/>
      <c r="K6949" s="548"/>
      <c r="L6949" s="548"/>
      <c r="M6949" s="548"/>
      <c r="N6949" s="552"/>
    </row>
    <row r="6950" spans="1:16">
      <c r="A6950" s="499">
        <v>45729</v>
      </c>
      <c r="B6950" s="499">
        <v>45730</v>
      </c>
      <c r="C6950" s="500" t="s">
        <v>173</v>
      </c>
      <c r="D6950" s="500" t="s">
        <v>763</v>
      </c>
      <c r="E6950" s="501">
        <v>2623308619.23</v>
      </c>
      <c r="F6950" s="502" t="s">
        <v>878</v>
      </c>
      <c r="G6950" s="100">
        <v>116341257</v>
      </c>
      <c r="H6950" s="484">
        <v>116341257</v>
      </c>
      <c r="I6950" s="422" t="s">
        <v>1018</v>
      </c>
      <c r="J6950" s="484"/>
      <c r="K6950" s="548"/>
      <c r="L6950" s="548"/>
      <c r="M6950" s="548"/>
      <c r="N6950" s="552"/>
    </row>
    <row r="6951" spans="1:16">
      <c r="A6951" s="499">
        <v>45729</v>
      </c>
      <c r="B6951" s="499">
        <v>45730</v>
      </c>
      <c r="C6951" s="500" t="s">
        <v>173</v>
      </c>
      <c r="D6951" s="500" t="s">
        <v>763</v>
      </c>
      <c r="E6951" s="501">
        <v>1957662864.6900001</v>
      </c>
      <c r="F6951" s="502" t="s">
        <v>878</v>
      </c>
      <c r="G6951" s="100">
        <v>116341260</v>
      </c>
      <c r="H6951" s="484">
        <v>116341260</v>
      </c>
      <c r="I6951" s="422" t="s">
        <v>680</v>
      </c>
      <c r="J6951" s="484"/>
      <c r="K6951" s="548"/>
      <c r="L6951" s="548"/>
      <c r="M6951" s="548"/>
      <c r="N6951" s="552"/>
    </row>
    <row r="6952" spans="1:16">
      <c r="A6952" s="499">
        <v>45729</v>
      </c>
      <c r="B6952" s="499">
        <v>45730</v>
      </c>
      <c r="C6952" s="500" t="s">
        <v>173</v>
      </c>
      <c r="D6952" s="500" t="s">
        <v>763</v>
      </c>
      <c r="E6952" s="501">
        <v>21016874.23</v>
      </c>
      <c r="F6952" s="502" t="s">
        <v>878</v>
      </c>
      <c r="G6952" s="100">
        <v>116341424</v>
      </c>
      <c r="H6952" s="484">
        <v>116341424</v>
      </c>
      <c r="I6952" s="422" t="s">
        <v>686</v>
      </c>
      <c r="J6952" s="484"/>
      <c r="K6952" s="548"/>
      <c r="L6952" s="548"/>
      <c r="M6952" s="548"/>
      <c r="N6952" s="552"/>
    </row>
    <row r="6953" spans="1:16">
      <c r="A6953" s="499">
        <v>45730</v>
      </c>
      <c r="B6953" s="499">
        <v>45730</v>
      </c>
      <c r="C6953" s="500" t="s">
        <v>173</v>
      </c>
      <c r="D6953" s="500" t="s">
        <v>762</v>
      </c>
      <c r="E6953" s="501">
        <v>-3964067553.5999999</v>
      </c>
      <c r="F6953" s="502" t="s">
        <v>878</v>
      </c>
      <c r="G6953" s="100">
        <v>116365099</v>
      </c>
      <c r="H6953" s="530"/>
      <c r="I6953" s="422" t="s">
        <v>656</v>
      </c>
      <c r="J6953" s="484"/>
      <c r="K6953" s="548"/>
      <c r="L6953" s="548"/>
      <c r="M6953" s="548"/>
      <c r="N6953" s="552"/>
    </row>
    <row r="6954" spans="1:16">
      <c r="A6954" s="499">
        <v>45730</v>
      </c>
      <c r="B6954" s="499">
        <v>45730</v>
      </c>
      <c r="C6954" s="500" t="s">
        <v>173</v>
      </c>
      <c r="D6954" s="500" t="s">
        <v>762</v>
      </c>
      <c r="E6954" s="501">
        <v>-917124675.32000005</v>
      </c>
      <c r="F6954" s="502" t="s">
        <v>878</v>
      </c>
      <c r="G6954" s="100">
        <v>116366883</v>
      </c>
      <c r="H6954" s="530"/>
      <c r="I6954" s="422" t="s">
        <v>1047</v>
      </c>
      <c r="J6954" s="484"/>
      <c r="K6954" s="548"/>
      <c r="L6954" s="548"/>
      <c r="M6954" s="548"/>
      <c r="N6954" s="552"/>
    </row>
    <row r="6955" spans="1:16">
      <c r="A6955" s="499">
        <v>45730</v>
      </c>
      <c r="B6955" s="499">
        <v>45730</v>
      </c>
      <c r="C6955" s="500" t="s">
        <v>173</v>
      </c>
      <c r="D6955" s="500" t="s">
        <v>762</v>
      </c>
      <c r="E6955" s="501">
        <v>-20007230.760000002</v>
      </c>
      <c r="F6955" s="502" t="s">
        <v>878</v>
      </c>
      <c r="G6955" s="100">
        <v>116367836</v>
      </c>
      <c r="H6955" s="530"/>
      <c r="I6955" s="422" t="s">
        <v>816</v>
      </c>
      <c r="J6955" s="484"/>
      <c r="K6955" s="548"/>
      <c r="L6955" s="548"/>
      <c r="M6955" s="548"/>
      <c r="N6955" s="552"/>
    </row>
    <row r="6956" spans="1:16">
      <c r="A6956" s="499">
        <v>45730</v>
      </c>
      <c r="B6956" s="499">
        <v>45733</v>
      </c>
      <c r="C6956" s="500" t="s">
        <v>173</v>
      </c>
      <c r="D6956" s="500" t="s">
        <v>762</v>
      </c>
      <c r="E6956" s="501">
        <v>3969133957.75</v>
      </c>
      <c r="F6956" s="502" t="s">
        <v>878</v>
      </c>
      <c r="G6956" s="100">
        <v>116365099</v>
      </c>
      <c r="H6956" s="484">
        <v>116365099</v>
      </c>
      <c r="I6956" s="422" t="s">
        <v>656</v>
      </c>
      <c r="J6956" s="484"/>
      <c r="K6956" s="548"/>
      <c r="L6956" s="548"/>
      <c r="M6956" s="548"/>
      <c r="N6956" s="552"/>
    </row>
    <row r="6957" spans="1:16">
      <c r="A6957" s="499">
        <v>45730</v>
      </c>
      <c r="B6957" s="499">
        <v>45733</v>
      </c>
      <c r="C6957" s="500" t="s">
        <v>173</v>
      </c>
      <c r="D6957" s="500" t="s">
        <v>762</v>
      </c>
      <c r="E6957" s="501">
        <v>918296836.03999996</v>
      </c>
      <c r="F6957" s="502" t="s">
        <v>878</v>
      </c>
      <c r="G6957" s="100">
        <v>116366883</v>
      </c>
      <c r="H6957" s="484">
        <v>116366883</v>
      </c>
      <c r="I6957" s="422" t="s">
        <v>1047</v>
      </c>
      <c r="J6957" s="484"/>
      <c r="K6957" s="548"/>
      <c r="L6957" s="548"/>
      <c r="M6957" s="548"/>
      <c r="N6957" s="552"/>
    </row>
    <row r="6958" spans="1:16">
      <c r="A6958" s="499">
        <v>45730</v>
      </c>
      <c r="B6958" s="499">
        <v>45733</v>
      </c>
      <c r="C6958" s="500" t="s">
        <v>173</v>
      </c>
      <c r="D6958" s="500" t="s">
        <v>762</v>
      </c>
      <c r="E6958" s="501">
        <v>20032801.649999999</v>
      </c>
      <c r="F6958" s="502" t="s">
        <v>878</v>
      </c>
      <c r="G6958" s="100">
        <v>116367836</v>
      </c>
      <c r="H6958" s="484">
        <v>116367836</v>
      </c>
      <c r="I6958" s="422" t="s">
        <v>816</v>
      </c>
      <c r="J6958" s="484"/>
      <c r="K6958" s="548"/>
      <c r="L6958" s="548"/>
      <c r="M6958" s="548"/>
      <c r="N6958" s="552"/>
    </row>
    <row r="6959" spans="1:16">
      <c r="A6959" s="499">
        <v>45730</v>
      </c>
      <c r="B6959" s="499">
        <v>45730</v>
      </c>
      <c r="C6959" s="500" t="s">
        <v>173</v>
      </c>
      <c r="D6959" s="500" t="s">
        <v>761</v>
      </c>
      <c r="E6959" s="501">
        <v>-182145153.74000001</v>
      </c>
      <c r="F6959" s="502" t="s">
        <v>878</v>
      </c>
      <c r="G6959" s="100">
        <v>116360228</v>
      </c>
      <c r="H6959" s="530"/>
      <c r="I6959" s="422" t="s">
        <v>600</v>
      </c>
      <c r="J6959" s="484"/>
      <c r="K6959" s="548"/>
      <c r="L6959" s="548"/>
      <c r="M6959" s="548"/>
      <c r="N6959" s="552"/>
      <c r="P6959" s="539">
        <v>-1</v>
      </c>
    </row>
    <row r="6960" spans="1:16">
      <c r="A6960" s="499">
        <v>45730</v>
      </c>
      <c r="B6960" s="499">
        <v>45730</v>
      </c>
      <c r="C6960" s="500" t="s">
        <v>173</v>
      </c>
      <c r="D6960" s="500" t="s">
        <v>761</v>
      </c>
      <c r="E6960" s="501">
        <v>-497121923.79000002</v>
      </c>
      <c r="F6960" s="502" t="s">
        <v>878</v>
      </c>
      <c r="G6960" s="100">
        <v>116360474</v>
      </c>
      <c r="H6960" s="530"/>
      <c r="I6960" s="422" t="s">
        <v>633</v>
      </c>
      <c r="J6960" s="484"/>
      <c r="K6960" s="548"/>
      <c r="L6960" s="548"/>
      <c r="M6960" s="548"/>
      <c r="N6960" s="552"/>
    </row>
    <row r="6961" spans="1:14">
      <c r="A6961" s="499">
        <v>45730</v>
      </c>
      <c r="B6961" s="499">
        <v>45730</v>
      </c>
      <c r="C6961" s="500" t="s">
        <v>173</v>
      </c>
      <c r="D6961" s="500" t="s">
        <v>761</v>
      </c>
      <c r="E6961" s="501">
        <v>-292194772.75999999</v>
      </c>
      <c r="F6961" s="502" t="s">
        <v>878</v>
      </c>
      <c r="G6961" s="100">
        <v>116361658</v>
      </c>
      <c r="H6961" s="530"/>
      <c r="I6961" s="422" t="s">
        <v>703</v>
      </c>
      <c r="J6961" s="484"/>
      <c r="K6961" s="548"/>
      <c r="L6961" s="548"/>
      <c r="M6961" s="548"/>
      <c r="N6961" s="552"/>
    </row>
    <row r="6962" spans="1:14">
      <c r="A6962" s="499">
        <v>45730</v>
      </c>
      <c r="B6962" s="499">
        <v>45730</v>
      </c>
      <c r="C6962" s="500" t="s">
        <v>173</v>
      </c>
      <c r="D6962" s="500" t="s">
        <v>761</v>
      </c>
      <c r="E6962" s="501">
        <v>-313270414.79000002</v>
      </c>
      <c r="F6962" s="502" t="s">
        <v>878</v>
      </c>
      <c r="G6962" s="100">
        <v>116361790</v>
      </c>
      <c r="H6962" s="530"/>
      <c r="I6962" s="422" t="s">
        <v>686</v>
      </c>
      <c r="J6962" s="484"/>
      <c r="K6962" s="548"/>
      <c r="L6962" s="548"/>
      <c r="M6962" s="548"/>
      <c r="N6962" s="552"/>
    </row>
    <row r="6963" spans="1:14">
      <c r="A6963" s="499">
        <v>45730</v>
      </c>
      <c r="B6963" s="499">
        <v>45730</v>
      </c>
      <c r="C6963" s="500" t="s">
        <v>173</v>
      </c>
      <c r="D6963" s="500" t="s">
        <v>761</v>
      </c>
      <c r="E6963" s="501">
        <v>-6004511.4000000004</v>
      </c>
      <c r="F6963" s="502" t="s">
        <v>878</v>
      </c>
      <c r="G6963" s="100">
        <v>116362456</v>
      </c>
      <c r="H6963" s="530"/>
      <c r="I6963" s="422" t="s">
        <v>685</v>
      </c>
      <c r="J6963" s="484"/>
      <c r="K6963" s="548"/>
      <c r="L6963" s="548"/>
      <c r="M6963" s="548"/>
      <c r="N6963" s="552"/>
    </row>
    <row r="6964" spans="1:14">
      <c r="A6964" s="499">
        <v>45730</v>
      </c>
      <c r="B6964" s="499">
        <v>45742</v>
      </c>
      <c r="C6964" s="500" t="s">
        <v>173</v>
      </c>
      <c r="D6964" s="500" t="s">
        <v>761</v>
      </c>
      <c r="E6964" s="501">
        <v>183115263.81999999</v>
      </c>
      <c r="F6964" s="502" t="s">
        <v>878</v>
      </c>
      <c r="G6964" s="100">
        <v>116360228</v>
      </c>
      <c r="H6964" s="484">
        <v>116360228</v>
      </c>
      <c r="I6964" s="422" t="s">
        <v>600</v>
      </c>
      <c r="J6964" s="484"/>
      <c r="K6964" s="548"/>
      <c r="L6964" s="548"/>
      <c r="M6964" s="548"/>
      <c r="N6964" s="552"/>
    </row>
    <row r="6965" spans="1:14">
      <c r="A6965" s="499">
        <v>45730</v>
      </c>
      <c r="B6965" s="499">
        <v>45733</v>
      </c>
      <c r="C6965" s="500" t="s">
        <v>173</v>
      </c>
      <c r="D6965" s="500" t="s">
        <v>761</v>
      </c>
      <c r="E6965" s="501">
        <v>497775673.17000002</v>
      </c>
      <c r="F6965" s="502" t="s">
        <v>878</v>
      </c>
      <c r="G6965" s="100">
        <v>116360474</v>
      </c>
      <c r="H6965" s="484">
        <v>116360474</v>
      </c>
      <c r="I6965" s="422" t="s">
        <v>633</v>
      </c>
      <c r="J6965" s="484"/>
      <c r="K6965" s="548"/>
      <c r="L6965" s="548"/>
      <c r="M6965" s="548"/>
      <c r="N6965" s="552"/>
    </row>
    <row r="6966" spans="1:14">
      <c r="A6966" s="499">
        <v>45730</v>
      </c>
      <c r="B6966" s="499">
        <v>45742</v>
      </c>
      <c r="C6966" s="500" t="s">
        <v>173</v>
      </c>
      <c r="D6966" s="500" t="s">
        <v>761</v>
      </c>
      <c r="E6966" s="501">
        <v>293751010.13</v>
      </c>
      <c r="F6966" s="502" t="s">
        <v>878</v>
      </c>
      <c r="G6966" s="100">
        <v>116361658</v>
      </c>
      <c r="H6966" s="484">
        <v>116361658</v>
      </c>
      <c r="I6966" s="422" t="s">
        <v>703</v>
      </c>
      <c r="J6966" s="484"/>
      <c r="K6966" s="548"/>
      <c r="L6966" s="548"/>
      <c r="M6966" s="548"/>
      <c r="N6966" s="552"/>
    </row>
    <row r="6967" spans="1:14">
      <c r="A6967" s="499">
        <v>45730</v>
      </c>
      <c r="B6967" s="499">
        <v>45742</v>
      </c>
      <c r="C6967" s="500" t="s">
        <v>173</v>
      </c>
      <c r="D6967" s="500" t="s">
        <v>761</v>
      </c>
      <c r="E6967" s="501">
        <v>314938901.60000002</v>
      </c>
      <c r="F6967" s="502" t="s">
        <v>878</v>
      </c>
      <c r="G6967" s="100">
        <v>116361790</v>
      </c>
      <c r="H6967" s="484">
        <v>116361790</v>
      </c>
      <c r="I6967" s="422" t="s">
        <v>686</v>
      </c>
      <c r="J6967" s="484"/>
      <c r="K6967" s="548"/>
      <c r="L6967" s="548"/>
      <c r="M6967" s="548"/>
      <c r="N6967" s="552"/>
    </row>
    <row r="6968" spans="1:14">
      <c r="A6968" s="499">
        <v>45730</v>
      </c>
      <c r="B6968" s="499">
        <v>45733</v>
      </c>
      <c r="C6968" s="500" t="s">
        <v>173</v>
      </c>
      <c r="D6968" s="500" t="s">
        <v>761</v>
      </c>
      <c r="E6968" s="501">
        <v>6012259.6900000004</v>
      </c>
      <c r="F6968" s="502" t="s">
        <v>878</v>
      </c>
      <c r="G6968" s="100">
        <v>116362456</v>
      </c>
      <c r="H6968" s="484">
        <v>116362456</v>
      </c>
      <c r="I6968" s="422" t="s">
        <v>685</v>
      </c>
      <c r="J6968" s="484"/>
      <c r="K6968" s="548"/>
      <c r="L6968" s="548"/>
      <c r="M6968" s="548"/>
      <c r="N6968" s="552"/>
    </row>
    <row r="6969" spans="1:14">
      <c r="A6969" s="499">
        <v>45730</v>
      </c>
      <c r="B6969" s="499">
        <v>45730</v>
      </c>
      <c r="C6969" s="500" t="s">
        <v>173</v>
      </c>
      <c r="D6969" s="500" t="s">
        <v>759</v>
      </c>
      <c r="E6969" s="501">
        <v>-1991715999.4400001</v>
      </c>
      <c r="F6969" s="502" t="s">
        <v>878</v>
      </c>
      <c r="G6969" s="100">
        <v>116360544</v>
      </c>
      <c r="H6969" s="530"/>
      <c r="I6969" s="422" t="s">
        <v>631</v>
      </c>
      <c r="J6969" s="484"/>
      <c r="K6969" s="548"/>
      <c r="L6969" s="548"/>
      <c r="M6969" s="548"/>
      <c r="N6969" s="552"/>
    </row>
    <row r="6970" spans="1:14">
      <c r="A6970" s="499">
        <v>45730</v>
      </c>
      <c r="B6970" s="499">
        <v>45730</v>
      </c>
      <c r="C6970" s="500" t="s">
        <v>173</v>
      </c>
      <c r="D6970" s="500" t="s">
        <v>759</v>
      </c>
      <c r="E6970" s="501">
        <v>-9006450.3000000007</v>
      </c>
      <c r="F6970" s="502" t="s">
        <v>878</v>
      </c>
      <c r="G6970" s="100">
        <v>116363855</v>
      </c>
      <c r="H6970" s="530"/>
      <c r="I6970" s="422" t="s">
        <v>695</v>
      </c>
      <c r="J6970" s="484"/>
      <c r="K6970" s="548"/>
      <c r="L6970" s="548"/>
      <c r="M6970" s="548"/>
      <c r="N6970" s="552"/>
    </row>
    <row r="6971" spans="1:14">
      <c r="A6971" s="499">
        <v>45730</v>
      </c>
      <c r="B6971" s="499">
        <v>45733</v>
      </c>
      <c r="C6971" s="500" t="s">
        <v>173</v>
      </c>
      <c r="D6971" s="500" t="s">
        <v>759</v>
      </c>
      <c r="E6971" s="501">
        <v>1994335242.4000001</v>
      </c>
      <c r="F6971" s="502" t="s">
        <v>878</v>
      </c>
      <c r="G6971" s="100">
        <v>116360544</v>
      </c>
      <c r="H6971" s="484">
        <v>116360544</v>
      </c>
      <c r="I6971" s="422" t="s">
        <v>631</v>
      </c>
      <c r="J6971" s="484"/>
      <c r="K6971" s="548"/>
      <c r="L6971" s="548"/>
      <c r="M6971" s="548"/>
      <c r="N6971" s="552"/>
    </row>
    <row r="6972" spans="1:14">
      <c r="A6972" s="499">
        <v>45730</v>
      </c>
      <c r="B6972" s="499">
        <v>45733</v>
      </c>
      <c r="C6972" s="500" t="s">
        <v>173</v>
      </c>
      <c r="D6972" s="500" t="s">
        <v>759</v>
      </c>
      <c r="E6972" s="501">
        <v>9018072.3200000003</v>
      </c>
      <c r="F6972" s="502" t="s">
        <v>878</v>
      </c>
      <c r="G6972" s="100">
        <v>116363855</v>
      </c>
      <c r="H6972" s="484">
        <v>116363855</v>
      </c>
      <c r="I6972" s="422" t="s">
        <v>695</v>
      </c>
      <c r="J6972" s="484"/>
      <c r="K6972" s="548"/>
      <c r="L6972" s="548"/>
      <c r="M6972" s="548"/>
      <c r="N6972" s="552"/>
    </row>
    <row r="6973" spans="1:14">
      <c r="A6973" s="499">
        <v>45730</v>
      </c>
      <c r="B6973" s="499">
        <v>45730</v>
      </c>
      <c r="C6973" s="500" t="s">
        <v>173</v>
      </c>
      <c r="D6973" s="500" t="s">
        <v>763</v>
      </c>
      <c r="E6973" s="501">
        <v>-4582956004.1599998</v>
      </c>
      <c r="F6973" s="502" t="s">
        <v>878</v>
      </c>
      <c r="G6973" s="100">
        <v>116359995</v>
      </c>
      <c r="H6973" s="530"/>
      <c r="I6973" s="422" t="s">
        <v>686</v>
      </c>
      <c r="J6973" s="484"/>
      <c r="K6973" s="548"/>
      <c r="L6973" s="548"/>
      <c r="M6973" s="548"/>
      <c r="N6973" s="552"/>
    </row>
    <row r="6974" spans="1:14">
      <c r="A6974" s="499">
        <v>45730</v>
      </c>
      <c r="B6974" s="499">
        <v>45730</v>
      </c>
      <c r="C6974" s="500" t="s">
        <v>173</v>
      </c>
      <c r="D6974" s="500" t="s">
        <v>763</v>
      </c>
      <c r="E6974" s="501">
        <v>-19016414.960000001</v>
      </c>
      <c r="F6974" s="502" t="s">
        <v>878</v>
      </c>
      <c r="G6974" s="100">
        <v>116360013</v>
      </c>
      <c r="H6974" s="530"/>
      <c r="I6974" s="422" t="s">
        <v>686</v>
      </c>
      <c r="J6974" s="484"/>
      <c r="K6974" s="548"/>
      <c r="L6974" s="548"/>
      <c r="M6974" s="548"/>
      <c r="N6974" s="552"/>
    </row>
    <row r="6975" spans="1:14">
      <c r="A6975" s="499">
        <v>45730</v>
      </c>
      <c r="B6975" s="499">
        <v>45733</v>
      </c>
      <c r="C6975" s="500" t="s">
        <v>173</v>
      </c>
      <c r="D6975" s="500" t="s">
        <v>763</v>
      </c>
      <c r="E6975" s="501">
        <v>4588907568.9399996</v>
      </c>
      <c r="F6975" s="502" t="s">
        <v>878</v>
      </c>
      <c r="G6975" s="100">
        <v>116359995</v>
      </c>
      <c r="H6975" s="484">
        <v>116359995</v>
      </c>
      <c r="I6975" s="422" t="s">
        <v>686</v>
      </c>
      <c r="J6975" s="484"/>
      <c r="K6975" s="548"/>
      <c r="L6975" s="548"/>
      <c r="M6975" s="548"/>
      <c r="N6975" s="552"/>
    </row>
    <row r="6976" spans="1:14">
      <c r="A6976" s="499">
        <v>45730</v>
      </c>
      <c r="B6976" s="499">
        <v>45733</v>
      </c>
      <c r="C6976" s="500" t="s">
        <v>173</v>
      </c>
      <c r="D6976" s="500" t="s">
        <v>763</v>
      </c>
      <c r="E6976" s="501">
        <v>19041110.25</v>
      </c>
      <c r="F6976" s="502" t="s">
        <v>878</v>
      </c>
      <c r="G6976" s="100">
        <v>116360013</v>
      </c>
      <c r="H6976" s="484">
        <v>116360013</v>
      </c>
      <c r="I6976" s="422" t="s">
        <v>686</v>
      </c>
      <c r="J6976" s="484"/>
      <c r="K6976" s="548"/>
      <c r="L6976" s="548"/>
      <c r="M6976" s="548"/>
      <c r="N6976" s="552"/>
    </row>
    <row r="6977" spans="1:16">
      <c r="A6977" s="499">
        <v>45733</v>
      </c>
      <c r="B6977" s="499">
        <v>45733</v>
      </c>
      <c r="C6977" s="500" t="s">
        <v>173</v>
      </c>
      <c r="D6977" s="500" t="s">
        <v>762</v>
      </c>
      <c r="E6977" s="501">
        <v>-4429090325.4700003</v>
      </c>
      <c r="F6977" s="502" t="s">
        <v>878</v>
      </c>
      <c r="G6977" s="100">
        <v>116391303</v>
      </c>
      <c r="H6977" s="530"/>
      <c r="I6977" s="422" t="s">
        <v>1018</v>
      </c>
      <c r="J6977" s="484"/>
      <c r="K6977" s="548"/>
      <c r="L6977" s="548"/>
      <c r="M6977" s="548"/>
      <c r="N6977" s="552"/>
    </row>
    <row r="6978" spans="1:16">
      <c r="A6978" s="499">
        <v>45733</v>
      </c>
      <c r="B6978" s="499">
        <v>45733</v>
      </c>
      <c r="C6978" s="500" t="s">
        <v>173</v>
      </c>
      <c r="D6978" s="500" t="s">
        <v>762</v>
      </c>
      <c r="E6978" s="501">
        <v>-822016763.95000005</v>
      </c>
      <c r="F6978" s="502" t="s">
        <v>878</v>
      </c>
      <c r="G6978" s="100">
        <v>116391306</v>
      </c>
      <c r="H6978" s="530"/>
      <c r="I6978" s="422" t="s">
        <v>1018</v>
      </c>
      <c r="J6978" s="484"/>
      <c r="K6978" s="548"/>
      <c r="L6978" s="548"/>
      <c r="M6978" s="548"/>
      <c r="N6978" s="552"/>
    </row>
    <row r="6979" spans="1:16">
      <c r="A6979" s="499">
        <v>45733</v>
      </c>
      <c r="B6979" s="499">
        <v>45733</v>
      </c>
      <c r="C6979" s="500" t="s">
        <v>173</v>
      </c>
      <c r="D6979" s="500" t="s">
        <v>762</v>
      </c>
      <c r="E6979" s="501">
        <v>-27000550.640000001</v>
      </c>
      <c r="F6979" s="502" t="s">
        <v>878</v>
      </c>
      <c r="G6979" s="100">
        <v>116391315</v>
      </c>
      <c r="H6979" s="530"/>
      <c r="I6979" s="422" t="s">
        <v>1018</v>
      </c>
      <c r="J6979" s="484"/>
      <c r="K6979" s="548"/>
      <c r="L6979" s="548"/>
      <c r="M6979" s="548"/>
      <c r="N6979" s="552"/>
    </row>
    <row r="6980" spans="1:16">
      <c r="A6980" s="499">
        <v>45733</v>
      </c>
      <c r="B6980" s="499">
        <v>45734</v>
      </c>
      <c r="C6980" s="500" t="s">
        <v>173</v>
      </c>
      <c r="D6980" s="500" t="s">
        <v>762</v>
      </c>
      <c r="E6980" s="501">
        <v>4431001508.2799997</v>
      </c>
      <c r="F6980" s="502" t="s">
        <v>878</v>
      </c>
      <c r="G6980" s="100">
        <v>116391303</v>
      </c>
      <c r="H6980" s="484">
        <v>116391303</v>
      </c>
      <c r="I6980" s="422" t="s">
        <v>1018</v>
      </c>
      <c r="J6980" s="484"/>
      <c r="K6980" s="548"/>
      <c r="L6980" s="548"/>
      <c r="M6980" s="548"/>
      <c r="N6980" s="552"/>
    </row>
    <row r="6981" spans="1:16">
      <c r="A6981" s="499">
        <v>45733</v>
      </c>
      <c r="B6981" s="499">
        <v>45734</v>
      </c>
      <c r="C6981" s="500" t="s">
        <v>173</v>
      </c>
      <c r="D6981" s="500" t="s">
        <v>762</v>
      </c>
      <c r="E6981" s="501">
        <v>822369893.34000003</v>
      </c>
      <c r="F6981" s="502" t="s">
        <v>878</v>
      </c>
      <c r="G6981" s="100">
        <v>116391306</v>
      </c>
      <c r="H6981" s="484">
        <v>116391306</v>
      </c>
      <c r="I6981" s="422" t="s">
        <v>1018</v>
      </c>
      <c r="J6981" s="484"/>
      <c r="K6981" s="548"/>
      <c r="L6981" s="548"/>
      <c r="M6981" s="548"/>
      <c r="N6981" s="552"/>
    </row>
    <row r="6982" spans="1:16">
      <c r="A6982" s="499">
        <v>45733</v>
      </c>
      <c r="B6982" s="499">
        <v>45734</v>
      </c>
      <c r="C6982" s="500" t="s">
        <v>173</v>
      </c>
      <c r="D6982" s="500" t="s">
        <v>762</v>
      </c>
      <c r="E6982" s="501">
        <v>27012149.780000001</v>
      </c>
      <c r="F6982" s="502" t="s">
        <v>878</v>
      </c>
      <c r="G6982" s="100">
        <v>116391315</v>
      </c>
      <c r="H6982" s="484">
        <v>116391315</v>
      </c>
      <c r="I6982" s="422" t="s">
        <v>1018</v>
      </c>
      <c r="J6982" s="484"/>
      <c r="K6982" s="548"/>
      <c r="L6982" s="548"/>
      <c r="M6982" s="548"/>
      <c r="N6982" s="552"/>
      <c r="P6982" s="539">
        <v>-1</v>
      </c>
    </row>
    <row r="6983" spans="1:16">
      <c r="A6983" s="499">
        <v>45733</v>
      </c>
      <c r="B6983" s="499">
        <v>45733</v>
      </c>
      <c r="C6983" s="500" t="s">
        <v>173</v>
      </c>
      <c r="D6983" s="500" t="s">
        <v>761</v>
      </c>
      <c r="E6983" s="501">
        <v>-6003386.4000000004</v>
      </c>
      <c r="F6983" s="502" t="s">
        <v>878</v>
      </c>
      <c r="G6983" s="100">
        <v>116383306</v>
      </c>
      <c r="H6983" s="530"/>
      <c r="I6983" s="422" t="s">
        <v>711</v>
      </c>
      <c r="J6983" s="484"/>
      <c r="K6983" s="548"/>
      <c r="L6983" s="548"/>
      <c r="M6983" s="548"/>
      <c r="N6983" s="552"/>
    </row>
    <row r="6984" spans="1:16">
      <c r="A6984" s="499">
        <v>45733</v>
      </c>
      <c r="B6984" s="499">
        <v>45733</v>
      </c>
      <c r="C6984" s="500" t="s">
        <v>173</v>
      </c>
      <c r="D6984" s="500" t="s">
        <v>761</v>
      </c>
      <c r="E6984" s="501">
        <v>-88073854</v>
      </c>
      <c r="F6984" s="502" t="s">
        <v>878</v>
      </c>
      <c r="G6984" s="100">
        <v>116383309</v>
      </c>
      <c r="H6984" s="530"/>
      <c r="I6984" s="422" t="s">
        <v>819</v>
      </c>
      <c r="J6984" s="484"/>
      <c r="K6984" s="548"/>
      <c r="L6984" s="548"/>
      <c r="M6984" s="548"/>
      <c r="N6984" s="552"/>
    </row>
    <row r="6985" spans="1:16">
      <c r="A6985" s="499">
        <v>45733</v>
      </c>
      <c r="B6985" s="499">
        <v>45733</v>
      </c>
      <c r="C6985" s="500" t="s">
        <v>173</v>
      </c>
      <c r="D6985" s="500" t="s">
        <v>761</v>
      </c>
      <c r="E6985" s="501">
        <v>-92044172.700000003</v>
      </c>
      <c r="F6985" s="502" t="s">
        <v>878</v>
      </c>
      <c r="G6985" s="100">
        <v>116383312</v>
      </c>
      <c r="H6985" s="530"/>
      <c r="I6985" s="422" t="s">
        <v>823</v>
      </c>
      <c r="J6985" s="484"/>
      <c r="K6985" s="548"/>
      <c r="L6985" s="548"/>
      <c r="M6985" s="548"/>
      <c r="N6985" s="552"/>
    </row>
    <row r="6986" spans="1:16">
      <c r="A6986" s="499">
        <v>45733</v>
      </c>
      <c r="B6986" s="499">
        <v>45733</v>
      </c>
      <c r="C6986" s="500" t="s">
        <v>173</v>
      </c>
      <c r="D6986" s="500" t="s">
        <v>761</v>
      </c>
      <c r="E6986" s="501">
        <v>-98005358.049999997</v>
      </c>
      <c r="F6986" s="502" t="s">
        <v>878</v>
      </c>
      <c r="G6986" s="100">
        <v>116383315</v>
      </c>
      <c r="H6986" s="530"/>
      <c r="I6986" s="422" t="s">
        <v>550</v>
      </c>
      <c r="J6986" s="484"/>
      <c r="K6986" s="548"/>
      <c r="L6986" s="548"/>
      <c r="M6986" s="548"/>
      <c r="N6986" s="552"/>
    </row>
    <row r="6987" spans="1:16">
      <c r="A6987" s="499">
        <v>45733</v>
      </c>
      <c r="B6987" s="499">
        <v>45733</v>
      </c>
      <c r="C6987" s="500" t="s">
        <v>173</v>
      </c>
      <c r="D6987" s="500" t="s">
        <v>761</v>
      </c>
      <c r="E6987" s="501">
        <v>-99066803.019999996</v>
      </c>
      <c r="F6987" s="502" t="s">
        <v>878</v>
      </c>
      <c r="G6987" s="100">
        <v>116383318</v>
      </c>
      <c r="H6987" s="530"/>
      <c r="I6987" s="422" t="s">
        <v>816</v>
      </c>
      <c r="J6987" s="484"/>
      <c r="K6987" s="548"/>
      <c r="L6987" s="548"/>
      <c r="M6987" s="548"/>
      <c r="N6987" s="552"/>
    </row>
    <row r="6988" spans="1:16">
      <c r="A6988" s="499">
        <v>45733</v>
      </c>
      <c r="B6988" s="499">
        <v>45733</v>
      </c>
      <c r="C6988" s="500" t="s">
        <v>173</v>
      </c>
      <c r="D6988" s="500" t="s">
        <v>761</v>
      </c>
      <c r="E6988" s="501">
        <v>-116053155.84</v>
      </c>
      <c r="F6988" s="502" t="s">
        <v>878</v>
      </c>
      <c r="G6988" s="100">
        <v>116383321</v>
      </c>
      <c r="H6988" s="530"/>
      <c r="I6988" s="422" t="s">
        <v>684</v>
      </c>
      <c r="J6988" s="484"/>
      <c r="K6988" s="548"/>
      <c r="L6988" s="548"/>
      <c r="M6988" s="548"/>
      <c r="N6988" s="552"/>
    </row>
    <row r="6989" spans="1:16">
      <c r="A6989" s="499">
        <v>45733</v>
      </c>
      <c r="B6989" s="499">
        <v>45733</v>
      </c>
      <c r="C6989" s="500" t="s">
        <v>173</v>
      </c>
      <c r="D6989" s="500" t="s">
        <v>761</v>
      </c>
      <c r="E6989" s="501">
        <v>-2000890.3</v>
      </c>
      <c r="F6989" s="502" t="s">
        <v>878</v>
      </c>
      <c r="G6989" s="100">
        <v>116383324</v>
      </c>
      <c r="H6989" s="530"/>
      <c r="I6989" s="422" t="s">
        <v>817</v>
      </c>
      <c r="J6989" s="484"/>
      <c r="K6989" s="548"/>
      <c r="L6989" s="548"/>
      <c r="M6989" s="548"/>
      <c r="N6989" s="552"/>
    </row>
    <row r="6990" spans="1:16">
      <c r="A6990" s="499">
        <v>45733</v>
      </c>
      <c r="B6990" s="499">
        <v>45733</v>
      </c>
      <c r="C6990" s="500" t="s">
        <v>173</v>
      </c>
      <c r="D6990" s="500" t="s">
        <v>761</v>
      </c>
      <c r="E6990" s="501">
        <v>-151032039.18000001</v>
      </c>
      <c r="F6990" s="502" t="s">
        <v>878</v>
      </c>
      <c r="G6990" s="100">
        <v>116385155</v>
      </c>
      <c r="H6990" s="530"/>
      <c r="I6990" s="422" t="s">
        <v>680</v>
      </c>
      <c r="J6990" s="484"/>
      <c r="K6990" s="548"/>
      <c r="L6990" s="548"/>
      <c r="M6990" s="548"/>
      <c r="N6990" s="552"/>
    </row>
    <row r="6991" spans="1:16">
      <c r="A6991" s="499">
        <v>45733</v>
      </c>
      <c r="B6991" s="499">
        <v>45733</v>
      </c>
      <c r="C6991" s="500" t="s">
        <v>173</v>
      </c>
      <c r="D6991" s="500" t="s">
        <v>761</v>
      </c>
      <c r="E6991" s="501">
        <v>-1000212.18</v>
      </c>
      <c r="F6991" s="502" t="s">
        <v>878</v>
      </c>
      <c r="G6991" s="100">
        <v>116385205</v>
      </c>
      <c r="H6991" s="530"/>
      <c r="I6991" s="422" t="s">
        <v>680</v>
      </c>
      <c r="J6991" s="484"/>
      <c r="K6991" s="548"/>
      <c r="L6991" s="548"/>
      <c r="M6991" s="548"/>
      <c r="N6991" s="552"/>
    </row>
    <row r="6992" spans="1:16">
      <c r="A6992" s="499">
        <v>45733</v>
      </c>
      <c r="B6992" s="499">
        <v>45734</v>
      </c>
      <c r="C6992" s="500" t="s">
        <v>173</v>
      </c>
      <c r="D6992" s="500" t="s">
        <v>761</v>
      </c>
      <c r="E6992" s="501">
        <v>6005968.6799999997</v>
      </c>
      <c r="F6992" s="502" t="s">
        <v>878</v>
      </c>
      <c r="G6992" s="100">
        <v>116383306</v>
      </c>
      <c r="H6992" s="484">
        <v>116383306</v>
      </c>
      <c r="I6992" s="422" t="s">
        <v>711</v>
      </c>
      <c r="J6992" s="484"/>
      <c r="K6992" s="548"/>
      <c r="L6992" s="548"/>
      <c r="M6992" s="548"/>
      <c r="N6992" s="552"/>
    </row>
    <row r="6993" spans="1:14">
      <c r="A6993" s="499">
        <v>45733</v>
      </c>
      <c r="B6993" s="499">
        <v>45734</v>
      </c>
      <c r="C6993" s="500" t="s">
        <v>173</v>
      </c>
      <c r="D6993" s="500" t="s">
        <v>761</v>
      </c>
      <c r="E6993" s="501">
        <v>88111737.819999993</v>
      </c>
      <c r="F6993" s="502" t="s">
        <v>878</v>
      </c>
      <c r="G6993" s="100">
        <v>116383309</v>
      </c>
      <c r="H6993" s="484">
        <v>116383309</v>
      </c>
      <c r="I6993" s="422" t="s">
        <v>819</v>
      </c>
      <c r="J6993" s="484"/>
      <c r="K6993" s="548"/>
      <c r="L6993" s="548"/>
      <c r="M6993" s="548"/>
      <c r="N6993" s="552"/>
    </row>
    <row r="6994" spans="1:14">
      <c r="A6994" s="499">
        <v>45733</v>
      </c>
      <c r="B6994" s="499">
        <v>45734</v>
      </c>
      <c r="C6994" s="500" t="s">
        <v>173</v>
      </c>
      <c r="D6994" s="500" t="s">
        <v>761</v>
      </c>
      <c r="E6994" s="501">
        <v>92083764.299999997</v>
      </c>
      <c r="F6994" s="502" t="s">
        <v>878</v>
      </c>
      <c r="G6994" s="100">
        <v>116383312</v>
      </c>
      <c r="H6994" s="484">
        <v>116383312</v>
      </c>
      <c r="I6994" s="422" t="s">
        <v>823</v>
      </c>
      <c r="J6994" s="484"/>
      <c r="K6994" s="548"/>
      <c r="L6994" s="548"/>
      <c r="M6994" s="548"/>
      <c r="N6994" s="552"/>
    </row>
    <row r="6995" spans="1:14">
      <c r="A6995" s="499">
        <v>45733</v>
      </c>
      <c r="B6995" s="499">
        <v>45734</v>
      </c>
      <c r="C6995" s="500" t="s">
        <v>173</v>
      </c>
      <c r="D6995" s="500" t="s">
        <v>761</v>
      </c>
      <c r="E6995" s="501">
        <v>98047513.780000001</v>
      </c>
      <c r="F6995" s="502" t="s">
        <v>878</v>
      </c>
      <c r="G6995" s="100">
        <v>116383315</v>
      </c>
      <c r="H6995" s="484">
        <v>116383315</v>
      </c>
      <c r="I6995" s="422" t="s">
        <v>550</v>
      </c>
      <c r="J6995" s="484"/>
      <c r="K6995" s="548"/>
      <c r="L6995" s="548"/>
      <c r="M6995" s="548"/>
      <c r="N6995" s="552"/>
    </row>
    <row r="6996" spans="1:14">
      <c r="A6996" s="499">
        <v>45733</v>
      </c>
      <c r="B6996" s="499">
        <v>45734</v>
      </c>
      <c r="C6996" s="500" t="s">
        <v>173</v>
      </c>
      <c r="D6996" s="500" t="s">
        <v>761</v>
      </c>
      <c r="E6996" s="501">
        <v>99109415.319999993</v>
      </c>
      <c r="F6996" s="502" t="s">
        <v>878</v>
      </c>
      <c r="G6996" s="100">
        <v>116383318</v>
      </c>
      <c r="H6996" s="484">
        <v>116383318</v>
      </c>
      <c r="I6996" s="422" t="s">
        <v>816</v>
      </c>
      <c r="J6996" s="484"/>
      <c r="K6996" s="548"/>
      <c r="L6996" s="548"/>
      <c r="M6996" s="548"/>
      <c r="N6996" s="552"/>
    </row>
    <row r="6997" spans="1:14">
      <c r="A6997" s="499">
        <v>45733</v>
      </c>
      <c r="B6997" s="499">
        <v>45734</v>
      </c>
      <c r="C6997" s="500" t="s">
        <v>173</v>
      </c>
      <c r="D6997" s="500" t="s">
        <v>761</v>
      </c>
      <c r="E6997" s="501">
        <v>116103074.59</v>
      </c>
      <c r="F6997" s="502" t="s">
        <v>878</v>
      </c>
      <c r="G6997" s="100">
        <v>116383321</v>
      </c>
      <c r="H6997" s="484">
        <v>116383321</v>
      </c>
      <c r="I6997" s="422" t="s">
        <v>684</v>
      </c>
      <c r="J6997" s="484"/>
      <c r="K6997" s="548"/>
      <c r="L6997" s="548"/>
      <c r="M6997" s="548"/>
      <c r="N6997" s="552"/>
    </row>
    <row r="6998" spans="1:14">
      <c r="A6998" s="499">
        <v>45733</v>
      </c>
      <c r="B6998" s="499">
        <v>45734</v>
      </c>
      <c r="C6998" s="500" t="s">
        <v>173</v>
      </c>
      <c r="D6998" s="500" t="s">
        <v>761</v>
      </c>
      <c r="E6998" s="501">
        <v>2001750.96</v>
      </c>
      <c r="F6998" s="502" t="s">
        <v>878</v>
      </c>
      <c r="G6998" s="100">
        <v>116383324</v>
      </c>
      <c r="H6998" s="484">
        <v>116383324</v>
      </c>
      <c r="I6998" s="422" t="s">
        <v>817</v>
      </c>
      <c r="J6998" s="484"/>
      <c r="K6998" s="548"/>
      <c r="L6998" s="548"/>
      <c r="M6998" s="548"/>
      <c r="N6998" s="552"/>
    </row>
    <row r="6999" spans="1:14">
      <c r="A6999" s="499">
        <v>45733</v>
      </c>
      <c r="B6999" s="499">
        <v>45742</v>
      </c>
      <c r="C6999" s="500" t="s">
        <v>173</v>
      </c>
      <c r="D6999" s="500" t="s">
        <v>761</v>
      </c>
      <c r="E6999" s="501">
        <v>151633477.72999999</v>
      </c>
      <c r="F6999" s="502" t="s">
        <v>878</v>
      </c>
      <c r="G6999" s="100">
        <v>116385155</v>
      </c>
      <c r="H6999" s="484">
        <v>116385155</v>
      </c>
      <c r="I6999" s="422" t="s">
        <v>680</v>
      </c>
      <c r="J6999" s="484"/>
      <c r="K6999" s="548"/>
      <c r="L6999" s="548"/>
      <c r="M6999" s="548"/>
      <c r="N6999" s="552"/>
    </row>
    <row r="7000" spans="1:14">
      <c r="A7000" s="499">
        <v>45733</v>
      </c>
      <c r="B7000" s="499">
        <v>45742</v>
      </c>
      <c r="C7000" s="500" t="s">
        <v>173</v>
      </c>
      <c r="D7000" s="500" t="s">
        <v>761</v>
      </c>
      <c r="E7000" s="501">
        <v>1004195.22</v>
      </c>
      <c r="F7000" s="502" t="s">
        <v>878</v>
      </c>
      <c r="G7000" s="100">
        <v>116385205</v>
      </c>
      <c r="H7000" s="484">
        <v>116385205</v>
      </c>
      <c r="I7000" s="422" t="s">
        <v>680</v>
      </c>
      <c r="J7000" s="484"/>
      <c r="K7000" s="548"/>
      <c r="L7000" s="548"/>
      <c r="M7000" s="548"/>
      <c r="N7000" s="552"/>
    </row>
    <row r="7001" spans="1:14">
      <c r="A7001" s="499">
        <v>45733</v>
      </c>
      <c r="B7001" s="499">
        <v>45733</v>
      </c>
      <c r="C7001" s="500" t="s">
        <v>173</v>
      </c>
      <c r="D7001" s="500" t="s">
        <v>759</v>
      </c>
      <c r="E7001" s="501">
        <v>-1107524673.72</v>
      </c>
      <c r="F7001" s="502" t="s">
        <v>878</v>
      </c>
      <c r="G7001" s="100">
        <v>116382207</v>
      </c>
      <c r="H7001" s="530"/>
      <c r="I7001" s="422" t="s">
        <v>633</v>
      </c>
      <c r="J7001" s="484"/>
      <c r="K7001" s="548"/>
      <c r="L7001" s="548"/>
      <c r="M7001" s="548"/>
      <c r="N7001" s="552"/>
    </row>
    <row r="7002" spans="1:14">
      <c r="A7002" s="499">
        <v>45733</v>
      </c>
      <c r="B7002" s="499">
        <v>45733</v>
      </c>
      <c r="C7002" s="500" t="s">
        <v>173</v>
      </c>
      <c r="D7002" s="500" t="s">
        <v>759</v>
      </c>
      <c r="E7002" s="501">
        <v>-885722089.20000005</v>
      </c>
      <c r="F7002" s="502" t="s">
        <v>878</v>
      </c>
      <c r="G7002" s="100">
        <v>116382366</v>
      </c>
      <c r="H7002" s="530"/>
      <c r="I7002" s="422" t="s">
        <v>604</v>
      </c>
      <c r="J7002" s="484"/>
      <c r="K7002" s="548"/>
      <c r="L7002" s="548"/>
      <c r="M7002" s="548"/>
      <c r="N7002" s="552"/>
    </row>
    <row r="7003" spans="1:14">
      <c r="A7003" s="499">
        <v>45733</v>
      </c>
      <c r="B7003" s="499">
        <v>45733</v>
      </c>
      <c r="C7003" s="500" t="s">
        <v>173</v>
      </c>
      <c r="D7003" s="500" t="s">
        <v>759</v>
      </c>
      <c r="E7003" s="501">
        <v>-10004739.6</v>
      </c>
      <c r="F7003" s="502" t="s">
        <v>878</v>
      </c>
      <c r="G7003" s="100">
        <v>116382405</v>
      </c>
      <c r="H7003" s="530"/>
      <c r="I7003" s="422" t="s">
        <v>633</v>
      </c>
      <c r="J7003" s="484"/>
      <c r="K7003" s="548"/>
      <c r="L7003" s="548"/>
      <c r="M7003" s="548"/>
      <c r="N7003" s="552"/>
    </row>
    <row r="7004" spans="1:14">
      <c r="A7004" s="499">
        <v>45733</v>
      </c>
      <c r="B7004" s="499">
        <v>45733</v>
      </c>
      <c r="C7004" s="500" t="s">
        <v>173</v>
      </c>
      <c r="D7004" s="500" t="s">
        <v>759</v>
      </c>
      <c r="E7004" s="501">
        <v>-270005506.41000003</v>
      </c>
      <c r="F7004" s="502" t="s">
        <v>878</v>
      </c>
      <c r="G7004" s="100">
        <v>116390849</v>
      </c>
      <c r="H7004" s="530"/>
      <c r="I7004" s="422" t="s">
        <v>1018</v>
      </c>
      <c r="J7004" s="484"/>
      <c r="K7004" s="548"/>
      <c r="L7004" s="548"/>
      <c r="M7004" s="548"/>
      <c r="N7004" s="552"/>
    </row>
    <row r="7005" spans="1:14">
      <c r="A7005" s="499">
        <v>45733</v>
      </c>
      <c r="B7005" s="499">
        <v>45733</v>
      </c>
      <c r="C7005" s="500" t="s">
        <v>173</v>
      </c>
      <c r="D7005" s="500" t="s">
        <v>759</v>
      </c>
      <c r="E7005" s="501">
        <v>-115002345.31999999</v>
      </c>
      <c r="F7005" s="502" t="s">
        <v>878</v>
      </c>
      <c r="G7005" s="100">
        <v>116390852</v>
      </c>
      <c r="H7005" s="530"/>
      <c r="I7005" s="422" t="s">
        <v>1018</v>
      </c>
      <c r="J7005" s="484"/>
      <c r="K7005" s="548"/>
      <c r="L7005" s="548"/>
      <c r="M7005" s="548"/>
      <c r="N7005" s="552"/>
    </row>
    <row r="7006" spans="1:14">
      <c r="A7006" s="499">
        <v>45733</v>
      </c>
      <c r="B7006" s="499">
        <v>45734</v>
      </c>
      <c r="C7006" s="500" t="s">
        <v>173</v>
      </c>
      <c r="D7006" s="500" t="s">
        <v>759</v>
      </c>
      <c r="E7006" s="501">
        <v>1108002578.2</v>
      </c>
      <c r="F7006" s="502" t="s">
        <v>878</v>
      </c>
      <c r="G7006" s="100">
        <v>116382207</v>
      </c>
      <c r="H7006" s="484">
        <v>116382207</v>
      </c>
      <c r="I7006" s="422" t="s">
        <v>633</v>
      </c>
      <c r="J7006" s="484"/>
      <c r="K7006" s="548"/>
      <c r="L7006" s="548"/>
      <c r="M7006" s="548"/>
      <c r="N7006" s="552"/>
    </row>
    <row r="7007" spans="1:14">
      <c r="A7007" s="499">
        <v>45733</v>
      </c>
      <c r="B7007" s="499">
        <v>45734</v>
      </c>
      <c r="C7007" s="500" t="s">
        <v>173</v>
      </c>
      <c r="D7007" s="500" t="s">
        <v>759</v>
      </c>
      <c r="E7007" s="501">
        <v>886103071.02999997</v>
      </c>
      <c r="F7007" s="502" t="s">
        <v>878</v>
      </c>
      <c r="G7007" s="100">
        <v>116382366</v>
      </c>
      <c r="H7007" s="484">
        <v>116382366</v>
      </c>
      <c r="I7007" s="422" t="s">
        <v>604</v>
      </c>
      <c r="J7007" s="484"/>
      <c r="K7007" s="548"/>
      <c r="L7007" s="548"/>
      <c r="M7007" s="548"/>
      <c r="N7007" s="552"/>
    </row>
    <row r="7008" spans="1:14">
      <c r="A7008" s="499">
        <v>45733</v>
      </c>
      <c r="B7008" s="499">
        <v>45734</v>
      </c>
      <c r="C7008" s="500" t="s">
        <v>173</v>
      </c>
      <c r="D7008" s="500" t="s">
        <v>759</v>
      </c>
      <c r="E7008" s="501">
        <v>10009043.01</v>
      </c>
      <c r="F7008" s="502" t="s">
        <v>878</v>
      </c>
      <c r="G7008" s="100">
        <v>116382405</v>
      </c>
      <c r="H7008" s="484">
        <v>116382405</v>
      </c>
      <c r="I7008" s="422" t="s">
        <v>633</v>
      </c>
      <c r="J7008" s="484"/>
      <c r="K7008" s="548"/>
      <c r="L7008" s="548"/>
      <c r="M7008" s="548"/>
      <c r="N7008" s="552"/>
    </row>
    <row r="7009" spans="1:14">
      <c r="A7009" s="499">
        <v>45733</v>
      </c>
      <c r="B7009" s="499">
        <v>45734</v>
      </c>
      <c r="C7009" s="500" t="s">
        <v>173</v>
      </c>
      <c r="D7009" s="500" t="s">
        <v>759</v>
      </c>
      <c r="E7009" s="501">
        <v>270122015.63999999</v>
      </c>
      <c r="F7009" s="502" t="s">
        <v>878</v>
      </c>
      <c r="G7009" s="100">
        <v>116390849</v>
      </c>
      <c r="H7009" s="484">
        <v>116390849</v>
      </c>
      <c r="I7009" s="422" t="s">
        <v>1018</v>
      </c>
      <c r="J7009" s="484"/>
      <c r="K7009" s="548"/>
      <c r="L7009" s="548"/>
      <c r="M7009" s="548"/>
      <c r="N7009" s="552"/>
    </row>
    <row r="7010" spans="1:14">
      <c r="A7010" s="499">
        <v>45733</v>
      </c>
      <c r="B7010" s="499">
        <v>45734</v>
      </c>
      <c r="C7010" s="500" t="s">
        <v>173</v>
      </c>
      <c r="D7010" s="500" t="s">
        <v>759</v>
      </c>
      <c r="E7010" s="501">
        <v>115051969.62</v>
      </c>
      <c r="F7010" s="502" t="s">
        <v>878</v>
      </c>
      <c r="G7010" s="100">
        <v>116390852</v>
      </c>
      <c r="H7010" s="484">
        <v>116390852</v>
      </c>
      <c r="I7010" s="422" t="s">
        <v>1018</v>
      </c>
      <c r="J7010" s="484"/>
      <c r="K7010" s="548"/>
      <c r="L7010" s="548"/>
      <c r="M7010" s="548"/>
      <c r="N7010" s="552"/>
    </row>
    <row r="7011" spans="1:14">
      <c r="A7011" s="499">
        <v>45733</v>
      </c>
      <c r="B7011" s="499">
        <v>45733</v>
      </c>
      <c r="C7011" s="500" t="s">
        <v>173</v>
      </c>
      <c r="D7011" s="500" t="s">
        <v>760</v>
      </c>
      <c r="E7011" s="501">
        <v>-234014933.69</v>
      </c>
      <c r="F7011" s="502" t="s">
        <v>878</v>
      </c>
      <c r="G7011" s="100">
        <v>116382506</v>
      </c>
      <c r="H7011" s="530"/>
      <c r="I7011" s="422" t="s">
        <v>635</v>
      </c>
      <c r="J7011" s="484"/>
      <c r="K7011" s="548"/>
      <c r="L7011" s="548"/>
      <c r="M7011" s="548"/>
      <c r="N7011" s="552"/>
    </row>
    <row r="7012" spans="1:14">
      <c r="A7012" s="499">
        <v>45733</v>
      </c>
      <c r="B7012" s="499">
        <v>45734</v>
      </c>
      <c r="C7012" s="500" t="s">
        <v>173</v>
      </c>
      <c r="D7012" s="500" t="s">
        <v>760</v>
      </c>
      <c r="E7012" s="501">
        <v>234115848.62</v>
      </c>
      <c r="F7012" s="502" t="s">
        <v>878</v>
      </c>
      <c r="G7012" s="100">
        <v>116382506</v>
      </c>
      <c r="H7012" s="484">
        <v>116382506</v>
      </c>
      <c r="I7012" s="422" t="s">
        <v>635</v>
      </c>
      <c r="J7012" s="484"/>
      <c r="K7012" s="548"/>
      <c r="L7012" s="548"/>
      <c r="M7012" s="548"/>
      <c r="N7012" s="552"/>
    </row>
    <row r="7013" spans="1:14">
      <c r="A7013" s="499">
        <v>45733</v>
      </c>
      <c r="B7013" s="499">
        <v>45733</v>
      </c>
      <c r="C7013" s="500" t="s">
        <v>173</v>
      </c>
      <c r="D7013" s="500" t="s">
        <v>764</v>
      </c>
      <c r="E7013" s="501">
        <v>-135066289.90000001</v>
      </c>
      <c r="F7013" s="502" t="s">
        <v>878</v>
      </c>
      <c r="G7013" s="100">
        <v>116386883</v>
      </c>
      <c r="H7013" s="530"/>
      <c r="I7013" s="422" t="s">
        <v>1013</v>
      </c>
      <c r="J7013" s="484"/>
      <c r="K7013" s="548"/>
      <c r="L7013" s="548"/>
      <c r="M7013" s="548"/>
      <c r="N7013" s="552"/>
    </row>
    <row r="7014" spans="1:14">
      <c r="A7014" s="499">
        <v>45733</v>
      </c>
      <c r="B7014" s="499">
        <v>45733</v>
      </c>
      <c r="C7014" s="500" t="s">
        <v>173</v>
      </c>
      <c r="D7014" s="500" t="s">
        <v>764</v>
      </c>
      <c r="E7014" s="501">
        <v>-23010901.079999998</v>
      </c>
      <c r="F7014" s="502" t="s">
        <v>878</v>
      </c>
      <c r="G7014" s="100">
        <v>116386994</v>
      </c>
      <c r="H7014" s="530"/>
      <c r="I7014" s="422" t="s">
        <v>633</v>
      </c>
      <c r="J7014" s="484"/>
      <c r="K7014" s="548"/>
      <c r="L7014" s="548"/>
      <c r="M7014" s="548"/>
      <c r="N7014" s="552"/>
    </row>
    <row r="7015" spans="1:14">
      <c r="A7015" s="499">
        <v>45733</v>
      </c>
      <c r="B7015" s="499">
        <v>45734</v>
      </c>
      <c r="C7015" s="500" t="s">
        <v>173</v>
      </c>
      <c r="D7015" s="500" t="s">
        <v>764</v>
      </c>
      <c r="E7015" s="501">
        <v>135124386.91</v>
      </c>
      <c r="F7015" s="502" t="s">
        <v>878</v>
      </c>
      <c r="G7015" s="100">
        <v>116386883</v>
      </c>
      <c r="H7015" s="484">
        <v>116386883</v>
      </c>
      <c r="I7015" s="422" t="s">
        <v>1013</v>
      </c>
      <c r="J7015" s="484"/>
      <c r="K7015" s="548"/>
      <c r="L7015" s="548"/>
      <c r="M7015" s="548"/>
      <c r="N7015" s="552"/>
    </row>
    <row r="7016" spans="1:14">
      <c r="A7016" s="499">
        <v>45733</v>
      </c>
      <c r="B7016" s="499">
        <v>45734</v>
      </c>
      <c r="C7016" s="500" t="s">
        <v>173</v>
      </c>
      <c r="D7016" s="500" t="s">
        <v>764</v>
      </c>
      <c r="E7016" s="501">
        <v>23020798.920000002</v>
      </c>
      <c r="F7016" s="502" t="s">
        <v>878</v>
      </c>
      <c r="G7016" s="100">
        <v>116386994</v>
      </c>
      <c r="H7016" s="484">
        <v>116386994</v>
      </c>
      <c r="I7016" s="422" t="s">
        <v>633</v>
      </c>
      <c r="J7016" s="484"/>
      <c r="K7016" s="548"/>
      <c r="L7016" s="548"/>
      <c r="M7016" s="548"/>
      <c r="N7016" s="552"/>
    </row>
    <row r="7017" spans="1:14">
      <c r="A7017" s="499">
        <v>45733</v>
      </c>
      <c r="B7017" s="499">
        <v>45733</v>
      </c>
      <c r="C7017" s="500" t="s">
        <v>173</v>
      </c>
      <c r="D7017" s="500" t="s">
        <v>763</v>
      </c>
      <c r="E7017" s="501">
        <v>-4586100572.1599998</v>
      </c>
      <c r="F7017" s="502" t="s">
        <v>878</v>
      </c>
      <c r="G7017" s="100">
        <v>116381349</v>
      </c>
      <c r="H7017" s="530"/>
      <c r="I7017" s="422" t="s">
        <v>684</v>
      </c>
      <c r="J7017" s="484"/>
      <c r="K7017" s="548"/>
      <c r="L7017" s="548"/>
      <c r="M7017" s="548"/>
      <c r="N7017" s="552"/>
    </row>
    <row r="7018" spans="1:14">
      <c r="A7018" s="499">
        <v>45733</v>
      </c>
      <c r="B7018" s="499">
        <v>45733</v>
      </c>
      <c r="C7018" s="500" t="s">
        <v>173</v>
      </c>
      <c r="D7018" s="500" t="s">
        <v>763</v>
      </c>
      <c r="E7018" s="501">
        <v>-22002884.640000001</v>
      </c>
      <c r="F7018" s="502" t="s">
        <v>878</v>
      </c>
      <c r="G7018" s="100">
        <v>116381427</v>
      </c>
      <c r="H7018" s="530"/>
      <c r="I7018" s="422" t="s">
        <v>685</v>
      </c>
      <c r="J7018" s="484"/>
      <c r="K7018" s="548"/>
      <c r="L7018" s="548"/>
      <c r="M7018" s="548"/>
      <c r="N7018" s="552"/>
    </row>
    <row r="7019" spans="1:14">
      <c r="A7019" s="499">
        <v>45733</v>
      </c>
      <c r="B7019" s="499">
        <v>45733</v>
      </c>
      <c r="C7019" s="500" t="s">
        <v>173</v>
      </c>
      <c r="D7019" s="500" t="s">
        <v>763</v>
      </c>
      <c r="E7019" s="501">
        <v>-195136484.40000001</v>
      </c>
      <c r="F7019" s="502" t="s">
        <v>878</v>
      </c>
      <c r="G7019" s="100">
        <v>116384837</v>
      </c>
      <c r="H7019" s="530"/>
      <c r="I7019" s="422" t="s">
        <v>681</v>
      </c>
      <c r="J7019" s="484"/>
      <c r="K7019" s="548"/>
      <c r="L7019" s="548"/>
      <c r="M7019" s="548"/>
      <c r="N7019" s="552"/>
    </row>
    <row r="7020" spans="1:14">
      <c r="A7020" s="499">
        <v>45733</v>
      </c>
      <c r="B7020" s="499">
        <v>45733</v>
      </c>
      <c r="C7020" s="500" t="s">
        <v>173</v>
      </c>
      <c r="D7020" s="500" t="s">
        <v>763</v>
      </c>
      <c r="E7020" s="501">
        <v>-1000699.92</v>
      </c>
      <c r="F7020" s="502" t="s">
        <v>878</v>
      </c>
      <c r="G7020" s="100">
        <v>116384867</v>
      </c>
      <c r="H7020" s="530"/>
      <c r="I7020" s="422" t="s">
        <v>681</v>
      </c>
      <c r="J7020" s="484"/>
      <c r="K7020" s="548"/>
      <c r="L7020" s="548"/>
      <c r="M7020" s="548"/>
      <c r="N7020" s="552"/>
    </row>
    <row r="7021" spans="1:14">
      <c r="A7021" s="499">
        <v>45733</v>
      </c>
      <c r="B7021" s="499">
        <v>45734</v>
      </c>
      <c r="C7021" s="500" t="s">
        <v>173</v>
      </c>
      <c r="D7021" s="500" t="s">
        <v>763</v>
      </c>
      <c r="E7021" s="501">
        <v>4588049350.79</v>
      </c>
      <c r="F7021" s="502" t="s">
        <v>878</v>
      </c>
      <c r="G7021" s="100">
        <v>116381349</v>
      </c>
      <c r="H7021" s="484">
        <v>116381349</v>
      </c>
      <c r="I7021" s="422" t="s">
        <v>684</v>
      </c>
      <c r="J7021" s="484"/>
      <c r="K7021" s="548"/>
      <c r="L7021" s="548"/>
      <c r="M7021" s="548"/>
      <c r="N7021" s="552"/>
    </row>
    <row r="7022" spans="1:14">
      <c r="A7022" s="499">
        <v>45733</v>
      </c>
      <c r="B7022" s="499">
        <v>45734</v>
      </c>
      <c r="C7022" s="500" t="s">
        <v>173</v>
      </c>
      <c r="D7022" s="500" t="s">
        <v>763</v>
      </c>
      <c r="E7022" s="501">
        <v>22012348.890000001</v>
      </c>
      <c r="F7022" s="502" t="s">
        <v>878</v>
      </c>
      <c r="G7022" s="100">
        <v>116381427</v>
      </c>
      <c r="H7022" s="484">
        <v>116381427</v>
      </c>
      <c r="I7022" s="422" t="s">
        <v>685</v>
      </c>
      <c r="J7022" s="484"/>
      <c r="K7022" s="548"/>
      <c r="L7022" s="548"/>
      <c r="M7022" s="548"/>
      <c r="N7022" s="552"/>
    </row>
    <row r="7023" spans="1:14">
      <c r="A7023" s="499">
        <v>45733</v>
      </c>
      <c r="B7023" s="499">
        <v>45734</v>
      </c>
      <c r="C7023" s="500" t="s">
        <v>173</v>
      </c>
      <c r="D7023" s="500" t="s">
        <v>763</v>
      </c>
      <c r="E7023" s="501">
        <v>195220155.18000001</v>
      </c>
      <c r="F7023" s="502" t="s">
        <v>878</v>
      </c>
      <c r="G7023" s="100">
        <v>116384837</v>
      </c>
      <c r="H7023" s="484">
        <v>116384837</v>
      </c>
      <c r="I7023" s="422" t="s">
        <v>681</v>
      </c>
      <c r="J7023" s="484"/>
      <c r="K7023" s="548"/>
      <c r="L7023" s="548"/>
      <c r="M7023" s="548"/>
      <c r="N7023" s="552"/>
    </row>
    <row r="7024" spans="1:14">
      <c r="A7024" s="499">
        <v>45733</v>
      </c>
      <c r="B7024" s="499">
        <v>45734</v>
      </c>
      <c r="C7024" s="500" t="s">
        <v>173</v>
      </c>
      <c r="D7024" s="500" t="s">
        <v>763</v>
      </c>
      <c r="E7024" s="501">
        <v>1001129</v>
      </c>
      <c r="F7024" s="502" t="s">
        <v>878</v>
      </c>
      <c r="G7024" s="100">
        <v>116384867</v>
      </c>
      <c r="H7024" s="484">
        <v>116384867</v>
      </c>
      <c r="I7024" s="422" t="s">
        <v>681</v>
      </c>
      <c r="J7024" s="484"/>
      <c r="K7024" s="548"/>
      <c r="L7024" s="548"/>
      <c r="M7024" s="548"/>
      <c r="N7024" s="552"/>
    </row>
    <row r="7025" spans="1:25">
      <c r="A7025" s="499">
        <v>45733</v>
      </c>
      <c r="B7025" s="499">
        <v>45733</v>
      </c>
      <c r="C7025" s="500" t="s">
        <v>173</v>
      </c>
      <c r="D7025" s="500" t="s">
        <v>759</v>
      </c>
      <c r="E7025" s="501">
        <v>386250000</v>
      </c>
      <c r="F7025" s="502" t="s">
        <v>381</v>
      </c>
      <c r="G7025" s="100" t="s">
        <v>417</v>
      </c>
      <c r="H7025" s="530"/>
      <c r="I7025" s="422"/>
      <c r="K7025" s="548"/>
      <c r="L7025" s="548"/>
      <c r="M7025" s="548"/>
      <c r="N7025" s="552"/>
    </row>
    <row r="7026" spans="1:25">
      <c r="A7026" s="499">
        <v>45733</v>
      </c>
      <c r="B7026" s="499">
        <v>45733</v>
      </c>
      <c r="C7026" s="500" t="s">
        <v>173</v>
      </c>
      <c r="D7026" s="500" t="s">
        <v>762</v>
      </c>
      <c r="E7026" s="501">
        <v>371572500</v>
      </c>
      <c r="F7026" s="502" t="s">
        <v>381</v>
      </c>
      <c r="G7026" s="100" t="s">
        <v>417</v>
      </c>
      <c r="H7026" s="530"/>
      <c r="I7026" s="422"/>
      <c r="K7026" s="548"/>
      <c r="L7026" s="548"/>
      <c r="M7026" s="548"/>
      <c r="N7026" s="552"/>
    </row>
    <row r="7027" spans="1:25">
      <c r="A7027" s="499">
        <v>45733</v>
      </c>
      <c r="B7027" s="499">
        <v>45733</v>
      </c>
      <c r="C7027" s="500" t="s">
        <v>173</v>
      </c>
      <c r="D7027" s="500" t="s">
        <v>760</v>
      </c>
      <c r="E7027" s="501">
        <v>233295000</v>
      </c>
      <c r="F7027" s="502" t="s">
        <v>381</v>
      </c>
      <c r="G7027" s="100" t="s">
        <v>417</v>
      </c>
      <c r="H7027" s="530"/>
      <c r="I7027" s="422"/>
      <c r="K7027" s="548"/>
      <c r="L7027" s="548"/>
      <c r="M7027" s="548"/>
      <c r="N7027" s="552"/>
    </row>
    <row r="7028" spans="1:25">
      <c r="A7028" s="499">
        <v>45733</v>
      </c>
      <c r="B7028" s="499">
        <v>45733</v>
      </c>
      <c r="C7028" s="500" t="s">
        <v>173</v>
      </c>
      <c r="D7028" s="500" t="s">
        <v>761</v>
      </c>
      <c r="E7028" s="501">
        <v>149350000</v>
      </c>
      <c r="F7028" s="502" t="s">
        <v>381</v>
      </c>
      <c r="G7028" s="100" t="s">
        <v>417</v>
      </c>
      <c r="H7028" s="530"/>
      <c r="I7028" s="422"/>
      <c r="K7028" s="548"/>
      <c r="L7028" s="548"/>
      <c r="M7028" s="548"/>
      <c r="N7028" s="552"/>
    </row>
    <row r="7029" spans="1:25">
      <c r="A7029" s="499">
        <v>45733</v>
      </c>
      <c r="B7029" s="499">
        <v>45733</v>
      </c>
      <c r="C7029" s="500" t="s">
        <v>173</v>
      </c>
      <c r="D7029" s="500" t="s">
        <v>763</v>
      </c>
      <c r="E7029" s="501">
        <v>195442500</v>
      </c>
      <c r="F7029" s="502" t="s">
        <v>381</v>
      </c>
      <c r="G7029" s="100" t="s">
        <v>417</v>
      </c>
      <c r="H7029" s="530"/>
      <c r="I7029" s="422"/>
      <c r="K7029" s="548"/>
      <c r="L7029" s="548"/>
      <c r="M7029" s="548"/>
      <c r="N7029" s="552"/>
    </row>
    <row r="7030" spans="1:25">
      <c r="A7030" s="499">
        <v>45733</v>
      </c>
      <c r="B7030" s="499">
        <v>45733</v>
      </c>
      <c r="C7030" s="500" t="s">
        <v>173</v>
      </c>
      <c r="D7030" s="500" t="s">
        <v>764</v>
      </c>
      <c r="E7030" s="501">
        <v>157590000</v>
      </c>
      <c r="F7030" s="502" t="s">
        <v>381</v>
      </c>
      <c r="G7030" s="100" t="s">
        <v>417</v>
      </c>
      <c r="H7030" s="530"/>
      <c r="I7030" s="422"/>
      <c r="K7030" s="548"/>
      <c r="L7030" s="548"/>
      <c r="M7030" s="548"/>
      <c r="N7030" s="552"/>
    </row>
    <row r="7031" spans="1:25">
      <c r="A7031" s="499">
        <v>45734</v>
      </c>
      <c r="B7031" s="499">
        <v>45734</v>
      </c>
      <c r="C7031" s="500" t="s">
        <v>173</v>
      </c>
      <c r="D7031" s="500" t="s">
        <v>762</v>
      </c>
      <c r="E7031" s="501">
        <v>-5253421052.3199997</v>
      </c>
      <c r="F7031" s="502" t="s">
        <v>878</v>
      </c>
      <c r="G7031" s="100">
        <v>116406390</v>
      </c>
      <c r="H7031" s="530"/>
      <c r="I7031" s="422" t="s">
        <v>674</v>
      </c>
      <c r="J7031" s="484"/>
      <c r="K7031" s="548"/>
      <c r="L7031" s="548"/>
      <c r="M7031" s="548"/>
      <c r="N7031" s="552"/>
    </row>
    <row r="7032" spans="1:25">
      <c r="A7032" s="499">
        <v>45734</v>
      </c>
      <c r="B7032" s="499">
        <v>45734</v>
      </c>
      <c r="C7032" s="500" t="s">
        <v>173</v>
      </c>
      <c r="D7032" s="500" t="s">
        <v>762</v>
      </c>
      <c r="E7032" s="501">
        <v>-26023782.879999999</v>
      </c>
      <c r="F7032" s="502" t="s">
        <v>878</v>
      </c>
      <c r="G7032" s="100">
        <v>116408792</v>
      </c>
      <c r="H7032" s="530"/>
      <c r="I7032" s="422" t="s">
        <v>681</v>
      </c>
      <c r="J7032" s="484"/>
      <c r="K7032" s="548"/>
      <c r="L7032" s="548"/>
      <c r="M7032" s="548"/>
      <c r="N7032" s="552"/>
    </row>
    <row r="7033" spans="1:25">
      <c r="A7033" s="499">
        <v>45734</v>
      </c>
      <c r="B7033" s="499">
        <v>45735</v>
      </c>
      <c r="C7033" s="500" t="s">
        <v>173</v>
      </c>
      <c r="D7033" s="500" t="s">
        <v>762</v>
      </c>
      <c r="E7033" s="501">
        <v>5255651957.1499996</v>
      </c>
      <c r="F7033" s="502" t="s">
        <v>878</v>
      </c>
      <c r="G7033" s="100">
        <v>116406390</v>
      </c>
      <c r="H7033" s="484">
        <v>116406390</v>
      </c>
      <c r="I7033" s="422" t="s">
        <v>674</v>
      </c>
      <c r="J7033" s="484"/>
      <c r="K7033" s="548"/>
      <c r="L7033" s="548"/>
      <c r="M7033" s="548"/>
      <c r="N7033" s="552"/>
    </row>
    <row r="7034" spans="1:25">
      <c r="A7034" s="499">
        <v>45734</v>
      </c>
      <c r="B7034" s="499">
        <v>45735</v>
      </c>
      <c r="C7034" s="500" t="s">
        <v>173</v>
      </c>
      <c r="D7034" s="500" t="s">
        <v>762</v>
      </c>
      <c r="E7034" s="501">
        <v>26034870.289999999</v>
      </c>
      <c r="F7034" s="502" t="s">
        <v>878</v>
      </c>
      <c r="G7034" s="100">
        <v>116408792</v>
      </c>
      <c r="H7034" s="484">
        <v>116408792</v>
      </c>
      <c r="I7034" s="422" t="s">
        <v>681</v>
      </c>
      <c r="J7034" s="484"/>
      <c r="K7034" s="548"/>
      <c r="L7034" s="548"/>
      <c r="M7034" s="548"/>
      <c r="N7034" s="552"/>
    </row>
    <row r="7035" spans="1:25">
      <c r="A7035" s="499">
        <v>45734</v>
      </c>
      <c r="B7035" s="499">
        <v>45736</v>
      </c>
      <c r="C7035" s="500" t="s">
        <v>173</v>
      </c>
      <c r="D7035" s="500" t="s">
        <v>762</v>
      </c>
      <c r="E7035" s="501">
        <v>-844119111.11000001</v>
      </c>
      <c r="F7035" s="502" t="s">
        <v>906</v>
      </c>
      <c r="G7035" s="100" t="s">
        <v>68</v>
      </c>
      <c r="H7035" s="530"/>
      <c r="I7035" s="422" t="s">
        <v>703</v>
      </c>
      <c r="K7035" s="548">
        <v>116416328</v>
      </c>
      <c r="L7035" s="549">
        <v>81.775800000000004</v>
      </c>
      <c r="M7035" s="549">
        <f>E7035*(-1)/(N7035*O7035)*100</f>
        <v>84.411911111000009</v>
      </c>
      <c r="N7035" s="549">
        <v>1000000</v>
      </c>
      <c r="O7035" s="539">
        <v>1000</v>
      </c>
      <c r="T7035" s="549">
        <v>15.5</v>
      </c>
      <c r="U7035" s="555">
        <v>0</v>
      </c>
      <c r="V7035" s="538">
        <v>84411.91</v>
      </c>
      <c r="W7035" s="550">
        <f>VLOOKUP(G7035,Справочник!A:C,3,0)</f>
        <v>6.5000000000000002E-2</v>
      </c>
      <c r="X7035" s="539" t="str">
        <f>VLOOKUP(G7035,Справочник!A:G,7,0)</f>
        <v>Министерство финансов Республики Казахстан</v>
      </c>
      <c r="Y7035" s="551" t="str">
        <f>VLOOKUP(G7035,Справочник!A:B,2,0)</f>
        <v>24.10.2027</v>
      </c>
    </row>
    <row r="7036" spans="1:25">
      <c r="A7036" s="499">
        <v>45734</v>
      </c>
      <c r="B7036" s="499">
        <v>45734</v>
      </c>
      <c r="C7036" s="500" t="s">
        <v>173</v>
      </c>
      <c r="D7036" s="500" t="s">
        <v>761</v>
      </c>
      <c r="E7036" s="501">
        <v>-499099377.85000002</v>
      </c>
      <c r="F7036" s="502" t="s">
        <v>878</v>
      </c>
      <c r="G7036" s="100">
        <v>116402242</v>
      </c>
      <c r="H7036" s="530"/>
      <c r="I7036" s="422" t="s">
        <v>657</v>
      </c>
      <c r="J7036" s="484"/>
      <c r="K7036" s="548"/>
      <c r="L7036" s="548"/>
      <c r="M7036" s="548"/>
      <c r="N7036" s="552"/>
    </row>
    <row r="7037" spans="1:25">
      <c r="A7037" s="499">
        <v>45734</v>
      </c>
      <c r="B7037" s="499">
        <v>45734</v>
      </c>
      <c r="C7037" s="500" t="s">
        <v>173</v>
      </c>
      <c r="D7037" s="500" t="s">
        <v>761</v>
      </c>
      <c r="E7037" s="501">
        <v>-2001829.45</v>
      </c>
      <c r="F7037" s="502" t="s">
        <v>878</v>
      </c>
      <c r="G7037" s="100">
        <v>116408085</v>
      </c>
      <c r="H7037" s="530"/>
      <c r="I7037" s="422" t="s">
        <v>681</v>
      </c>
      <c r="J7037" s="484"/>
      <c r="K7037" s="548"/>
      <c r="L7037" s="548"/>
      <c r="M7037" s="548"/>
      <c r="N7037" s="552"/>
    </row>
    <row r="7038" spans="1:25">
      <c r="A7038" s="499">
        <v>45734</v>
      </c>
      <c r="B7038" s="499">
        <v>45735</v>
      </c>
      <c r="C7038" s="500" t="s">
        <v>173</v>
      </c>
      <c r="D7038" s="500" t="s">
        <v>761</v>
      </c>
      <c r="E7038" s="501">
        <v>499315426.35000002</v>
      </c>
      <c r="F7038" s="502" t="s">
        <v>878</v>
      </c>
      <c r="G7038" s="100">
        <v>116402242</v>
      </c>
      <c r="H7038" s="484">
        <v>116402242</v>
      </c>
      <c r="I7038" s="422" t="s">
        <v>657</v>
      </c>
      <c r="J7038" s="484"/>
      <c r="K7038" s="548"/>
      <c r="L7038" s="548"/>
      <c r="M7038" s="548"/>
      <c r="N7038" s="552"/>
    </row>
    <row r="7039" spans="1:25">
      <c r="A7039" s="499">
        <v>45734</v>
      </c>
      <c r="B7039" s="499">
        <v>45735</v>
      </c>
      <c r="C7039" s="500" t="s">
        <v>173</v>
      </c>
      <c r="D7039" s="500" t="s">
        <v>761</v>
      </c>
      <c r="E7039" s="501">
        <v>2002682.28</v>
      </c>
      <c r="F7039" s="502" t="s">
        <v>878</v>
      </c>
      <c r="G7039" s="100">
        <v>116408085</v>
      </c>
      <c r="H7039" s="484">
        <v>116408085</v>
      </c>
      <c r="I7039" s="422" t="s">
        <v>681</v>
      </c>
      <c r="J7039" s="484"/>
      <c r="K7039" s="548"/>
      <c r="L7039" s="548"/>
      <c r="M7039" s="548"/>
      <c r="N7039" s="552"/>
    </row>
    <row r="7040" spans="1:25">
      <c r="A7040" s="499">
        <v>45734</v>
      </c>
      <c r="B7040" s="499">
        <v>45734</v>
      </c>
      <c r="C7040" s="500" t="s">
        <v>173</v>
      </c>
      <c r="D7040" s="500" t="s">
        <v>759</v>
      </c>
      <c r="E7040" s="501">
        <v>-1000908.76</v>
      </c>
      <c r="F7040" s="502" t="s">
        <v>878</v>
      </c>
      <c r="G7040" s="100">
        <v>116401838</v>
      </c>
      <c r="H7040" s="530"/>
      <c r="I7040" s="422" t="s">
        <v>598</v>
      </c>
      <c r="J7040" s="484"/>
      <c r="K7040" s="548"/>
      <c r="L7040" s="548"/>
      <c r="M7040" s="548"/>
      <c r="N7040" s="552"/>
    </row>
    <row r="7041" spans="1:14">
      <c r="A7041" s="499">
        <v>45734</v>
      </c>
      <c r="B7041" s="499">
        <v>45734</v>
      </c>
      <c r="C7041" s="500" t="s">
        <v>173</v>
      </c>
      <c r="D7041" s="500" t="s">
        <v>759</v>
      </c>
      <c r="E7041" s="501">
        <v>-1000118.75</v>
      </c>
      <c r="F7041" s="502" t="s">
        <v>878</v>
      </c>
      <c r="G7041" s="100">
        <v>116401841</v>
      </c>
      <c r="H7041" s="530"/>
      <c r="I7041" s="422" t="s">
        <v>592</v>
      </c>
      <c r="J7041" s="484"/>
      <c r="K7041" s="548"/>
      <c r="L7041" s="548"/>
      <c r="M7041" s="548"/>
      <c r="N7041" s="552"/>
    </row>
    <row r="7042" spans="1:14">
      <c r="A7042" s="499">
        <v>45734</v>
      </c>
      <c r="B7042" s="499">
        <v>45734</v>
      </c>
      <c r="C7042" s="500" t="s">
        <v>173</v>
      </c>
      <c r="D7042" s="500" t="s">
        <v>759</v>
      </c>
      <c r="E7042" s="501">
        <v>-1000471.48</v>
      </c>
      <c r="F7042" s="502" t="s">
        <v>878</v>
      </c>
      <c r="G7042" s="100">
        <v>116401844</v>
      </c>
      <c r="H7042" s="530"/>
      <c r="I7042" s="422" t="s">
        <v>713</v>
      </c>
      <c r="J7042" s="484"/>
      <c r="K7042" s="548"/>
      <c r="L7042" s="548"/>
      <c r="M7042" s="548"/>
      <c r="N7042" s="552"/>
    </row>
    <row r="7043" spans="1:14">
      <c r="A7043" s="499">
        <v>45734</v>
      </c>
      <c r="B7043" s="499">
        <v>45734</v>
      </c>
      <c r="C7043" s="500" t="s">
        <v>173</v>
      </c>
      <c r="D7043" s="500" t="s">
        <v>759</v>
      </c>
      <c r="E7043" s="501">
        <v>-1000085.21</v>
      </c>
      <c r="F7043" s="502" t="s">
        <v>878</v>
      </c>
      <c r="G7043" s="100">
        <v>116401847</v>
      </c>
      <c r="H7043" s="530"/>
      <c r="I7043" s="422" t="s">
        <v>715</v>
      </c>
      <c r="J7043" s="484"/>
      <c r="K7043" s="548"/>
      <c r="L7043" s="548"/>
      <c r="M7043" s="548"/>
      <c r="N7043" s="552"/>
    </row>
    <row r="7044" spans="1:14">
      <c r="A7044" s="499">
        <v>45734</v>
      </c>
      <c r="B7044" s="499">
        <v>45734</v>
      </c>
      <c r="C7044" s="500" t="s">
        <v>173</v>
      </c>
      <c r="D7044" s="500" t="s">
        <v>759</v>
      </c>
      <c r="E7044" s="501">
        <v>-1000118.75</v>
      </c>
      <c r="F7044" s="502" t="s">
        <v>878</v>
      </c>
      <c r="G7044" s="100">
        <v>116401850</v>
      </c>
      <c r="H7044" s="530"/>
      <c r="I7044" s="422" t="s">
        <v>592</v>
      </c>
      <c r="J7044" s="484"/>
      <c r="K7044" s="548"/>
      <c r="L7044" s="548"/>
      <c r="M7044" s="548"/>
      <c r="N7044" s="552"/>
    </row>
    <row r="7045" spans="1:14">
      <c r="A7045" s="499">
        <v>45734</v>
      </c>
      <c r="B7045" s="499">
        <v>45734</v>
      </c>
      <c r="C7045" s="500" t="s">
        <v>173</v>
      </c>
      <c r="D7045" s="500" t="s">
        <v>759</v>
      </c>
      <c r="E7045" s="501">
        <v>-1000068.97</v>
      </c>
      <c r="F7045" s="502" t="s">
        <v>878</v>
      </c>
      <c r="G7045" s="100">
        <v>116401853</v>
      </c>
      <c r="H7045" s="530"/>
      <c r="I7045" s="422" t="s">
        <v>675</v>
      </c>
      <c r="J7045" s="484"/>
      <c r="K7045" s="548"/>
      <c r="L7045" s="548"/>
      <c r="M7045" s="548"/>
      <c r="N7045" s="552"/>
    </row>
    <row r="7046" spans="1:14">
      <c r="A7046" s="499">
        <v>45734</v>
      </c>
      <c r="B7046" s="499">
        <v>45734</v>
      </c>
      <c r="C7046" s="500" t="s">
        <v>173</v>
      </c>
      <c r="D7046" s="500" t="s">
        <v>759</v>
      </c>
      <c r="E7046" s="501">
        <v>-1000118.75</v>
      </c>
      <c r="F7046" s="502" t="s">
        <v>878</v>
      </c>
      <c r="G7046" s="100">
        <v>116401856</v>
      </c>
      <c r="H7046" s="530"/>
      <c r="I7046" s="422" t="s">
        <v>592</v>
      </c>
      <c r="J7046" s="484"/>
      <c r="K7046" s="548"/>
      <c r="L7046" s="548"/>
      <c r="M7046" s="548"/>
      <c r="N7046" s="552"/>
    </row>
    <row r="7047" spans="1:14">
      <c r="A7047" s="499">
        <v>45734</v>
      </c>
      <c r="B7047" s="499">
        <v>45734</v>
      </c>
      <c r="C7047" s="500" t="s">
        <v>173</v>
      </c>
      <c r="D7047" s="500" t="s">
        <v>759</v>
      </c>
      <c r="E7047" s="501">
        <v>-1000191.6</v>
      </c>
      <c r="F7047" s="502" t="s">
        <v>878</v>
      </c>
      <c r="G7047" s="100">
        <v>116401859</v>
      </c>
      <c r="H7047" s="530"/>
      <c r="I7047" s="422" t="s">
        <v>693</v>
      </c>
      <c r="J7047" s="484"/>
      <c r="K7047" s="548"/>
      <c r="L7047" s="548"/>
      <c r="M7047" s="548"/>
      <c r="N7047" s="552"/>
    </row>
    <row r="7048" spans="1:14">
      <c r="A7048" s="499">
        <v>45734</v>
      </c>
      <c r="B7048" s="499">
        <v>45734</v>
      </c>
      <c r="C7048" s="500" t="s">
        <v>173</v>
      </c>
      <c r="D7048" s="500" t="s">
        <v>759</v>
      </c>
      <c r="E7048" s="501">
        <v>-2001555.05</v>
      </c>
      <c r="F7048" s="502" t="s">
        <v>878</v>
      </c>
      <c r="G7048" s="100">
        <v>116401862</v>
      </c>
      <c r="H7048" s="530"/>
      <c r="I7048" s="422" t="s">
        <v>682</v>
      </c>
      <c r="J7048" s="484"/>
      <c r="K7048" s="548"/>
      <c r="L7048" s="548"/>
      <c r="M7048" s="548"/>
      <c r="N7048" s="552"/>
    </row>
    <row r="7049" spans="1:14">
      <c r="A7049" s="499">
        <v>45734</v>
      </c>
      <c r="B7049" s="499">
        <v>45734</v>
      </c>
      <c r="C7049" s="500" t="s">
        <v>173</v>
      </c>
      <c r="D7049" s="500" t="s">
        <v>759</v>
      </c>
      <c r="E7049" s="501">
        <v>-3002695.65</v>
      </c>
      <c r="F7049" s="502" t="s">
        <v>878</v>
      </c>
      <c r="G7049" s="100">
        <v>116401865</v>
      </c>
      <c r="H7049" s="530"/>
      <c r="I7049" s="422" t="s">
        <v>817</v>
      </c>
      <c r="J7049" s="484"/>
      <c r="K7049" s="548"/>
      <c r="L7049" s="548"/>
      <c r="M7049" s="548"/>
      <c r="N7049" s="552"/>
    </row>
    <row r="7050" spans="1:14">
      <c r="A7050" s="499">
        <v>45734</v>
      </c>
      <c r="B7050" s="499">
        <v>45734</v>
      </c>
      <c r="C7050" s="500" t="s">
        <v>173</v>
      </c>
      <c r="D7050" s="500" t="s">
        <v>759</v>
      </c>
      <c r="E7050" s="501">
        <v>-3002840.64</v>
      </c>
      <c r="F7050" s="502" t="s">
        <v>878</v>
      </c>
      <c r="G7050" s="100">
        <v>116401868</v>
      </c>
      <c r="H7050" s="530"/>
      <c r="I7050" s="422" t="s">
        <v>684</v>
      </c>
      <c r="J7050" s="484"/>
      <c r="K7050" s="548"/>
      <c r="L7050" s="548"/>
      <c r="M7050" s="548"/>
      <c r="N7050" s="552"/>
    </row>
    <row r="7051" spans="1:14">
      <c r="A7051" s="499">
        <v>45734</v>
      </c>
      <c r="B7051" s="499">
        <v>45734</v>
      </c>
      <c r="C7051" s="500" t="s">
        <v>173</v>
      </c>
      <c r="D7051" s="500" t="s">
        <v>759</v>
      </c>
      <c r="E7051" s="501">
        <v>-3000765.68</v>
      </c>
      <c r="F7051" s="502" t="s">
        <v>878</v>
      </c>
      <c r="G7051" s="100">
        <v>116401871</v>
      </c>
      <c r="H7051" s="530"/>
      <c r="I7051" s="422" t="s">
        <v>525</v>
      </c>
      <c r="J7051" s="484"/>
      <c r="K7051" s="548"/>
      <c r="L7051" s="548"/>
      <c r="M7051" s="548"/>
      <c r="N7051" s="552"/>
    </row>
    <row r="7052" spans="1:14">
      <c r="A7052" s="499">
        <v>45734</v>
      </c>
      <c r="B7052" s="499">
        <v>45734</v>
      </c>
      <c r="C7052" s="500" t="s">
        <v>173</v>
      </c>
      <c r="D7052" s="500" t="s">
        <v>759</v>
      </c>
      <c r="E7052" s="501">
        <v>-4002245.42</v>
      </c>
      <c r="F7052" s="502" t="s">
        <v>878</v>
      </c>
      <c r="G7052" s="100">
        <v>116401874</v>
      </c>
      <c r="H7052" s="530"/>
      <c r="I7052" s="422" t="s">
        <v>604</v>
      </c>
      <c r="J7052" s="484"/>
      <c r="K7052" s="548"/>
      <c r="L7052" s="548"/>
      <c r="M7052" s="548"/>
      <c r="N7052" s="552"/>
    </row>
    <row r="7053" spans="1:14">
      <c r="A7053" s="499">
        <v>45734</v>
      </c>
      <c r="B7053" s="499">
        <v>45734</v>
      </c>
      <c r="C7053" s="500" t="s">
        <v>173</v>
      </c>
      <c r="D7053" s="500" t="s">
        <v>759</v>
      </c>
      <c r="E7053" s="501">
        <v>-5002034.76</v>
      </c>
      <c r="F7053" s="502" t="s">
        <v>878</v>
      </c>
      <c r="G7053" s="100">
        <v>116401877</v>
      </c>
      <c r="H7053" s="530"/>
      <c r="I7053" s="422" t="s">
        <v>676</v>
      </c>
      <c r="J7053" s="484"/>
      <c r="K7053" s="548"/>
      <c r="L7053" s="548"/>
      <c r="M7053" s="548"/>
      <c r="N7053" s="552"/>
    </row>
    <row r="7054" spans="1:14">
      <c r="A7054" s="499">
        <v>45734</v>
      </c>
      <c r="B7054" s="499">
        <v>45734</v>
      </c>
      <c r="C7054" s="500" t="s">
        <v>173</v>
      </c>
      <c r="D7054" s="500" t="s">
        <v>759</v>
      </c>
      <c r="E7054" s="501">
        <v>-5001794.22</v>
      </c>
      <c r="F7054" s="502" t="s">
        <v>878</v>
      </c>
      <c r="G7054" s="100">
        <v>116401880</v>
      </c>
      <c r="H7054" s="530"/>
      <c r="I7054" s="422" t="s">
        <v>600</v>
      </c>
      <c r="J7054" s="484"/>
      <c r="K7054" s="548"/>
      <c r="L7054" s="548"/>
      <c r="M7054" s="548"/>
      <c r="N7054" s="552"/>
    </row>
    <row r="7055" spans="1:14">
      <c r="A7055" s="499">
        <v>45734</v>
      </c>
      <c r="B7055" s="499">
        <v>45734</v>
      </c>
      <c r="C7055" s="500" t="s">
        <v>173</v>
      </c>
      <c r="D7055" s="500" t="s">
        <v>759</v>
      </c>
      <c r="E7055" s="501">
        <v>-5004127.4000000004</v>
      </c>
      <c r="F7055" s="502" t="s">
        <v>878</v>
      </c>
      <c r="G7055" s="100">
        <v>116401883</v>
      </c>
      <c r="H7055" s="530"/>
      <c r="I7055" s="422" t="s">
        <v>590</v>
      </c>
      <c r="J7055" s="484"/>
      <c r="K7055" s="548"/>
      <c r="L7055" s="548"/>
      <c r="M7055" s="548"/>
      <c r="N7055" s="552"/>
    </row>
    <row r="7056" spans="1:14">
      <c r="A7056" s="499">
        <v>45734</v>
      </c>
      <c r="B7056" s="499">
        <v>45734</v>
      </c>
      <c r="C7056" s="500" t="s">
        <v>173</v>
      </c>
      <c r="D7056" s="500" t="s">
        <v>759</v>
      </c>
      <c r="E7056" s="501">
        <v>-5001942.4000000004</v>
      </c>
      <c r="F7056" s="502" t="s">
        <v>878</v>
      </c>
      <c r="G7056" s="100">
        <v>116401886</v>
      </c>
      <c r="H7056" s="530"/>
      <c r="I7056" s="422" t="s">
        <v>678</v>
      </c>
      <c r="J7056" s="484"/>
      <c r="K7056" s="548"/>
      <c r="L7056" s="548"/>
      <c r="M7056" s="548"/>
      <c r="N7056" s="552"/>
    </row>
    <row r="7057" spans="1:14">
      <c r="A7057" s="499">
        <v>45734</v>
      </c>
      <c r="B7057" s="499">
        <v>45734</v>
      </c>
      <c r="C7057" s="500" t="s">
        <v>173</v>
      </c>
      <c r="D7057" s="500" t="s">
        <v>759</v>
      </c>
      <c r="E7057" s="501">
        <v>-6002441.71</v>
      </c>
      <c r="F7057" s="502" t="s">
        <v>878</v>
      </c>
      <c r="G7057" s="100">
        <v>116401889</v>
      </c>
      <c r="H7057" s="530"/>
      <c r="I7057" s="422" t="s">
        <v>676</v>
      </c>
      <c r="J7057" s="484"/>
      <c r="K7057" s="548"/>
      <c r="L7057" s="548"/>
      <c r="M7057" s="548"/>
      <c r="N7057" s="552"/>
    </row>
    <row r="7058" spans="1:14">
      <c r="A7058" s="499">
        <v>45734</v>
      </c>
      <c r="B7058" s="499">
        <v>45734</v>
      </c>
      <c r="C7058" s="500" t="s">
        <v>173</v>
      </c>
      <c r="D7058" s="500" t="s">
        <v>759</v>
      </c>
      <c r="E7058" s="501">
        <v>-7001234.2400000002</v>
      </c>
      <c r="F7058" s="502" t="s">
        <v>878</v>
      </c>
      <c r="G7058" s="100">
        <v>116401892</v>
      </c>
      <c r="H7058" s="530"/>
      <c r="I7058" s="422" t="s">
        <v>696</v>
      </c>
      <c r="J7058" s="484"/>
      <c r="K7058" s="548"/>
      <c r="L7058" s="548"/>
      <c r="M7058" s="548"/>
      <c r="N7058" s="552"/>
    </row>
    <row r="7059" spans="1:14">
      <c r="A7059" s="499">
        <v>45734</v>
      </c>
      <c r="B7059" s="499">
        <v>45734</v>
      </c>
      <c r="C7059" s="500" t="s">
        <v>173</v>
      </c>
      <c r="D7059" s="500" t="s">
        <v>759</v>
      </c>
      <c r="E7059" s="501">
        <v>-7001234.2400000002</v>
      </c>
      <c r="F7059" s="502" t="s">
        <v>878</v>
      </c>
      <c r="G7059" s="100">
        <v>116401895</v>
      </c>
      <c r="H7059" s="530"/>
      <c r="I7059" s="422" t="s">
        <v>696</v>
      </c>
      <c r="J7059" s="484"/>
      <c r="K7059" s="548"/>
      <c r="L7059" s="548"/>
      <c r="M7059" s="548"/>
      <c r="N7059" s="552"/>
    </row>
    <row r="7060" spans="1:14">
      <c r="A7060" s="499">
        <v>45734</v>
      </c>
      <c r="B7060" s="499">
        <v>45734</v>
      </c>
      <c r="C7060" s="500" t="s">
        <v>173</v>
      </c>
      <c r="D7060" s="500" t="s">
        <v>759</v>
      </c>
      <c r="E7060" s="501">
        <v>-8003688.5199999996</v>
      </c>
      <c r="F7060" s="502" t="s">
        <v>878</v>
      </c>
      <c r="G7060" s="100">
        <v>116401898</v>
      </c>
      <c r="H7060" s="530"/>
      <c r="I7060" s="422" t="s">
        <v>674</v>
      </c>
      <c r="J7060" s="484"/>
      <c r="K7060" s="548"/>
      <c r="L7060" s="548"/>
      <c r="M7060" s="548"/>
      <c r="N7060" s="552"/>
    </row>
    <row r="7061" spans="1:14">
      <c r="A7061" s="499">
        <v>45734</v>
      </c>
      <c r="B7061" s="499">
        <v>45734</v>
      </c>
      <c r="C7061" s="500" t="s">
        <v>173</v>
      </c>
      <c r="D7061" s="500" t="s">
        <v>759</v>
      </c>
      <c r="E7061" s="501">
        <v>-11001171.1</v>
      </c>
      <c r="F7061" s="502" t="s">
        <v>878</v>
      </c>
      <c r="G7061" s="100">
        <v>116401901</v>
      </c>
      <c r="H7061" s="530"/>
      <c r="I7061" s="422" t="s">
        <v>816</v>
      </c>
      <c r="J7061" s="484"/>
      <c r="K7061" s="548"/>
      <c r="L7061" s="548"/>
      <c r="M7061" s="548"/>
      <c r="N7061" s="552"/>
    </row>
    <row r="7062" spans="1:14">
      <c r="A7062" s="499">
        <v>45734</v>
      </c>
      <c r="B7062" s="499">
        <v>45734</v>
      </c>
      <c r="C7062" s="500" t="s">
        <v>173</v>
      </c>
      <c r="D7062" s="500" t="s">
        <v>759</v>
      </c>
      <c r="E7062" s="501">
        <v>-14003573.189999999</v>
      </c>
      <c r="F7062" s="502" t="s">
        <v>878</v>
      </c>
      <c r="G7062" s="100">
        <v>116401904</v>
      </c>
      <c r="H7062" s="530"/>
      <c r="I7062" s="422" t="s">
        <v>525</v>
      </c>
      <c r="J7062" s="484"/>
      <c r="K7062" s="548"/>
      <c r="L7062" s="548"/>
      <c r="M7062" s="548"/>
      <c r="N7062" s="552"/>
    </row>
    <row r="7063" spans="1:14">
      <c r="A7063" s="499">
        <v>45734</v>
      </c>
      <c r="B7063" s="499">
        <v>45734</v>
      </c>
      <c r="C7063" s="500" t="s">
        <v>173</v>
      </c>
      <c r="D7063" s="500" t="s">
        <v>759</v>
      </c>
      <c r="E7063" s="501">
        <v>-15001596.960000001</v>
      </c>
      <c r="F7063" s="502" t="s">
        <v>878</v>
      </c>
      <c r="G7063" s="100">
        <v>116401907</v>
      </c>
      <c r="H7063" s="530"/>
      <c r="I7063" s="422" t="s">
        <v>816</v>
      </c>
      <c r="J7063" s="484"/>
      <c r="K7063" s="548"/>
      <c r="L7063" s="548"/>
      <c r="M7063" s="548"/>
      <c r="N7063" s="552"/>
    </row>
    <row r="7064" spans="1:14">
      <c r="A7064" s="499">
        <v>45734</v>
      </c>
      <c r="B7064" s="499">
        <v>45734</v>
      </c>
      <c r="C7064" s="500" t="s">
        <v>173</v>
      </c>
      <c r="D7064" s="500" t="s">
        <v>759</v>
      </c>
      <c r="E7064" s="501">
        <v>-15004017.41</v>
      </c>
      <c r="F7064" s="502" t="s">
        <v>878</v>
      </c>
      <c r="G7064" s="100">
        <v>116401910</v>
      </c>
      <c r="H7064" s="530"/>
      <c r="I7064" s="422" t="s">
        <v>819</v>
      </c>
      <c r="J7064" s="484"/>
      <c r="K7064" s="548"/>
      <c r="L7064" s="548"/>
      <c r="M7064" s="548"/>
      <c r="N7064" s="552"/>
    </row>
    <row r="7065" spans="1:14">
      <c r="A7065" s="499">
        <v>45734</v>
      </c>
      <c r="B7065" s="499">
        <v>45734</v>
      </c>
      <c r="C7065" s="500" t="s">
        <v>173</v>
      </c>
      <c r="D7065" s="500" t="s">
        <v>759</v>
      </c>
      <c r="E7065" s="501">
        <v>-16008992.27</v>
      </c>
      <c r="F7065" s="502" t="s">
        <v>878</v>
      </c>
      <c r="G7065" s="100">
        <v>116401913</v>
      </c>
      <c r="H7065" s="530"/>
      <c r="I7065" s="422" t="s">
        <v>824</v>
      </c>
      <c r="J7065" s="484"/>
      <c r="K7065" s="548"/>
      <c r="L7065" s="548"/>
      <c r="M7065" s="548"/>
      <c r="N7065" s="552"/>
    </row>
    <row r="7066" spans="1:14">
      <c r="A7066" s="499">
        <v>45734</v>
      </c>
      <c r="B7066" s="499">
        <v>45734</v>
      </c>
      <c r="C7066" s="500" t="s">
        <v>173</v>
      </c>
      <c r="D7066" s="500" t="s">
        <v>759</v>
      </c>
      <c r="E7066" s="501">
        <v>-17007838.109999999</v>
      </c>
      <c r="F7066" s="502" t="s">
        <v>878</v>
      </c>
      <c r="G7066" s="100">
        <v>116401916</v>
      </c>
      <c r="H7066" s="530"/>
      <c r="I7066" s="422" t="s">
        <v>674</v>
      </c>
      <c r="J7066" s="484"/>
      <c r="K7066" s="548"/>
      <c r="L7066" s="548"/>
      <c r="M7066" s="548"/>
      <c r="N7066" s="552"/>
    </row>
    <row r="7067" spans="1:14">
      <c r="A7067" s="499">
        <v>45734</v>
      </c>
      <c r="B7067" s="499">
        <v>45734</v>
      </c>
      <c r="C7067" s="500" t="s">
        <v>173</v>
      </c>
      <c r="D7067" s="500" t="s">
        <v>759</v>
      </c>
      <c r="E7067" s="501">
        <v>-17003029.32</v>
      </c>
      <c r="F7067" s="502" t="s">
        <v>878</v>
      </c>
      <c r="G7067" s="100">
        <v>116401919</v>
      </c>
      <c r="H7067" s="530"/>
      <c r="I7067" s="422" t="s">
        <v>550</v>
      </c>
      <c r="J7067" s="484"/>
      <c r="K7067" s="548"/>
      <c r="L7067" s="548"/>
      <c r="M7067" s="548"/>
      <c r="N7067" s="552"/>
    </row>
    <row r="7068" spans="1:14">
      <c r="A7068" s="499">
        <v>45734</v>
      </c>
      <c r="B7068" s="499">
        <v>45734</v>
      </c>
      <c r="C7068" s="500" t="s">
        <v>173</v>
      </c>
      <c r="D7068" s="500" t="s">
        <v>759</v>
      </c>
      <c r="E7068" s="501">
        <v>-17001809.890000001</v>
      </c>
      <c r="F7068" s="502" t="s">
        <v>878</v>
      </c>
      <c r="G7068" s="100">
        <v>116401922</v>
      </c>
      <c r="H7068" s="530"/>
      <c r="I7068" s="422" t="s">
        <v>816</v>
      </c>
      <c r="J7068" s="484"/>
      <c r="K7068" s="548"/>
      <c r="L7068" s="548"/>
      <c r="M7068" s="548"/>
      <c r="N7068" s="552"/>
    </row>
    <row r="7069" spans="1:14">
      <c r="A7069" s="499">
        <v>45734</v>
      </c>
      <c r="B7069" s="499">
        <v>45734</v>
      </c>
      <c r="C7069" s="500" t="s">
        <v>173</v>
      </c>
      <c r="D7069" s="500" t="s">
        <v>759</v>
      </c>
      <c r="E7069" s="501">
        <v>-18013920.120000001</v>
      </c>
      <c r="F7069" s="502" t="s">
        <v>878</v>
      </c>
      <c r="G7069" s="100">
        <v>116401925</v>
      </c>
      <c r="H7069" s="530"/>
      <c r="I7069" s="422" t="s">
        <v>602</v>
      </c>
      <c r="J7069" s="484"/>
      <c r="K7069" s="548"/>
      <c r="L7069" s="548"/>
      <c r="M7069" s="548"/>
      <c r="N7069" s="552"/>
    </row>
    <row r="7070" spans="1:14">
      <c r="A7070" s="499">
        <v>45734</v>
      </c>
      <c r="B7070" s="499">
        <v>45734</v>
      </c>
      <c r="C7070" s="500" t="s">
        <v>173</v>
      </c>
      <c r="D7070" s="500" t="s">
        <v>759</v>
      </c>
      <c r="E7070" s="501">
        <v>-18007325.140000001</v>
      </c>
      <c r="F7070" s="502" t="s">
        <v>878</v>
      </c>
      <c r="G7070" s="100">
        <v>116401928</v>
      </c>
      <c r="H7070" s="530"/>
      <c r="I7070" s="422" t="s">
        <v>676</v>
      </c>
      <c r="J7070" s="484"/>
      <c r="K7070" s="548"/>
      <c r="L7070" s="548"/>
      <c r="M7070" s="548"/>
      <c r="N7070" s="552"/>
    </row>
    <row r="7071" spans="1:14">
      <c r="A7071" s="499">
        <v>45734</v>
      </c>
      <c r="B7071" s="499">
        <v>45734</v>
      </c>
      <c r="C7071" s="500" t="s">
        <v>173</v>
      </c>
      <c r="D7071" s="500" t="s">
        <v>759</v>
      </c>
      <c r="E7071" s="501">
        <v>-20003983.079999998</v>
      </c>
      <c r="F7071" s="502" t="s">
        <v>878</v>
      </c>
      <c r="G7071" s="100">
        <v>116401931</v>
      </c>
      <c r="H7071" s="530"/>
      <c r="I7071" s="422" t="s">
        <v>657</v>
      </c>
      <c r="J7071" s="484"/>
      <c r="K7071" s="548"/>
      <c r="L7071" s="548"/>
      <c r="M7071" s="548"/>
      <c r="N7071" s="552"/>
    </row>
    <row r="7072" spans="1:14">
      <c r="A7072" s="499">
        <v>45734</v>
      </c>
      <c r="B7072" s="499">
        <v>45734</v>
      </c>
      <c r="C7072" s="500" t="s">
        <v>173</v>
      </c>
      <c r="D7072" s="500" t="s">
        <v>759</v>
      </c>
      <c r="E7072" s="501">
        <v>-20001357.120000001</v>
      </c>
      <c r="F7072" s="502" t="s">
        <v>878</v>
      </c>
      <c r="G7072" s="100">
        <v>116401934</v>
      </c>
      <c r="H7072" s="530"/>
      <c r="I7072" s="422" t="s">
        <v>588</v>
      </c>
      <c r="J7072" s="484"/>
      <c r="K7072" s="548"/>
      <c r="L7072" s="548"/>
      <c r="M7072" s="548"/>
      <c r="N7072" s="552"/>
    </row>
    <row r="7073" spans="1:14">
      <c r="A7073" s="499">
        <v>45734</v>
      </c>
      <c r="B7073" s="499">
        <v>45734</v>
      </c>
      <c r="C7073" s="500" t="s">
        <v>173</v>
      </c>
      <c r="D7073" s="500" t="s">
        <v>759</v>
      </c>
      <c r="E7073" s="501">
        <v>-20006158.5</v>
      </c>
      <c r="F7073" s="502" t="s">
        <v>878</v>
      </c>
      <c r="G7073" s="100">
        <v>116401937</v>
      </c>
      <c r="H7073" s="530"/>
      <c r="I7073" s="422" t="s">
        <v>689</v>
      </c>
      <c r="J7073" s="484"/>
      <c r="K7073" s="548"/>
      <c r="L7073" s="548"/>
      <c r="M7073" s="548"/>
      <c r="N7073" s="552"/>
    </row>
    <row r="7074" spans="1:14">
      <c r="A7074" s="499">
        <v>45734</v>
      </c>
      <c r="B7074" s="499">
        <v>45734</v>
      </c>
      <c r="C7074" s="500" t="s">
        <v>173</v>
      </c>
      <c r="D7074" s="500" t="s">
        <v>759</v>
      </c>
      <c r="E7074" s="501">
        <v>-22018160.559999999</v>
      </c>
      <c r="F7074" s="502" t="s">
        <v>878</v>
      </c>
      <c r="G7074" s="100">
        <v>116401940</v>
      </c>
      <c r="H7074" s="530"/>
      <c r="I7074" s="422" t="s">
        <v>590</v>
      </c>
      <c r="J7074" s="484"/>
      <c r="K7074" s="548"/>
      <c r="L7074" s="548"/>
      <c r="M7074" s="548"/>
      <c r="N7074" s="552"/>
    </row>
    <row r="7075" spans="1:14">
      <c r="A7075" s="499">
        <v>45734</v>
      </c>
      <c r="B7075" s="499">
        <v>45734</v>
      </c>
      <c r="C7075" s="500" t="s">
        <v>173</v>
      </c>
      <c r="D7075" s="500" t="s">
        <v>759</v>
      </c>
      <c r="E7075" s="501">
        <v>-24022131.699999999</v>
      </c>
      <c r="F7075" s="502" t="s">
        <v>878</v>
      </c>
      <c r="G7075" s="100">
        <v>116401943</v>
      </c>
      <c r="H7075" s="530"/>
      <c r="I7075" s="422" t="s">
        <v>596</v>
      </c>
      <c r="J7075" s="484"/>
      <c r="K7075" s="548"/>
      <c r="L7075" s="548"/>
      <c r="M7075" s="548"/>
      <c r="N7075" s="552"/>
    </row>
    <row r="7076" spans="1:14">
      <c r="A7076" s="499">
        <v>45734</v>
      </c>
      <c r="B7076" s="499">
        <v>45734</v>
      </c>
      <c r="C7076" s="500" t="s">
        <v>173</v>
      </c>
      <c r="D7076" s="500" t="s">
        <v>759</v>
      </c>
      <c r="E7076" s="501">
        <v>-25014050.43</v>
      </c>
      <c r="F7076" s="502" t="s">
        <v>878</v>
      </c>
      <c r="G7076" s="100">
        <v>116401946</v>
      </c>
      <c r="H7076" s="530"/>
      <c r="I7076" s="422" t="s">
        <v>824</v>
      </c>
      <c r="J7076" s="484"/>
      <c r="K7076" s="548"/>
      <c r="L7076" s="548"/>
      <c r="M7076" s="548"/>
      <c r="N7076" s="552"/>
    </row>
    <row r="7077" spans="1:14">
      <c r="A7077" s="499">
        <v>45734</v>
      </c>
      <c r="B7077" s="499">
        <v>45734</v>
      </c>
      <c r="C7077" s="500" t="s">
        <v>173</v>
      </c>
      <c r="D7077" s="500" t="s">
        <v>759</v>
      </c>
      <c r="E7077" s="501">
        <v>-25016605.600000001</v>
      </c>
      <c r="F7077" s="502" t="s">
        <v>878</v>
      </c>
      <c r="G7077" s="100">
        <v>116401949</v>
      </c>
      <c r="H7077" s="530"/>
      <c r="I7077" s="422" t="s">
        <v>821</v>
      </c>
      <c r="J7077" s="484"/>
      <c r="K7077" s="548"/>
      <c r="L7077" s="548"/>
      <c r="M7077" s="548"/>
      <c r="N7077" s="552"/>
    </row>
    <row r="7078" spans="1:14">
      <c r="A7078" s="499">
        <v>45734</v>
      </c>
      <c r="B7078" s="499">
        <v>45734</v>
      </c>
      <c r="C7078" s="500" t="s">
        <v>173</v>
      </c>
      <c r="D7078" s="500" t="s">
        <v>759</v>
      </c>
      <c r="E7078" s="501">
        <v>-25022719.050000001</v>
      </c>
      <c r="F7078" s="502" t="s">
        <v>878</v>
      </c>
      <c r="G7078" s="100">
        <v>116401952</v>
      </c>
      <c r="H7078" s="530"/>
      <c r="I7078" s="422" t="s">
        <v>598</v>
      </c>
      <c r="J7078" s="484"/>
      <c r="K7078" s="548"/>
      <c r="L7078" s="548"/>
      <c r="M7078" s="548"/>
      <c r="N7078" s="552"/>
    </row>
    <row r="7079" spans="1:14">
      <c r="A7079" s="499">
        <v>45734</v>
      </c>
      <c r="B7079" s="499">
        <v>45734</v>
      </c>
      <c r="C7079" s="500" t="s">
        <v>173</v>
      </c>
      <c r="D7079" s="500" t="s">
        <v>759</v>
      </c>
      <c r="E7079" s="501">
        <v>-25001696.399999999</v>
      </c>
      <c r="F7079" s="502" t="s">
        <v>878</v>
      </c>
      <c r="G7079" s="100">
        <v>116401955</v>
      </c>
      <c r="H7079" s="530"/>
      <c r="I7079" s="422" t="s">
        <v>588</v>
      </c>
      <c r="J7079" s="484"/>
      <c r="K7079" s="548"/>
      <c r="L7079" s="548"/>
      <c r="M7079" s="548"/>
      <c r="N7079" s="552"/>
    </row>
    <row r="7080" spans="1:14">
      <c r="A7080" s="499">
        <v>45734</v>
      </c>
      <c r="B7080" s="499">
        <v>45734</v>
      </c>
      <c r="C7080" s="500" t="s">
        <v>173</v>
      </c>
      <c r="D7080" s="500" t="s">
        <v>759</v>
      </c>
      <c r="E7080" s="501">
        <v>-25006808.75</v>
      </c>
      <c r="F7080" s="502" t="s">
        <v>878</v>
      </c>
      <c r="G7080" s="100">
        <v>116401958</v>
      </c>
      <c r="H7080" s="530"/>
      <c r="I7080" s="422" t="s">
        <v>717</v>
      </c>
      <c r="J7080" s="484"/>
      <c r="K7080" s="548"/>
      <c r="L7080" s="548"/>
      <c r="M7080" s="548"/>
      <c r="N7080" s="552"/>
    </row>
    <row r="7081" spans="1:14">
      <c r="A7081" s="499">
        <v>45734</v>
      </c>
      <c r="B7081" s="499">
        <v>45734</v>
      </c>
      <c r="C7081" s="500" t="s">
        <v>173</v>
      </c>
      <c r="D7081" s="500" t="s">
        <v>759</v>
      </c>
      <c r="E7081" s="501">
        <v>-27007594.699999999</v>
      </c>
      <c r="F7081" s="502" t="s">
        <v>878</v>
      </c>
      <c r="G7081" s="100">
        <v>116401961</v>
      </c>
      <c r="H7081" s="530"/>
      <c r="I7081" s="422" t="s">
        <v>695</v>
      </c>
      <c r="J7081" s="484"/>
      <c r="K7081" s="548"/>
      <c r="L7081" s="548"/>
      <c r="M7081" s="548"/>
      <c r="N7081" s="552"/>
    </row>
    <row r="7082" spans="1:14">
      <c r="A7082" s="499">
        <v>45734</v>
      </c>
      <c r="B7082" s="499">
        <v>45734</v>
      </c>
      <c r="C7082" s="500" t="s">
        <v>173</v>
      </c>
      <c r="D7082" s="500" t="s">
        <v>759</v>
      </c>
      <c r="E7082" s="501">
        <v>-28002385.739999998</v>
      </c>
      <c r="F7082" s="502" t="s">
        <v>878</v>
      </c>
      <c r="G7082" s="100">
        <v>116401964</v>
      </c>
      <c r="H7082" s="530"/>
      <c r="I7082" s="422" t="s">
        <v>715</v>
      </c>
      <c r="J7082" s="484"/>
      <c r="K7082" s="548"/>
      <c r="L7082" s="548"/>
      <c r="M7082" s="548"/>
      <c r="N7082" s="552"/>
    </row>
    <row r="7083" spans="1:14">
      <c r="A7083" s="499">
        <v>45734</v>
      </c>
      <c r="B7083" s="499">
        <v>45734</v>
      </c>
      <c r="C7083" s="500" t="s">
        <v>173</v>
      </c>
      <c r="D7083" s="500" t="s">
        <v>759</v>
      </c>
      <c r="E7083" s="501">
        <v>-30008034.809999999</v>
      </c>
      <c r="F7083" s="502" t="s">
        <v>878</v>
      </c>
      <c r="G7083" s="100">
        <v>116401967</v>
      </c>
      <c r="H7083" s="530"/>
      <c r="I7083" s="422" t="s">
        <v>819</v>
      </c>
      <c r="J7083" s="484"/>
      <c r="K7083" s="548"/>
      <c r="L7083" s="548"/>
      <c r="M7083" s="548"/>
      <c r="N7083" s="552"/>
    </row>
    <row r="7084" spans="1:14">
      <c r="A7084" s="499">
        <v>45734</v>
      </c>
      <c r="B7084" s="499">
        <v>45734</v>
      </c>
      <c r="C7084" s="500" t="s">
        <v>173</v>
      </c>
      <c r="D7084" s="500" t="s">
        <v>759</v>
      </c>
      <c r="E7084" s="501">
        <v>-31014293.02</v>
      </c>
      <c r="F7084" s="502" t="s">
        <v>878</v>
      </c>
      <c r="G7084" s="100">
        <v>116401970</v>
      </c>
      <c r="H7084" s="530"/>
      <c r="I7084" s="422" t="s">
        <v>674</v>
      </c>
      <c r="J7084" s="484"/>
      <c r="K7084" s="548"/>
      <c r="L7084" s="548"/>
      <c r="M7084" s="548"/>
      <c r="N7084" s="552"/>
    </row>
    <row r="7085" spans="1:14">
      <c r="A7085" s="499">
        <v>45734</v>
      </c>
      <c r="B7085" s="499">
        <v>45734</v>
      </c>
      <c r="C7085" s="500" t="s">
        <v>173</v>
      </c>
      <c r="D7085" s="500" t="s">
        <v>759</v>
      </c>
      <c r="E7085" s="501">
        <v>-33015373.510000002</v>
      </c>
      <c r="F7085" s="502" t="s">
        <v>878</v>
      </c>
      <c r="G7085" s="100">
        <v>116401973</v>
      </c>
      <c r="H7085" s="530"/>
      <c r="I7085" s="422" t="s">
        <v>694</v>
      </c>
      <c r="J7085" s="484"/>
      <c r="K7085" s="548"/>
      <c r="L7085" s="548"/>
      <c r="M7085" s="548"/>
      <c r="N7085" s="552"/>
    </row>
    <row r="7086" spans="1:14">
      <c r="A7086" s="499">
        <v>45734</v>
      </c>
      <c r="B7086" s="499">
        <v>45734</v>
      </c>
      <c r="C7086" s="500" t="s">
        <v>173</v>
      </c>
      <c r="D7086" s="500" t="s">
        <v>759</v>
      </c>
      <c r="E7086" s="501">
        <v>-33003566.640000001</v>
      </c>
      <c r="F7086" s="502" t="s">
        <v>878</v>
      </c>
      <c r="G7086" s="100">
        <v>116401976</v>
      </c>
      <c r="H7086" s="530"/>
      <c r="I7086" s="422" t="s">
        <v>709</v>
      </c>
      <c r="J7086" s="484"/>
      <c r="K7086" s="548"/>
      <c r="L7086" s="548"/>
      <c r="M7086" s="548"/>
      <c r="N7086" s="552"/>
    </row>
    <row r="7087" spans="1:14">
      <c r="A7087" s="499">
        <v>45734</v>
      </c>
      <c r="B7087" s="499">
        <v>45734</v>
      </c>
      <c r="C7087" s="500" t="s">
        <v>173</v>
      </c>
      <c r="D7087" s="500" t="s">
        <v>759</v>
      </c>
      <c r="E7087" s="501">
        <v>-33006322.800000001</v>
      </c>
      <c r="F7087" s="502" t="s">
        <v>878</v>
      </c>
      <c r="G7087" s="100">
        <v>116401979</v>
      </c>
      <c r="H7087" s="530"/>
      <c r="I7087" s="422" t="s">
        <v>693</v>
      </c>
      <c r="J7087" s="484"/>
      <c r="K7087" s="548"/>
      <c r="L7087" s="548"/>
      <c r="M7087" s="548"/>
      <c r="N7087" s="552"/>
    </row>
    <row r="7088" spans="1:14">
      <c r="A7088" s="499">
        <v>45734</v>
      </c>
      <c r="B7088" s="499">
        <v>45734</v>
      </c>
      <c r="C7088" s="500" t="s">
        <v>173</v>
      </c>
      <c r="D7088" s="500" t="s">
        <v>759</v>
      </c>
      <c r="E7088" s="501">
        <v>-37003152.590000004</v>
      </c>
      <c r="F7088" s="502" t="s">
        <v>878</v>
      </c>
      <c r="G7088" s="100">
        <v>116401982</v>
      </c>
      <c r="H7088" s="530"/>
      <c r="I7088" s="422" t="s">
        <v>715</v>
      </c>
      <c r="J7088" s="484"/>
      <c r="K7088" s="548"/>
      <c r="L7088" s="548"/>
      <c r="M7088" s="548"/>
      <c r="N7088" s="552"/>
    </row>
    <row r="7089" spans="1:14">
      <c r="A7089" s="499">
        <v>45734</v>
      </c>
      <c r="B7089" s="499">
        <v>45734</v>
      </c>
      <c r="C7089" s="500" t="s">
        <v>173</v>
      </c>
      <c r="D7089" s="500" t="s">
        <v>759</v>
      </c>
      <c r="E7089" s="501">
        <v>-41036840.509999998</v>
      </c>
      <c r="F7089" s="502" t="s">
        <v>878</v>
      </c>
      <c r="G7089" s="100">
        <v>116401985</v>
      </c>
      <c r="H7089" s="530"/>
      <c r="I7089" s="422" t="s">
        <v>817</v>
      </c>
      <c r="J7089" s="484"/>
      <c r="K7089" s="548"/>
      <c r="L7089" s="548"/>
      <c r="M7089" s="548"/>
      <c r="N7089" s="552"/>
    </row>
    <row r="7090" spans="1:14">
      <c r="A7090" s="499">
        <v>45734</v>
      </c>
      <c r="B7090" s="499">
        <v>45734</v>
      </c>
      <c r="C7090" s="500" t="s">
        <v>173</v>
      </c>
      <c r="D7090" s="500" t="s">
        <v>759</v>
      </c>
      <c r="E7090" s="501">
        <v>-43021329.719999999</v>
      </c>
      <c r="F7090" s="502" t="s">
        <v>878</v>
      </c>
      <c r="G7090" s="100">
        <v>116401988</v>
      </c>
      <c r="H7090" s="530"/>
      <c r="I7090" s="422" t="s">
        <v>714</v>
      </c>
      <c r="J7090" s="484"/>
      <c r="K7090" s="548"/>
      <c r="L7090" s="548"/>
      <c r="M7090" s="548"/>
      <c r="N7090" s="552"/>
    </row>
    <row r="7091" spans="1:14">
      <c r="A7091" s="499">
        <v>45734</v>
      </c>
      <c r="B7091" s="499">
        <v>45734</v>
      </c>
      <c r="C7091" s="500" t="s">
        <v>173</v>
      </c>
      <c r="D7091" s="500" t="s">
        <v>759</v>
      </c>
      <c r="E7091" s="501">
        <v>-43027880.170000002</v>
      </c>
      <c r="F7091" s="502" t="s">
        <v>878</v>
      </c>
      <c r="G7091" s="100">
        <v>116401991</v>
      </c>
      <c r="H7091" s="530"/>
      <c r="I7091" s="422" t="s">
        <v>719</v>
      </c>
      <c r="J7091" s="484"/>
      <c r="K7091" s="548"/>
      <c r="L7091" s="548"/>
      <c r="M7091" s="548"/>
      <c r="N7091" s="552"/>
    </row>
    <row r="7092" spans="1:14">
      <c r="A7092" s="499">
        <v>45734</v>
      </c>
      <c r="B7092" s="499">
        <v>45734</v>
      </c>
      <c r="C7092" s="500" t="s">
        <v>173</v>
      </c>
      <c r="D7092" s="500" t="s">
        <v>759</v>
      </c>
      <c r="E7092" s="501">
        <v>-46025822.380000003</v>
      </c>
      <c r="F7092" s="502" t="s">
        <v>878</v>
      </c>
      <c r="G7092" s="100">
        <v>116401994</v>
      </c>
      <c r="H7092" s="530"/>
      <c r="I7092" s="422" t="s">
        <v>604</v>
      </c>
      <c r="J7092" s="484"/>
      <c r="K7092" s="548"/>
      <c r="L7092" s="548"/>
      <c r="M7092" s="548"/>
      <c r="N7092" s="552"/>
    </row>
    <row r="7093" spans="1:14">
      <c r="A7093" s="499">
        <v>45734</v>
      </c>
      <c r="B7093" s="499">
        <v>45734</v>
      </c>
      <c r="C7093" s="500" t="s">
        <v>173</v>
      </c>
      <c r="D7093" s="500" t="s">
        <v>759</v>
      </c>
      <c r="E7093" s="501">
        <v>-49003324.939999998</v>
      </c>
      <c r="F7093" s="502" t="s">
        <v>878</v>
      </c>
      <c r="G7093" s="100">
        <v>116401997</v>
      </c>
      <c r="H7093" s="530"/>
      <c r="I7093" s="422" t="s">
        <v>588</v>
      </c>
      <c r="J7093" s="484"/>
      <c r="K7093" s="548"/>
      <c r="L7093" s="548"/>
      <c r="M7093" s="548"/>
      <c r="N7093" s="552"/>
    </row>
    <row r="7094" spans="1:14">
      <c r="A7094" s="499">
        <v>45734</v>
      </c>
      <c r="B7094" s="499">
        <v>45734</v>
      </c>
      <c r="C7094" s="500" t="s">
        <v>173</v>
      </c>
      <c r="D7094" s="500" t="s">
        <v>759</v>
      </c>
      <c r="E7094" s="501">
        <v>-49005301.799999997</v>
      </c>
      <c r="F7094" s="502" t="s">
        <v>878</v>
      </c>
      <c r="G7094" s="100">
        <v>116402000</v>
      </c>
      <c r="H7094" s="530"/>
      <c r="I7094" s="422" t="s">
        <v>705</v>
      </c>
      <c r="J7094" s="484"/>
      <c r="K7094" s="548"/>
      <c r="L7094" s="548"/>
      <c r="M7094" s="548"/>
      <c r="N7094" s="552"/>
    </row>
    <row r="7095" spans="1:14">
      <c r="A7095" s="499">
        <v>45734</v>
      </c>
      <c r="B7095" s="499">
        <v>45734</v>
      </c>
      <c r="C7095" s="500" t="s">
        <v>173</v>
      </c>
      <c r="D7095" s="500" t="s">
        <v>759</v>
      </c>
      <c r="E7095" s="501">
        <v>-51023451.020000003</v>
      </c>
      <c r="F7095" s="502" t="s">
        <v>878</v>
      </c>
      <c r="G7095" s="100">
        <v>116402003</v>
      </c>
      <c r="H7095" s="530"/>
      <c r="I7095" s="422" t="s">
        <v>690</v>
      </c>
      <c r="J7095" s="484"/>
      <c r="K7095" s="548"/>
      <c r="L7095" s="548"/>
      <c r="M7095" s="548"/>
      <c r="N7095" s="552"/>
    </row>
    <row r="7096" spans="1:14">
      <c r="A7096" s="499">
        <v>45734</v>
      </c>
      <c r="B7096" s="499">
        <v>45734</v>
      </c>
      <c r="C7096" s="500" t="s">
        <v>173</v>
      </c>
      <c r="D7096" s="500" t="s">
        <v>759</v>
      </c>
      <c r="E7096" s="501">
        <v>-60039853.439999998</v>
      </c>
      <c r="F7096" s="502" t="s">
        <v>878</v>
      </c>
      <c r="G7096" s="100">
        <v>116402006</v>
      </c>
      <c r="H7096" s="530"/>
      <c r="I7096" s="422" t="s">
        <v>821</v>
      </c>
      <c r="J7096" s="484"/>
      <c r="K7096" s="548"/>
      <c r="L7096" s="548"/>
      <c r="M7096" s="548"/>
      <c r="N7096" s="552"/>
    </row>
    <row r="7097" spans="1:14">
      <c r="A7097" s="499">
        <v>45734</v>
      </c>
      <c r="B7097" s="499">
        <v>45734</v>
      </c>
      <c r="C7097" s="500" t="s">
        <v>173</v>
      </c>
      <c r="D7097" s="500" t="s">
        <v>759</v>
      </c>
      <c r="E7097" s="501">
        <v>-62055710.039999999</v>
      </c>
      <c r="F7097" s="502" t="s">
        <v>878</v>
      </c>
      <c r="G7097" s="100">
        <v>116402009</v>
      </c>
      <c r="H7097" s="530"/>
      <c r="I7097" s="422" t="s">
        <v>817</v>
      </c>
      <c r="J7097" s="484"/>
      <c r="K7097" s="548"/>
      <c r="L7097" s="548"/>
      <c r="M7097" s="548"/>
      <c r="N7097" s="552"/>
    </row>
    <row r="7098" spans="1:14">
      <c r="A7098" s="499">
        <v>45734</v>
      </c>
      <c r="B7098" s="499">
        <v>45734</v>
      </c>
      <c r="C7098" s="500" t="s">
        <v>173</v>
      </c>
      <c r="D7098" s="500" t="s">
        <v>759</v>
      </c>
      <c r="E7098" s="501">
        <v>-64049493.759999998</v>
      </c>
      <c r="F7098" s="502" t="s">
        <v>878</v>
      </c>
      <c r="G7098" s="100">
        <v>116402012</v>
      </c>
      <c r="H7098" s="530"/>
      <c r="I7098" s="422" t="s">
        <v>602</v>
      </c>
      <c r="J7098" s="484"/>
      <c r="K7098" s="548"/>
      <c r="L7098" s="548"/>
      <c r="M7098" s="548"/>
      <c r="N7098" s="552"/>
    </row>
    <row r="7099" spans="1:14">
      <c r="A7099" s="499">
        <v>45734</v>
      </c>
      <c r="B7099" s="499">
        <v>45734</v>
      </c>
      <c r="C7099" s="500" t="s">
        <v>173</v>
      </c>
      <c r="D7099" s="500" t="s">
        <v>759</v>
      </c>
      <c r="E7099" s="501">
        <v>-66030463.880000003</v>
      </c>
      <c r="F7099" s="502" t="s">
        <v>878</v>
      </c>
      <c r="G7099" s="100">
        <v>116402015</v>
      </c>
      <c r="H7099" s="530"/>
      <c r="I7099" s="422" t="s">
        <v>711</v>
      </c>
      <c r="J7099" s="484"/>
      <c r="K7099" s="548"/>
      <c r="L7099" s="548"/>
      <c r="M7099" s="548"/>
      <c r="N7099" s="552"/>
    </row>
    <row r="7100" spans="1:14">
      <c r="A7100" s="499">
        <v>45734</v>
      </c>
      <c r="B7100" s="499">
        <v>45734</v>
      </c>
      <c r="C7100" s="500" t="s">
        <v>173</v>
      </c>
      <c r="D7100" s="500" t="s">
        <v>759</v>
      </c>
      <c r="E7100" s="501">
        <v>-68044838.930000007</v>
      </c>
      <c r="F7100" s="502" t="s">
        <v>878</v>
      </c>
      <c r="G7100" s="100">
        <v>116402018</v>
      </c>
      <c r="H7100" s="530"/>
      <c r="I7100" s="422" t="s">
        <v>654</v>
      </c>
      <c r="J7100" s="484"/>
      <c r="K7100" s="548"/>
      <c r="L7100" s="548"/>
      <c r="M7100" s="548"/>
      <c r="N7100" s="552"/>
    </row>
    <row r="7101" spans="1:14">
      <c r="A7101" s="499">
        <v>45734</v>
      </c>
      <c r="B7101" s="499">
        <v>45734</v>
      </c>
      <c r="C7101" s="500" t="s">
        <v>173</v>
      </c>
      <c r="D7101" s="500" t="s">
        <v>759</v>
      </c>
      <c r="E7101" s="501">
        <v>-70063613.340000004</v>
      </c>
      <c r="F7101" s="502" t="s">
        <v>878</v>
      </c>
      <c r="G7101" s="100">
        <v>116402021</v>
      </c>
      <c r="H7101" s="530"/>
      <c r="I7101" s="422" t="s">
        <v>598</v>
      </c>
      <c r="J7101" s="484"/>
      <c r="K7101" s="548"/>
      <c r="L7101" s="548"/>
      <c r="M7101" s="548"/>
      <c r="N7101" s="552"/>
    </row>
    <row r="7102" spans="1:14">
      <c r="A7102" s="499">
        <v>45734</v>
      </c>
      <c r="B7102" s="499">
        <v>45734</v>
      </c>
      <c r="C7102" s="500" t="s">
        <v>173</v>
      </c>
      <c r="D7102" s="500" t="s">
        <v>759</v>
      </c>
      <c r="E7102" s="501">
        <v>-74018886.870000005</v>
      </c>
      <c r="F7102" s="502" t="s">
        <v>878</v>
      </c>
      <c r="G7102" s="100">
        <v>116402024</v>
      </c>
      <c r="H7102" s="530"/>
      <c r="I7102" s="422" t="s">
        <v>525</v>
      </c>
      <c r="J7102" s="484"/>
      <c r="K7102" s="548"/>
      <c r="L7102" s="548"/>
      <c r="M7102" s="548"/>
      <c r="N7102" s="552"/>
    </row>
    <row r="7103" spans="1:14">
      <c r="A7103" s="499">
        <v>45734</v>
      </c>
      <c r="B7103" s="499">
        <v>45734</v>
      </c>
      <c r="C7103" s="500" t="s">
        <v>173</v>
      </c>
      <c r="D7103" s="500" t="s">
        <v>759</v>
      </c>
      <c r="E7103" s="501">
        <v>-78027989.75</v>
      </c>
      <c r="F7103" s="502" t="s">
        <v>878</v>
      </c>
      <c r="G7103" s="100">
        <v>116402027</v>
      </c>
      <c r="H7103" s="530"/>
      <c r="I7103" s="422" t="s">
        <v>600</v>
      </c>
      <c r="J7103" s="484"/>
      <c r="K7103" s="548"/>
      <c r="L7103" s="548"/>
      <c r="M7103" s="548"/>
      <c r="N7103" s="552"/>
    </row>
    <row r="7104" spans="1:14">
      <c r="A7104" s="499">
        <v>45734</v>
      </c>
      <c r="B7104" s="499">
        <v>45734</v>
      </c>
      <c r="C7104" s="500" t="s">
        <v>173</v>
      </c>
      <c r="D7104" s="500" t="s">
        <v>759</v>
      </c>
      <c r="E7104" s="501">
        <v>-86079305.239999995</v>
      </c>
      <c r="F7104" s="502" t="s">
        <v>878</v>
      </c>
      <c r="G7104" s="100">
        <v>116402030</v>
      </c>
      <c r="H7104" s="530"/>
      <c r="I7104" s="422" t="s">
        <v>596</v>
      </c>
      <c r="J7104" s="484"/>
      <c r="K7104" s="548"/>
      <c r="L7104" s="548"/>
      <c r="M7104" s="548"/>
      <c r="N7104" s="552"/>
    </row>
    <row r="7105" spans="1:14">
      <c r="A7105" s="499">
        <v>45734</v>
      </c>
      <c r="B7105" s="499">
        <v>45734</v>
      </c>
      <c r="C7105" s="500" t="s">
        <v>173</v>
      </c>
      <c r="D7105" s="500" t="s">
        <v>759</v>
      </c>
      <c r="E7105" s="501">
        <v>-86039695.359999999</v>
      </c>
      <c r="F7105" s="502" t="s">
        <v>878</v>
      </c>
      <c r="G7105" s="100">
        <v>116402033</v>
      </c>
      <c r="H7105" s="530"/>
      <c r="I7105" s="422" t="s">
        <v>711</v>
      </c>
      <c r="J7105" s="484"/>
      <c r="K7105" s="548"/>
      <c r="L7105" s="548"/>
      <c r="M7105" s="548"/>
      <c r="N7105" s="552"/>
    </row>
    <row r="7106" spans="1:14">
      <c r="A7106" s="499">
        <v>45734</v>
      </c>
      <c r="B7106" s="499">
        <v>45734</v>
      </c>
      <c r="C7106" s="500" t="s">
        <v>173</v>
      </c>
      <c r="D7106" s="500" t="s">
        <v>759</v>
      </c>
      <c r="E7106" s="501">
        <v>-86039695.359999999</v>
      </c>
      <c r="F7106" s="502" t="s">
        <v>878</v>
      </c>
      <c r="G7106" s="100">
        <v>116402036</v>
      </c>
      <c r="H7106" s="530"/>
      <c r="I7106" s="422" t="s">
        <v>711</v>
      </c>
      <c r="J7106" s="484"/>
      <c r="K7106" s="548"/>
      <c r="L7106" s="548"/>
      <c r="M7106" s="548"/>
      <c r="N7106" s="552"/>
    </row>
    <row r="7107" spans="1:14">
      <c r="A7107" s="499">
        <v>45734</v>
      </c>
      <c r="B7107" s="499">
        <v>45734</v>
      </c>
      <c r="C7107" s="500" t="s">
        <v>173</v>
      </c>
      <c r="D7107" s="500" t="s">
        <v>759</v>
      </c>
      <c r="E7107" s="501">
        <v>-88023568.780000001</v>
      </c>
      <c r="F7107" s="502" t="s">
        <v>878</v>
      </c>
      <c r="G7107" s="100">
        <v>116402039</v>
      </c>
      <c r="H7107" s="530"/>
      <c r="I7107" s="422" t="s">
        <v>819</v>
      </c>
      <c r="J7107" s="484"/>
      <c r="K7107" s="548"/>
      <c r="L7107" s="548"/>
      <c r="M7107" s="548"/>
      <c r="N7107" s="552"/>
    </row>
    <row r="7108" spans="1:14">
      <c r="A7108" s="499">
        <v>45734</v>
      </c>
      <c r="B7108" s="499">
        <v>45734</v>
      </c>
      <c r="C7108" s="500" t="s">
        <v>173</v>
      </c>
      <c r="D7108" s="500" t="s">
        <v>759</v>
      </c>
      <c r="E7108" s="501">
        <v>-92089066.299999997</v>
      </c>
      <c r="F7108" s="502" t="s">
        <v>878</v>
      </c>
      <c r="G7108" s="100">
        <v>116402042</v>
      </c>
      <c r="H7108" s="530"/>
      <c r="I7108" s="422" t="s">
        <v>823</v>
      </c>
      <c r="J7108" s="484"/>
      <c r="K7108" s="548"/>
      <c r="L7108" s="548"/>
      <c r="M7108" s="548"/>
      <c r="N7108" s="552"/>
    </row>
    <row r="7109" spans="1:14">
      <c r="A7109" s="499">
        <v>45734</v>
      </c>
      <c r="B7109" s="499">
        <v>45734</v>
      </c>
      <c r="C7109" s="500" t="s">
        <v>173</v>
      </c>
      <c r="D7109" s="500" t="s">
        <v>759</v>
      </c>
      <c r="E7109" s="501">
        <v>-97017284.959999993</v>
      </c>
      <c r="F7109" s="502" t="s">
        <v>878</v>
      </c>
      <c r="G7109" s="100">
        <v>116402045</v>
      </c>
      <c r="H7109" s="530"/>
      <c r="I7109" s="422" t="s">
        <v>550</v>
      </c>
      <c r="J7109" s="484"/>
      <c r="K7109" s="548"/>
      <c r="L7109" s="548"/>
      <c r="M7109" s="548"/>
      <c r="N7109" s="552"/>
    </row>
    <row r="7110" spans="1:14">
      <c r="A7110" s="499">
        <v>45734</v>
      </c>
      <c r="B7110" s="499">
        <v>45734</v>
      </c>
      <c r="C7110" s="500" t="s">
        <v>173</v>
      </c>
      <c r="D7110" s="500" t="s">
        <v>759</v>
      </c>
      <c r="E7110" s="501">
        <v>-99010539.939999998</v>
      </c>
      <c r="F7110" s="502" t="s">
        <v>878</v>
      </c>
      <c r="G7110" s="100">
        <v>116402048</v>
      </c>
      <c r="H7110" s="530"/>
      <c r="I7110" s="422" t="s">
        <v>816</v>
      </c>
      <c r="J7110" s="484"/>
      <c r="K7110" s="548"/>
      <c r="L7110" s="548"/>
      <c r="M7110" s="548"/>
      <c r="N7110" s="552"/>
    </row>
    <row r="7111" spans="1:14">
      <c r="A7111" s="499">
        <v>45734</v>
      </c>
      <c r="B7111" s="499">
        <v>45734</v>
      </c>
      <c r="C7111" s="500" t="s">
        <v>173</v>
      </c>
      <c r="D7111" s="500" t="s">
        <v>759</v>
      </c>
      <c r="E7111" s="501">
        <v>-177001758.38999999</v>
      </c>
      <c r="F7111" s="502" t="s">
        <v>878</v>
      </c>
      <c r="G7111" s="100">
        <v>116402180</v>
      </c>
      <c r="H7111" s="530"/>
      <c r="I7111" s="422" t="s">
        <v>1018</v>
      </c>
      <c r="J7111" s="484"/>
      <c r="K7111" s="548"/>
      <c r="L7111" s="548"/>
      <c r="M7111" s="548"/>
      <c r="N7111" s="552"/>
    </row>
    <row r="7112" spans="1:14">
      <c r="A7112" s="499">
        <v>45734</v>
      </c>
      <c r="B7112" s="499">
        <v>45735</v>
      </c>
      <c r="C7112" s="500" t="s">
        <v>173</v>
      </c>
      <c r="D7112" s="500" t="s">
        <v>759</v>
      </c>
      <c r="E7112" s="501">
        <v>1001342.85</v>
      </c>
      <c r="F7112" s="502" t="s">
        <v>878</v>
      </c>
      <c r="G7112" s="100">
        <v>116401838</v>
      </c>
      <c r="H7112" s="484">
        <v>116401838</v>
      </c>
      <c r="I7112" s="422" t="s">
        <v>598</v>
      </c>
      <c r="J7112" s="484"/>
      <c r="K7112" s="548"/>
      <c r="L7112" s="548"/>
      <c r="M7112" s="548"/>
      <c r="N7112" s="552"/>
    </row>
    <row r="7113" spans="1:14">
      <c r="A7113" s="499">
        <v>45734</v>
      </c>
      <c r="B7113" s="499">
        <v>45735</v>
      </c>
      <c r="C7113" s="500" t="s">
        <v>173</v>
      </c>
      <c r="D7113" s="500" t="s">
        <v>759</v>
      </c>
      <c r="E7113" s="501">
        <v>1000552.5</v>
      </c>
      <c r="F7113" s="502" t="s">
        <v>878</v>
      </c>
      <c r="G7113" s="100">
        <v>116401841</v>
      </c>
      <c r="H7113" s="484">
        <v>116401841</v>
      </c>
      <c r="I7113" s="422" t="s">
        <v>592</v>
      </c>
      <c r="J7113" s="484"/>
      <c r="K7113" s="548"/>
      <c r="L7113" s="548"/>
      <c r="M7113" s="548"/>
      <c r="N7113" s="552"/>
    </row>
    <row r="7114" spans="1:14">
      <c r="A7114" s="499">
        <v>45734</v>
      </c>
      <c r="B7114" s="499">
        <v>45735</v>
      </c>
      <c r="C7114" s="500" t="s">
        <v>173</v>
      </c>
      <c r="D7114" s="500" t="s">
        <v>759</v>
      </c>
      <c r="E7114" s="501">
        <v>1000905.38</v>
      </c>
      <c r="F7114" s="502" t="s">
        <v>878</v>
      </c>
      <c r="G7114" s="100">
        <v>116401844</v>
      </c>
      <c r="H7114" s="484">
        <v>116401844</v>
      </c>
      <c r="I7114" s="422" t="s">
        <v>713</v>
      </c>
      <c r="J7114" s="484"/>
      <c r="K7114" s="548"/>
      <c r="L7114" s="548"/>
      <c r="M7114" s="548"/>
      <c r="N7114" s="552"/>
    </row>
    <row r="7115" spans="1:14">
      <c r="A7115" s="499">
        <v>45734</v>
      </c>
      <c r="B7115" s="499">
        <v>45735</v>
      </c>
      <c r="C7115" s="500" t="s">
        <v>173</v>
      </c>
      <c r="D7115" s="500" t="s">
        <v>759</v>
      </c>
      <c r="E7115" s="501">
        <v>1000518.95</v>
      </c>
      <c r="F7115" s="502" t="s">
        <v>878</v>
      </c>
      <c r="G7115" s="100">
        <v>116401847</v>
      </c>
      <c r="H7115" s="484">
        <v>116401847</v>
      </c>
      <c r="I7115" s="422" t="s">
        <v>715</v>
      </c>
      <c r="J7115" s="484"/>
      <c r="K7115" s="548"/>
      <c r="L7115" s="548"/>
      <c r="M7115" s="548"/>
      <c r="N7115" s="552"/>
    </row>
    <row r="7116" spans="1:14">
      <c r="A7116" s="499">
        <v>45734</v>
      </c>
      <c r="B7116" s="499">
        <v>45735</v>
      </c>
      <c r="C7116" s="500" t="s">
        <v>173</v>
      </c>
      <c r="D7116" s="500" t="s">
        <v>759</v>
      </c>
      <c r="E7116" s="501">
        <v>1000552.5</v>
      </c>
      <c r="F7116" s="502" t="s">
        <v>878</v>
      </c>
      <c r="G7116" s="100">
        <v>116401850</v>
      </c>
      <c r="H7116" s="484">
        <v>116401850</v>
      </c>
      <c r="I7116" s="422" t="s">
        <v>592</v>
      </c>
      <c r="J7116" s="484"/>
      <c r="K7116" s="548"/>
      <c r="L7116" s="548"/>
      <c r="M7116" s="548"/>
      <c r="N7116" s="552"/>
    </row>
    <row r="7117" spans="1:14">
      <c r="A7117" s="499">
        <v>45734</v>
      </c>
      <c r="B7117" s="499">
        <v>45735</v>
      </c>
      <c r="C7117" s="500" t="s">
        <v>173</v>
      </c>
      <c r="D7117" s="500" t="s">
        <v>759</v>
      </c>
      <c r="E7117" s="501">
        <v>1000502.7</v>
      </c>
      <c r="F7117" s="502" t="s">
        <v>878</v>
      </c>
      <c r="G7117" s="100">
        <v>116401853</v>
      </c>
      <c r="H7117" s="484">
        <v>116401853</v>
      </c>
      <c r="I7117" s="422" t="s">
        <v>675</v>
      </c>
      <c r="J7117" s="484"/>
      <c r="K7117" s="548"/>
      <c r="L7117" s="548"/>
      <c r="M7117" s="548"/>
      <c r="N7117" s="552"/>
    </row>
    <row r="7118" spans="1:14">
      <c r="A7118" s="499">
        <v>45734</v>
      </c>
      <c r="B7118" s="499">
        <v>45735</v>
      </c>
      <c r="C7118" s="500" t="s">
        <v>173</v>
      </c>
      <c r="D7118" s="500" t="s">
        <v>759</v>
      </c>
      <c r="E7118" s="501">
        <v>1000552.5</v>
      </c>
      <c r="F7118" s="502" t="s">
        <v>878</v>
      </c>
      <c r="G7118" s="100">
        <v>116401856</v>
      </c>
      <c r="H7118" s="484">
        <v>116401856</v>
      </c>
      <c r="I7118" s="422" t="s">
        <v>592</v>
      </c>
      <c r="J7118" s="484"/>
      <c r="K7118" s="548"/>
      <c r="L7118" s="548"/>
      <c r="M7118" s="548"/>
      <c r="N7118" s="552"/>
    </row>
    <row r="7119" spans="1:14">
      <c r="A7119" s="499">
        <v>45734</v>
      </c>
      <c r="B7119" s="499">
        <v>45735</v>
      </c>
      <c r="C7119" s="500" t="s">
        <v>173</v>
      </c>
      <c r="D7119" s="500" t="s">
        <v>759</v>
      </c>
      <c r="E7119" s="501">
        <v>1000625.38</v>
      </c>
      <c r="F7119" s="502" t="s">
        <v>878</v>
      </c>
      <c r="G7119" s="100">
        <v>116401859</v>
      </c>
      <c r="H7119" s="484">
        <v>116401859</v>
      </c>
      <c r="I7119" s="422" t="s">
        <v>693</v>
      </c>
      <c r="J7119" s="484"/>
      <c r="K7119" s="548"/>
      <c r="L7119" s="548"/>
      <c r="M7119" s="548"/>
      <c r="N7119" s="552"/>
    </row>
    <row r="7120" spans="1:14">
      <c r="A7120" s="499">
        <v>45734</v>
      </c>
      <c r="B7120" s="499">
        <v>45735</v>
      </c>
      <c r="C7120" s="500" t="s">
        <v>173</v>
      </c>
      <c r="D7120" s="500" t="s">
        <v>759</v>
      </c>
      <c r="E7120" s="501">
        <v>2002423.12</v>
      </c>
      <c r="F7120" s="502" t="s">
        <v>878</v>
      </c>
      <c r="G7120" s="100">
        <v>116401862</v>
      </c>
      <c r="H7120" s="484">
        <v>116401862</v>
      </c>
      <c r="I7120" s="422" t="s">
        <v>682</v>
      </c>
      <c r="J7120" s="484"/>
      <c r="K7120" s="548"/>
      <c r="L7120" s="548"/>
      <c r="M7120" s="548"/>
      <c r="N7120" s="552"/>
    </row>
    <row r="7121" spans="1:14">
      <c r="A7121" s="499">
        <v>45734</v>
      </c>
      <c r="B7121" s="499">
        <v>45735</v>
      </c>
      <c r="C7121" s="500" t="s">
        <v>173</v>
      </c>
      <c r="D7121" s="500" t="s">
        <v>759</v>
      </c>
      <c r="E7121" s="501">
        <v>3003997.91</v>
      </c>
      <c r="F7121" s="502" t="s">
        <v>878</v>
      </c>
      <c r="G7121" s="100">
        <v>116401865</v>
      </c>
      <c r="H7121" s="484">
        <v>116401865</v>
      </c>
      <c r="I7121" s="422" t="s">
        <v>817</v>
      </c>
      <c r="J7121" s="484"/>
      <c r="K7121" s="548"/>
      <c r="L7121" s="548"/>
      <c r="M7121" s="548"/>
      <c r="N7121" s="552"/>
    </row>
    <row r="7122" spans="1:14">
      <c r="A7122" s="499">
        <v>45734</v>
      </c>
      <c r="B7122" s="499">
        <v>45735</v>
      </c>
      <c r="C7122" s="500" t="s">
        <v>173</v>
      </c>
      <c r="D7122" s="500" t="s">
        <v>759</v>
      </c>
      <c r="E7122" s="501">
        <v>3004142.97</v>
      </c>
      <c r="F7122" s="502" t="s">
        <v>878</v>
      </c>
      <c r="G7122" s="100">
        <v>116401868</v>
      </c>
      <c r="H7122" s="484">
        <v>116401868</v>
      </c>
      <c r="I7122" s="422" t="s">
        <v>684</v>
      </c>
      <c r="J7122" s="484"/>
      <c r="K7122" s="548"/>
      <c r="L7122" s="548"/>
      <c r="M7122" s="548"/>
      <c r="N7122" s="552"/>
    </row>
    <row r="7123" spans="1:14">
      <c r="A7123" s="499">
        <v>45734</v>
      </c>
      <c r="B7123" s="499">
        <v>45735</v>
      </c>
      <c r="C7123" s="500" t="s">
        <v>173</v>
      </c>
      <c r="D7123" s="500" t="s">
        <v>759</v>
      </c>
      <c r="E7123" s="501">
        <v>3002067.11</v>
      </c>
      <c r="F7123" s="502" t="s">
        <v>878</v>
      </c>
      <c r="G7123" s="100">
        <v>116401871</v>
      </c>
      <c r="H7123" s="484">
        <v>116401871</v>
      </c>
      <c r="I7123" s="422" t="s">
        <v>525</v>
      </c>
      <c r="J7123" s="484"/>
      <c r="K7123" s="548"/>
      <c r="L7123" s="548"/>
      <c r="M7123" s="548"/>
      <c r="N7123" s="552"/>
    </row>
    <row r="7124" spans="1:14">
      <c r="A7124" s="499">
        <v>45734</v>
      </c>
      <c r="B7124" s="499">
        <v>45735</v>
      </c>
      <c r="C7124" s="500" t="s">
        <v>173</v>
      </c>
      <c r="D7124" s="500" t="s">
        <v>759</v>
      </c>
      <c r="E7124" s="501">
        <v>4003981.19</v>
      </c>
      <c r="F7124" s="502" t="s">
        <v>878</v>
      </c>
      <c r="G7124" s="100">
        <v>116401874</v>
      </c>
      <c r="H7124" s="484">
        <v>116401874</v>
      </c>
      <c r="I7124" s="422" t="s">
        <v>604</v>
      </c>
      <c r="J7124" s="484"/>
      <c r="K7124" s="548"/>
      <c r="L7124" s="548"/>
      <c r="M7124" s="548"/>
      <c r="N7124" s="552"/>
    </row>
    <row r="7125" spans="1:14">
      <c r="A7125" s="499">
        <v>45734</v>
      </c>
      <c r="B7125" s="499">
        <v>45735</v>
      </c>
      <c r="C7125" s="500" t="s">
        <v>173</v>
      </c>
      <c r="D7125" s="500" t="s">
        <v>759</v>
      </c>
      <c r="E7125" s="501">
        <v>5004204.1399999997</v>
      </c>
      <c r="F7125" s="502" t="s">
        <v>878</v>
      </c>
      <c r="G7125" s="100">
        <v>116401877</v>
      </c>
      <c r="H7125" s="484">
        <v>116401877</v>
      </c>
      <c r="I7125" s="422" t="s">
        <v>676</v>
      </c>
      <c r="J7125" s="484"/>
      <c r="K7125" s="548"/>
      <c r="L7125" s="548"/>
      <c r="M7125" s="548"/>
      <c r="N7125" s="552"/>
    </row>
    <row r="7126" spans="1:14">
      <c r="A7126" s="499">
        <v>45734</v>
      </c>
      <c r="B7126" s="499">
        <v>45735</v>
      </c>
      <c r="C7126" s="500" t="s">
        <v>173</v>
      </c>
      <c r="D7126" s="500" t="s">
        <v>759</v>
      </c>
      <c r="E7126" s="501">
        <v>5003963.49</v>
      </c>
      <c r="F7126" s="502" t="s">
        <v>878</v>
      </c>
      <c r="G7126" s="100">
        <v>116401880</v>
      </c>
      <c r="H7126" s="484">
        <v>116401880</v>
      </c>
      <c r="I7126" s="422" t="s">
        <v>600</v>
      </c>
      <c r="J7126" s="484"/>
      <c r="K7126" s="548"/>
      <c r="L7126" s="548"/>
      <c r="M7126" s="548"/>
      <c r="N7126" s="552"/>
    </row>
    <row r="7127" spans="1:14">
      <c r="A7127" s="499">
        <v>45734</v>
      </c>
      <c r="B7127" s="499">
        <v>45735</v>
      </c>
      <c r="C7127" s="500" t="s">
        <v>173</v>
      </c>
      <c r="D7127" s="500" t="s">
        <v>759</v>
      </c>
      <c r="E7127" s="501">
        <v>5006297.68</v>
      </c>
      <c r="F7127" s="502" t="s">
        <v>878</v>
      </c>
      <c r="G7127" s="100">
        <v>116401883</v>
      </c>
      <c r="H7127" s="484">
        <v>116401883</v>
      </c>
      <c r="I7127" s="422" t="s">
        <v>590</v>
      </c>
      <c r="J7127" s="484"/>
      <c r="K7127" s="548"/>
      <c r="L7127" s="548"/>
      <c r="M7127" s="548"/>
      <c r="N7127" s="552"/>
    </row>
    <row r="7128" spans="1:14">
      <c r="A7128" s="499">
        <v>45734</v>
      </c>
      <c r="B7128" s="499">
        <v>45735</v>
      </c>
      <c r="C7128" s="500" t="s">
        <v>173</v>
      </c>
      <c r="D7128" s="500" t="s">
        <v>759</v>
      </c>
      <c r="E7128" s="501">
        <v>5004111.74</v>
      </c>
      <c r="F7128" s="502" t="s">
        <v>878</v>
      </c>
      <c r="G7128" s="100">
        <v>116401886</v>
      </c>
      <c r="H7128" s="484">
        <v>116401886</v>
      </c>
      <c r="I7128" s="422" t="s">
        <v>678</v>
      </c>
      <c r="J7128" s="484"/>
      <c r="K7128" s="548"/>
      <c r="L7128" s="548"/>
      <c r="M7128" s="548"/>
      <c r="N7128" s="552"/>
    </row>
    <row r="7129" spans="1:14">
      <c r="A7129" s="499">
        <v>45734</v>
      </c>
      <c r="B7129" s="499">
        <v>45735</v>
      </c>
      <c r="C7129" s="500" t="s">
        <v>173</v>
      </c>
      <c r="D7129" s="500" t="s">
        <v>759</v>
      </c>
      <c r="E7129" s="501">
        <v>6005044.96</v>
      </c>
      <c r="F7129" s="502" t="s">
        <v>878</v>
      </c>
      <c r="G7129" s="100">
        <v>116401889</v>
      </c>
      <c r="H7129" s="484">
        <v>116401889</v>
      </c>
      <c r="I7129" s="422" t="s">
        <v>676</v>
      </c>
      <c r="J7129" s="484"/>
      <c r="K7129" s="548"/>
      <c r="L7129" s="548"/>
      <c r="M7129" s="548"/>
      <c r="N7129" s="552"/>
    </row>
    <row r="7130" spans="1:14">
      <c r="A7130" s="499">
        <v>45734</v>
      </c>
      <c r="B7130" s="499">
        <v>45735</v>
      </c>
      <c r="C7130" s="500" t="s">
        <v>173</v>
      </c>
      <c r="D7130" s="500" t="s">
        <v>759</v>
      </c>
      <c r="E7130" s="501">
        <v>7004270.6699999999</v>
      </c>
      <c r="F7130" s="502" t="s">
        <v>878</v>
      </c>
      <c r="G7130" s="100">
        <v>116401892</v>
      </c>
      <c r="H7130" s="484">
        <v>116401892</v>
      </c>
      <c r="I7130" s="422" t="s">
        <v>696</v>
      </c>
      <c r="J7130" s="484"/>
      <c r="K7130" s="548"/>
      <c r="L7130" s="548"/>
      <c r="M7130" s="548"/>
      <c r="N7130" s="552"/>
    </row>
    <row r="7131" spans="1:14">
      <c r="A7131" s="499">
        <v>45734</v>
      </c>
      <c r="B7131" s="499">
        <v>45735</v>
      </c>
      <c r="C7131" s="500" t="s">
        <v>173</v>
      </c>
      <c r="D7131" s="500" t="s">
        <v>759</v>
      </c>
      <c r="E7131" s="501">
        <v>7004270.6699999999</v>
      </c>
      <c r="F7131" s="502" t="s">
        <v>878</v>
      </c>
      <c r="G7131" s="100">
        <v>116401895</v>
      </c>
      <c r="H7131" s="484">
        <v>116401895</v>
      </c>
      <c r="I7131" s="422" t="s">
        <v>696</v>
      </c>
      <c r="J7131" s="484"/>
      <c r="K7131" s="548"/>
      <c r="L7131" s="548"/>
      <c r="M7131" s="548"/>
      <c r="N7131" s="552"/>
    </row>
    <row r="7132" spans="1:14">
      <c r="A7132" s="499">
        <v>45734</v>
      </c>
      <c r="B7132" s="499">
        <v>45735</v>
      </c>
      <c r="C7132" s="500" t="s">
        <v>173</v>
      </c>
      <c r="D7132" s="500" t="s">
        <v>759</v>
      </c>
      <c r="E7132" s="501">
        <v>8007159.71</v>
      </c>
      <c r="F7132" s="502" t="s">
        <v>878</v>
      </c>
      <c r="G7132" s="100">
        <v>116401898</v>
      </c>
      <c r="H7132" s="484">
        <v>116401898</v>
      </c>
      <c r="I7132" s="422" t="s">
        <v>674</v>
      </c>
      <c r="J7132" s="484"/>
      <c r="K7132" s="548"/>
      <c r="L7132" s="548"/>
      <c r="M7132" s="548"/>
      <c r="N7132" s="552"/>
    </row>
    <row r="7133" spans="1:14">
      <c r="A7133" s="499">
        <v>45734</v>
      </c>
      <c r="B7133" s="499">
        <v>45735</v>
      </c>
      <c r="C7133" s="500" t="s">
        <v>173</v>
      </c>
      <c r="D7133" s="500" t="s">
        <v>759</v>
      </c>
      <c r="E7133" s="501">
        <v>11005942.289999999</v>
      </c>
      <c r="F7133" s="502" t="s">
        <v>878</v>
      </c>
      <c r="G7133" s="100">
        <v>116401901</v>
      </c>
      <c r="H7133" s="484">
        <v>116401901</v>
      </c>
      <c r="I7133" s="422" t="s">
        <v>816</v>
      </c>
      <c r="J7133" s="484"/>
      <c r="K7133" s="548"/>
      <c r="L7133" s="548"/>
      <c r="M7133" s="548"/>
      <c r="N7133" s="552"/>
    </row>
    <row r="7134" spans="1:14">
      <c r="A7134" s="499">
        <v>45734</v>
      </c>
      <c r="B7134" s="499">
        <v>45735</v>
      </c>
      <c r="C7134" s="500" t="s">
        <v>173</v>
      </c>
      <c r="D7134" s="500" t="s">
        <v>759</v>
      </c>
      <c r="E7134" s="501">
        <v>14009646.52</v>
      </c>
      <c r="F7134" s="502" t="s">
        <v>878</v>
      </c>
      <c r="G7134" s="100">
        <v>116401904</v>
      </c>
      <c r="H7134" s="484">
        <v>116401904</v>
      </c>
      <c r="I7134" s="422" t="s">
        <v>525</v>
      </c>
      <c r="J7134" s="484"/>
      <c r="K7134" s="548"/>
      <c r="L7134" s="548"/>
      <c r="M7134" s="548"/>
      <c r="N7134" s="552"/>
    </row>
    <row r="7135" spans="1:14">
      <c r="A7135" s="499">
        <v>45734</v>
      </c>
      <c r="B7135" s="499">
        <v>45735</v>
      </c>
      <c r="C7135" s="500" t="s">
        <v>173</v>
      </c>
      <c r="D7135" s="500" t="s">
        <v>759</v>
      </c>
      <c r="E7135" s="501">
        <v>15008103.130000001</v>
      </c>
      <c r="F7135" s="502" t="s">
        <v>878</v>
      </c>
      <c r="G7135" s="100">
        <v>116401907</v>
      </c>
      <c r="H7135" s="484">
        <v>116401907</v>
      </c>
      <c r="I7135" s="422" t="s">
        <v>816</v>
      </c>
      <c r="J7135" s="484"/>
      <c r="K7135" s="548"/>
      <c r="L7135" s="548"/>
      <c r="M7135" s="548"/>
      <c r="N7135" s="552"/>
    </row>
    <row r="7136" spans="1:14">
      <c r="A7136" s="499">
        <v>45734</v>
      </c>
      <c r="B7136" s="499">
        <v>45735</v>
      </c>
      <c r="C7136" s="500" t="s">
        <v>173</v>
      </c>
      <c r="D7136" s="500" t="s">
        <v>759</v>
      </c>
      <c r="E7136" s="501">
        <v>15010524.630000001</v>
      </c>
      <c r="F7136" s="502" t="s">
        <v>878</v>
      </c>
      <c r="G7136" s="100">
        <v>116401910</v>
      </c>
      <c r="H7136" s="484">
        <v>116401910</v>
      </c>
      <c r="I7136" s="422" t="s">
        <v>819</v>
      </c>
      <c r="J7136" s="484"/>
      <c r="K7136" s="548"/>
      <c r="L7136" s="548"/>
      <c r="M7136" s="548"/>
      <c r="N7136" s="552"/>
    </row>
    <row r="7137" spans="1:14">
      <c r="A7137" s="499">
        <v>45734</v>
      </c>
      <c r="B7137" s="499">
        <v>45735</v>
      </c>
      <c r="C7137" s="500" t="s">
        <v>173</v>
      </c>
      <c r="D7137" s="500" t="s">
        <v>759</v>
      </c>
      <c r="E7137" s="501">
        <v>16015935.35</v>
      </c>
      <c r="F7137" s="502" t="s">
        <v>878</v>
      </c>
      <c r="G7137" s="100">
        <v>116401913</v>
      </c>
      <c r="H7137" s="484">
        <v>116401913</v>
      </c>
      <c r="I7137" s="422" t="s">
        <v>824</v>
      </c>
      <c r="J7137" s="484"/>
      <c r="K7137" s="548"/>
      <c r="L7137" s="548"/>
      <c r="M7137" s="548"/>
      <c r="N7137" s="552"/>
    </row>
    <row r="7138" spans="1:14">
      <c r="A7138" s="499">
        <v>45734</v>
      </c>
      <c r="B7138" s="499">
        <v>45735</v>
      </c>
      <c r="C7138" s="500" t="s">
        <v>173</v>
      </c>
      <c r="D7138" s="500" t="s">
        <v>759</v>
      </c>
      <c r="E7138" s="501">
        <v>17015214.390000001</v>
      </c>
      <c r="F7138" s="502" t="s">
        <v>878</v>
      </c>
      <c r="G7138" s="100">
        <v>116401916</v>
      </c>
      <c r="H7138" s="484">
        <v>116401916</v>
      </c>
      <c r="I7138" s="422" t="s">
        <v>674</v>
      </c>
      <c r="J7138" s="484"/>
      <c r="K7138" s="548"/>
      <c r="L7138" s="548"/>
      <c r="M7138" s="548"/>
      <c r="N7138" s="552"/>
    </row>
    <row r="7139" spans="1:14">
      <c r="A7139" s="499">
        <v>45734</v>
      </c>
      <c r="B7139" s="499">
        <v>45735</v>
      </c>
      <c r="C7139" s="500" t="s">
        <v>173</v>
      </c>
      <c r="D7139" s="500" t="s">
        <v>759</v>
      </c>
      <c r="E7139" s="501">
        <v>17010403.510000002</v>
      </c>
      <c r="F7139" s="502" t="s">
        <v>878</v>
      </c>
      <c r="G7139" s="100">
        <v>116401919</v>
      </c>
      <c r="H7139" s="484">
        <v>116401919</v>
      </c>
      <c r="I7139" s="422" t="s">
        <v>550</v>
      </c>
      <c r="J7139" s="484"/>
      <c r="K7139" s="548"/>
      <c r="L7139" s="548"/>
      <c r="M7139" s="548"/>
      <c r="N7139" s="552"/>
    </row>
    <row r="7140" spans="1:14">
      <c r="A7140" s="499">
        <v>45734</v>
      </c>
      <c r="B7140" s="499">
        <v>45735</v>
      </c>
      <c r="C7140" s="500" t="s">
        <v>173</v>
      </c>
      <c r="D7140" s="500" t="s">
        <v>759</v>
      </c>
      <c r="E7140" s="501">
        <v>17009183.550000001</v>
      </c>
      <c r="F7140" s="502" t="s">
        <v>878</v>
      </c>
      <c r="G7140" s="100">
        <v>116401922</v>
      </c>
      <c r="H7140" s="484">
        <v>116401922</v>
      </c>
      <c r="I7140" s="422" t="s">
        <v>816</v>
      </c>
      <c r="J7140" s="484"/>
      <c r="K7140" s="548"/>
      <c r="L7140" s="548"/>
      <c r="M7140" s="548"/>
      <c r="N7140" s="552"/>
    </row>
    <row r="7141" spans="1:14">
      <c r="A7141" s="499">
        <v>45734</v>
      </c>
      <c r="B7141" s="499">
        <v>45735</v>
      </c>
      <c r="C7141" s="500" t="s">
        <v>173</v>
      </c>
      <c r="D7141" s="500" t="s">
        <v>759</v>
      </c>
      <c r="E7141" s="501">
        <v>18021732.73</v>
      </c>
      <c r="F7141" s="502" t="s">
        <v>878</v>
      </c>
      <c r="G7141" s="100">
        <v>116401925</v>
      </c>
      <c r="H7141" s="484">
        <v>116401925</v>
      </c>
      <c r="I7141" s="422" t="s">
        <v>602</v>
      </c>
      <c r="J7141" s="484"/>
      <c r="K7141" s="548"/>
      <c r="L7141" s="548"/>
      <c r="M7141" s="548"/>
      <c r="N7141" s="552"/>
    </row>
    <row r="7142" spans="1:14">
      <c r="A7142" s="499">
        <v>45734</v>
      </c>
      <c r="B7142" s="499">
        <v>45735</v>
      </c>
      <c r="C7142" s="500" t="s">
        <v>173</v>
      </c>
      <c r="D7142" s="500" t="s">
        <v>759</v>
      </c>
      <c r="E7142" s="501">
        <v>18015134.890000001</v>
      </c>
      <c r="F7142" s="502" t="s">
        <v>878</v>
      </c>
      <c r="G7142" s="100">
        <v>116401928</v>
      </c>
      <c r="H7142" s="484">
        <v>116401928</v>
      </c>
      <c r="I7142" s="422" t="s">
        <v>676</v>
      </c>
      <c r="J7142" s="484"/>
      <c r="K7142" s="548"/>
      <c r="L7142" s="548"/>
      <c r="M7142" s="548"/>
      <c r="N7142" s="552"/>
    </row>
    <row r="7143" spans="1:14">
      <c r="A7143" s="499">
        <v>45734</v>
      </c>
      <c r="B7143" s="499">
        <v>45735</v>
      </c>
      <c r="C7143" s="500" t="s">
        <v>173</v>
      </c>
      <c r="D7143" s="500" t="s">
        <v>759</v>
      </c>
      <c r="E7143" s="501">
        <v>20012658.780000001</v>
      </c>
      <c r="F7143" s="502" t="s">
        <v>878</v>
      </c>
      <c r="G7143" s="100">
        <v>116401931</v>
      </c>
      <c r="H7143" s="484">
        <v>116401931</v>
      </c>
      <c r="I7143" s="422" t="s">
        <v>657</v>
      </c>
      <c r="J7143" s="484"/>
      <c r="K7143" s="548"/>
      <c r="L7143" s="548"/>
      <c r="M7143" s="548"/>
      <c r="N7143" s="552"/>
    </row>
    <row r="7144" spans="1:14">
      <c r="A7144" s="499">
        <v>45734</v>
      </c>
      <c r="B7144" s="499">
        <v>45735</v>
      </c>
      <c r="C7144" s="500" t="s">
        <v>173</v>
      </c>
      <c r="D7144" s="500" t="s">
        <v>759</v>
      </c>
      <c r="E7144" s="501">
        <v>20010031.68</v>
      </c>
      <c r="F7144" s="502" t="s">
        <v>878</v>
      </c>
      <c r="G7144" s="100">
        <v>116401934</v>
      </c>
      <c r="H7144" s="484">
        <v>116401934</v>
      </c>
      <c r="I7144" s="422" t="s">
        <v>588</v>
      </c>
      <c r="J7144" s="484"/>
      <c r="K7144" s="548"/>
      <c r="L7144" s="548"/>
      <c r="M7144" s="548"/>
      <c r="N7144" s="552"/>
    </row>
    <row r="7145" spans="1:14">
      <c r="A7145" s="499">
        <v>45734</v>
      </c>
      <c r="B7145" s="499">
        <v>45735</v>
      </c>
      <c r="C7145" s="500" t="s">
        <v>173</v>
      </c>
      <c r="D7145" s="500" t="s">
        <v>759</v>
      </c>
      <c r="E7145" s="501">
        <v>20014835.140000001</v>
      </c>
      <c r="F7145" s="502" t="s">
        <v>878</v>
      </c>
      <c r="G7145" s="100">
        <v>116401937</v>
      </c>
      <c r="H7145" s="484">
        <v>116401937</v>
      </c>
      <c r="I7145" s="422" t="s">
        <v>689</v>
      </c>
      <c r="J7145" s="484"/>
      <c r="K7145" s="548"/>
      <c r="L7145" s="548"/>
      <c r="M7145" s="548"/>
      <c r="N7145" s="552"/>
    </row>
    <row r="7146" spans="1:14">
      <c r="A7146" s="499">
        <v>45734</v>
      </c>
      <c r="B7146" s="499">
        <v>45735</v>
      </c>
      <c r="C7146" s="500" t="s">
        <v>173</v>
      </c>
      <c r="D7146" s="500" t="s">
        <v>759</v>
      </c>
      <c r="E7146" s="501">
        <v>22027709.809999999</v>
      </c>
      <c r="F7146" s="502" t="s">
        <v>878</v>
      </c>
      <c r="G7146" s="100">
        <v>116401940</v>
      </c>
      <c r="H7146" s="484">
        <v>116401940</v>
      </c>
      <c r="I7146" s="422" t="s">
        <v>590</v>
      </c>
      <c r="J7146" s="484"/>
      <c r="K7146" s="548"/>
      <c r="L7146" s="548"/>
      <c r="M7146" s="548"/>
      <c r="N7146" s="552"/>
    </row>
    <row r="7147" spans="1:14">
      <c r="A7147" s="499">
        <v>45734</v>
      </c>
      <c r="B7147" s="499">
        <v>45735</v>
      </c>
      <c r="C7147" s="500" t="s">
        <v>173</v>
      </c>
      <c r="D7147" s="500" t="s">
        <v>759</v>
      </c>
      <c r="E7147" s="501">
        <v>24032550.07</v>
      </c>
      <c r="F7147" s="502" t="s">
        <v>878</v>
      </c>
      <c r="G7147" s="100">
        <v>116401943</v>
      </c>
      <c r="H7147" s="484">
        <v>116401943</v>
      </c>
      <c r="I7147" s="422" t="s">
        <v>596</v>
      </c>
      <c r="J7147" s="484"/>
      <c r="K7147" s="548"/>
      <c r="L7147" s="548"/>
      <c r="M7147" s="548"/>
      <c r="N7147" s="552"/>
    </row>
    <row r="7148" spans="1:14">
      <c r="A7148" s="499">
        <v>45734</v>
      </c>
      <c r="B7148" s="499">
        <v>45735</v>
      </c>
      <c r="C7148" s="500" t="s">
        <v>173</v>
      </c>
      <c r="D7148" s="500" t="s">
        <v>759</v>
      </c>
      <c r="E7148" s="501">
        <v>25024898.989999998</v>
      </c>
      <c r="F7148" s="502" t="s">
        <v>878</v>
      </c>
      <c r="G7148" s="100">
        <v>116401946</v>
      </c>
      <c r="H7148" s="484">
        <v>116401946</v>
      </c>
      <c r="I7148" s="422" t="s">
        <v>824</v>
      </c>
      <c r="J7148" s="484"/>
      <c r="K7148" s="548"/>
      <c r="L7148" s="548"/>
      <c r="M7148" s="548"/>
      <c r="N7148" s="552"/>
    </row>
    <row r="7149" spans="1:14">
      <c r="A7149" s="499">
        <v>45734</v>
      </c>
      <c r="B7149" s="499">
        <v>45735</v>
      </c>
      <c r="C7149" s="500" t="s">
        <v>173</v>
      </c>
      <c r="D7149" s="500" t="s">
        <v>759</v>
      </c>
      <c r="E7149" s="501">
        <v>25027455.27</v>
      </c>
      <c r="F7149" s="502" t="s">
        <v>878</v>
      </c>
      <c r="G7149" s="100">
        <v>116401949</v>
      </c>
      <c r="H7149" s="484">
        <v>116401949</v>
      </c>
      <c r="I7149" s="422" t="s">
        <v>821</v>
      </c>
      <c r="J7149" s="484"/>
      <c r="K7149" s="548"/>
      <c r="L7149" s="548"/>
      <c r="M7149" s="548"/>
      <c r="N7149" s="552"/>
    </row>
    <row r="7150" spans="1:14">
      <c r="A7150" s="499">
        <v>45734</v>
      </c>
      <c r="B7150" s="499">
        <v>45735</v>
      </c>
      <c r="C7150" s="500" t="s">
        <v>173</v>
      </c>
      <c r="D7150" s="500" t="s">
        <v>759</v>
      </c>
      <c r="E7150" s="501">
        <v>25033571.370000001</v>
      </c>
      <c r="F7150" s="502" t="s">
        <v>878</v>
      </c>
      <c r="G7150" s="100">
        <v>116401952</v>
      </c>
      <c r="H7150" s="484">
        <v>116401952</v>
      </c>
      <c r="I7150" s="422" t="s">
        <v>598</v>
      </c>
      <c r="J7150" s="484"/>
      <c r="K7150" s="548"/>
      <c r="L7150" s="548"/>
      <c r="M7150" s="548"/>
      <c r="N7150" s="552"/>
    </row>
    <row r="7151" spans="1:14">
      <c r="A7151" s="499">
        <v>45734</v>
      </c>
      <c r="B7151" s="499">
        <v>45735</v>
      </c>
      <c r="C7151" s="500" t="s">
        <v>173</v>
      </c>
      <c r="D7151" s="500" t="s">
        <v>759</v>
      </c>
      <c r="E7151" s="501">
        <v>25012539.600000001</v>
      </c>
      <c r="F7151" s="502" t="s">
        <v>878</v>
      </c>
      <c r="G7151" s="100">
        <v>116401955</v>
      </c>
      <c r="H7151" s="484">
        <v>116401955</v>
      </c>
      <c r="I7151" s="422" t="s">
        <v>588</v>
      </c>
      <c r="J7151" s="484"/>
      <c r="K7151" s="548"/>
      <c r="L7151" s="548"/>
      <c r="M7151" s="548"/>
      <c r="N7151" s="552"/>
    </row>
    <row r="7152" spans="1:14">
      <c r="A7152" s="499">
        <v>45734</v>
      </c>
      <c r="B7152" s="499">
        <v>45735</v>
      </c>
      <c r="C7152" s="500" t="s">
        <v>173</v>
      </c>
      <c r="D7152" s="500" t="s">
        <v>759</v>
      </c>
      <c r="E7152" s="501">
        <v>25017654.170000002</v>
      </c>
      <c r="F7152" s="502" t="s">
        <v>878</v>
      </c>
      <c r="G7152" s="100">
        <v>116401958</v>
      </c>
      <c r="H7152" s="484">
        <v>116401958</v>
      </c>
      <c r="I7152" s="422" t="s">
        <v>717</v>
      </c>
      <c r="J7152" s="484"/>
      <c r="K7152" s="548"/>
      <c r="L7152" s="548"/>
      <c r="M7152" s="548"/>
      <c r="N7152" s="552"/>
    </row>
    <row r="7153" spans="1:14">
      <c r="A7153" s="499">
        <v>45734</v>
      </c>
      <c r="B7153" s="499">
        <v>45735</v>
      </c>
      <c r="C7153" s="500" t="s">
        <v>173</v>
      </c>
      <c r="D7153" s="500" t="s">
        <v>759</v>
      </c>
      <c r="E7153" s="501">
        <v>27019307.859999999</v>
      </c>
      <c r="F7153" s="502" t="s">
        <v>878</v>
      </c>
      <c r="G7153" s="100">
        <v>116401961</v>
      </c>
      <c r="H7153" s="484">
        <v>116401961</v>
      </c>
      <c r="I7153" s="422" t="s">
        <v>695</v>
      </c>
      <c r="J7153" s="484"/>
      <c r="K7153" s="548"/>
      <c r="L7153" s="548"/>
      <c r="M7153" s="548"/>
      <c r="N7153" s="552"/>
    </row>
    <row r="7154" spans="1:14">
      <c r="A7154" s="499">
        <v>45734</v>
      </c>
      <c r="B7154" s="499">
        <v>45735</v>
      </c>
      <c r="C7154" s="500" t="s">
        <v>173</v>
      </c>
      <c r="D7154" s="500" t="s">
        <v>759</v>
      </c>
      <c r="E7154" s="501">
        <v>28014530.34</v>
      </c>
      <c r="F7154" s="502" t="s">
        <v>878</v>
      </c>
      <c r="G7154" s="100">
        <v>116401964</v>
      </c>
      <c r="H7154" s="484">
        <v>116401964</v>
      </c>
      <c r="I7154" s="422" t="s">
        <v>715</v>
      </c>
      <c r="J7154" s="484"/>
      <c r="K7154" s="548"/>
      <c r="L7154" s="548"/>
      <c r="M7154" s="548"/>
      <c r="N7154" s="552"/>
    </row>
    <row r="7155" spans="1:14">
      <c r="A7155" s="499">
        <v>45734</v>
      </c>
      <c r="B7155" s="499">
        <v>45735</v>
      </c>
      <c r="C7155" s="500" t="s">
        <v>173</v>
      </c>
      <c r="D7155" s="500" t="s">
        <v>759</v>
      </c>
      <c r="E7155" s="501">
        <v>30021049.25</v>
      </c>
      <c r="F7155" s="502" t="s">
        <v>878</v>
      </c>
      <c r="G7155" s="100">
        <v>116401967</v>
      </c>
      <c r="H7155" s="484">
        <v>116401967</v>
      </c>
      <c r="I7155" s="422" t="s">
        <v>819</v>
      </c>
      <c r="J7155" s="484"/>
      <c r="K7155" s="548"/>
      <c r="L7155" s="548"/>
      <c r="M7155" s="548"/>
      <c r="N7155" s="552"/>
    </row>
    <row r="7156" spans="1:14">
      <c r="A7156" s="499">
        <v>45734</v>
      </c>
      <c r="B7156" s="499">
        <v>45735</v>
      </c>
      <c r="C7156" s="500" t="s">
        <v>173</v>
      </c>
      <c r="D7156" s="500" t="s">
        <v>759</v>
      </c>
      <c r="E7156" s="501">
        <v>31027743.879999999</v>
      </c>
      <c r="F7156" s="502" t="s">
        <v>878</v>
      </c>
      <c r="G7156" s="100">
        <v>116401970</v>
      </c>
      <c r="H7156" s="484">
        <v>116401970</v>
      </c>
      <c r="I7156" s="422" t="s">
        <v>674</v>
      </c>
      <c r="J7156" s="484"/>
      <c r="K7156" s="548"/>
      <c r="L7156" s="548"/>
      <c r="M7156" s="548"/>
      <c r="N7156" s="552"/>
    </row>
    <row r="7157" spans="1:14">
      <c r="A7157" s="499">
        <v>45734</v>
      </c>
      <c r="B7157" s="499">
        <v>45735</v>
      </c>
      <c r="C7157" s="500" t="s">
        <v>173</v>
      </c>
      <c r="D7157" s="500" t="s">
        <v>759</v>
      </c>
      <c r="E7157" s="501">
        <v>33029692.23</v>
      </c>
      <c r="F7157" s="502" t="s">
        <v>878</v>
      </c>
      <c r="G7157" s="100">
        <v>116401973</v>
      </c>
      <c r="H7157" s="484">
        <v>116401973</v>
      </c>
      <c r="I7157" s="422" t="s">
        <v>694</v>
      </c>
      <c r="J7157" s="484"/>
      <c r="K7157" s="548"/>
      <c r="L7157" s="548"/>
      <c r="M7157" s="548"/>
      <c r="N7157" s="552"/>
    </row>
    <row r="7158" spans="1:14">
      <c r="A7158" s="499">
        <v>45734</v>
      </c>
      <c r="B7158" s="499">
        <v>45735</v>
      </c>
      <c r="C7158" s="500" t="s">
        <v>173</v>
      </c>
      <c r="D7158" s="500" t="s">
        <v>759</v>
      </c>
      <c r="E7158" s="501">
        <v>33017880.239999998</v>
      </c>
      <c r="F7158" s="502" t="s">
        <v>878</v>
      </c>
      <c r="G7158" s="100">
        <v>116401976</v>
      </c>
      <c r="H7158" s="484">
        <v>116401976</v>
      </c>
      <c r="I7158" s="422" t="s">
        <v>709</v>
      </c>
      <c r="J7158" s="484"/>
      <c r="K7158" s="548"/>
      <c r="L7158" s="548"/>
      <c r="M7158" s="548"/>
      <c r="N7158" s="552"/>
    </row>
    <row r="7159" spans="1:14">
      <c r="A7159" s="499">
        <v>45734</v>
      </c>
      <c r="B7159" s="499">
        <v>45735</v>
      </c>
      <c r="C7159" s="500" t="s">
        <v>173</v>
      </c>
      <c r="D7159" s="500" t="s">
        <v>759</v>
      </c>
      <c r="E7159" s="501">
        <v>33020637.600000001</v>
      </c>
      <c r="F7159" s="502" t="s">
        <v>878</v>
      </c>
      <c r="G7159" s="100">
        <v>116401979</v>
      </c>
      <c r="H7159" s="484">
        <v>116401979</v>
      </c>
      <c r="I7159" s="422" t="s">
        <v>693</v>
      </c>
      <c r="J7159" s="484"/>
      <c r="K7159" s="548"/>
      <c r="L7159" s="548"/>
      <c r="M7159" s="548"/>
      <c r="N7159" s="552"/>
    </row>
    <row r="7160" spans="1:14">
      <c r="A7160" s="499">
        <v>45734</v>
      </c>
      <c r="B7160" s="499">
        <v>45735</v>
      </c>
      <c r="C7160" s="500" t="s">
        <v>173</v>
      </c>
      <c r="D7160" s="500" t="s">
        <v>759</v>
      </c>
      <c r="E7160" s="501">
        <v>37019200.810000002</v>
      </c>
      <c r="F7160" s="502" t="s">
        <v>878</v>
      </c>
      <c r="G7160" s="100">
        <v>116401982</v>
      </c>
      <c r="H7160" s="484">
        <v>116401982</v>
      </c>
      <c r="I7160" s="422" t="s">
        <v>715</v>
      </c>
      <c r="J7160" s="484"/>
      <c r="K7160" s="548"/>
      <c r="L7160" s="548"/>
      <c r="M7160" s="548"/>
      <c r="N7160" s="552"/>
    </row>
    <row r="7161" spans="1:14">
      <c r="A7161" s="499">
        <v>45734</v>
      </c>
      <c r="B7161" s="499">
        <v>45735</v>
      </c>
      <c r="C7161" s="500" t="s">
        <v>173</v>
      </c>
      <c r="D7161" s="500" t="s">
        <v>759</v>
      </c>
      <c r="E7161" s="501">
        <v>41054638.130000003</v>
      </c>
      <c r="F7161" s="502" t="s">
        <v>878</v>
      </c>
      <c r="G7161" s="100">
        <v>116401985</v>
      </c>
      <c r="H7161" s="484">
        <v>116401985</v>
      </c>
      <c r="I7161" s="422" t="s">
        <v>817</v>
      </c>
      <c r="J7161" s="484"/>
      <c r="K7161" s="548"/>
      <c r="L7161" s="548"/>
      <c r="M7161" s="548"/>
      <c r="N7161" s="552"/>
    </row>
    <row r="7162" spans="1:14">
      <c r="A7162" s="499">
        <v>45734</v>
      </c>
      <c r="B7162" s="499">
        <v>45735</v>
      </c>
      <c r="C7162" s="500" t="s">
        <v>173</v>
      </c>
      <c r="D7162" s="500" t="s">
        <v>759</v>
      </c>
      <c r="E7162" s="501">
        <v>43039988.009999998</v>
      </c>
      <c r="F7162" s="502" t="s">
        <v>878</v>
      </c>
      <c r="G7162" s="100">
        <v>116401988</v>
      </c>
      <c r="H7162" s="484">
        <v>116401988</v>
      </c>
      <c r="I7162" s="422" t="s">
        <v>714</v>
      </c>
      <c r="J7162" s="484"/>
      <c r="K7162" s="548"/>
      <c r="L7162" s="548"/>
      <c r="M7162" s="548"/>
      <c r="N7162" s="552"/>
    </row>
    <row r="7163" spans="1:14">
      <c r="A7163" s="499">
        <v>45734</v>
      </c>
      <c r="B7163" s="499">
        <v>45735</v>
      </c>
      <c r="C7163" s="500" t="s">
        <v>173</v>
      </c>
      <c r="D7163" s="500" t="s">
        <v>759</v>
      </c>
      <c r="E7163" s="501">
        <v>43046541.299999997</v>
      </c>
      <c r="F7163" s="502" t="s">
        <v>878</v>
      </c>
      <c r="G7163" s="100">
        <v>116401991</v>
      </c>
      <c r="H7163" s="484">
        <v>116401991</v>
      </c>
      <c r="I7163" s="422" t="s">
        <v>719</v>
      </c>
      <c r="J7163" s="484"/>
      <c r="K7163" s="548"/>
      <c r="L7163" s="548"/>
      <c r="M7163" s="548"/>
      <c r="N7163" s="552"/>
    </row>
    <row r="7164" spans="1:14">
      <c r="A7164" s="499">
        <v>45734</v>
      </c>
      <c r="B7164" s="499">
        <v>45735</v>
      </c>
      <c r="C7164" s="500" t="s">
        <v>173</v>
      </c>
      <c r="D7164" s="500" t="s">
        <v>759</v>
      </c>
      <c r="E7164" s="501">
        <v>46045783.719999999</v>
      </c>
      <c r="F7164" s="502" t="s">
        <v>878</v>
      </c>
      <c r="G7164" s="100">
        <v>116401994</v>
      </c>
      <c r="H7164" s="484">
        <v>116401994</v>
      </c>
      <c r="I7164" s="422" t="s">
        <v>604</v>
      </c>
      <c r="J7164" s="484"/>
      <c r="K7164" s="548"/>
      <c r="L7164" s="548"/>
      <c r="M7164" s="548"/>
      <c r="N7164" s="552"/>
    </row>
    <row r="7165" spans="1:14">
      <c r="A7165" s="499">
        <v>45734</v>
      </c>
      <c r="B7165" s="499">
        <v>45735</v>
      </c>
      <c r="C7165" s="500" t="s">
        <v>173</v>
      </c>
      <c r="D7165" s="500" t="s">
        <v>759</v>
      </c>
      <c r="E7165" s="501">
        <v>49024577.609999999</v>
      </c>
      <c r="F7165" s="502" t="s">
        <v>878</v>
      </c>
      <c r="G7165" s="100">
        <v>116401997</v>
      </c>
      <c r="H7165" s="484">
        <v>116401997</v>
      </c>
      <c r="I7165" s="422" t="s">
        <v>588</v>
      </c>
      <c r="J7165" s="484"/>
      <c r="K7165" s="548"/>
      <c r="L7165" s="548"/>
      <c r="M7165" s="548"/>
      <c r="N7165" s="552"/>
    </row>
    <row r="7166" spans="1:14">
      <c r="A7166" s="499">
        <v>45734</v>
      </c>
      <c r="B7166" s="499">
        <v>45735</v>
      </c>
      <c r="C7166" s="500" t="s">
        <v>173</v>
      </c>
      <c r="D7166" s="500" t="s">
        <v>759</v>
      </c>
      <c r="E7166" s="501">
        <v>49026555.329999998</v>
      </c>
      <c r="F7166" s="502" t="s">
        <v>878</v>
      </c>
      <c r="G7166" s="100">
        <v>116402000</v>
      </c>
      <c r="H7166" s="484">
        <v>116402000</v>
      </c>
      <c r="I7166" s="422" t="s">
        <v>705</v>
      </c>
      <c r="J7166" s="484"/>
      <c r="K7166" s="548"/>
      <c r="L7166" s="548"/>
      <c r="M7166" s="548"/>
      <c r="N7166" s="552"/>
    </row>
    <row r="7167" spans="1:14">
      <c r="A7167" s="499">
        <v>45734</v>
      </c>
      <c r="B7167" s="499">
        <v>45735</v>
      </c>
      <c r="C7167" s="500" t="s">
        <v>173</v>
      </c>
      <c r="D7167" s="500" t="s">
        <v>759</v>
      </c>
      <c r="E7167" s="501">
        <v>51045579.82</v>
      </c>
      <c r="F7167" s="502" t="s">
        <v>878</v>
      </c>
      <c r="G7167" s="100">
        <v>116402003</v>
      </c>
      <c r="H7167" s="484">
        <v>116402003</v>
      </c>
      <c r="I7167" s="422" t="s">
        <v>690</v>
      </c>
      <c r="J7167" s="484"/>
      <c r="K7167" s="548"/>
      <c r="L7167" s="548"/>
      <c r="M7167" s="548"/>
      <c r="N7167" s="552"/>
    </row>
    <row r="7168" spans="1:14">
      <c r="A7168" s="499">
        <v>45734</v>
      </c>
      <c r="B7168" s="499">
        <v>45735</v>
      </c>
      <c r="C7168" s="500" t="s">
        <v>173</v>
      </c>
      <c r="D7168" s="500" t="s">
        <v>759</v>
      </c>
      <c r="E7168" s="501">
        <v>60065892.640000001</v>
      </c>
      <c r="F7168" s="502" t="s">
        <v>878</v>
      </c>
      <c r="G7168" s="100">
        <v>116402006</v>
      </c>
      <c r="H7168" s="484">
        <v>116402006</v>
      </c>
      <c r="I7168" s="422" t="s">
        <v>821</v>
      </c>
      <c r="J7168" s="484"/>
      <c r="K7168" s="548"/>
      <c r="L7168" s="548"/>
      <c r="M7168" s="548"/>
      <c r="N7168" s="552"/>
    </row>
    <row r="7169" spans="1:16">
      <c r="A7169" s="499">
        <v>45734</v>
      </c>
      <c r="B7169" s="499">
        <v>45735</v>
      </c>
      <c r="C7169" s="500" t="s">
        <v>173</v>
      </c>
      <c r="D7169" s="500" t="s">
        <v>759</v>
      </c>
      <c r="E7169" s="501">
        <v>62082623.520000003</v>
      </c>
      <c r="F7169" s="502" t="s">
        <v>878</v>
      </c>
      <c r="G7169" s="100">
        <v>116402009</v>
      </c>
      <c r="H7169" s="484">
        <v>116402009</v>
      </c>
      <c r="I7169" s="422" t="s">
        <v>817</v>
      </c>
      <c r="J7169" s="484"/>
      <c r="K7169" s="548"/>
      <c r="L7169" s="548"/>
      <c r="M7169" s="548"/>
      <c r="N7169" s="552"/>
    </row>
    <row r="7170" spans="1:16">
      <c r="A7170" s="499">
        <v>45734</v>
      </c>
      <c r="B7170" s="499">
        <v>45735</v>
      </c>
      <c r="C7170" s="500" t="s">
        <v>173</v>
      </c>
      <c r="D7170" s="500" t="s">
        <v>759</v>
      </c>
      <c r="E7170" s="501">
        <v>64077271.939999998</v>
      </c>
      <c r="F7170" s="502" t="s">
        <v>878</v>
      </c>
      <c r="G7170" s="100">
        <v>116402012</v>
      </c>
      <c r="H7170" s="484">
        <v>116402012</v>
      </c>
      <c r="I7170" s="422" t="s">
        <v>602</v>
      </c>
      <c r="J7170" s="484"/>
      <c r="K7170" s="548"/>
      <c r="L7170" s="548"/>
      <c r="M7170" s="548"/>
      <c r="N7170" s="552"/>
    </row>
    <row r="7171" spans="1:16">
      <c r="A7171" s="499">
        <v>45734</v>
      </c>
      <c r="B7171" s="499">
        <v>45735</v>
      </c>
      <c r="C7171" s="500" t="s">
        <v>173</v>
      </c>
      <c r="D7171" s="500" t="s">
        <v>759</v>
      </c>
      <c r="E7171" s="501">
        <v>66059101.200000003</v>
      </c>
      <c r="F7171" s="502" t="s">
        <v>878</v>
      </c>
      <c r="G7171" s="100">
        <v>116402015</v>
      </c>
      <c r="H7171" s="484">
        <v>116402015</v>
      </c>
      <c r="I7171" s="422" t="s">
        <v>711</v>
      </c>
      <c r="J7171" s="484"/>
      <c r="K7171" s="548"/>
      <c r="L7171" s="548"/>
      <c r="M7171" s="548"/>
      <c r="N7171" s="552"/>
    </row>
    <row r="7172" spans="1:16">
      <c r="A7172" s="499">
        <v>45734</v>
      </c>
      <c r="B7172" s="499">
        <v>45735</v>
      </c>
      <c r="C7172" s="500" t="s">
        <v>173</v>
      </c>
      <c r="D7172" s="500" t="s">
        <v>759</v>
      </c>
      <c r="E7172" s="501">
        <v>68074349.879999995</v>
      </c>
      <c r="F7172" s="502" t="s">
        <v>878</v>
      </c>
      <c r="G7172" s="100">
        <v>116402018</v>
      </c>
      <c r="H7172" s="484">
        <v>116402018</v>
      </c>
      <c r="I7172" s="422" t="s">
        <v>654</v>
      </c>
      <c r="J7172" s="484"/>
      <c r="K7172" s="548"/>
      <c r="L7172" s="548"/>
      <c r="M7172" s="548"/>
      <c r="N7172" s="552"/>
    </row>
    <row r="7173" spans="1:16">
      <c r="A7173" s="499">
        <v>45734</v>
      </c>
      <c r="B7173" s="499">
        <v>45735</v>
      </c>
      <c r="C7173" s="500" t="s">
        <v>173</v>
      </c>
      <c r="D7173" s="500" t="s">
        <v>759</v>
      </c>
      <c r="E7173" s="501">
        <v>70093999.829999998</v>
      </c>
      <c r="F7173" s="502" t="s">
        <v>878</v>
      </c>
      <c r="G7173" s="100">
        <v>116402021</v>
      </c>
      <c r="H7173" s="484">
        <v>116402021</v>
      </c>
      <c r="I7173" s="422" t="s">
        <v>598</v>
      </c>
      <c r="J7173" s="484"/>
      <c r="K7173" s="548"/>
      <c r="L7173" s="548"/>
      <c r="M7173" s="548"/>
      <c r="N7173" s="552"/>
    </row>
    <row r="7174" spans="1:16">
      <c r="A7174" s="499">
        <v>45734</v>
      </c>
      <c r="B7174" s="499">
        <v>45735</v>
      </c>
      <c r="C7174" s="500" t="s">
        <v>173</v>
      </c>
      <c r="D7174" s="500" t="s">
        <v>759</v>
      </c>
      <c r="E7174" s="501">
        <v>74050988.760000005</v>
      </c>
      <c r="F7174" s="502" t="s">
        <v>878</v>
      </c>
      <c r="G7174" s="100">
        <v>116402024</v>
      </c>
      <c r="H7174" s="484">
        <v>116402024</v>
      </c>
      <c r="I7174" s="422" t="s">
        <v>525</v>
      </c>
      <c r="J7174" s="484"/>
      <c r="K7174" s="548"/>
      <c r="L7174" s="548"/>
      <c r="M7174" s="548"/>
      <c r="N7174" s="552"/>
    </row>
    <row r="7175" spans="1:16">
      <c r="A7175" s="499">
        <v>45734</v>
      </c>
      <c r="B7175" s="499">
        <v>45735</v>
      </c>
      <c r="C7175" s="500" t="s">
        <v>173</v>
      </c>
      <c r="D7175" s="500" t="s">
        <v>759</v>
      </c>
      <c r="E7175" s="501">
        <v>78061830.379999995</v>
      </c>
      <c r="F7175" s="502" t="s">
        <v>878</v>
      </c>
      <c r="G7175" s="100">
        <v>116402027</v>
      </c>
      <c r="H7175" s="484">
        <v>116402027</v>
      </c>
      <c r="I7175" s="422" t="s">
        <v>600</v>
      </c>
      <c r="J7175" s="484"/>
      <c r="K7175" s="548"/>
      <c r="L7175" s="548"/>
      <c r="M7175" s="548"/>
      <c r="N7175" s="552"/>
    </row>
    <row r="7176" spans="1:16">
      <c r="A7176" s="499">
        <v>45734</v>
      </c>
      <c r="B7176" s="499">
        <v>45735</v>
      </c>
      <c r="C7176" s="500" t="s">
        <v>173</v>
      </c>
      <c r="D7176" s="500" t="s">
        <v>759</v>
      </c>
      <c r="E7176" s="501">
        <v>86116637.719999999</v>
      </c>
      <c r="F7176" s="502" t="s">
        <v>878</v>
      </c>
      <c r="G7176" s="100">
        <v>116402030</v>
      </c>
      <c r="H7176" s="484">
        <v>116402030</v>
      </c>
      <c r="I7176" s="422" t="s">
        <v>596</v>
      </c>
      <c r="J7176" s="484"/>
      <c r="K7176" s="548"/>
      <c r="L7176" s="548"/>
      <c r="M7176" s="548"/>
      <c r="N7176" s="552"/>
    </row>
    <row r="7177" spans="1:16">
      <c r="A7177" s="499">
        <v>45734</v>
      </c>
      <c r="B7177" s="499">
        <v>45735</v>
      </c>
      <c r="C7177" s="500" t="s">
        <v>173</v>
      </c>
      <c r="D7177" s="500" t="s">
        <v>759</v>
      </c>
      <c r="E7177" s="501">
        <v>86077010.659999996</v>
      </c>
      <c r="F7177" s="502" t="s">
        <v>878</v>
      </c>
      <c r="G7177" s="100">
        <v>116402033</v>
      </c>
      <c r="H7177" s="484">
        <v>116402033</v>
      </c>
      <c r="I7177" s="422" t="s">
        <v>711</v>
      </c>
      <c r="J7177" s="484"/>
      <c r="K7177" s="548"/>
      <c r="L7177" s="548"/>
      <c r="M7177" s="548"/>
      <c r="N7177" s="552"/>
    </row>
    <row r="7178" spans="1:16">
      <c r="A7178" s="499">
        <v>45734</v>
      </c>
      <c r="B7178" s="499">
        <v>45735</v>
      </c>
      <c r="C7178" s="500" t="s">
        <v>173</v>
      </c>
      <c r="D7178" s="500" t="s">
        <v>759</v>
      </c>
      <c r="E7178" s="501">
        <v>86077010.659999996</v>
      </c>
      <c r="F7178" s="502" t="s">
        <v>878</v>
      </c>
      <c r="G7178" s="100">
        <v>116402036</v>
      </c>
      <c r="H7178" s="484">
        <v>116402036</v>
      </c>
      <c r="I7178" s="422" t="s">
        <v>711</v>
      </c>
      <c r="J7178" s="484"/>
      <c r="K7178" s="548"/>
      <c r="L7178" s="548"/>
      <c r="M7178" s="548"/>
      <c r="N7178" s="552"/>
    </row>
    <row r="7179" spans="1:16">
      <c r="A7179" s="499">
        <v>45734</v>
      </c>
      <c r="B7179" s="499">
        <v>45735</v>
      </c>
      <c r="C7179" s="500" t="s">
        <v>173</v>
      </c>
      <c r="D7179" s="500" t="s">
        <v>759</v>
      </c>
      <c r="E7179" s="501">
        <v>88061744.480000004</v>
      </c>
      <c r="F7179" s="502" t="s">
        <v>878</v>
      </c>
      <c r="G7179" s="100">
        <v>116402039</v>
      </c>
      <c r="H7179" s="484">
        <v>116402039</v>
      </c>
      <c r="I7179" s="422" t="s">
        <v>819</v>
      </c>
      <c r="J7179" s="484"/>
      <c r="K7179" s="548"/>
      <c r="L7179" s="548"/>
      <c r="M7179" s="548"/>
      <c r="N7179" s="552"/>
    </row>
    <row r="7180" spans="1:16">
      <c r="A7180" s="499">
        <v>45734</v>
      </c>
      <c r="B7180" s="499">
        <v>45735</v>
      </c>
      <c r="C7180" s="500" t="s">
        <v>173</v>
      </c>
      <c r="D7180" s="500" t="s">
        <v>759</v>
      </c>
      <c r="E7180" s="501">
        <v>92129005.200000003</v>
      </c>
      <c r="F7180" s="502" t="s">
        <v>878</v>
      </c>
      <c r="G7180" s="100">
        <v>116402042</v>
      </c>
      <c r="H7180" s="484">
        <v>116402042</v>
      </c>
      <c r="I7180" s="422" t="s">
        <v>823</v>
      </c>
      <c r="J7180" s="484"/>
      <c r="K7180" s="548"/>
      <c r="L7180" s="548"/>
      <c r="M7180" s="548"/>
      <c r="N7180" s="552"/>
    </row>
    <row r="7181" spans="1:16">
      <c r="A7181" s="499">
        <v>45734</v>
      </c>
      <c r="B7181" s="499">
        <v>45735</v>
      </c>
      <c r="C7181" s="500" t="s">
        <v>173</v>
      </c>
      <c r="D7181" s="500" t="s">
        <v>759</v>
      </c>
      <c r="E7181" s="501">
        <v>97059361.219999999</v>
      </c>
      <c r="F7181" s="502" t="s">
        <v>878</v>
      </c>
      <c r="G7181" s="100">
        <v>116402045</v>
      </c>
      <c r="H7181" s="484">
        <v>116402045</v>
      </c>
      <c r="I7181" s="422" t="s">
        <v>550</v>
      </c>
      <c r="J7181" s="484"/>
      <c r="K7181" s="548"/>
      <c r="L7181" s="548"/>
      <c r="M7181" s="548"/>
      <c r="N7181" s="552"/>
    </row>
    <row r="7182" spans="1:16">
      <c r="A7182" s="499">
        <v>45734</v>
      </c>
      <c r="B7182" s="499">
        <v>45735</v>
      </c>
      <c r="C7182" s="500" t="s">
        <v>173</v>
      </c>
      <c r="D7182" s="500" t="s">
        <v>759</v>
      </c>
      <c r="E7182" s="501">
        <v>99053480.680000007</v>
      </c>
      <c r="F7182" s="502" t="s">
        <v>878</v>
      </c>
      <c r="G7182" s="100">
        <v>116402048</v>
      </c>
      <c r="H7182" s="484">
        <v>116402048</v>
      </c>
      <c r="I7182" s="422" t="s">
        <v>816</v>
      </c>
      <c r="J7182" s="484"/>
      <c r="K7182" s="548"/>
      <c r="L7182" s="548"/>
      <c r="M7182" s="548"/>
      <c r="N7182" s="552"/>
      <c r="P7182" s="539">
        <v>-1</v>
      </c>
    </row>
    <row r="7183" spans="1:16">
      <c r="A7183" s="499">
        <v>45734</v>
      </c>
      <c r="B7183" s="499">
        <v>45735</v>
      </c>
      <c r="C7183" s="500" t="s">
        <v>173</v>
      </c>
      <c r="D7183" s="500" t="s">
        <v>759</v>
      </c>
      <c r="E7183" s="501">
        <v>177078184.34999999</v>
      </c>
      <c r="F7183" s="502" t="s">
        <v>878</v>
      </c>
      <c r="G7183" s="100">
        <v>116402180</v>
      </c>
      <c r="H7183" s="484">
        <v>116402180</v>
      </c>
      <c r="I7183" s="422" t="s">
        <v>1018</v>
      </c>
      <c r="J7183" s="484"/>
      <c r="K7183" s="548"/>
      <c r="L7183" s="548"/>
      <c r="M7183" s="548"/>
      <c r="N7183" s="552"/>
    </row>
    <row r="7184" spans="1:16">
      <c r="A7184" s="499">
        <v>45734</v>
      </c>
      <c r="B7184" s="499">
        <v>45734</v>
      </c>
      <c r="C7184" s="500" t="s">
        <v>173</v>
      </c>
      <c r="D7184" s="500" t="s">
        <v>760</v>
      </c>
      <c r="E7184" s="501">
        <v>-57044080.380000003</v>
      </c>
      <c r="F7184" s="502" t="s">
        <v>878</v>
      </c>
      <c r="G7184" s="100">
        <v>116402892</v>
      </c>
      <c r="H7184" s="530"/>
      <c r="I7184" s="422" t="s">
        <v>602</v>
      </c>
      <c r="J7184" s="484"/>
      <c r="K7184" s="548"/>
      <c r="L7184" s="548"/>
      <c r="M7184" s="548"/>
      <c r="N7184" s="552"/>
    </row>
    <row r="7185" spans="1:14">
      <c r="A7185" s="499">
        <v>45734</v>
      </c>
      <c r="B7185" s="499">
        <v>45734</v>
      </c>
      <c r="C7185" s="500" t="s">
        <v>173</v>
      </c>
      <c r="D7185" s="500" t="s">
        <v>760</v>
      </c>
      <c r="E7185" s="501">
        <v>-241096605.33000001</v>
      </c>
      <c r="F7185" s="502" t="s">
        <v>878</v>
      </c>
      <c r="G7185" s="100">
        <v>116402895</v>
      </c>
      <c r="H7185" s="530"/>
      <c r="I7185" s="422" t="s">
        <v>720</v>
      </c>
      <c r="J7185" s="484"/>
      <c r="K7185" s="548"/>
      <c r="L7185" s="548"/>
      <c r="M7185" s="548"/>
      <c r="N7185" s="552"/>
    </row>
    <row r="7186" spans="1:14">
      <c r="A7186" s="499">
        <v>45734</v>
      </c>
      <c r="B7186" s="499">
        <v>45734</v>
      </c>
      <c r="C7186" s="500" t="s">
        <v>173</v>
      </c>
      <c r="D7186" s="500" t="s">
        <v>760</v>
      </c>
      <c r="E7186" s="501">
        <v>-19007616.190000001</v>
      </c>
      <c r="F7186" s="502" t="s">
        <v>878</v>
      </c>
      <c r="G7186" s="100">
        <v>116402898</v>
      </c>
      <c r="H7186" s="530"/>
      <c r="I7186" s="422" t="s">
        <v>720</v>
      </c>
      <c r="J7186" s="484"/>
      <c r="K7186" s="548"/>
      <c r="L7186" s="548"/>
      <c r="M7186" s="548"/>
      <c r="N7186" s="552"/>
    </row>
    <row r="7187" spans="1:14">
      <c r="A7187" s="499">
        <v>45734</v>
      </c>
      <c r="B7187" s="499">
        <v>45734</v>
      </c>
      <c r="C7187" s="500" t="s">
        <v>173</v>
      </c>
      <c r="D7187" s="500" t="s">
        <v>760</v>
      </c>
      <c r="E7187" s="501">
        <v>-279056750.41000003</v>
      </c>
      <c r="F7187" s="502" t="s">
        <v>878</v>
      </c>
      <c r="G7187" s="100">
        <v>116402901</v>
      </c>
      <c r="H7187" s="530"/>
      <c r="I7187" s="422" t="s">
        <v>833</v>
      </c>
      <c r="J7187" s="484"/>
      <c r="K7187" s="548"/>
      <c r="L7187" s="548"/>
      <c r="M7187" s="548"/>
      <c r="N7187" s="552"/>
    </row>
    <row r="7188" spans="1:14">
      <c r="A7188" s="499">
        <v>45734</v>
      </c>
      <c r="B7188" s="499">
        <v>45734</v>
      </c>
      <c r="C7188" s="500" t="s">
        <v>173</v>
      </c>
      <c r="D7188" s="500" t="s">
        <v>760</v>
      </c>
      <c r="E7188" s="501">
        <v>-28005695.379999999</v>
      </c>
      <c r="F7188" s="502" t="s">
        <v>878</v>
      </c>
      <c r="G7188" s="100">
        <v>116402904</v>
      </c>
      <c r="H7188" s="530"/>
      <c r="I7188" s="422" t="s">
        <v>833</v>
      </c>
      <c r="J7188" s="484"/>
      <c r="K7188" s="548"/>
      <c r="L7188" s="548"/>
      <c r="M7188" s="548"/>
      <c r="N7188" s="552"/>
    </row>
    <row r="7189" spans="1:14">
      <c r="A7189" s="499">
        <v>45734</v>
      </c>
      <c r="B7189" s="499">
        <v>45734</v>
      </c>
      <c r="C7189" s="500" t="s">
        <v>173</v>
      </c>
      <c r="D7189" s="500" t="s">
        <v>760</v>
      </c>
      <c r="E7189" s="501">
        <v>-270049180.5</v>
      </c>
      <c r="F7189" s="502" t="s">
        <v>878</v>
      </c>
      <c r="G7189" s="100">
        <v>116402907</v>
      </c>
      <c r="H7189" s="530"/>
      <c r="I7189" s="422" t="s">
        <v>670</v>
      </c>
      <c r="J7189" s="484"/>
      <c r="K7189" s="548"/>
      <c r="L7189" s="548"/>
      <c r="M7189" s="548"/>
      <c r="N7189" s="552"/>
    </row>
    <row r="7190" spans="1:14">
      <c r="A7190" s="499">
        <v>45734</v>
      </c>
      <c r="B7190" s="499">
        <v>45734</v>
      </c>
      <c r="C7190" s="500" t="s">
        <v>173</v>
      </c>
      <c r="D7190" s="500" t="s">
        <v>760</v>
      </c>
      <c r="E7190" s="501">
        <v>-125081047</v>
      </c>
      <c r="F7190" s="502" t="s">
        <v>878</v>
      </c>
      <c r="G7190" s="100">
        <v>116404124</v>
      </c>
      <c r="H7190" s="530"/>
      <c r="I7190" s="422" t="s">
        <v>719</v>
      </c>
      <c r="J7190" s="484"/>
      <c r="K7190" s="548"/>
      <c r="L7190" s="548"/>
      <c r="M7190" s="548"/>
      <c r="N7190" s="552"/>
    </row>
    <row r="7191" spans="1:14">
      <c r="A7191" s="499">
        <v>45734</v>
      </c>
      <c r="B7191" s="499">
        <v>45742</v>
      </c>
      <c r="C7191" s="500" t="s">
        <v>173</v>
      </c>
      <c r="D7191" s="500" t="s">
        <v>760</v>
      </c>
      <c r="E7191" s="501">
        <v>57245375.659999996</v>
      </c>
      <c r="F7191" s="502" t="s">
        <v>878</v>
      </c>
      <c r="G7191" s="100">
        <v>116402892</v>
      </c>
      <c r="H7191" s="484">
        <v>116402892</v>
      </c>
      <c r="I7191" s="422" t="s">
        <v>602</v>
      </c>
      <c r="J7191" s="484"/>
      <c r="K7191" s="548"/>
      <c r="L7191" s="548"/>
      <c r="M7191" s="548"/>
      <c r="N7191" s="552"/>
    </row>
    <row r="7192" spans="1:14">
      <c r="A7192" s="499">
        <v>45734</v>
      </c>
      <c r="B7192" s="499">
        <v>45742</v>
      </c>
      <c r="C7192" s="500" t="s">
        <v>173</v>
      </c>
      <c r="D7192" s="500" t="s">
        <v>760</v>
      </c>
      <c r="E7192" s="501">
        <v>241947379.09999999</v>
      </c>
      <c r="F7192" s="502" t="s">
        <v>878</v>
      </c>
      <c r="G7192" s="100">
        <v>116402895</v>
      </c>
      <c r="H7192" s="484">
        <v>116402895</v>
      </c>
      <c r="I7192" s="422" t="s">
        <v>720</v>
      </c>
      <c r="J7192" s="484"/>
      <c r="K7192" s="548"/>
      <c r="L7192" s="548"/>
      <c r="M7192" s="548"/>
      <c r="N7192" s="552"/>
    </row>
    <row r="7193" spans="1:14">
      <c r="A7193" s="499">
        <v>45734</v>
      </c>
      <c r="B7193" s="499">
        <v>45742</v>
      </c>
      <c r="C7193" s="500" t="s">
        <v>173</v>
      </c>
      <c r="D7193" s="500" t="s">
        <v>760</v>
      </c>
      <c r="E7193" s="501">
        <v>19074689.640000001</v>
      </c>
      <c r="F7193" s="502" t="s">
        <v>878</v>
      </c>
      <c r="G7193" s="100">
        <v>116402898</v>
      </c>
      <c r="H7193" s="484">
        <v>116402898</v>
      </c>
      <c r="I7193" s="422" t="s">
        <v>720</v>
      </c>
      <c r="J7193" s="484"/>
      <c r="K7193" s="548"/>
      <c r="L7193" s="548"/>
      <c r="M7193" s="548"/>
      <c r="N7193" s="552"/>
    </row>
    <row r="7194" spans="1:14">
      <c r="A7194" s="499">
        <v>45734</v>
      </c>
      <c r="B7194" s="499">
        <v>45742</v>
      </c>
      <c r="C7194" s="500" t="s">
        <v>173</v>
      </c>
      <c r="D7194" s="500" t="s">
        <v>760</v>
      </c>
      <c r="E7194" s="501">
        <v>280041476.69999999</v>
      </c>
      <c r="F7194" s="502" t="s">
        <v>878</v>
      </c>
      <c r="G7194" s="100">
        <v>116402901</v>
      </c>
      <c r="H7194" s="484">
        <v>116402901</v>
      </c>
      <c r="I7194" s="422" t="s">
        <v>833</v>
      </c>
      <c r="J7194" s="484"/>
      <c r="K7194" s="548"/>
      <c r="L7194" s="548"/>
      <c r="M7194" s="548"/>
      <c r="N7194" s="552"/>
    </row>
    <row r="7195" spans="1:14">
      <c r="A7195" s="499">
        <v>45734</v>
      </c>
      <c r="B7195" s="499">
        <v>45742</v>
      </c>
      <c r="C7195" s="500" t="s">
        <v>173</v>
      </c>
      <c r="D7195" s="500" t="s">
        <v>760</v>
      </c>
      <c r="E7195" s="501">
        <v>28104520.960000001</v>
      </c>
      <c r="F7195" s="502" t="s">
        <v>878</v>
      </c>
      <c r="G7195" s="100">
        <v>116402904</v>
      </c>
      <c r="H7195" s="484">
        <v>116402904</v>
      </c>
      <c r="I7195" s="422" t="s">
        <v>833</v>
      </c>
      <c r="J7195" s="484"/>
      <c r="K7195" s="548"/>
      <c r="L7195" s="548"/>
      <c r="M7195" s="548"/>
      <c r="N7195" s="552"/>
    </row>
    <row r="7196" spans="1:14">
      <c r="A7196" s="499">
        <v>45734</v>
      </c>
      <c r="B7196" s="499">
        <v>45742</v>
      </c>
      <c r="C7196" s="500" t="s">
        <v>173</v>
      </c>
      <c r="D7196" s="500" t="s">
        <v>760</v>
      </c>
      <c r="E7196" s="501">
        <v>271002121.17000002</v>
      </c>
      <c r="F7196" s="502" t="s">
        <v>878</v>
      </c>
      <c r="G7196" s="100">
        <v>116402907</v>
      </c>
      <c r="H7196" s="484">
        <v>116402907</v>
      </c>
      <c r="I7196" s="422" t="s">
        <v>670</v>
      </c>
      <c r="J7196" s="484"/>
      <c r="K7196" s="548"/>
      <c r="L7196" s="548"/>
      <c r="M7196" s="548"/>
      <c r="N7196" s="552"/>
    </row>
    <row r="7197" spans="1:14">
      <c r="A7197" s="499">
        <v>45734</v>
      </c>
      <c r="B7197" s="499">
        <v>45742</v>
      </c>
      <c r="C7197" s="500" t="s">
        <v>173</v>
      </c>
      <c r="D7197" s="500" t="s">
        <v>760</v>
      </c>
      <c r="E7197" s="501">
        <v>125521071.84</v>
      </c>
      <c r="F7197" s="502" t="s">
        <v>878</v>
      </c>
      <c r="G7197" s="100">
        <v>116404124</v>
      </c>
      <c r="H7197" s="484">
        <v>116404124</v>
      </c>
      <c r="I7197" s="422" t="s">
        <v>719</v>
      </c>
      <c r="J7197" s="484"/>
      <c r="K7197" s="548"/>
      <c r="L7197" s="548"/>
      <c r="M7197" s="548"/>
      <c r="N7197" s="552"/>
    </row>
    <row r="7198" spans="1:14">
      <c r="A7198" s="499">
        <v>45734</v>
      </c>
      <c r="B7198" s="499">
        <v>45734</v>
      </c>
      <c r="C7198" s="500" t="s">
        <v>173</v>
      </c>
      <c r="D7198" s="500" t="s">
        <v>764</v>
      </c>
      <c r="E7198" s="501">
        <v>-157001559.69999999</v>
      </c>
      <c r="F7198" s="502" t="s">
        <v>878</v>
      </c>
      <c r="G7198" s="100">
        <v>116403816</v>
      </c>
      <c r="H7198" s="530"/>
      <c r="I7198" s="422" t="s">
        <v>1018</v>
      </c>
      <c r="J7198" s="484"/>
      <c r="K7198" s="548"/>
      <c r="L7198" s="548"/>
      <c r="M7198" s="548"/>
      <c r="N7198" s="552"/>
    </row>
    <row r="7199" spans="1:14">
      <c r="A7199" s="499">
        <v>45734</v>
      </c>
      <c r="B7199" s="499">
        <v>45735</v>
      </c>
      <c r="C7199" s="500" t="s">
        <v>173</v>
      </c>
      <c r="D7199" s="500" t="s">
        <v>764</v>
      </c>
      <c r="E7199" s="501">
        <v>157069094.88999999</v>
      </c>
      <c r="F7199" s="502" t="s">
        <v>878</v>
      </c>
      <c r="G7199" s="100">
        <v>116403816</v>
      </c>
      <c r="H7199" s="100">
        <v>116403816</v>
      </c>
      <c r="I7199" s="422" t="s">
        <v>1018</v>
      </c>
      <c r="J7199" s="484"/>
      <c r="K7199" s="548"/>
      <c r="L7199" s="548"/>
      <c r="M7199" s="548"/>
      <c r="N7199" s="552"/>
    </row>
    <row r="7200" spans="1:14">
      <c r="A7200" s="499">
        <v>45734</v>
      </c>
      <c r="B7200" s="499">
        <v>45734</v>
      </c>
      <c r="C7200" s="500" t="s">
        <v>173</v>
      </c>
      <c r="D7200" s="500" t="s">
        <v>763</v>
      </c>
      <c r="E7200" s="501">
        <v>-600248312.03999996</v>
      </c>
      <c r="F7200" s="502" t="s">
        <v>878</v>
      </c>
      <c r="G7200" s="100">
        <v>116401218</v>
      </c>
      <c r="H7200" s="530"/>
      <c r="I7200" s="422" t="s">
        <v>633</v>
      </c>
      <c r="J7200" s="484"/>
      <c r="K7200" s="548"/>
      <c r="L7200" s="548"/>
      <c r="M7200" s="548"/>
      <c r="N7200" s="552"/>
    </row>
    <row r="7201" spans="1:14">
      <c r="A7201" s="499">
        <v>45734</v>
      </c>
      <c r="B7201" s="499">
        <v>45734</v>
      </c>
      <c r="C7201" s="500" t="s">
        <v>173</v>
      </c>
      <c r="D7201" s="500" t="s">
        <v>763</v>
      </c>
      <c r="E7201" s="501">
        <v>-4183957958.4000001</v>
      </c>
      <c r="F7201" s="502" t="s">
        <v>878</v>
      </c>
      <c r="G7201" s="100">
        <v>116401221</v>
      </c>
      <c r="H7201" s="530"/>
      <c r="I7201" s="422" t="s">
        <v>684</v>
      </c>
      <c r="J7201" s="484"/>
      <c r="K7201" s="548"/>
      <c r="L7201" s="548"/>
      <c r="M7201" s="548"/>
      <c r="N7201" s="552"/>
    </row>
    <row r="7202" spans="1:14">
      <c r="A7202" s="499">
        <v>45734</v>
      </c>
      <c r="B7202" s="499">
        <v>45734</v>
      </c>
      <c r="C7202" s="500" t="s">
        <v>173</v>
      </c>
      <c r="D7202" s="500" t="s">
        <v>763</v>
      </c>
      <c r="E7202" s="501">
        <v>-22000218.559999999</v>
      </c>
      <c r="F7202" s="502" t="s">
        <v>878</v>
      </c>
      <c r="G7202" s="100">
        <v>116401354</v>
      </c>
      <c r="H7202" s="530"/>
      <c r="I7202" s="422" t="s">
        <v>1018</v>
      </c>
      <c r="J7202" s="484"/>
      <c r="K7202" s="548"/>
      <c r="L7202" s="548"/>
      <c r="M7202" s="548"/>
      <c r="N7202" s="552"/>
    </row>
    <row r="7203" spans="1:14">
      <c r="A7203" s="499">
        <v>45734</v>
      </c>
      <c r="B7203" s="499">
        <v>45735</v>
      </c>
      <c r="C7203" s="500" t="s">
        <v>173</v>
      </c>
      <c r="D7203" s="500" t="s">
        <v>763</v>
      </c>
      <c r="E7203" s="501">
        <v>600507323.29999995</v>
      </c>
      <c r="F7203" s="502" t="s">
        <v>878</v>
      </c>
      <c r="G7203" s="100">
        <v>116401218</v>
      </c>
      <c r="H7203" s="484">
        <v>116401218</v>
      </c>
      <c r="I7203" s="422" t="s">
        <v>633</v>
      </c>
      <c r="J7203" s="484"/>
      <c r="K7203" s="548"/>
      <c r="L7203" s="548"/>
      <c r="M7203" s="548"/>
      <c r="N7203" s="552"/>
    </row>
    <row r="7204" spans="1:14">
      <c r="A7204" s="499">
        <v>45734</v>
      </c>
      <c r="B7204" s="499">
        <v>45735</v>
      </c>
      <c r="C7204" s="500" t="s">
        <v>173</v>
      </c>
      <c r="D7204" s="500" t="s">
        <v>763</v>
      </c>
      <c r="E7204" s="501">
        <v>4185747316.8600001</v>
      </c>
      <c r="F7204" s="502" t="s">
        <v>878</v>
      </c>
      <c r="G7204" s="100">
        <v>116401221</v>
      </c>
      <c r="H7204" s="484">
        <v>116401221</v>
      </c>
      <c r="I7204" s="422" t="s">
        <v>684</v>
      </c>
      <c r="J7204" s="484"/>
      <c r="K7204" s="548"/>
      <c r="L7204" s="548"/>
      <c r="M7204" s="548"/>
      <c r="N7204" s="552"/>
    </row>
    <row r="7205" spans="1:14">
      <c r="A7205" s="499">
        <v>45734</v>
      </c>
      <c r="B7205" s="499">
        <v>45735</v>
      </c>
      <c r="C7205" s="500" t="s">
        <v>173</v>
      </c>
      <c r="D7205" s="500" t="s">
        <v>763</v>
      </c>
      <c r="E7205" s="501">
        <v>22009682.09</v>
      </c>
      <c r="F7205" s="502" t="s">
        <v>878</v>
      </c>
      <c r="G7205" s="100">
        <v>116401354</v>
      </c>
      <c r="H7205" s="484">
        <v>116401354</v>
      </c>
      <c r="I7205" s="422" t="s">
        <v>1018</v>
      </c>
      <c r="J7205" s="484"/>
      <c r="K7205" s="548"/>
      <c r="L7205" s="548"/>
      <c r="M7205" s="548"/>
      <c r="N7205" s="552"/>
    </row>
    <row r="7206" spans="1:14">
      <c r="A7206" s="499">
        <v>45735</v>
      </c>
      <c r="B7206" s="499">
        <v>45735</v>
      </c>
      <c r="C7206" s="500" t="s">
        <v>173</v>
      </c>
      <c r="D7206" s="500" t="s">
        <v>762</v>
      </c>
      <c r="E7206" s="501">
        <v>-5252583860.6400003</v>
      </c>
      <c r="F7206" s="502" t="s">
        <v>878</v>
      </c>
      <c r="G7206" s="100">
        <v>116421436</v>
      </c>
      <c r="H7206" s="530"/>
      <c r="I7206" s="422" t="s">
        <v>633</v>
      </c>
      <c r="J7206" s="484"/>
      <c r="K7206" s="548"/>
      <c r="L7206" s="548"/>
      <c r="M7206" s="548"/>
      <c r="N7206" s="552"/>
    </row>
    <row r="7207" spans="1:14">
      <c r="A7207" s="499">
        <v>45735</v>
      </c>
      <c r="B7207" s="499">
        <v>45735</v>
      </c>
      <c r="C7207" s="500" t="s">
        <v>173</v>
      </c>
      <c r="D7207" s="500" t="s">
        <v>762</v>
      </c>
      <c r="E7207" s="501">
        <v>-28003112.739999998</v>
      </c>
      <c r="F7207" s="502" t="s">
        <v>878</v>
      </c>
      <c r="G7207" s="100">
        <v>116421466</v>
      </c>
      <c r="H7207" s="530"/>
      <c r="I7207" s="422" t="s">
        <v>633</v>
      </c>
      <c r="J7207" s="484"/>
      <c r="K7207" s="548"/>
      <c r="L7207" s="548"/>
      <c r="M7207" s="548"/>
      <c r="N7207" s="552"/>
    </row>
    <row r="7208" spans="1:14">
      <c r="A7208" s="499">
        <v>45735</v>
      </c>
      <c r="B7208" s="499">
        <v>45736</v>
      </c>
      <c r="C7208" s="500" t="s">
        <v>173</v>
      </c>
      <c r="D7208" s="500" t="s">
        <v>762</v>
      </c>
      <c r="E7208" s="501">
        <v>5254900912.0900002</v>
      </c>
      <c r="F7208" s="502" t="s">
        <v>878</v>
      </c>
      <c r="G7208" s="100">
        <v>116421436</v>
      </c>
      <c r="H7208" s="100">
        <v>116421436</v>
      </c>
      <c r="I7208" s="422" t="s">
        <v>633</v>
      </c>
      <c r="J7208" s="484"/>
      <c r="K7208" s="548"/>
      <c r="L7208" s="548"/>
      <c r="M7208" s="548"/>
      <c r="N7208" s="552"/>
    </row>
    <row r="7209" spans="1:14">
      <c r="A7209" s="499">
        <v>45735</v>
      </c>
      <c r="B7209" s="499">
        <v>45736</v>
      </c>
      <c r="C7209" s="500" t="s">
        <v>173</v>
      </c>
      <c r="D7209" s="500" t="s">
        <v>762</v>
      </c>
      <c r="E7209" s="501">
        <v>28015465.640000001</v>
      </c>
      <c r="F7209" s="502" t="s">
        <v>878</v>
      </c>
      <c r="G7209" s="100">
        <v>116421466</v>
      </c>
      <c r="H7209" s="100">
        <v>116421466</v>
      </c>
      <c r="I7209" s="422" t="s">
        <v>633</v>
      </c>
      <c r="J7209" s="484"/>
      <c r="K7209" s="548"/>
      <c r="L7209" s="548"/>
      <c r="M7209" s="548"/>
      <c r="N7209" s="552"/>
    </row>
    <row r="7210" spans="1:14">
      <c r="A7210" s="499">
        <v>45735</v>
      </c>
      <c r="B7210" s="499">
        <v>45735</v>
      </c>
      <c r="C7210" s="500" t="s">
        <v>173</v>
      </c>
      <c r="D7210" s="500" t="s">
        <v>761</v>
      </c>
      <c r="E7210" s="501">
        <v>-3774201744.9200001</v>
      </c>
      <c r="F7210" s="502" t="s">
        <v>878</v>
      </c>
      <c r="G7210" s="100">
        <v>116418331</v>
      </c>
      <c r="H7210" s="530"/>
      <c r="I7210" s="422" t="s">
        <v>677</v>
      </c>
      <c r="J7210" s="484"/>
      <c r="K7210" s="548"/>
      <c r="L7210" s="548"/>
      <c r="M7210" s="548"/>
      <c r="N7210" s="552"/>
    </row>
    <row r="7211" spans="1:14">
      <c r="A7211" s="499">
        <v>45735</v>
      </c>
      <c r="B7211" s="499">
        <v>45735</v>
      </c>
      <c r="C7211" s="500" t="s">
        <v>173</v>
      </c>
      <c r="D7211" s="500" t="s">
        <v>761</v>
      </c>
      <c r="E7211" s="501">
        <v>-17001600.129999999</v>
      </c>
      <c r="F7211" s="502" t="s">
        <v>878</v>
      </c>
      <c r="G7211" s="100">
        <v>116419408</v>
      </c>
      <c r="H7211" s="530"/>
      <c r="I7211" s="422" t="s">
        <v>550</v>
      </c>
      <c r="J7211" s="484"/>
      <c r="K7211" s="548"/>
      <c r="L7211" s="548"/>
      <c r="M7211" s="548"/>
      <c r="N7211" s="552"/>
    </row>
    <row r="7212" spans="1:14">
      <c r="A7212" s="499">
        <v>45735</v>
      </c>
      <c r="B7212" s="499">
        <v>45742</v>
      </c>
      <c r="C7212" s="500" t="s">
        <v>173</v>
      </c>
      <c r="D7212" s="500" t="s">
        <v>761</v>
      </c>
      <c r="E7212" s="501">
        <v>3785927621.0300002</v>
      </c>
      <c r="F7212" s="502" t="s">
        <v>878</v>
      </c>
      <c r="G7212" s="100">
        <v>116418331</v>
      </c>
      <c r="H7212" s="100">
        <v>116418331</v>
      </c>
      <c r="I7212" s="422" t="s">
        <v>677</v>
      </c>
      <c r="J7212" s="484"/>
      <c r="K7212" s="548"/>
      <c r="L7212" s="548"/>
      <c r="M7212" s="548"/>
      <c r="N7212" s="552"/>
    </row>
    <row r="7213" spans="1:14">
      <c r="A7213" s="499">
        <v>45735</v>
      </c>
      <c r="B7213" s="499">
        <v>45742</v>
      </c>
      <c r="C7213" s="500" t="s">
        <v>173</v>
      </c>
      <c r="D7213" s="500" t="s">
        <v>761</v>
      </c>
      <c r="E7213" s="501">
        <v>17054421.539999999</v>
      </c>
      <c r="F7213" s="502" t="s">
        <v>878</v>
      </c>
      <c r="G7213" s="100">
        <v>116419408</v>
      </c>
      <c r="H7213" s="100">
        <v>116419408</v>
      </c>
      <c r="I7213" s="422" t="s">
        <v>550</v>
      </c>
      <c r="J7213" s="484"/>
      <c r="K7213" s="548"/>
      <c r="L7213" s="548"/>
      <c r="M7213" s="548"/>
      <c r="N7213" s="552"/>
    </row>
    <row r="7214" spans="1:14">
      <c r="A7214" s="499">
        <v>45735</v>
      </c>
      <c r="B7214" s="499">
        <v>45735</v>
      </c>
      <c r="C7214" s="500" t="s">
        <v>173</v>
      </c>
      <c r="D7214" s="500" t="s">
        <v>764</v>
      </c>
      <c r="E7214" s="501">
        <v>-2673985964</v>
      </c>
      <c r="F7214" s="502" t="s">
        <v>878</v>
      </c>
      <c r="G7214" s="100">
        <v>116418451</v>
      </c>
      <c r="H7214" s="530"/>
      <c r="I7214" s="422" t="s">
        <v>673</v>
      </c>
      <c r="J7214" s="484"/>
      <c r="K7214" s="548"/>
      <c r="L7214" s="548"/>
      <c r="M7214" s="548"/>
      <c r="N7214" s="552"/>
    </row>
    <row r="7215" spans="1:14">
      <c r="A7215" s="499">
        <v>45735</v>
      </c>
      <c r="B7215" s="499">
        <v>45735</v>
      </c>
      <c r="C7215" s="500" t="s">
        <v>173</v>
      </c>
      <c r="D7215" s="500" t="s">
        <v>764</v>
      </c>
      <c r="E7215" s="501">
        <v>-12001129.5</v>
      </c>
      <c r="F7215" s="502" t="s">
        <v>878</v>
      </c>
      <c r="G7215" s="100">
        <v>116418521</v>
      </c>
      <c r="H7215" s="530"/>
      <c r="I7215" s="422" t="s">
        <v>550</v>
      </c>
      <c r="J7215" s="484"/>
      <c r="K7215" s="548"/>
      <c r="L7215" s="548"/>
      <c r="M7215" s="548"/>
      <c r="N7215" s="552"/>
    </row>
    <row r="7216" spans="1:14">
      <c r="A7216" s="499">
        <v>45735</v>
      </c>
      <c r="B7216" s="499">
        <v>45742</v>
      </c>
      <c r="C7216" s="500" t="s">
        <v>173</v>
      </c>
      <c r="D7216" s="500" t="s">
        <v>764</v>
      </c>
      <c r="E7216" s="501">
        <v>2682293635.46</v>
      </c>
      <c r="F7216" s="502" t="s">
        <v>878</v>
      </c>
      <c r="G7216" s="100">
        <v>116418451</v>
      </c>
      <c r="H7216" s="100">
        <v>116418451</v>
      </c>
      <c r="I7216" s="422" t="s">
        <v>673</v>
      </c>
      <c r="J7216" s="484"/>
      <c r="K7216" s="548"/>
      <c r="L7216" s="548"/>
      <c r="M7216" s="548"/>
      <c r="N7216" s="552"/>
    </row>
    <row r="7217" spans="1:14">
      <c r="A7217" s="499">
        <v>45735</v>
      </c>
      <c r="B7217" s="499">
        <v>45742</v>
      </c>
      <c r="C7217" s="500" t="s">
        <v>173</v>
      </c>
      <c r="D7217" s="500" t="s">
        <v>764</v>
      </c>
      <c r="E7217" s="501">
        <v>12038415.199999999</v>
      </c>
      <c r="F7217" s="502" t="s">
        <v>878</v>
      </c>
      <c r="G7217" s="100">
        <v>116418521</v>
      </c>
      <c r="H7217" s="100">
        <v>116418521</v>
      </c>
      <c r="I7217" s="422" t="s">
        <v>550</v>
      </c>
      <c r="J7217" s="484"/>
      <c r="K7217" s="548"/>
      <c r="L7217" s="548"/>
      <c r="M7217" s="548"/>
      <c r="N7217" s="552"/>
    </row>
    <row r="7218" spans="1:14">
      <c r="A7218" s="499">
        <v>45735</v>
      </c>
      <c r="B7218" s="499">
        <v>45735</v>
      </c>
      <c r="C7218" s="500" t="s">
        <v>173</v>
      </c>
      <c r="D7218" s="500" t="s">
        <v>763</v>
      </c>
      <c r="E7218" s="501">
        <v>-4782699821.79</v>
      </c>
      <c r="F7218" s="502" t="s">
        <v>878</v>
      </c>
      <c r="G7218" s="100">
        <v>116417743</v>
      </c>
      <c r="H7218" s="530"/>
      <c r="I7218" s="422" t="s">
        <v>684</v>
      </c>
      <c r="J7218" s="484"/>
      <c r="K7218" s="548"/>
      <c r="L7218" s="548"/>
      <c r="M7218" s="548"/>
      <c r="N7218" s="552"/>
    </row>
    <row r="7219" spans="1:14">
      <c r="A7219" s="499">
        <v>45735</v>
      </c>
      <c r="B7219" s="499">
        <v>45735</v>
      </c>
      <c r="C7219" s="500" t="s">
        <v>173</v>
      </c>
      <c r="D7219" s="500" t="s">
        <v>763</v>
      </c>
      <c r="E7219" s="501">
        <v>-25003658.629999999</v>
      </c>
      <c r="F7219" s="502" t="s">
        <v>878</v>
      </c>
      <c r="G7219" s="100">
        <v>116417803</v>
      </c>
      <c r="H7219" s="530"/>
      <c r="I7219" s="422" t="s">
        <v>684</v>
      </c>
      <c r="J7219" s="484"/>
      <c r="K7219" s="548"/>
      <c r="L7219" s="548"/>
      <c r="M7219" s="548"/>
      <c r="N7219" s="552"/>
    </row>
    <row r="7220" spans="1:14">
      <c r="A7220" s="499">
        <v>45735</v>
      </c>
      <c r="B7220" s="499">
        <v>45736</v>
      </c>
      <c r="C7220" s="500" t="s">
        <v>173</v>
      </c>
      <c r="D7220" s="500" t="s">
        <v>763</v>
      </c>
      <c r="E7220" s="501">
        <v>4784732141.6300001</v>
      </c>
      <c r="F7220" s="502" t="s">
        <v>878</v>
      </c>
      <c r="G7220" s="100">
        <v>116417743</v>
      </c>
      <c r="H7220" s="100">
        <v>116417743</v>
      </c>
      <c r="I7220" s="422" t="s">
        <v>684</v>
      </c>
      <c r="J7220" s="484"/>
      <c r="K7220" s="548"/>
      <c r="L7220" s="548"/>
      <c r="M7220" s="548"/>
      <c r="N7220" s="552"/>
    </row>
    <row r="7221" spans="1:14">
      <c r="A7221" s="499">
        <v>45735</v>
      </c>
      <c r="B7221" s="499">
        <v>45736</v>
      </c>
      <c r="C7221" s="500" t="s">
        <v>173</v>
      </c>
      <c r="D7221" s="500" t="s">
        <v>763</v>
      </c>
      <c r="E7221" s="501">
        <v>25014283.469999999</v>
      </c>
      <c r="F7221" s="502" t="s">
        <v>878</v>
      </c>
      <c r="G7221" s="100">
        <v>116417803</v>
      </c>
      <c r="H7221" s="100">
        <v>116417803</v>
      </c>
      <c r="I7221" s="422" t="s">
        <v>684</v>
      </c>
      <c r="J7221" s="484"/>
      <c r="K7221" s="548"/>
      <c r="L7221" s="548"/>
      <c r="M7221" s="548"/>
      <c r="N7221" s="552"/>
    </row>
    <row r="7222" spans="1:14">
      <c r="A7222" s="499">
        <v>45735</v>
      </c>
      <c r="B7222" s="499">
        <v>45735</v>
      </c>
      <c r="C7222" s="500" t="s">
        <v>173</v>
      </c>
      <c r="D7222" s="500" t="s">
        <v>759</v>
      </c>
      <c r="E7222" s="501">
        <v>-2376123983.0100002</v>
      </c>
      <c r="F7222" s="502" t="s">
        <v>878</v>
      </c>
      <c r="G7222" s="100">
        <v>116419195</v>
      </c>
      <c r="H7222" s="530"/>
      <c r="I7222" s="422" t="s">
        <v>1018</v>
      </c>
      <c r="J7222" s="484"/>
      <c r="K7222" s="548"/>
      <c r="L7222" s="548"/>
      <c r="M7222" s="548"/>
      <c r="N7222" s="552"/>
    </row>
    <row r="7223" spans="1:14">
      <c r="A7223" s="499">
        <v>45735</v>
      </c>
      <c r="B7223" s="499">
        <v>45735</v>
      </c>
      <c r="C7223" s="500" t="s">
        <v>173</v>
      </c>
      <c r="D7223" s="500" t="s">
        <v>759</v>
      </c>
      <c r="E7223" s="501">
        <v>-12000626.18</v>
      </c>
      <c r="F7223" s="502" t="s">
        <v>878</v>
      </c>
      <c r="G7223" s="100">
        <v>116419230</v>
      </c>
      <c r="H7223" s="530"/>
      <c r="I7223" s="422" t="s">
        <v>1018</v>
      </c>
      <c r="J7223" s="484"/>
      <c r="K7223" s="548"/>
      <c r="L7223" s="548"/>
      <c r="M7223" s="548"/>
      <c r="N7223" s="552"/>
    </row>
    <row r="7224" spans="1:14">
      <c r="A7224" s="499">
        <v>45735</v>
      </c>
      <c r="B7224" s="499">
        <v>45736</v>
      </c>
      <c r="C7224" s="500" t="s">
        <v>173</v>
      </c>
      <c r="D7224" s="500" t="s">
        <v>759</v>
      </c>
      <c r="E7224" s="501">
        <v>2377165571.6100001</v>
      </c>
      <c r="F7224" s="502" t="s">
        <v>878</v>
      </c>
      <c r="G7224" s="100">
        <v>116419195</v>
      </c>
      <c r="H7224" s="100">
        <v>116419195</v>
      </c>
      <c r="I7224" s="422" t="s">
        <v>1018</v>
      </c>
      <c r="J7224" s="484"/>
      <c r="K7224" s="548"/>
      <c r="L7224" s="548"/>
      <c r="M7224" s="548"/>
      <c r="N7224" s="552"/>
    </row>
    <row r="7225" spans="1:14">
      <c r="A7225" s="499">
        <v>45735</v>
      </c>
      <c r="B7225" s="499">
        <v>45736</v>
      </c>
      <c r="C7225" s="500" t="s">
        <v>173</v>
      </c>
      <c r="D7225" s="500" t="s">
        <v>759</v>
      </c>
      <c r="E7225" s="501">
        <v>12005886.73</v>
      </c>
      <c r="F7225" s="502" t="s">
        <v>878</v>
      </c>
      <c r="G7225" s="100">
        <v>116419230</v>
      </c>
      <c r="H7225" s="100">
        <v>116419230</v>
      </c>
      <c r="I7225" s="422" t="s">
        <v>1018</v>
      </c>
      <c r="J7225" s="484"/>
      <c r="K7225" s="548"/>
      <c r="L7225" s="548"/>
      <c r="M7225" s="548"/>
      <c r="N7225" s="552"/>
    </row>
    <row r="7226" spans="1:14">
      <c r="A7226" s="499">
        <v>45736</v>
      </c>
      <c r="B7226" s="499">
        <v>45736</v>
      </c>
      <c r="C7226" s="500" t="s">
        <v>173</v>
      </c>
      <c r="D7226" s="500" t="s">
        <v>762</v>
      </c>
      <c r="E7226" s="501">
        <v>-4416610997.7600002</v>
      </c>
      <c r="F7226" s="502" t="s">
        <v>878</v>
      </c>
      <c r="G7226" s="100">
        <v>116439132</v>
      </c>
      <c r="H7226" s="530"/>
      <c r="I7226" s="422" t="s">
        <v>653</v>
      </c>
      <c r="J7226" s="484"/>
      <c r="K7226" s="548"/>
      <c r="L7226" s="548"/>
      <c r="M7226" s="548"/>
      <c r="N7226" s="552"/>
    </row>
    <row r="7227" spans="1:14">
      <c r="A7227" s="499">
        <v>45736</v>
      </c>
      <c r="B7227" s="499">
        <v>45736</v>
      </c>
      <c r="C7227" s="500" t="s">
        <v>173</v>
      </c>
      <c r="D7227" s="500" t="s">
        <v>762</v>
      </c>
      <c r="E7227" s="501">
        <v>-25003459</v>
      </c>
      <c r="F7227" s="502" t="s">
        <v>878</v>
      </c>
      <c r="G7227" s="100">
        <v>116439191</v>
      </c>
      <c r="H7227" s="530"/>
      <c r="I7227" s="422" t="s">
        <v>653</v>
      </c>
      <c r="J7227" s="484"/>
      <c r="K7227" s="548"/>
      <c r="L7227" s="548"/>
      <c r="M7227" s="548"/>
      <c r="N7227" s="552"/>
    </row>
    <row r="7228" spans="1:14">
      <c r="A7228" s="499">
        <v>45736</v>
      </c>
      <c r="B7228" s="499">
        <v>45742</v>
      </c>
      <c r="C7228" s="500" t="s">
        <v>173</v>
      </c>
      <c r="D7228" s="500" t="s">
        <v>762</v>
      </c>
      <c r="E7228" s="501">
        <v>4427973546.3199997</v>
      </c>
      <c r="F7228" s="502" t="s">
        <v>878</v>
      </c>
      <c r="G7228" s="100">
        <v>116439132</v>
      </c>
      <c r="H7228" s="100">
        <v>116439132</v>
      </c>
      <c r="I7228" s="422" t="s">
        <v>653</v>
      </c>
      <c r="J7228" s="484"/>
      <c r="K7228" s="548"/>
      <c r="L7228" s="548"/>
      <c r="M7228" s="548"/>
      <c r="N7228" s="552"/>
    </row>
    <row r="7229" spans="1:14">
      <c r="A7229" s="499">
        <v>45736</v>
      </c>
      <c r="B7229" s="499">
        <v>45742</v>
      </c>
      <c r="C7229" s="500" t="s">
        <v>173</v>
      </c>
      <c r="D7229" s="500" t="s">
        <v>762</v>
      </c>
      <c r="E7229" s="501">
        <v>25067785.02</v>
      </c>
      <c r="F7229" s="502" t="s">
        <v>878</v>
      </c>
      <c r="G7229" s="100">
        <v>116439191</v>
      </c>
      <c r="H7229" s="100">
        <v>116439191</v>
      </c>
      <c r="I7229" s="422" t="s">
        <v>653</v>
      </c>
      <c r="J7229" s="484"/>
      <c r="K7229" s="548"/>
      <c r="L7229" s="548"/>
      <c r="M7229" s="548"/>
      <c r="N7229" s="552"/>
    </row>
    <row r="7230" spans="1:14">
      <c r="A7230" s="499">
        <v>45736</v>
      </c>
      <c r="B7230" s="499">
        <v>45736</v>
      </c>
      <c r="C7230" s="500" t="s">
        <v>173</v>
      </c>
      <c r="D7230" s="500" t="s">
        <v>761</v>
      </c>
      <c r="E7230" s="501">
        <v>-498164046.07999998</v>
      </c>
      <c r="F7230" s="502" t="s">
        <v>878</v>
      </c>
      <c r="G7230" s="100">
        <v>116434293</v>
      </c>
      <c r="H7230" s="530"/>
      <c r="I7230" s="422" t="s">
        <v>633</v>
      </c>
      <c r="J7230" s="484"/>
      <c r="K7230" s="548"/>
      <c r="L7230" s="548"/>
      <c r="M7230" s="548"/>
      <c r="N7230" s="552"/>
    </row>
    <row r="7231" spans="1:14">
      <c r="A7231" s="499">
        <v>45736</v>
      </c>
      <c r="B7231" s="499">
        <v>45736</v>
      </c>
      <c r="C7231" s="500" t="s">
        <v>173</v>
      </c>
      <c r="D7231" s="500" t="s">
        <v>761</v>
      </c>
      <c r="E7231" s="501">
        <v>-3000988.23</v>
      </c>
      <c r="F7231" s="502" t="s">
        <v>878</v>
      </c>
      <c r="G7231" s="100">
        <v>116434340</v>
      </c>
      <c r="H7231" s="530"/>
      <c r="I7231" s="422" t="s">
        <v>633</v>
      </c>
      <c r="J7231" s="484"/>
      <c r="K7231" s="548"/>
      <c r="L7231" s="548"/>
      <c r="M7231" s="548"/>
      <c r="N7231" s="552"/>
    </row>
    <row r="7232" spans="1:14">
      <c r="A7232" s="499">
        <v>45736</v>
      </c>
      <c r="B7232" s="499">
        <v>45742</v>
      </c>
      <c r="C7232" s="500" t="s">
        <v>173</v>
      </c>
      <c r="D7232" s="500" t="s">
        <v>761</v>
      </c>
      <c r="E7232" s="501">
        <v>499474285.75999999</v>
      </c>
      <c r="F7232" s="502" t="s">
        <v>878</v>
      </c>
      <c r="G7232" s="100">
        <v>116434293</v>
      </c>
      <c r="H7232" s="100">
        <v>116434293</v>
      </c>
      <c r="I7232" s="422" t="s">
        <v>633</v>
      </c>
      <c r="J7232" s="484"/>
      <c r="K7232" s="548"/>
      <c r="L7232" s="548"/>
      <c r="M7232" s="548"/>
      <c r="N7232" s="552"/>
    </row>
    <row r="7233" spans="1:14">
      <c r="A7233" s="499">
        <v>45736</v>
      </c>
      <c r="B7233" s="499">
        <v>45742</v>
      </c>
      <c r="C7233" s="500" t="s">
        <v>173</v>
      </c>
      <c r="D7233" s="500" t="s">
        <v>761</v>
      </c>
      <c r="E7233" s="501">
        <v>3008881.24</v>
      </c>
      <c r="F7233" s="502" t="s">
        <v>878</v>
      </c>
      <c r="G7233" s="100">
        <v>116434340</v>
      </c>
      <c r="H7233" s="100">
        <v>116434340</v>
      </c>
      <c r="I7233" s="422" t="s">
        <v>633</v>
      </c>
      <c r="J7233" s="484"/>
      <c r="K7233" s="548"/>
      <c r="L7233" s="548"/>
      <c r="M7233" s="548"/>
      <c r="N7233" s="552"/>
    </row>
    <row r="7234" spans="1:14">
      <c r="A7234" s="499">
        <v>45736</v>
      </c>
      <c r="B7234" s="499">
        <v>45736</v>
      </c>
      <c r="C7234" s="500" t="s">
        <v>173</v>
      </c>
      <c r="D7234" s="500" t="s">
        <v>759</v>
      </c>
      <c r="E7234" s="501">
        <v>-4931233840.96</v>
      </c>
      <c r="F7234" s="502" t="s">
        <v>878</v>
      </c>
      <c r="G7234" s="100">
        <v>116438271</v>
      </c>
      <c r="H7234" s="530"/>
      <c r="I7234" s="422" t="s">
        <v>800</v>
      </c>
      <c r="J7234" s="484"/>
      <c r="K7234" s="548"/>
      <c r="L7234" s="548"/>
      <c r="M7234" s="548"/>
      <c r="N7234" s="552"/>
    </row>
    <row r="7235" spans="1:14">
      <c r="A7235" s="499">
        <v>45736</v>
      </c>
      <c r="B7235" s="499">
        <v>45736</v>
      </c>
      <c r="C7235" s="500" t="s">
        <v>173</v>
      </c>
      <c r="D7235" s="500" t="s">
        <v>759</v>
      </c>
      <c r="E7235" s="501">
        <v>-2770693253.4400001</v>
      </c>
      <c r="F7235" s="502" t="s">
        <v>878</v>
      </c>
      <c r="G7235" s="100">
        <v>116438274</v>
      </c>
      <c r="H7235" s="530"/>
      <c r="I7235" s="422" t="s">
        <v>800</v>
      </c>
      <c r="J7235" s="484"/>
      <c r="K7235" s="548"/>
      <c r="L7235" s="548"/>
      <c r="M7235" s="548"/>
      <c r="N7235" s="552"/>
    </row>
    <row r="7236" spans="1:14">
      <c r="A7236" s="499">
        <v>45736</v>
      </c>
      <c r="B7236" s="499">
        <v>45736</v>
      </c>
      <c r="C7236" s="500" t="s">
        <v>173</v>
      </c>
      <c r="D7236" s="500" t="s">
        <v>759</v>
      </c>
      <c r="E7236" s="501">
        <v>-40010010.880000003</v>
      </c>
      <c r="F7236" s="502" t="s">
        <v>878</v>
      </c>
      <c r="G7236" s="100">
        <v>116438300</v>
      </c>
      <c r="H7236" s="530"/>
      <c r="I7236" s="422" t="s">
        <v>800</v>
      </c>
      <c r="J7236" s="484"/>
      <c r="K7236" s="548"/>
      <c r="L7236" s="548"/>
      <c r="M7236" s="548"/>
      <c r="N7236" s="552"/>
    </row>
    <row r="7237" spans="1:14">
      <c r="A7237" s="499">
        <v>45736</v>
      </c>
      <c r="B7237" s="499">
        <v>45743</v>
      </c>
      <c r="C7237" s="500" t="s">
        <v>173</v>
      </c>
      <c r="D7237" s="500" t="s">
        <v>759</v>
      </c>
      <c r="E7237" s="501">
        <v>4946370499.6599998</v>
      </c>
      <c r="F7237" s="502" t="s">
        <v>878</v>
      </c>
      <c r="G7237" s="100">
        <v>116438271</v>
      </c>
      <c r="H7237" s="484">
        <v>116438271</v>
      </c>
      <c r="I7237" s="422" t="s">
        <v>800</v>
      </c>
      <c r="J7237" s="484"/>
      <c r="K7237" s="548"/>
      <c r="L7237" s="548"/>
      <c r="M7237" s="548"/>
      <c r="N7237" s="552"/>
    </row>
    <row r="7238" spans="1:14">
      <c r="A7238" s="499">
        <v>45736</v>
      </c>
      <c r="B7238" s="499">
        <v>45743</v>
      </c>
      <c r="C7238" s="500" t="s">
        <v>173</v>
      </c>
      <c r="D7238" s="500" t="s">
        <v>759</v>
      </c>
      <c r="E7238" s="501">
        <v>2779195106.71</v>
      </c>
      <c r="F7238" s="502" t="s">
        <v>878</v>
      </c>
      <c r="G7238" s="100">
        <v>116438274</v>
      </c>
      <c r="H7238" s="484">
        <v>116438274</v>
      </c>
      <c r="I7238" s="422" t="s">
        <v>800</v>
      </c>
      <c r="J7238" s="484"/>
      <c r="K7238" s="548"/>
      <c r="L7238" s="548"/>
      <c r="M7238" s="548"/>
      <c r="N7238" s="552"/>
    </row>
    <row r="7239" spans="1:14">
      <c r="A7239" s="499">
        <v>45736</v>
      </c>
      <c r="B7239" s="499">
        <v>45743</v>
      </c>
      <c r="C7239" s="500" t="s">
        <v>173</v>
      </c>
      <c r="D7239" s="500" t="s">
        <v>759</v>
      </c>
      <c r="E7239" s="501">
        <v>40132781.32</v>
      </c>
      <c r="F7239" s="502" t="s">
        <v>878</v>
      </c>
      <c r="G7239" s="100">
        <v>116438300</v>
      </c>
      <c r="H7239" s="484">
        <v>116438300</v>
      </c>
      <c r="I7239" s="422" t="s">
        <v>800</v>
      </c>
      <c r="J7239" s="484"/>
      <c r="K7239" s="548"/>
      <c r="L7239" s="548"/>
      <c r="M7239" s="548"/>
      <c r="N7239" s="552"/>
    </row>
    <row r="7240" spans="1:14">
      <c r="A7240" s="499">
        <v>45736</v>
      </c>
      <c r="B7240" s="499">
        <v>45736</v>
      </c>
      <c r="C7240" s="500" t="s">
        <v>173</v>
      </c>
      <c r="D7240" s="500" t="s">
        <v>763</v>
      </c>
      <c r="E7240" s="501">
        <v>-4787108293.9700003</v>
      </c>
      <c r="F7240" s="502" t="s">
        <v>878</v>
      </c>
      <c r="G7240" s="100">
        <v>116433894</v>
      </c>
      <c r="H7240" s="530"/>
      <c r="I7240" s="422" t="s">
        <v>684</v>
      </c>
      <c r="J7240" s="484"/>
      <c r="K7240" s="548"/>
      <c r="L7240" s="548"/>
      <c r="M7240" s="548"/>
      <c r="N7240" s="552"/>
    </row>
    <row r="7241" spans="1:14">
      <c r="A7241" s="499">
        <v>45736</v>
      </c>
      <c r="B7241" s="499">
        <v>45736</v>
      </c>
      <c r="C7241" s="500" t="s">
        <v>173</v>
      </c>
      <c r="D7241" s="500" t="s">
        <v>763</v>
      </c>
      <c r="E7241" s="501">
        <v>-23005849.739999998</v>
      </c>
      <c r="F7241" s="502" t="s">
        <v>878</v>
      </c>
      <c r="G7241" s="100">
        <v>116433958</v>
      </c>
      <c r="H7241" s="530"/>
      <c r="I7241" s="422" t="s">
        <v>635</v>
      </c>
      <c r="J7241" s="484"/>
      <c r="K7241" s="548"/>
      <c r="L7241" s="548"/>
      <c r="M7241" s="548"/>
      <c r="N7241" s="552"/>
    </row>
    <row r="7242" spans="1:14">
      <c r="A7242" s="499">
        <v>45736</v>
      </c>
      <c r="B7242" s="499">
        <v>45742</v>
      </c>
      <c r="C7242" s="500" t="s">
        <v>173</v>
      </c>
      <c r="D7242" s="500" t="s">
        <v>763</v>
      </c>
      <c r="E7242" s="501">
        <v>4799313452.8100004</v>
      </c>
      <c r="F7242" s="502" t="s">
        <v>878</v>
      </c>
      <c r="G7242" s="100">
        <v>116433894</v>
      </c>
      <c r="H7242" s="100">
        <v>116433894</v>
      </c>
      <c r="I7242" s="422" t="s">
        <v>684</v>
      </c>
      <c r="J7242" s="484"/>
      <c r="K7242" s="548"/>
      <c r="L7242" s="548"/>
      <c r="M7242" s="548"/>
      <c r="N7242" s="552"/>
    </row>
    <row r="7243" spans="1:14">
      <c r="A7243" s="499">
        <v>45736</v>
      </c>
      <c r="B7243" s="499">
        <v>45742</v>
      </c>
      <c r="C7243" s="500" t="s">
        <v>173</v>
      </c>
      <c r="D7243" s="500" t="s">
        <v>763</v>
      </c>
      <c r="E7243" s="501">
        <v>23065601.920000002</v>
      </c>
      <c r="F7243" s="502" t="s">
        <v>878</v>
      </c>
      <c r="G7243" s="100">
        <v>116433958</v>
      </c>
      <c r="H7243" s="100">
        <v>116433958</v>
      </c>
      <c r="I7243" s="422" t="s">
        <v>635</v>
      </c>
      <c r="J7243" s="484"/>
      <c r="K7243" s="548"/>
      <c r="L7243" s="548"/>
      <c r="M7243" s="548"/>
      <c r="N7243" s="552"/>
    </row>
    <row r="7244" spans="1:14">
      <c r="A7244" s="499">
        <v>45742</v>
      </c>
      <c r="B7244" s="499">
        <v>45742</v>
      </c>
      <c r="C7244" s="500" t="s">
        <v>173</v>
      </c>
      <c r="D7244" s="500" t="s">
        <v>762</v>
      </c>
      <c r="E7244" s="501">
        <v>-1926217882.5999999</v>
      </c>
      <c r="F7244" s="502" t="s">
        <v>878</v>
      </c>
      <c r="G7244" s="100">
        <v>116455339</v>
      </c>
      <c r="H7244" s="530"/>
      <c r="I7244" s="422" t="s">
        <v>653</v>
      </c>
      <c r="J7244" s="484"/>
      <c r="K7244" s="548"/>
      <c r="L7244" s="548"/>
      <c r="M7244" s="548"/>
      <c r="N7244" s="552"/>
    </row>
    <row r="7245" spans="1:14">
      <c r="A7245" s="499">
        <v>45742</v>
      </c>
      <c r="B7245" s="499">
        <v>45742</v>
      </c>
      <c r="C7245" s="500" t="s">
        <v>173</v>
      </c>
      <c r="D7245" s="500" t="s">
        <v>762</v>
      </c>
      <c r="E7245" s="501">
        <v>-2500282817.5</v>
      </c>
      <c r="F7245" s="502" t="s">
        <v>878</v>
      </c>
      <c r="G7245" s="100">
        <v>116455342</v>
      </c>
      <c r="H7245" s="530"/>
      <c r="I7245" s="422" t="s">
        <v>653</v>
      </c>
      <c r="J7245" s="484"/>
      <c r="K7245" s="548"/>
      <c r="L7245" s="548"/>
      <c r="M7245" s="548"/>
      <c r="N7245" s="552"/>
    </row>
    <row r="7246" spans="1:14">
      <c r="A7246" s="499">
        <v>45742</v>
      </c>
      <c r="B7246" s="499">
        <v>45742</v>
      </c>
      <c r="C7246" s="500" t="s">
        <v>173</v>
      </c>
      <c r="D7246" s="500" t="s">
        <v>762</v>
      </c>
      <c r="E7246" s="501">
        <v>-23002601.920000002</v>
      </c>
      <c r="F7246" s="502" t="s">
        <v>878</v>
      </c>
      <c r="G7246" s="100">
        <v>116455423</v>
      </c>
      <c r="H7246" s="530"/>
      <c r="I7246" s="422" t="s">
        <v>653</v>
      </c>
      <c r="J7246" s="484"/>
      <c r="K7246" s="548"/>
      <c r="L7246" s="548"/>
      <c r="M7246" s="548"/>
      <c r="N7246" s="552"/>
    </row>
    <row r="7247" spans="1:14">
      <c r="A7247" s="499">
        <v>45742</v>
      </c>
      <c r="B7247" s="499">
        <v>45743</v>
      </c>
      <c r="C7247" s="500" t="s">
        <v>173</v>
      </c>
      <c r="D7247" s="500" t="s">
        <v>762</v>
      </c>
      <c r="E7247" s="501">
        <v>1927049618.2</v>
      </c>
      <c r="F7247" s="502" t="s">
        <v>878</v>
      </c>
      <c r="G7247" s="100">
        <v>116455339</v>
      </c>
      <c r="H7247" s="484">
        <v>116455339</v>
      </c>
      <c r="I7247" s="422" t="s">
        <v>653</v>
      </c>
      <c r="J7247" s="484"/>
      <c r="K7247" s="548"/>
      <c r="L7247" s="548"/>
      <c r="M7247" s="548"/>
      <c r="N7247" s="552"/>
    </row>
    <row r="7248" spans="1:14">
      <c r="A7248" s="499">
        <v>45742</v>
      </c>
      <c r="B7248" s="499">
        <v>45743</v>
      </c>
      <c r="C7248" s="500" t="s">
        <v>173</v>
      </c>
      <c r="D7248" s="500" t="s">
        <v>762</v>
      </c>
      <c r="E7248" s="501">
        <v>2501362432.77</v>
      </c>
      <c r="F7248" s="502" t="s">
        <v>878</v>
      </c>
      <c r="G7248" s="100">
        <v>116455342</v>
      </c>
      <c r="H7248" s="484">
        <v>116455342</v>
      </c>
      <c r="I7248" s="422" t="s">
        <v>653</v>
      </c>
      <c r="J7248" s="484"/>
      <c r="K7248" s="548"/>
      <c r="L7248" s="548"/>
      <c r="M7248" s="548"/>
      <c r="N7248" s="552"/>
    </row>
    <row r="7249" spans="1:14">
      <c r="A7249" s="499">
        <v>45742</v>
      </c>
      <c r="B7249" s="499">
        <v>45743</v>
      </c>
      <c r="C7249" s="500" t="s">
        <v>173</v>
      </c>
      <c r="D7249" s="500" t="s">
        <v>762</v>
      </c>
      <c r="E7249" s="501">
        <v>23012534.379999999</v>
      </c>
      <c r="F7249" s="502" t="s">
        <v>878</v>
      </c>
      <c r="G7249" s="100">
        <v>116455423</v>
      </c>
      <c r="H7249" s="484">
        <v>116455423</v>
      </c>
      <c r="I7249" s="422" t="s">
        <v>653</v>
      </c>
      <c r="J7249" s="484"/>
      <c r="K7249" s="548"/>
      <c r="L7249" s="548"/>
      <c r="M7249" s="548"/>
      <c r="N7249" s="552"/>
    </row>
    <row r="7250" spans="1:14">
      <c r="A7250" s="499">
        <v>45742</v>
      </c>
      <c r="B7250" s="499">
        <v>45742</v>
      </c>
      <c r="C7250" s="500" t="s">
        <v>173</v>
      </c>
      <c r="D7250" s="500" t="s">
        <v>761</v>
      </c>
      <c r="E7250" s="501">
        <v>-3233143502.52</v>
      </c>
      <c r="F7250" s="502" t="s">
        <v>878</v>
      </c>
      <c r="G7250" s="100">
        <v>116452049</v>
      </c>
      <c r="H7250" s="530"/>
      <c r="I7250" s="422" t="s">
        <v>633</v>
      </c>
      <c r="J7250" s="484"/>
      <c r="K7250" s="548"/>
      <c r="L7250" s="548"/>
      <c r="M7250" s="548"/>
      <c r="N7250" s="552"/>
    </row>
    <row r="7251" spans="1:14">
      <c r="A7251" s="499">
        <v>45742</v>
      </c>
      <c r="B7251" s="499">
        <v>45742</v>
      </c>
      <c r="C7251" s="500" t="s">
        <v>173</v>
      </c>
      <c r="D7251" s="500" t="s">
        <v>761</v>
      </c>
      <c r="E7251" s="501">
        <v>-2006226932.76</v>
      </c>
      <c r="F7251" s="502" t="s">
        <v>878</v>
      </c>
      <c r="G7251" s="100">
        <v>116454743</v>
      </c>
      <c r="H7251" s="530"/>
      <c r="I7251" s="422" t="s">
        <v>653</v>
      </c>
      <c r="J7251" s="484"/>
      <c r="K7251" s="548"/>
      <c r="L7251" s="548"/>
      <c r="M7251" s="548"/>
      <c r="N7251" s="552"/>
    </row>
    <row r="7252" spans="1:14">
      <c r="A7252" s="499">
        <v>45742</v>
      </c>
      <c r="B7252" s="499">
        <v>45742</v>
      </c>
      <c r="C7252" s="500" t="s">
        <v>173</v>
      </c>
      <c r="D7252" s="500" t="s">
        <v>761</v>
      </c>
      <c r="E7252" s="501">
        <v>-10001131.27</v>
      </c>
      <c r="F7252" s="502" t="s">
        <v>878</v>
      </c>
      <c r="G7252" s="100">
        <v>116454761</v>
      </c>
      <c r="H7252" s="530"/>
      <c r="I7252" s="422" t="s">
        <v>653</v>
      </c>
      <c r="J7252" s="484"/>
      <c r="K7252" s="548"/>
      <c r="L7252" s="548"/>
      <c r="M7252" s="548"/>
      <c r="N7252" s="552"/>
    </row>
    <row r="7253" spans="1:14">
      <c r="A7253" s="499">
        <v>45742</v>
      </c>
      <c r="B7253" s="499">
        <v>45749</v>
      </c>
      <c r="C7253" s="500" t="s">
        <v>173</v>
      </c>
      <c r="D7253" s="500" t="s">
        <v>761</v>
      </c>
      <c r="E7253" s="501">
        <v>3243219394.9400001</v>
      </c>
      <c r="F7253" s="502" t="s">
        <v>878</v>
      </c>
      <c r="G7253" s="100">
        <v>116452049</v>
      </c>
      <c r="H7253" s="484">
        <v>116452049</v>
      </c>
      <c r="I7253" s="422" t="s">
        <v>633</v>
      </c>
      <c r="J7253" s="484"/>
      <c r="K7253" s="548"/>
      <c r="L7253" s="548"/>
      <c r="M7253" s="548"/>
      <c r="N7253" s="552"/>
    </row>
    <row r="7254" spans="1:14">
      <c r="A7254" s="499">
        <v>45742</v>
      </c>
      <c r="B7254" s="499">
        <v>45743</v>
      </c>
      <c r="C7254" s="500" t="s">
        <v>173</v>
      </c>
      <c r="D7254" s="500" t="s">
        <v>761</v>
      </c>
      <c r="E7254" s="501">
        <v>2007093216.05</v>
      </c>
      <c r="F7254" s="502" t="s">
        <v>878</v>
      </c>
      <c r="G7254" s="100">
        <v>116454743</v>
      </c>
      <c r="H7254" s="484">
        <v>116454743</v>
      </c>
      <c r="I7254" s="422" t="s">
        <v>653</v>
      </c>
      <c r="J7254" s="484"/>
      <c r="K7254" s="548"/>
      <c r="L7254" s="548"/>
      <c r="M7254" s="548"/>
      <c r="N7254" s="552"/>
    </row>
    <row r="7255" spans="1:14">
      <c r="A7255" s="499">
        <v>45742</v>
      </c>
      <c r="B7255" s="499">
        <v>45743</v>
      </c>
      <c r="C7255" s="500" t="s">
        <v>173</v>
      </c>
      <c r="D7255" s="500" t="s">
        <v>761</v>
      </c>
      <c r="E7255" s="501">
        <v>10005449.73</v>
      </c>
      <c r="F7255" s="502" t="s">
        <v>878</v>
      </c>
      <c r="G7255" s="100">
        <v>116454761</v>
      </c>
      <c r="H7255" s="484">
        <v>116454761</v>
      </c>
      <c r="I7255" s="422" t="s">
        <v>653</v>
      </c>
      <c r="J7255" s="484"/>
      <c r="K7255" s="548"/>
      <c r="L7255" s="548"/>
      <c r="M7255" s="548"/>
      <c r="N7255" s="552"/>
    </row>
    <row r="7256" spans="1:14">
      <c r="A7256" s="499">
        <v>45742</v>
      </c>
      <c r="B7256" s="499">
        <v>45742</v>
      </c>
      <c r="C7256" s="500" t="s">
        <v>173</v>
      </c>
      <c r="D7256" s="500" t="s">
        <v>760</v>
      </c>
      <c r="E7256" s="501">
        <v>-60018258.82</v>
      </c>
      <c r="F7256" s="502" t="s">
        <v>878</v>
      </c>
      <c r="G7256" s="100">
        <v>116453097</v>
      </c>
      <c r="H7256" s="530"/>
      <c r="I7256" s="422" t="s">
        <v>550</v>
      </c>
      <c r="J7256" s="484"/>
      <c r="K7256" s="548"/>
      <c r="L7256" s="548"/>
      <c r="M7256" s="548"/>
      <c r="N7256" s="552"/>
    </row>
    <row r="7257" spans="1:14">
      <c r="A7257" s="499">
        <v>45742</v>
      </c>
      <c r="B7257" s="499">
        <v>45742</v>
      </c>
      <c r="C7257" s="500" t="s">
        <v>173</v>
      </c>
      <c r="D7257" s="500" t="s">
        <v>760</v>
      </c>
      <c r="E7257" s="501">
        <v>-18005477.640000001</v>
      </c>
      <c r="F7257" s="502" t="s">
        <v>878</v>
      </c>
      <c r="G7257" s="100">
        <v>116453100</v>
      </c>
      <c r="H7257" s="530"/>
      <c r="I7257" s="422" t="s">
        <v>550</v>
      </c>
      <c r="J7257" s="484"/>
      <c r="K7257" s="548"/>
      <c r="L7257" s="548"/>
      <c r="M7257" s="548"/>
      <c r="N7257" s="552"/>
    </row>
    <row r="7258" spans="1:14">
      <c r="A7258" s="499">
        <v>45742</v>
      </c>
      <c r="B7258" s="499">
        <v>45742</v>
      </c>
      <c r="C7258" s="500" t="s">
        <v>173</v>
      </c>
      <c r="D7258" s="500" t="s">
        <v>760</v>
      </c>
      <c r="E7258" s="501">
        <v>-220198264</v>
      </c>
      <c r="F7258" s="502" t="s">
        <v>878</v>
      </c>
      <c r="G7258" s="100">
        <v>116453119</v>
      </c>
      <c r="H7258" s="530"/>
      <c r="I7258" s="422" t="s">
        <v>686</v>
      </c>
      <c r="J7258" s="484"/>
      <c r="K7258" s="548"/>
      <c r="L7258" s="548"/>
      <c r="M7258" s="548"/>
      <c r="N7258" s="552"/>
    </row>
    <row r="7259" spans="1:14">
      <c r="A7259" s="499">
        <v>45742</v>
      </c>
      <c r="B7259" s="499">
        <v>45742</v>
      </c>
      <c r="C7259" s="500" t="s">
        <v>173</v>
      </c>
      <c r="D7259" s="500" t="s">
        <v>760</v>
      </c>
      <c r="E7259" s="501">
        <v>-298268557.60000002</v>
      </c>
      <c r="F7259" s="502" t="s">
        <v>878</v>
      </c>
      <c r="G7259" s="100">
        <v>116453129</v>
      </c>
      <c r="H7259" s="530"/>
      <c r="I7259" s="422" t="s">
        <v>686</v>
      </c>
      <c r="J7259" s="484"/>
      <c r="K7259" s="548"/>
      <c r="L7259" s="548"/>
      <c r="M7259" s="548"/>
      <c r="N7259" s="552"/>
    </row>
    <row r="7260" spans="1:14">
      <c r="A7260" s="499">
        <v>45742</v>
      </c>
      <c r="B7260" s="499">
        <v>45742</v>
      </c>
      <c r="C7260" s="500" t="s">
        <v>173</v>
      </c>
      <c r="D7260" s="500" t="s">
        <v>760</v>
      </c>
      <c r="E7260" s="501">
        <v>-298261271.5</v>
      </c>
      <c r="F7260" s="502" t="s">
        <v>878</v>
      </c>
      <c r="G7260" s="100">
        <v>116453362</v>
      </c>
      <c r="H7260" s="530"/>
      <c r="I7260" s="422" t="s">
        <v>657</v>
      </c>
      <c r="J7260" s="484"/>
      <c r="K7260" s="548"/>
      <c r="L7260" s="548"/>
      <c r="M7260" s="548"/>
      <c r="N7260" s="552"/>
    </row>
    <row r="7261" spans="1:14">
      <c r="A7261" s="499">
        <v>45742</v>
      </c>
      <c r="B7261" s="499">
        <v>45742</v>
      </c>
      <c r="C7261" s="500" t="s">
        <v>173</v>
      </c>
      <c r="D7261" s="500" t="s">
        <v>760</v>
      </c>
      <c r="E7261" s="501">
        <v>-127082169</v>
      </c>
      <c r="F7261" s="502" t="s">
        <v>878</v>
      </c>
      <c r="G7261" s="100">
        <v>116453482</v>
      </c>
      <c r="H7261" s="530"/>
      <c r="I7261" s="422" t="s">
        <v>673</v>
      </c>
      <c r="J7261" s="484"/>
      <c r="K7261" s="548"/>
      <c r="L7261" s="548"/>
      <c r="M7261" s="548"/>
      <c r="N7261" s="552"/>
    </row>
    <row r="7262" spans="1:14">
      <c r="A7262" s="499">
        <v>45742</v>
      </c>
      <c r="B7262" s="499">
        <v>45742</v>
      </c>
      <c r="C7262" s="500" t="s">
        <v>173</v>
      </c>
      <c r="D7262" s="500" t="s">
        <v>760</v>
      </c>
      <c r="E7262" s="501">
        <v>-79082567.25</v>
      </c>
      <c r="F7262" s="502" t="s">
        <v>878</v>
      </c>
      <c r="G7262" s="100">
        <v>116472693</v>
      </c>
      <c r="H7262" s="530"/>
      <c r="I7262" s="422" t="s">
        <v>798</v>
      </c>
      <c r="J7262" s="484"/>
      <c r="K7262" s="548"/>
      <c r="L7262" s="548"/>
      <c r="M7262" s="548"/>
      <c r="N7262" s="552"/>
    </row>
    <row r="7263" spans="1:14">
      <c r="A7263" s="499">
        <v>45742</v>
      </c>
      <c r="B7263" s="499">
        <v>45749</v>
      </c>
      <c r="C7263" s="500" t="s">
        <v>173</v>
      </c>
      <c r="D7263" s="500" t="s">
        <v>760</v>
      </c>
      <c r="E7263" s="501">
        <v>60203348.719999999</v>
      </c>
      <c r="F7263" s="502" t="s">
        <v>878</v>
      </c>
      <c r="G7263" s="100">
        <v>116453097</v>
      </c>
      <c r="H7263" s="484">
        <v>116453097</v>
      </c>
      <c r="I7263" s="422" t="s">
        <v>550</v>
      </c>
      <c r="J7263" s="484"/>
      <c r="K7263" s="548"/>
      <c r="L7263" s="548"/>
      <c r="M7263" s="548"/>
      <c r="N7263" s="552"/>
    </row>
    <row r="7264" spans="1:14">
      <c r="A7264" s="499">
        <v>45742</v>
      </c>
      <c r="B7264" s="499">
        <v>45749</v>
      </c>
      <c r="C7264" s="500" t="s">
        <v>173</v>
      </c>
      <c r="D7264" s="500" t="s">
        <v>760</v>
      </c>
      <c r="E7264" s="501">
        <v>18061003.920000002</v>
      </c>
      <c r="F7264" s="502" t="s">
        <v>878</v>
      </c>
      <c r="G7264" s="100">
        <v>116453100</v>
      </c>
      <c r="H7264" s="484">
        <v>116453100</v>
      </c>
      <c r="I7264" s="422" t="s">
        <v>550</v>
      </c>
      <c r="J7264" s="484"/>
      <c r="K7264" s="548"/>
      <c r="L7264" s="548"/>
      <c r="M7264" s="548"/>
      <c r="N7264" s="552"/>
    </row>
    <row r="7265" spans="1:14">
      <c r="A7265" s="499">
        <v>45742</v>
      </c>
      <c r="B7265" s="499">
        <v>45749</v>
      </c>
      <c r="C7265" s="500" t="s">
        <v>173</v>
      </c>
      <c r="D7265" s="500" t="s">
        <v>760</v>
      </c>
      <c r="E7265" s="501">
        <v>220877319.25</v>
      </c>
      <c r="F7265" s="502" t="s">
        <v>878</v>
      </c>
      <c r="G7265" s="100">
        <v>116453119</v>
      </c>
      <c r="H7265" s="484">
        <v>116453119</v>
      </c>
      <c r="I7265" s="422" t="s">
        <v>686</v>
      </c>
      <c r="J7265" s="484"/>
      <c r="K7265" s="548"/>
      <c r="L7265" s="548"/>
      <c r="M7265" s="548"/>
      <c r="N7265" s="552"/>
    </row>
    <row r="7266" spans="1:14">
      <c r="A7266" s="499">
        <v>45742</v>
      </c>
      <c r="B7266" s="499">
        <v>45749</v>
      </c>
      <c r="C7266" s="500" t="s">
        <v>173</v>
      </c>
      <c r="D7266" s="500" t="s">
        <v>760</v>
      </c>
      <c r="E7266" s="501">
        <v>299188368.80000001</v>
      </c>
      <c r="F7266" s="502" t="s">
        <v>878</v>
      </c>
      <c r="G7266" s="100">
        <v>116453129</v>
      </c>
      <c r="H7266" s="484">
        <v>116453129</v>
      </c>
      <c r="I7266" s="422" t="s">
        <v>686</v>
      </c>
      <c r="J7266" s="484"/>
      <c r="K7266" s="548"/>
      <c r="L7266" s="548"/>
      <c r="M7266" s="548"/>
      <c r="N7266" s="552"/>
    </row>
    <row r="7267" spans="1:14">
      <c r="A7267" s="499">
        <v>45742</v>
      </c>
      <c r="B7267" s="499">
        <v>45749</v>
      </c>
      <c r="C7267" s="500" t="s">
        <v>173</v>
      </c>
      <c r="D7267" s="500" t="s">
        <v>760</v>
      </c>
      <c r="E7267" s="501">
        <v>299179344.20999998</v>
      </c>
      <c r="F7267" s="502" t="s">
        <v>878</v>
      </c>
      <c r="G7267" s="100">
        <v>116453362</v>
      </c>
      <c r="H7267" s="484">
        <v>116453362</v>
      </c>
      <c r="I7267" s="422" t="s">
        <v>657</v>
      </c>
      <c r="J7267" s="484"/>
      <c r="K7267" s="548"/>
      <c r="L7267" s="548"/>
      <c r="M7267" s="548"/>
      <c r="N7267" s="552"/>
    </row>
    <row r="7268" spans="1:14">
      <c r="A7268" s="499">
        <v>45742</v>
      </c>
      <c r="B7268" s="499">
        <v>45749</v>
      </c>
      <c r="C7268" s="500" t="s">
        <v>173</v>
      </c>
      <c r="D7268" s="500" t="s">
        <v>760</v>
      </c>
      <c r="E7268" s="501">
        <v>127472609.64</v>
      </c>
      <c r="F7268" s="502" t="s">
        <v>878</v>
      </c>
      <c r="G7268" s="100">
        <v>116453482</v>
      </c>
      <c r="H7268" s="484">
        <v>116453482</v>
      </c>
      <c r="I7268" s="422" t="s">
        <v>673</v>
      </c>
      <c r="J7268" s="484"/>
      <c r="K7268" s="548"/>
      <c r="L7268" s="548"/>
      <c r="M7268" s="548"/>
      <c r="N7268" s="552"/>
    </row>
    <row r="7269" spans="1:14">
      <c r="A7269" s="499">
        <v>45742</v>
      </c>
      <c r="B7269" s="499">
        <v>45749</v>
      </c>
      <c r="C7269" s="500" t="s">
        <v>173</v>
      </c>
      <c r="D7269" s="500" t="s">
        <v>760</v>
      </c>
      <c r="E7269" s="501">
        <v>79322956.590000004</v>
      </c>
      <c r="F7269" s="502" t="s">
        <v>878</v>
      </c>
      <c r="G7269" s="100">
        <v>116472693</v>
      </c>
      <c r="H7269" s="484">
        <v>116472693</v>
      </c>
      <c r="I7269" s="422" t="s">
        <v>798</v>
      </c>
      <c r="J7269" s="484"/>
      <c r="K7269" s="548"/>
      <c r="L7269" s="548"/>
      <c r="M7269" s="548"/>
      <c r="N7269" s="552"/>
    </row>
    <row r="7270" spans="1:14">
      <c r="A7270" s="499">
        <v>45742</v>
      </c>
      <c r="B7270" s="499">
        <v>45742</v>
      </c>
      <c r="C7270" s="500" t="s">
        <v>173</v>
      </c>
      <c r="D7270" s="500" t="s">
        <v>764</v>
      </c>
      <c r="E7270" s="501">
        <v>-2208749241.7199998</v>
      </c>
      <c r="F7270" s="502" t="s">
        <v>878</v>
      </c>
      <c r="G7270" s="100">
        <v>116455935</v>
      </c>
      <c r="H7270" s="530"/>
      <c r="I7270" s="422" t="s">
        <v>681</v>
      </c>
      <c r="J7270" s="484"/>
      <c r="K7270" s="548"/>
      <c r="L7270" s="548"/>
      <c r="M7270" s="548"/>
      <c r="N7270" s="552"/>
    </row>
    <row r="7271" spans="1:14">
      <c r="A7271" s="499">
        <v>45742</v>
      </c>
      <c r="B7271" s="499">
        <v>45742</v>
      </c>
      <c r="C7271" s="500" t="s">
        <v>173</v>
      </c>
      <c r="D7271" s="500" t="s">
        <v>764</v>
      </c>
      <c r="E7271" s="501">
        <v>-473374894.12</v>
      </c>
      <c r="F7271" s="502" t="s">
        <v>878</v>
      </c>
      <c r="G7271" s="100">
        <v>116455938</v>
      </c>
      <c r="H7271" s="530"/>
      <c r="I7271" s="422" t="s">
        <v>681</v>
      </c>
      <c r="J7271" s="484"/>
      <c r="K7271" s="548"/>
      <c r="L7271" s="548"/>
      <c r="M7271" s="548"/>
      <c r="N7271" s="552"/>
    </row>
    <row r="7272" spans="1:14">
      <c r="A7272" s="499">
        <v>45742</v>
      </c>
      <c r="B7272" s="499">
        <v>45742</v>
      </c>
      <c r="C7272" s="500" t="s">
        <v>173</v>
      </c>
      <c r="D7272" s="500" t="s">
        <v>764</v>
      </c>
      <c r="E7272" s="501">
        <v>-13010303.640000001</v>
      </c>
      <c r="F7272" s="502" t="s">
        <v>878</v>
      </c>
      <c r="G7272" s="100">
        <v>116455972</v>
      </c>
      <c r="H7272" s="530"/>
      <c r="I7272" s="422" t="s">
        <v>681</v>
      </c>
      <c r="J7272" s="484"/>
      <c r="K7272" s="548"/>
      <c r="L7272" s="548"/>
      <c r="M7272" s="548"/>
      <c r="N7272" s="552"/>
    </row>
    <row r="7273" spans="1:14">
      <c r="A7273" s="499">
        <v>45742</v>
      </c>
      <c r="B7273" s="499">
        <v>45749</v>
      </c>
      <c r="C7273" s="500" t="s">
        <v>173</v>
      </c>
      <c r="D7273" s="500" t="s">
        <v>764</v>
      </c>
      <c r="E7273" s="501">
        <v>2215539481.5100002</v>
      </c>
      <c r="F7273" s="502" t="s">
        <v>878</v>
      </c>
      <c r="G7273" s="100">
        <v>116455935</v>
      </c>
      <c r="H7273" s="484">
        <v>116455935</v>
      </c>
      <c r="I7273" s="422" t="s">
        <v>681</v>
      </c>
      <c r="J7273" s="484"/>
      <c r="K7273" s="548"/>
      <c r="L7273" s="548"/>
      <c r="M7273" s="548"/>
      <c r="N7273" s="552"/>
    </row>
    <row r="7274" spans="1:14">
      <c r="A7274" s="499">
        <v>45742</v>
      </c>
      <c r="B7274" s="499">
        <v>45749</v>
      </c>
      <c r="C7274" s="500" t="s">
        <v>173</v>
      </c>
      <c r="D7274" s="500" t="s">
        <v>764</v>
      </c>
      <c r="E7274" s="501">
        <v>474830165.26999998</v>
      </c>
      <c r="F7274" s="502" t="s">
        <v>878</v>
      </c>
      <c r="G7274" s="100">
        <v>116455938</v>
      </c>
      <c r="H7274" s="484">
        <v>116455938</v>
      </c>
      <c r="I7274" s="422" t="s">
        <v>681</v>
      </c>
      <c r="J7274" s="484"/>
      <c r="K7274" s="548"/>
      <c r="L7274" s="548"/>
      <c r="M7274" s="548"/>
      <c r="N7274" s="552"/>
    </row>
    <row r="7275" spans="1:14">
      <c r="A7275" s="499">
        <v>45742</v>
      </c>
      <c r="B7275" s="499">
        <v>45749</v>
      </c>
      <c r="C7275" s="500" t="s">
        <v>173</v>
      </c>
      <c r="D7275" s="500" t="s">
        <v>764</v>
      </c>
      <c r="E7275" s="501">
        <v>13050300.52</v>
      </c>
      <c r="F7275" s="502" t="s">
        <v>878</v>
      </c>
      <c r="G7275" s="100">
        <v>116455972</v>
      </c>
      <c r="H7275" s="484">
        <v>116455972</v>
      </c>
      <c r="I7275" s="422" t="s">
        <v>681</v>
      </c>
      <c r="J7275" s="484"/>
      <c r="K7275" s="548"/>
      <c r="L7275" s="548"/>
      <c r="M7275" s="548"/>
      <c r="N7275" s="552"/>
    </row>
    <row r="7276" spans="1:14">
      <c r="A7276" s="499">
        <v>45742</v>
      </c>
      <c r="B7276" s="499">
        <v>45742</v>
      </c>
      <c r="C7276" s="500" t="s">
        <v>173</v>
      </c>
      <c r="D7276" s="500" t="s">
        <v>763</v>
      </c>
      <c r="E7276" s="501">
        <v>-4801815708.3000002</v>
      </c>
      <c r="F7276" s="502" t="s">
        <v>878</v>
      </c>
      <c r="G7276" s="100">
        <v>116450799</v>
      </c>
      <c r="H7276" s="530"/>
      <c r="I7276" s="422" t="s">
        <v>654</v>
      </c>
      <c r="J7276" s="484"/>
      <c r="K7276" s="548"/>
      <c r="L7276" s="548"/>
      <c r="M7276" s="548"/>
      <c r="N7276" s="552"/>
    </row>
    <row r="7277" spans="1:14">
      <c r="A7277" s="499">
        <v>45742</v>
      </c>
      <c r="B7277" s="499">
        <v>45742</v>
      </c>
      <c r="C7277" s="500" t="s">
        <v>173</v>
      </c>
      <c r="D7277" s="500" t="s">
        <v>763</v>
      </c>
      <c r="E7277" s="501">
        <v>-20000201.129999999</v>
      </c>
      <c r="F7277" s="502" t="s">
        <v>878</v>
      </c>
      <c r="G7277" s="100">
        <v>116451891</v>
      </c>
      <c r="H7277" s="530"/>
      <c r="I7277" s="422" t="s">
        <v>1018</v>
      </c>
      <c r="J7277" s="484"/>
      <c r="K7277" s="548"/>
      <c r="L7277" s="548"/>
      <c r="M7277" s="548"/>
      <c r="N7277" s="552"/>
    </row>
    <row r="7278" spans="1:14">
      <c r="A7278" s="499">
        <v>45742</v>
      </c>
      <c r="B7278" s="499">
        <v>45743</v>
      </c>
      <c r="C7278" s="500" t="s">
        <v>173</v>
      </c>
      <c r="D7278" s="500" t="s">
        <v>763</v>
      </c>
      <c r="E7278" s="501">
        <v>4803861413.3500004</v>
      </c>
      <c r="F7278" s="502" t="s">
        <v>878</v>
      </c>
      <c r="G7278" s="100">
        <v>116450799</v>
      </c>
      <c r="H7278" s="484">
        <v>116450799</v>
      </c>
      <c r="I7278" s="422" t="s">
        <v>654</v>
      </c>
      <c r="J7278" s="484"/>
      <c r="K7278" s="548"/>
      <c r="L7278" s="548"/>
      <c r="M7278" s="548"/>
      <c r="N7278" s="552"/>
    </row>
    <row r="7279" spans="1:14">
      <c r="A7279" s="499">
        <v>45742</v>
      </c>
      <c r="B7279" s="499">
        <v>45743</v>
      </c>
      <c r="C7279" s="500" t="s">
        <v>173</v>
      </c>
      <c r="D7279" s="500" t="s">
        <v>763</v>
      </c>
      <c r="E7279" s="501">
        <v>20008831.629999999</v>
      </c>
      <c r="F7279" s="502" t="s">
        <v>878</v>
      </c>
      <c r="G7279" s="100">
        <v>116451891</v>
      </c>
      <c r="H7279" s="484">
        <v>116451891</v>
      </c>
      <c r="I7279" s="422" t="s">
        <v>1018</v>
      </c>
      <c r="J7279" s="484"/>
      <c r="K7279" s="548"/>
      <c r="L7279" s="548"/>
      <c r="M7279" s="548"/>
      <c r="N7279" s="552"/>
    </row>
    <row r="7280" spans="1:14">
      <c r="A7280" s="499">
        <v>45726</v>
      </c>
      <c r="B7280" s="499">
        <v>45742</v>
      </c>
      <c r="C7280" s="500" t="s">
        <v>173</v>
      </c>
      <c r="D7280" s="500" t="s">
        <v>762</v>
      </c>
      <c r="E7280" s="501">
        <v>104024999.99999999</v>
      </c>
      <c r="F7280" s="502" t="s">
        <v>381</v>
      </c>
      <c r="G7280" s="100" t="s">
        <v>925</v>
      </c>
      <c r="H7280" s="530"/>
      <c r="I7280" s="422"/>
      <c r="K7280" s="548"/>
      <c r="L7280" s="548"/>
      <c r="M7280" s="548"/>
      <c r="N7280" s="552"/>
    </row>
    <row r="7281" spans="1:25">
      <c r="A7281" s="499">
        <v>45726</v>
      </c>
      <c r="B7281" s="499">
        <v>45742</v>
      </c>
      <c r="C7281" s="500" t="s">
        <v>173</v>
      </c>
      <c r="D7281" s="500" t="s">
        <v>760</v>
      </c>
      <c r="E7281" s="501">
        <v>76285000</v>
      </c>
      <c r="F7281" s="502" t="s">
        <v>381</v>
      </c>
      <c r="G7281" s="100" t="s">
        <v>925</v>
      </c>
      <c r="H7281" s="530"/>
      <c r="I7281" s="422"/>
      <c r="K7281" s="548"/>
      <c r="L7281" s="548"/>
      <c r="M7281" s="548"/>
      <c r="N7281" s="552"/>
    </row>
    <row r="7282" spans="1:25">
      <c r="A7282" s="499">
        <v>45743</v>
      </c>
      <c r="B7282" s="499">
        <v>45743</v>
      </c>
      <c r="C7282" s="500" t="s">
        <v>173</v>
      </c>
      <c r="D7282" s="500" t="s">
        <v>762</v>
      </c>
      <c r="E7282" s="501">
        <v>-2974453960</v>
      </c>
      <c r="F7282" s="502" t="s">
        <v>878</v>
      </c>
      <c r="G7282" s="100">
        <v>116476893</v>
      </c>
      <c r="H7282" s="530"/>
      <c r="I7282" s="422" t="s">
        <v>682</v>
      </c>
      <c r="J7282" s="484"/>
      <c r="K7282" s="548"/>
      <c r="L7282" s="548"/>
      <c r="M7282" s="548"/>
      <c r="N7282" s="552"/>
    </row>
    <row r="7283" spans="1:25">
      <c r="A7283" s="499">
        <v>45743</v>
      </c>
      <c r="B7283" s="499">
        <v>45743</v>
      </c>
      <c r="C7283" s="500" t="s">
        <v>173</v>
      </c>
      <c r="D7283" s="500" t="s">
        <v>762</v>
      </c>
      <c r="E7283" s="501">
        <v>-1559272060</v>
      </c>
      <c r="F7283" s="502" t="s">
        <v>878</v>
      </c>
      <c r="G7283" s="100">
        <v>116476896</v>
      </c>
      <c r="H7283" s="530"/>
      <c r="I7283" s="422" t="s">
        <v>677</v>
      </c>
      <c r="J7283" s="484"/>
      <c r="K7283" s="548"/>
      <c r="L7283" s="548"/>
      <c r="M7283" s="548"/>
      <c r="N7283" s="552"/>
    </row>
    <row r="7284" spans="1:25">
      <c r="A7284" s="499">
        <v>45743</v>
      </c>
      <c r="B7284" s="499">
        <v>45743</v>
      </c>
      <c r="C7284" s="500" t="s">
        <v>173</v>
      </c>
      <c r="D7284" s="500" t="s">
        <v>762</v>
      </c>
      <c r="E7284" s="501">
        <v>-24004188.219999999</v>
      </c>
      <c r="F7284" s="502" t="s">
        <v>878</v>
      </c>
      <c r="G7284" s="100">
        <v>116476923</v>
      </c>
      <c r="H7284" s="530"/>
      <c r="I7284" s="422" t="s">
        <v>677</v>
      </c>
      <c r="J7284" s="484"/>
      <c r="K7284" s="548"/>
      <c r="L7284" s="548"/>
      <c r="M7284" s="548"/>
      <c r="N7284" s="552"/>
    </row>
    <row r="7285" spans="1:25">
      <c r="A7285" s="499">
        <v>45743</v>
      </c>
      <c r="B7285" s="499">
        <v>45743</v>
      </c>
      <c r="C7285" s="500" t="s">
        <v>173</v>
      </c>
      <c r="D7285" s="500" t="s">
        <v>762</v>
      </c>
      <c r="E7285" s="501">
        <v>-328136244</v>
      </c>
      <c r="F7285" s="502" t="s">
        <v>878</v>
      </c>
      <c r="G7285" s="100">
        <v>116481640</v>
      </c>
      <c r="H7285" s="530"/>
      <c r="I7285" s="422" t="s">
        <v>713</v>
      </c>
      <c r="J7285" s="484"/>
      <c r="K7285" s="548"/>
      <c r="L7285" s="548"/>
      <c r="M7285" s="548"/>
      <c r="N7285" s="552"/>
    </row>
    <row r="7286" spans="1:25">
      <c r="A7286" s="499">
        <v>45743</v>
      </c>
      <c r="B7286" s="499">
        <v>45744</v>
      </c>
      <c r="C7286" s="500" t="s">
        <v>173</v>
      </c>
      <c r="D7286" s="500" t="s">
        <v>762</v>
      </c>
      <c r="E7286" s="501">
        <v>2975742372</v>
      </c>
      <c r="F7286" s="502" t="s">
        <v>878</v>
      </c>
      <c r="G7286" s="100">
        <v>116476893</v>
      </c>
      <c r="H7286" s="484">
        <v>116476893</v>
      </c>
      <c r="I7286" s="422" t="s">
        <v>682</v>
      </c>
      <c r="J7286" s="484"/>
      <c r="K7286" s="548"/>
      <c r="L7286" s="548"/>
      <c r="M7286" s="548"/>
      <c r="N7286" s="552"/>
    </row>
    <row r="7287" spans="1:25">
      <c r="A7287" s="499">
        <v>45743</v>
      </c>
      <c r="B7287" s="499">
        <v>45744</v>
      </c>
      <c r="C7287" s="500" t="s">
        <v>173</v>
      </c>
      <c r="D7287" s="500" t="s">
        <v>762</v>
      </c>
      <c r="E7287" s="501">
        <v>1559947468</v>
      </c>
      <c r="F7287" s="502" t="s">
        <v>878</v>
      </c>
      <c r="G7287" s="100">
        <v>116476896</v>
      </c>
      <c r="H7287" s="484">
        <v>116476896</v>
      </c>
      <c r="I7287" s="422" t="s">
        <v>677</v>
      </c>
      <c r="J7287" s="484"/>
      <c r="K7287" s="548"/>
      <c r="L7287" s="548"/>
      <c r="M7287" s="548"/>
      <c r="N7287" s="552"/>
    </row>
    <row r="7288" spans="1:25">
      <c r="A7288" s="499">
        <v>45743</v>
      </c>
      <c r="B7288" s="499">
        <v>45744</v>
      </c>
      <c r="C7288" s="500" t="s">
        <v>173</v>
      </c>
      <c r="D7288" s="500" t="s">
        <v>762</v>
      </c>
      <c r="E7288" s="501">
        <v>24014585.91</v>
      </c>
      <c r="F7288" s="502" t="s">
        <v>878</v>
      </c>
      <c r="G7288" s="100">
        <v>116476923</v>
      </c>
      <c r="H7288" s="484">
        <v>116476923</v>
      </c>
      <c r="I7288" s="422" t="s">
        <v>677</v>
      </c>
      <c r="J7288" s="484"/>
      <c r="K7288" s="548"/>
      <c r="L7288" s="548"/>
      <c r="M7288" s="548"/>
      <c r="N7288" s="552"/>
    </row>
    <row r="7289" spans="1:25">
      <c r="A7289" s="499">
        <v>45743</v>
      </c>
      <c r="B7289" s="499">
        <v>45744</v>
      </c>
      <c r="C7289" s="500" t="s">
        <v>173</v>
      </c>
      <c r="D7289" s="500" t="s">
        <v>762</v>
      </c>
      <c r="E7289" s="501">
        <v>328278736.89999998</v>
      </c>
      <c r="F7289" s="502" t="s">
        <v>878</v>
      </c>
      <c r="G7289" s="100">
        <v>116481640</v>
      </c>
      <c r="H7289" s="484">
        <v>116481640</v>
      </c>
      <c r="I7289" s="422" t="s">
        <v>713</v>
      </c>
      <c r="J7289" s="484"/>
      <c r="K7289" s="548"/>
      <c r="L7289" s="548"/>
      <c r="M7289" s="548"/>
      <c r="N7289" s="552"/>
    </row>
    <row r="7290" spans="1:25">
      <c r="A7290" s="499">
        <v>45743</v>
      </c>
      <c r="B7290" s="499">
        <v>45747</v>
      </c>
      <c r="C7290" s="500" t="s">
        <v>173</v>
      </c>
      <c r="D7290" s="500" t="s">
        <v>762</v>
      </c>
      <c r="E7290" s="501">
        <v>-456810500</v>
      </c>
      <c r="F7290" s="502" t="s">
        <v>906</v>
      </c>
      <c r="G7290" s="100" t="s">
        <v>75</v>
      </c>
      <c r="H7290" s="530"/>
      <c r="I7290" s="422" t="s">
        <v>691</v>
      </c>
      <c r="K7290" s="548">
        <v>116490515</v>
      </c>
      <c r="L7290" s="549">
        <v>85.552099999999996</v>
      </c>
      <c r="M7290" s="549">
        <f>E7290*(-1)/(N7290*O7290)*100</f>
        <v>91.362099999999998</v>
      </c>
      <c r="N7290" s="549">
        <v>500000</v>
      </c>
      <c r="O7290" s="539">
        <v>1000</v>
      </c>
      <c r="T7290" s="538">
        <v>15.6</v>
      </c>
      <c r="U7290" s="555">
        <v>0</v>
      </c>
      <c r="V7290" s="538">
        <v>45681.05</v>
      </c>
      <c r="W7290" s="550">
        <f>VLOOKUP(G7290,Справочник!A:C,3,0)</f>
        <v>7.4700000000000003E-2</v>
      </c>
      <c r="X7290" s="539" t="str">
        <f>VLOOKUP(G7290,Справочник!A:G,7,0)</f>
        <v>Министерство финансов Республики Казахстан</v>
      </c>
      <c r="Y7290" s="551" t="str">
        <f>VLOOKUP(G7290,Справочник!A:B,2,0)</f>
        <v>20.06.2027</v>
      </c>
    </row>
    <row r="7291" spans="1:25">
      <c r="A7291" s="499">
        <v>45743</v>
      </c>
      <c r="B7291" s="499">
        <v>45743</v>
      </c>
      <c r="C7291" s="500" t="s">
        <v>173</v>
      </c>
      <c r="D7291" s="500" t="s">
        <v>761</v>
      </c>
      <c r="E7291" s="501">
        <v>-514090293.87</v>
      </c>
      <c r="F7291" s="502" t="s">
        <v>878</v>
      </c>
      <c r="G7291" s="100">
        <v>116475012</v>
      </c>
      <c r="H7291" s="530"/>
      <c r="I7291" s="422" t="s">
        <v>633</v>
      </c>
      <c r="J7291" s="484"/>
      <c r="K7291" s="548"/>
      <c r="L7291" s="548"/>
      <c r="M7291" s="548"/>
      <c r="N7291" s="552"/>
    </row>
    <row r="7292" spans="1:25">
      <c r="A7292" s="499">
        <v>45743</v>
      </c>
      <c r="B7292" s="499">
        <v>45743</v>
      </c>
      <c r="C7292" s="500" t="s">
        <v>173</v>
      </c>
      <c r="D7292" s="500" t="s">
        <v>761</v>
      </c>
      <c r="E7292" s="501">
        <v>-777293681.90999997</v>
      </c>
      <c r="F7292" s="502" t="s">
        <v>878</v>
      </c>
      <c r="G7292" s="100">
        <v>116477925</v>
      </c>
      <c r="H7292" s="530"/>
      <c r="I7292" s="422" t="s">
        <v>717</v>
      </c>
      <c r="J7292" s="484"/>
      <c r="K7292" s="548"/>
      <c r="L7292" s="548"/>
      <c r="M7292" s="548"/>
      <c r="N7292" s="552"/>
    </row>
    <row r="7293" spans="1:25">
      <c r="A7293" s="499">
        <v>45743</v>
      </c>
      <c r="B7293" s="499">
        <v>45743</v>
      </c>
      <c r="C7293" s="500" t="s">
        <v>173</v>
      </c>
      <c r="D7293" s="500" t="s">
        <v>761</v>
      </c>
      <c r="E7293" s="501">
        <v>-716097273.61000001</v>
      </c>
      <c r="F7293" s="502" t="s">
        <v>878</v>
      </c>
      <c r="G7293" s="100">
        <v>116477928</v>
      </c>
      <c r="H7293" s="530"/>
      <c r="I7293" s="422" t="s">
        <v>723</v>
      </c>
      <c r="J7293" s="484"/>
      <c r="K7293" s="548"/>
      <c r="L7293" s="548"/>
      <c r="M7293" s="548"/>
      <c r="N7293" s="552"/>
    </row>
    <row r="7294" spans="1:25">
      <c r="A7294" s="499">
        <v>45743</v>
      </c>
      <c r="B7294" s="499">
        <v>45743</v>
      </c>
      <c r="C7294" s="500" t="s">
        <v>173</v>
      </c>
      <c r="D7294" s="500" t="s">
        <v>761</v>
      </c>
      <c r="E7294" s="501">
        <v>-2000834.09</v>
      </c>
      <c r="F7294" s="502" t="s">
        <v>878</v>
      </c>
      <c r="G7294" s="100">
        <v>116478324</v>
      </c>
      <c r="H7294" s="530"/>
      <c r="I7294" s="422" t="s">
        <v>631</v>
      </c>
      <c r="J7294" s="484"/>
      <c r="K7294" s="548"/>
      <c r="L7294" s="548"/>
      <c r="M7294" s="548"/>
      <c r="N7294" s="552"/>
    </row>
    <row r="7295" spans="1:25">
      <c r="A7295" s="499">
        <v>45743</v>
      </c>
      <c r="B7295" s="499">
        <v>45743</v>
      </c>
      <c r="C7295" s="500" t="s">
        <v>173</v>
      </c>
      <c r="D7295" s="500" t="s">
        <v>761</v>
      </c>
      <c r="E7295" s="501">
        <v>-104034874.94</v>
      </c>
      <c r="F7295" s="502" t="s">
        <v>878</v>
      </c>
      <c r="G7295" s="100">
        <v>116482152</v>
      </c>
      <c r="H7295" s="530"/>
      <c r="I7295" s="422" t="s">
        <v>685</v>
      </c>
      <c r="J7295" s="484"/>
      <c r="K7295" s="548"/>
      <c r="L7295" s="548"/>
      <c r="M7295" s="548"/>
      <c r="N7295" s="552"/>
    </row>
    <row r="7296" spans="1:25">
      <c r="A7296" s="499">
        <v>45743</v>
      </c>
      <c r="B7296" s="499">
        <v>45744</v>
      </c>
      <c r="C7296" s="500" t="s">
        <v>173</v>
      </c>
      <c r="D7296" s="500" t="s">
        <v>761</v>
      </c>
      <c r="E7296" s="501">
        <v>514315648.51999998</v>
      </c>
      <c r="F7296" s="502" t="s">
        <v>878</v>
      </c>
      <c r="G7296" s="100">
        <v>116475012</v>
      </c>
      <c r="H7296" s="484">
        <v>116475012</v>
      </c>
      <c r="I7296" s="422" t="s">
        <v>633</v>
      </c>
      <c r="J7296" s="484"/>
      <c r="K7296" s="548"/>
      <c r="L7296" s="548"/>
      <c r="M7296" s="548"/>
      <c r="N7296" s="552"/>
    </row>
    <row r="7297" spans="1:14">
      <c r="A7297" s="499">
        <v>45743</v>
      </c>
      <c r="B7297" s="499">
        <v>45750</v>
      </c>
      <c r="C7297" s="500" t="s">
        <v>173</v>
      </c>
      <c r="D7297" s="500" t="s">
        <v>761</v>
      </c>
      <c r="E7297" s="501">
        <v>779716069.75</v>
      </c>
      <c r="F7297" s="502" t="s">
        <v>878</v>
      </c>
      <c r="G7297" s="100">
        <v>116477925</v>
      </c>
      <c r="H7297" s="484">
        <v>116477925</v>
      </c>
      <c r="I7297" s="422" t="s">
        <v>717</v>
      </c>
      <c r="J7297" s="484"/>
      <c r="K7297" s="548"/>
      <c r="L7297" s="548"/>
      <c r="M7297" s="548"/>
      <c r="N7297" s="552"/>
    </row>
    <row r="7298" spans="1:14">
      <c r="A7298" s="499">
        <v>45743</v>
      </c>
      <c r="B7298" s="499">
        <v>45750</v>
      </c>
      <c r="C7298" s="500" t="s">
        <v>173</v>
      </c>
      <c r="D7298" s="500" t="s">
        <v>761</v>
      </c>
      <c r="E7298" s="501">
        <v>718328946.62</v>
      </c>
      <c r="F7298" s="502" t="s">
        <v>878</v>
      </c>
      <c r="G7298" s="100">
        <v>116477928</v>
      </c>
      <c r="H7298" s="484">
        <v>116477928</v>
      </c>
      <c r="I7298" s="422" t="s">
        <v>723</v>
      </c>
      <c r="J7298" s="484"/>
      <c r="K7298" s="548"/>
      <c r="L7298" s="548"/>
      <c r="M7298" s="548"/>
      <c r="N7298" s="552"/>
    </row>
    <row r="7299" spans="1:14">
      <c r="A7299" s="499">
        <v>45743</v>
      </c>
      <c r="B7299" s="499">
        <v>45750</v>
      </c>
      <c r="C7299" s="500" t="s">
        <v>173</v>
      </c>
      <c r="D7299" s="500" t="s">
        <v>761</v>
      </c>
      <c r="E7299" s="501">
        <v>2007069.57</v>
      </c>
      <c r="F7299" s="502" t="s">
        <v>878</v>
      </c>
      <c r="G7299" s="100">
        <v>116478324</v>
      </c>
      <c r="H7299" s="484">
        <v>116478324</v>
      </c>
      <c r="I7299" s="422" t="s">
        <v>631</v>
      </c>
      <c r="J7299" s="484"/>
      <c r="K7299" s="548"/>
      <c r="L7299" s="548"/>
      <c r="M7299" s="548"/>
      <c r="N7299" s="552"/>
    </row>
    <row r="7300" spans="1:14">
      <c r="A7300" s="499">
        <v>45743</v>
      </c>
      <c r="B7300" s="499">
        <v>45744</v>
      </c>
      <c r="C7300" s="500" t="s">
        <v>173</v>
      </c>
      <c r="D7300" s="500" t="s">
        <v>761</v>
      </c>
      <c r="E7300" s="501">
        <v>104080421.12</v>
      </c>
      <c r="F7300" s="502" t="s">
        <v>878</v>
      </c>
      <c r="G7300" s="100">
        <v>116482152</v>
      </c>
      <c r="H7300" s="484">
        <v>116482152</v>
      </c>
      <c r="I7300" s="422" t="s">
        <v>685</v>
      </c>
      <c r="J7300" s="484"/>
      <c r="K7300" s="548"/>
      <c r="L7300" s="548"/>
      <c r="M7300" s="548"/>
      <c r="N7300" s="552"/>
    </row>
    <row r="7301" spans="1:14">
      <c r="A7301" s="499">
        <v>45743</v>
      </c>
      <c r="B7301" s="499">
        <v>45743</v>
      </c>
      <c r="C7301" s="500" t="s">
        <v>173</v>
      </c>
      <c r="D7301" s="500" t="s">
        <v>759</v>
      </c>
      <c r="E7301" s="501">
        <v>-5002838010</v>
      </c>
      <c r="F7301" s="502" t="s">
        <v>878</v>
      </c>
      <c r="G7301" s="100">
        <v>116477161</v>
      </c>
      <c r="H7301" s="530"/>
      <c r="I7301" s="422" t="s">
        <v>684</v>
      </c>
      <c r="J7301" s="484"/>
      <c r="K7301" s="548"/>
      <c r="L7301" s="548"/>
      <c r="M7301" s="548"/>
      <c r="N7301" s="552"/>
    </row>
    <row r="7302" spans="1:14">
      <c r="A7302" s="499">
        <v>45743</v>
      </c>
      <c r="B7302" s="499">
        <v>45743</v>
      </c>
      <c r="C7302" s="500" t="s">
        <v>173</v>
      </c>
      <c r="D7302" s="500" t="s">
        <v>759</v>
      </c>
      <c r="E7302" s="501">
        <v>-735237779.85000002</v>
      </c>
      <c r="F7302" s="502" t="s">
        <v>878</v>
      </c>
      <c r="G7302" s="100">
        <v>116477165</v>
      </c>
      <c r="H7302" s="530"/>
      <c r="I7302" s="422" t="s">
        <v>718</v>
      </c>
      <c r="J7302" s="484"/>
      <c r="K7302" s="548"/>
      <c r="L7302" s="548"/>
      <c r="M7302" s="548"/>
      <c r="N7302" s="552"/>
    </row>
    <row r="7303" spans="1:14">
      <c r="A7303" s="499">
        <v>45743</v>
      </c>
      <c r="B7303" s="499">
        <v>45743</v>
      </c>
      <c r="C7303" s="500" t="s">
        <v>173</v>
      </c>
      <c r="D7303" s="500" t="s">
        <v>759</v>
      </c>
      <c r="E7303" s="501">
        <v>-2017351984.6500001</v>
      </c>
      <c r="F7303" s="502" t="s">
        <v>878</v>
      </c>
      <c r="G7303" s="100">
        <v>116477261</v>
      </c>
      <c r="H7303" s="530"/>
      <c r="I7303" s="422" t="s">
        <v>677</v>
      </c>
      <c r="J7303" s="484"/>
      <c r="K7303" s="548"/>
      <c r="L7303" s="548"/>
      <c r="M7303" s="548"/>
      <c r="N7303" s="552"/>
    </row>
    <row r="7304" spans="1:14">
      <c r="A7304" s="499">
        <v>45743</v>
      </c>
      <c r="B7304" s="499">
        <v>45743</v>
      </c>
      <c r="C7304" s="500" t="s">
        <v>173</v>
      </c>
      <c r="D7304" s="500" t="s">
        <v>759</v>
      </c>
      <c r="E7304" s="501">
        <v>-10001756.689999999</v>
      </c>
      <c r="F7304" s="502" t="s">
        <v>878</v>
      </c>
      <c r="G7304" s="100">
        <v>116477340</v>
      </c>
      <c r="H7304" s="530"/>
      <c r="I7304" s="422" t="s">
        <v>633</v>
      </c>
      <c r="J7304" s="484"/>
      <c r="K7304" s="548"/>
      <c r="L7304" s="548"/>
      <c r="M7304" s="548"/>
      <c r="N7304" s="552"/>
    </row>
    <row r="7305" spans="1:14">
      <c r="A7305" s="499">
        <v>45743</v>
      </c>
      <c r="B7305" s="499">
        <v>45743</v>
      </c>
      <c r="C7305" s="500" t="s">
        <v>173</v>
      </c>
      <c r="D7305" s="500" t="s">
        <v>759</v>
      </c>
      <c r="E7305" s="501">
        <v>-341234979.00999999</v>
      </c>
      <c r="F7305" s="502" t="s">
        <v>878</v>
      </c>
      <c r="G7305" s="100">
        <v>116484736</v>
      </c>
      <c r="H7305" s="530"/>
      <c r="I7305" s="422" t="s">
        <v>650</v>
      </c>
      <c r="J7305" s="484"/>
      <c r="K7305" s="548"/>
      <c r="L7305" s="548"/>
      <c r="M7305" s="548"/>
      <c r="N7305" s="552"/>
    </row>
    <row r="7306" spans="1:14">
      <c r="A7306" s="499">
        <v>45743</v>
      </c>
      <c r="B7306" s="499">
        <v>45743</v>
      </c>
      <c r="C7306" s="500" t="s">
        <v>173</v>
      </c>
      <c r="D7306" s="500" t="s">
        <v>759</v>
      </c>
      <c r="E7306" s="501">
        <v>-2001378.18</v>
      </c>
      <c r="F7306" s="502" t="s">
        <v>878</v>
      </c>
      <c r="G7306" s="100">
        <v>116484759</v>
      </c>
      <c r="H7306" s="530"/>
      <c r="I7306" s="422" t="s">
        <v>650</v>
      </c>
      <c r="J7306" s="484"/>
      <c r="K7306" s="548"/>
      <c r="L7306" s="548"/>
      <c r="M7306" s="548"/>
      <c r="N7306" s="552"/>
    </row>
    <row r="7307" spans="1:14">
      <c r="A7307" s="499">
        <v>45743</v>
      </c>
      <c r="B7307" s="499">
        <v>45750</v>
      </c>
      <c r="C7307" s="500" t="s">
        <v>173</v>
      </c>
      <c r="D7307" s="500" t="s">
        <v>759</v>
      </c>
      <c r="E7307" s="501">
        <v>5018333101.4300003</v>
      </c>
      <c r="F7307" s="502" t="s">
        <v>878</v>
      </c>
      <c r="G7307" s="100">
        <v>116477161</v>
      </c>
      <c r="H7307" s="484">
        <v>116477161</v>
      </c>
      <c r="I7307" s="422" t="s">
        <v>684</v>
      </c>
      <c r="J7307" s="484"/>
      <c r="K7307" s="548"/>
      <c r="L7307" s="548"/>
      <c r="M7307" s="548"/>
      <c r="N7307" s="552"/>
    </row>
    <row r="7308" spans="1:14">
      <c r="A7308" s="499">
        <v>45743</v>
      </c>
      <c r="B7308" s="499">
        <v>45750</v>
      </c>
      <c r="C7308" s="500" t="s">
        <v>173</v>
      </c>
      <c r="D7308" s="500" t="s">
        <v>759</v>
      </c>
      <c r="E7308" s="501">
        <v>737515002.62</v>
      </c>
      <c r="F7308" s="502" t="s">
        <v>878</v>
      </c>
      <c r="G7308" s="100">
        <v>116477165</v>
      </c>
      <c r="H7308" s="484">
        <v>116477165</v>
      </c>
      <c r="I7308" s="422" t="s">
        <v>718</v>
      </c>
      <c r="J7308" s="484"/>
      <c r="K7308" s="548"/>
      <c r="L7308" s="548"/>
      <c r="M7308" s="548"/>
      <c r="N7308" s="552"/>
    </row>
    <row r="7309" spans="1:14">
      <c r="A7309" s="499">
        <v>45743</v>
      </c>
      <c r="B7309" s="499">
        <v>45744</v>
      </c>
      <c r="C7309" s="500" t="s">
        <v>173</v>
      </c>
      <c r="D7309" s="500" t="s">
        <v>759</v>
      </c>
      <c r="E7309" s="501">
        <v>2018228012.8399999</v>
      </c>
      <c r="F7309" s="502" t="s">
        <v>878</v>
      </c>
      <c r="G7309" s="100">
        <v>116477261</v>
      </c>
      <c r="H7309" s="484">
        <v>116477261</v>
      </c>
      <c r="I7309" s="422" t="s">
        <v>677</v>
      </c>
      <c r="J7309" s="484"/>
      <c r="K7309" s="548"/>
      <c r="L7309" s="548"/>
      <c r="M7309" s="548"/>
      <c r="N7309" s="552"/>
    </row>
    <row r="7310" spans="1:14">
      <c r="A7310" s="499">
        <v>45743</v>
      </c>
      <c r="B7310" s="499">
        <v>45744</v>
      </c>
      <c r="C7310" s="500" t="s">
        <v>173</v>
      </c>
      <c r="D7310" s="500" t="s">
        <v>759</v>
      </c>
      <c r="E7310" s="501">
        <v>10006091.699999999</v>
      </c>
      <c r="F7310" s="502" t="s">
        <v>878</v>
      </c>
      <c r="G7310" s="100">
        <v>116477340</v>
      </c>
      <c r="H7310" s="484">
        <v>116477340</v>
      </c>
      <c r="I7310" s="422" t="s">
        <v>633</v>
      </c>
      <c r="J7310" s="484"/>
      <c r="K7310" s="548"/>
      <c r="L7310" s="548"/>
      <c r="M7310" s="548"/>
      <c r="N7310" s="552"/>
    </row>
    <row r="7311" spans="1:14">
      <c r="A7311" s="499">
        <v>45743</v>
      </c>
      <c r="B7311" s="499">
        <v>45744</v>
      </c>
      <c r="C7311" s="500" t="s">
        <v>173</v>
      </c>
      <c r="D7311" s="500" t="s">
        <v>759</v>
      </c>
      <c r="E7311" s="501">
        <v>341378017.23000002</v>
      </c>
      <c r="F7311" s="502" t="s">
        <v>878</v>
      </c>
      <c r="G7311" s="100">
        <v>116484736</v>
      </c>
      <c r="H7311" s="484">
        <v>116484736</v>
      </c>
      <c r="I7311" s="422" t="s">
        <v>650</v>
      </c>
      <c r="J7311" s="484"/>
      <c r="K7311" s="548"/>
      <c r="L7311" s="548"/>
      <c r="M7311" s="548"/>
      <c r="N7311" s="552"/>
    </row>
    <row r="7312" spans="1:14">
      <c r="A7312" s="499">
        <v>45743</v>
      </c>
      <c r="B7312" s="499">
        <v>45744</v>
      </c>
      <c r="C7312" s="500" t="s">
        <v>173</v>
      </c>
      <c r="D7312" s="500" t="s">
        <v>759</v>
      </c>
      <c r="E7312" s="501">
        <v>2002217.11</v>
      </c>
      <c r="F7312" s="502" t="s">
        <v>878</v>
      </c>
      <c r="G7312" s="100">
        <v>116484759</v>
      </c>
      <c r="H7312" s="484">
        <v>116484759</v>
      </c>
      <c r="I7312" s="422" t="s">
        <v>650</v>
      </c>
      <c r="J7312" s="484"/>
      <c r="K7312" s="548"/>
      <c r="L7312" s="548"/>
      <c r="M7312" s="548"/>
      <c r="N7312" s="552"/>
    </row>
    <row r="7313" spans="1:16">
      <c r="A7313" s="499">
        <v>45743</v>
      </c>
      <c r="B7313" s="499">
        <v>45743</v>
      </c>
      <c r="C7313" s="500" t="s">
        <v>173</v>
      </c>
      <c r="D7313" s="500" t="s">
        <v>760</v>
      </c>
      <c r="E7313" s="501">
        <v>-207078239.58000001</v>
      </c>
      <c r="F7313" s="502" t="s">
        <v>878</v>
      </c>
      <c r="G7313" s="100">
        <v>116476993</v>
      </c>
      <c r="H7313" s="530"/>
      <c r="I7313" s="422" t="s">
        <v>717</v>
      </c>
      <c r="J7313" s="484"/>
      <c r="K7313" s="548"/>
      <c r="L7313" s="548"/>
      <c r="M7313" s="548"/>
      <c r="N7313" s="552"/>
    </row>
    <row r="7314" spans="1:16">
      <c r="A7314" s="499">
        <v>45743</v>
      </c>
      <c r="B7314" s="499">
        <v>45750</v>
      </c>
      <c r="C7314" s="500" t="s">
        <v>173</v>
      </c>
      <c r="D7314" s="500" t="s">
        <v>760</v>
      </c>
      <c r="E7314" s="501">
        <v>207714479.81</v>
      </c>
      <c r="F7314" s="502" t="s">
        <v>878</v>
      </c>
      <c r="G7314" s="100">
        <v>116476993</v>
      </c>
      <c r="H7314" s="100">
        <v>116476993</v>
      </c>
      <c r="I7314" s="422" t="s">
        <v>717</v>
      </c>
      <c r="J7314" s="484"/>
      <c r="K7314" s="548"/>
      <c r="L7314" s="548"/>
      <c r="M7314" s="548"/>
      <c r="N7314" s="552"/>
    </row>
    <row r="7315" spans="1:16">
      <c r="A7315" s="499">
        <v>45743</v>
      </c>
      <c r="B7315" s="499">
        <v>45743</v>
      </c>
      <c r="C7315" s="500" t="s">
        <v>173</v>
      </c>
      <c r="D7315" s="500" t="s">
        <v>764</v>
      </c>
      <c r="E7315" s="501">
        <v>-9001349.0999999996</v>
      </c>
      <c r="F7315" s="502" t="s">
        <v>878</v>
      </c>
      <c r="G7315" s="100">
        <v>116482435</v>
      </c>
      <c r="H7315" s="530"/>
      <c r="I7315" s="422" t="s">
        <v>604</v>
      </c>
      <c r="J7315" s="484"/>
      <c r="K7315" s="548"/>
      <c r="L7315" s="548"/>
      <c r="M7315" s="548"/>
      <c r="N7315" s="552"/>
    </row>
    <row r="7316" spans="1:16">
      <c r="A7316" s="499">
        <v>45743</v>
      </c>
      <c r="B7316" s="499">
        <v>45743</v>
      </c>
      <c r="C7316" s="500" t="s">
        <v>173</v>
      </c>
      <c r="D7316" s="500" t="s">
        <v>764</v>
      </c>
      <c r="E7316" s="501">
        <v>-130100295.78</v>
      </c>
      <c r="F7316" s="502" t="s">
        <v>878</v>
      </c>
      <c r="G7316" s="100">
        <v>116482438</v>
      </c>
      <c r="H7316" s="530"/>
      <c r="I7316" s="422" t="s">
        <v>696</v>
      </c>
      <c r="J7316" s="484"/>
      <c r="K7316" s="548"/>
      <c r="L7316" s="548"/>
      <c r="M7316" s="548"/>
      <c r="N7316" s="552"/>
    </row>
    <row r="7317" spans="1:16">
      <c r="A7317" s="499">
        <v>45743</v>
      </c>
      <c r="B7317" s="499">
        <v>45744</v>
      </c>
      <c r="C7317" s="500" t="s">
        <v>173</v>
      </c>
      <c r="D7317" s="500" t="s">
        <v>764</v>
      </c>
      <c r="E7317" s="501">
        <v>9005289.8900000006</v>
      </c>
      <c r="F7317" s="502" t="s">
        <v>878</v>
      </c>
      <c r="G7317" s="100">
        <v>116482435</v>
      </c>
      <c r="H7317" s="100">
        <v>116482435</v>
      </c>
      <c r="I7317" s="422" t="s">
        <v>604</v>
      </c>
      <c r="J7317" s="484"/>
      <c r="K7317" s="548"/>
      <c r="L7317" s="548"/>
      <c r="M7317" s="548"/>
      <c r="N7317" s="552"/>
    </row>
    <row r="7318" spans="1:16">
      <c r="A7318" s="499">
        <v>45743</v>
      </c>
      <c r="B7318" s="499">
        <v>45744</v>
      </c>
      <c r="C7318" s="500" t="s">
        <v>173</v>
      </c>
      <c r="D7318" s="500" t="s">
        <v>764</v>
      </c>
      <c r="E7318" s="501">
        <v>130157253.69</v>
      </c>
      <c r="F7318" s="502" t="s">
        <v>878</v>
      </c>
      <c r="G7318" s="100">
        <v>116482438</v>
      </c>
      <c r="H7318" s="100">
        <v>116482438</v>
      </c>
      <c r="I7318" s="422" t="s">
        <v>696</v>
      </c>
      <c r="J7318" s="484"/>
      <c r="K7318" s="548"/>
      <c r="L7318" s="548"/>
      <c r="M7318" s="548"/>
      <c r="N7318" s="552"/>
    </row>
    <row r="7319" spans="1:16">
      <c r="A7319" s="499">
        <v>45743</v>
      </c>
      <c r="B7319" s="499">
        <v>45743</v>
      </c>
      <c r="C7319" s="500" t="s">
        <v>173</v>
      </c>
      <c r="D7319" s="500" t="s">
        <v>763</v>
      </c>
      <c r="E7319" s="501">
        <v>-4799324316.4200001</v>
      </c>
      <c r="F7319" s="502" t="s">
        <v>878</v>
      </c>
      <c r="G7319" s="100">
        <v>116474530</v>
      </c>
      <c r="H7319" s="530"/>
      <c r="I7319" s="422" t="s">
        <v>1018</v>
      </c>
      <c r="J7319" s="484"/>
      <c r="K7319" s="548"/>
      <c r="L7319" s="548"/>
      <c r="M7319" s="548"/>
      <c r="N7319" s="552"/>
      <c r="P7319" s="539">
        <v>-1</v>
      </c>
    </row>
    <row r="7320" spans="1:16">
      <c r="A7320" s="499">
        <v>45743</v>
      </c>
      <c r="B7320" s="499">
        <v>45743</v>
      </c>
      <c r="C7320" s="500" t="s">
        <v>173</v>
      </c>
      <c r="D7320" s="500" t="s">
        <v>763</v>
      </c>
      <c r="E7320" s="501">
        <v>-25001689.5</v>
      </c>
      <c r="F7320" s="502" t="s">
        <v>878</v>
      </c>
      <c r="G7320" s="100">
        <v>116474593</v>
      </c>
      <c r="H7320" s="530"/>
      <c r="I7320" s="422" t="s">
        <v>1018</v>
      </c>
      <c r="J7320" s="484"/>
      <c r="K7320" s="548"/>
      <c r="L7320" s="548"/>
      <c r="M7320" s="548"/>
      <c r="N7320" s="552"/>
    </row>
    <row r="7321" spans="1:16">
      <c r="A7321" s="499">
        <v>45743</v>
      </c>
      <c r="B7321" s="499">
        <v>45743</v>
      </c>
      <c r="C7321" s="500" t="s">
        <v>173</v>
      </c>
      <c r="D7321" s="500" t="s">
        <v>763</v>
      </c>
      <c r="E7321" s="501">
        <v>-173035476.06999999</v>
      </c>
      <c r="F7321" s="502" t="s">
        <v>878</v>
      </c>
      <c r="G7321" s="100">
        <v>116480296</v>
      </c>
      <c r="H7321" s="530"/>
      <c r="I7321" s="422" t="s">
        <v>693</v>
      </c>
      <c r="J7321" s="484"/>
      <c r="K7321" s="548"/>
      <c r="L7321" s="548"/>
      <c r="M7321" s="548"/>
      <c r="N7321" s="552"/>
    </row>
    <row r="7322" spans="1:16">
      <c r="A7322" s="499">
        <v>45743</v>
      </c>
      <c r="B7322" s="499">
        <v>45743</v>
      </c>
      <c r="C7322" s="500" t="s">
        <v>173</v>
      </c>
      <c r="D7322" s="500" t="s">
        <v>763</v>
      </c>
      <c r="E7322" s="501">
        <v>-1000205.06</v>
      </c>
      <c r="F7322" s="502" t="s">
        <v>878</v>
      </c>
      <c r="G7322" s="100">
        <v>116480326</v>
      </c>
      <c r="H7322" s="530"/>
      <c r="I7322" s="422" t="s">
        <v>693</v>
      </c>
      <c r="J7322" s="484"/>
      <c r="K7322" s="548"/>
      <c r="L7322" s="548"/>
      <c r="M7322" s="548"/>
      <c r="N7322" s="552"/>
    </row>
    <row r="7323" spans="1:16">
      <c r="A7323" s="499">
        <v>45743</v>
      </c>
      <c r="B7323" s="499">
        <v>45744</v>
      </c>
      <c r="C7323" s="500" t="s">
        <v>173</v>
      </c>
      <c r="D7323" s="500" t="s">
        <v>763</v>
      </c>
      <c r="E7323" s="501">
        <v>4801368960.0699997</v>
      </c>
      <c r="F7323" s="502" t="s">
        <v>878</v>
      </c>
      <c r="G7323" s="100">
        <v>116474530</v>
      </c>
      <c r="H7323" s="484">
        <v>116474530</v>
      </c>
      <c r="I7323" s="422" t="s">
        <v>1018</v>
      </c>
      <c r="J7323" s="484"/>
      <c r="K7323" s="548"/>
      <c r="L7323" s="548"/>
      <c r="M7323" s="548"/>
      <c r="N7323" s="552"/>
    </row>
    <row r="7324" spans="1:16">
      <c r="A7324" s="499">
        <v>45743</v>
      </c>
      <c r="B7324" s="499">
        <v>45744</v>
      </c>
      <c r="C7324" s="500" t="s">
        <v>173</v>
      </c>
      <c r="D7324" s="500" t="s">
        <v>763</v>
      </c>
      <c r="E7324" s="501">
        <v>25012340.899999999</v>
      </c>
      <c r="F7324" s="502" t="s">
        <v>878</v>
      </c>
      <c r="G7324" s="100">
        <v>116474593</v>
      </c>
      <c r="H7324" s="484">
        <v>116474593</v>
      </c>
      <c r="I7324" s="422" t="s">
        <v>1018</v>
      </c>
      <c r="J7324" s="484"/>
      <c r="K7324" s="548"/>
      <c r="L7324" s="548"/>
      <c r="M7324" s="548"/>
      <c r="N7324" s="552"/>
    </row>
    <row r="7325" spans="1:16">
      <c r="A7325" s="499">
        <v>45743</v>
      </c>
      <c r="B7325" s="499">
        <v>45744</v>
      </c>
      <c r="C7325" s="500" t="s">
        <v>173</v>
      </c>
      <c r="D7325" s="500" t="s">
        <v>763</v>
      </c>
      <c r="E7325" s="501">
        <v>173110616.13</v>
      </c>
      <c r="F7325" s="502" t="s">
        <v>878</v>
      </c>
      <c r="G7325" s="100">
        <v>116480296</v>
      </c>
      <c r="H7325" s="484">
        <v>116480296</v>
      </c>
      <c r="I7325" s="422" t="s">
        <v>693</v>
      </c>
      <c r="J7325" s="484"/>
      <c r="K7325" s="548"/>
      <c r="L7325" s="548"/>
      <c r="M7325" s="548"/>
      <c r="N7325" s="552"/>
    </row>
    <row r="7326" spans="1:16">
      <c r="A7326" s="499">
        <v>45743</v>
      </c>
      <c r="B7326" s="499">
        <v>45744</v>
      </c>
      <c r="C7326" s="500" t="s">
        <v>173</v>
      </c>
      <c r="D7326" s="500" t="s">
        <v>763</v>
      </c>
      <c r="E7326" s="501">
        <v>1000639.4</v>
      </c>
      <c r="F7326" s="502" t="s">
        <v>878</v>
      </c>
      <c r="G7326" s="100">
        <v>116480326</v>
      </c>
      <c r="H7326" s="484">
        <v>116480326</v>
      </c>
      <c r="I7326" s="422" t="s">
        <v>693</v>
      </c>
      <c r="J7326" s="484"/>
      <c r="K7326" s="548"/>
      <c r="L7326" s="548"/>
      <c r="M7326" s="548"/>
      <c r="N7326" s="552"/>
    </row>
    <row r="7327" spans="1:16">
      <c r="A7327" s="499">
        <v>45743</v>
      </c>
      <c r="B7327" s="499">
        <v>45743</v>
      </c>
      <c r="C7327" s="500" t="s">
        <v>173</v>
      </c>
      <c r="D7327" s="500" t="s">
        <v>759</v>
      </c>
      <c r="E7327" s="501">
        <v>343125000</v>
      </c>
      <c r="F7327" s="502" t="s">
        <v>381</v>
      </c>
      <c r="G7327" s="100" t="s">
        <v>59</v>
      </c>
      <c r="H7327" s="530"/>
      <c r="I7327" s="422"/>
      <c r="K7327" s="548"/>
      <c r="L7327" s="548"/>
      <c r="M7327" s="548"/>
      <c r="N7327" s="552"/>
    </row>
    <row r="7328" spans="1:16">
      <c r="A7328" s="499">
        <v>45743</v>
      </c>
      <c r="B7328" s="499">
        <v>45743</v>
      </c>
      <c r="C7328" s="500" t="s">
        <v>173</v>
      </c>
      <c r="D7328" s="500" t="s">
        <v>762</v>
      </c>
      <c r="E7328" s="501">
        <v>330086250</v>
      </c>
      <c r="F7328" s="502" t="s">
        <v>381</v>
      </c>
      <c r="G7328" s="100" t="s">
        <v>59</v>
      </c>
      <c r="H7328" s="530"/>
      <c r="I7328" s="422"/>
      <c r="K7328" s="548"/>
      <c r="L7328" s="548"/>
      <c r="M7328" s="548"/>
      <c r="N7328" s="552"/>
    </row>
    <row r="7329" spans="1:14">
      <c r="A7329" s="499">
        <v>45743</v>
      </c>
      <c r="B7329" s="499">
        <v>45743</v>
      </c>
      <c r="C7329" s="500" t="s">
        <v>173</v>
      </c>
      <c r="D7329" s="500" t="s">
        <v>760</v>
      </c>
      <c r="E7329" s="501">
        <v>207247500.00000003</v>
      </c>
      <c r="F7329" s="502" t="s">
        <v>381</v>
      </c>
      <c r="G7329" s="100" t="s">
        <v>59</v>
      </c>
      <c r="H7329" s="530"/>
      <c r="I7329" s="422"/>
      <c r="K7329" s="548"/>
      <c r="L7329" s="548"/>
      <c r="M7329" s="548"/>
      <c r="N7329" s="552"/>
    </row>
    <row r="7330" spans="1:14">
      <c r="A7330" s="499">
        <v>45743</v>
      </c>
      <c r="B7330" s="499">
        <v>45743</v>
      </c>
      <c r="C7330" s="500" t="s">
        <v>173</v>
      </c>
      <c r="D7330" s="500" t="s">
        <v>761</v>
      </c>
      <c r="E7330" s="501">
        <v>96075000.000000015</v>
      </c>
      <c r="F7330" s="502" t="s">
        <v>381</v>
      </c>
      <c r="G7330" s="100" t="s">
        <v>59</v>
      </c>
      <c r="H7330" s="530"/>
      <c r="I7330" s="422"/>
      <c r="K7330" s="548"/>
      <c r="L7330" s="548"/>
      <c r="M7330" s="548"/>
      <c r="N7330" s="552"/>
    </row>
    <row r="7331" spans="1:14">
      <c r="A7331" s="499">
        <v>45743</v>
      </c>
      <c r="B7331" s="499">
        <v>45743</v>
      </c>
      <c r="C7331" s="500" t="s">
        <v>173</v>
      </c>
      <c r="D7331" s="500" t="s">
        <v>763</v>
      </c>
      <c r="E7331" s="501">
        <v>173621250</v>
      </c>
      <c r="F7331" s="502" t="s">
        <v>381</v>
      </c>
      <c r="G7331" s="100" t="s">
        <v>59</v>
      </c>
      <c r="H7331" s="530"/>
      <c r="I7331" s="422"/>
      <c r="K7331" s="548"/>
      <c r="L7331" s="548"/>
      <c r="M7331" s="548"/>
      <c r="N7331" s="552"/>
    </row>
    <row r="7332" spans="1:14">
      <c r="A7332" s="499">
        <v>45743</v>
      </c>
      <c r="B7332" s="499">
        <v>45743</v>
      </c>
      <c r="C7332" s="500" t="s">
        <v>173</v>
      </c>
      <c r="D7332" s="500" t="s">
        <v>764</v>
      </c>
      <c r="E7332" s="501">
        <v>139995000</v>
      </c>
      <c r="F7332" s="502" t="s">
        <v>381</v>
      </c>
      <c r="G7332" s="100" t="s">
        <v>59</v>
      </c>
      <c r="H7332" s="530"/>
      <c r="I7332" s="422"/>
      <c r="K7332" s="548"/>
      <c r="L7332" s="548"/>
      <c r="M7332" s="548"/>
      <c r="N7332" s="552"/>
    </row>
    <row r="7333" spans="1:14">
      <c r="A7333" s="499">
        <v>45744</v>
      </c>
      <c r="B7333" s="499">
        <v>45744</v>
      </c>
      <c r="C7333" s="500" t="s">
        <v>173</v>
      </c>
      <c r="D7333" s="500" t="s">
        <v>762</v>
      </c>
      <c r="E7333" s="501">
        <v>-4322782338.3400002</v>
      </c>
      <c r="F7333" s="502" t="s">
        <v>878</v>
      </c>
      <c r="G7333" s="100">
        <v>116496984</v>
      </c>
      <c r="H7333" s="530"/>
      <c r="I7333" s="422" t="s">
        <v>684</v>
      </c>
      <c r="J7333" s="484"/>
      <c r="K7333" s="548"/>
      <c r="L7333" s="548"/>
      <c r="M7333" s="548"/>
      <c r="N7333" s="552"/>
    </row>
    <row r="7334" spans="1:14">
      <c r="A7334" s="499">
        <v>45744</v>
      </c>
      <c r="B7334" s="499">
        <v>45744</v>
      </c>
      <c r="C7334" s="500" t="s">
        <v>173</v>
      </c>
      <c r="D7334" s="500" t="s">
        <v>762</v>
      </c>
      <c r="E7334" s="501">
        <v>-541065426.38</v>
      </c>
      <c r="F7334" s="502" t="s">
        <v>878</v>
      </c>
      <c r="G7334" s="100">
        <v>116496987</v>
      </c>
      <c r="H7334" s="530"/>
      <c r="I7334" s="422" t="s">
        <v>653</v>
      </c>
      <c r="J7334" s="484"/>
      <c r="K7334" s="548"/>
      <c r="L7334" s="548"/>
      <c r="M7334" s="548"/>
      <c r="N7334" s="552"/>
    </row>
    <row r="7335" spans="1:14">
      <c r="A7335" s="499">
        <v>45744</v>
      </c>
      <c r="B7335" s="499">
        <v>45744</v>
      </c>
      <c r="C7335" s="500" t="s">
        <v>173</v>
      </c>
      <c r="D7335" s="500" t="s">
        <v>762</v>
      </c>
      <c r="E7335" s="501">
        <v>-24002902.460000001</v>
      </c>
      <c r="F7335" s="502" t="s">
        <v>878</v>
      </c>
      <c r="G7335" s="100">
        <v>116497033</v>
      </c>
      <c r="H7335" s="530"/>
      <c r="I7335" s="422" t="s">
        <v>653</v>
      </c>
      <c r="J7335" s="484"/>
      <c r="K7335" s="548"/>
      <c r="L7335" s="548"/>
      <c r="M7335" s="548"/>
      <c r="N7335" s="552"/>
    </row>
    <row r="7336" spans="1:14">
      <c r="A7336" s="499">
        <v>45744</v>
      </c>
      <c r="B7336" s="499">
        <v>45747</v>
      </c>
      <c r="C7336" s="500" t="s">
        <v>173</v>
      </c>
      <c r="D7336" s="500" t="s">
        <v>762</v>
      </c>
      <c r="E7336" s="501">
        <v>4328414722.3900003</v>
      </c>
      <c r="F7336" s="502" t="s">
        <v>878</v>
      </c>
      <c r="G7336" s="100">
        <v>116496984</v>
      </c>
      <c r="H7336" s="484">
        <v>116496984</v>
      </c>
      <c r="I7336" s="422" t="s">
        <v>684</v>
      </c>
      <c r="J7336" s="484"/>
      <c r="K7336" s="548"/>
      <c r="L7336" s="548"/>
      <c r="M7336" s="548"/>
      <c r="N7336" s="552"/>
    </row>
    <row r="7337" spans="1:14">
      <c r="A7337" s="499">
        <v>45744</v>
      </c>
      <c r="B7337" s="499">
        <v>45747</v>
      </c>
      <c r="C7337" s="500" t="s">
        <v>173</v>
      </c>
      <c r="D7337" s="500" t="s">
        <v>762</v>
      </c>
      <c r="E7337" s="501">
        <v>541770404.98000002</v>
      </c>
      <c r="F7337" s="502" t="s">
        <v>878</v>
      </c>
      <c r="G7337" s="100">
        <v>116496987</v>
      </c>
      <c r="H7337" s="484">
        <v>116496987</v>
      </c>
      <c r="I7337" s="422" t="s">
        <v>653</v>
      </c>
      <c r="J7337" s="484"/>
      <c r="K7337" s="548"/>
      <c r="L7337" s="548"/>
      <c r="M7337" s="548"/>
      <c r="N7337" s="552"/>
    </row>
    <row r="7338" spans="1:14">
      <c r="A7338" s="499">
        <v>45744</v>
      </c>
      <c r="B7338" s="499">
        <v>45747</v>
      </c>
      <c r="C7338" s="500" t="s">
        <v>173</v>
      </c>
      <c r="D7338" s="500" t="s">
        <v>762</v>
      </c>
      <c r="E7338" s="501">
        <v>24034177.91</v>
      </c>
      <c r="F7338" s="502" t="s">
        <v>878</v>
      </c>
      <c r="G7338" s="100">
        <v>116497033</v>
      </c>
      <c r="H7338" s="484">
        <v>116497033</v>
      </c>
      <c r="I7338" s="422" t="s">
        <v>653</v>
      </c>
      <c r="J7338" s="484"/>
      <c r="K7338" s="548"/>
      <c r="L7338" s="548"/>
      <c r="M7338" s="548"/>
      <c r="N7338" s="552"/>
    </row>
    <row r="7339" spans="1:14">
      <c r="A7339" s="499">
        <v>45744</v>
      </c>
      <c r="B7339" s="499">
        <v>45744</v>
      </c>
      <c r="C7339" s="500" t="s">
        <v>173</v>
      </c>
      <c r="D7339" s="500" t="s">
        <v>761</v>
      </c>
      <c r="E7339" s="501">
        <v>-615312204.5</v>
      </c>
      <c r="F7339" s="502" t="s">
        <v>878</v>
      </c>
      <c r="G7339" s="100">
        <v>116494959</v>
      </c>
      <c r="H7339" s="530"/>
      <c r="I7339" s="422" t="s">
        <v>635</v>
      </c>
      <c r="J7339" s="484"/>
      <c r="K7339" s="548"/>
      <c r="L7339" s="548"/>
      <c r="M7339" s="548"/>
      <c r="N7339" s="552"/>
    </row>
    <row r="7340" spans="1:14">
      <c r="A7340" s="499">
        <v>45744</v>
      </c>
      <c r="B7340" s="499">
        <v>45744</v>
      </c>
      <c r="C7340" s="500" t="s">
        <v>173</v>
      </c>
      <c r="D7340" s="500" t="s">
        <v>761</v>
      </c>
      <c r="E7340" s="501">
        <v>-3001506.11</v>
      </c>
      <c r="F7340" s="502" t="s">
        <v>878</v>
      </c>
      <c r="G7340" s="100">
        <v>116495208</v>
      </c>
      <c r="H7340" s="530"/>
      <c r="I7340" s="422" t="s">
        <v>633</v>
      </c>
      <c r="J7340" s="484"/>
      <c r="K7340" s="548"/>
      <c r="L7340" s="548"/>
      <c r="M7340" s="548"/>
      <c r="N7340" s="552"/>
    </row>
    <row r="7341" spans="1:14">
      <c r="A7341" s="499">
        <v>45744</v>
      </c>
      <c r="B7341" s="499">
        <v>45747</v>
      </c>
      <c r="C7341" s="500" t="s">
        <v>173</v>
      </c>
      <c r="D7341" s="500" t="s">
        <v>761</v>
      </c>
      <c r="E7341" s="501">
        <v>616131496.90999997</v>
      </c>
      <c r="F7341" s="502" t="s">
        <v>878</v>
      </c>
      <c r="G7341" s="100">
        <v>116494959</v>
      </c>
      <c r="H7341" s="484">
        <v>116494959</v>
      </c>
      <c r="I7341" s="422" t="s">
        <v>635</v>
      </c>
      <c r="J7341" s="484"/>
      <c r="K7341" s="548"/>
      <c r="L7341" s="548"/>
      <c r="M7341" s="548"/>
      <c r="N7341" s="552"/>
    </row>
    <row r="7342" spans="1:14">
      <c r="A7342" s="499">
        <v>45744</v>
      </c>
      <c r="B7342" s="499">
        <v>45747</v>
      </c>
      <c r="C7342" s="500" t="s">
        <v>173</v>
      </c>
      <c r="D7342" s="500" t="s">
        <v>761</v>
      </c>
      <c r="E7342" s="501">
        <v>3005453.3</v>
      </c>
      <c r="F7342" s="502" t="s">
        <v>878</v>
      </c>
      <c r="G7342" s="100">
        <v>116495208</v>
      </c>
      <c r="H7342" s="484">
        <v>116495208</v>
      </c>
      <c r="I7342" s="422" t="s">
        <v>633</v>
      </c>
      <c r="J7342" s="484"/>
      <c r="K7342" s="548"/>
      <c r="L7342" s="548"/>
      <c r="M7342" s="548"/>
      <c r="N7342" s="552"/>
    </row>
    <row r="7343" spans="1:14">
      <c r="A7343" s="499">
        <v>45744</v>
      </c>
      <c r="B7343" s="499">
        <v>45744</v>
      </c>
      <c r="C7343" s="500" t="s">
        <v>173</v>
      </c>
      <c r="D7343" s="500" t="s">
        <v>759</v>
      </c>
      <c r="E7343" s="501">
        <v>-2358285167.0900002</v>
      </c>
      <c r="F7343" s="502" t="s">
        <v>878</v>
      </c>
      <c r="G7343" s="100">
        <v>116496370</v>
      </c>
      <c r="H7343" s="530"/>
      <c r="I7343" s="422" t="s">
        <v>653</v>
      </c>
      <c r="J7343" s="484"/>
      <c r="K7343" s="548"/>
      <c r="L7343" s="548"/>
      <c r="M7343" s="548"/>
      <c r="N7343" s="552"/>
    </row>
    <row r="7344" spans="1:14">
      <c r="A7344" s="499">
        <v>45744</v>
      </c>
      <c r="B7344" s="499">
        <v>45744</v>
      </c>
      <c r="C7344" s="500" t="s">
        <v>173</v>
      </c>
      <c r="D7344" s="500" t="s">
        <v>759</v>
      </c>
      <c r="E7344" s="501">
        <v>-13011384.67</v>
      </c>
      <c r="F7344" s="502" t="s">
        <v>878</v>
      </c>
      <c r="G7344" s="100">
        <v>116496414</v>
      </c>
      <c r="H7344" s="530"/>
      <c r="I7344" s="422" t="s">
        <v>684</v>
      </c>
      <c r="J7344" s="484"/>
      <c r="K7344" s="548"/>
      <c r="L7344" s="548"/>
      <c r="M7344" s="548"/>
      <c r="N7344" s="552"/>
    </row>
    <row r="7345" spans="1:16">
      <c r="A7345" s="499">
        <v>45744</v>
      </c>
      <c r="B7345" s="499">
        <v>45747</v>
      </c>
      <c r="C7345" s="500" t="s">
        <v>173</v>
      </c>
      <c r="D7345" s="500" t="s">
        <v>759</v>
      </c>
      <c r="E7345" s="501">
        <v>2361357592.6900001</v>
      </c>
      <c r="F7345" s="502" t="s">
        <v>878</v>
      </c>
      <c r="G7345" s="100">
        <v>116496370</v>
      </c>
      <c r="H7345" s="100">
        <v>116496370</v>
      </c>
      <c r="I7345" s="422" t="s">
        <v>653</v>
      </c>
      <c r="J7345" s="484"/>
      <c r="K7345" s="548"/>
      <c r="L7345" s="548"/>
      <c r="M7345" s="548"/>
      <c r="N7345" s="552"/>
    </row>
    <row r="7346" spans="1:16">
      <c r="A7346" s="499">
        <v>45744</v>
      </c>
      <c r="B7346" s="499">
        <v>45747</v>
      </c>
      <c r="C7346" s="500" t="s">
        <v>173</v>
      </c>
      <c r="D7346" s="500" t="s">
        <v>759</v>
      </c>
      <c r="E7346" s="501">
        <v>13028336.4</v>
      </c>
      <c r="F7346" s="502" t="s">
        <v>878</v>
      </c>
      <c r="G7346" s="100">
        <v>116496414</v>
      </c>
      <c r="H7346" s="100">
        <v>116496414</v>
      </c>
      <c r="I7346" s="422" t="s">
        <v>684</v>
      </c>
      <c r="J7346" s="484"/>
      <c r="K7346" s="548"/>
      <c r="L7346" s="548"/>
      <c r="M7346" s="548"/>
      <c r="N7346" s="552"/>
    </row>
    <row r="7347" spans="1:16">
      <c r="A7347" s="499">
        <v>45744</v>
      </c>
      <c r="B7347" s="499">
        <v>45744</v>
      </c>
      <c r="C7347" s="500" t="s">
        <v>173</v>
      </c>
      <c r="D7347" s="500" t="s">
        <v>764</v>
      </c>
      <c r="E7347" s="501">
        <v>-139069782.88999999</v>
      </c>
      <c r="F7347" s="502" t="s">
        <v>878</v>
      </c>
      <c r="G7347" s="100">
        <v>116494680</v>
      </c>
      <c r="H7347" s="100"/>
      <c r="I7347" s="422" t="s">
        <v>633</v>
      </c>
      <c r="J7347" s="484"/>
      <c r="K7347" s="548"/>
      <c r="L7347" s="548"/>
      <c r="M7347" s="548"/>
      <c r="N7347" s="552"/>
    </row>
    <row r="7348" spans="1:16">
      <c r="A7348" s="499">
        <v>45744</v>
      </c>
      <c r="B7348" s="499">
        <v>45747</v>
      </c>
      <c r="C7348" s="500" t="s">
        <v>173</v>
      </c>
      <c r="D7348" s="500" t="s">
        <v>764</v>
      </c>
      <c r="E7348" s="501">
        <v>139252669.18000001</v>
      </c>
      <c r="F7348" s="502" t="s">
        <v>878</v>
      </c>
      <c r="G7348" s="100">
        <v>116494680</v>
      </c>
      <c r="H7348" s="100">
        <v>116494680</v>
      </c>
      <c r="I7348" s="422" t="s">
        <v>633</v>
      </c>
      <c r="J7348" s="484"/>
      <c r="K7348" s="548"/>
      <c r="L7348" s="548"/>
      <c r="M7348" s="548"/>
      <c r="N7348" s="552"/>
    </row>
    <row r="7349" spans="1:16">
      <c r="A7349" s="499">
        <v>45744</v>
      </c>
      <c r="B7349" s="499">
        <v>45744</v>
      </c>
      <c r="C7349" s="500" t="s">
        <v>173</v>
      </c>
      <c r="D7349" s="500" t="s">
        <v>763</v>
      </c>
      <c r="E7349" s="501">
        <v>-4973280458.8000002</v>
      </c>
      <c r="F7349" s="502" t="s">
        <v>878</v>
      </c>
      <c r="G7349" s="100">
        <v>116493769</v>
      </c>
      <c r="H7349" s="530"/>
      <c r="I7349" s="422" t="s">
        <v>1018</v>
      </c>
      <c r="J7349" s="484"/>
      <c r="K7349" s="548"/>
      <c r="L7349" s="548"/>
      <c r="M7349" s="548"/>
      <c r="N7349" s="552"/>
    </row>
    <row r="7350" spans="1:16">
      <c r="A7350" s="499">
        <v>45744</v>
      </c>
      <c r="B7350" s="499">
        <v>45744</v>
      </c>
      <c r="C7350" s="500" t="s">
        <v>173</v>
      </c>
      <c r="D7350" s="500" t="s">
        <v>763</v>
      </c>
      <c r="E7350" s="501">
        <v>-27008485.510000002</v>
      </c>
      <c r="F7350" s="502" t="s">
        <v>878</v>
      </c>
      <c r="G7350" s="100">
        <v>116494091</v>
      </c>
      <c r="H7350" s="530"/>
      <c r="I7350" s="422" t="s">
        <v>658</v>
      </c>
      <c r="J7350" s="484"/>
      <c r="K7350" s="548"/>
      <c r="L7350" s="548"/>
      <c r="M7350" s="548"/>
      <c r="N7350" s="552"/>
    </row>
    <row r="7351" spans="1:16">
      <c r="A7351" s="499">
        <v>45744</v>
      </c>
      <c r="B7351" s="499">
        <v>45747</v>
      </c>
      <c r="C7351" s="500" t="s">
        <v>173</v>
      </c>
      <c r="D7351" s="500" t="s">
        <v>763</v>
      </c>
      <c r="E7351" s="501">
        <v>4979636719.9899998</v>
      </c>
      <c r="F7351" s="502" t="s">
        <v>878</v>
      </c>
      <c r="G7351" s="100">
        <v>116493769</v>
      </c>
      <c r="H7351" s="100">
        <v>116493769</v>
      </c>
      <c r="I7351" s="422" t="s">
        <v>1018</v>
      </c>
      <c r="J7351" s="484"/>
      <c r="K7351" s="548"/>
      <c r="L7351" s="548"/>
      <c r="M7351" s="548"/>
      <c r="N7351" s="552"/>
    </row>
    <row r="7352" spans="1:16">
      <c r="A7352" s="499">
        <v>45744</v>
      </c>
      <c r="B7352" s="499">
        <v>45747</v>
      </c>
      <c r="C7352" s="500" t="s">
        <v>173</v>
      </c>
      <c r="D7352" s="500" t="s">
        <v>763</v>
      </c>
      <c r="E7352" s="501">
        <v>27043448.77</v>
      </c>
      <c r="F7352" s="502" t="s">
        <v>878</v>
      </c>
      <c r="G7352" s="100">
        <v>116494091</v>
      </c>
      <c r="H7352" s="100">
        <v>116494091</v>
      </c>
      <c r="I7352" s="422" t="s">
        <v>658</v>
      </c>
      <c r="J7352" s="484"/>
      <c r="K7352" s="548"/>
      <c r="L7352" s="548"/>
      <c r="M7352" s="548"/>
      <c r="N7352" s="552"/>
      <c r="P7352" s="539">
        <v>-1</v>
      </c>
    </row>
    <row r="7353" spans="1:16">
      <c r="A7353" s="499">
        <v>45747</v>
      </c>
      <c r="B7353" s="499">
        <v>45747</v>
      </c>
      <c r="C7353" s="500" t="s">
        <v>173</v>
      </c>
      <c r="D7353" s="500" t="s">
        <v>762</v>
      </c>
      <c r="E7353" s="501">
        <v>-1580716473.1199999</v>
      </c>
      <c r="F7353" s="502" t="s">
        <v>878</v>
      </c>
      <c r="G7353" s="100">
        <v>116518838</v>
      </c>
      <c r="H7353" s="530"/>
      <c r="I7353" s="422" t="s">
        <v>719</v>
      </c>
      <c r="J7353" s="484"/>
      <c r="K7353" s="548"/>
      <c r="L7353" s="548"/>
      <c r="M7353" s="548"/>
      <c r="N7353" s="552"/>
    </row>
    <row r="7354" spans="1:16">
      <c r="A7354" s="499">
        <v>45747</v>
      </c>
      <c r="B7354" s="499">
        <v>45747</v>
      </c>
      <c r="C7354" s="500" t="s">
        <v>173</v>
      </c>
      <c r="D7354" s="500" t="s">
        <v>762</v>
      </c>
      <c r="E7354" s="501">
        <v>-1222515903.96</v>
      </c>
      <c r="F7354" s="502" t="s">
        <v>878</v>
      </c>
      <c r="G7354" s="100">
        <v>116518841</v>
      </c>
      <c r="H7354" s="530"/>
      <c r="I7354" s="422" t="s">
        <v>696</v>
      </c>
      <c r="J7354" s="484"/>
      <c r="K7354" s="548"/>
      <c r="L7354" s="548"/>
      <c r="M7354" s="548"/>
      <c r="N7354" s="552"/>
    </row>
    <row r="7355" spans="1:16">
      <c r="A7355" s="499">
        <v>45747</v>
      </c>
      <c r="B7355" s="499">
        <v>45747</v>
      </c>
      <c r="C7355" s="500" t="s">
        <v>173</v>
      </c>
      <c r="D7355" s="500" t="s">
        <v>762</v>
      </c>
      <c r="E7355" s="501">
        <v>-1629345999.5999999</v>
      </c>
      <c r="F7355" s="502" t="s">
        <v>878</v>
      </c>
      <c r="G7355" s="100">
        <v>116518844</v>
      </c>
      <c r="H7355" s="530"/>
      <c r="I7355" s="422" t="s">
        <v>674</v>
      </c>
      <c r="J7355" s="484"/>
      <c r="K7355" s="548"/>
      <c r="L7355" s="548"/>
      <c r="M7355" s="548"/>
      <c r="N7355" s="552"/>
    </row>
    <row r="7356" spans="1:16">
      <c r="A7356" s="499">
        <v>45747</v>
      </c>
      <c r="B7356" s="499">
        <v>45747</v>
      </c>
      <c r="C7356" s="500" t="s">
        <v>173</v>
      </c>
      <c r="D7356" s="500" t="s">
        <v>762</v>
      </c>
      <c r="E7356" s="501">
        <v>-373009674.35000002</v>
      </c>
      <c r="F7356" s="502" t="s">
        <v>878</v>
      </c>
      <c r="G7356" s="100">
        <v>116518847</v>
      </c>
      <c r="H7356" s="530"/>
      <c r="I7356" s="422" t="s">
        <v>1018</v>
      </c>
      <c r="J7356" s="484"/>
      <c r="K7356" s="548"/>
      <c r="L7356" s="548"/>
      <c r="M7356" s="548"/>
      <c r="N7356" s="552"/>
    </row>
    <row r="7357" spans="1:16">
      <c r="A7357" s="499">
        <v>45747</v>
      </c>
      <c r="B7357" s="499">
        <v>45747</v>
      </c>
      <c r="C7357" s="500" t="s">
        <v>173</v>
      </c>
      <c r="D7357" s="500" t="s">
        <v>762</v>
      </c>
      <c r="E7357" s="501">
        <v>-26000674.350000001</v>
      </c>
      <c r="F7357" s="502" t="s">
        <v>878</v>
      </c>
      <c r="G7357" s="100">
        <v>116520991</v>
      </c>
      <c r="H7357" s="530"/>
      <c r="I7357" s="422" t="s">
        <v>1018</v>
      </c>
      <c r="J7357" s="484"/>
      <c r="K7357" s="548"/>
      <c r="L7357" s="548"/>
      <c r="M7357" s="548"/>
      <c r="N7357" s="552"/>
    </row>
    <row r="7358" spans="1:16">
      <c r="A7358" s="499">
        <v>45747</v>
      </c>
      <c r="B7358" s="499">
        <v>45748</v>
      </c>
      <c r="C7358" s="500" t="s">
        <v>173</v>
      </c>
      <c r="D7358" s="500" t="s">
        <v>762</v>
      </c>
      <c r="E7358" s="501">
        <v>1581425023.8699999</v>
      </c>
      <c r="F7358" s="502" t="s">
        <v>878</v>
      </c>
      <c r="G7358" s="100">
        <v>116518838</v>
      </c>
      <c r="H7358" s="484">
        <v>116518838</v>
      </c>
      <c r="I7358" s="422" t="s">
        <v>719</v>
      </c>
      <c r="J7358" s="484"/>
      <c r="K7358" s="548"/>
      <c r="L7358" s="548"/>
      <c r="M7358" s="548"/>
      <c r="N7358" s="552"/>
    </row>
    <row r="7359" spans="1:16">
      <c r="A7359" s="499">
        <v>45747</v>
      </c>
      <c r="B7359" s="499">
        <v>45748</v>
      </c>
      <c r="C7359" s="500" t="s">
        <v>173</v>
      </c>
      <c r="D7359" s="500" t="s">
        <v>762</v>
      </c>
      <c r="E7359" s="501">
        <v>1223063859.03</v>
      </c>
      <c r="F7359" s="502" t="s">
        <v>878</v>
      </c>
      <c r="G7359" s="100">
        <v>116518841</v>
      </c>
      <c r="H7359" s="484">
        <v>116518841</v>
      </c>
      <c r="I7359" s="422" t="s">
        <v>696</v>
      </c>
      <c r="J7359" s="484"/>
      <c r="K7359" s="548"/>
      <c r="L7359" s="548"/>
      <c r="M7359" s="548"/>
      <c r="N7359" s="552"/>
    </row>
    <row r="7360" spans="1:16">
      <c r="A7360" s="499">
        <v>45747</v>
      </c>
      <c r="B7360" s="499">
        <v>45748</v>
      </c>
      <c r="C7360" s="500" t="s">
        <v>173</v>
      </c>
      <c r="D7360" s="500" t="s">
        <v>762</v>
      </c>
      <c r="E7360" s="501">
        <v>1630076303.72</v>
      </c>
      <c r="F7360" s="502" t="s">
        <v>878</v>
      </c>
      <c r="G7360" s="100">
        <v>116518844</v>
      </c>
      <c r="H7360" s="484">
        <v>116518844</v>
      </c>
      <c r="I7360" s="422" t="s">
        <v>674</v>
      </c>
      <c r="J7360" s="484"/>
      <c r="K7360" s="548"/>
      <c r="L7360" s="548"/>
      <c r="M7360" s="548"/>
      <c r="N7360" s="552"/>
    </row>
    <row r="7361" spans="1:14">
      <c r="A7361" s="499">
        <v>45747</v>
      </c>
      <c r="B7361" s="499">
        <v>45748</v>
      </c>
      <c r="C7361" s="500" t="s">
        <v>173</v>
      </c>
      <c r="D7361" s="500" t="s">
        <v>762</v>
      </c>
      <c r="E7361" s="501">
        <v>373176864.44</v>
      </c>
      <c r="F7361" s="502" t="s">
        <v>878</v>
      </c>
      <c r="G7361" s="100">
        <v>116518847</v>
      </c>
      <c r="H7361" s="484">
        <v>116518847</v>
      </c>
      <c r="I7361" s="422" t="s">
        <v>1018</v>
      </c>
      <c r="J7361" s="484"/>
      <c r="K7361" s="548"/>
      <c r="L7361" s="548"/>
      <c r="M7361" s="548"/>
      <c r="N7361" s="552"/>
    </row>
    <row r="7362" spans="1:14">
      <c r="A7362" s="499">
        <v>45747</v>
      </c>
      <c r="B7362" s="499">
        <v>45748</v>
      </c>
      <c r="C7362" s="500" t="s">
        <v>173</v>
      </c>
      <c r="D7362" s="500" t="s">
        <v>762</v>
      </c>
      <c r="E7362" s="501">
        <v>26012443.039999999</v>
      </c>
      <c r="F7362" s="502" t="s">
        <v>878</v>
      </c>
      <c r="G7362" s="100">
        <v>116520991</v>
      </c>
      <c r="H7362" s="484">
        <v>116520991</v>
      </c>
      <c r="I7362" s="422" t="s">
        <v>1018</v>
      </c>
      <c r="J7362" s="484"/>
      <c r="K7362" s="548"/>
      <c r="L7362" s="548"/>
      <c r="M7362" s="548"/>
      <c r="N7362" s="552"/>
    </row>
    <row r="7363" spans="1:14">
      <c r="A7363" s="499">
        <v>45747</v>
      </c>
      <c r="B7363" s="499">
        <v>45747</v>
      </c>
      <c r="C7363" s="500" t="s">
        <v>173</v>
      </c>
      <c r="D7363" s="500" t="s">
        <v>761</v>
      </c>
      <c r="E7363" s="501">
        <v>-616094134.28999996</v>
      </c>
      <c r="F7363" s="502" t="s">
        <v>878</v>
      </c>
      <c r="G7363" s="100">
        <v>116516559</v>
      </c>
      <c r="H7363" s="530"/>
      <c r="I7363" s="422" t="s">
        <v>635</v>
      </c>
      <c r="J7363" s="484"/>
      <c r="K7363" s="548"/>
      <c r="L7363" s="548"/>
      <c r="M7363" s="548"/>
      <c r="N7363" s="552"/>
    </row>
    <row r="7364" spans="1:14">
      <c r="A7364" s="499">
        <v>45747</v>
      </c>
      <c r="B7364" s="499">
        <v>45747</v>
      </c>
      <c r="C7364" s="500" t="s">
        <v>173</v>
      </c>
      <c r="D7364" s="500" t="s">
        <v>761</v>
      </c>
      <c r="E7364" s="501">
        <v>-3000458.45</v>
      </c>
      <c r="F7364" s="502" t="s">
        <v>878</v>
      </c>
      <c r="G7364" s="100">
        <v>116516767</v>
      </c>
      <c r="H7364" s="530"/>
      <c r="I7364" s="422" t="s">
        <v>635</v>
      </c>
      <c r="J7364" s="484"/>
      <c r="K7364" s="548"/>
      <c r="L7364" s="548"/>
      <c r="M7364" s="548"/>
      <c r="N7364" s="552"/>
    </row>
    <row r="7365" spans="1:14">
      <c r="A7365" s="499">
        <v>45747</v>
      </c>
      <c r="B7365" s="499">
        <v>45747</v>
      </c>
      <c r="C7365" s="500" t="s">
        <v>173</v>
      </c>
      <c r="D7365" s="500" t="s">
        <v>761</v>
      </c>
      <c r="E7365" s="501">
        <v>-151062876.40000001</v>
      </c>
      <c r="F7365" s="502" t="s">
        <v>878</v>
      </c>
      <c r="G7365" s="100">
        <v>116517216</v>
      </c>
      <c r="H7365" s="530"/>
      <c r="I7365" s="422" t="s">
        <v>604</v>
      </c>
      <c r="J7365" s="484"/>
      <c r="K7365" s="548"/>
      <c r="L7365" s="548"/>
      <c r="M7365" s="548"/>
      <c r="N7365" s="552"/>
    </row>
    <row r="7366" spans="1:14">
      <c r="A7366" s="499">
        <v>45747</v>
      </c>
      <c r="B7366" s="499">
        <v>45747</v>
      </c>
      <c r="C7366" s="500" t="s">
        <v>173</v>
      </c>
      <c r="D7366" s="500" t="s">
        <v>761</v>
      </c>
      <c r="E7366" s="501">
        <v>-1000025.94</v>
      </c>
      <c r="F7366" s="502" t="s">
        <v>878</v>
      </c>
      <c r="G7366" s="100">
        <v>116518323</v>
      </c>
      <c r="H7366" s="530"/>
      <c r="I7366" s="422" t="s">
        <v>1018</v>
      </c>
      <c r="J7366" s="484"/>
      <c r="K7366" s="548"/>
      <c r="L7366" s="548"/>
      <c r="M7366" s="548"/>
      <c r="N7366" s="552"/>
    </row>
    <row r="7367" spans="1:14">
      <c r="A7367" s="499">
        <v>45747</v>
      </c>
      <c r="B7367" s="499">
        <v>45748</v>
      </c>
      <c r="C7367" s="500" t="s">
        <v>173</v>
      </c>
      <c r="D7367" s="500" t="s">
        <v>761</v>
      </c>
      <c r="E7367" s="501">
        <v>616369266.74000001</v>
      </c>
      <c r="F7367" s="502" t="s">
        <v>878</v>
      </c>
      <c r="G7367" s="100">
        <v>116516559</v>
      </c>
      <c r="H7367" s="484">
        <v>116516559</v>
      </c>
      <c r="I7367" s="422" t="s">
        <v>635</v>
      </c>
      <c r="J7367" s="484"/>
      <c r="K7367" s="548"/>
      <c r="L7367" s="548"/>
      <c r="M7367" s="548"/>
      <c r="N7367" s="552"/>
    </row>
    <row r="7368" spans="1:14">
      <c r="A7368" s="499">
        <v>45747</v>
      </c>
      <c r="B7368" s="499">
        <v>45748</v>
      </c>
      <c r="C7368" s="500" t="s">
        <v>173</v>
      </c>
      <c r="D7368" s="500" t="s">
        <v>761</v>
      </c>
      <c r="E7368" s="501">
        <v>3001798.38</v>
      </c>
      <c r="F7368" s="502" t="s">
        <v>878</v>
      </c>
      <c r="G7368" s="100">
        <v>116516767</v>
      </c>
      <c r="H7368" s="484">
        <v>116516767</v>
      </c>
      <c r="I7368" s="422" t="s">
        <v>635</v>
      </c>
      <c r="J7368" s="484"/>
      <c r="K7368" s="548"/>
      <c r="L7368" s="548"/>
      <c r="M7368" s="548"/>
      <c r="N7368" s="552"/>
    </row>
    <row r="7369" spans="1:14">
      <c r="A7369" s="499">
        <v>45747</v>
      </c>
      <c r="B7369" s="499">
        <v>45748</v>
      </c>
      <c r="C7369" s="500" t="s">
        <v>173</v>
      </c>
      <c r="D7369" s="500" t="s">
        <v>761</v>
      </c>
      <c r="E7369" s="501">
        <v>151130751.22999999</v>
      </c>
      <c r="F7369" s="502" t="s">
        <v>878</v>
      </c>
      <c r="G7369" s="100">
        <v>116517216</v>
      </c>
      <c r="H7369" s="484">
        <v>116517216</v>
      </c>
      <c r="I7369" s="422" t="s">
        <v>604</v>
      </c>
      <c r="J7369" s="484"/>
      <c r="K7369" s="548"/>
      <c r="L7369" s="548"/>
      <c r="M7369" s="548"/>
      <c r="N7369" s="552"/>
    </row>
    <row r="7370" spans="1:14">
      <c r="A7370" s="499">
        <v>45747</v>
      </c>
      <c r="B7370" s="499">
        <v>45748</v>
      </c>
      <c r="C7370" s="500" t="s">
        <v>173</v>
      </c>
      <c r="D7370" s="500" t="s">
        <v>761</v>
      </c>
      <c r="E7370" s="501">
        <v>1000478.01</v>
      </c>
      <c r="F7370" s="502" t="s">
        <v>878</v>
      </c>
      <c r="G7370" s="100">
        <v>116518323</v>
      </c>
      <c r="H7370" s="484">
        <v>116518323</v>
      </c>
      <c r="I7370" s="422" t="s">
        <v>1018</v>
      </c>
      <c r="J7370" s="484"/>
      <c r="K7370" s="548"/>
      <c r="L7370" s="548"/>
      <c r="M7370" s="548"/>
      <c r="N7370" s="552"/>
    </row>
    <row r="7371" spans="1:14">
      <c r="A7371" s="499">
        <v>45747</v>
      </c>
      <c r="B7371" s="499">
        <v>45747</v>
      </c>
      <c r="C7371" s="500" t="s">
        <v>173</v>
      </c>
      <c r="D7371" s="500" t="s">
        <v>759</v>
      </c>
      <c r="E7371" s="501">
        <v>-2363061288.1900001</v>
      </c>
      <c r="F7371" s="502" t="s">
        <v>878</v>
      </c>
      <c r="G7371" s="100">
        <v>116520933</v>
      </c>
      <c r="H7371" s="530"/>
      <c r="I7371" s="422" t="s">
        <v>1018</v>
      </c>
      <c r="J7371" s="484"/>
      <c r="K7371" s="548"/>
      <c r="L7371" s="548"/>
      <c r="M7371" s="548"/>
      <c r="N7371" s="552"/>
    </row>
    <row r="7372" spans="1:14">
      <c r="A7372" s="499">
        <v>45747</v>
      </c>
      <c r="B7372" s="499">
        <v>45747</v>
      </c>
      <c r="C7372" s="500" t="s">
        <v>173</v>
      </c>
      <c r="D7372" s="500" t="s">
        <v>759</v>
      </c>
      <c r="E7372" s="501">
        <v>-12000311.24</v>
      </c>
      <c r="F7372" s="502" t="s">
        <v>878</v>
      </c>
      <c r="G7372" s="100">
        <v>116520949</v>
      </c>
      <c r="H7372" s="530"/>
      <c r="I7372" s="422" t="s">
        <v>1018</v>
      </c>
      <c r="J7372" s="484"/>
      <c r="K7372" s="548"/>
      <c r="L7372" s="548"/>
      <c r="M7372" s="548"/>
      <c r="N7372" s="552"/>
    </row>
    <row r="7373" spans="1:14">
      <c r="A7373" s="499">
        <v>45747</v>
      </c>
      <c r="B7373" s="499">
        <v>45747</v>
      </c>
      <c r="C7373" s="500" t="s">
        <v>173</v>
      </c>
      <c r="D7373" s="500" t="s">
        <v>759</v>
      </c>
      <c r="E7373" s="501">
        <v>-410143444.64999998</v>
      </c>
      <c r="F7373" s="502" t="s">
        <v>878</v>
      </c>
      <c r="G7373" s="100">
        <v>116524070</v>
      </c>
      <c r="H7373" s="530"/>
      <c r="I7373" s="422" t="s">
        <v>653</v>
      </c>
      <c r="J7373" s="484"/>
      <c r="K7373" s="548"/>
      <c r="L7373" s="548"/>
      <c r="M7373" s="548"/>
      <c r="N7373" s="552"/>
    </row>
    <row r="7374" spans="1:14">
      <c r="A7374" s="499">
        <v>45747</v>
      </c>
      <c r="B7374" s="499">
        <v>45748</v>
      </c>
      <c r="C7374" s="500" t="s">
        <v>173</v>
      </c>
      <c r="D7374" s="500" t="s">
        <v>759</v>
      </c>
      <c r="E7374" s="501">
        <v>2364130382.4400001</v>
      </c>
      <c r="F7374" s="502" t="s">
        <v>878</v>
      </c>
      <c r="G7374" s="100">
        <v>116520933</v>
      </c>
      <c r="H7374" s="484">
        <v>116520933</v>
      </c>
      <c r="I7374" s="422" t="s">
        <v>1018</v>
      </c>
      <c r="J7374" s="484"/>
      <c r="K7374" s="548"/>
      <c r="L7374" s="548"/>
      <c r="M7374" s="548"/>
      <c r="N7374" s="552"/>
    </row>
    <row r="7375" spans="1:14">
      <c r="A7375" s="499">
        <v>45747</v>
      </c>
      <c r="B7375" s="499">
        <v>45748</v>
      </c>
      <c r="C7375" s="500" t="s">
        <v>173</v>
      </c>
      <c r="D7375" s="500" t="s">
        <v>759</v>
      </c>
      <c r="E7375" s="501">
        <v>12005740.41</v>
      </c>
      <c r="F7375" s="502" t="s">
        <v>878</v>
      </c>
      <c r="G7375" s="100">
        <v>116520949</v>
      </c>
      <c r="H7375" s="484">
        <v>116520949</v>
      </c>
      <c r="I7375" s="422" t="s">
        <v>1018</v>
      </c>
      <c r="J7375" s="484"/>
      <c r="K7375" s="548"/>
      <c r="L7375" s="548"/>
      <c r="M7375" s="548"/>
      <c r="N7375" s="552"/>
    </row>
    <row r="7376" spans="1:14">
      <c r="A7376" s="499">
        <v>45747</v>
      </c>
      <c r="B7376" s="499">
        <v>45748</v>
      </c>
      <c r="C7376" s="500" t="s">
        <v>173</v>
      </c>
      <c r="D7376" s="500" t="s">
        <v>759</v>
      </c>
      <c r="E7376" s="501">
        <v>410330770.07999998</v>
      </c>
      <c r="F7376" s="502" t="s">
        <v>878</v>
      </c>
      <c r="G7376" s="100">
        <v>116524070</v>
      </c>
      <c r="H7376" s="484">
        <v>116524070</v>
      </c>
      <c r="I7376" s="422" t="s">
        <v>653</v>
      </c>
      <c r="J7376" s="484"/>
      <c r="K7376" s="548"/>
      <c r="L7376" s="548"/>
      <c r="M7376" s="548"/>
      <c r="N7376" s="552"/>
    </row>
    <row r="7377" spans="1:14">
      <c r="A7377" s="499">
        <v>45747</v>
      </c>
      <c r="B7377" s="499">
        <v>45747</v>
      </c>
      <c r="C7377" s="500" t="s">
        <v>173</v>
      </c>
      <c r="D7377" s="500" t="s">
        <v>760</v>
      </c>
      <c r="E7377" s="501">
        <v>-249052887.59999999</v>
      </c>
      <c r="F7377" s="502" t="s">
        <v>878</v>
      </c>
      <c r="G7377" s="100">
        <v>116524747</v>
      </c>
      <c r="H7377" s="530"/>
      <c r="I7377" s="422" t="s">
        <v>674</v>
      </c>
      <c r="J7377" s="484"/>
      <c r="K7377" s="548"/>
      <c r="L7377" s="548"/>
      <c r="M7377" s="548"/>
      <c r="N7377" s="552"/>
    </row>
    <row r="7378" spans="1:14">
      <c r="A7378" s="499">
        <v>45747</v>
      </c>
      <c r="B7378" s="499">
        <v>45748</v>
      </c>
      <c r="C7378" s="500" t="s">
        <v>173</v>
      </c>
      <c r="D7378" s="500" t="s">
        <v>760</v>
      </c>
      <c r="E7378" s="501">
        <v>249168884.84</v>
      </c>
      <c r="F7378" s="502" t="s">
        <v>878</v>
      </c>
      <c r="G7378" s="100">
        <v>116524747</v>
      </c>
      <c r="H7378" s="100">
        <v>116524747</v>
      </c>
      <c r="I7378" s="422" t="s">
        <v>674</v>
      </c>
      <c r="J7378" s="484"/>
      <c r="K7378" s="548"/>
      <c r="L7378" s="548"/>
      <c r="M7378" s="548"/>
      <c r="N7378" s="552"/>
    </row>
    <row r="7379" spans="1:14">
      <c r="A7379" s="499">
        <v>45747</v>
      </c>
      <c r="B7379" s="499">
        <v>45747</v>
      </c>
      <c r="C7379" s="500" t="s">
        <v>173</v>
      </c>
      <c r="D7379" s="500" t="s">
        <v>764</v>
      </c>
      <c r="E7379" s="501">
        <v>-300063720</v>
      </c>
      <c r="F7379" s="502" t="s">
        <v>878</v>
      </c>
      <c r="G7379" s="100">
        <v>116524865</v>
      </c>
      <c r="H7379" s="530"/>
      <c r="I7379" s="422" t="s">
        <v>674</v>
      </c>
      <c r="J7379" s="484"/>
      <c r="K7379" s="548"/>
      <c r="L7379" s="548"/>
      <c r="M7379" s="548"/>
      <c r="N7379" s="552"/>
    </row>
    <row r="7380" spans="1:14">
      <c r="A7380" s="499">
        <v>45747</v>
      </c>
      <c r="B7380" s="499">
        <v>45747</v>
      </c>
      <c r="C7380" s="500" t="s">
        <v>173</v>
      </c>
      <c r="D7380" s="500" t="s">
        <v>764</v>
      </c>
      <c r="E7380" s="501">
        <v>-8000654.8799999999</v>
      </c>
      <c r="F7380" s="502" t="s">
        <v>878</v>
      </c>
      <c r="G7380" s="100">
        <v>116524886</v>
      </c>
      <c r="H7380" s="530"/>
      <c r="I7380" s="422" t="s">
        <v>686</v>
      </c>
      <c r="J7380" s="484"/>
      <c r="K7380" s="548"/>
      <c r="L7380" s="548"/>
      <c r="M7380" s="548"/>
      <c r="N7380" s="552"/>
    </row>
    <row r="7381" spans="1:14">
      <c r="A7381" s="499">
        <v>45747</v>
      </c>
      <c r="B7381" s="499">
        <v>45748</v>
      </c>
      <c r="C7381" s="500" t="s">
        <v>173</v>
      </c>
      <c r="D7381" s="500" t="s">
        <v>764</v>
      </c>
      <c r="E7381" s="501">
        <v>300203475.70999998</v>
      </c>
      <c r="F7381" s="502" t="s">
        <v>878</v>
      </c>
      <c r="G7381" s="100">
        <v>116524865</v>
      </c>
      <c r="H7381" s="100">
        <v>116524865</v>
      </c>
      <c r="I7381" s="422" t="s">
        <v>674</v>
      </c>
      <c r="J7381" s="484"/>
      <c r="K7381" s="548"/>
      <c r="L7381" s="548"/>
      <c r="M7381" s="548"/>
      <c r="N7381" s="552"/>
    </row>
    <row r="7382" spans="1:14">
      <c r="A7382" s="499">
        <v>45747</v>
      </c>
      <c r="B7382" s="499">
        <v>45748</v>
      </c>
      <c r="C7382" s="500" t="s">
        <v>173</v>
      </c>
      <c r="D7382" s="500" t="s">
        <v>764</v>
      </c>
      <c r="E7382" s="501">
        <v>8004403.1299999999</v>
      </c>
      <c r="F7382" s="502" t="s">
        <v>878</v>
      </c>
      <c r="G7382" s="100">
        <v>116524886</v>
      </c>
      <c r="H7382" s="100">
        <v>116524886</v>
      </c>
      <c r="I7382" s="422" t="s">
        <v>686</v>
      </c>
      <c r="J7382" s="484"/>
      <c r="K7382" s="548"/>
      <c r="L7382" s="548"/>
      <c r="M7382" s="548"/>
      <c r="N7382" s="552"/>
    </row>
    <row r="7383" spans="1:14">
      <c r="A7383" s="499">
        <v>45747</v>
      </c>
      <c r="B7383" s="499">
        <v>45747</v>
      </c>
      <c r="C7383" s="500" t="s">
        <v>173</v>
      </c>
      <c r="D7383" s="500" t="s">
        <v>763</v>
      </c>
      <c r="E7383" s="501">
        <v>-4984784176.4399996</v>
      </c>
      <c r="F7383" s="502" t="s">
        <v>878</v>
      </c>
      <c r="G7383" s="100">
        <v>116514237</v>
      </c>
      <c r="H7383" s="530"/>
      <c r="I7383" s="422" t="s">
        <v>684</v>
      </c>
      <c r="J7383" s="484"/>
      <c r="K7383" s="548"/>
      <c r="L7383" s="548"/>
      <c r="M7383" s="548"/>
      <c r="N7383" s="552"/>
    </row>
    <row r="7384" spans="1:14">
      <c r="A7384" s="499">
        <v>45747</v>
      </c>
      <c r="B7384" s="499">
        <v>45747</v>
      </c>
      <c r="C7384" s="500" t="s">
        <v>173</v>
      </c>
      <c r="D7384" s="500" t="s">
        <v>763</v>
      </c>
      <c r="E7384" s="501">
        <v>-22000570.609999999</v>
      </c>
      <c r="F7384" s="502" t="s">
        <v>878</v>
      </c>
      <c r="G7384" s="100">
        <v>116514866</v>
      </c>
      <c r="H7384" s="530"/>
      <c r="I7384" s="422" t="s">
        <v>1018</v>
      </c>
      <c r="J7384" s="484"/>
      <c r="K7384" s="548"/>
      <c r="L7384" s="548"/>
      <c r="M7384" s="548"/>
      <c r="N7384" s="552"/>
    </row>
    <row r="7385" spans="1:14">
      <c r="A7385" s="499">
        <v>45747</v>
      </c>
      <c r="B7385" s="499">
        <v>45747</v>
      </c>
      <c r="C7385" s="500" t="s">
        <v>173</v>
      </c>
      <c r="D7385" s="500" t="s">
        <v>763</v>
      </c>
      <c r="E7385" s="501">
        <v>-207087391.25999999</v>
      </c>
      <c r="F7385" s="502" t="s">
        <v>878</v>
      </c>
      <c r="G7385" s="100">
        <v>116518378</v>
      </c>
      <c r="H7385" s="530"/>
      <c r="I7385" s="422" t="s">
        <v>696</v>
      </c>
      <c r="J7385" s="484"/>
      <c r="K7385" s="548"/>
      <c r="L7385" s="548"/>
      <c r="M7385" s="548"/>
      <c r="N7385" s="552"/>
    </row>
    <row r="7386" spans="1:14">
      <c r="A7386" s="499">
        <v>45747</v>
      </c>
      <c r="B7386" s="499">
        <v>45747</v>
      </c>
      <c r="C7386" s="500" t="s">
        <v>173</v>
      </c>
      <c r="D7386" s="500" t="s">
        <v>763</v>
      </c>
      <c r="E7386" s="501">
        <v>-1000422.18</v>
      </c>
      <c r="F7386" s="502" t="s">
        <v>878</v>
      </c>
      <c r="G7386" s="100">
        <v>116518419</v>
      </c>
      <c r="H7386" s="530"/>
      <c r="I7386" s="422" t="s">
        <v>696</v>
      </c>
      <c r="J7386" s="484"/>
      <c r="K7386" s="548"/>
      <c r="L7386" s="548"/>
      <c r="M7386" s="548"/>
      <c r="N7386" s="552"/>
    </row>
    <row r="7387" spans="1:14">
      <c r="A7387" s="499">
        <v>45747</v>
      </c>
      <c r="B7387" s="499">
        <v>45748</v>
      </c>
      <c r="C7387" s="500" t="s">
        <v>173</v>
      </c>
      <c r="D7387" s="500" t="s">
        <v>763</v>
      </c>
      <c r="E7387" s="501">
        <v>4986948870.1800003</v>
      </c>
      <c r="F7387" s="502" t="s">
        <v>878</v>
      </c>
      <c r="G7387" s="100">
        <v>116514237</v>
      </c>
      <c r="H7387" s="484">
        <v>116514237</v>
      </c>
      <c r="I7387" s="422" t="s">
        <v>684</v>
      </c>
      <c r="J7387" s="484"/>
      <c r="K7387" s="548"/>
      <c r="L7387" s="548"/>
      <c r="M7387" s="548"/>
      <c r="N7387" s="552"/>
    </row>
    <row r="7388" spans="1:14">
      <c r="A7388" s="499">
        <v>45747</v>
      </c>
      <c r="B7388" s="499">
        <v>45748</v>
      </c>
      <c r="C7388" s="500" t="s">
        <v>173</v>
      </c>
      <c r="D7388" s="500" t="s">
        <v>763</v>
      </c>
      <c r="E7388" s="501">
        <v>22010125.190000001</v>
      </c>
      <c r="F7388" s="502" t="s">
        <v>878</v>
      </c>
      <c r="G7388" s="100">
        <v>116514866</v>
      </c>
      <c r="H7388" s="484">
        <v>116514866</v>
      </c>
      <c r="I7388" s="422" t="s">
        <v>1018</v>
      </c>
      <c r="J7388" s="484"/>
      <c r="K7388" s="548"/>
      <c r="L7388" s="548"/>
      <c r="M7388" s="548"/>
      <c r="N7388" s="552"/>
    </row>
    <row r="7389" spans="1:14">
      <c r="A7389" s="499">
        <v>45747</v>
      </c>
      <c r="B7389" s="499">
        <v>45748</v>
      </c>
      <c r="C7389" s="500" t="s">
        <v>173</v>
      </c>
      <c r="D7389" s="500" t="s">
        <v>763</v>
      </c>
      <c r="E7389" s="501">
        <v>207180159.03999999</v>
      </c>
      <c r="F7389" s="502" t="s">
        <v>878</v>
      </c>
      <c r="G7389" s="100">
        <v>116518378</v>
      </c>
      <c r="H7389" s="484">
        <v>116518378</v>
      </c>
      <c r="I7389" s="422" t="s">
        <v>696</v>
      </c>
      <c r="J7389" s="484"/>
      <c r="K7389" s="548"/>
      <c r="L7389" s="548"/>
      <c r="M7389" s="548"/>
      <c r="N7389" s="552"/>
    </row>
    <row r="7390" spans="1:14">
      <c r="A7390" s="499">
        <v>45747</v>
      </c>
      <c r="B7390" s="499">
        <v>45748</v>
      </c>
      <c r="C7390" s="500" t="s">
        <v>173</v>
      </c>
      <c r="D7390" s="500" t="s">
        <v>763</v>
      </c>
      <c r="E7390" s="501">
        <v>1000870.33</v>
      </c>
      <c r="F7390" s="502" t="s">
        <v>878</v>
      </c>
      <c r="G7390" s="100">
        <v>116518419</v>
      </c>
      <c r="H7390" s="484">
        <v>116518419</v>
      </c>
      <c r="I7390" s="422" t="s">
        <v>696</v>
      </c>
      <c r="J7390" s="484"/>
      <c r="K7390" s="548"/>
      <c r="L7390" s="548"/>
      <c r="M7390" s="548"/>
      <c r="N7390" s="552"/>
    </row>
    <row r="7391" spans="1:14">
      <c r="A7391" s="499">
        <v>45747</v>
      </c>
      <c r="B7391" s="499">
        <v>45747</v>
      </c>
      <c r="C7391" s="500" t="s">
        <v>173</v>
      </c>
      <c r="D7391" s="500" t="s">
        <v>759</v>
      </c>
      <c r="E7391" s="501">
        <v>412500000</v>
      </c>
      <c r="F7391" s="502" t="s">
        <v>381</v>
      </c>
      <c r="G7391" s="100" t="s">
        <v>95</v>
      </c>
      <c r="H7391" s="530"/>
      <c r="I7391" s="422"/>
      <c r="K7391" s="548"/>
      <c r="L7391" s="548"/>
      <c r="M7391" s="548"/>
      <c r="N7391" s="552"/>
    </row>
    <row r="7392" spans="1:14">
      <c r="A7392" s="499">
        <v>45747</v>
      </c>
      <c r="B7392" s="499">
        <v>45747</v>
      </c>
      <c r="C7392" s="500" t="s">
        <v>173</v>
      </c>
      <c r="D7392" s="500" t="s">
        <v>762</v>
      </c>
      <c r="E7392" s="501">
        <v>396825000</v>
      </c>
      <c r="F7392" s="502" t="s">
        <v>381</v>
      </c>
      <c r="G7392" s="100" t="s">
        <v>95</v>
      </c>
      <c r="H7392" s="530"/>
      <c r="I7392" s="422"/>
      <c r="K7392" s="548"/>
      <c r="L7392" s="548"/>
      <c r="M7392" s="548"/>
      <c r="N7392" s="552"/>
    </row>
    <row r="7393" spans="1:25">
      <c r="A7393" s="499">
        <v>45747</v>
      </c>
      <c r="B7393" s="499">
        <v>45747</v>
      </c>
      <c r="C7393" s="500" t="s">
        <v>173</v>
      </c>
      <c r="D7393" s="500" t="s">
        <v>760</v>
      </c>
      <c r="E7393" s="501">
        <v>249150000</v>
      </c>
      <c r="F7393" s="502" t="s">
        <v>381</v>
      </c>
      <c r="G7393" s="100" t="s">
        <v>95</v>
      </c>
      <c r="H7393" s="530"/>
      <c r="I7393" s="422"/>
      <c r="K7393" s="548"/>
      <c r="L7393" s="548"/>
      <c r="M7393" s="548"/>
      <c r="N7393" s="552"/>
    </row>
    <row r="7394" spans="1:25">
      <c r="A7394" s="499">
        <v>45747</v>
      </c>
      <c r="B7394" s="499">
        <v>45747</v>
      </c>
      <c r="C7394" s="500" t="s">
        <v>173</v>
      </c>
      <c r="D7394" s="500" t="s">
        <v>761</v>
      </c>
      <c r="E7394" s="501">
        <v>151618500</v>
      </c>
      <c r="F7394" s="502" t="s">
        <v>381</v>
      </c>
      <c r="G7394" s="100" t="s">
        <v>95</v>
      </c>
      <c r="H7394" s="530"/>
      <c r="I7394" s="422"/>
      <c r="K7394" s="548"/>
      <c r="L7394" s="548"/>
      <c r="M7394" s="548"/>
      <c r="N7394" s="552"/>
    </row>
    <row r="7395" spans="1:25">
      <c r="A7395" s="499">
        <v>45747</v>
      </c>
      <c r="B7395" s="499">
        <v>45747</v>
      </c>
      <c r="C7395" s="500" t="s">
        <v>173</v>
      </c>
      <c r="D7395" s="500" t="s">
        <v>763</v>
      </c>
      <c r="E7395" s="501">
        <v>208725000</v>
      </c>
      <c r="F7395" s="502" t="s">
        <v>381</v>
      </c>
      <c r="G7395" s="100" t="s">
        <v>95</v>
      </c>
      <c r="H7395" s="530"/>
      <c r="I7395" s="422"/>
      <c r="K7395" s="548"/>
      <c r="L7395" s="548"/>
      <c r="M7395" s="548"/>
      <c r="N7395" s="552"/>
    </row>
    <row r="7396" spans="1:25">
      <c r="A7396" s="499">
        <v>45747</v>
      </c>
      <c r="B7396" s="499">
        <v>45747</v>
      </c>
      <c r="C7396" s="500" t="s">
        <v>173</v>
      </c>
      <c r="D7396" s="500" t="s">
        <v>764</v>
      </c>
      <c r="E7396" s="501">
        <v>168300000</v>
      </c>
      <c r="F7396" s="502" t="s">
        <v>381</v>
      </c>
      <c r="G7396" s="100" t="s">
        <v>95</v>
      </c>
      <c r="H7396" s="530"/>
      <c r="I7396" s="422"/>
      <c r="K7396" s="548"/>
      <c r="L7396" s="548"/>
      <c r="M7396" s="548"/>
      <c r="N7396" s="552"/>
    </row>
    <row r="7397" spans="1:25">
      <c r="A7397" s="499">
        <v>45748</v>
      </c>
      <c r="B7397" s="499">
        <v>45748</v>
      </c>
      <c r="C7397" s="500" t="s">
        <v>173</v>
      </c>
      <c r="D7397" s="500" t="s">
        <v>762</v>
      </c>
      <c r="E7397" s="501">
        <v>-3501924212.27</v>
      </c>
      <c r="F7397" s="502" t="s">
        <v>878</v>
      </c>
      <c r="G7397" s="100">
        <v>116541106</v>
      </c>
      <c r="H7397" s="530"/>
      <c r="I7397" s="422" t="s">
        <v>689</v>
      </c>
      <c r="J7397" s="484"/>
      <c r="K7397" s="548"/>
      <c r="L7397" s="548"/>
      <c r="M7397" s="548"/>
      <c r="N7397" s="552"/>
    </row>
    <row r="7398" spans="1:25">
      <c r="A7398" s="499">
        <v>45748</v>
      </c>
      <c r="B7398" s="499">
        <v>45748</v>
      </c>
      <c r="C7398" s="500" t="s">
        <v>173</v>
      </c>
      <c r="D7398" s="500" t="s">
        <v>762</v>
      </c>
      <c r="E7398" s="501">
        <v>-1313337856.3</v>
      </c>
      <c r="F7398" s="502" t="s">
        <v>878</v>
      </c>
      <c r="G7398" s="100">
        <v>116541109</v>
      </c>
      <c r="H7398" s="530"/>
      <c r="I7398" s="422" t="s">
        <v>633</v>
      </c>
      <c r="J7398" s="484"/>
      <c r="K7398" s="548"/>
      <c r="L7398" s="548"/>
      <c r="M7398" s="548"/>
      <c r="N7398" s="552"/>
    </row>
    <row r="7399" spans="1:25">
      <c r="A7399" s="499">
        <v>45748</v>
      </c>
      <c r="B7399" s="499">
        <v>45748</v>
      </c>
      <c r="C7399" s="500" t="s">
        <v>173</v>
      </c>
      <c r="D7399" s="500" t="s">
        <v>762</v>
      </c>
      <c r="E7399" s="501">
        <v>-24013831.82</v>
      </c>
      <c r="F7399" s="502" t="s">
        <v>878</v>
      </c>
      <c r="G7399" s="100">
        <v>116541403</v>
      </c>
      <c r="H7399" s="530"/>
      <c r="I7399" s="422" t="s">
        <v>685</v>
      </c>
      <c r="J7399" s="484"/>
      <c r="K7399" s="548"/>
      <c r="L7399" s="548"/>
      <c r="M7399" s="548"/>
      <c r="N7399" s="552"/>
    </row>
    <row r="7400" spans="1:25">
      <c r="A7400" s="499">
        <v>45748</v>
      </c>
      <c r="B7400" s="499">
        <v>45749</v>
      </c>
      <c r="C7400" s="500" t="s">
        <v>173</v>
      </c>
      <c r="D7400" s="500" t="s">
        <v>762</v>
      </c>
      <c r="E7400" s="501">
        <v>3503555255.0599999</v>
      </c>
      <c r="F7400" s="502" t="s">
        <v>878</v>
      </c>
      <c r="G7400" s="100">
        <v>116541106</v>
      </c>
      <c r="H7400" s="484">
        <v>116541106</v>
      </c>
      <c r="I7400" s="422" t="s">
        <v>689</v>
      </c>
      <c r="J7400" s="484"/>
      <c r="K7400" s="548"/>
      <c r="L7400" s="548"/>
      <c r="M7400" s="548"/>
      <c r="N7400" s="552"/>
    </row>
    <row r="7401" spans="1:25">
      <c r="A7401" s="499">
        <v>45748</v>
      </c>
      <c r="B7401" s="499">
        <v>45749</v>
      </c>
      <c r="C7401" s="500" t="s">
        <v>173</v>
      </c>
      <c r="D7401" s="500" t="s">
        <v>762</v>
      </c>
      <c r="E7401" s="501">
        <v>1313949547.9000001</v>
      </c>
      <c r="F7401" s="502" t="s">
        <v>878</v>
      </c>
      <c r="G7401" s="100">
        <v>116541109</v>
      </c>
      <c r="H7401" s="484">
        <v>116541109</v>
      </c>
      <c r="I7401" s="422" t="s">
        <v>633</v>
      </c>
      <c r="J7401" s="484"/>
      <c r="K7401" s="548"/>
      <c r="L7401" s="548"/>
      <c r="M7401" s="548"/>
      <c r="N7401" s="552"/>
    </row>
    <row r="7402" spans="1:25">
      <c r="A7402" s="499">
        <v>45748</v>
      </c>
      <c r="B7402" s="499">
        <v>45749</v>
      </c>
      <c r="C7402" s="500" t="s">
        <v>173</v>
      </c>
      <c r="D7402" s="500" t="s">
        <v>762</v>
      </c>
      <c r="E7402" s="501">
        <v>24025016.41</v>
      </c>
      <c r="F7402" s="502" t="s">
        <v>878</v>
      </c>
      <c r="G7402" s="100">
        <v>116541403</v>
      </c>
      <c r="H7402" s="484">
        <v>116541403</v>
      </c>
      <c r="I7402" s="422" t="s">
        <v>685</v>
      </c>
      <c r="J7402" s="484"/>
      <c r="K7402" s="548"/>
      <c r="L7402" s="548"/>
      <c r="M7402" s="548"/>
      <c r="N7402" s="552"/>
    </row>
    <row r="7403" spans="1:25">
      <c r="A7403" s="499">
        <v>45748</v>
      </c>
      <c r="B7403" s="499">
        <v>45748</v>
      </c>
      <c r="C7403" s="500" t="s">
        <v>173</v>
      </c>
      <c r="D7403" s="500" t="s">
        <v>761</v>
      </c>
      <c r="E7403" s="501">
        <v>-767321045.49000001</v>
      </c>
      <c r="F7403" s="502" t="s">
        <v>878</v>
      </c>
      <c r="G7403" s="100">
        <v>116539591</v>
      </c>
      <c r="H7403" s="530"/>
      <c r="I7403" s="422" t="s">
        <v>716</v>
      </c>
      <c r="J7403" s="484"/>
      <c r="K7403" s="548"/>
      <c r="L7403" s="548"/>
      <c r="M7403" s="548"/>
      <c r="N7403" s="552"/>
    </row>
    <row r="7404" spans="1:25">
      <c r="A7404" s="499">
        <v>45748</v>
      </c>
      <c r="B7404" s="499">
        <v>45748</v>
      </c>
      <c r="C7404" s="500" t="s">
        <v>173</v>
      </c>
      <c r="D7404" s="500" t="s">
        <v>761</v>
      </c>
      <c r="E7404" s="501">
        <v>-4002359.16</v>
      </c>
      <c r="F7404" s="502" t="s">
        <v>878</v>
      </c>
      <c r="G7404" s="100">
        <v>116539737</v>
      </c>
      <c r="H7404" s="530"/>
      <c r="I7404" s="422" t="s">
        <v>653</v>
      </c>
      <c r="J7404" s="484"/>
      <c r="K7404" s="548"/>
      <c r="L7404" s="548"/>
      <c r="M7404" s="548"/>
      <c r="N7404" s="552"/>
    </row>
    <row r="7405" spans="1:25">
      <c r="A7405" s="499">
        <v>45748</v>
      </c>
      <c r="B7405" s="499">
        <v>45749</v>
      </c>
      <c r="C7405" s="500" t="s">
        <v>173</v>
      </c>
      <c r="D7405" s="500" t="s">
        <v>761</v>
      </c>
      <c r="E7405" s="501">
        <v>767676325.64999998</v>
      </c>
      <c r="F7405" s="502" t="s">
        <v>878</v>
      </c>
      <c r="G7405" s="100">
        <v>116539591</v>
      </c>
      <c r="H7405" s="100">
        <v>116539591</v>
      </c>
      <c r="I7405" s="422" t="s">
        <v>716</v>
      </c>
      <c r="J7405" s="484"/>
      <c r="K7405" s="548"/>
      <c r="L7405" s="548"/>
      <c r="M7405" s="548"/>
      <c r="N7405" s="552"/>
    </row>
    <row r="7406" spans="1:25">
      <c r="A7406" s="499">
        <v>45748</v>
      </c>
      <c r="B7406" s="499">
        <v>45749</v>
      </c>
      <c r="C7406" s="500" t="s">
        <v>173</v>
      </c>
      <c r="D7406" s="500" t="s">
        <v>761</v>
      </c>
      <c r="E7406" s="501">
        <v>4004184.89</v>
      </c>
      <c r="F7406" s="502" t="s">
        <v>878</v>
      </c>
      <c r="G7406" s="100">
        <v>116539737</v>
      </c>
      <c r="H7406" s="100">
        <v>116539737</v>
      </c>
      <c r="I7406" s="422" t="s">
        <v>653</v>
      </c>
      <c r="J7406" s="484"/>
      <c r="K7406" s="548"/>
      <c r="L7406" s="548"/>
      <c r="M7406" s="548"/>
      <c r="N7406" s="552"/>
    </row>
    <row r="7407" spans="1:25" ht="15">
      <c r="A7407" s="499">
        <v>45748</v>
      </c>
      <c r="B7407" s="499">
        <v>45750</v>
      </c>
      <c r="C7407" s="500" t="s">
        <v>173</v>
      </c>
      <c r="D7407" s="500" t="s">
        <v>761</v>
      </c>
      <c r="E7407" s="501">
        <v>-260647240</v>
      </c>
      <c r="F7407" s="502" t="s">
        <v>906</v>
      </c>
      <c r="G7407" s="100" t="s">
        <v>503</v>
      </c>
      <c r="H7407" s="530"/>
      <c r="I7407" s="526" t="s">
        <v>671</v>
      </c>
      <c r="K7407" s="548">
        <v>116554381</v>
      </c>
      <c r="L7407" s="549">
        <v>99.361000000000004</v>
      </c>
      <c r="M7407" s="549">
        <f>E7407*(-1)/(N7407*O7407)*100</f>
        <v>100.636</v>
      </c>
      <c r="N7407" s="549">
        <v>259000</v>
      </c>
      <c r="O7407" s="539">
        <v>1000</v>
      </c>
      <c r="T7407" s="554">
        <v>15.5</v>
      </c>
      <c r="U7407" s="554">
        <v>0</v>
      </c>
      <c r="V7407" s="554">
        <v>26064.720000000001</v>
      </c>
      <c r="W7407" s="550">
        <f>VLOOKUP(G7407,Справочник!A:C,3,0)</f>
        <v>0.153</v>
      </c>
      <c r="X7407" s="539" t="str">
        <f>VLOOKUP(G7407,Справочник!A:G,7,0)</f>
        <v>Министерство финансов Республики Казахстан</v>
      </c>
      <c r="Y7407" s="551">
        <f>VLOOKUP(G7407,Справочник!A:B,2,0)</f>
        <v>47180</v>
      </c>
    </row>
    <row r="7408" spans="1:25">
      <c r="A7408" s="499">
        <v>45748</v>
      </c>
      <c r="B7408" s="499">
        <v>45748</v>
      </c>
      <c r="C7408" s="500" t="s">
        <v>173</v>
      </c>
      <c r="D7408" s="500" t="s">
        <v>759</v>
      </c>
      <c r="E7408" s="501">
        <v>-2774822579.77</v>
      </c>
      <c r="F7408" s="502" t="s">
        <v>878</v>
      </c>
      <c r="G7408" s="100">
        <v>116537480</v>
      </c>
      <c r="H7408" s="530"/>
      <c r="I7408" s="422" t="s">
        <v>674</v>
      </c>
      <c r="J7408" s="484"/>
      <c r="K7408" s="548"/>
      <c r="L7408" s="548"/>
      <c r="M7408" s="548"/>
      <c r="N7408" s="552"/>
    </row>
    <row r="7409" spans="1:14">
      <c r="A7409" s="499">
        <v>45748</v>
      </c>
      <c r="B7409" s="499">
        <v>45748</v>
      </c>
      <c r="C7409" s="500" t="s">
        <v>173</v>
      </c>
      <c r="D7409" s="500" t="s">
        <v>759</v>
      </c>
      <c r="E7409" s="501">
        <v>-14005860.02</v>
      </c>
      <c r="F7409" s="502" t="s">
        <v>878</v>
      </c>
      <c r="G7409" s="100">
        <v>116537517</v>
      </c>
      <c r="H7409" s="530"/>
      <c r="I7409" s="422" t="s">
        <v>716</v>
      </c>
      <c r="J7409" s="484"/>
      <c r="K7409" s="548"/>
      <c r="L7409" s="548"/>
      <c r="M7409" s="548"/>
      <c r="N7409" s="552"/>
    </row>
    <row r="7410" spans="1:14">
      <c r="A7410" s="499">
        <v>45748</v>
      </c>
      <c r="B7410" s="499">
        <v>45749</v>
      </c>
      <c r="C7410" s="500" t="s">
        <v>173</v>
      </c>
      <c r="D7410" s="500" t="s">
        <v>759</v>
      </c>
      <c r="E7410" s="501">
        <v>2776076951.6199999</v>
      </c>
      <c r="F7410" s="502" t="s">
        <v>878</v>
      </c>
      <c r="G7410" s="100">
        <v>116537480</v>
      </c>
      <c r="H7410" s="100">
        <v>116537480</v>
      </c>
      <c r="I7410" s="422" t="s">
        <v>674</v>
      </c>
      <c r="J7410" s="484"/>
      <c r="K7410" s="548"/>
      <c r="L7410" s="548"/>
      <c r="M7410" s="548"/>
      <c r="N7410" s="552"/>
    </row>
    <row r="7411" spans="1:14">
      <c r="A7411" s="499">
        <v>45748</v>
      </c>
      <c r="B7411" s="499">
        <v>45749</v>
      </c>
      <c r="C7411" s="500" t="s">
        <v>173</v>
      </c>
      <c r="D7411" s="500" t="s">
        <v>759</v>
      </c>
      <c r="E7411" s="501">
        <v>14012095.51</v>
      </c>
      <c r="F7411" s="502" t="s">
        <v>878</v>
      </c>
      <c r="G7411" s="100">
        <v>116537517</v>
      </c>
      <c r="H7411" s="100">
        <v>116537517</v>
      </c>
      <c r="I7411" s="422" t="s">
        <v>716</v>
      </c>
      <c r="J7411" s="484"/>
      <c r="K7411" s="548"/>
      <c r="L7411" s="548"/>
      <c r="M7411" s="548"/>
      <c r="N7411" s="552"/>
    </row>
    <row r="7412" spans="1:14">
      <c r="A7412" s="499">
        <v>45748</v>
      </c>
      <c r="B7412" s="499">
        <v>45748</v>
      </c>
      <c r="C7412" s="500" t="s">
        <v>173</v>
      </c>
      <c r="D7412" s="500" t="s">
        <v>760</v>
      </c>
      <c r="E7412" s="501">
        <v>-50032084</v>
      </c>
      <c r="F7412" s="502" t="s">
        <v>878</v>
      </c>
      <c r="G7412" s="100">
        <v>116537639</v>
      </c>
      <c r="H7412" s="530"/>
      <c r="I7412" s="422" t="s">
        <v>658</v>
      </c>
      <c r="J7412" s="484"/>
      <c r="K7412" s="548"/>
      <c r="L7412" s="548"/>
      <c r="M7412" s="548"/>
      <c r="N7412" s="552"/>
    </row>
    <row r="7413" spans="1:14">
      <c r="A7413" s="499">
        <v>45748</v>
      </c>
      <c r="B7413" s="499">
        <v>45748</v>
      </c>
      <c r="C7413" s="500" t="s">
        <v>173</v>
      </c>
      <c r="D7413" s="500" t="s">
        <v>760</v>
      </c>
      <c r="E7413" s="501">
        <v>-25011848.050000001</v>
      </c>
      <c r="F7413" s="502" t="s">
        <v>878</v>
      </c>
      <c r="G7413" s="100">
        <v>116537642</v>
      </c>
      <c r="H7413" s="530"/>
      <c r="I7413" s="422" t="s">
        <v>656</v>
      </c>
      <c r="J7413" s="484"/>
      <c r="K7413" s="548"/>
      <c r="L7413" s="548"/>
      <c r="M7413" s="548"/>
      <c r="N7413" s="552"/>
    </row>
    <row r="7414" spans="1:14">
      <c r="A7414" s="499">
        <v>45748</v>
      </c>
      <c r="B7414" s="499">
        <v>45748</v>
      </c>
      <c r="C7414" s="500" t="s">
        <v>173</v>
      </c>
      <c r="D7414" s="500" t="s">
        <v>760</v>
      </c>
      <c r="E7414" s="501">
        <v>-90014841.540000007</v>
      </c>
      <c r="F7414" s="502" t="s">
        <v>878</v>
      </c>
      <c r="G7414" s="100">
        <v>116537645</v>
      </c>
      <c r="H7414" s="530"/>
      <c r="I7414" s="422" t="s">
        <v>590</v>
      </c>
      <c r="J7414" s="484"/>
      <c r="K7414" s="548"/>
      <c r="L7414" s="548"/>
      <c r="M7414" s="548"/>
      <c r="N7414" s="552"/>
    </row>
    <row r="7415" spans="1:14">
      <c r="A7415" s="499">
        <v>45748</v>
      </c>
      <c r="B7415" s="499">
        <v>45748</v>
      </c>
      <c r="C7415" s="500" t="s">
        <v>173</v>
      </c>
      <c r="D7415" s="500" t="s">
        <v>760</v>
      </c>
      <c r="E7415" s="501">
        <v>-82059444.590000004</v>
      </c>
      <c r="F7415" s="502" t="s">
        <v>878</v>
      </c>
      <c r="G7415" s="100">
        <v>116537648</v>
      </c>
      <c r="H7415" s="530"/>
      <c r="I7415" s="422" t="s">
        <v>687</v>
      </c>
      <c r="J7415" s="484"/>
      <c r="K7415" s="548"/>
      <c r="L7415" s="548"/>
      <c r="M7415" s="548"/>
      <c r="N7415" s="552"/>
    </row>
    <row r="7416" spans="1:14">
      <c r="A7416" s="499">
        <v>45748</v>
      </c>
      <c r="B7416" s="499">
        <v>45749</v>
      </c>
      <c r="C7416" s="500" t="s">
        <v>173</v>
      </c>
      <c r="D7416" s="500" t="s">
        <v>760</v>
      </c>
      <c r="E7416" s="501">
        <v>50054838.32</v>
      </c>
      <c r="F7416" s="502" t="s">
        <v>878</v>
      </c>
      <c r="G7416" s="100">
        <v>116537639</v>
      </c>
      <c r="H7416" s="484">
        <v>116537639</v>
      </c>
      <c r="I7416" s="422" t="s">
        <v>658</v>
      </c>
      <c r="J7416" s="484"/>
      <c r="K7416" s="548"/>
      <c r="L7416" s="548"/>
      <c r="M7416" s="548"/>
      <c r="N7416" s="552"/>
    </row>
    <row r="7417" spans="1:14">
      <c r="A7417" s="499">
        <v>45748</v>
      </c>
      <c r="B7417" s="499">
        <v>45749</v>
      </c>
      <c r="C7417" s="500" t="s">
        <v>173</v>
      </c>
      <c r="D7417" s="500" t="s">
        <v>760</v>
      </c>
      <c r="E7417" s="501">
        <v>25023223.300000001</v>
      </c>
      <c r="F7417" s="502" t="s">
        <v>878</v>
      </c>
      <c r="G7417" s="100">
        <v>116537642</v>
      </c>
      <c r="H7417" s="484">
        <v>116537642</v>
      </c>
      <c r="I7417" s="422" t="s">
        <v>656</v>
      </c>
      <c r="J7417" s="484"/>
      <c r="K7417" s="548"/>
      <c r="L7417" s="548"/>
      <c r="M7417" s="548"/>
      <c r="N7417" s="552"/>
    </row>
    <row r="7418" spans="1:14">
      <c r="A7418" s="499">
        <v>45748</v>
      </c>
      <c r="B7418" s="499">
        <v>45749</v>
      </c>
      <c r="C7418" s="500" t="s">
        <v>173</v>
      </c>
      <c r="D7418" s="500" t="s">
        <v>760</v>
      </c>
      <c r="E7418" s="501">
        <v>90055779.799999997</v>
      </c>
      <c r="F7418" s="502" t="s">
        <v>878</v>
      </c>
      <c r="G7418" s="100">
        <v>116537645</v>
      </c>
      <c r="H7418" s="484">
        <v>116537645</v>
      </c>
      <c r="I7418" s="422" t="s">
        <v>590</v>
      </c>
      <c r="J7418" s="484"/>
      <c r="K7418" s="548"/>
      <c r="L7418" s="548"/>
      <c r="M7418" s="548"/>
      <c r="N7418" s="552"/>
    </row>
    <row r="7419" spans="1:14">
      <c r="A7419" s="499">
        <v>45748</v>
      </c>
      <c r="B7419" s="499">
        <v>45749</v>
      </c>
      <c r="C7419" s="500" t="s">
        <v>173</v>
      </c>
      <c r="D7419" s="500" t="s">
        <v>760</v>
      </c>
      <c r="E7419" s="501">
        <v>82096764.780000001</v>
      </c>
      <c r="F7419" s="502" t="s">
        <v>878</v>
      </c>
      <c r="G7419" s="100">
        <v>116537648</v>
      </c>
      <c r="H7419" s="484">
        <v>116537648</v>
      </c>
      <c r="I7419" s="422" t="s">
        <v>687</v>
      </c>
      <c r="J7419" s="484"/>
      <c r="K7419" s="548"/>
      <c r="L7419" s="548"/>
      <c r="M7419" s="548"/>
      <c r="N7419" s="552"/>
    </row>
    <row r="7420" spans="1:14">
      <c r="A7420" s="499">
        <v>45748</v>
      </c>
      <c r="B7420" s="499">
        <v>45748</v>
      </c>
      <c r="C7420" s="500" t="s">
        <v>173</v>
      </c>
      <c r="D7420" s="500" t="s">
        <v>764</v>
      </c>
      <c r="E7420" s="501">
        <v>-300049471.80000001</v>
      </c>
      <c r="F7420" s="502" t="s">
        <v>878</v>
      </c>
      <c r="G7420" s="100">
        <v>116539797</v>
      </c>
      <c r="H7420" s="530"/>
      <c r="I7420" s="422" t="s">
        <v>590</v>
      </c>
      <c r="J7420" s="484"/>
      <c r="K7420" s="548"/>
      <c r="L7420" s="548"/>
      <c r="M7420" s="548"/>
      <c r="N7420" s="552"/>
    </row>
    <row r="7421" spans="1:14">
      <c r="A7421" s="499">
        <v>45748</v>
      </c>
      <c r="B7421" s="499">
        <v>45748</v>
      </c>
      <c r="C7421" s="500" t="s">
        <v>173</v>
      </c>
      <c r="D7421" s="500" t="s">
        <v>764</v>
      </c>
      <c r="E7421" s="501">
        <v>-8006662.7199999997</v>
      </c>
      <c r="F7421" s="502" t="s">
        <v>878</v>
      </c>
      <c r="G7421" s="100">
        <v>116539856</v>
      </c>
      <c r="H7421" s="530"/>
      <c r="I7421" s="422" t="s">
        <v>670</v>
      </c>
      <c r="J7421" s="484"/>
      <c r="K7421" s="548"/>
      <c r="L7421" s="548"/>
      <c r="M7421" s="548"/>
      <c r="N7421" s="552"/>
    </row>
    <row r="7422" spans="1:14">
      <c r="A7422" s="499">
        <v>45748</v>
      </c>
      <c r="B7422" s="499">
        <v>45749</v>
      </c>
      <c r="C7422" s="500" t="s">
        <v>173</v>
      </c>
      <c r="D7422" s="500" t="s">
        <v>764</v>
      </c>
      <c r="E7422" s="501">
        <v>300187576.75999999</v>
      </c>
      <c r="F7422" s="502" t="s">
        <v>878</v>
      </c>
      <c r="G7422" s="100">
        <v>116539797</v>
      </c>
      <c r="H7422" s="100">
        <v>116539797</v>
      </c>
      <c r="I7422" s="422" t="s">
        <v>590</v>
      </c>
      <c r="J7422" s="484"/>
      <c r="K7422" s="548"/>
      <c r="L7422" s="548"/>
      <c r="M7422" s="548"/>
      <c r="N7422" s="552"/>
    </row>
    <row r="7423" spans="1:14">
      <c r="A7423" s="499">
        <v>45748</v>
      </c>
      <c r="B7423" s="499">
        <v>45749</v>
      </c>
      <c r="C7423" s="500" t="s">
        <v>173</v>
      </c>
      <c r="D7423" s="500" t="s">
        <v>764</v>
      </c>
      <c r="E7423" s="501">
        <v>8010347.9800000004</v>
      </c>
      <c r="F7423" s="502" t="s">
        <v>878</v>
      </c>
      <c r="G7423" s="100">
        <v>116539856</v>
      </c>
      <c r="H7423" s="100">
        <v>116539856</v>
      </c>
      <c r="I7423" s="422" t="s">
        <v>670</v>
      </c>
      <c r="J7423" s="484"/>
      <c r="K7423" s="548"/>
      <c r="L7423" s="548"/>
      <c r="M7423" s="548"/>
      <c r="N7423" s="552"/>
    </row>
    <row r="7424" spans="1:14">
      <c r="A7424" s="499">
        <v>45748</v>
      </c>
      <c r="B7424" s="499">
        <v>45748</v>
      </c>
      <c r="C7424" s="500" t="s">
        <v>173</v>
      </c>
      <c r="D7424" s="500" t="s">
        <v>763</v>
      </c>
      <c r="E7424" s="501">
        <v>-5192024930.3999996</v>
      </c>
      <c r="F7424" s="502" t="s">
        <v>878</v>
      </c>
      <c r="G7424" s="100">
        <v>116536351</v>
      </c>
      <c r="H7424" s="530"/>
      <c r="I7424" s="422" t="s">
        <v>684</v>
      </c>
      <c r="J7424" s="484"/>
      <c r="K7424" s="548"/>
      <c r="L7424" s="548"/>
      <c r="M7424" s="548"/>
      <c r="N7424" s="552"/>
    </row>
    <row r="7425" spans="1:15">
      <c r="A7425" s="499">
        <v>45748</v>
      </c>
      <c r="B7425" s="499">
        <v>45748</v>
      </c>
      <c r="C7425" s="500" t="s">
        <v>173</v>
      </c>
      <c r="D7425" s="500" t="s">
        <v>763</v>
      </c>
      <c r="E7425" s="501">
        <v>-25009754</v>
      </c>
      <c r="F7425" s="502" t="s">
        <v>878</v>
      </c>
      <c r="G7425" s="100">
        <v>116536390</v>
      </c>
      <c r="H7425" s="530"/>
      <c r="I7425" s="422" t="s">
        <v>684</v>
      </c>
      <c r="J7425" s="484"/>
      <c r="K7425" s="548"/>
      <c r="L7425" s="548"/>
      <c r="M7425" s="548"/>
      <c r="N7425" s="552"/>
    </row>
    <row r="7426" spans="1:15">
      <c r="A7426" s="499">
        <v>45748</v>
      </c>
      <c r="B7426" s="499">
        <v>45749</v>
      </c>
      <c r="C7426" s="500" t="s">
        <v>173</v>
      </c>
      <c r="D7426" s="500" t="s">
        <v>763</v>
      </c>
      <c r="E7426" s="501">
        <v>5194265338.9399996</v>
      </c>
      <c r="F7426" s="502" t="s">
        <v>878</v>
      </c>
      <c r="G7426" s="100">
        <v>116536351</v>
      </c>
      <c r="H7426" s="100">
        <v>116536351</v>
      </c>
      <c r="I7426" s="422" t="s">
        <v>684</v>
      </c>
      <c r="J7426" s="484"/>
      <c r="K7426" s="548"/>
      <c r="L7426" s="548"/>
      <c r="M7426" s="548"/>
      <c r="N7426" s="552"/>
    </row>
    <row r="7427" spans="1:15">
      <c r="A7427" s="499">
        <v>45748</v>
      </c>
      <c r="B7427" s="499">
        <v>45749</v>
      </c>
      <c r="C7427" s="500" t="s">
        <v>173</v>
      </c>
      <c r="D7427" s="500" t="s">
        <v>763</v>
      </c>
      <c r="E7427" s="501">
        <v>25020545.949999999</v>
      </c>
      <c r="F7427" s="502" t="s">
        <v>878</v>
      </c>
      <c r="G7427" s="100">
        <v>116536390</v>
      </c>
      <c r="H7427" s="100">
        <v>116536390</v>
      </c>
      <c r="I7427" s="422" t="s">
        <v>684</v>
      </c>
      <c r="J7427" s="484"/>
      <c r="K7427" s="548"/>
      <c r="L7427" s="548"/>
      <c r="M7427" s="548"/>
      <c r="N7427" s="552"/>
    </row>
    <row r="7428" spans="1:15">
      <c r="A7428" s="499">
        <v>45749</v>
      </c>
      <c r="B7428" s="499">
        <v>45749</v>
      </c>
      <c r="C7428" s="500" t="s">
        <v>173</v>
      </c>
      <c r="D7428" s="500" t="s">
        <v>762</v>
      </c>
      <c r="E7428" s="501">
        <v>-4815438099.0299997</v>
      </c>
      <c r="F7428" s="502" t="s">
        <v>878</v>
      </c>
      <c r="G7428" s="100">
        <v>116560272</v>
      </c>
      <c r="H7428" s="530"/>
      <c r="I7428" s="422" t="s">
        <v>1018</v>
      </c>
      <c r="J7428" s="484"/>
      <c r="K7428" s="548"/>
      <c r="L7428" s="548"/>
      <c r="M7428" s="548"/>
      <c r="N7428" s="552"/>
    </row>
    <row r="7429" spans="1:15">
      <c r="A7429" s="499">
        <v>45749</v>
      </c>
      <c r="B7429" s="499">
        <v>45749</v>
      </c>
      <c r="C7429" s="500" t="s">
        <v>173</v>
      </c>
      <c r="D7429" s="500" t="s">
        <v>762</v>
      </c>
      <c r="E7429" s="501">
        <v>-25002274.66</v>
      </c>
      <c r="F7429" s="502" t="s">
        <v>878</v>
      </c>
      <c r="G7429" s="100">
        <v>116560303</v>
      </c>
      <c r="H7429" s="530"/>
      <c r="I7429" s="422" t="s">
        <v>1018</v>
      </c>
      <c r="J7429" s="484"/>
      <c r="K7429" s="548"/>
      <c r="L7429" s="548"/>
      <c r="M7429" s="548"/>
      <c r="N7429" s="552"/>
    </row>
    <row r="7430" spans="1:15">
      <c r="A7430" s="499">
        <v>45749</v>
      </c>
      <c r="B7430" s="499">
        <v>45750</v>
      </c>
      <c r="C7430" s="500" t="s">
        <v>173</v>
      </c>
      <c r="D7430" s="500" t="s">
        <v>762</v>
      </c>
      <c r="E7430" s="501">
        <v>4817608845.75</v>
      </c>
      <c r="F7430" s="502" t="s">
        <v>878</v>
      </c>
      <c r="G7430" s="100">
        <v>116560272</v>
      </c>
      <c r="H7430" s="484">
        <v>116560272</v>
      </c>
      <c r="I7430" s="422" t="s">
        <v>1018</v>
      </c>
      <c r="J7430" s="484"/>
      <c r="K7430" s="548"/>
      <c r="L7430" s="548"/>
      <c r="M7430" s="548"/>
      <c r="N7430" s="552"/>
    </row>
    <row r="7431" spans="1:15">
      <c r="A7431" s="499">
        <v>45749</v>
      </c>
      <c r="B7431" s="499">
        <v>45750</v>
      </c>
      <c r="C7431" s="500" t="s">
        <v>173</v>
      </c>
      <c r="D7431" s="500" t="s">
        <v>762</v>
      </c>
      <c r="E7431" s="501">
        <v>25013545.41</v>
      </c>
      <c r="F7431" s="502" t="s">
        <v>878</v>
      </c>
      <c r="G7431" s="100">
        <v>116560303</v>
      </c>
      <c r="H7431" s="484">
        <v>116560303</v>
      </c>
      <c r="I7431" s="422" t="s">
        <v>1018</v>
      </c>
      <c r="J7431" s="484"/>
      <c r="K7431" s="548"/>
      <c r="L7431" s="548"/>
      <c r="M7431" s="548"/>
      <c r="N7431" s="552"/>
      <c r="O7431" s="539">
        <v>-1</v>
      </c>
    </row>
    <row r="7432" spans="1:15">
      <c r="A7432" s="499">
        <v>45749</v>
      </c>
      <c r="B7432" s="499">
        <v>45749</v>
      </c>
      <c r="C7432" s="500" t="s">
        <v>173</v>
      </c>
      <c r="D7432" s="500" t="s">
        <v>761</v>
      </c>
      <c r="E7432" s="501">
        <v>-4000449.43</v>
      </c>
      <c r="F7432" s="502" t="s">
        <v>878</v>
      </c>
      <c r="G7432" s="100">
        <v>116558295</v>
      </c>
      <c r="H7432" s="530"/>
      <c r="I7432" s="422" t="s">
        <v>654</v>
      </c>
      <c r="J7432" s="484"/>
      <c r="K7432" s="548"/>
      <c r="L7432" s="548"/>
      <c r="M7432" s="548"/>
      <c r="N7432" s="552"/>
    </row>
    <row r="7433" spans="1:15">
      <c r="A7433" s="499">
        <v>45749</v>
      </c>
      <c r="B7433" s="499">
        <v>45749</v>
      </c>
      <c r="C7433" s="500" t="s">
        <v>173</v>
      </c>
      <c r="D7433" s="500" t="s">
        <v>761</v>
      </c>
      <c r="E7433" s="501">
        <v>-11004184.619999999</v>
      </c>
      <c r="F7433" s="502" t="s">
        <v>878</v>
      </c>
      <c r="G7433" s="100">
        <v>116558298</v>
      </c>
      <c r="H7433" s="530"/>
      <c r="I7433" s="422" t="s">
        <v>701</v>
      </c>
      <c r="J7433" s="484"/>
      <c r="K7433" s="548"/>
      <c r="L7433" s="548"/>
      <c r="M7433" s="548"/>
      <c r="N7433" s="552"/>
    </row>
    <row r="7434" spans="1:15">
      <c r="A7434" s="499">
        <v>45749</v>
      </c>
      <c r="B7434" s="499">
        <v>45749</v>
      </c>
      <c r="C7434" s="500" t="s">
        <v>173</v>
      </c>
      <c r="D7434" s="500" t="s">
        <v>761</v>
      </c>
      <c r="E7434" s="501">
        <v>-22002973.850000001</v>
      </c>
      <c r="F7434" s="502" t="s">
        <v>878</v>
      </c>
      <c r="G7434" s="100">
        <v>116558301</v>
      </c>
      <c r="H7434" s="530"/>
      <c r="I7434" s="422" t="s">
        <v>718</v>
      </c>
      <c r="J7434" s="484"/>
      <c r="K7434" s="548"/>
      <c r="L7434" s="548"/>
      <c r="M7434" s="548"/>
      <c r="N7434" s="552"/>
    </row>
    <row r="7435" spans="1:15">
      <c r="A7435" s="499">
        <v>45749</v>
      </c>
      <c r="B7435" s="499">
        <v>45749</v>
      </c>
      <c r="C7435" s="500" t="s">
        <v>173</v>
      </c>
      <c r="D7435" s="500" t="s">
        <v>761</v>
      </c>
      <c r="E7435" s="501">
        <v>-30011077.5</v>
      </c>
      <c r="F7435" s="502" t="s">
        <v>878</v>
      </c>
      <c r="G7435" s="100">
        <v>116558304</v>
      </c>
      <c r="H7435" s="530"/>
      <c r="I7435" s="422" t="s">
        <v>657</v>
      </c>
      <c r="J7435" s="484"/>
      <c r="K7435" s="548"/>
      <c r="L7435" s="548"/>
      <c r="M7435" s="548"/>
      <c r="N7435" s="552"/>
    </row>
    <row r="7436" spans="1:15">
      <c r="A7436" s="499">
        <v>45749</v>
      </c>
      <c r="B7436" s="499">
        <v>45749</v>
      </c>
      <c r="C7436" s="500" t="s">
        <v>173</v>
      </c>
      <c r="D7436" s="500" t="s">
        <v>761</v>
      </c>
      <c r="E7436" s="501">
        <v>-50036112</v>
      </c>
      <c r="F7436" s="502" t="s">
        <v>878</v>
      </c>
      <c r="G7436" s="100">
        <v>116558307</v>
      </c>
      <c r="H7436" s="530"/>
      <c r="I7436" s="422" t="s">
        <v>598</v>
      </c>
      <c r="J7436" s="484"/>
      <c r="K7436" s="548"/>
      <c r="L7436" s="548"/>
      <c r="M7436" s="548"/>
      <c r="N7436" s="552"/>
    </row>
    <row r="7437" spans="1:15">
      <c r="A7437" s="499">
        <v>45749</v>
      </c>
      <c r="B7437" s="499">
        <v>45749</v>
      </c>
      <c r="C7437" s="500" t="s">
        <v>173</v>
      </c>
      <c r="D7437" s="500" t="s">
        <v>761</v>
      </c>
      <c r="E7437" s="501">
        <v>-67004873.850000001</v>
      </c>
      <c r="F7437" s="502" t="s">
        <v>878</v>
      </c>
      <c r="G7437" s="100">
        <v>116558310</v>
      </c>
      <c r="H7437" s="530"/>
      <c r="I7437" s="422" t="s">
        <v>688</v>
      </c>
      <c r="J7437" s="484"/>
      <c r="K7437" s="548"/>
      <c r="L7437" s="548"/>
      <c r="M7437" s="548"/>
      <c r="N7437" s="552"/>
    </row>
    <row r="7438" spans="1:15">
      <c r="A7438" s="499">
        <v>45749</v>
      </c>
      <c r="B7438" s="499">
        <v>45749</v>
      </c>
      <c r="C7438" s="500" t="s">
        <v>173</v>
      </c>
      <c r="D7438" s="500" t="s">
        <v>761</v>
      </c>
      <c r="E7438" s="501">
        <v>-163032282.63999999</v>
      </c>
      <c r="F7438" s="502" t="s">
        <v>878</v>
      </c>
      <c r="G7438" s="100">
        <v>116558313</v>
      </c>
      <c r="H7438" s="530"/>
      <c r="I7438" s="422" t="s">
        <v>699</v>
      </c>
      <c r="J7438" s="484"/>
      <c r="K7438" s="548"/>
      <c r="L7438" s="548"/>
      <c r="M7438" s="548"/>
      <c r="N7438" s="552"/>
    </row>
    <row r="7439" spans="1:15">
      <c r="A7439" s="499">
        <v>45749</v>
      </c>
      <c r="B7439" s="499">
        <v>45749</v>
      </c>
      <c r="C7439" s="500" t="s">
        <v>173</v>
      </c>
      <c r="D7439" s="500" t="s">
        <v>761</v>
      </c>
      <c r="E7439" s="501">
        <v>-164073027.56</v>
      </c>
      <c r="F7439" s="502" t="s">
        <v>878</v>
      </c>
      <c r="G7439" s="100">
        <v>116558316</v>
      </c>
      <c r="H7439" s="530"/>
      <c r="I7439" s="422" t="s">
        <v>602</v>
      </c>
      <c r="J7439" s="484"/>
      <c r="K7439" s="548"/>
      <c r="L7439" s="548"/>
      <c r="M7439" s="548"/>
      <c r="N7439" s="552"/>
    </row>
    <row r="7440" spans="1:15">
      <c r="A7440" s="499">
        <v>45749</v>
      </c>
      <c r="B7440" s="499">
        <v>45749</v>
      </c>
      <c r="C7440" s="500" t="s">
        <v>173</v>
      </c>
      <c r="D7440" s="500" t="s">
        <v>761</v>
      </c>
      <c r="E7440" s="501">
        <v>-243149295.56</v>
      </c>
      <c r="F7440" s="502" t="s">
        <v>878</v>
      </c>
      <c r="G7440" s="100">
        <v>116558319</v>
      </c>
      <c r="H7440" s="530"/>
      <c r="I7440" s="422" t="s">
        <v>720</v>
      </c>
      <c r="J7440" s="484"/>
      <c r="K7440" s="548"/>
      <c r="L7440" s="548"/>
      <c r="M7440" s="548"/>
      <c r="N7440" s="552"/>
    </row>
    <row r="7441" spans="1:14">
      <c r="A7441" s="499">
        <v>45749</v>
      </c>
      <c r="B7441" s="499">
        <v>45749</v>
      </c>
      <c r="C7441" s="500" t="s">
        <v>173</v>
      </c>
      <c r="D7441" s="500" t="s">
        <v>761</v>
      </c>
      <c r="E7441" s="501">
        <v>-337009465.31999999</v>
      </c>
      <c r="F7441" s="502" t="s">
        <v>878</v>
      </c>
      <c r="G7441" s="100">
        <v>116558322</v>
      </c>
      <c r="H7441" s="530"/>
      <c r="I7441" s="422" t="s">
        <v>708</v>
      </c>
      <c r="J7441" s="484"/>
      <c r="K7441" s="548"/>
      <c r="L7441" s="548"/>
      <c r="M7441" s="548"/>
      <c r="N7441" s="552"/>
    </row>
    <row r="7442" spans="1:14">
      <c r="A7442" s="499">
        <v>45749</v>
      </c>
      <c r="B7442" s="499">
        <v>45749</v>
      </c>
      <c r="C7442" s="500" t="s">
        <v>173</v>
      </c>
      <c r="D7442" s="500" t="s">
        <v>761</v>
      </c>
      <c r="E7442" s="501">
        <v>-401368486.51999998</v>
      </c>
      <c r="F7442" s="502" t="s">
        <v>878</v>
      </c>
      <c r="G7442" s="100">
        <v>116558325</v>
      </c>
      <c r="H7442" s="530"/>
      <c r="I7442" s="422" t="s">
        <v>680</v>
      </c>
      <c r="J7442" s="484"/>
      <c r="K7442" s="548"/>
      <c r="L7442" s="548"/>
      <c r="M7442" s="548"/>
      <c r="N7442" s="552"/>
    </row>
    <row r="7443" spans="1:14">
      <c r="A7443" s="499">
        <v>45749</v>
      </c>
      <c r="B7443" s="499">
        <v>45749</v>
      </c>
      <c r="C7443" s="500" t="s">
        <v>173</v>
      </c>
      <c r="D7443" s="500" t="s">
        <v>761</v>
      </c>
      <c r="E7443" s="501">
        <v>-424221357.25999999</v>
      </c>
      <c r="F7443" s="502" t="s">
        <v>878</v>
      </c>
      <c r="G7443" s="100">
        <v>116558328</v>
      </c>
      <c r="H7443" s="530"/>
      <c r="I7443" s="422" t="s">
        <v>691</v>
      </c>
      <c r="J7443" s="484"/>
      <c r="K7443" s="548"/>
      <c r="L7443" s="548"/>
      <c r="M7443" s="548"/>
      <c r="N7443" s="552"/>
    </row>
    <row r="7444" spans="1:14">
      <c r="A7444" s="499">
        <v>45749</v>
      </c>
      <c r="B7444" s="499">
        <v>45749</v>
      </c>
      <c r="C7444" s="500" t="s">
        <v>173</v>
      </c>
      <c r="D7444" s="500" t="s">
        <v>761</v>
      </c>
      <c r="E7444" s="501">
        <v>-531216026.73000002</v>
      </c>
      <c r="F7444" s="502" t="s">
        <v>878</v>
      </c>
      <c r="G7444" s="100">
        <v>116558337</v>
      </c>
      <c r="H7444" s="530"/>
      <c r="I7444" s="422" t="s">
        <v>656</v>
      </c>
      <c r="J7444" s="484"/>
      <c r="K7444" s="548"/>
      <c r="L7444" s="548"/>
      <c r="M7444" s="548"/>
      <c r="N7444" s="552"/>
    </row>
    <row r="7445" spans="1:14">
      <c r="A7445" s="499">
        <v>45749</v>
      </c>
      <c r="B7445" s="499">
        <v>45749</v>
      </c>
      <c r="C7445" s="500" t="s">
        <v>173</v>
      </c>
      <c r="D7445" s="500" t="s">
        <v>761</v>
      </c>
      <c r="E7445" s="501">
        <v>-593120646.91999996</v>
      </c>
      <c r="F7445" s="502" t="s">
        <v>878</v>
      </c>
      <c r="G7445" s="100">
        <v>116558340</v>
      </c>
      <c r="H7445" s="530"/>
      <c r="I7445" s="422" t="s">
        <v>550</v>
      </c>
      <c r="J7445" s="484"/>
      <c r="K7445" s="548"/>
      <c r="L7445" s="548"/>
      <c r="M7445" s="548"/>
      <c r="N7445" s="552"/>
    </row>
    <row r="7446" spans="1:14">
      <c r="A7446" s="499">
        <v>45749</v>
      </c>
      <c r="B7446" s="499">
        <v>45749</v>
      </c>
      <c r="C7446" s="500" t="s">
        <v>173</v>
      </c>
      <c r="D7446" s="500" t="s">
        <v>761</v>
      </c>
      <c r="E7446" s="501">
        <v>-197036140.63999999</v>
      </c>
      <c r="F7446" s="502" t="s">
        <v>878</v>
      </c>
      <c r="G7446" s="100">
        <v>116558344</v>
      </c>
      <c r="H7446" s="530"/>
      <c r="I7446" s="422" t="s">
        <v>670</v>
      </c>
      <c r="J7446" s="484"/>
      <c r="K7446" s="548"/>
      <c r="L7446" s="548"/>
      <c r="M7446" s="548"/>
      <c r="N7446" s="552"/>
    </row>
    <row r="7447" spans="1:14">
      <c r="A7447" s="499">
        <v>45749</v>
      </c>
      <c r="B7447" s="499">
        <v>45749</v>
      </c>
      <c r="C7447" s="500" t="s">
        <v>173</v>
      </c>
      <c r="D7447" s="500" t="s">
        <v>761</v>
      </c>
      <c r="E7447" s="501">
        <v>-15005538.75</v>
      </c>
      <c r="F7447" s="502" t="s">
        <v>878</v>
      </c>
      <c r="G7447" s="100">
        <v>116558483</v>
      </c>
      <c r="H7447" s="530"/>
      <c r="I7447" s="422" t="s">
        <v>657</v>
      </c>
      <c r="J7447" s="484"/>
      <c r="K7447" s="548"/>
      <c r="L7447" s="548"/>
      <c r="M7447" s="548"/>
      <c r="N7447" s="552"/>
    </row>
    <row r="7448" spans="1:14">
      <c r="A7448" s="499">
        <v>45749</v>
      </c>
      <c r="B7448" s="499">
        <v>45749</v>
      </c>
      <c r="C7448" s="500" t="s">
        <v>173</v>
      </c>
      <c r="D7448" s="500" t="s">
        <v>761</v>
      </c>
      <c r="E7448" s="501">
        <v>-757132628.66999996</v>
      </c>
      <c r="F7448" s="502" t="s">
        <v>878</v>
      </c>
      <c r="G7448" s="100">
        <v>116559691</v>
      </c>
      <c r="H7448" s="530"/>
      <c r="I7448" s="422" t="s">
        <v>678</v>
      </c>
      <c r="J7448" s="484"/>
      <c r="K7448" s="548"/>
      <c r="L7448" s="548"/>
      <c r="M7448" s="548"/>
      <c r="N7448" s="552"/>
    </row>
    <row r="7449" spans="1:14">
      <c r="A7449" s="499">
        <v>45749</v>
      </c>
      <c r="B7449" s="499">
        <v>45749</v>
      </c>
      <c r="C7449" s="500" t="s">
        <v>173</v>
      </c>
      <c r="D7449" s="500" t="s">
        <v>761</v>
      </c>
      <c r="E7449" s="501">
        <v>-4000112.35</v>
      </c>
      <c r="F7449" s="502" t="s">
        <v>878</v>
      </c>
      <c r="G7449" s="100">
        <v>116559761</v>
      </c>
      <c r="H7449" s="530"/>
      <c r="I7449" s="422" t="s">
        <v>708</v>
      </c>
      <c r="J7449" s="484"/>
      <c r="K7449" s="548"/>
      <c r="L7449" s="548"/>
      <c r="M7449" s="548"/>
      <c r="N7449" s="552"/>
    </row>
    <row r="7450" spans="1:14">
      <c r="A7450" s="499">
        <v>45749</v>
      </c>
      <c r="B7450" s="499">
        <v>45756</v>
      </c>
      <c r="C7450" s="500" t="s">
        <v>173</v>
      </c>
      <c r="D7450" s="500" t="s">
        <v>761</v>
      </c>
      <c r="E7450" s="501">
        <v>4012916.58</v>
      </c>
      <c r="F7450" s="502" t="s">
        <v>878</v>
      </c>
      <c r="G7450" s="100">
        <v>116558295</v>
      </c>
      <c r="H7450" s="484">
        <v>116558295</v>
      </c>
      <c r="I7450" s="422" t="s">
        <v>654</v>
      </c>
      <c r="J7450" s="484"/>
      <c r="K7450" s="548"/>
      <c r="L7450" s="548"/>
      <c r="M7450" s="548"/>
      <c r="N7450" s="552"/>
    </row>
    <row r="7451" spans="1:14">
      <c r="A7451" s="499">
        <v>45749</v>
      </c>
      <c r="B7451" s="499">
        <v>45756</v>
      </c>
      <c r="C7451" s="500" t="s">
        <v>173</v>
      </c>
      <c r="D7451" s="500" t="s">
        <v>761</v>
      </c>
      <c r="E7451" s="501">
        <v>11038478.48</v>
      </c>
      <c r="F7451" s="502" t="s">
        <v>878</v>
      </c>
      <c r="G7451" s="100">
        <v>116558298</v>
      </c>
      <c r="H7451" s="484">
        <v>116558298</v>
      </c>
      <c r="I7451" s="422" t="s">
        <v>701</v>
      </c>
      <c r="J7451" s="484"/>
      <c r="K7451" s="548"/>
      <c r="L7451" s="548"/>
      <c r="M7451" s="548"/>
      <c r="N7451" s="552"/>
    </row>
    <row r="7452" spans="1:14">
      <c r="A7452" s="499">
        <v>45749</v>
      </c>
      <c r="B7452" s="499">
        <v>45756</v>
      </c>
      <c r="C7452" s="500" t="s">
        <v>173</v>
      </c>
      <c r="D7452" s="500" t="s">
        <v>761</v>
      </c>
      <c r="E7452" s="501">
        <v>22071544.760000002</v>
      </c>
      <c r="F7452" s="502" t="s">
        <v>878</v>
      </c>
      <c r="G7452" s="100">
        <v>116558301</v>
      </c>
      <c r="H7452" s="484">
        <v>116558301</v>
      </c>
      <c r="I7452" s="422" t="s">
        <v>718</v>
      </c>
      <c r="J7452" s="484"/>
      <c r="K7452" s="548"/>
      <c r="L7452" s="548"/>
      <c r="M7452" s="548"/>
      <c r="N7452" s="552"/>
    </row>
    <row r="7453" spans="1:14">
      <c r="A7453" s="499">
        <v>45749</v>
      </c>
      <c r="B7453" s="499">
        <v>45756</v>
      </c>
      <c r="C7453" s="500" t="s">
        <v>173</v>
      </c>
      <c r="D7453" s="500" t="s">
        <v>761</v>
      </c>
      <c r="E7453" s="501">
        <v>30104605.170000002</v>
      </c>
      <c r="F7453" s="502" t="s">
        <v>878</v>
      </c>
      <c r="G7453" s="100">
        <v>116558304</v>
      </c>
      <c r="H7453" s="484">
        <v>116558304</v>
      </c>
      <c r="I7453" s="422" t="s">
        <v>657</v>
      </c>
      <c r="J7453" s="484"/>
      <c r="K7453" s="548"/>
      <c r="L7453" s="548"/>
      <c r="M7453" s="548"/>
      <c r="N7453" s="552"/>
    </row>
    <row r="7454" spans="1:14">
      <c r="A7454" s="499">
        <v>45749</v>
      </c>
      <c r="B7454" s="499">
        <v>45756</v>
      </c>
      <c r="C7454" s="500" t="s">
        <v>173</v>
      </c>
      <c r="D7454" s="500" t="s">
        <v>761</v>
      </c>
      <c r="E7454" s="501">
        <v>50192046.460000001</v>
      </c>
      <c r="F7454" s="502" t="s">
        <v>878</v>
      </c>
      <c r="G7454" s="100">
        <v>116558307</v>
      </c>
      <c r="H7454" s="484">
        <v>116558307</v>
      </c>
      <c r="I7454" s="422" t="s">
        <v>598</v>
      </c>
      <c r="J7454" s="484"/>
      <c r="K7454" s="548"/>
      <c r="L7454" s="548"/>
      <c r="M7454" s="548"/>
      <c r="N7454" s="552"/>
    </row>
    <row r="7455" spans="1:14">
      <c r="A7455" s="499">
        <v>45749</v>
      </c>
      <c r="B7455" s="499">
        <v>45756</v>
      </c>
      <c r="C7455" s="500" t="s">
        <v>173</v>
      </c>
      <c r="D7455" s="500" t="s">
        <v>761</v>
      </c>
      <c r="E7455" s="501">
        <v>67213690.409999996</v>
      </c>
      <c r="F7455" s="502" t="s">
        <v>878</v>
      </c>
      <c r="G7455" s="100">
        <v>116558310</v>
      </c>
      <c r="H7455" s="484">
        <v>116558310</v>
      </c>
      <c r="I7455" s="422" t="s">
        <v>688</v>
      </c>
      <c r="J7455" s="484"/>
      <c r="K7455" s="548"/>
      <c r="L7455" s="548"/>
      <c r="M7455" s="548"/>
      <c r="N7455" s="552"/>
    </row>
    <row r="7456" spans="1:14">
      <c r="A7456" s="499">
        <v>45749</v>
      </c>
      <c r="B7456" s="499">
        <v>45756</v>
      </c>
      <c r="C7456" s="500" t="s">
        <v>173</v>
      </c>
      <c r="D7456" s="500" t="s">
        <v>761</v>
      </c>
      <c r="E7456" s="501">
        <v>163540362.69999999</v>
      </c>
      <c r="F7456" s="502" t="s">
        <v>878</v>
      </c>
      <c r="G7456" s="100">
        <v>116558313</v>
      </c>
      <c r="H7456" s="484">
        <v>116558313</v>
      </c>
      <c r="I7456" s="422" t="s">
        <v>699</v>
      </c>
      <c r="J7456" s="484"/>
      <c r="K7456" s="548"/>
      <c r="L7456" s="548"/>
      <c r="M7456" s="548"/>
      <c r="N7456" s="552"/>
    </row>
    <row r="7457" spans="1:15">
      <c r="A7457" s="499">
        <v>45749</v>
      </c>
      <c r="B7457" s="499">
        <v>45756</v>
      </c>
      <c r="C7457" s="500" t="s">
        <v>173</v>
      </c>
      <c r="D7457" s="500" t="s">
        <v>761</v>
      </c>
      <c r="E7457" s="501">
        <v>164584351.03999999</v>
      </c>
      <c r="F7457" s="502" t="s">
        <v>878</v>
      </c>
      <c r="G7457" s="100">
        <v>116558316</v>
      </c>
      <c r="H7457" s="484">
        <v>116558316</v>
      </c>
      <c r="I7457" s="422" t="s">
        <v>602</v>
      </c>
      <c r="J7457" s="484"/>
      <c r="K7457" s="548"/>
      <c r="L7457" s="548"/>
      <c r="M7457" s="548"/>
      <c r="N7457" s="552"/>
    </row>
    <row r="7458" spans="1:15">
      <c r="A7458" s="499">
        <v>45749</v>
      </c>
      <c r="B7458" s="499">
        <v>45756</v>
      </c>
      <c r="C7458" s="500" t="s">
        <v>173</v>
      </c>
      <c r="D7458" s="500" t="s">
        <v>761</v>
      </c>
      <c r="E7458" s="501">
        <v>243907055.34999999</v>
      </c>
      <c r="F7458" s="502" t="s">
        <v>878</v>
      </c>
      <c r="G7458" s="100">
        <v>116558319</v>
      </c>
      <c r="H7458" s="484">
        <v>116558319</v>
      </c>
      <c r="I7458" s="422" t="s">
        <v>720</v>
      </c>
      <c r="J7458" s="484"/>
      <c r="K7458" s="548"/>
      <c r="L7458" s="548"/>
      <c r="M7458" s="548"/>
      <c r="N7458" s="552"/>
    </row>
    <row r="7459" spans="1:15">
      <c r="A7459" s="499">
        <v>45749</v>
      </c>
      <c r="B7459" s="499">
        <v>45756</v>
      </c>
      <c r="C7459" s="500" t="s">
        <v>173</v>
      </c>
      <c r="D7459" s="500" t="s">
        <v>761</v>
      </c>
      <c r="E7459" s="501">
        <v>338059734.54000002</v>
      </c>
      <c r="F7459" s="502" t="s">
        <v>878</v>
      </c>
      <c r="G7459" s="100">
        <v>116558322</v>
      </c>
      <c r="H7459" s="484">
        <v>116558322</v>
      </c>
      <c r="I7459" s="422" t="s">
        <v>708</v>
      </c>
      <c r="J7459" s="484"/>
      <c r="K7459" s="548"/>
      <c r="L7459" s="548"/>
      <c r="M7459" s="548"/>
      <c r="N7459" s="552"/>
    </row>
    <row r="7460" spans="1:15">
      <c r="A7460" s="499">
        <v>45749</v>
      </c>
      <c r="B7460" s="499">
        <v>45756</v>
      </c>
      <c r="C7460" s="500" t="s">
        <v>173</v>
      </c>
      <c r="D7460" s="500" t="s">
        <v>761</v>
      </c>
      <c r="E7460" s="501">
        <v>402619326.67000002</v>
      </c>
      <c r="F7460" s="502" t="s">
        <v>878</v>
      </c>
      <c r="G7460" s="100">
        <v>116558325</v>
      </c>
      <c r="H7460" s="484">
        <v>116558325</v>
      </c>
      <c r="I7460" s="422" t="s">
        <v>680</v>
      </c>
      <c r="J7460" s="484"/>
      <c r="K7460" s="548"/>
      <c r="L7460" s="548"/>
      <c r="M7460" s="548"/>
      <c r="N7460" s="552"/>
    </row>
    <row r="7461" spans="1:15">
      <c r="A7461" s="499">
        <v>45749</v>
      </c>
      <c r="B7461" s="499">
        <v>45756</v>
      </c>
      <c r="C7461" s="500" t="s">
        <v>173</v>
      </c>
      <c r="D7461" s="500" t="s">
        <v>761</v>
      </c>
      <c r="E7461" s="501">
        <v>425543416.97000003</v>
      </c>
      <c r="F7461" s="502" t="s">
        <v>878</v>
      </c>
      <c r="G7461" s="100">
        <v>116558328</v>
      </c>
      <c r="H7461" s="484">
        <v>116558328</v>
      </c>
      <c r="I7461" s="422" t="s">
        <v>691</v>
      </c>
      <c r="J7461" s="484"/>
      <c r="K7461" s="548"/>
      <c r="L7461" s="548"/>
      <c r="M7461" s="548"/>
      <c r="N7461" s="552"/>
    </row>
    <row r="7462" spans="1:15">
      <c r="A7462" s="499">
        <v>45749</v>
      </c>
      <c r="B7462" s="499">
        <v>45756</v>
      </c>
      <c r="C7462" s="500" t="s">
        <v>173</v>
      </c>
      <c r="D7462" s="500" t="s">
        <v>761</v>
      </c>
      <c r="E7462" s="501">
        <v>532871528.73000002</v>
      </c>
      <c r="F7462" s="502" t="s">
        <v>878</v>
      </c>
      <c r="G7462" s="100">
        <v>116558337</v>
      </c>
      <c r="H7462" s="484">
        <v>116558337</v>
      </c>
      <c r="I7462" s="422" t="s">
        <v>656</v>
      </c>
      <c r="J7462" s="484"/>
      <c r="K7462" s="548"/>
      <c r="L7462" s="548"/>
      <c r="M7462" s="548"/>
      <c r="N7462" s="552"/>
    </row>
    <row r="7463" spans="1:15">
      <c r="A7463" s="499">
        <v>45749</v>
      </c>
      <c r="B7463" s="499">
        <v>45756</v>
      </c>
      <c r="C7463" s="500" t="s">
        <v>173</v>
      </c>
      <c r="D7463" s="500" t="s">
        <v>761</v>
      </c>
      <c r="E7463" s="501">
        <v>594969070.85000002</v>
      </c>
      <c r="F7463" s="502" t="s">
        <v>878</v>
      </c>
      <c r="G7463" s="100">
        <v>116558340</v>
      </c>
      <c r="H7463" s="484">
        <v>116558340</v>
      </c>
      <c r="I7463" s="422" t="s">
        <v>550</v>
      </c>
      <c r="J7463" s="484"/>
      <c r="K7463" s="548"/>
      <c r="L7463" s="548"/>
      <c r="M7463" s="548"/>
      <c r="N7463" s="552"/>
    </row>
    <row r="7464" spans="1:15">
      <c r="A7464" s="499">
        <v>45749</v>
      </c>
      <c r="B7464" s="499">
        <v>45756</v>
      </c>
      <c r="C7464" s="500" t="s">
        <v>173</v>
      </c>
      <c r="D7464" s="500" t="s">
        <v>761</v>
      </c>
      <c r="E7464" s="501">
        <v>197650191.63</v>
      </c>
      <c r="F7464" s="502" t="s">
        <v>878</v>
      </c>
      <c r="G7464" s="100">
        <v>116558344</v>
      </c>
      <c r="H7464" s="484">
        <v>116558344</v>
      </c>
      <c r="I7464" s="422" t="s">
        <v>670</v>
      </c>
      <c r="J7464" s="484"/>
      <c r="K7464" s="548"/>
      <c r="L7464" s="548"/>
      <c r="M7464" s="548"/>
      <c r="N7464" s="552"/>
    </row>
    <row r="7465" spans="1:15">
      <c r="A7465" s="499">
        <v>45749</v>
      </c>
      <c r="B7465" s="499">
        <v>45756</v>
      </c>
      <c r="C7465" s="500" t="s">
        <v>173</v>
      </c>
      <c r="D7465" s="500" t="s">
        <v>761</v>
      </c>
      <c r="E7465" s="501">
        <v>15052302.59</v>
      </c>
      <c r="F7465" s="502" t="s">
        <v>878</v>
      </c>
      <c r="G7465" s="100">
        <v>116558483</v>
      </c>
      <c r="H7465" s="484">
        <v>116558483</v>
      </c>
      <c r="I7465" s="422" t="s">
        <v>657</v>
      </c>
      <c r="J7465" s="484"/>
      <c r="K7465" s="548"/>
      <c r="L7465" s="548"/>
      <c r="M7465" s="548"/>
      <c r="N7465" s="552"/>
    </row>
    <row r="7466" spans="1:15">
      <c r="A7466" s="499">
        <v>45749</v>
      </c>
      <c r="B7466" s="499">
        <v>45750</v>
      </c>
      <c r="C7466" s="500" t="s">
        <v>173</v>
      </c>
      <c r="D7466" s="500" t="s">
        <v>761</v>
      </c>
      <c r="E7466" s="501">
        <v>757471782.60000002</v>
      </c>
      <c r="F7466" s="502" t="s">
        <v>878</v>
      </c>
      <c r="G7466" s="100">
        <v>116559691</v>
      </c>
      <c r="H7466" s="484">
        <v>116559691</v>
      </c>
      <c r="I7466" s="422" t="s">
        <v>678</v>
      </c>
      <c r="J7466" s="484"/>
      <c r="K7466" s="548"/>
      <c r="L7466" s="548"/>
      <c r="M7466" s="548"/>
      <c r="N7466" s="552"/>
    </row>
    <row r="7467" spans="1:15">
      <c r="A7467" s="499">
        <v>45749</v>
      </c>
      <c r="B7467" s="499">
        <v>45750</v>
      </c>
      <c r="C7467" s="500" t="s">
        <v>173</v>
      </c>
      <c r="D7467" s="500" t="s">
        <v>761</v>
      </c>
      <c r="E7467" s="501">
        <v>4001915.14</v>
      </c>
      <c r="F7467" s="502" t="s">
        <v>878</v>
      </c>
      <c r="G7467" s="100">
        <v>116559761</v>
      </c>
      <c r="H7467" s="484">
        <v>116559761</v>
      </c>
      <c r="I7467" s="422" t="s">
        <v>708</v>
      </c>
      <c r="J7467" s="484"/>
      <c r="K7467" s="548"/>
      <c r="L7467" s="548"/>
      <c r="M7467" s="548"/>
      <c r="N7467" s="552"/>
      <c r="O7467" s="539">
        <v>-1</v>
      </c>
    </row>
    <row r="7468" spans="1:15">
      <c r="A7468" s="499">
        <v>45749</v>
      </c>
      <c r="B7468" s="499">
        <v>45749</v>
      </c>
      <c r="C7468" s="500" t="s">
        <v>173</v>
      </c>
      <c r="D7468" s="500" t="s">
        <v>759</v>
      </c>
      <c r="E7468" s="501">
        <v>-1222254482.97</v>
      </c>
      <c r="F7468" s="502" t="s">
        <v>878</v>
      </c>
      <c r="G7468" s="100">
        <v>116557459</v>
      </c>
      <c r="H7468" s="530"/>
      <c r="I7468" s="422" t="s">
        <v>633</v>
      </c>
      <c r="J7468" s="484"/>
      <c r="K7468" s="548"/>
      <c r="L7468" s="548"/>
      <c r="M7468" s="548"/>
      <c r="N7468" s="552"/>
    </row>
    <row r="7469" spans="1:15">
      <c r="A7469" s="499">
        <v>45749</v>
      </c>
      <c r="B7469" s="499">
        <v>45749</v>
      </c>
      <c r="C7469" s="500" t="s">
        <v>173</v>
      </c>
      <c r="D7469" s="500" t="s">
        <v>759</v>
      </c>
      <c r="E7469" s="501">
        <v>-1000104.84</v>
      </c>
      <c r="F7469" s="502" t="s">
        <v>878</v>
      </c>
      <c r="G7469" s="100">
        <v>116557493</v>
      </c>
      <c r="H7469" s="530"/>
      <c r="I7469" s="422" t="s">
        <v>816</v>
      </c>
      <c r="J7469" s="484"/>
      <c r="K7469" s="548"/>
      <c r="L7469" s="548"/>
      <c r="M7469" s="548"/>
      <c r="N7469" s="552"/>
    </row>
    <row r="7470" spans="1:15">
      <c r="A7470" s="499">
        <v>45749</v>
      </c>
      <c r="B7470" s="499">
        <v>45749</v>
      </c>
      <c r="C7470" s="500" t="s">
        <v>173</v>
      </c>
      <c r="D7470" s="500" t="s">
        <v>759</v>
      </c>
      <c r="E7470" s="501">
        <v>-1258261980.01</v>
      </c>
      <c r="F7470" s="502" t="s">
        <v>878</v>
      </c>
      <c r="G7470" s="100">
        <v>116557722</v>
      </c>
      <c r="H7470" s="530"/>
      <c r="I7470" s="422" t="s">
        <v>633</v>
      </c>
      <c r="J7470" s="484"/>
      <c r="K7470" s="548"/>
      <c r="L7470" s="548"/>
      <c r="M7470" s="548"/>
      <c r="N7470" s="552"/>
    </row>
    <row r="7471" spans="1:15">
      <c r="A7471" s="499">
        <v>45749</v>
      </c>
      <c r="B7471" s="499">
        <v>45749</v>
      </c>
      <c r="C7471" s="500" t="s">
        <v>173</v>
      </c>
      <c r="D7471" s="500" t="s">
        <v>759</v>
      </c>
      <c r="E7471" s="501">
        <v>-76015827.090000004</v>
      </c>
      <c r="F7471" s="502" t="s">
        <v>878</v>
      </c>
      <c r="G7471" s="100">
        <v>116557737</v>
      </c>
      <c r="H7471" s="530"/>
      <c r="I7471" s="422" t="s">
        <v>633</v>
      </c>
      <c r="J7471" s="484"/>
      <c r="K7471" s="548"/>
      <c r="L7471" s="548"/>
      <c r="M7471" s="548"/>
      <c r="N7471" s="552"/>
    </row>
    <row r="7472" spans="1:15">
      <c r="A7472" s="499">
        <v>45749</v>
      </c>
      <c r="B7472" s="499">
        <v>45749</v>
      </c>
      <c r="C7472" s="500" t="s">
        <v>173</v>
      </c>
      <c r="D7472" s="500" t="s">
        <v>759</v>
      </c>
      <c r="E7472" s="501">
        <v>-100018302.75</v>
      </c>
      <c r="F7472" s="502" t="s">
        <v>878</v>
      </c>
      <c r="G7472" s="100">
        <v>116557754</v>
      </c>
      <c r="H7472" s="530"/>
      <c r="I7472" s="422" t="s">
        <v>1013</v>
      </c>
      <c r="J7472" s="484"/>
      <c r="K7472" s="548"/>
      <c r="L7472" s="548"/>
      <c r="M7472" s="548"/>
      <c r="N7472" s="552"/>
    </row>
    <row r="7473" spans="1:14">
      <c r="A7473" s="499">
        <v>45749</v>
      </c>
      <c r="B7473" s="499">
        <v>45749</v>
      </c>
      <c r="C7473" s="500" t="s">
        <v>173</v>
      </c>
      <c r="D7473" s="500" t="s">
        <v>759</v>
      </c>
      <c r="E7473" s="501">
        <v>-118082667.02</v>
      </c>
      <c r="F7473" s="502" t="s">
        <v>878</v>
      </c>
      <c r="G7473" s="100">
        <v>116557856</v>
      </c>
      <c r="H7473" s="530"/>
      <c r="I7473" s="422" t="s">
        <v>590</v>
      </c>
      <c r="J7473" s="484"/>
      <c r="K7473" s="548"/>
      <c r="L7473" s="548"/>
      <c r="M7473" s="548"/>
      <c r="N7473" s="552"/>
    </row>
    <row r="7474" spans="1:14">
      <c r="A7474" s="499">
        <v>45749</v>
      </c>
      <c r="B7474" s="499">
        <v>45749</v>
      </c>
      <c r="C7474" s="500" t="s">
        <v>173</v>
      </c>
      <c r="D7474" s="500" t="s">
        <v>759</v>
      </c>
      <c r="E7474" s="501">
        <v>-14009807.949999999</v>
      </c>
      <c r="F7474" s="502" t="s">
        <v>878</v>
      </c>
      <c r="G7474" s="100">
        <v>116557908</v>
      </c>
      <c r="H7474" s="530"/>
      <c r="I7474" s="422" t="s">
        <v>590</v>
      </c>
      <c r="J7474" s="484"/>
      <c r="K7474" s="548"/>
      <c r="L7474" s="548"/>
      <c r="M7474" s="548"/>
      <c r="N7474" s="552"/>
    </row>
    <row r="7475" spans="1:14">
      <c r="A7475" s="499">
        <v>45749</v>
      </c>
      <c r="B7475" s="499">
        <v>45750</v>
      </c>
      <c r="C7475" s="500" t="s">
        <v>173</v>
      </c>
      <c r="D7475" s="500" t="s">
        <v>759</v>
      </c>
      <c r="E7475" s="501">
        <v>1222800311.6800001</v>
      </c>
      <c r="F7475" s="502" t="s">
        <v>878</v>
      </c>
      <c r="G7475" s="100">
        <v>116557459</v>
      </c>
      <c r="H7475" s="484">
        <v>116557459</v>
      </c>
      <c r="I7475" s="422" t="s">
        <v>633</v>
      </c>
      <c r="J7475" s="484"/>
      <c r="K7475" s="548"/>
      <c r="L7475" s="548"/>
      <c r="M7475" s="548"/>
      <c r="N7475" s="552"/>
    </row>
    <row r="7476" spans="1:14">
      <c r="A7476" s="499">
        <v>45749</v>
      </c>
      <c r="B7476" s="499">
        <v>45750</v>
      </c>
      <c r="C7476" s="500" t="s">
        <v>173</v>
      </c>
      <c r="D7476" s="500" t="s">
        <v>759</v>
      </c>
      <c r="E7476" s="501">
        <v>1000551.46</v>
      </c>
      <c r="F7476" s="502" t="s">
        <v>878</v>
      </c>
      <c r="G7476" s="100">
        <v>116557493</v>
      </c>
      <c r="H7476" s="484">
        <v>116557493</v>
      </c>
      <c r="I7476" s="422" t="s">
        <v>816</v>
      </c>
      <c r="J7476" s="484"/>
      <c r="K7476" s="548"/>
      <c r="L7476" s="548"/>
      <c r="M7476" s="548"/>
      <c r="N7476" s="552"/>
    </row>
    <row r="7477" spans="1:14">
      <c r="A7477" s="499">
        <v>45749</v>
      </c>
      <c r="B7477" s="499">
        <v>45750</v>
      </c>
      <c r="C7477" s="500" t="s">
        <v>173</v>
      </c>
      <c r="D7477" s="500" t="s">
        <v>759</v>
      </c>
      <c r="E7477" s="501">
        <v>1258813546.9100001</v>
      </c>
      <c r="F7477" s="502" t="s">
        <v>878</v>
      </c>
      <c r="G7477" s="100">
        <v>116557722</v>
      </c>
      <c r="H7477" s="484">
        <v>116557722</v>
      </c>
      <c r="I7477" s="422" t="s">
        <v>633</v>
      </c>
      <c r="J7477" s="484"/>
      <c r="K7477" s="548"/>
      <c r="L7477" s="548"/>
      <c r="M7477" s="548"/>
      <c r="N7477" s="552"/>
    </row>
    <row r="7478" spans="1:14">
      <c r="A7478" s="499">
        <v>45749</v>
      </c>
      <c r="B7478" s="499">
        <v>45750</v>
      </c>
      <c r="C7478" s="500" t="s">
        <v>173</v>
      </c>
      <c r="D7478" s="500" t="s">
        <v>759</v>
      </c>
      <c r="E7478" s="501">
        <v>76049149.099999994</v>
      </c>
      <c r="F7478" s="502" t="s">
        <v>878</v>
      </c>
      <c r="G7478" s="100">
        <v>116557737</v>
      </c>
      <c r="H7478" s="484">
        <v>116557737</v>
      </c>
      <c r="I7478" s="422" t="s">
        <v>633</v>
      </c>
      <c r="J7478" s="484"/>
      <c r="K7478" s="548"/>
      <c r="L7478" s="548"/>
      <c r="M7478" s="548"/>
      <c r="N7478" s="552"/>
    </row>
    <row r="7479" spans="1:14">
      <c r="A7479" s="499">
        <v>45749</v>
      </c>
      <c r="B7479" s="499">
        <v>45750</v>
      </c>
      <c r="C7479" s="500" t="s">
        <v>173</v>
      </c>
      <c r="D7479" s="500" t="s">
        <v>759</v>
      </c>
      <c r="E7479" s="501">
        <v>100062146.39</v>
      </c>
      <c r="F7479" s="502" t="s">
        <v>878</v>
      </c>
      <c r="G7479" s="100">
        <v>116557754</v>
      </c>
      <c r="H7479" s="484">
        <v>116557754</v>
      </c>
      <c r="I7479" s="422" t="s">
        <v>1013</v>
      </c>
      <c r="J7479" s="484"/>
      <c r="K7479" s="548"/>
      <c r="L7479" s="548"/>
      <c r="M7479" s="548"/>
      <c r="N7479" s="552"/>
    </row>
    <row r="7480" spans="1:14">
      <c r="A7480" s="499">
        <v>45749</v>
      </c>
      <c r="B7480" s="499">
        <v>45750</v>
      </c>
      <c r="C7480" s="500" t="s">
        <v>173</v>
      </c>
      <c r="D7480" s="500" t="s">
        <v>759</v>
      </c>
      <c r="E7480" s="501">
        <v>118134429.28</v>
      </c>
      <c r="F7480" s="502" t="s">
        <v>878</v>
      </c>
      <c r="G7480" s="100">
        <v>116557856</v>
      </c>
      <c r="H7480" s="484">
        <v>116557856</v>
      </c>
      <c r="I7480" s="422" t="s">
        <v>590</v>
      </c>
      <c r="J7480" s="484"/>
      <c r="K7480" s="548"/>
      <c r="L7480" s="548"/>
      <c r="M7480" s="548"/>
      <c r="N7480" s="552"/>
    </row>
    <row r="7481" spans="1:14">
      <c r="A7481" s="499">
        <v>45749</v>
      </c>
      <c r="B7481" s="499">
        <v>45750</v>
      </c>
      <c r="C7481" s="500" t="s">
        <v>173</v>
      </c>
      <c r="D7481" s="500" t="s">
        <v>759</v>
      </c>
      <c r="E7481" s="501">
        <v>14015930.27</v>
      </c>
      <c r="F7481" s="502" t="s">
        <v>878</v>
      </c>
      <c r="G7481" s="100">
        <v>116557908</v>
      </c>
      <c r="H7481" s="484">
        <v>116557908</v>
      </c>
      <c r="I7481" s="422" t="s">
        <v>590</v>
      </c>
      <c r="J7481" s="484"/>
      <c r="K7481" s="548"/>
      <c r="L7481" s="548"/>
      <c r="M7481" s="548"/>
      <c r="N7481" s="552"/>
    </row>
    <row r="7482" spans="1:14">
      <c r="A7482" s="499">
        <v>45749</v>
      </c>
      <c r="B7482" s="499">
        <v>45749</v>
      </c>
      <c r="C7482" s="500" t="s">
        <v>173</v>
      </c>
      <c r="D7482" s="500" t="s">
        <v>760</v>
      </c>
      <c r="E7482" s="501">
        <v>-849176805.26999998</v>
      </c>
      <c r="F7482" s="502" t="s">
        <v>878</v>
      </c>
      <c r="G7482" s="100">
        <v>116557655</v>
      </c>
      <c r="H7482" s="530"/>
      <c r="I7482" s="422" t="s">
        <v>633</v>
      </c>
      <c r="J7482" s="484"/>
      <c r="K7482" s="548"/>
      <c r="L7482" s="548"/>
      <c r="M7482" s="548"/>
      <c r="N7482" s="552"/>
    </row>
    <row r="7483" spans="1:14">
      <c r="A7483" s="499">
        <v>45749</v>
      </c>
      <c r="B7483" s="499">
        <v>45749</v>
      </c>
      <c r="C7483" s="500" t="s">
        <v>173</v>
      </c>
      <c r="D7483" s="500" t="s">
        <v>760</v>
      </c>
      <c r="E7483" s="501">
        <v>-499349583.43000001</v>
      </c>
      <c r="F7483" s="502" t="s">
        <v>878</v>
      </c>
      <c r="G7483" s="100">
        <v>116557859</v>
      </c>
      <c r="H7483" s="530"/>
      <c r="I7483" s="422" t="s">
        <v>590</v>
      </c>
      <c r="J7483" s="484"/>
      <c r="K7483" s="548"/>
      <c r="L7483" s="548"/>
      <c r="M7483" s="548"/>
      <c r="N7483" s="552"/>
    </row>
    <row r="7484" spans="1:14">
      <c r="A7484" s="499">
        <v>45749</v>
      </c>
      <c r="B7484" s="499">
        <v>45749</v>
      </c>
      <c r="C7484" s="500" t="s">
        <v>173</v>
      </c>
      <c r="D7484" s="500" t="s">
        <v>760</v>
      </c>
      <c r="E7484" s="501">
        <v>-6001249.5099999998</v>
      </c>
      <c r="F7484" s="502" t="s">
        <v>878</v>
      </c>
      <c r="G7484" s="100">
        <v>116558023</v>
      </c>
      <c r="H7484" s="530"/>
      <c r="I7484" s="422" t="s">
        <v>633</v>
      </c>
      <c r="J7484" s="484"/>
      <c r="K7484" s="548"/>
      <c r="L7484" s="548"/>
      <c r="M7484" s="548"/>
      <c r="N7484" s="552"/>
    </row>
    <row r="7485" spans="1:14">
      <c r="A7485" s="499">
        <v>45749</v>
      </c>
      <c r="B7485" s="499">
        <v>45750</v>
      </c>
      <c r="C7485" s="500" t="s">
        <v>173</v>
      </c>
      <c r="D7485" s="500" t="s">
        <v>760</v>
      </c>
      <c r="E7485" s="501">
        <v>849553700.17999995</v>
      </c>
      <c r="F7485" s="502" t="s">
        <v>878</v>
      </c>
      <c r="G7485" s="100">
        <v>116557655</v>
      </c>
      <c r="H7485" s="484">
        <v>116557655</v>
      </c>
      <c r="I7485" s="422" t="s">
        <v>633</v>
      </c>
      <c r="J7485" s="484"/>
      <c r="K7485" s="548"/>
      <c r="L7485" s="548"/>
      <c r="M7485" s="548"/>
      <c r="N7485" s="552"/>
    </row>
    <row r="7486" spans="1:14">
      <c r="A7486" s="499">
        <v>45749</v>
      </c>
      <c r="B7486" s="499">
        <v>45750</v>
      </c>
      <c r="C7486" s="500" t="s">
        <v>173</v>
      </c>
      <c r="D7486" s="500" t="s">
        <v>760</v>
      </c>
      <c r="E7486" s="501">
        <v>499568476.39999998</v>
      </c>
      <c r="F7486" s="502" t="s">
        <v>878</v>
      </c>
      <c r="G7486" s="100">
        <v>116557859</v>
      </c>
      <c r="H7486" s="484">
        <v>116557859</v>
      </c>
      <c r="I7486" s="422" t="s">
        <v>590</v>
      </c>
      <c r="J7486" s="484"/>
      <c r="K7486" s="548"/>
      <c r="L7486" s="548"/>
      <c r="M7486" s="548"/>
      <c r="N7486" s="552"/>
    </row>
    <row r="7487" spans="1:14">
      <c r="A7487" s="499">
        <v>45749</v>
      </c>
      <c r="B7487" s="499">
        <v>45750</v>
      </c>
      <c r="C7487" s="500" t="s">
        <v>173</v>
      </c>
      <c r="D7487" s="500" t="s">
        <v>760</v>
      </c>
      <c r="E7487" s="501">
        <v>6003880.1900000004</v>
      </c>
      <c r="F7487" s="502" t="s">
        <v>878</v>
      </c>
      <c r="G7487" s="100">
        <v>116558023</v>
      </c>
      <c r="H7487" s="484">
        <v>116558023</v>
      </c>
      <c r="I7487" s="422" t="s">
        <v>633</v>
      </c>
      <c r="J7487" s="484"/>
      <c r="K7487" s="548"/>
      <c r="L7487" s="548"/>
      <c r="M7487" s="548"/>
      <c r="N7487" s="552"/>
    </row>
    <row r="7488" spans="1:14">
      <c r="A7488" s="499">
        <v>45749</v>
      </c>
      <c r="B7488" s="499">
        <v>45749</v>
      </c>
      <c r="C7488" s="500" t="s">
        <v>173</v>
      </c>
      <c r="D7488" s="500" t="s">
        <v>764</v>
      </c>
      <c r="E7488" s="501">
        <v>-2997106273</v>
      </c>
      <c r="F7488" s="502" t="s">
        <v>878</v>
      </c>
      <c r="G7488" s="100">
        <v>116557505</v>
      </c>
      <c r="H7488" s="530"/>
      <c r="I7488" s="422" t="s">
        <v>657</v>
      </c>
      <c r="J7488" s="484"/>
      <c r="K7488" s="548"/>
      <c r="L7488" s="548"/>
      <c r="M7488" s="548"/>
      <c r="N7488" s="552"/>
    </row>
    <row r="7489" spans="1:16">
      <c r="A7489" s="499">
        <v>45749</v>
      </c>
      <c r="B7489" s="499">
        <v>45749</v>
      </c>
      <c r="C7489" s="500" t="s">
        <v>173</v>
      </c>
      <c r="D7489" s="500" t="s">
        <v>764</v>
      </c>
      <c r="E7489" s="501">
        <v>-15002745.41</v>
      </c>
      <c r="F7489" s="502" t="s">
        <v>878</v>
      </c>
      <c r="G7489" s="100">
        <v>116557538</v>
      </c>
      <c r="H7489" s="530"/>
      <c r="I7489" s="422" t="s">
        <v>1013</v>
      </c>
      <c r="J7489" s="484"/>
      <c r="K7489" s="548"/>
      <c r="L7489" s="548"/>
      <c r="M7489" s="548"/>
      <c r="N7489" s="552"/>
    </row>
    <row r="7490" spans="1:16">
      <c r="A7490" s="499">
        <v>45749</v>
      </c>
      <c r="B7490" s="499">
        <v>45756</v>
      </c>
      <c r="C7490" s="500" t="s">
        <v>173</v>
      </c>
      <c r="D7490" s="500" t="s">
        <v>764</v>
      </c>
      <c r="E7490" s="501">
        <v>3006475309.3200002</v>
      </c>
      <c r="F7490" s="502" t="s">
        <v>878</v>
      </c>
      <c r="G7490" s="100">
        <v>116557505</v>
      </c>
      <c r="H7490" s="100">
        <v>116557505</v>
      </c>
      <c r="I7490" s="422" t="s">
        <v>657</v>
      </c>
      <c r="J7490" s="484"/>
      <c r="K7490" s="548"/>
      <c r="L7490" s="548"/>
      <c r="M7490" s="548"/>
      <c r="N7490" s="552"/>
    </row>
    <row r="7491" spans="1:16">
      <c r="A7491" s="499">
        <v>45749</v>
      </c>
      <c r="B7491" s="499">
        <v>45756</v>
      </c>
      <c r="C7491" s="500" t="s">
        <v>173</v>
      </c>
      <c r="D7491" s="500" t="s">
        <v>764</v>
      </c>
      <c r="E7491" s="501">
        <v>15049644.4</v>
      </c>
      <c r="F7491" s="502" t="s">
        <v>878</v>
      </c>
      <c r="G7491" s="100">
        <v>116557538</v>
      </c>
      <c r="H7491" s="100">
        <v>116557538</v>
      </c>
      <c r="I7491" s="422" t="s">
        <v>1013</v>
      </c>
      <c r="J7491" s="484"/>
      <c r="K7491" s="548"/>
      <c r="L7491" s="548"/>
      <c r="M7491" s="548"/>
      <c r="N7491" s="552"/>
    </row>
    <row r="7492" spans="1:16">
      <c r="A7492" s="499">
        <v>45749</v>
      </c>
      <c r="B7492" s="499">
        <v>45749</v>
      </c>
      <c r="C7492" s="500" t="s">
        <v>173</v>
      </c>
      <c r="D7492" s="500" t="s">
        <v>763</v>
      </c>
      <c r="E7492" s="501">
        <v>-5192544329.2799997</v>
      </c>
      <c r="F7492" s="502" t="s">
        <v>878</v>
      </c>
      <c r="G7492" s="100">
        <v>116556095</v>
      </c>
      <c r="H7492" s="530"/>
      <c r="I7492" s="422" t="s">
        <v>816</v>
      </c>
      <c r="J7492" s="484"/>
      <c r="K7492" s="548"/>
      <c r="L7492" s="548"/>
      <c r="M7492" s="548"/>
      <c r="N7492" s="552"/>
    </row>
    <row r="7493" spans="1:16">
      <c r="A7493" s="499">
        <v>45749</v>
      </c>
      <c r="B7493" s="499">
        <v>45749</v>
      </c>
      <c r="C7493" s="500" t="s">
        <v>173</v>
      </c>
      <c r="D7493" s="500" t="s">
        <v>763</v>
      </c>
      <c r="E7493" s="501">
        <v>-3000549.08</v>
      </c>
      <c r="F7493" s="502" t="s">
        <v>878</v>
      </c>
      <c r="G7493" s="100">
        <v>116556320</v>
      </c>
      <c r="H7493" s="530"/>
      <c r="I7493" s="422" t="s">
        <v>1013</v>
      </c>
      <c r="J7493" s="484"/>
      <c r="K7493" s="548"/>
      <c r="L7493" s="548"/>
      <c r="M7493" s="548"/>
      <c r="N7493" s="552"/>
    </row>
    <row r="7494" spans="1:16">
      <c r="A7494" s="499">
        <v>45749</v>
      </c>
      <c r="B7494" s="499">
        <v>45749</v>
      </c>
      <c r="C7494" s="500" t="s">
        <v>173</v>
      </c>
      <c r="D7494" s="500" t="s">
        <v>763</v>
      </c>
      <c r="E7494" s="501">
        <v>-24002183.670000002</v>
      </c>
      <c r="F7494" s="502" t="s">
        <v>878</v>
      </c>
      <c r="G7494" s="100">
        <v>116556323</v>
      </c>
      <c r="H7494" s="530"/>
      <c r="I7494" s="422" t="s">
        <v>1018</v>
      </c>
      <c r="J7494" s="484"/>
      <c r="K7494" s="548"/>
      <c r="L7494" s="548"/>
      <c r="M7494" s="548"/>
      <c r="N7494" s="552"/>
    </row>
    <row r="7495" spans="1:16">
      <c r="A7495" s="499">
        <v>45749</v>
      </c>
      <c r="B7495" s="499">
        <v>45750</v>
      </c>
      <c r="C7495" s="500" t="s">
        <v>173</v>
      </c>
      <c r="D7495" s="500" t="s">
        <v>763</v>
      </c>
      <c r="E7495" s="501">
        <v>5194763608.5</v>
      </c>
      <c r="F7495" s="502" t="s">
        <v>878</v>
      </c>
      <c r="G7495" s="100">
        <v>116556095</v>
      </c>
      <c r="H7495" s="484">
        <v>116556095</v>
      </c>
      <c r="I7495" s="422" t="s">
        <v>816</v>
      </c>
      <c r="J7495" s="484"/>
      <c r="K7495" s="548"/>
      <c r="L7495" s="548"/>
      <c r="M7495" s="548"/>
      <c r="N7495" s="552"/>
    </row>
    <row r="7496" spans="1:16">
      <c r="A7496" s="499">
        <v>45749</v>
      </c>
      <c r="B7496" s="499">
        <v>45750</v>
      </c>
      <c r="C7496" s="500" t="s">
        <v>173</v>
      </c>
      <c r="D7496" s="500" t="s">
        <v>763</v>
      </c>
      <c r="E7496" s="501">
        <v>3001843.89</v>
      </c>
      <c r="F7496" s="502" t="s">
        <v>878</v>
      </c>
      <c r="G7496" s="100">
        <v>116556320</v>
      </c>
      <c r="H7496" s="484">
        <v>116556320</v>
      </c>
      <c r="I7496" s="422" t="s">
        <v>1013</v>
      </c>
      <c r="J7496" s="484"/>
      <c r="K7496" s="548"/>
      <c r="L7496" s="548"/>
      <c r="M7496" s="548"/>
      <c r="N7496" s="552"/>
    </row>
    <row r="7497" spans="1:16">
      <c r="A7497" s="499">
        <v>45749</v>
      </c>
      <c r="B7497" s="499">
        <v>45750</v>
      </c>
      <c r="C7497" s="500" t="s">
        <v>173</v>
      </c>
      <c r="D7497" s="500" t="s">
        <v>763</v>
      </c>
      <c r="E7497" s="501">
        <v>24012541.109999999</v>
      </c>
      <c r="F7497" s="502" t="s">
        <v>878</v>
      </c>
      <c r="G7497" s="100">
        <v>116556323</v>
      </c>
      <c r="H7497" s="484">
        <v>116556323</v>
      </c>
      <c r="I7497" s="422" t="s">
        <v>1018</v>
      </c>
      <c r="J7497" s="484"/>
      <c r="K7497" s="548"/>
      <c r="L7497" s="548"/>
      <c r="M7497" s="548"/>
      <c r="N7497" s="552"/>
    </row>
    <row r="7498" spans="1:16">
      <c r="A7498" s="499">
        <v>45750</v>
      </c>
      <c r="B7498" s="499">
        <v>45750</v>
      </c>
      <c r="C7498" s="500" t="s">
        <v>173</v>
      </c>
      <c r="D7498" s="500" t="s">
        <v>762</v>
      </c>
      <c r="E7498" s="501">
        <v>-3301598896.1999998</v>
      </c>
      <c r="F7498" s="502" t="s">
        <v>878</v>
      </c>
      <c r="G7498" s="100">
        <v>116581363</v>
      </c>
      <c r="H7498" s="530"/>
      <c r="I7498" s="422" t="s">
        <v>678</v>
      </c>
      <c r="J7498" s="484"/>
      <c r="K7498" s="548"/>
      <c r="L7498" s="548"/>
      <c r="M7498" s="548"/>
      <c r="N7498" s="552"/>
      <c r="P7498" s="539">
        <v>-1</v>
      </c>
    </row>
    <row r="7499" spans="1:16">
      <c r="A7499" s="499">
        <v>45750</v>
      </c>
      <c r="B7499" s="499">
        <v>45750</v>
      </c>
      <c r="C7499" s="500" t="s">
        <v>173</v>
      </c>
      <c r="D7499" s="500" t="s">
        <v>762</v>
      </c>
      <c r="E7499" s="501">
        <v>-309119623.29000002</v>
      </c>
      <c r="F7499" s="502" t="s">
        <v>878</v>
      </c>
      <c r="G7499" s="100">
        <v>116581366</v>
      </c>
      <c r="H7499" s="530"/>
      <c r="I7499" s="422" t="s">
        <v>833</v>
      </c>
      <c r="J7499" s="484"/>
      <c r="K7499" s="548"/>
      <c r="L7499" s="548"/>
      <c r="M7499" s="548"/>
      <c r="N7499" s="552"/>
    </row>
    <row r="7500" spans="1:16">
      <c r="A7500" s="499">
        <v>45750</v>
      </c>
      <c r="B7500" s="499">
        <v>45750</v>
      </c>
      <c r="C7500" s="500" t="s">
        <v>173</v>
      </c>
      <c r="D7500" s="500" t="s">
        <v>762</v>
      </c>
      <c r="E7500" s="501">
        <v>-44003812.780000001</v>
      </c>
      <c r="F7500" s="502" t="s">
        <v>878</v>
      </c>
      <c r="G7500" s="100">
        <v>116581369</v>
      </c>
      <c r="H7500" s="530"/>
      <c r="I7500" s="422" t="s">
        <v>633</v>
      </c>
      <c r="J7500" s="484"/>
      <c r="K7500" s="548"/>
      <c r="L7500" s="548"/>
      <c r="M7500" s="548"/>
      <c r="N7500" s="552"/>
    </row>
    <row r="7501" spans="1:16">
      <c r="A7501" s="499">
        <v>45750</v>
      </c>
      <c r="B7501" s="499">
        <v>45750</v>
      </c>
      <c r="C7501" s="500" t="s">
        <v>173</v>
      </c>
      <c r="D7501" s="500" t="s">
        <v>762</v>
      </c>
      <c r="E7501" s="501">
        <v>-1021380416.23</v>
      </c>
      <c r="F7501" s="502" t="s">
        <v>878</v>
      </c>
      <c r="G7501" s="100">
        <v>116581372</v>
      </c>
      <c r="H7501" s="530"/>
      <c r="I7501" s="422" t="s">
        <v>631</v>
      </c>
      <c r="J7501" s="484"/>
      <c r="K7501" s="548"/>
      <c r="L7501" s="548"/>
      <c r="M7501" s="548"/>
      <c r="N7501" s="552"/>
    </row>
    <row r="7502" spans="1:16">
      <c r="A7502" s="499">
        <v>45750</v>
      </c>
      <c r="B7502" s="499">
        <v>45750</v>
      </c>
      <c r="C7502" s="500" t="s">
        <v>173</v>
      </c>
      <c r="D7502" s="500" t="s">
        <v>762</v>
      </c>
      <c r="E7502" s="501">
        <v>-142044479.37</v>
      </c>
      <c r="F7502" s="502" t="s">
        <v>878</v>
      </c>
      <c r="G7502" s="100">
        <v>116581375</v>
      </c>
      <c r="H7502" s="530"/>
      <c r="I7502" s="422" t="s">
        <v>654</v>
      </c>
      <c r="J7502" s="484"/>
      <c r="K7502" s="548"/>
      <c r="L7502" s="548"/>
      <c r="M7502" s="548"/>
      <c r="N7502" s="552"/>
    </row>
    <row r="7503" spans="1:16">
      <c r="A7503" s="499">
        <v>45750</v>
      </c>
      <c r="B7503" s="499">
        <v>45750</v>
      </c>
      <c r="C7503" s="500" t="s">
        <v>173</v>
      </c>
      <c r="D7503" s="500" t="s">
        <v>762</v>
      </c>
      <c r="E7503" s="501">
        <v>-26000401.649999999</v>
      </c>
      <c r="F7503" s="502" t="s">
        <v>878</v>
      </c>
      <c r="G7503" s="100">
        <v>116587219</v>
      </c>
      <c r="H7503" s="530"/>
      <c r="I7503" s="422" t="s">
        <v>653</v>
      </c>
      <c r="J7503" s="484"/>
      <c r="K7503" s="548"/>
      <c r="L7503" s="548"/>
      <c r="M7503" s="548"/>
      <c r="N7503" s="552"/>
    </row>
    <row r="7504" spans="1:16">
      <c r="A7504" s="499">
        <v>45750</v>
      </c>
      <c r="B7504" s="499">
        <v>45751</v>
      </c>
      <c r="C7504" s="500" t="s">
        <v>173</v>
      </c>
      <c r="D7504" s="500" t="s">
        <v>762</v>
      </c>
      <c r="E7504" s="501">
        <v>3303019126.4499998</v>
      </c>
      <c r="F7504" s="502" t="s">
        <v>878</v>
      </c>
      <c r="G7504" s="100">
        <v>116581363</v>
      </c>
      <c r="H7504" s="484">
        <v>116581363</v>
      </c>
      <c r="I7504" s="422" t="s">
        <v>678</v>
      </c>
      <c r="J7504" s="484"/>
      <c r="K7504" s="548"/>
      <c r="L7504" s="548"/>
      <c r="M7504" s="548"/>
      <c r="N7504" s="552"/>
    </row>
    <row r="7505" spans="1:14">
      <c r="A7505" s="499">
        <v>45750</v>
      </c>
      <c r="B7505" s="499">
        <v>45751</v>
      </c>
      <c r="C7505" s="500" t="s">
        <v>173</v>
      </c>
      <c r="D7505" s="500" t="s">
        <v>762</v>
      </c>
      <c r="E7505" s="501">
        <v>309252595.54000002</v>
      </c>
      <c r="F7505" s="502" t="s">
        <v>878</v>
      </c>
      <c r="G7505" s="100">
        <v>116581366</v>
      </c>
      <c r="H7505" s="484">
        <v>116581366</v>
      </c>
      <c r="I7505" s="422" t="s">
        <v>833</v>
      </c>
      <c r="J7505" s="484"/>
      <c r="K7505" s="548"/>
      <c r="L7505" s="548"/>
      <c r="M7505" s="548"/>
      <c r="N7505" s="552"/>
    </row>
    <row r="7506" spans="1:14">
      <c r="A7506" s="499">
        <v>45750</v>
      </c>
      <c r="B7506" s="499">
        <v>45751</v>
      </c>
      <c r="C7506" s="500" t="s">
        <v>173</v>
      </c>
      <c r="D7506" s="500" t="s">
        <v>762</v>
      </c>
      <c r="E7506" s="501">
        <v>44022740.450000003</v>
      </c>
      <c r="F7506" s="502" t="s">
        <v>878</v>
      </c>
      <c r="G7506" s="100">
        <v>116581369</v>
      </c>
      <c r="H7506" s="484">
        <v>116581369</v>
      </c>
      <c r="I7506" s="422" t="s">
        <v>633</v>
      </c>
      <c r="J7506" s="484"/>
      <c r="K7506" s="548"/>
      <c r="L7506" s="548"/>
      <c r="M7506" s="548"/>
      <c r="N7506" s="552"/>
    </row>
    <row r="7507" spans="1:14">
      <c r="A7507" s="499">
        <v>45750</v>
      </c>
      <c r="B7507" s="499">
        <v>45751</v>
      </c>
      <c r="C7507" s="500" t="s">
        <v>173</v>
      </c>
      <c r="D7507" s="500" t="s">
        <v>762</v>
      </c>
      <c r="E7507" s="501">
        <v>1021819749.72</v>
      </c>
      <c r="F7507" s="502" t="s">
        <v>878</v>
      </c>
      <c r="G7507" s="100">
        <v>116581372</v>
      </c>
      <c r="H7507" s="484">
        <v>116581372</v>
      </c>
      <c r="I7507" s="422" t="s">
        <v>631</v>
      </c>
      <c r="J7507" s="484"/>
      <c r="K7507" s="548"/>
      <c r="L7507" s="548"/>
      <c r="M7507" s="548"/>
      <c r="N7507" s="552"/>
    </row>
    <row r="7508" spans="1:14">
      <c r="A7508" s="499">
        <v>45750</v>
      </c>
      <c r="B7508" s="499">
        <v>45751</v>
      </c>
      <c r="C7508" s="500" t="s">
        <v>173</v>
      </c>
      <c r="D7508" s="500" t="s">
        <v>762</v>
      </c>
      <c r="E7508" s="501">
        <v>142105577.94999999</v>
      </c>
      <c r="F7508" s="502" t="s">
        <v>878</v>
      </c>
      <c r="G7508" s="100">
        <v>116581375</v>
      </c>
      <c r="H7508" s="484">
        <v>116581375</v>
      </c>
      <c r="I7508" s="422" t="s">
        <v>654</v>
      </c>
      <c r="J7508" s="484"/>
      <c r="K7508" s="548"/>
      <c r="L7508" s="548"/>
      <c r="M7508" s="548"/>
      <c r="N7508" s="552"/>
    </row>
    <row r="7509" spans="1:14">
      <c r="A7509" s="499">
        <v>45750</v>
      </c>
      <c r="B7509" s="499">
        <v>45751</v>
      </c>
      <c r="C7509" s="500" t="s">
        <v>173</v>
      </c>
      <c r="D7509" s="500" t="s">
        <v>762</v>
      </c>
      <c r="E7509" s="501">
        <v>26011443.98</v>
      </c>
      <c r="F7509" s="502" t="s">
        <v>878</v>
      </c>
      <c r="G7509" s="100">
        <v>116587219</v>
      </c>
      <c r="H7509" s="484">
        <v>116587219</v>
      </c>
      <c r="I7509" s="422" t="s">
        <v>653</v>
      </c>
      <c r="J7509" s="484"/>
      <c r="K7509" s="548"/>
      <c r="L7509" s="548"/>
      <c r="M7509" s="548"/>
      <c r="N7509" s="552"/>
    </row>
    <row r="7510" spans="1:14">
      <c r="A7510" s="499">
        <v>45750</v>
      </c>
      <c r="B7510" s="499">
        <v>45750</v>
      </c>
      <c r="C7510" s="500" t="s">
        <v>173</v>
      </c>
      <c r="D7510" s="500" t="s">
        <v>761</v>
      </c>
      <c r="E7510" s="501">
        <v>-40015485.219999999</v>
      </c>
      <c r="F7510" s="502" t="s">
        <v>878</v>
      </c>
      <c r="G7510" s="100">
        <v>116580045</v>
      </c>
      <c r="H7510" s="530"/>
      <c r="I7510" s="422" t="s">
        <v>833</v>
      </c>
      <c r="J7510" s="484"/>
      <c r="K7510" s="548"/>
      <c r="L7510" s="548"/>
      <c r="M7510" s="548"/>
      <c r="N7510" s="552"/>
    </row>
    <row r="7511" spans="1:14">
      <c r="A7511" s="499">
        <v>45750</v>
      </c>
      <c r="B7511" s="499">
        <v>45750</v>
      </c>
      <c r="C7511" s="500" t="s">
        <v>173</v>
      </c>
      <c r="D7511" s="500" t="s">
        <v>761</v>
      </c>
      <c r="E7511" s="501">
        <v>-40042759.079999998</v>
      </c>
      <c r="F7511" s="502" t="s">
        <v>878</v>
      </c>
      <c r="G7511" s="100">
        <v>116580048</v>
      </c>
      <c r="H7511" s="530"/>
      <c r="I7511" s="422" t="s">
        <v>658</v>
      </c>
      <c r="J7511" s="484"/>
      <c r="K7511" s="548"/>
      <c r="L7511" s="548"/>
      <c r="M7511" s="548"/>
      <c r="N7511" s="552"/>
    </row>
    <row r="7512" spans="1:14">
      <c r="A7512" s="499">
        <v>45750</v>
      </c>
      <c r="B7512" s="499">
        <v>45750</v>
      </c>
      <c r="C7512" s="500" t="s">
        <v>173</v>
      </c>
      <c r="D7512" s="500" t="s">
        <v>761</v>
      </c>
      <c r="E7512" s="501">
        <v>-30007506.600000001</v>
      </c>
      <c r="F7512" s="502" t="s">
        <v>878</v>
      </c>
      <c r="G7512" s="100">
        <v>116580051</v>
      </c>
      <c r="H7512" s="530"/>
      <c r="I7512" s="422" t="s">
        <v>656</v>
      </c>
      <c r="J7512" s="484"/>
      <c r="K7512" s="548"/>
      <c r="L7512" s="548"/>
      <c r="M7512" s="548"/>
      <c r="N7512" s="552"/>
    </row>
    <row r="7513" spans="1:14">
      <c r="A7513" s="499">
        <v>45750</v>
      </c>
      <c r="B7513" s="499">
        <v>45750</v>
      </c>
      <c r="C7513" s="500" t="s">
        <v>173</v>
      </c>
      <c r="D7513" s="500" t="s">
        <v>761</v>
      </c>
      <c r="E7513" s="501">
        <v>-90013370.040000007</v>
      </c>
      <c r="F7513" s="502" t="s">
        <v>878</v>
      </c>
      <c r="G7513" s="100">
        <v>116580054</v>
      </c>
      <c r="H7513" s="530"/>
      <c r="I7513" s="422" t="s">
        <v>590</v>
      </c>
      <c r="J7513" s="484"/>
      <c r="K7513" s="548"/>
      <c r="L7513" s="548"/>
      <c r="M7513" s="548"/>
      <c r="N7513" s="552"/>
    </row>
    <row r="7514" spans="1:14">
      <c r="A7514" s="499">
        <v>45750</v>
      </c>
      <c r="B7514" s="499">
        <v>45750</v>
      </c>
      <c r="C7514" s="500" t="s">
        <v>173</v>
      </c>
      <c r="D7514" s="500" t="s">
        <v>761</v>
      </c>
      <c r="E7514" s="501">
        <v>-110077572</v>
      </c>
      <c r="F7514" s="502" t="s">
        <v>878</v>
      </c>
      <c r="G7514" s="100">
        <v>116580057</v>
      </c>
      <c r="H7514" s="530"/>
      <c r="I7514" s="422" t="s">
        <v>687</v>
      </c>
      <c r="J7514" s="484"/>
      <c r="K7514" s="548"/>
      <c r="L7514" s="548"/>
      <c r="M7514" s="548"/>
      <c r="N7514" s="552"/>
    </row>
    <row r="7515" spans="1:14">
      <c r="A7515" s="499">
        <v>45750</v>
      </c>
      <c r="B7515" s="499">
        <v>45750</v>
      </c>
      <c r="C7515" s="500" t="s">
        <v>173</v>
      </c>
      <c r="D7515" s="500" t="s">
        <v>761</v>
      </c>
      <c r="E7515" s="501">
        <v>-137011871.59999999</v>
      </c>
      <c r="F7515" s="502" t="s">
        <v>878</v>
      </c>
      <c r="G7515" s="100">
        <v>116584931</v>
      </c>
      <c r="H7515" s="530"/>
      <c r="I7515" s="422" t="s">
        <v>633</v>
      </c>
      <c r="J7515" s="484"/>
      <c r="K7515" s="548"/>
      <c r="L7515" s="548"/>
      <c r="M7515" s="548"/>
      <c r="N7515" s="552"/>
    </row>
    <row r="7516" spans="1:14">
      <c r="A7516" s="499">
        <v>45750</v>
      </c>
      <c r="B7516" s="499">
        <v>45750</v>
      </c>
      <c r="C7516" s="500" t="s">
        <v>173</v>
      </c>
      <c r="D7516" s="500" t="s">
        <v>761</v>
      </c>
      <c r="E7516" s="501">
        <v>-51030167.270000003</v>
      </c>
      <c r="F7516" s="502" t="s">
        <v>878</v>
      </c>
      <c r="G7516" s="100">
        <v>116584963</v>
      </c>
      <c r="H7516" s="530"/>
      <c r="I7516" s="422" t="s">
        <v>816</v>
      </c>
      <c r="J7516" s="484"/>
      <c r="K7516" s="548"/>
      <c r="L7516" s="548"/>
      <c r="M7516" s="548"/>
      <c r="N7516" s="552"/>
    </row>
    <row r="7517" spans="1:14">
      <c r="A7517" s="499">
        <v>45750</v>
      </c>
      <c r="B7517" s="499">
        <v>45750</v>
      </c>
      <c r="C7517" s="500" t="s">
        <v>173</v>
      </c>
      <c r="D7517" s="500" t="s">
        <v>761</v>
      </c>
      <c r="E7517" s="501">
        <v>-1493883131.9000001</v>
      </c>
      <c r="F7517" s="502" t="s">
        <v>878</v>
      </c>
      <c r="G7517" s="100">
        <v>116584966</v>
      </c>
      <c r="H7517" s="530"/>
      <c r="I7517" s="422" t="s">
        <v>816</v>
      </c>
      <c r="J7517" s="484"/>
      <c r="K7517" s="548"/>
      <c r="L7517" s="548"/>
      <c r="M7517" s="548"/>
      <c r="N7517" s="552"/>
    </row>
    <row r="7518" spans="1:14">
      <c r="A7518" s="499">
        <v>45750</v>
      </c>
      <c r="B7518" s="499">
        <v>45750</v>
      </c>
      <c r="C7518" s="500" t="s">
        <v>173</v>
      </c>
      <c r="D7518" s="500" t="s">
        <v>761</v>
      </c>
      <c r="E7518" s="501">
        <v>-9000609.6199999992</v>
      </c>
      <c r="F7518" s="502" t="s">
        <v>878</v>
      </c>
      <c r="G7518" s="100">
        <v>116585016</v>
      </c>
      <c r="H7518" s="530"/>
      <c r="I7518" s="422" t="s">
        <v>596</v>
      </c>
      <c r="J7518" s="484"/>
      <c r="K7518" s="548"/>
      <c r="L7518" s="548"/>
      <c r="M7518" s="548"/>
      <c r="N7518" s="552"/>
    </row>
    <row r="7519" spans="1:14">
      <c r="A7519" s="499">
        <v>45750</v>
      </c>
      <c r="B7519" s="499">
        <v>45751</v>
      </c>
      <c r="C7519" s="500" t="s">
        <v>173</v>
      </c>
      <c r="D7519" s="500" t="s">
        <v>761</v>
      </c>
      <c r="E7519" s="501">
        <v>40032861.810000002</v>
      </c>
      <c r="F7519" s="502" t="s">
        <v>878</v>
      </c>
      <c r="G7519" s="100">
        <v>116580045</v>
      </c>
      <c r="H7519" s="484">
        <v>116580045</v>
      </c>
      <c r="I7519" s="422" t="s">
        <v>833</v>
      </c>
      <c r="J7519" s="484"/>
      <c r="K7519" s="548"/>
      <c r="L7519" s="548"/>
      <c r="M7519" s="548"/>
      <c r="N7519" s="552"/>
    </row>
    <row r="7520" spans="1:14">
      <c r="A7520" s="499">
        <v>45750</v>
      </c>
      <c r="B7520" s="499">
        <v>45751</v>
      </c>
      <c r="C7520" s="500" t="s">
        <v>173</v>
      </c>
      <c r="D7520" s="500" t="s">
        <v>761</v>
      </c>
      <c r="E7520" s="501">
        <v>40060147.509999998</v>
      </c>
      <c r="F7520" s="502" t="s">
        <v>878</v>
      </c>
      <c r="G7520" s="100">
        <v>116580048</v>
      </c>
      <c r="H7520" s="484">
        <v>116580048</v>
      </c>
      <c r="I7520" s="422" t="s">
        <v>658</v>
      </c>
      <c r="J7520" s="484"/>
      <c r="K7520" s="548"/>
      <c r="L7520" s="548"/>
      <c r="M7520" s="548"/>
      <c r="N7520" s="552"/>
    </row>
    <row r="7521" spans="1:14">
      <c r="A7521" s="499">
        <v>45750</v>
      </c>
      <c r="B7521" s="499">
        <v>45751</v>
      </c>
      <c r="C7521" s="500" t="s">
        <v>173</v>
      </c>
      <c r="D7521" s="500" t="s">
        <v>761</v>
      </c>
      <c r="E7521" s="501">
        <v>30020537.260000002</v>
      </c>
      <c r="F7521" s="502" t="s">
        <v>878</v>
      </c>
      <c r="G7521" s="100">
        <v>116580051</v>
      </c>
      <c r="H7521" s="484">
        <v>116580051</v>
      </c>
      <c r="I7521" s="422" t="s">
        <v>656</v>
      </c>
      <c r="J7521" s="484"/>
      <c r="K7521" s="548"/>
      <c r="L7521" s="548"/>
      <c r="M7521" s="548"/>
      <c r="N7521" s="552"/>
    </row>
    <row r="7522" spans="1:14">
      <c r="A7522" s="499">
        <v>45750</v>
      </c>
      <c r="B7522" s="499">
        <v>45751</v>
      </c>
      <c r="C7522" s="500" t="s">
        <v>173</v>
      </c>
      <c r="D7522" s="500" t="s">
        <v>761</v>
      </c>
      <c r="E7522" s="501">
        <v>90052458.040000007</v>
      </c>
      <c r="F7522" s="502" t="s">
        <v>878</v>
      </c>
      <c r="G7522" s="100">
        <v>116580054</v>
      </c>
      <c r="H7522" s="484">
        <v>116580054</v>
      </c>
      <c r="I7522" s="422" t="s">
        <v>590</v>
      </c>
      <c r="J7522" s="484"/>
      <c r="K7522" s="548"/>
      <c r="L7522" s="548"/>
      <c r="M7522" s="548"/>
      <c r="N7522" s="552"/>
    </row>
    <row r="7523" spans="1:14">
      <c r="A7523" s="499">
        <v>45750</v>
      </c>
      <c r="B7523" s="499">
        <v>45751</v>
      </c>
      <c r="C7523" s="500" t="s">
        <v>173</v>
      </c>
      <c r="D7523" s="500" t="s">
        <v>761</v>
      </c>
      <c r="E7523" s="501">
        <v>110125372.81</v>
      </c>
      <c r="F7523" s="502" t="s">
        <v>878</v>
      </c>
      <c r="G7523" s="100">
        <v>116580057</v>
      </c>
      <c r="H7523" s="484">
        <v>116580057</v>
      </c>
      <c r="I7523" s="422" t="s">
        <v>687</v>
      </c>
      <c r="J7523" s="484"/>
      <c r="K7523" s="548"/>
      <c r="L7523" s="548"/>
      <c r="M7523" s="548"/>
      <c r="N7523" s="552"/>
    </row>
    <row r="7524" spans="1:14">
      <c r="A7524" s="499">
        <v>45750</v>
      </c>
      <c r="B7524" s="499">
        <v>45751</v>
      </c>
      <c r="C7524" s="500" t="s">
        <v>173</v>
      </c>
      <c r="D7524" s="500" t="s">
        <v>761</v>
      </c>
      <c r="E7524" s="501">
        <v>137071368.53999999</v>
      </c>
      <c r="F7524" s="502" t="s">
        <v>878</v>
      </c>
      <c r="G7524" s="100">
        <v>116584931</v>
      </c>
      <c r="H7524" s="484">
        <v>116584931</v>
      </c>
      <c r="I7524" s="422" t="s">
        <v>633</v>
      </c>
      <c r="J7524" s="484"/>
      <c r="K7524" s="548"/>
      <c r="L7524" s="548"/>
      <c r="M7524" s="548"/>
      <c r="N7524" s="552"/>
    </row>
    <row r="7525" spans="1:14">
      <c r="A7525" s="499">
        <v>45750</v>
      </c>
      <c r="B7525" s="499">
        <v>45751</v>
      </c>
      <c r="C7525" s="500" t="s">
        <v>173</v>
      </c>
      <c r="D7525" s="500" t="s">
        <v>761</v>
      </c>
      <c r="E7525" s="501">
        <v>51052326.950000003</v>
      </c>
      <c r="F7525" s="502" t="s">
        <v>878</v>
      </c>
      <c r="G7525" s="100">
        <v>116584963</v>
      </c>
      <c r="H7525" s="484">
        <v>116584963</v>
      </c>
      <c r="I7525" s="422" t="s">
        <v>816</v>
      </c>
      <c r="J7525" s="484"/>
      <c r="K7525" s="548"/>
      <c r="L7525" s="548"/>
      <c r="M7525" s="548"/>
      <c r="N7525" s="552"/>
    </row>
    <row r="7526" spans="1:14">
      <c r="A7526" s="499">
        <v>45750</v>
      </c>
      <c r="B7526" s="499">
        <v>45751</v>
      </c>
      <c r="C7526" s="500" t="s">
        <v>173</v>
      </c>
      <c r="D7526" s="500" t="s">
        <v>761</v>
      </c>
      <c r="E7526" s="501">
        <v>1494531845.53</v>
      </c>
      <c r="F7526" s="502" t="s">
        <v>878</v>
      </c>
      <c r="G7526" s="100">
        <v>116584966</v>
      </c>
      <c r="H7526" s="484">
        <v>116584966</v>
      </c>
      <c r="I7526" s="422" t="s">
        <v>816</v>
      </c>
      <c r="J7526" s="484"/>
      <c r="K7526" s="548"/>
      <c r="L7526" s="548"/>
      <c r="M7526" s="548"/>
      <c r="N7526" s="552"/>
    </row>
    <row r="7527" spans="1:14">
      <c r="A7527" s="499">
        <v>45750</v>
      </c>
      <c r="B7527" s="499">
        <v>45751</v>
      </c>
      <c r="C7527" s="500" t="s">
        <v>173</v>
      </c>
      <c r="D7527" s="500" t="s">
        <v>761</v>
      </c>
      <c r="E7527" s="501">
        <v>9004505.8000000007</v>
      </c>
      <c r="F7527" s="502" t="s">
        <v>878</v>
      </c>
      <c r="G7527" s="100">
        <v>116585016</v>
      </c>
      <c r="H7527" s="484">
        <v>116585016</v>
      </c>
      <c r="I7527" s="422" t="s">
        <v>596</v>
      </c>
      <c r="J7527" s="484"/>
      <c r="K7527" s="548"/>
      <c r="L7527" s="548"/>
      <c r="M7527" s="548"/>
      <c r="N7527" s="552"/>
    </row>
    <row r="7528" spans="1:14">
      <c r="A7528" s="499">
        <v>45750</v>
      </c>
      <c r="B7528" s="499">
        <v>45750</v>
      </c>
      <c r="C7528" s="500" t="s">
        <v>173</v>
      </c>
      <c r="D7528" s="500" t="s">
        <v>759</v>
      </c>
      <c r="E7528" s="501">
        <v>-4934545188.2600002</v>
      </c>
      <c r="F7528" s="502" t="s">
        <v>878</v>
      </c>
      <c r="G7528" s="100">
        <v>116580561</v>
      </c>
      <c r="H7528" s="530"/>
      <c r="I7528" s="422" t="s">
        <v>654</v>
      </c>
      <c r="J7528" s="484"/>
      <c r="K7528" s="548"/>
      <c r="L7528" s="548"/>
      <c r="M7528" s="548"/>
      <c r="N7528" s="552"/>
    </row>
    <row r="7529" spans="1:14">
      <c r="A7529" s="499">
        <v>45750</v>
      </c>
      <c r="B7529" s="499">
        <v>45750</v>
      </c>
      <c r="C7529" s="500" t="s">
        <v>173</v>
      </c>
      <c r="D7529" s="500" t="s">
        <v>759</v>
      </c>
      <c r="E7529" s="501">
        <v>-186140493.24000001</v>
      </c>
      <c r="F7529" s="502" t="s">
        <v>878</v>
      </c>
      <c r="G7529" s="100">
        <v>116580564</v>
      </c>
      <c r="H7529" s="530"/>
      <c r="I7529" s="422" t="s">
        <v>690</v>
      </c>
      <c r="J7529" s="484"/>
      <c r="K7529" s="548"/>
      <c r="L7529" s="548"/>
      <c r="M7529" s="548"/>
      <c r="N7529" s="552"/>
    </row>
    <row r="7530" spans="1:14">
      <c r="A7530" s="499">
        <v>45750</v>
      </c>
      <c r="B7530" s="499">
        <v>45750</v>
      </c>
      <c r="C7530" s="500" t="s">
        <v>173</v>
      </c>
      <c r="D7530" s="500" t="s">
        <v>759</v>
      </c>
      <c r="E7530" s="501">
        <v>-28005252.710000001</v>
      </c>
      <c r="F7530" s="502" t="s">
        <v>878</v>
      </c>
      <c r="G7530" s="100">
        <v>116580567</v>
      </c>
      <c r="H7530" s="530"/>
      <c r="I7530" s="422" t="s">
        <v>550</v>
      </c>
      <c r="J7530" s="484"/>
      <c r="K7530" s="548"/>
      <c r="L7530" s="548"/>
      <c r="M7530" s="548"/>
      <c r="N7530" s="552"/>
    </row>
    <row r="7531" spans="1:14">
      <c r="A7531" s="499">
        <v>45750</v>
      </c>
      <c r="B7531" s="499">
        <v>45750</v>
      </c>
      <c r="C7531" s="500" t="s">
        <v>173</v>
      </c>
      <c r="D7531" s="500" t="s">
        <v>759</v>
      </c>
      <c r="E7531" s="501">
        <v>-9004600.4199999999</v>
      </c>
      <c r="F7531" s="502" t="s">
        <v>878</v>
      </c>
      <c r="G7531" s="100">
        <v>116580570</v>
      </c>
      <c r="H7531" s="530"/>
      <c r="I7531" s="422" t="s">
        <v>693</v>
      </c>
      <c r="J7531" s="484"/>
      <c r="K7531" s="548"/>
      <c r="L7531" s="548"/>
      <c r="M7531" s="548"/>
      <c r="N7531" s="552"/>
    </row>
    <row r="7532" spans="1:14">
      <c r="A7532" s="499">
        <v>45750</v>
      </c>
      <c r="B7532" s="499">
        <v>45750</v>
      </c>
      <c r="C7532" s="500" t="s">
        <v>173</v>
      </c>
      <c r="D7532" s="500" t="s">
        <v>759</v>
      </c>
      <c r="E7532" s="501">
        <v>-1345336545.9000001</v>
      </c>
      <c r="F7532" s="502" t="s">
        <v>878</v>
      </c>
      <c r="G7532" s="100">
        <v>116580581</v>
      </c>
      <c r="H7532" s="530"/>
      <c r="I7532" s="422" t="s">
        <v>656</v>
      </c>
      <c r="J7532" s="484"/>
      <c r="K7532" s="548"/>
      <c r="L7532" s="548"/>
      <c r="M7532" s="548"/>
      <c r="N7532" s="552"/>
    </row>
    <row r="7533" spans="1:14">
      <c r="A7533" s="499">
        <v>45750</v>
      </c>
      <c r="B7533" s="499">
        <v>45750</v>
      </c>
      <c r="C7533" s="500" t="s">
        <v>173</v>
      </c>
      <c r="D7533" s="500" t="s">
        <v>759</v>
      </c>
      <c r="E7533" s="501">
        <v>-32015504.449999999</v>
      </c>
      <c r="F7533" s="502" t="s">
        <v>878</v>
      </c>
      <c r="G7533" s="100">
        <v>116580660</v>
      </c>
      <c r="H7533" s="530"/>
      <c r="I7533" s="422" t="s">
        <v>678</v>
      </c>
      <c r="J7533" s="484"/>
      <c r="K7533" s="548"/>
      <c r="L7533" s="548"/>
      <c r="M7533" s="548"/>
      <c r="N7533" s="552"/>
    </row>
    <row r="7534" spans="1:14">
      <c r="A7534" s="499">
        <v>45750</v>
      </c>
      <c r="B7534" s="499">
        <v>45750</v>
      </c>
      <c r="C7534" s="500" t="s">
        <v>173</v>
      </c>
      <c r="D7534" s="500" t="s">
        <v>759</v>
      </c>
      <c r="E7534" s="501">
        <v>-2000665520</v>
      </c>
      <c r="F7534" s="502" t="s">
        <v>878</v>
      </c>
      <c r="G7534" s="100">
        <v>116581103</v>
      </c>
      <c r="H7534" s="530"/>
      <c r="I7534" s="422" t="s">
        <v>681</v>
      </c>
      <c r="J7534" s="484"/>
      <c r="K7534" s="548"/>
      <c r="L7534" s="548"/>
      <c r="M7534" s="548"/>
      <c r="N7534" s="552"/>
    </row>
    <row r="7535" spans="1:14">
      <c r="A7535" s="499">
        <v>45750</v>
      </c>
      <c r="B7535" s="499">
        <v>45750</v>
      </c>
      <c r="C7535" s="500" t="s">
        <v>173</v>
      </c>
      <c r="D7535" s="500" t="s">
        <v>759</v>
      </c>
      <c r="E7535" s="501">
        <v>-11005329.65</v>
      </c>
      <c r="F7535" s="502" t="s">
        <v>878</v>
      </c>
      <c r="G7535" s="100">
        <v>116581299</v>
      </c>
      <c r="H7535" s="530"/>
      <c r="I7535" s="422" t="s">
        <v>678</v>
      </c>
      <c r="J7535" s="484"/>
      <c r="K7535" s="548"/>
      <c r="L7535" s="548"/>
      <c r="M7535" s="548"/>
      <c r="N7535" s="552"/>
    </row>
    <row r="7536" spans="1:14">
      <c r="A7536" s="499">
        <v>45750</v>
      </c>
      <c r="B7536" s="499">
        <v>45757</v>
      </c>
      <c r="C7536" s="500" t="s">
        <v>173</v>
      </c>
      <c r="D7536" s="500" t="s">
        <v>759</v>
      </c>
      <c r="E7536" s="501">
        <v>4949781630.7600002</v>
      </c>
      <c r="F7536" s="502" t="s">
        <v>878</v>
      </c>
      <c r="G7536" s="100">
        <v>116580561</v>
      </c>
      <c r="H7536" s="484">
        <v>116580561</v>
      </c>
      <c r="I7536" s="422" t="s">
        <v>654</v>
      </c>
      <c r="J7536" s="484"/>
      <c r="K7536" s="548"/>
      <c r="L7536" s="548"/>
      <c r="M7536" s="548"/>
      <c r="N7536" s="552"/>
    </row>
    <row r="7537" spans="1:14">
      <c r="A7537" s="499">
        <v>45750</v>
      </c>
      <c r="B7537" s="499">
        <v>45757</v>
      </c>
      <c r="C7537" s="500" t="s">
        <v>173</v>
      </c>
      <c r="D7537" s="500" t="s">
        <v>759</v>
      </c>
      <c r="E7537" s="501">
        <v>186715241.03</v>
      </c>
      <c r="F7537" s="502" t="s">
        <v>878</v>
      </c>
      <c r="G7537" s="100">
        <v>116580564</v>
      </c>
      <c r="H7537" s="484">
        <v>116580564</v>
      </c>
      <c r="I7537" s="422" t="s">
        <v>690</v>
      </c>
      <c r="J7537" s="484"/>
      <c r="K7537" s="548"/>
      <c r="L7537" s="548"/>
      <c r="M7537" s="548"/>
      <c r="N7537" s="552"/>
    </row>
    <row r="7538" spans="1:14">
      <c r="A7538" s="499">
        <v>45750</v>
      </c>
      <c r="B7538" s="499">
        <v>45757</v>
      </c>
      <c r="C7538" s="500" t="s">
        <v>173</v>
      </c>
      <c r="D7538" s="500" t="s">
        <v>759</v>
      </c>
      <c r="E7538" s="501">
        <v>28091724.800000001</v>
      </c>
      <c r="F7538" s="502" t="s">
        <v>878</v>
      </c>
      <c r="G7538" s="100">
        <v>116580567</v>
      </c>
      <c r="H7538" s="484">
        <v>116580567</v>
      </c>
      <c r="I7538" s="422" t="s">
        <v>550</v>
      </c>
      <c r="J7538" s="484"/>
      <c r="K7538" s="548"/>
      <c r="L7538" s="548"/>
      <c r="M7538" s="548"/>
      <c r="N7538" s="552"/>
    </row>
    <row r="7539" spans="1:14">
      <c r="A7539" s="499">
        <v>45750</v>
      </c>
      <c r="B7539" s="499">
        <v>45757</v>
      </c>
      <c r="C7539" s="500" t="s">
        <v>173</v>
      </c>
      <c r="D7539" s="500" t="s">
        <v>759</v>
      </c>
      <c r="E7539" s="501">
        <v>9032404.0099999998</v>
      </c>
      <c r="F7539" s="502" t="s">
        <v>878</v>
      </c>
      <c r="G7539" s="100">
        <v>116580570</v>
      </c>
      <c r="H7539" s="484">
        <v>116580570</v>
      </c>
      <c r="I7539" s="422" t="s">
        <v>693</v>
      </c>
      <c r="J7539" s="484"/>
      <c r="K7539" s="548"/>
      <c r="L7539" s="548"/>
      <c r="M7539" s="548"/>
      <c r="N7539" s="552"/>
    </row>
    <row r="7540" spans="1:14">
      <c r="A7540" s="499">
        <v>45750</v>
      </c>
      <c r="B7540" s="499">
        <v>45757</v>
      </c>
      <c r="C7540" s="500" t="s">
        <v>173</v>
      </c>
      <c r="D7540" s="500" t="s">
        <v>759</v>
      </c>
      <c r="E7540" s="501">
        <v>1349490554.45</v>
      </c>
      <c r="F7540" s="502" t="s">
        <v>878</v>
      </c>
      <c r="G7540" s="100">
        <v>116580581</v>
      </c>
      <c r="H7540" s="484">
        <v>116580581</v>
      </c>
      <c r="I7540" s="422" t="s">
        <v>656</v>
      </c>
      <c r="J7540" s="484"/>
      <c r="K7540" s="548"/>
      <c r="L7540" s="548"/>
      <c r="M7540" s="548"/>
      <c r="N7540" s="552"/>
    </row>
    <row r="7541" spans="1:14">
      <c r="A7541" s="499">
        <v>45750</v>
      </c>
      <c r="B7541" s="499">
        <v>45757</v>
      </c>
      <c r="C7541" s="500" t="s">
        <v>173</v>
      </c>
      <c r="D7541" s="500" t="s">
        <v>759</v>
      </c>
      <c r="E7541" s="501">
        <v>32114359.030000001</v>
      </c>
      <c r="F7541" s="502" t="s">
        <v>878</v>
      </c>
      <c r="G7541" s="100">
        <v>116580660</v>
      </c>
      <c r="H7541" s="484">
        <v>116580660</v>
      </c>
      <c r="I7541" s="422" t="s">
        <v>678</v>
      </c>
      <c r="J7541" s="484"/>
      <c r="K7541" s="548"/>
      <c r="L7541" s="548"/>
      <c r="M7541" s="548"/>
      <c r="N7541" s="552"/>
    </row>
    <row r="7542" spans="1:14">
      <c r="A7542" s="499">
        <v>45750</v>
      </c>
      <c r="B7542" s="499">
        <v>45751</v>
      </c>
      <c r="C7542" s="500" t="s">
        <v>173</v>
      </c>
      <c r="D7542" s="500" t="s">
        <v>759</v>
      </c>
      <c r="E7542" s="501">
        <v>2001531561.51</v>
      </c>
      <c r="F7542" s="502" t="s">
        <v>878</v>
      </c>
      <c r="G7542" s="100">
        <v>116581103</v>
      </c>
      <c r="H7542" s="484">
        <v>116581103</v>
      </c>
      <c r="I7542" s="422" t="s">
        <v>681</v>
      </c>
      <c r="J7542" s="484"/>
      <c r="K7542" s="548"/>
      <c r="L7542" s="548"/>
      <c r="M7542" s="548"/>
      <c r="N7542" s="552"/>
    </row>
    <row r="7543" spans="1:14">
      <c r="A7543" s="499">
        <v>45750</v>
      </c>
      <c r="B7543" s="499">
        <v>45751</v>
      </c>
      <c r="C7543" s="500" t="s">
        <v>173</v>
      </c>
      <c r="D7543" s="500" t="s">
        <v>759</v>
      </c>
      <c r="E7543" s="501">
        <v>11010063.75</v>
      </c>
      <c r="F7543" s="502" t="s">
        <v>878</v>
      </c>
      <c r="G7543" s="100">
        <v>116581299</v>
      </c>
      <c r="H7543" s="484">
        <v>116581299</v>
      </c>
      <c r="I7543" s="422" t="s">
        <v>678</v>
      </c>
      <c r="J7543" s="484"/>
      <c r="K7543" s="548"/>
      <c r="L7543" s="548"/>
      <c r="M7543" s="548"/>
      <c r="N7543" s="552"/>
    </row>
    <row r="7544" spans="1:14">
      <c r="A7544" s="499">
        <v>45750</v>
      </c>
      <c r="B7544" s="499">
        <v>45750</v>
      </c>
      <c r="C7544" s="500" t="s">
        <v>173</v>
      </c>
      <c r="D7544" s="500" t="s">
        <v>760</v>
      </c>
      <c r="E7544" s="501">
        <v>-141103033.78</v>
      </c>
      <c r="F7544" s="502" t="s">
        <v>878</v>
      </c>
      <c r="G7544" s="100">
        <v>116578585</v>
      </c>
      <c r="H7544" s="530"/>
      <c r="I7544" s="422" t="s">
        <v>684</v>
      </c>
      <c r="J7544" s="484"/>
      <c r="K7544" s="548"/>
      <c r="L7544" s="548"/>
      <c r="M7544" s="548"/>
      <c r="N7544" s="552"/>
    </row>
    <row r="7545" spans="1:14">
      <c r="A7545" s="499">
        <v>45750</v>
      </c>
      <c r="B7545" s="499">
        <v>45750</v>
      </c>
      <c r="C7545" s="500" t="s">
        <v>173</v>
      </c>
      <c r="D7545" s="500" t="s">
        <v>760</v>
      </c>
      <c r="E7545" s="501">
        <v>-255105036.80000001</v>
      </c>
      <c r="F7545" s="502" t="s">
        <v>878</v>
      </c>
      <c r="G7545" s="100">
        <v>116578588</v>
      </c>
      <c r="H7545" s="530"/>
      <c r="I7545" s="422" t="s">
        <v>705</v>
      </c>
      <c r="J7545" s="484"/>
      <c r="K7545" s="548"/>
      <c r="L7545" s="548"/>
      <c r="M7545" s="548"/>
      <c r="N7545" s="552"/>
    </row>
    <row r="7546" spans="1:14">
      <c r="A7546" s="499">
        <v>45750</v>
      </c>
      <c r="B7546" s="499">
        <v>45750</v>
      </c>
      <c r="C7546" s="500" t="s">
        <v>173</v>
      </c>
      <c r="D7546" s="500" t="s">
        <v>760</v>
      </c>
      <c r="E7546" s="501">
        <v>-280143124.24000001</v>
      </c>
      <c r="F7546" s="502" t="s">
        <v>878</v>
      </c>
      <c r="G7546" s="100">
        <v>116578591</v>
      </c>
      <c r="H7546" s="530"/>
      <c r="I7546" s="422" t="s">
        <v>693</v>
      </c>
      <c r="J7546" s="484"/>
      <c r="K7546" s="548"/>
      <c r="L7546" s="548"/>
      <c r="M7546" s="548"/>
      <c r="N7546" s="552"/>
    </row>
    <row r="7547" spans="1:14">
      <c r="A7547" s="499">
        <v>45750</v>
      </c>
      <c r="B7547" s="499">
        <v>45750</v>
      </c>
      <c r="C7547" s="500" t="s">
        <v>173</v>
      </c>
      <c r="D7547" s="500" t="s">
        <v>760</v>
      </c>
      <c r="E7547" s="501">
        <v>-281234180.06</v>
      </c>
      <c r="F7547" s="502" t="s">
        <v>878</v>
      </c>
      <c r="G7547" s="100">
        <v>116578594</v>
      </c>
      <c r="H7547" s="530"/>
      <c r="I7547" s="422" t="s">
        <v>671</v>
      </c>
      <c r="J7547" s="484"/>
      <c r="K7547" s="548"/>
      <c r="L7547" s="548"/>
      <c r="M7547" s="548"/>
      <c r="N7547" s="552"/>
    </row>
    <row r="7548" spans="1:14">
      <c r="A7548" s="499">
        <v>45750</v>
      </c>
      <c r="B7548" s="499">
        <v>45750</v>
      </c>
      <c r="C7548" s="500" t="s">
        <v>173</v>
      </c>
      <c r="D7548" s="500" t="s">
        <v>760</v>
      </c>
      <c r="E7548" s="501">
        <v>-293222978.26999998</v>
      </c>
      <c r="F7548" s="502" t="s">
        <v>878</v>
      </c>
      <c r="G7548" s="100">
        <v>116578597</v>
      </c>
      <c r="H7548" s="530"/>
      <c r="I7548" s="422" t="s">
        <v>819</v>
      </c>
      <c r="J7548" s="484"/>
      <c r="K7548" s="548"/>
      <c r="L7548" s="548"/>
      <c r="M7548" s="548"/>
      <c r="N7548" s="552"/>
    </row>
    <row r="7549" spans="1:14">
      <c r="A7549" s="499">
        <v>45750</v>
      </c>
      <c r="B7549" s="499">
        <v>45750</v>
      </c>
      <c r="C7549" s="500" t="s">
        <v>173</v>
      </c>
      <c r="D7549" s="500" t="s">
        <v>760</v>
      </c>
      <c r="E7549" s="501">
        <v>-299249180.92000002</v>
      </c>
      <c r="F7549" s="502" t="s">
        <v>878</v>
      </c>
      <c r="G7549" s="100">
        <v>116578600</v>
      </c>
      <c r="H7549" s="530"/>
      <c r="I7549" s="422" t="s">
        <v>671</v>
      </c>
      <c r="J7549" s="484"/>
      <c r="K7549" s="548"/>
      <c r="L7549" s="548"/>
      <c r="M7549" s="548"/>
      <c r="N7549" s="552"/>
    </row>
    <row r="7550" spans="1:14">
      <c r="A7550" s="499">
        <v>45750</v>
      </c>
      <c r="B7550" s="499">
        <v>45750</v>
      </c>
      <c r="C7550" s="500" t="s">
        <v>173</v>
      </c>
      <c r="D7550" s="500" t="s">
        <v>760</v>
      </c>
      <c r="E7550" s="501">
        <v>-2000817.84</v>
      </c>
      <c r="F7550" s="502" t="s">
        <v>878</v>
      </c>
      <c r="G7550" s="100">
        <v>116578603</v>
      </c>
      <c r="H7550" s="530"/>
      <c r="I7550" s="422" t="s">
        <v>821</v>
      </c>
      <c r="J7550" s="484"/>
      <c r="K7550" s="548"/>
      <c r="L7550" s="548"/>
      <c r="M7550" s="548"/>
      <c r="N7550" s="552"/>
    </row>
    <row r="7551" spans="1:14">
      <c r="A7551" s="499">
        <v>45750</v>
      </c>
      <c r="B7551" s="499">
        <v>45750</v>
      </c>
      <c r="C7551" s="500" t="s">
        <v>173</v>
      </c>
      <c r="D7551" s="500" t="s">
        <v>760</v>
      </c>
      <c r="E7551" s="501">
        <v>-10000058.279999999</v>
      </c>
      <c r="F7551" s="502" t="s">
        <v>878</v>
      </c>
      <c r="G7551" s="100">
        <v>116579061</v>
      </c>
      <c r="H7551" s="530"/>
      <c r="I7551" s="422" t="s">
        <v>1018</v>
      </c>
      <c r="J7551" s="484"/>
      <c r="K7551" s="548"/>
      <c r="L7551" s="548"/>
      <c r="M7551" s="548"/>
      <c r="N7551" s="552"/>
    </row>
    <row r="7552" spans="1:14">
      <c r="A7552" s="499">
        <v>45750</v>
      </c>
      <c r="B7552" s="499">
        <v>45751</v>
      </c>
      <c r="C7552" s="500" t="s">
        <v>173</v>
      </c>
      <c r="D7552" s="500" t="s">
        <v>760</v>
      </c>
      <c r="E7552" s="501">
        <v>141164114</v>
      </c>
      <c r="F7552" s="502" t="s">
        <v>878</v>
      </c>
      <c r="G7552" s="100">
        <v>116578585</v>
      </c>
      <c r="H7552" s="484">
        <v>116578585</v>
      </c>
      <c r="I7552" s="422" t="s">
        <v>684</v>
      </c>
      <c r="J7552" s="484"/>
      <c r="K7552" s="548"/>
      <c r="L7552" s="548"/>
      <c r="M7552" s="548"/>
      <c r="N7552" s="552"/>
    </row>
    <row r="7553" spans="1:14">
      <c r="A7553" s="499">
        <v>45750</v>
      </c>
      <c r="B7553" s="499">
        <v>45751</v>
      </c>
      <c r="C7553" s="500" t="s">
        <v>173</v>
      </c>
      <c r="D7553" s="500" t="s">
        <v>760</v>
      </c>
      <c r="E7553" s="501">
        <v>255215465.83000001</v>
      </c>
      <c r="F7553" s="502" t="s">
        <v>878</v>
      </c>
      <c r="G7553" s="100">
        <v>116578588</v>
      </c>
      <c r="H7553" s="484">
        <v>116578588</v>
      </c>
      <c r="I7553" s="422" t="s">
        <v>705</v>
      </c>
      <c r="J7553" s="484"/>
      <c r="K7553" s="548"/>
      <c r="L7553" s="548"/>
      <c r="M7553" s="548"/>
      <c r="N7553" s="552"/>
    </row>
    <row r="7554" spans="1:14">
      <c r="A7554" s="499">
        <v>45750</v>
      </c>
      <c r="B7554" s="499">
        <v>45751</v>
      </c>
      <c r="C7554" s="500" t="s">
        <v>173</v>
      </c>
      <c r="D7554" s="500" t="s">
        <v>760</v>
      </c>
      <c r="E7554" s="501">
        <v>280264391.67000002</v>
      </c>
      <c r="F7554" s="502" t="s">
        <v>878</v>
      </c>
      <c r="G7554" s="100">
        <v>116578591</v>
      </c>
      <c r="H7554" s="484">
        <v>116578591</v>
      </c>
      <c r="I7554" s="422" t="s">
        <v>693</v>
      </c>
      <c r="J7554" s="484"/>
      <c r="K7554" s="548"/>
      <c r="L7554" s="548"/>
      <c r="M7554" s="548"/>
      <c r="N7554" s="552"/>
    </row>
    <row r="7555" spans="1:14">
      <c r="A7555" s="499">
        <v>45750</v>
      </c>
      <c r="B7555" s="499">
        <v>45751</v>
      </c>
      <c r="C7555" s="500" t="s">
        <v>173</v>
      </c>
      <c r="D7555" s="500" t="s">
        <v>760</v>
      </c>
      <c r="E7555" s="501">
        <v>281355919.79000002</v>
      </c>
      <c r="F7555" s="502" t="s">
        <v>878</v>
      </c>
      <c r="G7555" s="100">
        <v>116578594</v>
      </c>
      <c r="H7555" s="484">
        <v>116578594</v>
      </c>
      <c r="I7555" s="422" t="s">
        <v>671</v>
      </c>
      <c r="J7555" s="484"/>
      <c r="K7555" s="548"/>
      <c r="L7555" s="548"/>
      <c r="M7555" s="548"/>
      <c r="N7555" s="552"/>
    </row>
    <row r="7556" spans="1:14">
      <c r="A7556" s="499">
        <v>45750</v>
      </c>
      <c r="B7556" s="499">
        <v>45751</v>
      </c>
      <c r="C7556" s="500" t="s">
        <v>173</v>
      </c>
      <c r="D7556" s="500" t="s">
        <v>760</v>
      </c>
      <c r="E7556" s="501">
        <v>293349907.67000002</v>
      </c>
      <c r="F7556" s="502" t="s">
        <v>878</v>
      </c>
      <c r="G7556" s="100">
        <v>116578597</v>
      </c>
      <c r="H7556" s="484">
        <v>116578597</v>
      </c>
      <c r="I7556" s="422" t="s">
        <v>819</v>
      </c>
      <c r="J7556" s="484"/>
      <c r="K7556" s="548"/>
      <c r="L7556" s="548"/>
      <c r="M7556" s="548"/>
      <c r="N7556" s="552"/>
    </row>
    <row r="7557" spans="1:14">
      <c r="A7557" s="499">
        <v>45750</v>
      </c>
      <c r="B7557" s="499">
        <v>45751</v>
      </c>
      <c r="C7557" s="500" t="s">
        <v>173</v>
      </c>
      <c r="D7557" s="500" t="s">
        <v>760</v>
      </c>
      <c r="E7557" s="501">
        <v>299378718.92000002</v>
      </c>
      <c r="F7557" s="502" t="s">
        <v>878</v>
      </c>
      <c r="G7557" s="100">
        <v>116578600</v>
      </c>
      <c r="H7557" s="484">
        <v>116578600</v>
      </c>
      <c r="I7557" s="422" t="s">
        <v>671</v>
      </c>
      <c r="J7557" s="484"/>
      <c r="K7557" s="548"/>
      <c r="L7557" s="548"/>
      <c r="M7557" s="548"/>
      <c r="N7557" s="552"/>
    </row>
    <row r="7558" spans="1:14">
      <c r="A7558" s="499">
        <v>45750</v>
      </c>
      <c r="B7558" s="499">
        <v>45751</v>
      </c>
      <c r="C7558" s="500" t="s">
        <v>173</v>
      </c>
      <c r="D7558" s="500" t="s">
        <v>760</v>
      </c>
      <c r="E7558" s="501">
        <v>2001683.95</v>
      </c>
      <c r="F7558" s="502" t="s">
        <v>878</v>
      </c>
      <c r="G7558" s="100">
        <v>116578603</v>
      </c>
      <c r="H7558" s="484">
        <v>116578603</v>
      </c>
      <c r="I7558" s="422" t="s">
        <v>821</v>
      </c>
      <c r="J7558" s="484"/>
      <c r="K7558" s="548"/>
      <c r="L7558" s="548"/>
      <c r="M7558" s="548"/>
      <c r="N7558" s="552"/>
    </row>
    <row r="7559" spans="1:14">
      <c r="A7559" s="499">
        <v>45750</v>
      </c>
      <c r="B7559" s="499">
        <v>45751</v>
      </c>
      <c r="C7559" s="500" t="s">
        <v>173</v>
      </c>
      <c r="D7559" s="500" t="s">
        <v>760</v>
      </c>
      <c r="E7559" s="501">
        <v>10004387.07</v>
      </c>
      <c r="F7559" s="502" t="s">
        <v>878</v>
      </c>
      <c r="G7559" s="100">
        <v>116579061</v>
      </c>
      <c r="H7559" s="484">
        <v>116579061</v>
      </c>
      <c r="I7559" s="422" t="s">
        <v>1018</v>
      </c>
      <c r="J7559" s="484"/>
      <c r="K7559" s="548"/>
      <c r="L7559" s="548"/>
      <c r="M7559" s="548"/>
      <c r="N7559" s="552"/>
    </row>
    <row r="7560" spans="1:14">
      <c r="A7560" s="499">
        <v>45750</v>
      </c>
      <c r="B7560" s="499">
        <v>45750</v>
      </c>
      <c r="C7560" s="500" t="s">
        <v>173</v>
      </c>
      <c r="D7560" s="500" t="s">
        <v>763</v>
      </c>
      <c r="E7560" s="501">
        <v>-5197795442.7799997</v>
      </c>
      <c r="F7560" s="502" t="s">
        <v>878</v>
      </c>
      <c r="G7560" s="100">
        <v>116577143</v>
      </c>
      <c r="H7560" s="530"/>
      <c r="I7560" s="422" t="s">
        <v>684</v>
      </c>
      <c r="J7560" s="484"/>
      <c r="K7560" s="548"/>
      <c r="L7560" s="548"/>
      <c r="M7560" s="548"/>
      <c r="N7560" s="552"/>
    </row>
    <row r="7561" spans="1:14">
      <c r="A7561" s="499">
        <v>45750</v>
      </c>
      <c r="B7561" s="499">
        <v>45750</v>
      </c>
      <c r="C7561" s="500" t="s">
        <v>173</v>
      </c>
      <c r="D7561" s="500" t="s">
        <v>763</v>
      </c>
      <c r="E7561" s="501">
        <v>-24000018.420000002</v>
      </c>
      <c r="F7561" s="502" t="s">
        <v>878</v>
      </c>
      <c r="G7561" s="100">
        <v>116577235</v>
      </c>
      <c r="H7561" s="530"/>
      <c r="I7561" s="422" t="s">
        <v>811</v>
      </c>
      <c r="J7561" s="484"/>
      <c r="K7561" s="548"/>
      <c r="L7561" s="548"/>
      <c r="M7561" s="548"/>
      <c r="N7561" s="552"/>
    </row>
    <row r="7562" spans="1:14">
      <c r="A7562" s="499">
        <v>45750</v>
      </c>
      <c r="B7562" s="499">
        <v>45751</v>
      </c>
      <c r="C7562" s="500" t="s">
        <v>173</v>
      </c>
      <c r="D7562" s="500" t="s">
        <v>763</v>
      </c>
      <c r="E7562" s="501">
        <v>5200038341.3599997</v>
      </c>
      <c r="F7562" s="502" t="s">
        <v>878</v>
      </c>
      <c r="G7562" s="100">
        <v>116577143</v>
      </c>
      <c r="H7562" s="484">
        <v>116577143</v>
      </c>
      <c r="I7562" s="422" t="s">
        <v>684</v>
      </c>
      <c r="J7562" s="484"/>
      <c r="K7562" s="548"/>
      <c r="L7562" s="548"/>
      <c r="M7562" s="548"/>
      <c r="N7562" s="552"/>
    </row>
    <row r="7563" spans="1:14">
      <c r="A7563" s="499">
        <v>45750</v>
      </c>
      <c r="B7563" s="499">
        <v>45751</v>
      </c>
      <c r="C7563" s="500" t="s">
        <v>173</v>
      </c>
      <c r="D7563" s="500" t="s">
        <v>763</v>
      </c>
      <c r="E7563" s="501">
        <v>24010407.469999999</v>
      </c>
      <c r="F7563" s="502" t="s">
        <v>878</v>
      </c>
      <c r="G7563" s="100">
        <v>116577235</v>
      </c>
      <c r="H7563" s="484">
        <v>116577235</v>
      </c>
      <c r="I7563" s="422" t="s">
        <v>811</v>
      </c>
      <c r="J7563" s="484"/>
      <c r="K7563" s="548"/>
      <c r="L7563" s="548"/>
      <c r="M7563" s="548"/>
      <c r="N7563" s="552"/>
    </row>
    <row r="7564" spans="1:14">
      <c r="A7564" s="499">
        <v>45751</v>
      </c>
      <c r="B7564" s="499">
        <v>45751</v>
      </c>
      <c r="C7564" s="500" t="s">
        <v>173</v>
      </c>
      <c r="D7564" s="500" t="s">
        <v>762</v>
      </c>
      <c r="E7564" s="501">
        <v>-103043165.28</v>
      </c>
      <c r="F7564" s="502" t="s">
        <v>878</v>
      </c>
      <c r="G7564" s="100">
        <v>116601573</v>
      </c>
      <c r="H7564" s="530"/>
      <c r="I7564" s="422" t="s">
        <v>1013</v>
      </c>
      <c r="J7564" s="484"/>
      <c r="K7564" s="548"/>
      <c r="L7564" s="548"/>
      <c r="M7564" s="548"/>
      <c r="N7564" s="552"/>
    </row>
    <row r="7565" spans="1:14">
      <c r="A7565" s="499">
        <v>45751</v>
      </c>
      <c r="B7565" s="499">
        <v>45751</v>
      </c>
      <c r="C7565" s="500" t="s">
        <v>173</v>
      </c>
      <c r="D7565" s="500" t="s">
        <v>762</v>
      </c>
      <c r="E7565" s="501">
        <v>-4720518882</v>
      </c>
      <c r="F7565" s="502" t="s">
        <v>878</v>
      </c>
      <c r="G7565" s="100">
        <v>116601576</v>
      </c>
      <c r="H7565" s="530"/>
      <c r="I7565" s="422" t="s">
        <v>684</v>
      </c>
      <c r="J7565" s="484"/>
      <c r="K7565" s="548"/>
      <c r="L7565" s="548"/>
      <c r="M7565" s="548"/>
      <c r="N7565" s="552"/>
    </row>
    <row r="7566" spans="1:14">
      <c r="A7566" s="499">
        <v>45751</v>
      </c>
      <c r="B7566" s="499">
        <v>45751</v>
      </c>
      <c r="C7566" s="500" t="s">
        <v>173</v>
      </c>
      <c r="D7566" s="500" t="s">
        <v>762</v>
      </c>
      <c r="E7566" s="501">
        <v>-22003636.16</v>
      </c>
      <c r="F7566" s="502" t="s">
        <v>878</v>
      </c>
      <c r="G7566" s="100">
        <v>116605350</v>
      </c>
      <c r="H7566" s="530"/>
      <c r="I7566" s="422" t="s">
        <v>633</v>
      </c>
      <c r="J7566" s="484"/>
      <c r="K7566" s="548"/>
      <c r="L7566" s="548"/>
      <c r="M7566" s="548"/>
      <c r="N7566" s="552"/>
    </row>
    <row r="7567" spans="1:14">
      <c r="A7567" s="499">
        <v>45751</v>
      </c>
      <c r="B7567" s="499">
        <v>45754</v>
      </c>
      <c r="C7567" s="500" t="s">
        <v>173</v>
      </c>
      <c r="D7567" s="500" t="s">
        <v>762</v>
      </c>
      <c r="E7567" s="501">
        <v>103174441.14</v>
      </c>
      <c r="F7567" s="502" t="s">
        <v>878</v>
      </c>
      <c r="G7567" s="100">
        <v>116601573</v>
      </c>
      <c r="H7567" s="484">
        <v>116601573</v>
      </c>
      <c r="I7567" s="422" t="s">
        <v>1013</v>
      </c>
      <c r="J7567" s="484"/>
      <c r="K7567" s="548"/>
      <c r="L7567" s="548"/>
      <c r="M7567" s="548"/>
      <c r="N7567" s="552"/>
    </row>
    <row r="7568" spans="1:14">
      <c r="A7568" s="499">
        <v>45751</v>
      </c>
      <c r="B7568" s="499">
        <v>45754</v>
      </c>
      <c r="C7568" s="500" t="s">
        <v>173</v>
      </c>
      <c r="D7568" s="500" t="s">
        <v>762</v>
      </c>
      <c r="E7568" s="501">
        <v>4726532771.3199997</v>
      </c>
      <c r="F7568" s="502" t="s">
        <v>878</v>
      </c>
      <c r="G7568" s="100">
        <v>116601576</v>
      </c>
      <c r="H7568" s="484">
        <v>116601576</v>
      </c>
      <c r="I7568" s="422" t="s">
        <v>684</v>
      </c>
      <c r="J7568" s="484"/>
      <c r="K7568" s="548"/>
      <c r="L7568" s="548"/>
      <c r="M7568" s="548"/>
      <c r="N7568" s="552"/>
    </row>
    <row r="7569" spans="1:25">
      <c r="A7569" s="499">
        <v>45751</v>
      </c>
      <c r="B7569" s="499">
        <v>45754</v>
      </c>
      <c r="C7569" s="500" t="s">
        <v>173</v>
      </c>
      <c r="D7569" s="500" t="s">
        <v>762</v>
      </c>
      <c r="E7569" s="501">
        <v>22032120.32</v>
      </c>
      <c r="F7569" s="502" t="s">
        <v>878</v>
      </c>
      <c r="G7569" s="100">
        <v>116605350</v>
      </c>
      <c r="H7569" s="484">
        <v>116605350</v>
      </c>
      <c r="I7569" s="422" t="s">
        <v>633</v>
      </c>
      <c r="J7569" s="484"/>
      <c r="K7569" s="548"/>
      <c r="L7569" s="548"/>
      <c r="M7569" s="548"/>
      <c r="N7569" s="552"/>
    </row>
    <row r="7570" spans="1:25">
      <c r="A7570" s="499">
        <v>45751</v>
      </c>
      <c r="B7570" s="499">
        <v>45755</v>
      </c>
      <c r="C7570" s="500" t="s">
        <v>173</v>
      </c>
      <c r="D7570" s="500" t="s">
        <v>762</v>
      </c>
      <c r="E7570" s="501">
        <v>-525960222.22000003</v>
      </c>
      <c r="F7570" s="502" t="s">
        <v>906</v>
      </c>
      <c r="G7570" s="100" t="s">
        <v>498</v>
      </c>
      <c r="H7570" s="530"/>
      <c r="I7570" s="422" t="s">
        <v>658</v>
      </c>
      <c r="K7570" s="548">
        <v>116613630</v>
      </c>
      <c r="L7570" s="549">
        <v>99.2226</v>
      </c>
      <c r="M7570" s="549">
        <f>E7570*(-1)/(N7570*O7570)*100</f>
        <v>105.192044444</v>
      </c>
      <c r="N7570" s="549">
        <v>500000</v>
      </c>
      <c r="O7570" s="539">
        <v>1000</v>
      </c>
      <c r="T7570" s="538">
        <v>15.7</v>
      </c>
      <c r="U7570" s="538">
        <v>26298.01</v>
      </c>
      <c r="V7570" s="538">
        <v>52596.02</v>
      </c>
      <c r="W7570" s="550">
        <f>VLOOKUP(G7570,Справочник!A:C,3,0)</f>
        <v>0.1535</v>
      </c>
      <c r="X7570" s="539" t="str">
        <f>VLOOKUP(G7570,Справочник!A:G,7,0)</f>
        <v>Министерство финансов Республики Казахстан</v>
      </c>
      <c r="Y7570" s="551">
        <f>VLOOKUP(G7570,Справочник!A:B,2,0)</f>
        <v>46709</v>
      </c>
    </row>
    <row r="7571" spans="1:25">
      <c r="A7571" s="499">
        <v>45751</v>
      </c>
      <c r="B7571" s="499">
        <v>45751</v>
      </c>
      <c r="C7571" s="500" t="s">
        <v>173</v>
      </c>
      <c r="D7571" s="500" t="s">
        <v>761</v>
      </c>
      <c r="E7571" s="501">
        <v>-1493176592.04</v>
      </c>
      <c r="F7571" s="502" t="s">
        <v>878</v>
      </c>
      <c r="G7571" s="100">
        <v>116600372</v>
      </c>
      <c r="H7571" s="530"/>
      <c r="I7571" s="422" t="s">
        <v>680</v>
      </c>
      <c r="J7571" s="484"/>
      <c r="K7571" s="548"/>
      <c r="L7571" s="548"/>
      <c r="M7571" s="548"/>
      <c r="N7571" s="552"/>
    </row>
    <row r="7572" spans="1:25">
      <c r="A7572" s="499">
        <v>45751</v>
      </c>
      <c r="B7572" s="499">
        <v>45751</v>
      </c>
      <c r="C7572" s="500" t="s">
        <v>173</v>
      </c>
      <c r="D7572" s="500" t="s">
        <v>761</v>
      </c>
      <c r="E7572" s="501">
        <v>-506003703.92000002</v>
      </c>
      <c r="F7572" s="502" t="s">
        <v>878</v>
      </c>
      <c r="G7572" s="100">
        <v>116600395</v>
      </c>
      <c r="H7572" s="530"/>
      <c r="I7572" s="422" t="s">
        <v>681</v>
      </c>
      <c r="J7572" s="484"/>
      <c r="K7572" s="548"/>
      <c r="L7572" s="548"/>
      <c r="M7572" s="548"/>
      <c r="N7572" s="552"/>
    </row>
    <row r="7573" spans="1:25">
      <c r="A7573" s="499">
        <v>45751</v>
      </c>
      <c r="B7573" s="499">
        <v>45751</v>
      </c>
      <c r="C7573" s="500" t="s">
        <v>173</v>
      </c>
      <c r="D7573" s="500" t="s">
        <v>761</v>
      </c>
      <c r="E7573" s="501">
        <v>-3000021.96</v>
      </c>
      <c r="F7573" s="502" t="s">
        <v>878</v>
      </c>
      <c r="G7573" s="100">
        <v>116600407</v>
      </c>
      <c r="H7573" s="530"/>
      <c r="I7573" s="422" t="s">
        <v>681</v>
      </c>
      <c r="J7573" s="484"/>
      <c r="K7573" s="548"/>
      <c r="L7573" s="548"/>
      <c r="M7573" s="548"/>
      <c r="N7573" s="552"/>
    </row>
    <row r="7574" spans="1:25">
      <c r="A7574" s="499">
        <v>45751</v>
      </c>
      <c r="B7574" s="499">
        <v>45758</v>
      </c>
      <c r="C7574" s="500" t="s">
        <v>173</v>
      </c>
      <c r="D7574" s="500" t="s">
        <v>761</v>
      </c>
      <c r="E7574" s="501">
        <v>1497787030.45</v>
      </c>
      <c r="F7574" s="502" t="s">
        <v>878</v>
      </c>
      <c r="G7574" s="100">
        <v>116600372</v>
      </c>
      <c r="H7574" s="484">
        <v>116600372</v>
      </c>
      <c r="I7574" s="422" t="s">
        <v>680</v>
      </c>
      <c r="J7574" s="484"/>
      <c r="K7574" s="548"/>
      <c r="L7574" s="548"/>
      <c r="M7574" s="548"/>
      <c r="N7574" s="552"/>
    </row>
    <row r="7575" spans="1:25">
      <c r="A7575" s="499">
        <v>45751</v>
      </c>
      <c r="B7575" s="499">
        <v>45754</v>
      </c>
      <c r="C7575" s="500" t="s">
        <v>173</v>
      </c>
      <c r="D7575" s="500" t="s">
        <v>761</v>
      </c>
      <c r="E7575" s="501">
        <v>506656664.95999998</v>
      </c>
      <c r="F7575" s="502" t="s">
        <v>878</v>
      </c>
      <c r="G7575" s="100">
        <v>116600395</v>
      </c>
      <c r="H7575" s="484">
        <v>116600395</v>
      </c>
      <c r="I7575" s="422" t="s">
        <v>681</v>
      </c>
      <c r="J7575" s="484"/>
      <c r="K7575" s="548"/>
      <c r="L7575" s="548"/>
      <c r="M7575" s="548"/>
      <c r="N7575" s="552"/>
    </row>
    <row r="7576" spans="1:25">
      <c r="A7576" s="499">
        <v>45751</v>
      </c>
      <c r="B7576" s="499">
        <v>45754</v>
      </c>
      <c r="C7576" s="500" t="s">
        <v>173</v>
      </c>
      <c r="D7576" s="500" t="s">
        <v>761</v>
      </c>
      <c r="E7576" s="501">
        <v>3003893.27</v>
      </c>
      <c r="F7576" s="502" t="s">
        <v>878</v>
      </c>
      <c r="G7576" s="100">
        <v>116600407</v>
      </c>
      <c r="H7576" s="484">
        <v>116600407</v>
      </c>
      <c r="I7576" s="422" t="s">
        <v>681</v>
      </c>
      <c r="J7576" s="484"/>
      <c r="K7576" s="548"/>
      <c r="L7576" s="548"/>
      <c r="M7576" s="548"/>
      <c r="N7576" s="552"/>
    </row>
    <row r="7577" spans="1:25">
      <c r="A7577" s="499">
        <v>45751</v>
      </c>
      <c r="B7577" s="499">
        <v>45751</v>
      </c>
      <c r="C7577" s="500" t="s">
        <v>173</v>
      </c>
      <c r="D7577" s="500" t="s">
        <v>759</v>
      </c>
      <c r="E7577" s="501">
        <v>-700221244.79999995</v>
      </c>
      <c r="F7577" s="502" t="s">
        <v>878</v>
      </c>
      <c r="G7577" s="100">
        <v>116600753</v>
      </c>
      <c r="H7577" s="530"/>
      <c r="I7577" s="422" t="s">
        <v>687</v>
      </c>
      <c r="J7577" s="484"/>
      <c r="K7577" s="548"/>
      <c r="L7577" s="548"/>
      <c r="M7577" s="548"/>
      <c r="N7577" s="552"/>
    </row>
    <row r="7578" spans="1:25">
      <c r="A7578" s="499">
        <v>45751</v>
      </c>
      <c r="B7578" s="499">
        <v>45751</v>
      </c>
      <c r="C7578" s="500" t="s">
        <v>173</v>
      </c>
      <c r="D7578" s="500" t="s">
        <v>759</v>
      </c>
      <c r="E7578" s="501">
        <v>-1302009530.6400001</v>
      </c>
      <c r="F7578" s="502" t="s">
        <v>878</v>
      </c>
      <c r="G7578" s="100">
        <v>116600756</v>
      </c>
      <c r="H7578" s="530"/>
      <c r="I7578" s="422" t="s">
        <v>681</v>
      </c>
      <c r="J7578" s="484"/>
      <c r="K7578" s="548"/>
      <c r="L7578" s="548"/>
      <c r="M7578" s="548"/>
      <c r="N7578" s="552"/>
    </row>
    <row r="7579" spans="1:25">
      <c r="A7579" s="499">
        <v>45751</v>
      </c>
      <c r="B7579" s="499">
        <v>45751</v>
      </c>
      <c r="C7579" s="500" t="s">
        <v>173</v>
      </c>
      <c r="D7579" s="500" t="s">
        <v>759</v>
      </c>
      <c r="E7579" s="501">
        <v>-10000073.199999999</v>
      </c>
      <c r="F7579" s="502" t="s">
        <v>878</v>
      </c>
      <c r="G7579" s="100">
        <v>116600784</v>
      </c>
      <c r="H7579" s="530"/>
      <c r="I7579" s="422" t="s">
        <v>681</v>
      </c>
      <c r="J7579" s="484"/>
      <c r="K7579" s="548"/>
      <c r="L7579" s="548"/>
      <c r="M7579" s="548"/>
      <c r="N7579" s="552"/>
    </row>
    <row r="7580" spans="1:25">
      <c r="A7580" s="499">
        <v>45751</v>
      </c>
      <c r="B7580" s="499">
        <v>45754</v>
      </c>
      <c r="C7580" s="500" t="s">
        <v>173</v>
      </c>
      <c r="D7580" s="500" t="s">
        <v>759</v>
      </c>
      <c r="E7580" s="501">
        <v>701124835.23000002</v>
      </c>
      <c r="F7580" s="502" t="s">
        <v>878</v>
      </c>
      <c r="G7580" s="100">
        <v>116600753</v>
      </c>
      <c r="H7580" s="484">
        <v>116600753</v>
      </c>
      <c r="I7580" s="422" t="s">
        <v>687</v>
      </c>
      <c r="J7580" s="484"/>
      <c r="K7580" s="548"/>
      <c r="L7580" s="548"/>
      <c r="M7580" s="548"/>
      <c r="N7580" s="552"/>
    </row>
    <row r="7581" spans="1:25">
      <c r="A7581" s="499">
        <v>45751</v>
      </c>
      <c r="B7581" s="499">
        <v>45754</v>
      </c>
      <c r="C7581" s="500" t="s">
        <v>173</v>
      </c>
      <c r="D7581" s="500" t="s">
        <v>759</v>
      </c>
      <c r="E7581" s="501">
        <v>1303689679.4100001</v>
      </c>
      <c r="F7581" s="502" t="s">
        <v>878</v>
      </c>
      <c r="G7581" s="100">
        <v>116600756</v>
      </c>
      <c r="H7581" s="484">
        <v>116600756</v>
      </c>
      <c r="I7581" s="422" t="s">
        <v>681</v>
      </c>
      <c r="J7581" s="484"/>
      <c r="K7581" s="548"/>
      <c r="L7581" s="548"/>
      <c r="M7581" s="548"/>
      <c r="N7581" s="552"/>
    </row>
    <row r="7582" spans="1:25">
      <c r="A7582" s="499">
        <v>45751</v>
      </c>
      <c r="B7582" s="499">
        <v>45754</v>
      </c>
      <c r="C7582" s="500" t="s">
        <v>173</v>
      </c>
      <c r="D7582" s="500" t="s">
        <v>759</v>
      </c>
      <c r="E7582" s="501">
        <v>10012977.57</v>
      </c>
      <c r="F7582" s="502" t="s">
        <v>878</v>
      </c>
      <c r="G7582" s="100">
        <v>116600784</v>
      </c>
      <c r="H7582" s="484">
        <v>116600784</v>
      </c>
      <c r="I7582" s="422" t="s">
        <v>681</v>
      </c>
      <c r="J7582" s="484"/>
      <c r="K7582" s="548"/>
      <c r="L7582" s="548"/>
      <c r="M7582" s="548"/>
      <c r="N7582" s="552"/>
    </row>
    <row r="7583" spans="1:25">
      <c r="A7583" s="499">
        <v>45751</v>
      </c>
      <c r="B7583" s="499">
        <v>45751</v>
      </c>
      <c r="C7583" s="500" t="s">
        <v>173</v>
      </c>
      <c r="D7583" s="500" t="s">
        <v>760</v>
      </c>
      <c r="E7583" s="501">
        <v>-1551973236.99</v>
      </c>
      <c r="F7583" s="502" t="s">
        <v>878</v>
      </c>
      <c r="G7583" s="100">
        <v>116597434</v>
      </c>
      <c r="H7583" s="530"/>
      <c r="I7583" s="422" t="s">
        <v>657</v>
      </c>
      <c r="J7583" s="484"/>
      <c r="K7583" s="548"/>
      <c r="L7583" s="548"/>
      <c r="M7583" s="548"/>
      <c r="N7583" s="552"/>
    </row>
    <row r="7584" spans="1:25">
      <c r="A7584" s="499">
        <v>45751</v>
      </c>
      <c r="B7584" s="499">
        <v>45751</v>
      </c>
      <c r="C7584" s="500" t="s">
        <v>173</v>
      </c>
      <c r="D7584" s="500" t="s">
        <v>760</v>
      </c>
      <c r="E7584" s="501">
        <v>-10000975.92</v>
      </c>
      <c r="F7584" s="502" t="s">
        <v>878</v>
      </c>
      <c r="G7584" s="100">
        <v>116597632</v>
      </c>
      <c r="H7584" s="530"/>
      <c r="I7584" s="422" t="s">
        <v>678</v>
      </c>
      <c r="J7584" s="484"/>
      <c r="K7584" s="548"/>
      <c r="L7584" s="548"/>
      <c r="M7584" s="548"/>
      <c r="N7584" s="552"/>
    </row>
    <row r="7585" spans="1:14">
      <c r="A7585" s="499">
        <v>45751</v>
      </c>
      <c r="B7585" s="499">
        <v>45754</v>
      </c>
      <c r="C7585" s="500" t="s">
        <v>173</v>
      </c>
      <c r="D7585" s="500" t="s">
        <v>760</v>
      </c>
      <c r="E7585" s="501">
        <v>1553995054.1800001</v>
      </c>
      <c r="F7585" s="502" t="s">
        <v>878</v>
      </c>
      <c r="G7585" s="100">
        <v>116597434</v>
      </c>
      <c r="H7585" s="100">
        <v>116597434</v>
      </c>
      <c r="I7585" s="422" t="s">
        <v>657</v>
      </c>
      <c r="J7585" s="484"/>
      <c r="K7585" s="548"/>
      <c r="L7585" s="548"/>
      <c r="M7585" s="548"/>
      <c r="N7585" s="552"/>
    </row>
    <row r="7586" spans="1:14">
      <c r="A7586" s="499">
        <v>45751</v>
      </c>
      <c r="B7586" s="499">
        <v>45754</v>
      </c>
      <c r="C7586" s="500" t="s">
        <v>173</v>
      </c>
      <c r="D7586" s="500" t="s">
        <v>760</v>
      </c>
      <c r="E7586" s="501">
        <v>10014004.59</v>
      </c>
      <c r="F7586" s="502" t="s">
        <v>878</v>
      </c>
      <c r="G7586" s="100">
        <v>116597632</v>
      </c>
      <c r="H7586" s="100">
        <v>116597632</v>
      </c>
      <c r="I7586" s="422" t="s">
        <v>678</v>
      </c>
      <c r="J7586" s="484"/>
      <c r="K7586" s="548"/>
      <c r="L7586" s="548"/>
      <c r="M7586" s="548"/>
      <c r="N7586" s="552"/>
    </row>
    <row r="7587" spans="1:14">
      <c r="A7587" s="499">
        <v>45751</v>
      </c>
      <c r="B7587" s="499">
        <v>45751</v>
      </c>
      <c r="C7587" s="500" t="s">
        <v>173</v>
      </c>
      <c r="D7587" s="500" t="s">
        <v>763</v>
      </c>
      <c r="E7587" s="501">
        <v>-5199876216</v>
      </c>
      <c r="F7587" s="502" t="s">
        <v>878</v>
      </c>
      <c r="G7587" s="100">
        <v>116596536</v>
      </c>
      <c r="H7587" s="530"/>
      <c r="I7587" s="422" t="s">
        <v>684</v>
      </c>
      <c r="J7587" s="484"/>
      <c r="K7587" s="548"/>
      <c r="L7587" s="548"/>
      <c r="M7587" s="548"/>
      <c r="N7587" s="552"/>
    </row>
    <row r="7588" spans="1:14">
      <c r="A7588" s="499">
        <v>45751</v>
      </c>
      <c r="B7588" s="499">
        <v>45751</v>
      </c>
      <c r="C7588" s="500" t="s">
        <v>173</v>
      </c>
      <c r="D7588" s="500" t="s">
        <v>763</v>
      </c>
      <c r="E7588" s="501">
        <v>-24002006.510000002</v>
      </c>
      <c r="F7588" s="502" t="s">
        <v>878</v>
      </c>
      <c r="G7588" s="100">
        <v>116596698</v>
      </c>
      <c r="H7588" s="530"/>
      <c r="I7588" s="422" t="s">
        <v>1018</v>
      </c>
      <c r="J7588" s="484"/>
      <c r="K7588" s="548"/>
      <c r="L7588" s="548"/>
      <c r="M7588" s="548"/>
      <c r="N7588" s="552"/>
    </row>
    <row r="7589" spans="1:14">
      <c r="A7589" s="499">
        <v>45751</v>
      </c>
      <c r="B7589" s="499">
        <v>45754</v>
      </c>
      <c r="C7589" s="500" t="s">
        <v>173</v>
      </c>
      <c r="D7589" s="500" t="s">
        <v>763</v>
      </c>
      <c r="E7589" s="501">
        <v>5206564823.8999996</v>
      </c>
      <c r="F7589" s="502" t="s">
        <v>878</v>
      </c>
      <c r="G7589" s="100">
        <v>116596536</v>
      </c>
      <c r="H7589" s="100">
        <v>116596536</v>
      </c>
      <c r="I7589" s="422" t="s">
        <v>684</v>
      </c>
      <c r="J7589" s="484"/>
      <c r="K7589" s="548"/>
      <c r="L7589" s="548"/>
      <c r="M7589" s="548"/>
      <c r="N7589" s="552"/>
    </row>
    <row r="7590" spans="1:14">
      <c r="A7590" s="499">
        <v>45751</v>
      </c>
      <c r="B7590" s="499">
        <v>45754</v>
      </c>
      <c r="C7590" s="500" t="s">
        <v>173</v>
      </c>
      <c r="D7590" s="500" t="s">
        <v>763</v>
      </c>
      <c r="E7590" s="501">
        <v>24032881.309999999</v>
      </c>
      <c r="F7590" s="502" t="s">
        <v>878</v>
      </c>
      <c r="G7590" s="100">
        <v>116596698</v>
      </c>
      <c r="H7590" s="100">
        <v>116596698</v>
      </c>
      <c r="I7590" s="422" t="s">
        <v>1018</v>
      </c>
      <c r="J7590" s="484"/>
      <c r="K7590" s="548"/>
      <c r="L7590" s="548"/>
      <c r="M7590" s="548"/>
      <c r="N7590" s="552"/>
    </row>
    <row r="7591" spans="1:14">
      <c r="A7591" s="499">
        <v>45754</v>
      </c>
      <c r="B7591" s="499">
        <v>45754</v>
      </c>
      <c r="C7591" s="500" t="s">
        <v>173</v>
      </c>
      <c r="D7591" s="500" t="s">
        <v>762</v>
      </c>
      <c r="E7591" s="501">
        <v>-104066008.8</v>
      </c>
      <c r="F7591" s="502" t="s">
        <v>878</v>
      </c>
      <c r="G7591" s="100">
        <v>116620289</v>
      </c>
      <c r="H7591" s="530"/>
      <c r="I7591" s="422" t="s">
        <v>657</v>
      </c>
      <c r="J7591" s="484"/>
      <c r="K7591" s="548"/>
      <c r="L7591" s="548"/>
      <c r="M7591" s="548"/>
      <c r="N7591" s="552"/>
    </row>
    <row r="7592" spans="1:14">
      <c r="A7592" s="499">
        <v>45754</v>
      </c>
      <c r="B7592" s="499">
        <v>45754</v>
      </c>
      <c r="C7592" s="500" t="s">
        <v>173</v>
      </c>
      <c r="D7592" s="500" t="s">
        <v>762</v>
      </c>
      <c r="E7592" s="501">
        <v>-4732121518.3199997</v>
      </c>
      <c r="F7592" s="502" t="s">
        <v>878</v>
      </c>
      <c r="G7592" s="100">
        <v>116620292</v>
      </c>
      <c r="H7592" s="530"/>
      <c r="I7592" s="422" t="s">
        <v>819</v>
      </c>
      <c r="J7592" s="484"/>
      <c r="K7592" s="548"/>
      <c r="L7592" s="548"/>
      <c r="M7592" s="548"/>
      <c r="N7592" s="552"/>
    </row>
    <row r="7593" spans="1:14">
      <c r="A7593" s="499">
        <v>45754</v>
      </c>
      <c r="B7593" s="499">
        <v>45755</v>
      </c>
      <c r="C7593" s="500" t="s">
        <v>173</v>
      </c>
      <c r="D7593" s="500" t="s">
        <v>762</v>
      </c>
      <c r="E7593" s="501">
        <v>104111370.45999999</v>
      </c>
      <c r="F7593" s="502" t="s">
        <v>878</v>
      </c>
      <c r="G7593" s="100">
        <v>116620289</v>
      </c>
      <c r="H7593" s="100">
        <v>116620289</v>
      </c>
      <c r="I7593" s="422" t="s">
        <v>657</v>
      </c>
      <c r="J7593" s="484"/>
      <c r="K7593" s="548"/>
      <c r="L7593" s="548"/>
      <c r="M7593" s="548"/>
      <c r="N7593" s="552"/>
    </row>
    <row r="7594" spans="1:14">
      <c r="A7594" s="499">
        <v>45754</v>
      </c>
      <c r="B7594" s="499">
        <v>45755</v>
      </c>
      <c r="C7594" s="500" t="s">
        <v>173</v>
      </c>
      <c r="D7594" s="500" t="s">
        <v>762</v>
      </c>
      <c r="E7594" s="501">
        <v>4734184217.6800003</v>
      </c>
      <c r="F7594" s="502" t="s">
        <v>878</v>
      </c>
      <c r="G7594" s="100">
        <v>116620292</v>
      </c>
      <c r="H7594" s="100">
        <v>116620292</v>
      </c>
      <c r="I7594" s="422" t="s">
        <v>819</v>
      </c>
      <c r="J7594" s="484"/>
      <c r="K7594" s="548"/>
      <c r="L7594" s="548"/>
      <c r="M7594" s="548"/>
      <c r="N7594" s="552"/>
    </row>
    <row r="7595" spans="1:14">
      <c r="A7595" s="499">
        <v>45754</v>
      </c>
      <c r="B7595" s="499">
        <v>45754</v>
      </c>
      <c r="C7595" s="500" t="s">
        <v>173</v>
      </c>
      <c r="D7595" s="500" t="s">
        <v>761</v>
      </c>
      <c r="E7595" s="501">
        <v>-507011485.57999998</v>
      </c>
      <c r="F7595" s="502" t="s">
        <v>878</v>
      </c>
      <c r="G7595" s="100">
        <v>116620662</v>
      </c>
      <c r="H7595" s="530"/>
      <c r="I7595" s="422" t="s">
        <v>768</v>
      </c>
      <c r="J7595" s="484"/>
      <c r="K7595" s="548"/>
      <c r="L7595" s="548"/>
      <c r="M7595" s="548"/>
      <c r="N7595" s="552"/>
    </row>
    <row r="7596" spans="1:14">
      <c r="A7596" s="499">
        <v>45754</v>
      </c>
      <c r="B7596" s="499">
        <v>45754</v>
      </c>
      <c r="C7596" s="500" t="s">
        <v>173</v>
      </c>
      <c r="D7596" s="500" t="s">
        <v>761</v>
      </c>
      <c r="E7596" s="501">
        <v>-3001829.82</v>
      </c>
      <c r="F7596" s="502" t="s">
        <v>878</v>
      </c>
      <c r="G7596" s="100">
        <v>116621221</v>
      </c>
      <c r="H7596" s="530"/>
      <c r="I7596" s="422" t="s">
        <v>706</v>
      </c>
      <c r="J7596" s="484"/>
      <c r="K7596" s="548"/>
      <c r="L7596" s="548"/>
      <c r="M7596" s="548"/>
      <c r="N7596" s="552"/>
    </row>
    <row r="7597" spans="1:14">
      <c r="A7597" s="499">
        <v>45754</v>
      </c>
      <c r="B7597" s="499">
        <v>45755</v>
      </c>
      <c r="C7597" s="500" t="s">
        <v>173</v>
      </c>
      <c r="D7597" s="500" t="s">
        <v>761</v>
      </c>
      <c r="E7597" s="501">
        <v>507233737.19</v>
      </c>
      <c r="F7597" s="502" t="s">
        <v>878</v>
      </c>
      <c r="G7597" s="100">
        <v>116620662</v>
      </c>
      <c r="H7597" s="100">
        <v>116620662</v>
      </c>
      <c r="I7597" s="422" t="s">
        <v>768</v>
      </c>
      <c r="J7597" s="484"/>
      <c r="K7597" s="548"/>
      <c r="L7597" s="548"/>
      <c r="M7597" s="548"/>
      <c r="N7597" s="552"/>
    </row>
    <row r="7598" spans="1:14">
      <c r="A7598" s="499">
        <v>45754</v>
      </c>
      <c r="B7598" s="499">
        <v>45755</v>
      </c>
      <c r="C7598" s="500" t="s">
        <v>173</v>
      </c>
      <c r="D7598" s="500" t="s">
        <v>761</v>
      </c>
      <c r="E7598" s="501">
        <v>3003145.69</v>
      </c>
      <c r="F7598" s="502" t="s">
        <v>878</v>
      </c>
      <c r="G7598" s="100">
        <v>116621221</v>
      </c>
      <c r="H7598" s="100">
        <v>116621221</v>
      </c>
      <c r="I7598" s="422" t="s">
        <v>706</v>
      </c>
      <c r="J7598" s="484"/>
      <c r="K7598" s="548"/>
      <c r="L7598" s="548"/>
      <c r="M7598" s="548"/>
      <c r="N7598" s="552"/>
    </row>
    <row r="7599" spans="1:14">
      <c r="A7599" s="499">
        <v>45754</v>
      </c>
      <c r="B7599" s="499">
        <v>45754</v>
      </c>
      <c r="C7599" s="500" t="s">
        <v>173</v>
      </c>
      <c r="D7599" s="500" t="s">
        <v>759</v>
      </c>
      <c r="E7599" s="501">
        <v>-2005425635.5799999</v>
      </c>
      <c r="F7599" s="502" t="s">
        <v>878</v>
      </c>
      <c r="G7599" s="100">
        <v>116621395</v>
      </c>
      <c r="H7599" s="530"/>
      <c r="I7599" s="422" t="s">
        <v>681</v>
      </c>
      <c r="J7599" s="484"/>
      <c r="K7599" s="548"/>
      <c r="L7599" s="548"/>
      <c r="M7599" s="548"/>
      <c r="N7599" s="552"/>
    </row>
    <row r="7600" spans="1:14">
      <c r="A7600" s="499">
        <v>45754</v>
      </c>
      <c r="B7600" s="499">
        <v>45754</v>
      </c>
      <c r="C7600" s="500" t="s">
        <v>173</v>
      </c>
      <c r="D7600" s="500" t="s">
        <v>759</v>
      </c>
      <c r="E7600" s="501">
        <v>-10001013.65</v>
      </c>
      <c r="F7600" s="502" t="s">
        <v>878</v>
      </c>
      <c r="G7600" s="100">
        <v>116621873</v>
      </c>
      <c r="H7600" s="530"/>
      <c r="I7600" s="422" t="s">
        <v>1013</v>
      </c>
      <c r="J7600" s="484"/>
      <c r="K7600" s="548"/>
      <c r="L7600" s="548"/>
      <c r="M7600" s="548"/>
      <c r="N7600" s="552"/>
    </row>
    <row r="7601" spans="1:16">
      <c r="A7601" s="499">
        <v>45754</v>
      </c>
      <c r="B7601" s="499">
        <v>45755</v>
      </c>
      <c r="C7601" s="500" t="s">
        <v>173</v>
      </c>
      <c r="D7601" s="500" t="s">
        <v>759</v>
      </c>
      <c r="E7601" s="501">
        <v>2006304726.27</v>
      </c>
      <c r="F7601" s="502" t="s">
        <v>878</v>
      </c>
      <c r="G7601" s="100">
        <v>116621395</v>
      </c>
      <c r="H7601" s="100">
        <v>116621395</v>
      </c>
      <c r="I7601" s="422" t="s">
        <v>681</v>
      </c>
      <c r="J7601" s="484"/>
      <c r="K7601" s="548"/>
      <c r="L7601" s="548"/>
      <c r="M7601" s="548"/>
      <c r="N7601" s="552"/>
    </row>
    <row r="7602" spans="1:16">
      <c r="A7602" s="499">
        <v>45754</v>
      </c>
      <c r="B7602" s="499">
        <v>45755</v>
      </c>
      <c r="C7602" s="500" t="s">
        <v>173</v>
      </c>
      <c r="D7602" s="500" t="s">
        <v>759</v>
      </c>
      <c r="E7602" s="501">
        <v>10005397.68</v>
      </c>
      <c r="F7602" s="502" t="s">
        <v>878</v>
      </c>
      <c r="G7602" s="100">
        <v>116621873</v>
      </c>
      <c r="H7602" s="100">
        <v>116621873</v>
      </c>
      <c r="I7602" s="422" t="s">
        <v>1013</v>
      </c>
      <c r="J7602" s="484"/>
      <c r="K7602" s="548"/>
      <c r="L7602" s="548"/>
      <c r="M7602" s="548"/>
      <c r="N7602" s="552"/>
    </row>
    <row r="7603" spans="1:16">
      <c r="A7603" s="499">
        <v>45754</v>
      </c>
      <c r="B7603" s="499">
        <v>45754</v>
      </c>
      <c r="C7603" s="500" t="s">
        <v>173</v>
      </c>
      <c r="D7603" s="500" t="s">
        <v>760</v>
      </c>
      <c r="E7603" s="501">
        <v>-319167912.99000001</v>
      </c>
      <c r="F7603" s="502" t="s">
        <v>878</v>
      </c>
      <c r="G7603" s="100">
        <v>116618983</v>
      </c>
      <c r="H7603" s="530"/>
      <c r="I7603" s="422" t="s">
        <v>833</v>
      </c>
      <c r="J7603" s="484"/>
      <c r="K7603" s="548"/>
      <c r="L7603" s="548"/>
      <c r="M7603" s="548"/>
      <c r="N7603" s="552"/>
    </row>
    <row r="7604" spans="1:16">
      <c r="A7604" s="499">
        <v>45754</v>
      </c>
      <c r="B7604" s="499">
        <v>45754</v>
      </c>
      <c r="C7604" s="500" t="s">
        <v>173</v>
      </c>
      <c r="D7604" s="500" t="s">
        <v>760</v>
      </c>
      <c r="E7604" s="501">
        <v>-1232300274.53</v>
      </c>
      <c r="F7604" s="502" t="s">
        <v>878</v>
      </c>
      <c r="G7604" s="100">
        <v>116618986</v>
      </c>
      <c r="H7604" s="530"/>
      <c r="I7604" s="422" t="s">
        <v>525</v>
      </c>
      <c r="J7604" s="484"/>
      <c r="K7604" s="548"/>
      <c r="L7604" s="548"/>
      <c r="M7604" s="548"/>
      <c r="N7604" s="552"/>
    </row>
    <row r="7605" spans="1:16">
      <c r="A7605" s="499">
        <v>45754</v>
      </c>
      <c r="B7605" s="499">
        <v>45754</v>
      </c>
      <c r="C7605" s="500" t="s">
        <v>173</v>
      </c>
      <c r="D7605" s="500" t="s">
        <v>760</v>
      </c>
      <c r="E7605" s="501">
        <v>-12007014.48</v>
      </c>
      <c r="F7605" s="502" t="s">
        <v>878</v>
      </c>
      <c r="G7605" s="100">
        <v>116619398</v>
      </c>
      <c r="H7605" s="530"/>
      <c r="I7605" s="422" t="s">
        <v>716</v>
      </c>
      <c r="J7605" s="484"/>
      <c r="K7605" s="548"/>
      <c r="L7605" s="548"/>
      <c r="M7605" s="548"/>
      <c r="N7605" s="552"/>
    </row>
    <row r="7606" spans="1:16">
      <c r="A7606" s="499">
        <v>45754</v>
      </c>
      <c r="B7606" s="499">
        <v>45755</v>
      </c>
      <c r="C7606" s="500" t="s">
        <v>173</v>
      </c>
      <c r="D7606" s="500" t="s">
        <v>760</v>
      </c>
      <c r="E7606" s="501">
        <v>319309133.86000001</v>
      </c>
      <c r="F7606" s="502" t="s">
        <v>878</v>
      </c>
      <c r="G7606" s="100">
        <v>116618983</v>
      </c>
      <c r="H7606" s="484">
        <v>116618983</v>
      </c>
      <c r="I7606" s="422" t="s">
        <v>833</v>
      </c>
      <c r="J7606" s="484"/>
      <c r="K7606" s="548"/>
      <c r="L7606" s="548"/>
      <c r="M7606" s="548"/>
      <c r="N7606" s="552"/>
    </row>
    <row r="7607" spans="1:16">
      <c r="A7607" s="499">
        <v>45754</v>
      </c>
      <c r="B7607" s="499">
        <v>45755</v>
      </c>
      <c r="C7607" s="500" t="s">
        <v>173</v>
      </c>
      <c r="D7607" s="500" t="s">
        <v>760</v>
      </c>
      <c r="E7607" s="501">
        <v>1232845525.2</v>
      </c>
      <c r="F7607" s="502" t="s">
        <v>878</v>
      </c>
      <c r="G7607" s="100">
        <v>116618986</v>
      </c>
      <c r="H7607" s="484">
        <v>116618986</v>
      </c>
      <c r="I7607" s="422" t="s">
        <v>525</v>
      </c>
      <c r="J7607" s="484"/>
      <c r="K7607" s="548"/>
      <c r="L7607" s="548"/>
      <c r="M7607" s="548"/>
      <c r="N7607" s="552"/>
    </row>
    <row r="7608" spans="1:16">
      <c r="A7608" s="499">
        <v>45754</v>
      </c>
      <c r="B7608" s="499">
        <v>45755</v>
      </c>
      <c r="C7608" s="500" t="s">
        <v>173</v>
      </c>
      <c r="D7608" s="500" t="s">
        <v>760</v>
      </c>
      <c r="E7608" s="501">
        <v>12012327.17</v>
      </c>
      <c r="F7608" s="502" t="s">
        <v>878</v>
      </c>
      <c r="G7608" s="100">
        <v>116619398</v>
      </c>
      <c r="H7608" s="484">
        <v>116619398</v>
      </c>
      <c r="I7608" s="422" t="s">
        <v>716</v>
      </c>
      <c r="J7608" s="484"/>
      <c r="K7608" s="548"/>
      <c r="L7608" s="548"/>
      <c r="M7608" s="548"/>
      <c r="N7608" s="552"/>
    </row>
    <row r="7609" spans="1:16">
      <c r="A7609" s="499">
        <v>45754</v>
      </c>
      <c r="B7609" s="499">
        <v>45754</v>
      </c>
      <c r="C7609" s="500" t="s">
        <v>173</v>
      </c>
      <c r="D7609" s="500" t="s">
        <v>763</v>
      </c>
      <c r="E7609" s="501">
        <v>-5205488594.8999996</v>
      </c>
      <c r="F7609" s="502" t="s">
        <v>878</v>
      </c>
      <c r="G7609" s="100">
        <v>116616750</v>
      </c>
      <c r="H7609" s="530"/>
      <c r="I7609" s="422" t="s">
        <v>685</v>
      </c>
      <c r="J7609" s="484"/>
      <c r="K7609" s="548"/>
      <c r="L7609" s="548"/>
      <c r="M7609" s="548"/>
      <c r="N7609" s="552"/>
    </row>
    <row r="7610" spans="1:16">
      <c r="A7610" s="499">
        <v>45754</v>
      </c>
      <c r="B7610" s="499">
        <v>45754</v>
      </c>
      <c r="C7610" s="500" t="s">
        <v>173</v>
      </c>
      <c r="D7610" s="500" t="s">
        <v>763</v>
      </c>
      <c r="E7610" s="501">
        <v>-25019180.48</v>
      </c>
      <c r="F7610" s="502" t="s">
        <v>878</v>
      </c>
      <c r="G7610" s="100">
        <v>116616934</v>
      </c>
      <c r="H7610" s="530"/>
      <c r="I7610" s="422" t="s">
        <v>684</v>
      </c>
      <c r="J7610" s="484"/>
      <c r="K7610" s="548"/>
      <c r="L7610" s="548"/>
      <c r="M7610" s="548"/>
      <c r="N7610" s="552"/>
    </row>
    <row r="7611" spans="1:16">
      <c r="A7611" s="499">
        <v>45754</v>
      </c>
      <c r="B7611" s="499">
        <v>45755</v>
      </c>
      <c r="C7611" s="500" t="s">
        <v>173</v>
      </c>
      <c r="D7611" s="500" t="s">
        <v>763</v>
      </c>
      <c r="E7611" s="501">
        <v>5207734798.8800001</v>
      </c>
      <c r="F7611" s="502" t="s">
        <v>878</v>
      </c>
      <c r="G7611" s="100">
        <v>116616750</v>
      </c>
      <c r="H7611" s="100">
        <v>116616750</v>
      </c>
      <c r="I7611" s="422" t="s">
        <v>685</v>
      </c>
      <c r="J7611" s="484"/>
      <c r="K7611" s="548"/>
      <c r="L7611" s="548"/>
      <c r="M7611" s="548"/>
      <c r="N7611" s="552"/>
      <c r="P7611" s="539">
        <v>-1</v>
      </c>
    </row>
    <row r="7612" spans="1:16">
      <c r="A7612" s="499">
        <v>45754</v>
      </c>
      <c r="B7612" s="499">
        <v>45755</v>
      </c>
      <c r="C7612" s="500" t="s">
        <v>173</v>
      </c>
      <c r="D7612" s="500" t="s">
        <v>763</v>
      </c>
      <c r="E7612" s="501">
        <v>25029976.5</v>
      </c>
      <c r="F7612" s="502" t="s">
        <v>878</v>
      </c>
      <c r="G7612" s="100">
        <v>116616934</v>
      </c>
      <c r="H7612" s="100">
        <v>116616934</v>
      </c>
      <c r="I7612" s="422" t="s">
        <v>684</v>
      </c>
      <c r="J7612" s="484"/>
      <c r="K7612" s="548"/>
      <c r="L7612" s="548"/>
      <c r="M7612" s="548"/>
      <c r="N7612" s="552"/>
    </row>
    <row r="7613" spans="1:16">
      <c r="A7613" s="499">
        <v>45755</v>
      </c>
      <c r="B7613" s="499">
        <v>45755</v>
      </c>
      <c r="C7613" s="500" t="s">
        <v>173</v>
      </c>
      <c r="D7613" s="500" t="s">
        <v>762</v>
      </c>
      <c r="E7613" s="501">
        <v>-499000469.69999999</v>
      </c>
      <c r="F7613" s="502" t="s">
        <v>878</v>
      </c>
      <c r="G7613" s="100">
        <v>116640308</v>
      </c>
      <c r="H7613" s="530"/>
      <c r="I7613" s="422" t="s">
        <v>811</v>
      </c>
      <c r="J7613" s="484"/>
      <c r="K7613" s="548"/>
      <c r="L7613" s="548"/>
      <c r="M7613" s="548"/>
      <c r="N7613" s="552"/>
    </row>
    <row r="7614" spans="1:16">
      <c r="A7614" s="499">
        <v>45755</v>
      </c>
      <c r="B7614" s="499">
        <v>45755</v>
      </c>
      <c r="C7614" s="500" t="s">
        <v>173</v>
      </c>
      <c r="D7614" s="500" t="s">
        <v>762</v>
      </c>
      <c r="E7614" s="501">
        <v>-457342366.10000002</v>
      </c>
      <c r="F7614" s="502" t="s">
        <v>878</v>
      </c>
      <c r="G7614" s="100">
        <v>116640311</v>
      </c>
      <c r="H7614" s="530"/>
      <c r="I7614" s="422" t="s">
        <v>678</v>
      </c>
      <c r="J7614" s="484"/>
      <c r="K7614" s="548"/>
      <c r="L7614" s="548"/>
      <c r="M7614" s="548"/>
      <c r="N7614" s="552"/>
    </row>
    <row r="7615" spans="1:16">
      <c r="A7615" s="499">
        <v>45755</v>
      </c>
      <c r="B7615" s="499">
        <v>45755</v>
      </c>
      <c r="C7615" s="500" t="s">
        <v>173</v>
      </c>
      <c r="D7615" s="500" t="s">
        <v>762</v>
      </c>
      <c r="E7615" s="501">
        <v>-457342366.10000002</v>
      </c>
      <c r="F7615" s="502" t="s">
        <v>878</v>
      </c>
      <c r="G7615" s="100">
        <v>116640314</v>
      </c>
      <c r="H7615" s="530"/>
      <c r="I7615" s="422" t="s">
        <v>678</v>
      </c>
      <c r="J7615" s="484"/>
      <c r="K7615" s="548"/>
      <c r="L7615" s="548"/>
      <c r="M7615" s="548"/>
      <c r="N7615" s="552"/>
    </row>
    <row r="7616" spans="1:16">
      <c r="A7616" s="499">
        <v>45755</v>
      </c>
      <c r="B7616" s="499">
        <v>45755</v>
      </c>
      <c r="C7616" s="500" t="s">
        <v>173</v>
      </c>
      <c r="D7616" s="500" t="s">
        <v>762</v>
      </c>
      <c r="E7616" s="501">
        <v>-176112407.30000001</v>
      </c>
      <c r="F7616" s="502" t="s">
        <v>878</v>
      </c>
      <c r="G7616" s="100">
        <v>116640317</v>
      </c>
      <c r="H7616" s="530"/>
      <c r="I7616" s="422" t="s">
        <v>700</v>
      </c>
      <c r="J7616" s="484"/>
      <c r="K7616" s="548"/>
      <c r="L7616" s="548"/>
      <c r="M7616" s="548"/>
      <c r="N7616" s="552"/>
    </row>
    <row r="7617" spans="1:14">
      <c r="A7617" s="499">
        <v>45755</v>
      </c>
      <c r="B7617" s="499">
        <v>45755</v>
      </c>
      <c r="C7617" s="500" t="s">
        <v>173</v>
      </c>
      <c r="D7617" s="500" t="s">
        <v>762</v>
      </c>
      <c r="E7617" s="501">
        <v>-104046982.2</v>
      </c>
      <c r="F7617" s="502" t="s">
        <v>878</v>
      </c>
      <c r="G7617" s="100">
        <v>116640320</v>
      </c>
      <c r="H7617" s="530"/>
      <c r="I7617" s="422" t="s">
        <v>653</v>
      </c>
      <c r="J7617" s="484"/>
      <c r="K7617" s="548"/>
      <c r="L7617" s="548"/>
      <c r="M7617" s="548"/>
      <c r="N7617" s="552"/>
    </row>
    <row r="7618" spans="1:14">
      <c r="A7618" s="499">
        <v>45755</v>
      </c>
      <c r="B7618" s="499">
        <v>45755</v>
      </c>
      <c r="C7618" s="500" t="s">
        <v>173</v>
      </c>
      <c r="D7618" s="500" t="s">
        <v>762</v>
      </c>
      <c r="E7618" s="501">
        <v>-266151450.30000001</v>
      </c>
      <c r="F7618" s="502" t="s">
        <v>878</v>
      </c>
      <c r="G7618" s="100">
        <v>116640323</v>
      </c>
      <c r="H7618" s="530"/>
      <c r="I7618" s="422" t="s">
        <v>689</v>
      </c>
      <c r="J7618" s="484"/>
      <c r="K7618" s="548"/>
      <c r="L7618" s="548"/>
      <c r="M7618" s="548"/>
      <c r="N7618" s="552"/>
    </row>
    <row r="7619" spans="1:14">
      <c r="A7619" s="499">
        <v>45755</v>
      </c>
      <c r="B7619" s="499">
        <v>45755</v>
      </c>
      <c r="C7619" s="500" t="s">
        <v>173</v>
      </c>
      <c r="D7619" s="500" t="s">
        <v>762</v>
      </c>
      <c r="E7619" s="501">
        <v>-197192572.59999999</v>
      </c>
      <c r="F7619" s="502" t="s">
        <v>878</v>
      </c>
      <c r="G7619" s="100">
        <v>116640326</v>
      </c>
      <c r="H7619" s="530"/>
      <c r="I7619" s="422" t="s">
        <v>816</v>
      </c>
      <c r="J7619" s="484"/>
      <c r="K7619" s="548"/>
      <c r="L7619" s="548"/>
      <c r="M7619" s="548"/>
      <c r="N7619" s="552"/>
    </row>
    <row r="7620" spans="1:14">
      <c r="A7620" s="499">
        <v>45755</v>
      </c>
      <c r="B7620" s="499">
        <v>45755</v>
      </c>
      <c r="C7620" s="500" t="s">
        <v>173</v>
      </c>
      <c r="D7620" s="500" t="s">
        <v>762</v>
      </c>
      <c r="E7620" s="501">
        <v>-1433131578</v>
      </c>
      <c r="F7620" s="502" t="s">
        <v>878</v>
      </c>
      <c r="G7620" s="100">
        <v>116640329</v>
      </c>
      <c r="H7620" s="530"/>
      <c r="I7620" s="422" t="s">
        <v>656</v>
      </c>
      <c r="J7620" s="484"/>
      <c r="K7620" s="548"/>
      <c r="L7620" s="548"/>
      <c r="M7620" s="548"/>
      <c r="N7620" s="552"/>
    </row>
    <row r="7621" spans="1:14">
      <c r="A7621" s="499">
        <v>45755</v>
      </c>
      <c r="B7621" s="499">
        <v>45755</v>
      </c>
      <c r="C7621" s="500" t="s">
        <v>173</v>
      </c>
      <c r="D7621" s="500" t="s">
        <v>762</v>
      </c>
      <c r="E7621" s="501">
        <v>-717402720.29999995</v>
      </c>
      <c r="F7621" s="502" t="s">
        <v>878</v>
      </c>
      <c r="G7621" s="100">
        <v>116640332</v>
      </c>
      <c r="H7621" s="530"/>
      <c r="I7621" s="422" t="s">
        <v>696</v>
      </c>
      <c r="J7621" s="484"/>
      <c r="K7621" s="548"/>
      <c r="L7621" s="548"/>
      <c r="M7621" s="548"/>
      <c r="N7621" s="552"/>
    </row>
    <row r="7622" spans="1:14">
      <c r="A7622" s="499">
        <v>45755</v>
      </c>
      <c r="B7622" s="499">
        <v>45755</v>
      </c>
      <c r="C7622" s="500" t="s">
        <v>173</v>
      </c>
      <c r="D7622" s="500" t="s">
        <v>762</v>
      </c>
      <c r="E7622" s="501">
        <v>-20011233.48</v>
      </c>
      <c r="F7622" s="502" t="s">
        <v>878</v>
      </c>
      <c r="G7622" s="100">
        <v>116640341</v>
      </c>
      <c r="H7622" s="530"/>
      <c r="I7622" s="422" t="s">
        <v>696</v>
      </c>
      <c r="J7622" s="484"/>
      <c r="K7622" s="548"/>
      <c r="L7622" s="548"/>
      <c r="M7622" s="548"/>
      <c r="N7622" s="552"/>
    </row>
    <row r="7623" spans="1:14">
      <c r="A7623" s="499">
        <v>45755</v>
      </c>
      <c r="B7623" s="499">
        <v>45756</v>
      </c>
      <c r="C7623" s="500" t="s">
        <v>173</v>
      </c>
      <c r="D7623" s="500" t="s">
        <v>762</v>
      </c>
      <c r="E7623" s="501">
        <v>499232882.19999999</v>
      </c>
      <c r="F7623" s="502" t="s">
        <v>878</v>
      </c>
      <c r="G7623" s="100">
        <v>116640308</v>
      </c>
      <c r="H7623" s="484">
        <v>116640308</v>
      </c>
      <c r="I7623" s="422" t="s">
        <v>811</v>
      </c>
      <c r="J7623" s="484"/>
      <c r="K7623" s="548"/>
      <c r="L7623" s="548"/>
      <c r="M7623" s="548"/>
      <c r="N7623" s="552"/>
    </row>
    <row r="7624" spans="1:14">
      <c r="A7624" s="499">
        <v>45755</v>
      </c>
      <c r="B7624" s="499">
        <v>45756</v>
      </c>
      <c r="C7624" s="500" t="s">
        <v>173</v>
      </c>
      <c r="D7624" s="500" t="s">
        <v>762</v>
      </c>
      <c r="E7624" s="501">
        <v>457555376.19999999</v>
      </c>
      <c r="F7624" s="502" t="s">
        <v>878</v>
      </c>
      <c r="G7624" s="100">
        <v>116640311</v>
      </c>
      <c r="H7624" s="484">
        <v>116640311</v>
      </c>
      <c r="I7624" s="422" t="s">
        <v>678</v>
      </c>
      <c r="J7624" s="484"/>
      <c r="K7624" s="548"/>
      <c r="L7624" s="548"/>
      <c r="M7624" s="548"/>
      <c r="N7624" s="552"/>
    </row>
    <row r="7625" spans="1:14">
      <c r="A7625" s="499">
        <v>45755</v>
      </c>
      <c r="B7625" s="499">
        <v>45756</v>
      </c>
      <c r="C7625" s="500" t="s">
        <v>173</v>
      </c>
      <c r="D7625" s="500" t="s">
        <v>762</v>
      </c>
      <c r="E7625" s="501">
        <v>457555376.19999999</v>
      </c>
      <c r="F7625" s="502" t="s">
        <v>878</v>
      </c>
      <c r="G7625" s="100">
        <v>116640314</v>
      </c>
      <c r="H7625" s="484">
        <v>116640314</v>
      </c>
      <c r="I7625" s="422" t="s">
        <v>678</v>
      </c>
      <c r="J7625" s="484"/>
      <c r="K7625" s="548"/>
      <c r="L7625" s="548"/>
      <c r="M7625" s="548"/>
      <c r="N7625" s="552"/>
    </row>
    <row r="7626" spans="1:14">
      <c r="A7626" s="499">
        <v>45755</v>
      </c>
      <c r="B7626" s="499">
        <v>45756</v>
      </c>
      <c r="C7626" s="500" t="s">
        <v>173</v>
      </c>
      <c r="D7626" s="500" t="s">
        <v>762</v>
      </c>
      <c r="E7626" s="501">
        <v>176194432.80000001</v>
      </c>
      <c r="F7626" s="502" t="s">
        <v>878</v>
      </c>
      <c r="G7626" s="100">
        <v>116640317</v>
      </c>
      <c r="H7626" s="484">
        <v>116640317</v>
      </c>
      <c r="I7626" s="422" t="s">
        <v>700</v>
      </c>
      <c r="J7626" s="484"/>
      <c r="K7626" s="548"/>
      <c r="L7626" s="548"/>
      <c r="M7626" s="548"/>
      <c r="N7626" s="552"/>
    </row>
    <row r="7627" spans="1:14">
      <c r="A7627" s="499">
        <v>45755</v>
      </c>
      <c r="B7627" s="499">
        <v>45756</v>
      </c>
      <c r="C7627" s="500" t="s">
        <v>173</v>
      </c>
      <c r="D7627" s="500" t="s">
        <v>762</v>
      </c>
      <c r="E7627" s="501">
        <v>104095442.7</v>
      </c>
      <c r="F7627" s="502" t="s">
        <v>878</v>
      </c>
      <c r="G7627" s="100">
        <v>116640320</v>
      </c>
      <c r="H7627" s="484">
        <v>116640320</v>
      </c>
      <c r="I7627" s="422" t="s">
        <v>653</v>
      </c>
      <c r="J7627" s="484"/>
      <c r="K7627" s="548"/>
      <c r="L7627" s="548"/>
      <c r="M7627" s="548"/>
      <c r="N7627" s="552"/>
    </row>
    <row r="7628" spans="1:14">
      <c r="A7628" s="499">
        <v>45755</v>
      </c>
      <c r="B7628" s="499">
        <v>45756</v>
      </c>
      <c r="C7628" s="500" t="s">
        <v>173</v>
      </c>
      <c r="D7628" s="500" t="s">
        <v>762</v>
      </c>
      <c r="E7628" s="501">
        <v>266275412</v>
      </c>
      <c r="F7628" s="502" t="s">
        <v>878</v>
      </c>
      <c r="G7628" s="100">
        <v>116640323</v>
      </c>
      <c r="H7628" s="484">
        <v>116640323</v>
      </c>
      <c r="I7628" s="422" t="s">
        <v>689</v>
      </c>
      <c r="J7628" s="484"/>
      <c r="K7628" s="548"/>
      <c r="L7628" s="548"/>
      <c r="M7628" s="548"/>
      <c r="N7628" s="552"/>
    </row>
    <row r="7629" spans="1:14">
      <c r="A7629" s="499">
        <v>45755</v>
      </c>
      <c r="B7629" s="499">
        <v>45756</v>
      </c>
      <c r="C7629" s="500" t="s">
        <v>173</v>
      </c>
      <c r="D7629" s="500" t="s">
        <v>762</v>
      </c>
      <c r="E7629" s="501">
        <v>197284416.30000001</v>
      </c>
      <c r="F7629" s="502" t="s">
        <v>878</v>
      </c>
      <c r="G7629" s="100">
        <v>116640326</v>
      </c>
      <c r="H7629" s="484">
        <v>116640326</v>
      </c>
      <c r="I7629" s="422" t="s">
        <v>816</v>
      </c>
      <c r="J7629" s="484"/>
      <c r="K7629" s="548"/>
      <c r="L7629" s="548"/>
      <c r="M7629" s="548"/>
      <c r="N7629" s="552"/>
    </row>
    <row r="7630" spans="1:14">
      <c r="A7630" s="499">
        <v>45755</v>
      </c>
      <c r="B7630" s="499">
        <v>45756</v>
      </c>
      <c r="C7630" s="500" t="s">
        <v>173</v>
      </c>
      <c r="D7630" s="500" t="s">
        <v>762</v>
      </c>
      <c r="E7630" s="501">
        <v>1433799064</v>
      </c>
      <c r="F7630" s="502" t="s">
        <v>878</v>
      </c>
      <c r="G7630" s="100">
        <v>116640329</v>
      </c>
      <c r="H7630" s="484">
        <v>116640329</v>
      </c>
      <c r="I7630" s="422" t="s">
        <v>656</v>
      </c>
      <c r="J7630" s="484"/>
      <c r="K7630" s="548"/>
      <c r="L7630" s="548"/>
      <c r="M7630" s="548"/>
      <c r="N7630" s="552"/>
    </row>
    <row r="7631" spans="1:14">
      <c r="A7631" s="499">
        <v>45755</v>
      </c>
      <c r="B7631" s="499">
        <v>45756</v>
      </c>
      <c r="C7631" s="500" t="s">
        <v>173</v>
      </c>
      <c r="D7631" s="500" t="s">
        <v>762</v>
      </c>
      <c r="E7631" s="501">
        <v>717736853</v>
      </c>
      <c r="F7631" s="502" t="s">
        <v>878</v>
      </c>
      <c r="G7631" s="100">
        <v>116640332</v>
      </c>
      <c r="H7631" s="484">
        <v>116640332</v>
      </c>
      <c r="I7631" s="422" t="s">
        <v>696</v>
      </c>
      <c r="J7631" s="484"/>
      <c r="K7631" s="548"/>
      <c r="L7631" s="548"/>
      <c r="M7631" s="548"/>
      <c r="N7631" s="552"/>
    </row>
    <row r="7632" spans="1:14">
      <c r="A7632" s="499">
        <v>45755</v>
      </c>
      <c r="B7632" s="499">
        <v>45756</v>
      </c>
      <c r="C7632" s="500" t="s">
        <v>173</v>
      </c>
      <c r="D7632" s="500" t="s">
        <v>762</v>
      </c>
      <c r="E7632" s="501">
        <v>20020553.780000001</v>
      </c>
      <c r="F7632" s="502" t="s">
        <v>878</v>
      </c>
      <c r="G7632" s="100">
        <v>116640341</v>
      </c>
      <c r="H7632" s="484">
        <v>116640341</v>
      </c>
      <c r="I7632" s="422" t="s">
        <v>696</v>
      </c>
      <c r="J7632" s="484"/>
      <c r="K7632" s="548"/>
      <c r="L7632" s="548"/>
      <c r="M7632" s="548"/>
      <c r="N7632" s="552"/>
    </row>
    <row r="7633" spans="1:14">
      <c r="A7633" s="499">
        <v>45755</v>
      </c>
      <c r="B7633" s="499">
        <v>45755</v>
      </c>
      <c r="C7633" s="500" t="s">
        <v>173</v>
      </c>
      <c r="D7633" s="500" t="s">
        <v>761</v>
      </c>
      <c r="E7633" s="501">
        <v>-507124349.66000003</v>
      </c>
      <c r="F7633" s="502" t="s">
        <v>878</v>
      </c>
      <c r="G7633" s="100">
        <v>116638263</v>
      </c>
      <c r="H7633" s="530"/>
      <c r="I7633" s="422" t="s">
        <v>633</v>
      </c>
      <c r="J7633" s="484"/>
      <c r="K7633" s="548"/>
      <c r="L7633" s="548"/>
      <c r="M7633" s="548"/>
      <c r="N7633" s="552"/>
    </row>
    <row r="7634" spans="1:14">
      <c r="A7634" s="499">
        <v>45755</v>
      </c>
      <c r="B7634" s="499">
        <v>45755</v>
      </c>
      <c r="C7634" s="500" t="s">
        <v>173</v>
      </c>
      <c r="D7634" s="500" t="s">
        <v>761</v>
      </c>
      <c r="E7634" s="501">
        <v>-3000735.8</v>
      </c>
      <c r="F7634" s="502" t="s">
        <v>878</v>
      </c>
      <c r="G7634" s="100">
        <v>116638298</v>
      </c>
      <c r="H7634" s="530"/>
      <c r="I7634" s="422" t="s">
        <v>633</v>
      </c>
      <c r="J7634" s="484"/>
      <c r="K7634" s="548"/>
      <c r="L7634" s="548"/>
      <c r="M7634" s="548"/>
      <c r="N7634" s="552"/>
    </row>
    <row r="7635" spans="1:14">
      <c r="A7635" s="499">
        <v>45755</v>
      </c>
      <c r="B7635" s="499">
        <v>45756</v>
      </c>
      <c r="C7635" s="500" t="s">
        <v>173</v>
      </c>
      <c r="D7635" s="500" t="s">
        <v>761</v>
      </c>
      <c r="E7635" s="501">
        <v>507352208.26999998</v>
      </c>
      <c r="F7635" s="502" t="s">
        <v>878</v>
      </c>
      <c r="G7635" s="100">
        <v>116638263</v>
      </c>
      <c r="H7635" s="100">
        <v>116638263</v>
      </c>
      <c r="I7635" s="422" t="s">
        <v>633</v>
      </c>
      <c r="J7635" s="484"/>
      <c r="K7635" s="548"/>
      <c r="L7635" s="548"/>
      <c r="M7635" s="548"/>
      <c r="N7635" s="552"/>
    </row>
    <row r="7636" spans="1:14">
      <c r="A7636" s="499">
        <v>45755</v>
      </c>
      <c r="B7636" s="499">
        <v>45756</v>
      </c>
      <c r="C7636" s="500" t="s">
        <v>173</v>
      </c>
      <c r="D7636" s="500" t="s">
        <v>761</v>
      </c>
      <c r="E7636" s="501">
        <v>3002092.3</v>
      </c>
      <c r="F7636" s="502" t="s">
        <v>878</v>
      </c>
      <c r="G7636" s="100">
        <v>116638298</v>
      </c>
      <c r="H7636" s="100">
        <v>116638298</v>
      </c>
      <c r="I7636" s="422" t="s">
        <v>633</v>
      </c>
      <c r="J7636" s="484"/>
      <c r="K7636" s="548"/>
      <c r="L7636" s="548"/>
      <c r="M7636" s="548"/>
      <c r="N7636" s="552"/>
    </row>
    <row r="7637" spans="1:14">
      <c r="A7637" s="499">
        <v>45755</v>
      </c>
      <c r="B7637" s="499">
        <v>45755</v>
      </c>
      <c r="C7637" s="500" t="s">
        <v>173</v>
      </c>
      <c r="D7637" s="500" t="s">
        <v>759</v>
      </c>
      <c r="E7637" s="501">
        <v>-2006515459.2</v>
      </c>
      <c r="F7637" s="502" t="s">
        <v>878</v>
      </c>
      <c r="G7637" s="100">
        <v>116639907</v>
      </c>
      <c r="H7637" s="530"/>
      <c r="I7637" s="422" t="s">
        <v>675</v>
      </c>
      <c r="J7637" s="484"/>
      <c r="K7637" s="548"/>
      <c r="L7637" s="548"/>
      <c r="M7637" s="548"/>
      <c r="N7637" s="552"/>
    </row>
    <row r="7638" spans="1:14">
      <c r="A7638" s="499">
        <v>45755</v>
      </c>
      <c r="B7638" s="499">
        <v>45755</v>
      </c>
      <c r="C7638" s="500" t="s">
        <v>173</v>
      </c>
      <c r="D7638" s="500" t="s">
        <v>759</v>
      </c>
      <c r="E7638" s="501">
        <v>-10002572.939999999</v>
      </c>
      <c r="F7638" s="502" t="s">
        <v>878</v>
      </c>
      <c r="G7638" s="100">
        <v>116639990</v>
      </c>
      <c r="H7638" s="530"/>
      <c r="I7638" s="422" t="s">
        <v>833</v>
      </c>
      <c r="J7638" s="484"/>
      <c r="K7638" s="548"/>
      <c r="L7638" s="548"/>
      <c r="M7638" s="548"/>
      <c r="N7638" s="552"/>
    </row>
    <row r="7639" spans="1:14">
      <c r="A7639" s="499">
        <v>45755</v>
      </c>
      <c r="B7639" s="499">
        <v>45756</v>
      </c>
      <c r="C7639" s="500" t="s">
        <v>173</v>
      </c>
      <c r="D7639" s="500" t="s">
        <v>759</v>
      </c>
      <c r="E7639" s="501">
        <v>2007447252</v>
      </c>
      <c r="F7639" s="502" t="s">
        <v>878</v>
      </c>
      <c r="G7639" s="100">
        <v>116639907</v>
      </c>
      <c r="H7639" s="100">
        <v>116639907</v>
      </c>
      <c r="I7639" s="422" t="s">
        <v>675</v>
      </c>
      <c r="J7639" s="484"/>
      <c r="K7639" s="548"/>
      <c r="L7639" s="548"/>
      <c r="M7639" s="548"/>
      <c r="N7639" s="552"/>
    </row>
    <row r="7640" spans="1:14">
      <c r="A7640" s="499">
        <v>45755</v>
      </c>
      <c r="B7640" s="499">
        <v>45756</v>
      </c>
      <c r="C7640" s="500" t="s">
        <v>173</v>
      </c>
      <c r="D7640" s="500" t="s">
        <v>759</v>
      </c>
      <c r="E7640" s="501">
        <v>10007177.029999999</v>
      </c>
      <c r="F7640" s="502" t="s">
        <v>878</v>
      </c>
      <c r="G7640" s="100">
        <v>116639990</v>
      </c>
      <c r="H7640" s="100">
        <v>116639990</v>
      </c>
      <c r="I7640" s="422" t="s">
        <v>833</v>
      </c>
      <c r="J7640" s="484"/>
      <c r="K7640" s="548"/>
      <c r="L7640" s="548"/>
      <c r="M7640" s="548"/>
      <c r="N7640" s="552"/>
    </row>
    <row r="7641" spans="1:14">
      <c r="A7641" s="499">
        <v>45755</v>
      </c>
      <c r="B7641" s="499">
        <v>45755</v>
      </c>
      <c r="C7641" s="500" t="s">
        <v>173</v>
      </c>
      <c r="D7641" s="500" t="s">
        <v>760</v>
      </c>
      <c r="E7641" s="501">
        <v>-1550812652.5999999</v>
      </c>
      <c r="F7641" s="502" t="s">
        <v>878</v>
      </c>
      <c r="G7641" s="100">
        <v>116638082</v>
      </c>
      <c r="H7641" s="530"/>
      <c r="I7641" s="422" t="s">
        <v>805</v>
      </c>
      <c r="J7641" s="484"/>
      <c r="K7641" s="548"/>
      <c r="L7641" s="548"/>
      <c r="M7641" s="548"/>
      <c r="N7641" s="552"/>
    </row>
    <row r="7642" spans="1:14">
      <c r="A7642" s="499">
        <v>45755</v>
      </c>
      <c r="B7642" s="499">
        <v>45755</v>
      </c>
      <c r="C7642" s="500" t="s">
        <v>173</v>
      </c>
      <c r="D7642" s="500" t="s">
        <v>760</v>
      </c>
      <c r="E7642" s="501">
        <v>-16001105.1</v>
      </c>
      <c r="F7642" s="502" t="s">
        <v>878</v>
      </c>
      <c r="G7642" s="100">
        <v>116638215</v>
      </c>
      <c r="H7642" s="530"/>
      <c r="I7642" s="422" t="s">
        <v>635</v>
      </c>
      <c r="J7642" s="484"/>
      <c r="K7642" s="548"/>
      <c r="L7642" s="548"/>
      <c r="M7642" s="548"/>
      <c r="N7642" s="552"/>
    </row>
    <row r="7643" spans="1:14">
      <c r="A7643" s="499">
        <v>45755</v>
      </c>
      <c r="B7643" s="499">
        <v>45756</v>
      </c>
      <c r="C7643" s="500" t="s">
        <v>173</v>
      </c>
      <c r="D7643" s="500" t="s">
        <v>760</v>
      </c>
      <c r="E7643" s="501">
        <v>1551500108.73</v>
      </c>
      <c r="F7643" s="502" t="s">
        <v>878</v>
      </c>
      <c r="G7643" s="100">
        <v>116638082</v>
      </c>
      <c r="H7643" s="100">
        <v>116638082</v>
      </c>
      <c r="I7643" s="422" t="s">
        <v>805</v>
      </c>
      <c r="J7643" s="484"/>
      <c r="K7643" s="548"/>
      <c r="L7643" s="548"/>
      <c r="M7643" s="548"/>
      <c r="N7643" s="552"/>
    </row>
    <row r="7644" spans="1:14">
      <c r="A7644" s="499">
        <v>45755</v>
      </c>
      <c r="B7644" s="499">
        <v>45756</v>
      </c>
      <c r="C7644" s="500" t="s">
        <v>173</v>
      </c>
      <c r="D7644" s="500" t="s">
        <v>760</v>
      </c>
      <c r="E7644" s="501">
        <v>16008198.189999999</v>
      </c>
      <c r="F7644" s="502" t="s">
        <v>878</v>
      </c>
      <c r="G7644" s="100">
        <v>116638215</v>
      </c>
      <c r="H7644" s="100">
        <v>116638215</v>
      </c>
      <c r="I7644" s="422" t="s">
        <v>635</v>
      </c>
      <c r="J7644" s="484"/>
      <c r="K7644" s="548"/>
      <c r="L7644" s="548"/>
      <c r="M7644" s="548"/>
      <c r="N7644" s="552"/>
    </row>
    <row r="7645" spans="1:14">
      <c r="A7645" s="499">
        <v>45755</v>
      </c>
      <c r="B7645" s="499">
        <v>45755</v>
      </c>
      <c r="C7645" s="500" t="s">
        <v>173</v>
      </c>
      <c r="D7645" s="500" t="s">
        <v>763</v>
      </c>
      <c r="E7645" s="501">
        <v>-5210238426.5100002</v>
      </c>
      <c r="F7645" s="502" t="s">
        <v>878</v>
      </c>
      <c r="G7645" s="100">
        <v>116637450</v>
      </c>
      <c r="H7645" s="530"/>
      <c r="I7645" s="422" t="s">
        <v>684</v>
      </c>
      <c r="J7645" s="484"/>
      <c r="K7645" s="548"/>
      <c r="L7645" s="548"/>
      <c r="M7645" s="548"/>
      <c r="N7645" s="552"/>
    </row>
    <row r="7646" spans="1:14">
      <c r="A7646" s="499">
        <v>45755</v>
      </c>
      <c r="B7646" s="499">
        <v>45755</v>
      </c>
      <c r="C7646" s="500" t="s">
        <v>173</v>
      </c>
      <c r="D7646" s="500" t="s">
        <v>763</v>
      </c>
      <c r="E7646" s="501">
        <v>-23005641.109999999</v>
      </c>
      <c r="F7646" s="502" t="s">
        <v>878</v>
      </c>
      <c r="G7646" s="100">
        <v>116637500</v>
      </c>
      <c r="H7646" s="530"/>
      <c r="I7646" s="422" t="s">
        <v>633</v>
      </c>
      <c r="J7646" s="484"/>
      <c r="K7646" s="548"/>
      <c r="L7646" s="548"/>
      <c r="M7646" s="548"/>
      <c r="N7646" s="552"/>
    </row>
    <row r="7647" spans="1:14">
      <c r="A7647" s="499">
        <v>45755</v>
      </c>
      <c r="B7647" s="499">
        <v>45756</v>
      </c>
      <c r="C7647" s="500" t="s">
        <v>173</v>
      </c>
      <c r="D7647" s="500" t="s">
        <v>763</v>
      </c>
      <c r="E7647" s="501">
        <v>5212493845.9399996</v>
      </c>
      <c r="F7647" s="502" t="s">
        <v>878</v>
      </c>
      <c r="G7647" s="100">
        <v>116637450</v>
      </c>
      <c r="H7647" s="100">
        <v>116637450</v>
      </c>
      <c r="I7647" s="422" t="s">
        <v>684</v>
      </c>
      <c r="J7647" s="484"/>
      <c r="K7647" s="548"/>
      <c r="L7647" s="548"/>
      <c r="M7647" s="548"/>
      <c r="N7647" s="552"/>
    </row>
    <row r="7648" spans="1:14">
      <c r="A7648" s="499">
        <v>45755</v>
      </c>
      <c r="B7648" s="499">
        <v>45756</v>
      </c>
      <c r="C7648" s="500" t="s">
        <v>173</v>
      </c>
      <c r="D7648" s="500" t="s">
        <v>763</v>
      </c>
      <c r="E7648" s="501">
        <v>23015599.91</v>
      </c>
      <c r="F7648" s="502" t="s">
        <v>878</v>
      </c>
      <c r="G7648" s="100">
        <v>116637500</v>
      </c>
      <c r="H7648" s="100">
        <v>116637500</v>
      </c>
      <c r="I7648" s="422" t="s">
        <v>633</v>
      </c>
      <c r="J7648" s="484"/>
      <c r="K7648" s="548"/>
      <c r="L7648" s="548"/>
      <c r="M7648" s="548"/>
      <c r="N7648" s="552"/>
    </row>
    <row r="7649" spans="1:14">
      <c r="A7649" s="499">
        <v>45756</v>
      </c>
      <c r="B7649" s="499">
        <v>45756</v>
      </c>
      <c r="C7649" s="500" t="s">
        <v>173</v>
      </c>
      <c r="D7649" s="500" t="s">
        <v>762</v>
      </c>
      <c r="E7649" s="501">
        <v>-4305303450.8400002</v>
      </c>
      <c r="F7649" s="502" t="s">
        <v>878</v>
      </c>
      <c r="G7649" s="100">
        <v>116659553</v>
      </c>
      <c r="H7649" s="530"/>
      <c r="I7649" s="422" t="s">
        <v>633</v>
      </c>
      <c r="J7649" s="484"/>
      <c r="K7649" s="548"/>
      <c r="L7649" s="548"/>
      <c r="M7649" s="548"/>
      <c r="N7649" s="552"/>
    </row>
    <row r="7650" spans="1:14">
      <c r="A7650" s="499">
        <v>45756</v>
      </c>
      <c r="B7650" s="499">
        <v>45756</v>
      </c>
      <c r="C7650" s="500" t="s">
        <v>173</v>
      </c>
      <c r="D7650" s="500" t="s">
        <v>762</v>
      </c>
      <c r="E7650" s="501">
        <v>-23009783.559999999</v>
      </c>
      <c r="F7650" s="502" t="s">
        <v>878</v>
      </c>
      <c r="G7650" s="100">
        <v>116662871</v>
      </c>
      <c r="H7650" s="530"/>
      <c r="I7650" s="422" t="s">
        <v>684</v>
      </c>
      <c r="J7650" s="484"/>
      <c r="K7650" s="548"/>
      <c r="L7650" s="548"/>
      <c r="M7650" s="548"/>
      <c r="N7650" s="552"/>
    </row>
    <row r="7651" spans="1:14">
      <c r="A7651" s="499">
        <v>45756</v>
      </c>
      <c r="B7651" s="499">
        <v>45757</v>
      </c>
      <c r="C7651" s="500" t="s">
        <v>173</v>
      </c>
      <c r="D7651" s="500" t="s">
        <v>762</v>
      </c>
      <c r="E7651" s="501">
        <v>4307261479.2600002</v>
      </c>
      <c r="F7651" s="502" t="s">
        <v>878</v>
      </c>
      <c r="G7651" s="100">
        <v>116659553</v>
      </c>
      <c r="H7651" s="100">
        <v>116659553</v>
      </c>
      <c r="I7651" s="422" t="s">
        <v>633</v>
      </c>
      <c r="J7651" s="484"/>
      <c r="K7651" s="548"/>
      <c r="L7651" s="548"/>
      <c r="M7651" s="548"/>
      <c r="N7651" s="552"/>
    </row>
    <row r="7652" spans="1:14">
      <c r="A7652" s="499">
        <v>45756</v>
      </c>
      <c r="B7652" s="499">
        <v>45757</v>
      </c>
      <c r="C7652" s="500" t="s">
        <v>173</v>
      </c>
      <c r="D7652" s="500" t="s">
        <v>762</v>
      </c>
      <c r="E7652" s="501">
        <v>23019996.120000001</v>
      </c>
      <c r="F7652" s="502" t="s">
        <v>878</v>
      </c>
      <c r="G7652" s="100">
        <v>116662871</v>
      </c>
      <c r="H7652" s="100">
        <v>116662871</v>
      </c>
      <c r="I7652" s="422" t="s">
        <v>684</v>
      </c>
      <c r="J7652" s="484"/>
      <c r="K7652" s="548"/>
      <c r="L7652" s="548"/>
      <c r="M7652" s="548"/>
      <c r="N7652" s="552"/>
    </row>
    <row r="7653" spans="1:14">
      <c r="A7653" s="499">
        <v>45756</v>
      </c>
      <c r="B7653" s="499">
        <v>45756</v>
      </c>
      <c r="C7653" s="500" t="s">
        <v>173</v>
      </c>
      <c r="D7653" s="500" t="s">
        <v>759</v>
      </c>
      <c r="E7653" s="501">
        <v>-2006141398.9300001</v>
      </c>
      <c r="F7653" s="502" t="s">
        <v>878</v>
      </c>
      <c r="G7653" s="100">
        <v>116656137</v>
      </c>
      <c r="H7653" s="530"/>
      <c r="I7653" s="422" t="s">
        <v>633</v>
      </c>
      <c r="J7653" s="484"/>
      <c r="K7653" s="548"/>
      <c r="L7653" s="548"/>
      <c r="M7653" s="548"/>
      <c r="N7653" s="552"/>
    </row>
    <row r="7654" spans="1:14">
      <c r="A7654" s="499">
        <v>45756</v>
      </c>
      <c r="B7654" s="499">
        <v>45756</v>
      </c>
      <c r="C7654" s="500" t="s">
        <v>173</v>
      </c>
      <c r="D7654" s="500" t="s">
        <v>759</v>
      </c>
      <c r="E7654" s="501">
        <v>-11002618.699999999</v>
      </c>
      <c r="F7654" s="502" t="s">
        <v>878</v>
      </c>
      <c r="G7654" s="100">
        <v>116656185</v>
      </c>
      <c r="H7654" s="530"/>
      <c r="I7654" s="422" t="s">
        <v>717</v>
      </c>
      <c r="J7654" s="484"/>
      <c r="K7654" s="548"/>
      <c r="L7654" s="548"/>
      <c r="M7654" s="548"/>
      <c r="N7654" s="552"/>
    </row>
    <row r="7655" spans="1:14">
      <c r="A7655" s="499">
        <v>45756</v>
      </c>
      <c r="B7655" s="499">
        <v>45757</v>
      </c>
      <c r="C7655" s="500" t="s">
        <v>173</v>
      </c>
      <c r="D7655" s="500" t="s">
        <v>759</v>
      </c>
      <c r="E7655" s="501">
        <v>2007075766.1600001</v>
      </c>
      <c r="F7655" s="502" t="s">
        <v>878</v>
      </c>
      <c r="G7655" s="100">
        <v>116656137</v>
      </c>
      <c r="H7655" s="100">
        <v>116656137</v>
      </c>
      <c r="I7655" s="422" t="s">
        <v>633</v>
      </c>
      <c r="J7655" s="484"/>
      <c r="K7655" s="548"/>
      <c r="L7655" s="548"/>
      <c r="M7655" s="548"/>
      <c r="N7655" s="552"/>
    </row>
    <row r="7656" spans="1:14">
      <c r="A7656" s="499">
        <v>45756</v>
      </c>
      <c r="B7656" s="499">
        <v>45757</v>
      </c>
      <c r="C7656" s="500" t="s">
        <v>173</v>
      </c>
      <c r="D7656" s="500" t="s">
        <v>759</v>
      </c>
      <c r="E7656" s="501">
        <v>11007595.529999999</v>
      </c>
      <c r="F7656" s="502" t="s">
        <v>878</v>
      </c>
      <c r="G7656" s="100">
        <v>116656185</v>
      </c>
      <c r="H7656" s="100">
        <v>116656185</v>
      </c>
      <c r="I7656" s="422" t="s">
        <v>717</v>
      </c>
      <c r="J7656" s="484"/>
      <c r="K7656" s="548"/>
      <c r="L7656" s="548"/>
      <c r="M7656" s="548"/>
      <c r="N7656" s="552"/>
    </row>
    <row r="7657" spans="1:14">
      <c r="A7657" s="499">
        <v>45756</v>
      </c>
      <c r="B7657" s="499">
        <v>45756</v>
      </c>
      <c r="C7657" s="500" t="s">
        <v>173</v>
      </c>
      <c r="D7657" s="500" t="s">
        <v>760</v>
      </c>
      <c r="E7657" s="501">
        <v>-1551109326.8900001</v>
      </c>
      <c r="F7657" s="502" t="s">
        <v>878</v>
      </c>
      <c r="G7657" s="100">
        <v>116655810</v>
      </c>
      <c r="H7657" s="530"/>
      <c r="I7657" s="422" t="s">
        <v>633</v>
      </c>
      <c r="J7657" s="484"/>
      <c r="K7657" s="548"/>
      <c r="L7657" s="548"/>
      <c r="M7657" s="548"/>
      <c r="N7657" s="552"/>
    </row>
    <row r="7658" spans="1:14">
      <c r="A7658" s="499">
        <v>45756</v>
      </c>
      <c r="B7658" s="499">
        <v>45756</v>
      </c>
      <c r="C7658" s="500" t="s">
        <v>173</v>
      </c>
      <c r="D7658" s="500" t="s">
        <v>760</v>
      </c>
      <c r="E7658" s="501">
        <v>-16005971.970000001</v>
      </c>
      <c r="F7658" s="502" t="s">
        <v>878</v>
      </c>
      <c r="G7658" s="100">
        <v>116656942</v>
      </c>
      <c r="H7658" s="530"/>
      <c r="I7658" s="422" t="s">
        <v>657</v>
      </c>
      <c r="J7658" s="484"/>
      <c r="K7658" s="548"/>
      <c r="L7658" s="548"/>
      <c r="M7658" s="548"/>
      <c r="N7658" s="552"/>
    </row>
    <row r="7659" spans="1:14">
      <c r="A7659" s="499">
        <v>45756</v>
      </c>
      <c r="B7659" s="499">
        <v>45757</v>
      </c>
      <c r="C7659" s="500" t="s">
        <v>173</v>
      </c>
      <c r="D7659" s="500" t="s">
        <v>760</v>
      </c>
      <c r="E7659" s="501">
        <v>1551823262.1400001</v>
      </c>
      <c r="F7659" s="502" t="s">
        <v>878</v>
      </c>
      <c r="G7659" s="100">
        <v>116655810</v>
      </c>
      <c r="H7659" s="100">
        <v>116655810</v>
      </c>
      <c r="I7659" s="422" t="s">
        <v>633</v>
      </c>
      <c r="J7659" s="484"/>
      <c r="K7659" s="548"/>
      <c r="L7659" s="548"/>
      <c r="M7659" s="548"/>
      <c r="N7659" s="552"/>
    </row>
    <row r="7660" spans="1:14">
      <c r="A7660" s="499">
        <v>45756</v>
      </c>
      <c r="B7660" s="499">
        <v>45757</v>
      </c>
      <c r="C7660" s="500" t="s">
        <v>173</v>
      </c>
      <c r="D7660" s="500" t="s">
        <v>760</v>
      </c>
      <c r="E7660" s="501">
        <v>16013426.810000001</v>
      </c>
      <c r="F7660" s="502" t="s">
        <v>878</v>
      </c>
      <c r="G7660" s="100">
        <v>116656942</v>
      </c>
      <c r="H7660" s="100">
        <v>116656942</v>
      </c>
      <c r="I7660" s="422" t="s">
        <v>657</v>
      </c>
      <c r="J7660" s="484"/>
      <c r="K7660" s="548"/>
      <c r="L7660" s="548"/>
      <c r="M7660" s="548"/>
      <c r="N7660" s="552"/>
    </row>
    <row r="7661" spans="1:14">
      <c r="A7661" s="499">
        <v>45756</v>
      </c>
      <c r="B7661" s="499">
        <v>45756</v>
      </c>
      <c r="C7661" s="500" t="s">
        <v>173</v>
      </c>
      <c r="D7661" s="500" t="s">
        <v>764</v>
      </c>
      <c r="E7661" s="501">
        <v>-3005427954.0700002</v>
      </c>
      <c r="F7661" s="502" t="s">
        <v>878</v>
      </c>
      <c r="G7661" s="100">
        <v>116656581</v>
      </c>
      <c r="H7661" s="530"/>
      <c r="I7661" s="422" t="s">
        <v>716</v>
      </c>
      <c r="J7661" s="484"/>
      <c r="K7661" s="548"/>
      <c r="L7661" s="548"/>
      <c r="M7661" s="548"/>
      <c r="N7661" s="552"/>
    </row>
    <row r="7662" spans="1:14">
      <c r="A7662" s="499">
        <v>45756</v>
      </c>
      <c r="B7662" s="499">
        <v>45756</v>
      </c>
      <c r="C7662" s="500" t="s">
        <v>173</v>
      </c>
      <c r="D7662" s="500" t="s">
        <v>764</v>
      </c>
      <c r="E7662" s="501">
        <v>-16002278.619999999</v>
      </c>
      <c r="F7662" s="502" t="s">
        <v>878</v>
      </c>
      <c r="G7662" s="100">
        <v>116656634</v>
      </c>
      <c r="H7662" s="530"/>
      <c r="I7662" s="422" t="s">
        <v>716</v>
      </c>
      <c r="J7662" s="484"/>
      <c r="K7662" s="548"/>
      <c r="L7662" s="548"/>
      <c r="M7662" s="548"/>
      <c r="N7662" s="552"/>
    </row>
    <row r="7663" spans="1:14">
      <c r="A7663" s="499">
        <v>45756</v>
      </c>
      <c r="B7663" s="499">
        <v>45757</v>
      </c>
      <c r="C7663" s="500" t="s">
        <v>173</v>
      </c>
      <c r="D7663" s="500" t="s">
        <v>764</v>
      </c>
      <c r="E7663" s="501">
        <v>3006827742.4299998</v>
      </c>
      <c r="F7663" s="502" t="s">
        <v>878</v>
      </c>
      <c r="G7663" s="100">
        <v>116656581</v>
      </c>
      <c r="H7663" s="100">
        <v>116656581</v>
      </c>
      <c r="I7663" s="422" t="s">
        <v>716</v>
      </c>
      <c r="J7663" s="484"/>
      <c r="K7663" s="548"/>
      <c r="L7663" s="548"/>
      <c r="M7663" s="548"/>
      <c r="N7663" s="552"/>
    </row>
    <row r="7664" spans="1:14">
      <c r="A7664" s="499">
        <v>45756</v>
      </c>
      <c r="B7664" s="499">
        <v>45757</v>
      </c>
      <c r="C7664" s="500" t="s">
        <v>173</v>
      </c>
      <c r="D7664" s="500" t="s">
        <v>764</v>
      </c>
      <c r="E7664" s="501">
        <v>16009731.74</v>
      </c>
      <c r="F7664" s="502" t="s">
        <v>878</v>
      </c>
      <c r="G7664" s="100">
        <v>116656634</v>
      </c>
      <c r="H7664" s="100">
        <v>116656634</v>
      </c>
      <c r="I7664" s="422" t="s">
        <v>716</v>
      </c>
      <c r="J7664" s="484"/>
      <c r="K7664" s="548"/>
      <c r="L7664" s="548"/>
      <c r="M7664" s="548"/>
      <c r="N7664" s="552"/>
    </row>
    <row r="7665" spans="1:14">
      <c r="A7665" s="499">
        <v>45756</v>
      </c>
      <c r="B7665" s="499">
        <v>45756</v>
      </c>
      <c r="C7665" s="500" t="s">
        <v>173</v>
      </c>
      <c r="D7665" s="500" t="s">
        <v>763</v>
      </c>
      <c r="E7665" s="501">
        <v>-5209214912</v>
      </c>
      <c r="F7665" s="502" t="s">
        <v>878</v>
      </c>
      <c r="G7665" s="100">
        <v>116654969</v>
      </c>
      <c r="H7665" s="530"/>
      <c r="I7665" s="422" t="s">
        <v>684</v>
      </c>
      <c r="J7665" s="484"/>
      <c r="K7665" s="548"/>
      <c r="L7665" s="548"/>
      <c r="M7665" s="548"/>
      <c r="N7665" s="552"/>
    </row>
    <row r="7666" spans="1:14">
      <c r="A7666" s="499">
        <v>45756</v>
      </c>
      <c r="B7666" s="499">
        <v>45756</v>
      </c>
      <c r="C7666" s="500" t="s">
        <v>173</v>
      </c>
      <c r="D7666" s="500" t="s">
        <v>763</v>
      </c>
      <c r="E7666" s="501">
        <v>-26003869.140000001</v>
      </c>
      <c r="F7666" s="502" t="s">
        <v>878</v>
      </c>
      <c r="G7666" s="100">
        <v>116655025</v>
      </c>
      <c r="H7666" s="530"/>
      <c r="I7666" s="422" t="s">
        <v>1013</v>
      </c>
      <c r="J7666" s="484"/>
      <c r="K7666" s="548"/>
      <c r="L7666" s="548"/>
      <c r="M7666" s="548"/>
      <c r="N7666" s="552"/>
    </row>
    <row r="7667" spans="1:14">
      <c r="A7667" s="499">
        <v>45756</v>
      </c>
      <c r="B7667" s="499">
        <v>45757</v>
      </c>
      <c r="C7667" s="500" t="s">
        <v>173</v>
      </c>
      <c r="D7667" s="500" t="s">
        <v>763</v>
      </c>
      <c r="E7667" s="501">
        <v>5211464151.1000004</v>
      </c>
      <c r="F7667" s="502" t="s">
        <v>878</v>
      </c>
      <c r="G7667" s="100">
        <v>116654969</v>
      </c>
      <c r="H7667" s="100">
        <v>116654969</v>
      </c>
      <c r="I7667" s="422" t="s">
        <v>684</v>
      </c>
      <c r="J7667" s="484"/>
      <c r="K7667" s="548"/>
      <c r="L7667" s="548"/>
      <c r="M7667" s="548"/>
      <c r="N7667" s="552"/>
    </row>
    <row r="7668" spans="1:14">
      <c r="A7668" s="499">
        <v>45756</v>
      </c>
      <c r="B7668" s="499">
        <v>45757</v>
      </c>
      <c r="C7668" s="500" t="s">
        <v>173</v>
      </c>
      <c r="D7668" s="500" t="s">
        <v>763</v>
      </c>
      <c r="E7668" s="501">
        <v>26015097.25</v>
      </c>
      <c r="F7668" s="502" t="s">
        <v>878</v>
      </c>
      <c r="G7668" s="100">
        <v>116655025</v>
      </c>
      <c r="H7668" s="100">
        <v>116655025</v>
      </c>
      <c r="I7668" s="422" t="s">
        <v>1013</v>
      </c>
      <c r="J7668" s="484"/>
      <c r="K7668" s="548"/>
      <c r="L7668" s="548"/>
      <c r="M7668" s="548"/>
      <c r="N7668" s="552"/>
    </row>
    <row r="7669" spans="1:14">
      <c r="A7669" s="499">
        <v>45756</v>
      </c>
      <c r="B7669" s="499">
        <v>45756</v>
      </c>
      <c r="C7669" s="500" t="s">
        <v>173</v>
      </c>
      <c r="D7669" s="500" t="s">
        <v>761</v>
      </c>
      <c r="E7669" s="501">
        <v>-2686382524</v>
      </c>
      <c r="F7669" s="502" t="s">
        <v>878</v>
      </c>
      <c r="G7669" s="100">
        <v>116655977</v>
      </c>
      <c r="H7669" s="530"/>
      <c r="I7669" s="422" t="s">
        <v>716</v>
      </c>
      <c r="J7669" s="484"/>
      <c r="K7669" s="548"/>
      <c r="L7669" s="548"/>
      <c r="M7669" s="548"/>
      <c r="N7669" s="552"/>
    </row>
    <row r="7670" spans="1:14">
      <c r="A7670" s="499">
        <v>45756</v>
      </c>
      <c r="B7670" s="499">
        <v>45756</v>
      </c>
      <c r="C7670" s="500" t="s">
        <v>173</v>
      </c>
      <c r="D7670" s="500" t="s">
        <v>761</v>
      </c>
      <c r="E7670" s="501">
        <v>-1081257347.1800001</v>
      </c>
      <c r="F7670" s="502" t="s">
        <v>878</v>
      </c>
      <c r="G7670" s="100">
        <v>116659180</v>
      </c>
      <c r="H7670" s="530"/>
      <c r="I7670" s="422" t="s">
        <v>717</v>
      </c>
      <c r="J7670" s="484"/>
      <c r="K7670" s="548"/>
      <c r="L7670" s="548"/>
      <c r="M7670" s="548"/>
      <c r="N7670" s="552"/>
    </row>
    <row r="7671" spans="1:14">
      <c r="A7671" s="499">
        <v>45756</v>
      </c>
      <c r="B7671" s="499">
        <v>45756</v>
      </c>
      <c r="C7671" s="500" t="s">
        <v>173</v>
      </c>
      <c r="D7671" s="500" t="s">
        <v>761</v>
      </c>
      <c r="E7671" s="501">
        <v>-6003586.1299999999</v>
      </c>
      <c r="F7671" s="502" t="s">
        <v>878</v>
      </c>
      <c r="G7671" s="100">
        <v>116663988</v>
      </c>
      <c r="H7671" s="530"/>
      <c r="I7671" s="422" t="s">
        <v>711</v>
      </c>
      <c r="J7671" s="484"/>
      <c r="K7671" s="548"/>
      <c r="L7671" s="548"/>
      <c r="M7671" s="548"/>
      <c r="N7671" s="552"/>
    </row>
    <row r="7672" spans="1:14">
      <c r="A7672" s="499">
        <v>45756</v>
      </c>
      <c r="B7672" s="499">
        <v>45763</v>
      </c>
      <c r="C7672" s="500" t="s">
        <v>173</v>
      </c>
      <c r="D7672" s="500" t="s">
        <v>761</v>
      </c>
      <c r="E7672" s="501">
        <v>2694883268.6999998</v>
      </c>
      <c r="F7672" s="502" t="s">
        <v>878</v>
      </c>
      <c r="G7672" s="100">
        <v>116655977</v>
      </c>
      <c r="H7672" s="484">
        <v>116655977</v>
      </c>
      <c r="I7672" s="422" t="s">
        <v>716</v>
      </c>
      <c r="J7672" s="484"/>
      <c r="K7672" s="548"/>
      <c r="L7672" s="548"/>
      <c r="M7672" s="548"/>
      <c r="N7672" s="552"/>
    </row>
    <row r="7673" spans="1:14">
      <c r="A7673" s="499">
        <v>45756</v>
      </c>
      <c r="B7673" s="499">
        <v>45757</v>
      </c>
      <c r="C7673" s="500" t="s">
        <v>173</v>
      </c>
      <c r="D7673" s="500" t="s">
        <v>761</v>
      </c>
      <c r="E7673" s="501">
        <v>1081746433.95</v>
      </c>
      <c r="F7673" s="502" t="s">
        <v>878</v>
      </c>
      <c r="G7673" s="100">
        <v>116659180</v>
      </c>
      <c r="H7673" s="484">
        <v>116659180</v>
      </c>
      <c r="I7673" s="422" t="s">
        <v>717</v>
      </c>
      <c r="J7673" s="484"/>
      <c r="K7673" s="548"/>
      <c r="L7673" s="548"/>
      <c r="M7673" s="548"/>
      <c r="N7673" s="552"/>
    </row>
    <row r="7674" spans="1:14">
      <c r="A7674" s="499">
        <v>45756</v>
      </c>
      <c r="B7674" s="499">
        <v>45757</v>
      </c>
      <c r="C7674" s="500" t="s">
        <v>173</v>
      </c>
      <c r="D7674" s="500" t="s">
        <v>761</v>
      </c>
      <c r="E7674" s="501">
        <v>6006250.7400000002</v>
      </c>
      <c r="F7674" s="502" t="s">
        <v>878</v>
      </c>
      <c r="G7674" s="100">
        <v>116663988</v>
      </c>
      <c r="H7674" s="484">
        <v>116663988</v>
      </c>
      <c r="I7674" s="422" t="s">
        <v>711</v>
      </c>
      <c r="J7674" s="484"/>
      <c r="K7674" s="548"/>
      <c r="L7674" s="548"/>
      <c r="M7674" s="548"/>
      <c r="N7674" s="552"/>
    </row>
    <row r="7675" spans="1:14">
      <c r="A7675" s="499">
        <v>45757</v>
      </c>
      <c r="B7675" s="499">
        <v>45757</v>
      </c>
      <c r="C7675" s="500" t="s">
        <v>173</v>
      </c>
      <c r="D7675" s="500" t="s">
        <v>762</v>
      </c>
      <c r="E7675" s="501">
        <v>-4308967932.0299997</v>
      </c>
      <c r="F7675" s="502" t="s">
        <v>878</v>
      </c>
      <c r="G7675" s="100">
        <v>116679607</v>
      </c>
      <c r="H7675" s="530"/>
      <c r="I7675" s="422" t="s">
        <v>681</v>
      </c>
      <c r="J7675" s="484"/>
      <c r="K7675" s="548"/>
      <c r="L7675" s="548"/>
      <c r="M7675" s="548"/>
      <c r="N7675" s="552"/>
    </row>
    <row r="7676" spans="1:14">
      <c r="A7676" s="499">
        <v>45757</v>
      </c>
      <c r="B7676" s="499">
        <v>45757</v>
      </c>
      <c r="C7676" s="500" t="s">
        <v>173</v>
      </c>
      <c r="D7676" s="500" t="s">
        <v>762</v>
      </c>
      <c r="E7676" s="501">
        <v>-20013785.100000001</v>
      </c>
      <c r="F7676" s="502" t="s">
        <v>878</v>
      </c>
      <c r="G7676" s="100">
        <v>116679625</v>
      </c>
      <c r="H7676" s="530"/>
      <c r="I7676" s="422" t="s">
        <v>681</v>
      </c>
      <c r="J7676" s="484"/>
      <c r="K7676" s="548"/>
      <c r="L7676" s="548"/>
      <c r="M7676" s="548"/>
      <c r="N7676" s="552"/>
    </row>
    <row r="7677" spans="1:14">
      <c r="A7677" s="499">
        <v>45757</v>
      </c>
      <c r="B7677" s="499">
        <v>45758</v>
      </c>
      <c r="C7677" s="500" t="s">
        <v>173</v>
      </c>
      <c r="D7677" s="500" t="s">
        <v>762</v>
      </c>
      <c r="E7677" s="501">
        <v>4310839098.3999996</v>
      </c>
      <c r="F7677" s="502" t="s">
        <v>878</v>
      </c>
      <c r="G7677" s="100">
        <v>116679607</v>
      </c>
      <c r="H7677" s="484">
        <v>116679607</v>
      </c>
      <c r="I7677" s="422" t="s">
        <v>681</v>
      </c>
      <c r="J7677" s="484"/>
      <c r="K7677" s="548"/>
      <c r="L7677" s="548"/>
      <c r="M7677" s="548"/>
      <c r="N7677" s="552"/>
    </row>
    <row r="7678" spans="1:14">
      <c r="A7678" s="499">
        <v>45757</v>
      </c>
      <c r="B7678" s="499">
        <v>45758</v>
      </c>
      <c r="C7678" s="500" t="s">
        <v>173</v>
      </c>
      <c r="D7678" s="500" t="s">
        <v>762</v>
      </c>
      <c r="E7678" s="501">
        <v>20022476.07</v>
      </c>
      <c r="F7678" s="502" t="s">
        <v>878</v>
      </c>
      <c r="G7678" s="100">
        <v>116679625</v>
      </c>
      <c r="H7678" s="484">
        <v>116679625</v>
      </c>
      <c r="I7678" s="422" t="s">
        <v>681</v>
      </c>
      <c r="J7678" s="484"/>
      <c r="K7678" s="548"/>
      <c r="L7678" s="548"/>
      <c r="M7678" s="548"/>
      <c r="N7678" s="552"/>
    </row>
    <row r="7679" spans="1:14">
      <c r="A7679" s="499">
        <v>45757</v>
      </c>
      <c r="B7679" s="499">
        <v>45757</v>
      </c>
      <c r="C7679" s="500" t="s">
        <v>173</v>
      </c>
      <c r="D7679" s="500" t="s">
        <v>761</v>
      </c>
      <c r="E7679" s="501">
        <v>-585004207.78999996</v>
      </c>
      <c r="F7679" s="502" t="s">
        <v>878</v>
      </c>
      <c r="G7679" s="100">
        <v>116678248</v>
      </c>
      <c r="H7679" s="530"/>
      <c r="I7679" s="422" t="s">
        <v>1013</v>
      </c>
      <c r="J7679" s="484"/>
      <c r="K7679" s="548"/>
      <c r="L7679" s="548"/>
      <c r="M7679" s="548"/>
      <c r="N7679" s="552"/>
    </row>
    <row r="7680" spans="1:14">
      <c r="A7680" s="499">
        <v>45757</v>
      </c>
      <c r="B7680" s="499">
        <v>45757</v>
      </c>
      <c r="C7680" s="500" t="s">
        <v>173</v>
      </c>
      <c r="D7680" s="500" t="s">
        <v>761</v>
      </c>
      <c r="E7680" s="501">
        <v>-301113941.92000002</v>
      </c>
      <c r="F7680" s="502" t="s">
        <v>878</v>
      </c>
      <c r="G7680" s="100">
        <v>116683370</v>
      </c>
      <c r="H7680" s="530"/>
      <c r="I7680" s="422" t="s">
        <v>631</v>
      </c>
      <c r="J7680" s="484"/>
      <c r="K7680" s="548"/>
      <c r="L7680" s="548"/>
      <c r="M7680" s="548"/>
      <c r="N7680" s="552"/>
    </row>
    <row r="7681" spans="1:25">
      <c r="A7681" s="499">
        <v>45757</v>
      </c>
      <c r="B7681" s="499">
        <v>45758</v>
      </c>
      <c r="C7681" s="500" t="s">
        <v>173</v>
      </c>
      <c r="D7681" s="500" t="s">
        <v>761</v>
      </c>
      <c r="E7681" s="501">
        <v>585259045.24000001</v>
      </c>
      <c r="F7681" s="502" t="s">
        <v>878</v>
      </c>
      <c r="G7681" s="100">
        <v>116678248</v>
      </c>
      <c r="H7681" s="100">
        <v>116678248</v>
      </c>
      <c r="I7681" s="422" t="s">
        <v>1013</v>
      </c>
      <c r="J7681" s="484"/>
      <c r="K7681" s="548"/>
      <c r="L7681" s="548"/>
      <c r="M7681" s="548"/>
      <c r="N7681" s="552"/>
    </row>
    <row r="7682" spans="1:25">
      <c r="A7682" s="499">
        <v>45757</v>
      </c>
      <c r="B7682" s="499">
        <v>45758</v>
      </c>
      <c r="C7682" s="500" t="s">
        <v>173</v>
      </c>
      <c r="D7682" s="500" t="s">
        <v>761</v>
      </c>
      <c r="E7682" s="501">
        <v>301245937.89999998</v>
      </c>
      <c r="F7682" s="502" t="s">
        <v>878</v>
      </c>
      <c r="G7682" s="100">
        <v>116683370</v>
      </c>
      <c r="H7682" s="100">
        <v>116683370</v>
      </c>
      <c r="I7682" s="422" t="s">
        <v>631</v>
      </c>
      <c r="J7682" s="484"/>
      <c r="K7682" s="548"/>
      <c r="L7682" s="548"/>
      <c r="M7682" s="548"/>
      <c r="N7682" s="552"/>
    </row>
    <row r="7683" spans="1:25" ht="15">
      <c r="A7683" s="499">
        <v>45757</v>
      </c>
      <c r="B7683" s="499">
        <v>45757</v>
      </c>
      <c r="C7683" s="500" t="s">
        <v>173</v>
      </c>
      <c r="D7683" s="500" t="s">
        <v>761</v>
      </c>
      <c r="E7683" s="501">
        <v>-200000000</v>
      </c>
      <c r="F7683" s="502" t="s">
        <v>906</v>
      </c>
      <c r="G7683" s="100" t="s">
        <v>1053</v>
      </c>
      <c r="H7683" s="530"/>
      <c r="I7683" s="422" t="s">
        <v>1450</v>
      </c>
      <c r="K7683" s="548">
        <v>116680848</v>
      </c>
      <c r="L7683" s="549">
        <v>100</v>
      </c>
      <c r="M7683" s="549">
        <f>E7683*(-1)/(N7683*O7683)*100</f>
        <v>100</v>
      </c>
      <c r="N7683" s="549">
        <v>200000</v>
      </c>
      <c r="O7683" s="539">
        <v>1000</v>
      </c>
      <c r="T7683" s="556">
        <v>16.7</v>
      </c>
      <c r="U7683" s="556">
        <v>0</v>
      </c>
      <c r="V7683" s="556">
        <v>0</v>
      </c>
      <c r="W7683" s="550">
        <f>VLOOKUP(G7683,Справочник!A:C,3,0)</f>
        <v>0.16700000000000001</v>
      </c>
      <c r="X7683" s="539" t="str">
        <f>VLOOKUP(G7683,Справочник!A:G,7,0)</f>
        <v>АО "Национальный управляющий холдинг "Байтерек"</v>
      </c>
      <c r="Y7683" s="551">
        <f>VLOOKUP(G7683,Справочник!A:B,2,0)</f>
        <v>46122</v>
      </c>
    </row>
    <row r="7684" spans="1:25">
      <c r="A7684" s="499">
        <v>45757</v>
      </c>
      <c r="B7684" s="499">
        <v>45757</v>
      </c>
      <c r="C7684" s="500" t="s">
        <v>173</v>
      </c>
      <c r="D7684" s="500" t="s">
        <v>759</v>
      </c>
      <c r="E7684" s="501">
        <v>-65046074.600000001</v>
      </c>
      <c r="F7684" s="502" t="s">
        <v>878</v>
      </c>
      <c r="G7684" s="100">
        <v>116676460</v>
      </c>
      <c r="H7684" s="530"/>
      <c r="I7684" s="422" t="s">
        <v>658</v>
      </c>
      <c r="J7684" s="484"/>
      <c r="K7684" s="548"/>
      <c r="L7684" s="548"/>
      <c r="M7684" s="548"/>
      <c r="N7684" s="552"/>
    </row>
    <row r="7685" spans="1:25">
      <c r="A7685" s="499">
        <v>45757</v>
      </c>
      <c r="B7685" s="499">
        <v>45757</v>
      </c>
      <c r="C7685" s="500" t="s">
        <v>173</v>
      </c>
      <c r="D7685" s="500" t="s">
        <v>759</v>
      </c>
      <c r="E7685" s="501">
        <v>-30024260.640000001</v>
      </c>
      <c r="F7685" s="502" t="s">
        <v>878</v>
      </c>
      <c r="G7685" s="100">
        <v>116676463</v>
      </c>
      <c r="H7685" s="530"/>
      <c r="I7685" s="422" t="s">
        <v>656</v>
      </c>
      <c r="J7685" s="484"/>
      <c r="K7685" s="548"/>
      <c r="L7685" s="548"/>
      <c r="M7685" s="548"/>
      <c r="N7685" s="552"/>
    </row>
    <row r="7686" spans="1:25">
      <c r="A7686" s="499">
        <v>45757</v>
      </c>
      <c r="B7686" s="499">
        <v>45757</v>
      </c>
      <c r="C7686" s="500" t="s">
        <v>173</v>
      </c>
      <c r="D7686" s="500" t="s">
        <v>759</v>
      </c>
      <c r="E7686" s="501">
        <v>-91014080.980000004</v>
      </c>
      <c r="F7686" s="502" t="s">
        <v>878</v>
      </c>
      <c r="G7686" s="100">
        <v>116676466</v>
      </c>
      <c r="H7686" s="530"/>
      <c r="I7686" s="422" t="s">
        <v>590</v>
      </c>
      <c r="J7686" s="484"/>
      <c r="K7686" s="548"/>
      <c r="L7686" s="548"/>
      <c r="M7686" s="548"/>
      <c r="N7686" s="552"/>
    </row>
    <row r="7687" spans="1:25">
      <c r="A7687" s="499">
        <v>45757</v>
      </c>
      <c r="B7687" s="499">
        <v>45757</v>
      </c>
      <c r="C7687" s="500" t="s">
        <v>173</v>
      </c>
      <c r="D7687" s="500" t="s">
        <v>759</v>
      </c>
      <c r="E7687" s="501">
        <v>-34005261.020000003</v>
      </c>
      <c r="F7687" s="502" t="s">
        <v>878</v>
      </c>
      <c r="G7687" s="100">
        <v>116676469</v>
      </c>
      <c r="H7687" s="530"/>
      <c r="I7687" s="422" t="s">
        <v>590</v>
      </c>
      <c r="J7687" s="484"/>
      <c r="K7687" s="548"/>
      <c r="L7687" s="548"/>
      <c r="M7687" s="548"/>
      <c r="N7687" s="552"/>
    </row>
    <row r="7688" spans="1:25">
      <c r="A7688" s="499">
        <v>45757</v>
      </c>
      <c r="B7688" s="499">
        <v>45757</v>
      </c>
      <c r="C7688" s="500" t="s">
        <v>173</v>
      </c>
      <c r="D7688" s="500" t="s">
        <v>759</v>
      </c>
      <c r="E7688" s="501">
        <v>-121074245.95999999</v>
      </c>
      <c r="F7688" s="502" t="s">
        <v>878</v>
      </c>
      <c r="G7688" s="100">
        <v>116676472</v>
      </c>
      <c r="H7688" s="530"/>
      <c r="I7688" s="422" t="s">
        <v>687</v>
      </c>
      <c r="J7688" s="484"/>
      <c r="K7688" s="548"/>
      <c r="L7688" s="548"/>
      <c r="M7688" s="548"/>
      <c r="N7688" s="552"/>
    </row>
    <row r="7689" spans="1:25">
      <c r="A7689" s="499">
        <v>45757</v>
      </c>
      <c r="B7689" s="499">
        <v>45757</v>
      </c>
      <c r="C7689" s="500" t="s">
        <v>173</v>
      </c>
      <c r="D7689" s="500" t="s">
        <v>759</v>
      </c>
      <c r="E7689" s="501">
        <v>-161104354.40000001</v>
      </c>
      <c r="F7689" s="502" t="s">
        <v>878</v>
      </c>
      <c r="G7689" s="100">
        <v>116676475</v>
      </c>
      <c r="H7689" s="530"/>
      <c r="I7689" s="422" t="s">
        <v>693</v>
      </c>
      <c r="J7689" s="484"/>
      <c r="K7689" s="548"/>
      <c r="L7689" s="548"/>
      <c r="M7689" s="548"/>
      <c r="N7689" s="552"/>
    </row>
    <row r="7690" spans="1:25">
      <c r="A7690" s="499">
        <v>45757</v>
      </c>
      <c r="B7690" s="499">
        <v>45757</v>
      </c>
      <c r="C7690" s="500" t="s">
        <v>173</v>
      </c>
      <c r="D7690" s="500" t="s">
        <v>759</v>
      </c>
      <c r="E7690" s="501">
        <v>-1000689.26</v>
      </c>
      <c r="F7690" s="502" t="s">
        <v>878</v>
      </c>
      <c r="G7690" s="100">
        <v>116676478</v>
      </c>
      <c r="H7690" s="530"/>
      <c r="I7690" s="422" t="s">
        <v>681</v>
      </c>
      <c r="J7690" s="484"/>
      <c r="K7690" s="548"/>
      <c r="L7690" s="548"/>
      <c r="M7690" s="548"/>
      <c r="N7690" s="552"/>
    </row>
    <row r="7691" spans="1:25">
      <c r="A7691" s="499">
        <v>45757</v>
      </c>
      <c r="B7691" s="499">
        <v>45757</v>
      </c>
      <c r="C7691" s="500" t="s">
        <v>173</v>
      </c>
      <c r="D7691" s="500" t="s">
        <v>759</v>
      </c>
      <c r="E7691" s="501">
        <v>-112022133.22</v>
      </c>
      <c r="F7691" s="502" t="s">
        <v>878</v>
      </c>
      <c r="G7691" s="100">
        <v>116676481</v>
      </c>
      <c r="H7691" s="530"/>
      <c r="I7691" s="422" t="s">
        <v>803</v>
      </c>
      <c r="J7691" s="484"/>
      <c r="K7691" s="548"/>
      <c r="L7691" s="548"/>
      <c r="M7691" s="548"/>
      <c r="N7691" s="552"/>
    </row>
    <row r="7692" spans="1:25">
      <c r="A7692" s="499">
        <v>45757</v>
      </c>
      <c r="B7692" s="499">
        <v>45757</v>
      </c>
      <c r="C7692" s="500" t="s">
        <v>173</v>
      </c>
      <c r="D7692" s="500" t="s">
        <v>759</v>
      </c>
      <c r="E7692" s="501">
        <v>-499000500</v>
      </c>
      <c r="F7692" s="502" t="s">
        <v>878</v>
      </c>
      <c r="G7692" s="100">
        <v>116676548</v>
      </c>
      <c r="H7692" s="530"/>
      <c r="I7692" s="422" t="s">
        <v>811</v>
      </c>
      <c r="J7692" s="484"/>
      <c r="K7692" s="548"/>
      <c r="L7692" s="548"/>
      <c r="M7692" s="548"/>
      <c r="N7692" s="552"/>
    </row>
    <row r="7693" spans="1:25">
      <c r="A7693" s="499">
        <v>45757</v>
      </c>
      <c r="B7693" s="499">
        <v>45757</v>
      </c>
      <c r="C7693" s="500" t="s">
        <v>173</v>
      </c>
      <c r="D7693" s="500" t="s">
        <v>759</v>
      </c>
      <c r="E7693" s="501">
        <v>-177119030.38</v>
      </c>
      <c r="F7693" s="502" t="s">
        <v>878</v>
      </c>
      <c r="G7693" s="100">
        <v>116676551</v>
      </c>
      <c r="H7693" s="530"/>
      <c r="I7693" s="422" t="s">
        <v>700</v>
      </c>
      <c r="J7693" s="484"/>
      <c r="K7693" s="548"/>
      <c r="L7693" s="548"/>
      <c r="M7693" s="548"/>
      <c r="N7693" s="552"/>
    </row>
    <row r="7694" spans="1:25">
      <c r="A7694" s="499">
        <v>45757</v>
      </c>
      <c r="B7694" s="499">
        <v>45757</v>
      </c>
      <c r="C7694" s="500" t="s">
        <v>173</v>
      </c>
      <c r="D7694" s="500" t="s">
        <v>759</v>
      </c>
      <c r="E7694" s="501">
        <v>-105011515.34999999</v>
      </c>
      <c r="F7694" s="502" t="s">
        <v>878</v>
      </c>
      <c r="G7694" s="100">
        <v>116676554</v>
      </c>
      <c r="H7694" s="530"/>
      <c r="I7694" s="422" t="s">
        <v>653</v>
      </c>
      <c r="J7694" s="484"/>
      <c r="K7694" s="548"/>
      <c r="L7694" s="548"/>
      <c r="M7694" s="548"/>
      <c r="N7694" s="552"/>
    </row>
    <row r="7695" spans="1:25">
      <c r="A7695" s="499">
        <v>45757</v>
      </c>
      <c r="B7695" s="499">
        <v>45757</v>
      </c>
      <c r="C7695" s="500" t="s">
        <v>173</v>
      </c>
      <c r="D7695" s="500" t="s">
        <v>759</v>
      </c>
      <c r="E7695" s="501">
        <v>-265049993.05000001</v>
      </c>
      <c r="F7695" s="502" t="s">
        <v>878</v>
      </c>
      <c r="G7695" s="100">
        <v>116676559</v>
      </c>
      <c r="H7695" s="530"/>
      <c r="I7695" s="422" t="s">
        <v>689</v>
      </c>
      <c r="J7695" s="484"/>
      <c r="K7695" s="548"/>
      <c r="L7695" s="548"/>
      <c r="M7695" s="548"/>
      <c r="N7695" s="552"/>
    </row>
    <row r="7696" spans="1:25">
      <c r="A7696" s="499">
        <v>45757</v>
      </c>
      <c r="B7696" s="499">
        <v>45757</v>
      </c>
      <c r="C7696" s="500" t="s">
        <v>173</v>
      </c>
      <c r="D7696" s="500" t="s">
        <v>759</v>
      </c>
      <c r="E7696" s="501">
        <v>-201179851.18000001</v>
      </c>
      <c r="F7696" s="502" t="s">
        <v>878</v>
      </c>
      <c r="G7696" s="100">
        <v>116676562</v>
      </c>
      <c r="H7696" s="530"/>
      <c r="I7696" s="422" t="s">
        <v>816</v>
      </c>
      <c r="J7696" s="484"/>
      <c r="K7696" s="548"/>
      <c r="L7696" s="548"/>
      <c r="M7696" s="548"/>
      <c r="N7696" s="552"/>
    </row>
    <row r="7697" spans="1:14">
      <c r="A7697" s="499">
        <v>45757</v>
      </c>
      <c r="B7697" s="499">
        <v>45757</v>
      </c>
      <c r="C7697" s="500" t="s">
        <v>173</v>
      </c>
      <c r="D7697" s="500" t="s">
        <v>759</v>
      </c>
      <c r="E7697" s="501">
        <v>-136032451.16</v>
      </c>
      <c r="F7697" s="502" t="s">
        <v>878</v>
      </c>
      <c r="G7697" s="100">
        <v>116676639</v>
      </c>
      <c r="H7697" s="530"/>
      <c r="I7697" s="422" t="s">
        <v>635</v>
      </c>
      <c r="J7697" s="484"/>
      <c r="K7697" s="548"/>
      <c r="L7697" s="548"/>
      <c r="M7697" s="548"/>
      <c r="N7697" s="552"/>
    </row>
    <row r="7698" spans="1:14">
      <c r="A7698" s="499">
        <v>45757</v>
      </c>
      <c r="B7698" s="499">
        <v>45757</v>
      </c>
      <c r="C7698" s="500" t="s">
        <v>173</v>
      </c>
      <c r="D7698" s="500" t="s">
        <v>759</v>
      </c>
      <c r="E7698" s="501">
        <v>-1700160564.8299999</v>
      </c>
      <c r="F7698" s="502" t="s">
        <v>878</v>
      </c>
      <c r="G7698" s="100">
        <v>116677163</v>
      </c>
      <c r="H7698" s="530"/>
      <c r="I7698" s="422" t="s">
        <v>637</v>
      </c>
      <c r="J7698" s="484"/>
      <c r="K7698" s="548"/>
      <c r="L7698" s="548"/>
      <c r="M7698" s="548"/>
      <c r="N7698" s="552"/>
    </row>
    <row r="7699" spans="1:14">
      <c r="A7699" s="499">
        <v>45757</v>
      </c>
      <c r="B7699" s="499">
        <v>45757</v>
      </c>
      <c r="C7699" s="500" t="s">
        <v>173</v>
      </c>
      <c r="D7699" s="500" t="s">
        <v>759</v>
      </c>
      <c r="E7699" s="501">
        <v>-275131013.07999998</v>
      </c>
      <c r="F7699" s="502" t="s">
        <v>878</v>
      </c>
      <c r="G7699" s="100">
        <v>116677247</v>
      </c>
      <c r="H7699" s="530"/>
      <c r="I7699" s="422" t="s">
        <v>633</v>
      </c>
      <c r="J7699" s="484"/>
      <c r="K7699" s="548"/>
      <c r="L7699" s="548"/>
      <c r="M7699" s="548"/>
      <c r="N7699" s="552"/>
    </row>
    <row r="7700" spans="1:14">
      <c r="A7700" s="499">
        <v>45757</v>
      </c>
      <c r="B7700" s="499">
        <v>45757</v>
      </c>
      <c r="C7700" s="500" t="s">
        <v>173</v>
      </c>
      <c r="D7700" s="500" t="s">
        <v>759</v>
      </c>
      <c r="E7700" s="501">
        <v>-4372043383.9300003</v>
      </c>
      <c r="F7700" s="502" t="s">
        <v>878</v>
      </c>
      <c r="G7700" s="100">
        <v>116677361</v>
      </c>
      <c r="H7700" s="530"/>
      <c r="I7700" s="422" t="s">
        <v>805</v>
      </c>
      <c r="J7700" s="484"/>
      <c r="K7700" s="548"/>
      <c r="L7700" s="548"/>
      <c r="M7700" s="548"/>
      <c r="N7700" s="552"/>
    </row>
    <row r="7701" spans="1:14">
      <c r="A7701" s="499">
        <v>45757</v>
      </c>
      <c r="B7701" s="499">
        <v>45757</v>
      </c>
      <c r="C7701" s="500" t="s">
        <v>173</v>
      </c>
      <c r="D7701" s="500" t="s">
        <v>759</v>
      </c>
      <c r="E7701" s="501">
        <v>-226207486.08000001</v>
      </c>
      <c r="F7701" s="502" t="s">
        <v>878</v>
      </c>
      <c r="G7701" s="100">
        <v>116678021</v>
      </c>
      <c r="H7701" s="530"/>
      <c r="I7701" s="422" t="s">
        <v>680</v>
      </c>
      <c r="J7701" s="484"/>
      <c r="K7701" s="548"/>
      <c r="L7701" s="548"/>
      <c r="M7701" s="548"/>
      <c r="N7701" s="552"/>
    </row>
    <row r="7702" spans="1:14">
      <c r="A7702" s="499">
        <v>45757</v>
      </c>
      <c r="B7702" s="499">
        <v>45758</v>
      </c>
      <c r="C7702" s="500" t="s">
        <v>173</v>
      </c>
      <c r="D7702" s="500" t="s">
        <v>759</v>
      </c>
      <c r="E7702" s="501">
        <v>65074587.950000003</v>
      </c>
      <c r="F7702" s="502" t="s">
        <v>878</v>
      </c>
      <c r="G7702" s="100">
        <v>116676460</v>
      </c>
      <c r="H7702" s="484">
        <v>116676460</v>
      </c>
      <c r="I7702" s="422" t="s">
        <v>658</v>
      </c>
      <c r="J7702" s="484"/>
      <c r="K7702" s="548"/>
      <c r="L7702" s="548"/>
      <c r="M7702" s="548"/>
      <c r="N7702" s="552"/>
    </row>
    <row r="7703" spans="1:14">
      <c r="A7703" s="499">
        <v>45757</v>
      </c>
      <c r="B7703" s="499">
        <v>45758</v>
      </c>
      <c r="C7703" s="500" t="s">
        <v>173</v>
      </c>
      <c r="D7703" s="500" t="s">
        <v>759</v>
      </c>
      <c r="E7703" s="501">
        <v>30037421.960000001</v>
      </c>
      <c r="F7703" s="502" t="s">
        <v>878</v>
      </c>
      <c r="G7703" s="100">
        <v>116676463</v>
      </c>
      <c r="H7703" s="484">
        <v>116676463</v>
      </c>
      <c r="I7703" s="422" t="s">
        <v>656</v>
      </c>
      <c r="J7703" s="484"/>
      <c r="K7703" s="548"/>
      <c r="L7703" s="548"/>
      <c r="M7703" s="548"/>
      <c r="N7703" s="552"/>
    </row>
    <row r="7704" spans="1:14">
      <c r="A7704" s="499">
        <v>45757</v>
      </c>
      <c r="B7704" s="499">
        <v>45758</v>
      </c>
      <c r="C7704" s="500" t="s">
        <v>173</v>
      </c>
      <c r="D7704" s="500" t="s">
        <v>759</v>
      </c>
      <c r="E7704" s="501">
        <v>91053977.560000002</v>
      </c>
      <c r="F7704" s="502" t="s">
        <v>878</v>
      </c>
      <c r="G7704" s="100">
        <v>116676466</v>
      </c>
      <c r="H7704" s="484">
        <v>116676466</v>
      </c>
      <c r="I7704" s="422" t="s">
        <v>590</v>
      </c>
      <c r="J7704" s="484"/>
      <c r="K7704" s="548"/>
      <c r="L7704" s="548"/>
      <c r="M7704" s="548"/>
      <c r="N7704" s="552"/>
    </row>
    <row r="7705" spans="1:14">
      <c r="A7705" s="499">
        <v>45757</v>
      </c>
      <c r="B7705" s="499">
        <v>45758</v>
      </c>
      <c r="C7705" s="500" t="s">
        <v>173</v>
      </c>
      <c r="D7705" s="500" t="s">
        <v>759</v>
      </c>
      <c r="E7705" s="501">
        <v>34020167.439999998</v>
      </c>
      <c r="F7705" s="502" t="s">
        <v>878</v>
      </c>
      <c r="G7705" s="100">
        <v>116676469</v>
      </c>
      <c r="H7705" s="484">
        <v>116676469</v>
      </c>
      <c r="I7705" s="422" t="s">
        <v>590</v>
      </c>
      <c r="J7705" s="484"/>
      <c r="K7705" s="548"/>
      <c r="L7705" s="548"/>
      <c r="M7705" s="548"/>
      <c r="N7705" s="552"/>
    </row>
    <row r="7706" spans="1:14">
      <c r="A7706" s="499">
        <v>45757</v>
      </c>
      <c r="B7706" s="499">
        <v>45758</v>
      </c>
      <c r="C7706" s="500" t="s">
        <v>173</v>
      </c>
      <c r="D7706" s="500" t="s">
        <v>759</v>
      </c>
      <c r="E7706" s="501">
        <v>121127319.59999999</v>
      </c>
      <c r="F7706" s="502" t="s">
        <v>878</v>
      </c>
      <c r="G7706" s="100">
        <v>116676472</v>
      </c>
      <c r="H7706" s="484">
        <v>116676472</v>
      </c>
      <c r="I7706" s="422" t="s">
        <v>687</v>
      </c>
      <c r="J7706" s="484"/>
      <c r="K7706" s="548"/>
      <c r="L7706" s="548"/>
      <c r="M7706" s="548"/>
      <c r="N7706" s="552"/>
    </row>
    <row r="7707" spans="1:14">
      <c r="A7707" s="499">
        <v>45757</v>
      </c>
      <c r="B7707" s="499">
        <v>45758</v>
      </c>
      <c r="C7707" s="500" t="s">
        <v>173</v>
      </c>
      <c r="D7707" s="500" t="s">
        <v>759</v>
      </c>
      <c r="E7707" s="501">
        <v>161174975.49000001</v>
      </c>
      <c r="F7707" s="502" t="s">
        <v>878</v>
      </c>
      <c r="G7707" s="100">
        <v>116676475</v>
      </c>
      <c r="H7707" s="484">
        <v>116676475</v>
      </c>
      <c r="I7707" s="422" t="s">
        <v>693</v>
      </c>
      <c r="J7707" s="484"/>
      <c r="K7707" s="548"/>
      <c r="L7707" s="548"/>
      <c r="M7707" s="548"/>
      <c r="N7707" s="552"/>
    </row>
    <row r="7708" spans="1:14">
      <c r="A7708" s="499">
        <v>45757</v>
      </c>
      <c r="B7708" s="499">
        <v>45758</v>
      </c>
      <c r="C7708" s="500" t="s">
        <v>173</v>
      </c>
      <c r="D7708" s="500" t="s">
        <v>759</v>
      </c>
      <c r="E7708" s="501">
        <v>1001127.92</v>
      </c>
      <c r="F7708" s="502" t="s">
        <v>878</v>
      </c>
      <c r="G7708" s="100">
        <v>116676478</v>
      </c>
      <c r="H7708" s="484">
        <v>116676478</v>
      </c>
      <c r="I7708" s="422" t="s">
        <v>681</v>
      </c>
      <c r="J7708" s="484"/>
      <c r="K7708" s="548"/>
      <c r="L7708" s="548"/>
      <c r="M7708" s="548"/>
      <c r="N7708" s="552"/>
    </row>
    <row r="7709" spans="1:14">
      <c r="A7709" s="499">
        <v>45757</v>
      </c>
      <c r="B7709" s="499">
        <v>45758</v>
      </c>
      <c r="C7709" s="500" t="s">
        <v>173</v>
      </c>
      <c r="D7709" s="500" t="s">
        <v>759</v>
      </c>
      <c r="E7709" s="501">
        <v>112071238.81</v>
      </c>
      <c r="F7709" s="502" t="s">
        <v>878</v>
      </c>
      <c r="G7709" s="100">
        <v>116676481</v>
      </c>
      <c r="H7709" s="484">
        <v>116676481</v>
      </c>
      <c r="I7709" s="422" t="s">
        <v>803</v>
      </c>
      <c r="J7709" s="484"/>
      <c r="K7709" s="548"/>
      <c r="L7709" s="548"/>
      <c r="M7709" s="548"/>
      <c r="N7709" s="552"/>
    </row>
    <row r="7710" spans="1:14">
      <c r="A7710" s="499">
        <v>45757</v>
      </c>
      <c r="B7710" s="499">
        <v>45758</v>
      </c>
      <c r="C7710" s="500" t="s">
        <v>173</v>
      </c>
      <c r="D7710" s="500" t="s">
        <v>759</v>
      </c>
      <c r="E7710" s="501">
        <v>499219239.94999999</v>
      </c>
      <c r="F7710" s="502" t="s">
        <v>878</v>
      </c>
      <c r="G7710" s="100">
        <v>116676548</v>
      </c>
      <c r="H7710" s="484">
        <v>116676548</v>
      </c>
      <c r="I7710" s="422" t="s">
        <v>811</v>
      </c>
      <c r="J7710" s="484"/>
      <c r="K7710" s="548"/>
      <c r="L7710" s="548"/>
      <c r="M7710" s="548"/>
      <c r="N7710" s="552"/>
    </row>
    <row r="7711" spans="1:14">
      <c r="A7711" s="499">
        <v>45757</v>
      </c>
      <c r="B7711" s="499">
        <v>45758</v>
      </c>
      <c r="C7711" s="500" t="s">
        <v>173</v>
      </c>
      <c r="D7711" s="500" t="s">
        <v>759</v>
      </c>
      <c r="E7711" s="501">
        <v>177196671.59999999</v>
      </c>
      <c r="F7711" s="502" t="s">
        <v>878</v>
      </c>
      <c r="G7711" s="100">
        <v>116676551</v>
      </c>
      <c r="H7711" s="484">
        <v>116676551</v>
      </c>
      <c r="I7711" s="422" t="s">
        <v>700</v>
      </c>
      <c r="J7711" s="484"/>
      <c r="K7711" s="548"/>
      <c r="L7711" s="548"/>
      <c r="M7711" s="548"/>
      <c r="N7711" s="552"/>
    </row>
    <row r="7712" spans="1:14">
      <c r="A7712" s="499">
        <v>45757</v>
      </c>
      <c r="B7712" s="499">
        <v>45758</v>
      </c>
      <c r="C7712" s="500" t="s">
        <v>173</v>
      </c>
      <c r="D7712" s="500" t="s">
        <v>759</v>
      </c>
      <c r="E7712" s="501">
        <v>105057547.8</v>
      </c>
      <c r="F7712" s="502" t="s">
        <v>878</v>
      </c>
      <c r="G7712" s="100">
        <v>116676554</v>
      </c>
      <c r="H7712" s="484">
        <v>116676554</v>
      </c>
      <c r="I7712" s="422" t="s">
        <v>653</v>
      </c>
      <c r="J7712" s="484"/>
      <c r="K7712" s="548"/>
      <c r="L7712" s="548"/>
      <c r="M7712" s="548"/>
      <c r="N7712" s="552"/>
    </row>
    <row r="7713" spans="1:14">
      <c r="A7713" s="499">
        <v>45757</v>
      </c>
      <c r="B7713" s="499">
        <v>45758</v>
      </c>
      <c r="C7713" s="500" t="s">
        <v>173</v>
      </c>
      <c r="D7713" s="500" t="s">
        <v>759</v>
      </c>
      <c r="E7713" s="501">
        <v>265166179.34999999</v>
      </c>
      <c r="F7713" s="502" t="s">
        <v>878</v>
      </c>
      <c r="G7713" s="100">
        <v>116676559</v>
      </c>
      <c r="H7713" s="484">
        <v>116676559</v>
      </c>
      <c r="I7713" s="422" t="s">
        <v>689</v>
      </c>
      <c r="J7713" s="484"/>
      <c r="K7713" s="548"/>
      <c r="L7713" s="548"/>
      <c r="M7713" s="548"/>
      <c r="N7713" s="552"/>
    </row>
    <row r="7714" spans="1:14">
      <c r="A7714" s="499">
        <v>45757</v>
      </c>
      <c r="B7714" s="499">
        <v>45758</v>
      </c>
      <c r="C7714" s="500" t="s">
        <v>173</v>
      </c>
      <c r="D7714" s="500" t="s">
        <v>759</v>
      </c>
      <c r="E7714" s="501">
        <v>201268039.61000001</v>
      </c>
      <c r="F7714" s="502" t="s">
        <v>878</v>
      </c>
      <c r="G7714" s="100">
        <v>116676562</v>
      </c>
      <c r="H7714" s="484">
        <v>116676562</v>
      </c>
      <c r="I7714" s="422" t="s">
        <v>816</v>
      </c>
      <c r="J7714" s="484"/>
      <c r="K7714" s="548"/>
      <c r="L7714" s="548"/>
      <c r="M7714" s="548"/>
      <c r="N7714" s="552"/>
    </row>
    <row r="7715" spans="1:14">
      <c r="A7715" s="499">
        <v>45757</v>
      </c>
      <c r="B7715" s="499">
        <v>45758</v>
      </c>
      <c r="C7715" s="500" t="s">
        <v>173</v>
      </c>
      <c r="D7715" s="500" t="s">
        <v>759</v>
      </c>
      <c r="E7715" s="501">
        <v>136092081.81999999</v>
      </c>
      <c r="F7715" s="502" t="s">
        <v>878</v>
      </c>
      <c r="G7715" s="100">
        <v>116676639</v>
      </c>
      <c r="H7715" s="484">
        <v>116676639</v>
      </c>
      <c r="I7715" s="422" t="s">
        <v>635</v>
      </c>
      <c r="J7715" s="484"/>
      <c r="K7715" s="548"/>
      <c r="L7715" s="548"/>
      <c r="M7715" s="548"/>
      <c r="N7715" s="552"/>
    </row>
    <row r="7716" spans="1:14">
      <c r="A7716" s="499">
        <v>45757</v>
      </c>
      <c r="B7716" s="499">
        <v>45764</v>
      </c>
      <c r="C7716" s="500" t="s">
        <v>173</v>
      </c>
      <c r="D7716" s="500" t="s">
        <v>759</v>
      </c>
      <c r="E7716" s="501">
        <v>1705459010.4300001</v>
      </c>
      <c r="F7716" s="502" t="s">
        <v>878</v>
      </c>
      <c r="G7716" s="100">
        <v>116677163</v>
      </c>
      <c r="H7716" s="484">
        <v>116677163</v>
      </c>
      <c r="I7716" s="422" t="s">
        <v>637</v>
      </c>
      <c r="J7716" s="484"/>
      <c r="K7716" s="548"/>
      <c r="L7716" s="548"/>
      <c r="M7716" s="548"/>
      <c r="N7716" s="552"/>
    </row>
    <row r="7717" spans="1:14">
      <c r="A7717" s="499">
        <v>45757</v>
      </c>
      <c r="B7717" s="499">
        <v>45764</v>
      </c>
      <c r="C7717" s="500" t="s">
        <v>173</v>
      </c>
      <c r="D7717" s="500" t="s">
        <v>759</v>
      </c>
      <c r="E7717" s="501">
        <v>275988441.92000002</v>
      </c>
      <c r="F7717" s="502" t="s">
        <v>878</v>
      </c>
      <c r="G7717" s="100">
        <v>116677247</v>
      </c>
      <c r="H7717" s="484">
        <v>116677247</v>
      </c>
      <c r="I7717" s="422" t="s">
        <v>633</v>
      </c>
      <c r="J7717" s="484"/>
      <c r="K7717" s="548"/>
      <c r="L7717" s="548"/>
      <c r="M7717" s="548"/>
      <c r="N7717" s="552"/>
    </row>
    <row r="7718" spans="1:14">
      <c r="A7718" s="499">
        <v>45757</v>
      </c>
      <c r="B7718" s="499">
        <v>45764</v>
      </c>
      <c r="C7718" s="500" t="s">
        <v>173</v>
      </c>
      <c r="D7718" s="500" t="s">
        <v>759</v>
      </c>
      <c r="E7718" s="501">
        <v>4385668587.6300001</v>
      </c>
      <c r="F7718" s="502" t="s">
        <v>878</v>
      </c>
      <c r="G7718" s="100">
        <v>116677361</v>
      </c>
      <c r="H7718" s="484">
        <v>116677361</v>
      </c>
      <c r="I7718" s="422" t="s">
        <v>805</v>
      </c>
      <c r="J7718" s="484"/>
      <c r="K7718" s="548"/>
      <c r="L7718" s="548"/>
      <c r="M7718" s="548"/>
      <c r="N7718" s="552"/>
    </row>
    <row r="7719" spans="1:14">
      <c r="A7719" s="499">
        <v>45757</v>
      </c>
      <c r="B7719" s="499">
        <v>45764</v>
      </c>
      <c r="C7719" s="500" t="s">
        <v>173</v>
      </c>
      <c r="D7719" s="500" t="s">
        <v>759</v>
      </c>
      <c r="E7719" s="501">
        <v>226910278.65000001</v>
      </c>
      <c r="F7719" s="502" t="s">
        <v>878</v>
      </c>
      <c r="G7719" s="100">
        <v>116678021</v>
      </c>
      <c r="H7719" s="484">
        <v>116678021</v>
      </c>
      <c r="I7719" s="422" t="s">
        <v>680</v>
      </c>
      <c r="J7719" s="484"/>
      <c r="K7719" s="548"/>
      <c r="L7719" s="548"/>
      <c r="M7719" s="548"/>
      <c r="N7719" s="552"/>
    </row>
    <row r="7720" spans="1:14">
      <c r="A7720" s="499">
        <v>45757</v>
      </c>
      <c r="B7720" s="499">
        <v>45757</v>
      </c>
      <c r="C7720" s="500" t="s">
        <v>173</v>
      </c>
      <c r="D7720" s="500" t="s">
        <v>760</v>
      </c>
      <c r="E7720" s="501">
        <v>-1551126175.8699999</v>
      </c>
      <c r="F7720" s="502" t="s">
        <v>878</v>
      </c>
      <c r="G7720" s="100">
        <v>116677120</v>
      </c>
      <c r="H7720" s="530"/>
      <c r="I7720" s="422" t="s">
        <v>1018</v>
      </c>
      <c r="J7720" s="484"/>
      <c r="K7720" s="548"/>
      <c r="L7720" s="548"/>
      <c r="M7720" s="548"/>
      <c r="N7720" s="552"/>
    </row>
    <row r="7721" spans="1:14">
      <c r="A7721" s="499">
        <v>45757</v>
      </c>
      <c r="B7721" s="499">
        <v>45757</v>
      </c>
      <c r="C7721" s="500" t="s">
        <v>173</v>
      </c>
      <c r="D7721" s="500" t="s">
        <v>760</v>
      </c>
      <c r="E7721" s="501">
        <v>-16007622.58</v>
      </c>
      <c r="F7721" s="502" t="s">
        <v>878</v>
      </c>
      <c r="G7721" s="100">
        <v>116677475</v>
      </c>
      <c r="H7721" s="530"/>
      <c r="I7721" s="422" t="s">
        <v>633</v>
      </c>
      <c r="J7721" s="484"/>
      <c r="K7721" s="548"/>
      <c r="L7721" s="548"/>
      <c r="M7721" s="548"/>
      <c r="N7721" s="552"/>
    </row>
    <row r="7722" spans="1:14">
      <c r="A7722" s="499">
        <v>45757</v>
      </c>
      <c r="B7722" s="499">
        <v>45758</v>
      </c>
      <c r="C7722" s="500" t="s">
        <v>173</v>
      </c>
      <c r="D7722" s="500" t="s">
        <v>760</v>
      </c>
      <c r="E7722" s="501">
        <v>1551801446.96</v>
      </c>
      <c r="F7722" s="502" t="s">
        <v>878</v>
      </c>
      <c r="G7722" s="100">
        <v>116677120</v>
      </c>
      <c r="H7722" s="100">
        <v>116677120</v>
      </c>
      <c r="I7722" s="422" t="s">
        <v>1018</v>
      </c>
      <c r="J7722" s="484"/>
      <c r="K7722" s="548"/>
      <c r="L7722" s="548"/>
      <c r="M7722" s="548"/>
      <c r="N7722" s="552"/>
    </row>
    <row r="7723" spans="1:14">
      <c r="A7723" s="499">
        <v>45757</v>
      </c>
      <c r="B7723" s="499">
        <v>45758</v>
      </c>
      <c r="C7723" s="500" t="s">
        <v>173</v>
      </c>
      <c r="D7723" s="500" t="s">
        <v>760</v>
      </c>
      <c r="E7723" s="501">
        <v>16014595.76</v>
      </c>
      <c r="F7723" s="502" t="s">
        <v>878</v>
      </c>
      <c r="G7723" s="100">
        <v>116677475</v>
      </c>
      <c r="H7723" s="100">
        <v>116677475</v>
      </c>
      <c r="I7723" s="422" t="s">
        <v>633</v>
      </c>
      <c r="J7723" s="484"/>
      <c r="K7723" s="548"/>
      <c r="L7723" s="548"/>
      <c r="M7723" s="548"/>
      <c r="N7723" s="552"/>
    </row>
    <row r="7724" spans="1:14">
      <c r="A7724" s="499">
        <v>45757</v>
      </c>
      <c r="B7724" s="499">
        <v>45757</v>
      </c>
      <c r="C7724" s="500" t="s">
        <v>173</v>
      </c>
      <c r="D7724" s="500" t="s">
        <v>764</v>
      </c>
      <c r="E7724" s="501">
        <v>-3008759748.48</v>
      </c>
      <c r="F7724" s="502" t="s">
        <v>878</v>
      </c>
      <c r="G7724" s="100">
        <v>116677622</v>
      </c>
      <c r="H7724" s="530"/>
      <c r="I7724" s="422" t="s">
        <v>680</v>
      </c>
      <c r="J7724" s="484"/>
      <c r="K7724" s="548"/>
      <c r="L7724" s="548"/>
      <c r="M7724" s="548"/>
      <c r="N7724" s="552"/>
    </row>
    <row r="7725" spans="1:14">
      <c r="A7725" s="499">
        <v>45757</v>
      </c>
      <c r="B7725" s="499">
        <v>45757</v>
      </c>
      <c r="C7725" s="500" t="s">
        <v>173</v>
      </c>
      <c r="D7725" s="500" t="s">
        <v>764</v>
      </c>
      <c r="E7725" s="501">
        <v>-14012853.119999999</v>
      </c>
      <c r="F7725" s="502" t="s">
        <v>878</v>
      </c>
      <c r="G7725" s="100">
        <v>116678018</v>
      </c>
      <c r="H7725" s="530"/>
      <c r="I7725" s="422" t="s">
        <v>680</v>
      </c>
      <c r="J7725" s="484"/>
      <c r="K7725" s="548"/>
      <c r="L7725" s="548"/>
      <c r="M7725" s="548"/>
      <c r="N7725" s="552"/>
    </row>
    <row r="7726" spans="1:14">
      <c r="A7726" s="499">
        <v>45757</v>
      </c>
      <c r="B7726" s="499">
        <v>45764</v>
      </c>
      <c r="C7726" s="500" t="s">
        <v>173</v>
      </c>
      <c r="D7726" s="500" t="s">
        <v>764</v>
      </c>
      <c r="E7726" s="501">
        <v>3018107511.6399999</v>
      </c>
      <c r="F7726" s="502" t="s">
        <v>878</v>
      </c>
      <c r="G7726" s="100">
        <v>116677622</v>
      </c>
      <c r="H7726" s="100">
        <v>116677622</v>
      </c>
      <c r="I7726" s="422" t="s">
        <v>680</v>
      </c>
      <c r="J7726" s="484"/>
      <c r="K7726" s="548"/>
      <c r="L7726" s="548"/>
      <c r="M7726" s="548"/>
      <c r="N7726" s="552"/>
    </row>
    <row r="7727" spans="1:14">
      <c r="A7727" s="499">
        <v>45757</v>
      </c>
      <c r="B7727" s="499">
        <v>45764</v>
      </c>
      <c r="C7727" s="500" t="s">
        <v>173</v>
      </c>
      <c r="D7727" s="500" t="s">
        <v>764</v>
      </c>
      <c r="E7727" s="501">
        <v>14056388.939999999</v>
      </c>
      <c r="F7727" s="502" t="s">
        <v>878</v>
      </c>
      <c r="G7727" s="100">
        <v>116678018</v>
      </c>
      <c r="H7727" s="100">
        <v>116678018</v>
      </c>
      <c r="I7727" s="422" t="s">
        <v>680</v>
      </c>
      <c r="J7727" s="484"/>
      <c r="K7727" s="548"/>
      <c r="L7727" s="548"/>
      <c r="M7727" s="548"/>
      <c r="N7727" s="552"/>
    </row>
    <row r="7728" spans="1:14">
      <c r="A7728" s="499">
        <v>45757</v>
      </c>
      <c r="B7728" s="499">
        <v>45757</v>
      </c>
      <c r="C7728" s="500" t="s">
        <v>173</v>
      </c>
      <c r="D7728" s="500" t="s">
        <v>763</v>
      </c>
      <c r="E7728" s="501">
        <v>-5209006386.2299995</v>
      </c>
      <c r="F7728" s="502" t="s">
        <v>878</v>
      </c>
      <c r="G7728" s="100">
        <v>116675247</v>
      </c>
      <c r="H7728" s="530"/>
      <c r="I7728" s="422" t="s">
        <v>684</v>
      </c>
      <c r="J7728" s="484"/>
      <c r="K7728" s="548"/>
      <c r="L7728" s="548"/>
      <c r="M7728" s="548"/>
      <c r="N7728" s="552"/>
    </row>
    <row r="7729" spans="1:14">
      <c r="A7729" s="499">
        <v>45757</v>
      </c>
      <c r="B7729" s="499">
        <v>45757</v>
      </c>
      <c r="C7729" s="500" t="s">
        <v>173</v>
      </c>
      <c r="D7729" s="500" t="s">
        <v>763</v>
      </c>
      <c r="E7729" s="501">
        <v>-29000035.550000001</v>
      </c>
      <c r="F7729" s="502" t="s">
        <v>878</v>
      </c>
      <c r="G7729" s="100">
        <v>116675280</v>
      </c>
      <c r="H7729" s="530"/>
      <c r="I7729" s="422" t="s">
        <v>684</v>
      </c>
      <c r="J7729" s="484"/>
      <c r="K7729" s="548"/>
      <c r="L7729" s="548"/>
      <c r="M7729" s="548"/>
      <c r="N7729" s="552"/>
    </row>
    <row r="7730" spans="1:14">
      <c r="A7730" s="499">
        <v>45757</v>
      </c>
      <c r="B7730" s="499">
        <v>45758</v>
      </c>
      <c r="C7730" s="500" t="s">
        <v>173</v>
      </c>
      <c r="D7730" s="500" t="s">
        <v>763</v>
      </c>
      <c r="E7730" s="501">
        <v>5211254179.5200005</v>
      </c>
      <c r="F7730" s="502" t="s">
        <v>878</v>
      </c>
      <c r="G7730" s="100">
        <v>116675247</v>
      </c>
      <c r="H7730" s="100">
        <v>116675247</v>
      </c>
      <c r="I7730" s="422" t="s">
        <v>684</v>
      </c>
      <c r="J7730" s="484"/>
      <c r="K7730" s="548"/>
      <c r="L7730" s="548"/>
      <c r="M7730" s="548"/>
      <c r="N7730" s="552"/>
    </row>
    <row r="7731" spans="1:14">
      <c r="A7731" s="499">
        <v>45757</v>
      </c>
      <c r="B7731" s="499">
        <v>45758</v>
      </c>
      <c r="C7731" s="500" t="s">
        <v>173</v>
      </c>
      <c r="D7731" s="500" t="s">
        <v>763</v>
      </c>
      <c r="E7731" s="501">
        <v>29012549.66</v>
      </c>
      <c r="F7731" s="502" t="s">
        <v>878</v>
      </c>
      <c r="G7731" s="100">
        <v>116675280</v>
      </c>
      <c r="H7731" s="100">
        <v>116675280</v>
      </c>
      <c r="I7731" s="422" t="s">
        <v>684</v>
      </c>
      <c r="J7731" s="484"/>
      <c r="K7731" s="548"/>
      <c r="L7731" s="548"/>
      <c r="M7731" s="548"/>
      <c r="N7731" s="552"/>
    </row>
    <row r="7732" spans="1:14">
      <c r="A7732" s="499">
        <v>45758</v>
      </c>
      <c r="B7732" s="499">
        <v>45758</v>
      </c>
      <c r="C7732" s="500" t="s">
        <v>173</v>
      </c>
      <c r="D7732" s="500" t="s">
        <v>762</v>
      </c>
      <c r="E7732" s="501">
        <v>-1479715667.54</v>
      </c>
      <c r="F7732" s="502" t="s">
        <v>878</v>
      </c>
      <c r="G7732" s="100">
        <v>116696531</v>
      </c>
      <c r="H7732" s="530"/>
      <c r="I7732" s="422" t="s">
        <v>633</v>
      </c>
      <c r="J7732" s="484"/>
      <c r="K7732" s="548"/>
      <c r="L7732" s="548"/>
      <c r="M7732" s="548"/>
      <c r="N7732" s="552"/>
    </row>
    <row r="7733" spans="1:14">
      <c r="A7733" s="499">
        <v>45758</v>
      </c>
      <c r="B7733" s="499">
        <v>45758</v>
      </c>
      <c r="C7733" s="500" t="s">
        <v>173</v>
      </c>
      <c r="D7733" s="500" t="s">
        <v>762</v>
      </c>
      <c r="E7733" s="501">
        <v>-2833307171.9000001</v>
      </c>
      <c r="F7733" s="502" t="s">
        <v>878</v>
      </c>
      <c r="G7733" s="100">
        <v>116696534</v>
      </c>
      <c r="H7733" s="530"/>
      <c r="I7733" s="422" t="s">
        <v>672</v>
      </c>
      <c r="J7733" s="484"/>
      <c r="K7733" s="548"/>
      <c r="L7733" s="548"/>
      <c r="M7733" s="548"/>
      <c r="N7733" s="552"/>
    </row>
    <row r="7734" spans="1:14">
      <c r="A7734" s="499">
        <v>45758</v>
      </c>
      <c r="B7734" s="499">
        <v>45758</v>
      </c>
      <c r="C7734" s="500" t="s">
        <v>173</v>
      </c>
      <c r="D7734" s="500" t="s">
        <v>762</v>
      </c>
      <c r="E7734" s="501">
        <v>-15001554.33</v>
      </c>
      <c r="F7734" s="502" t="s">
        <v>878</v>
      </c>
      <c r="G7734" s="100">
        <v>116696804</v>
      </c>
      <c r="H7734" s="530"/>
      <c r="I7734" s="422" t="s">
        <v>604</v>
      </c>
      <c r="J7734" s="484"/>
      <c r="K7734" s="548"/>
      <c r="L7734" s="548"/>
      <c r="M7734" s="548"/>
      <c r="N7734" s="552"/>
    </row>
    <row r="7735" spans="1:14">
      <c r="A7735" s="499">
        <v>45758</v>
      </c>
      <c r="B7735" s="499">
        <v>45758</v>
      </c>
      <c r="C7735" s="500" t="s">
        <v>173</v>
      </c>
      <c r="D7735" s="500" t="s">
        <v>762</v>
      </c>
      <c r="E7735" s="501">
        <v>-7004885.6200000001</v>
      </c>
      <c r="F7735" s="502" t="s">
        <v>878</v>
      </c>
      <c r="G7735" s="100">
        <v>116696807</v>
      </c>
      <c r="H7735" s="530"/>
      <c r="I7735" s="422" t="s">
        <v>677</v>
      </c>
      <c r="J7735" s="484"/>
      <c r="K7735" s="548"/>
      <c r="L7735" s="548"/>
      <c r="M7735" s="548"/>
      <c r="N7735" s="552"/>
    </row>
    <row r="7736" spans="1:14">
      <c r="A7736" s="499">
        <v>45758</v>
      </c>
      <c r="B7736" s="499">
        <v>45761</v>
      </c>
      <c r="C7736" s="500" t="s">
        <v>173</v>
      </c>
      <c r="D7736" s="500" t="s">
        <v>762</v>
      </c>
      <c r="E7736" s="501">
        <v>1481722405.23</v>
      </c>
      <c r="F7736" s="502" t="s">
        <v>878</v>
      </c>
      <c r="G7736" s="100">
        <v>116696531</v>
      </c>
      <c r="H7736" s="484">
        <v>116696531</v>
      </c>
      <c r="I7736" s="422" t="s">
        <v>633</v>
      </c>
      <c r="J7736" s="484"/>
      <c r="K7736" s="548"/>
      <c r="L7736" s="548"/>
      <c r="M7736" s="548"/>
      <c r="N7736" s="552"/>
    </row>
    <row r="7737" spans="1:14">
      <c r="A7737" s="499">
        <v>45758</v>
      </c>
      <c r="B7737" s="499">
        <v>45761</v>
      </c>
      <c r="C7737" s="500" t="s">
        <v>173</v>
      </c>
      <c r="D7737" s="500" t="s">
        <v>762</v>
      </c>
      <c r="E7737" s="501">
        <v>2837149602.1700001</v>
      </c>
      <c r="F7737" s="502" t="s">
        <v>878</v>
      </c>
      <c r="G7737" s="100">
        <v>116696534</v>
      </c>
      <c r="H7737" s="484">
        <v>116696534</v>
      </c>
      <c r="I7737" s="422" t="s">
        <v>672</v>
      </c>
      <c r="J7737" s="484"/>
      <c r="K7737" s="548"/>
      <c r="L7737" s="548"/>
      <c r="M7737" s="548"/>
      <c r="N7737" s="552"/>
    </row>
    <row r="7738" spans="1:14">
      <c r="A7738" s="499">
        <v>45758</v>
      </c>
      <c r="B7738" s="499">
        <v>45761</v>
      </c>
      <c r="C7738" s="500" t="s">
        <v>173</v>
      </c>
      <c r="D7738" s="500" t="s">
        <v>762</v>
      </c>
      <c r="E7738" s="501">
        <v>15021714.08</v>
      </c>
      <c r="F7738" s="502" t="s">
        <v>878</v>
      </c>
      <c r="G7738" s="100">
        <v>116696804</v>
      </c>
      <c r="H7738" s="484">
        <v>116696804</v>
      </c>
      <c r="I7738" s="422" t="s">
        <v>604</v>
      </c>
      <c r="J7738" s="484"/>
      <c r="K7738" s="548"/>
      <c r="L7738" s="548"/>
      <c r="M7738" s="548"/>
      <c r="N7738" s="552"/>
    </row>
    <row r="7739" spans="1:14">
      <c r="A7739" s="499">
        <v>45758</v>
      </c>
      <c r="B7739" s="499">
        <v>45761</v>
      </c>
      <c r="C7739" s="500" t="s">
        <v>173</v>
      </c>
      <c r="D7739" s="500" t="s">
        <v>762</v>
      </c>
      <c r="E7739" s="501">
        <v>7014299.0899999999</v>
      </c>
      <c r="F7739" s="502" t="s">
        <v>878</v>
      </c>
      <c r="G7739" s="100">
        <v>116696807</v>
      </c>
      <c r="H7739" s="484">
        <v>116696807</v>
      </c>
      <c r="I7739" s="422" t="s">
        <v>677</v>
      </c>
      <c r="J7739" s="484"/>
      <c r="K7739" s="548"/>
      <c r="L7739" s="548"/>
      <c r="M7739" s="548"/>
      <c r="N7739" s="552"/>
    </row>
    <row r="7740" spans="1:14">
      <c r="A7740" s="499">
        <v>45758</v>
      </c>
      <c r="B7740" s="499">
        <v>45758</v>
      </c>
      <c r="C7740" s="500" t="s">
        <v>173</v>
      </c>
      <c r="D7740" s="500" t="s">
        <v>759</v>
      </c>
      <c r="E7740" s="501">
        <v>-1990962933.3399999</v>
      </c>
      <c r="F7740" s="502" t="s">
        <v>878</v>
      </c>
      <c r="G7740" s="100">
        <v>116694598</v>
      </c>
      <c r="H7740" s="530"/>
      <c r="I7740" s="422" t="s">
        <v>633</v>
      </c>
      <c r="J7740" s="484"/>
      <c r="K7740" s="548"/>
      <c r="L7740" s="548"/>
      <c r="M7740" s="548"/>
      <c r="N7740" s="552"/>
    </row>
    <row r="7741" spans="1:14">
      <c r="A7741" s="499">
        <v>45758</v>
      </c>
      <c r="B7741" s="499">
        <v>45758</v>
      </c>
      <c r="C7741" s="500" t="s">
        <v>173</v>
      </c>
      <c r="D7741" s="500" t="s">
        <v>759</v>
      </c>
      <c r="E7741" s="501">
        <v>-10004838.859999999</v>
      </c>
      <c r="F7741" s="502" t="s">
        <v>878</v>
      </c>
      <c r="G7741" s="100">
        <v>116694611</v>
      </c>
      <c r="H7741" s="530"/>
      <c r="I7741" s="422" t="s">
        <v>633</v>
      </c>
      <c r="J7741" s="484"/>
      <c r="K7741" s="548"/>
      <c r="L7741" s="548"/>
      <c r="M7741" s="548"/>
      <c r="N7741" s="552"/>
    </row>
    <row r="7742" spans="1:14">
      <c r="A7742" s="499">
        <v>45758</v>
      </c>
      <c r="B7742" s="499">
        <v>45761</v>
      </c>
      <c r="C7742" s="500" t="s">
        <v>173</v>
      </c>
      <c r="D7742" s="500" t="s">
        <v>759</v>
      </c>
      <c r="E7742" s="501">
        <v>1993605732.0799999</v>
      </c>
      <c r="F7742" s="502" t="s">
        <v>878</v>
      </c>
      <c r="G7742" s="100">
        <v>116694598</v>
      </c>
      <c r="H7742" s="100">
        <v>116694598</v>
      </c>
      <c r="I7742" s="422" t="s">
        <v>633</v>
      </c>
      <c r="J7742" s="484"/>
      <c r="K7742" s="548"/>
      <c r="L7742" s="548"/>
      <c r="M7742" s="548"/>
      <c r="N7742" s="552"/>
    </row>
    <row r="7743" spans="1:14">
      <c r="A7743" s="499">
        <v>45758</v>
      </c>
      <c r="B7743" s="499">
        <v>45761</v>
      </c>
      <c r="C7743" s="500" t="s">
        <v>173</v>
      </c>
      <c r="D7743" s="500" t="s">
        <v>759</v>
      </c>
      <c r="E7743" s="501">
        <v>10018119.26</v>
      </c>
      <c r="F7743" s="502" t="s">
        <v>878</v>
      </c>
      <c r="G7743" s="100">
        <v>116694611</v>
      </c>
      <c r="H7743" s="100">
        <v>116694611</v>
      </c>
      <c r="I7743" s="422" t="s">
        <v>633</v>
      </c>
      <c r="J7743" s="484"/>
      <c r="K7743" s="548"/>
      <c r="L7743" s="548"/>
      <c r="M7743" s="548"/>
      <c r="N7743" s="552"/>
    </row>
    <row r="7744" spans="1:14">
      <c r="A7744" s="499">
        <v>45758</v>
      </c>
      <c r="B7744" s="499">
        <v>45758</v>
      </c>
      <c r="C7744" s="500" t="s">
        <v>173</v>
      </c>
      <c r="D7744" s="500" t="s">
        <v>760</v>
      </c>
      <c r="E7744" s="501">
        <v>-1551750507.3399999</v>
      </c>
      <c r="F7744" s="502" t="s">
        <v>878</v>
      </c>
      <c r="G7744" s="100">
        <v>116693668</v>
      </c>
      <c r="H7744" s="530"/>
      <c r="I7744" s="422" t="s">
        <v>633</v>
      </c>
      <c r="J7744" s="484"/>
      <c r="K7744" s="548"/>
      <c r="L7744" s="548"/>
      <c r="M7744" s="548"/>
      <c r="N7744" s="552"/>
    </row>
    <row r="7745" spans="1:16">
      <c r="A7745" s="499">
        <v>45758</v>
      </c>
      <c r="B7745" s="499">
        <v>45758</v>
      </c>
      <c r="C7745" s="500" t="s">
        <v>173</v>
      </c>
      <c r="D7745" s="500" t="s">
        <v>760</v>
      </c>
      <c r="E7745" s="501">
        <v>-15007258.289999999</v>
      </c>
      <c r="F7745" s="502" t="s">
        <v>878</v>
      </c>
      <c r="G7745" s="100">
        <v>116693865</v>
      </c>
      <c r="H7745" s="530"/>
      <c r="I7745" s="422" t="s">
        <v>633</v>
      </c>
      <c r="J7745" s="484"/>
      <c r="K7745" s="548"/>
      <c r="L7745" s="548"/>
      <c r="M7745" s="548"/>
      <c r="N7745" s="552"/>
    </row>
    <row r="7746" spans="1:16">
      <c r="A7746" s="499">
        <v>45758</v>
      </c>
      <c r="B7746" s="499">
        <v>45761</v>
      </c>
      <c r="C7746" s="500" t="s">
        <v>173</v>
      </c>
      <c r="D7746" s="500" t="s">
        <v>760</v>
      </c>
      <c r="E7746" s="501">
        <v>1553791165.54</v>
      </c>
      <c r="F7746" s="502" t="s">
        <v>878</v>
      </c>
      <c r="G7746" s="100">
        <v>116693668</v>
      </c>
      <c r="H7746" s="484">
        <v>116693668</v>
      </c>
      <c r="I7746" s="422" t="s">
        <v>633</v>
      </c>
      <c r="J7746" s="484"/>
      <c r="K7746" s="548"/>
      <c r="L7746" s="548"/>
      <c r="M7746" s="548"/>
      <c r="N7746" s="552"/>
    </row>
    <row r="7747" spans="1:16">
      <c r="A7747" s="499">
        <v>45758</v>
      </c>
      <c r="B7747" s="499">
        <v>45761</v>
      </c>
      <c r="C7747" s="500" t="s">
        <v>173</v>
      </c>
      <c r="D7747" s="500" t="s">
        <v>760</v>
      </c>
      <c r="E7747" s="501">
        <v>15026993.859999999</v>
      </c>
      <c r="F7747" s="502" t="s">
        <v>878</v>
      </c>
      <c r="G7747" s="100">
        <v>116693865</v>
      </c>
      <c r="H7747" s="484">
        <v>116693865</v>
      </c>
      <c r="I7747" s="422" t="s">
        <v>633</v>
      </c>
      <c r="J7747" s="484"/>
      <c r="K7747" s="548"/>
      <c r="L7747" s="548"/>
      <c r="M7747" s="548"/>
      <c r="N7747" s="552"/>
    </row>
    <row r="7748" spans="1:16">
      <c r="A7748" s="499">
        <v>45758</v>
      </c>
      <c r="B7748" s="499">
        <v>45758</v>
      </c>
      <c r="C7748" s="500" t="s">
        <v>173</v>
      </c>
      <c r="D7748" s="500" t="s">
        <v>763</v>
      </c>
      <c r="E7748" s="501">
        <v>-5211843895.3999996</v>
      </c>
      <c r="F7748" s="502" t="s">
        <v>878</v>
      </c>
      <c r="G7748" s="100">
        <v>116693410</v>
      </c>
      <c r="H7748" s="530"/>
      <c r="I7748" s="422" t="s">
        <v>684</v>
      </c>
      <c r="J7748" s="484"/>
      <c r="K7748" s="548"/>
      <c r="L7748" s="548"/>
      <c r="M7748" s="548"/>
      <c r="N7748" s="552"/>
    </row>
    <row r="7749" spans="1:16">
      <c r="A7749" s="499">
        <v>45758</v>
      </c>
      <c r="B7749" s="499">
        <v>45758</v>
      </c>
      <c r="C7749" s="500" t="s">
        <v>173</v>
      </c>
      <c r="D7749" s="500" t="s">
        <v>763</v>
      </c>
      <c r="E7749" s="501">
        <v>-28001780.170000002</v>
      </c>
      <c r="F7749" s="502" t="s">
        <v>878</v>
      </c>
      <c r="G7749" s="100">
        <v>116693449</v>
      </c>
      <c r="H7749" s="530"/>
      <c r="I7749" s="422" t="s">
        <v>1052</v>
      </c>
      <c r="J7749" s="484"/>
      <c r="K7749" s="548"/>
      <c r="L7749" s="548"/>
      <c r="M7749" s="548"/>
      <c r="N7749" s="552"/>
    </row>
    <row r="7750" spans="1:16">
      <c r="A7750" s="499">
        <v>45758</v>
      </c>
      <c r="B7750" s="499">
        <v>45761</v>
      </c>
      <c r="C7750" s="500" t="s">
        <v>173</v>
      </c>
      <c r="D7750" s="500" t="s">
        <v>763</v>
      </c>
      <c r="E7750" s="501">
        <v>5218590948.6000004</v>
      </c>
      <c r="F7750" s="502" t="s">
        <v>878</v>
      </c>
      <c r="G7750" s="100">
        <v>116693410</v>
      </c>
      <c r="H7750" s="100">
        <v>116693410</v>
      </c>
      <c r="I7750" s="422" t="s">
        <v>684</v>
      </c>
      <c r="J7750" s="484"/>
      <c r="K7750" s="548"/>
      <c r="L7750" s="548"/>
      <c r="M7750" s="548"/>
      <c r="N7750" s="552"/>
    </row>
    <row r="7751" spans="1:16">
      <c r="A7751" s="499">
        <v>45758</v>
      </c>
      <c r="B7751" s="499">
        <v>45761</v>
      </c>
      <c r="C7751" s="500" t="s">
        <v>173</v>
      </c>
      <c r="D7751" s="500" t="s">
        <v>763</v>
      </c>
      <c r="E7751" s="501">
        <v>28038030.43</v>
      </c>
      <c r="F7751" s="502" t="s">
        <v>878</v>
      </c>
      <c r="G7751" s="100">
        <v>116693449</v>
      </c>
      <c r="H7751" s="100">
        <v>116693449</v>
      </c>
      <c r="I7751" s="422" t="s">
        <v>1052</v>
      </c>
      <c r="J7751" s="484"/>
      <c r="K7751" s="548"/>
      <c r="L7751" s="548"/>
      <c r="M7751" s="548"/>
      <c r="N7751" s="552"/>
      <c r="P7751" s="539">
        <v>-1</v>
      </c>
    </row>
    <row r="7752" spans="1:16">
      <c r="A7752" s="499">
        <v>45758</v>
      </c>
      <c r="B7752" s="499">
        <v>45758</v>
      </c>
      <c r="C7752" s="500" t="s">
        <v>173</v>
      </c>
      <c r="D7752" s="500" t="s">
        <v>761</v>
      </c>
      <c r="E7752" s="501">
        <v>-498177169.81999999</v>
      </c>
      <c r="F7752" s="502" t="s">
        <v>878</v>
      </c>
      <c r="G7752" s="100">
        <v>116693893</v>
      </c>
      <c r="H7752" s="530"/>
      <c r="I7752" s="422" t="s">
        <v>635</v>
      </c>
      <c r="J7752" s="484"/>
      <c r="K7752" s="548"/>
      <c r="L7752" s="548"/>
      <c r="M7752" s="548"/>
      <c r="N7752" s="552"/>
    </row>
    <row r="7753" spans="1:16">
      <c r="A7753" s="499">
        <v>45758</v>
      </c>
      <c r="B7753" s="499">
        <v>45758</v>
      </c>
      <c r="C7753" s="500" t="s">
        <v>173</v>
      </c>
      <c r="D7753" s="500" t="s">
        <v>761</v>
      </c>
      <c r="E7753" s="501">
        <v>-584282589.48000002</v>
      </c>
      <c r="F7753" s="502" t="s">
        <v>878</v>
      </c>
      <c r="G7753" s="100">
        <v>116694634</v>
      </c>
      <c r="H7753" s="530"/>
      <c r="I7753" s="422" t="s">
        <v>633</v>
      </c>
      <c r="J7753" s="484"/>
      <c r="K7753" s="548"/>
      <c r="L7753" s="548"/>
      <c r="M7753" s="548"/>
      <c r="N7753" s="552"/>
    </row>
    <row r="7754" spans="1:16">
      <c r="A7754" s="499">
        <v>45758</v>
      </c>
      <c r="B7754" s="499">
        <v>45758</v>
      </c>
      <c r="C7754" s="500" t="s">
        <v>173</v>
      </c>
      <c r="D7754" s="500" t="s">
        <v>761</v>
      </c>
      <c r="E7754" s="501">
        <v>-25004287.899999999</v>
      </c>
      <c r="F7754" s="502" t="s">
        <v>878</v>
      </c>
      <c r="G7754" s="100">
        <v>116695404</v>
      </c>
      <c r="H7754" s="530"/>
      <c r="I7754" s="422" t="s">
        <v>715</v>
      </c>
      <c r="J7754" s="484"/>
      <c r="K7754" s="548"/>
      <c r="L7754" s="548"/>
      <c r="M7754" s="548"/>
      <c r="N7754" s="552"/>
    </row>
    <row r="7755" spans="1:16">
      <c r="A7755" s="499">
        <v>45758</v>
      </c>
      <c r="B7755" s="499">
        <v>45758</v>
      </c>
      <c r="C7755" s="500" t="s">
        <v>173</v>
      </c>
      <c r="D7755" s="500" t="s">
        <v>761</v>
      </c>
      <c r="E7755" s="501">
        <v>-9008225.8200000003</v>
      </c>
      <c r="F7755" s="502" t="s">
        <v>878</v>
      </c>
      <c r="G7755" s="100">
        <v>116695407</v>
      </c>
      <c r="H7755" s="530"/>
      <c r="I7755" s="422" t="s">
        <v>658</v>
      </c>
      <c r="J7755" s="484"/>
      <c r="K7755" s="548"/>
      <c r="L7755" s="548"/>
      <c r="M7755" s="548"/>
      <c r="N7755" s="552"/>
    </row>
    <row r="7756" spans="1:16">
      <c r="A7756" s="499">
        <v>45758</v>
      </c>
      <c r="B7756" s="499">
        <v>45758</v>
      </c>
      <c r="C7756" s="500" t="s">
        <v>173</v>
      </c>
      <c r="D7756" s="500" t="s">
        <v>761</v>
      </c>
      <c r="E7756" s="501">
        <v>-5003225.54</v>
      </c>
      <c r="F7756" s="502" t="s">
        <v>878</v>
      </c>
      <c r="G7756" s="100">
        <v>116695410</v>
      </c>
      <c r="H7756" s="530"/>
      <c r="I7756" s="422" t="s">
        <v>673</v>
      </c>
      <c r="J7756" s="484"/>
      <c r="K7756" s="548"/>
      <c r="L7756" s="548"/>
      <c r="M7756" s="548"/>
      <c r="N7756" s="552"/>
    </row>
    <row r="7757" spans="1:16">
      <c r="A7757" s="499">
        <v>45758</v>
      </c>
      <c r="B7757" s="499">
        <v>45758</v>
      </c>
      <c r="C7757" s="500" t="s">
        <v>173</v>
      </c>
      <c r="D7757" s="500" t="s">
        <v>761</v>
      </c>
      <c r="E7757" s="501">
        <v>-2000207.24</v>
      </c>
      <c r="F7757" s="502" t="s">
        <v>878</v>
      </c>
      <c r="G7757" s="100">
        <v>116695413</v>
      </c>
      <c r="H7757" s="530"/>
      <c r="I7757" s="422" t="s">
        <v>604</v>
      </c>
      <c r="J7757" s="484"/>
      <c r="K7757" s="548"/>
      <c r="L7757" s="548"/>
      <c r="M7757" s="548"/>
      <c r="N7757" s="552"/>
    </row>
    <row r="7758" spans="1:16">
      <c r="A7758" s="499">
        <v>45758</v>
      </c>
      <c r="B7758" s="499">
        <v>45758</v>
      </c>
      <c r="C7758" s="500" t="s">
        <v>173</v>
      </c>
      <c r="D7758" s="500" t="s">
        <v>761</v>
      </c>
      <c r="E7758" s="501">
        <v>-1252839408.4100001</v>
      </c>
      <c r="F7758" s="502" t="s">
        <v>878</v>
      </c>
      <c r="G7758" s="100">
        <v>116695468</v>
      </c>
      <c r="H7758" s="530"/>
      <c r="I7758" s="422" t="s">
        <v>706</v>
      </c>
      <c r="J7758" s="484"/>
      <c r="K7758" s="548"/>
      <c r="L7758" s="548"/>
      <c r="M7758" s="548"/>
      <c r="N7758" s="552"/>
    </row>
    <row r="7759" spans="1:16">
      <c r="A7759" s="499">
        <v>45758</v>
      </c>
      <c r="B7759" s="499">
        <v>45758</v>
      </c>
      <c r="C7759" s="500" t="s">
        <v>173</v>
      </c>
      <c r="D7759" s="500" t="s">
        <v>761</v>
      </c>
      <c r="E7759" s="501">
        <v>-10006113.74</v>
      </c>
      <c r="F7759" s="502" t="s">
        <v>878</v>
      </c>
      <c r="G7759" s="100">
        <v>116695786</v>
      </c>
      <c r="H7759" s="530"/>
      <c r="I7759" s="422" t="s">
        <v>717</v>
      </c>
      <c r="J7759" s="484"/>
      <c r="K7759" s="548"/>
      <c r="L7759" s="548"/>
      <c r="M7759" s="548"/>
      <c r="N7759" s="552"/>
    </row>
    <row r="7760" spans="1:16">
      <c r="A7760" s="499">
        <v>45758</v>
      </c>
      <c r="B7760" s="499">
        <v>45761</v>
      </c>
      <c r="C7760" s="500" t="s">
        <v>173</v>
      </c>
      <c r="D7760" s="500" t="s">
        <v>761</v>
      </c>
      <c r="E7760" s="501">
        <v>498836401.52999997</v>
      </c>
      <c r="F7760" s="502" t="s">
        <v>878</v>
      </c>
      <c r="G7760" s="100">
        <v>116693893</v>
      </c>
      <c r="H7760" s="484">
        <v>116693893</v>
      </c>
      <c r="I7760" s="422" t="s">
        <v>635</v>
      </c>
      <c r="J7760" s="484"/>
      <c r="K7760" s="548"/>
      <c r="L7760" s="548"/>
      <c r="M7760" s="548"/>
      <c r="N7760" s="552"/>
    </row>
    <row r="7761" spans="1:14">
      <c r="A7761" s="499">
        <v>45758</v>
      </c>
      <c r="B7761" s="499">
        <v>45761</v>
      </c>
      <c r="C7761" s="500" t="s">
        <v>173</v>
      </c>
      <c r="D7761" s="500" t="s">
        <v>761</v>
      </c>
      <c r="E7761" s="501">
        <v>585058164.59000003</v>
      </c>
      <c r="F7761" s="502" t="s">
        <v>878</v>
      </c>
      <c r="G7761" s="100">
        <v>116694634</v>
      </c>
      <c r="H7761" s="484">
        <v>116694634</v>
      </c>
      <c r="I7761" s="422" t="s">
        <v>633</v>
      </c>
      <c r="J7761" s="484"/>
      <c r="K7761" s="548"/>
      <c r="L7761" s="548"/>
      <c r="M7761" s="548"/>
      <c r="N7761" s="552"/>
    </row>
    <row r="7762" spans="1:14">
      <c r="A7762" s="499">
        <v>45758</v>
      </c>
      <c r="B7762" s="499">
        <v>45765</v>
      </c>
      <c r="C7762" s="500" t="s">
        <v>173</v>
      </c>
      <c r="D7762" s="500" t="s">
        <v>761</v>
      </c>
      <c r="E7762" s="501">
        <v>25082931.52</v>
      </c>
      <c r="F7762" s="502" t="s">
        <v>878</v>
      </c>
      <c r="G7762" s="100">
        <v>116695404</v>
      </c>
      <c r="H7762" s="484">
        <v>116695404</v>
      </c>
      <c r="I7762" s="422" t="s">
        <v>715</v>
      </c>
      <c r="J7762" s="484"/>
      <c r="K7762" s="548"/>
      <c r="L7762" s="548"/>
      <c r="M7762" s="548"/>
      <c r="N7762" s="552"/>
    </row>
    <row r="7763" spans="1:14">
      <c r="A7763" s="499">
        <v>45758</v>
      </c>
      <c r="B7763" s="499">
        <v>45765</v>
      </c>
      <c r="C7763" s="500" t="s">
        <v>173</v>
      </c>
      <c r="D7763" s="500" t="s">
        <v>761</v>
      </c>
      <c r="E7763" s="501">
        <v>9036558.5399999991</v>
      </c>
      <c r="F7763" s="502" t="s">
        <v>878</v>
      </c>
      <c r="G7763" s="100">
        <v>116695407</v>
      </c>
      <c r="H7763" s="484">
        <v>116695407</v>
      </c>
      <c r="I7763" s="422" t="s">
        <v>658</v>
      </c>
      <c r="J7763" s="484"/>
      <c r="K7763" s="548"/>
      <c r="L7763" s="548"/>
      <c r="M7763" s="548"/>
      <c r="N7763" s="552"/>
    </row>
    <row r="7764" spans="1:14">
      <c r="A7764" s="499">
        <v>45758</v>
      </c>
      <c r="B7764" s="499">
        <v>45765</v>
      </c>
      <c r="C7764" s="500" t="s">
        <v>173</v>
      </c>
      <c r="D7764" s="500" t="s">
        <v>761</v>
      </c>
      <c r="E7764" s="501">
        <v>5018961.71</v>
      </c>
      <c r="F7764" s="502" t="s">
        <v>878</v>
      </c>
      <c r="G7764" s="100">
        <v>116695410</v>
      </c>
      <c r="H7764" s="484">
        <v>116695410</v>
      </c>
      <c r="I7764" s="422" t="s">
        <v>673</v>
      </c>
      <c r="J7764" s="484"/>
      <c r="K7764" s="548"/>
      <c r="L7764" s="548"/>
      <c r="M7764" s="548"/>
      <c r="N7764" s="552"/>
    </row>
    <row r="7765" spans="1:14">
      <c r="A7765" s="499">
        <v>45758</v>
      </c>
      <c r="B7765" s="499">
        <v>45765</v>
      </c>
      <c r="C7765" s="500" t="s">
        <v>173</v>
      </c>
      <c r="D7765" s="500" t="s">
        <v>761</v>
      </c>
      <c r="E7765" s="501">
        <v>2006498.3</v>
      </c>
      <c r="F7765" s="502" t="s">
        <v>878</v>
      </c>
      <c r="G7765" s="100">
        <v>116695413</v>
      </c>
      <c r="H7765" s="484">
        <v>116695413</v>
      </c>
      <c r="I7765" s="422" t="s">
        <v>604</v>
      </c>
      <c r="J7765" s="484"/>
      <c r="K7765" s="548"/>
      <c r="L7765" s="548"/>
      <c r="M7765" s="548"/>
      <c r="N7765" s="552"/>
    </row>
    <row r="7766" spans="1:14">
      <c r="A7766" s="499">
        <v>45758</v>
      </c>
      <c r="B7766" s="499">
        <v>45765</v>
      </c>
      <c r="C7766" s="500" t="s">
        <v>173</v>
      </c>
      <c r="D7766" s="500" t="s">
        <v>761</v>
      </c>
      <c r="E7766" s="501">
        <v>1256779845.78</v>
      </c>
      <c r="F7766" s="502" t="s">
        <v>878</v>
      </c>
      <c r="G7766" s="100">
        <v>116695468</v>
      </c>
      <c r="H7766" s="484">
        <v>116695468</v>
      </c>
      <c r="I7766" s="422" t="s">
        <v>706</v>
      </c>
      <c r="J7766" s="484"/>
      <c r="K7766" s="548"/>
      <c r="L7766" s="548"/>
      <c r="M7766" s="548"/>
      <c r="N7766" s="552"/>
    </row>
    <row r="7767" spans="1:14">
      <c r="A7767" s="499">
        <v>45758</v>
      </c>
      <c r="B7767" s="499">
        <v>45761</v>
      </c>
      <c r="C7767" s="500" t="s">
        <v>173</v>
      </c>
      <c r="D7767" s="500" t="s">
        <v>761</v>
      </c>
      <c r="E7767" s="501">
        <v>10019519.189999999</v>
      </c>
      <c r="F7767" s="502" t="s">
        <v>878</v>
      </c>
      <c r="G7767" s="100">
        <v>116695786</v>
      </c>
      <c r="H7767" s="484">
        <v>116695786</v>
      </c>
      <c r="I7767" s="422" t="s">
        <v>717</v>
      </c>
      <c r="J7767" s="484"/>
      <c r="K7767" s="548"/>
      <c r="L7767" s="548"/>
      <c r="M7767" s="548"/>
      <c r="N7767" s="552"/>
    </row>
    <row r="7768" spans="1:14">
      <c r="A7768" s="499">
        <v>45759</v>
      </c>
      <c r="B7768" s="499">
        <v>45761</v>
      </c>
      <c r="C7768" s="500" t="s">
        <v>173</v>
      </c>
      <c r="D7768" s="500" t="s">
        <v>759</v>
      </c>
      <c r="E7768" s="501">
        <v>390000000</v>
      </c>
      <c r="F7768" s="502" t="s">
        <v>381</v>
      </c>
      <c r="G7768" s="100" t="s">
        <v>422</v>
      </c>
      <c r="H7768" s="530"/>
      <c r="I7768" s="422"/>
      <c r="K7768" s="548"/>
      <c r="L7768" s="548"/>
      <c r="M7768" s="548"/>
      <c r="N7768" s="552"/>
    </row>
    <row r="7769" spans="1:14">
      <c r="A7769" s="499">
        <v>45759</v>
      </c>
      <c r="B7769" s="499">
        <v>45761</v>
      </c>
      <c r="C7769" s="500" t="s">
        <v>173</v>
      </c>
      <c r="D7769" s="500" t="s">
        <v>762</v>
      </c>
      <c r="E7769" s="501">
        <v>375180000</v>
      </c>
      <c r="F7769" s="502" t="s">
        <v>381</v>
      </c>
      <c r="G7769" s="100" t="s">
        <v>422</v>
      </c>
      <c r="H7769" s="530"/>
      <c r="I7769" s="422"/>
      <c r="K7769" s="548"/>
      <c r="L7769" s="548"/>
      <c r="M7769" s="548"/>
      <c r="N7769" s="552"/>
    </row>
    <row r="7770" spans="1:14">
      <c r="A7770" s="499">
        <v>45759</v>
      </c>
      <c r="B7770" s="499">
        <v>45761</v>
      </c>
      <c r="C7770" s="500" t="s">
        <v>173</v>
      </c>
      <c r="D7770" s="500" t="s">
        <v>760</v>
      </c>
      <c r="E7770" s="501">
        <v>235560000</v>
      </c>
      <c r="F7770" s="502" t="s">
        <v>381</v>
      </c>
      <c r="G7770" s="100" t="s">
        <v>422</v>
      </c>
      <c r="H7770" s="530"/>
      <c r="I7770" s="422"/>
      <c r="K7770" s="548"/>
      <c r="L7770" s="548"/>
      <c r="M7770" s="548"/>
      <c r="N7770" s="552"/>
    </row>
    <row r="7771" spans="1:14">
      <c r="A7771" s="499">
        <v>45759</v>
      </c>
      <c r="B7771" s="499">
        <v>45761</v>
      </c>
      <c r="C7771" s="500" t="s">
        <v>173</v>
      </c>
      <c r="D7771" s="500" t="s">
        <v>761</v>
      </c>
      <c r="E7771" s="501">
        <v>202800000</v>
      </c>
      <c r="F7771" s="502" t="s">
        <v>381</v>
      </c>
      <c r="G7771" s="100" t="s">
        <v>422</v>
      </c>
      <c r="H7771" s="530"/>
      <c r="I7771" s="422"/>
      <c r="K7771" s="548"/>
      <c r="L7771" s="548"/>
      <c r="M7771" s="548"/>
      <c r="N7771" s="552"/>
    </row>
    <row r="7772" spans="1:14">
      <c r="A7772" s="499">
        <v>45759</v>
      </c>
      <c r="B7772" s="499">
        <v>45761</v>
      </c>
      <c r="C7772" s="500" t="s">
        <v>173</v>
      </c>
      <c r="D7772" s="500" t="s">
        <v>763</v>
      </c>
      <c r="E7772" s="501">
        <v>197340000</v>
      </c>
      <c r="F7772" s="502" t="s">
        <v>381</v>
      </c>
      <c r="G7772" s="100" t="s">
        <v>422</v>
      </c>
      <c r="H7772" s="530"/>
      <c r="I7772" s="422"/>
      <c r="K7772" s="548"/>
      <c r="L7772" s="548"/>
      <c r="M7772" s="548"/>
      <c r="N7772" s="552"/>
    </row>
    <row r="7773" spans="1:14">
      <c r="A7773" s="499">
        <v>45759</v>
      </c>
      <c r="B7773" s="499">
        <v>45761</v>
      </c>
      <c r="C7773" s="500" t="s">
        <v>173</v>
      </c>
      <c r="D7773" s="500" t="s">
        <v>764</v>
      </c>
      <c r="E7773" s="501">
        <v>159120000</v>
      </c>
      <c r="F7773" s="502" t="s">
        <v>381</v>
      </c>
      <c r="G7773" s="100" t="s">
        <v>422</v>
      </c>
      <c r="H7773" s="530"/>
      <c r="I7773" s="422"/>
      <c r="K7773" s="548"/>
      <c r="L7773" s="548"/>
      <c r="M7773" s="548"/>
      <c r="N7773" s="552"/>
    </row>
    <row r="7774" spans="1:14">
      <c r="A7774" s="499">
        <v>45761</v>
      </c>
      <c r="B7774" s="499">
        <v>45761</v>
      </c>
      <c r="C7774" s="500" t="s">
        <v>173</v>
      </c>
      <c r="D7774" s="500" t="s">
        <v>762</v>
      </c>
      <c r="E7774" s="501">
        <v>-4316172587.3400002</v>
      </c>
      <c r="F7774" s="502" t="s">
        <v>878</v>
      </c>
      <c r="G7774" s="100">
        <v>116715084</v>
      </c>
      <c r="H7774" s="530"/>
      <c r="I7774" s="422" t="s">
        <v>1052</v>
      </c>
      <c r="J7774" s="484"/>
      <c r="K7774" s="548"/>
      <c r="L7774" s="548"/>
      <c r="M7774" s="548"/>
      <c r="N7774" s="552"/>
    </row>
    <row r="7775" spans="1:14">
      <c r="A7775" s="499">
        <v>45761</v>
      </c>
      <c r="B7775" s="499">
        <v>45761</v>
      </c>
      <c r="C7775" s="500" t="s">
        <v>173</v>
      </c>
      <c r="D7775" s="500" t="s">
        <v>762</v>
      </c>
      <c r="E7775" s="501">
        <v>-397300899.80000001</v>
      </c>
      <c r="F7775" s="502" t="s">
        <v>878</v>
      </c>
      <c r="G7775" s="100">
        <v>116720278</v>
      </c>
      <c r="H7775" s="530"/>
      <c r="I7775" s="422" t="s">
        <v>686</v>
      </c>
      <c r="J7775" s="484"/>
      <c r="K7775" s="548"/>
      <c r="L7775" s="548"/>
      <c r="M7775" s="548"/>
      <c r="N7775" s="552"/>
    </row>
    <row r="7776" spans="1:14">
      <c r="A7776" s="499">
        <v>45761</v>
      </c>
      <c r="B7776" s="499">
        <v>45762</v>
      </c>
      <c r="C7776" s="500" t="s">
        <v>173</v>
      </c>
      <c r="D7776" s="500" t="s">
        <v>762</v>
      </c>
      <c r="E7776" s="501">
        <v>4317982198.8699999</v>
      </c>
      <c r="F7776" s="502" t="s">
        <v>878</v>
      </c>
      <c r="G7776" s="100">
        <v>116715084</v>
      </c>
      <c r="H7776" s="100">
        <v>116715084</v>
      </c>
      <c r="I7776" s="422" t="s">
        <v>1052</v>
      </c>
      <c r="J7776" s="484"/>
      <c r="K7776" s="548"/>
      <c r="L7776" s="548"/>
      <c r="M7776" s="548"/>
      <c r="N7776" s="552"/>
    </row>
    <row r="7777" spans="1:14">
      <c r="A7777" s="499">
        <v>45761</v>
      </c>
      <c r="B7777" s="499">
        <v>45762</v>
      </c>
      <c r="C7777" s="500" t="s">
        <v>173</v>
      </c>
      <c r="D7777" s="500" t="s">
        <v>762</v>
      </c>
      <c r="E7777" s="501">
        <v>397467439.63</v>
      </c>
      <c r="F7777" s="502" t="s">
        <v>878</v>
      </c>
      <c r="G7777" s="100">
        <v>116720278</v>
      </c>
      <c r="H7777" s="100">
        <v>116720278</v>
      </c>
      <c r="I7777" s="422" t="s">
        <v>686</v>
      </c>
      <c r="J7777" s="484"/>
      <c r="K7777" s="548"/>
      <c r="L7777" s="548"/>
      <c r="M7777" s="548"/>
      <c r="N7777" s="552"/>
    </row>
    <row r="7778" spans="1:14">
      <c r="A7778" s="499">
        <v>45761</v>
      </c>
      <c r="B7778" s="499">
        <v>45761</v>
      </c>
      <c r="C7778" s="500" t="s">
        <v>173</v>
      </c>
      <c r="D7778" s="500" t="s">
        <v>761</v>
      </c>
      <c r="E7778" s="501">
        <v>-1087600952.3</v>
      </c>
      <c r="F7778" s="502" t="s">
        <v>878</v>
      </c>
      <c r="G7778" s="100">
        <v>116712565</v>
      </c>
      <c r="H7778" s="530"/>
      <c r="I7778" s="422" t="s">
        <v>681</v>
      </c>
      <c r="J7778" s="484"/>
      <c r="K7778" s="548"/>
      <c r="L7778" s="548"/>
      <c r="M7778" s="548"/>
      <c r="N7778" s="552"/>
    </row>
    <row r="7779" spans="1:14">
      <c r="A7779" s="499">
        <v>45761</v>
      </c>
      <c r="B7779" s="499">
        <v>45761</v>
      </c>
      <c r="C7779" s="500" t="s">
        <v>173</v>
      </c>
      <c r="D7779" s="500" t="s">
        <v>761</v>
      </c>
      <c r="E7779" s="501">
        <v>-208008317.46000001</v>
      </c>
      <c r="F7779" s="502" t="s">
        <v>878</v>
      </c>
      <c r="G7779" s="100">
        <v>116715569</v>
      </c>
      <c r="H7779" s="530"/>
      <c r="I7779" s="422" t="s">
        <v>1052</v>
      </c>
      <c r="J7779" s="484"/>
      <c r="K7779" s="548"/>
      <c r="L7779" s="548"/>
      <c r="M7779" s="548"/>
      <c r="N7779" s="552"/>
    </row>
    <row r="7780" spans="1:14">
      <c r="A7780" s="499">
        <v>45761</v>
      </c>
      <c r="B7780" s="499">
        <v>45762</v>
      </c>
      <c r="C7780" s="500" t="s">
        <v>173</v>
      </c>
      <c r="D7780" s="500" t="s">
        <v>761</v>
      </c>
      <c r="E7780" s="501">
        <v>1088074878.1400001</v>
      </c>
      <c r="F7780" s="502" t="s">
        <v>878</v>
      </c>
      <c r="G7780" s="100">
        <v>116712565</v>
      </c>
      <c r="H7780" s="100">
        <v>116712565</v>
      </c>
      <c r="I7780" s="422" t="s">
        <v>681</v>
      </c>
      <c r="J7780" s="484"/>
      <c r="K7780" s="548"/>
      <c r="L7780" s="548"/>
      <c r="M7780" s="548"/>
      <c r="N7780" s="552"/>
    </row>
    <row r="7781" spans="1:14">
      <c r="A7781" s="499">
        <v>45761</v>
      </c>
      <c r="B7781" s="499">
        <v>45762</v>
      </c>
      <c r="C7781" s="500" t="s">
        <v>173</v>
      </c>
      <c r="D7781" s="500" t="s">
        <v>761</v>
      </c>
      <c r="E7781" s="501">
        <v>208096023.44999999</v>
      </c>
      <c r="F7781" s="502" t="s">
        <v>878</v>
      </c>
      <c r="G7781" s="100">
        <v>116715569</v>
      </c>
      <c r="H7781" s="100">
        <v>116715569</v>
      </c>
      <c r="I7781" s="422" t="s">
        <v>1052</v>
      </c>
      <c r="J7781" s="484"/>
      <c r="K7781" s="548"/>
      <c r="L7781" s="548"/>
      <c r="M7781" s="548"/>
      <c r="N7781" s="552"/>
    </row>
    <row r="7782" spans="1:14">
      <c r="A7782" s="499">
        <v>45761</v>
      </c>
      <c r="B7782" s="499">
        <v>45761</v>
      </c>
      <c r="C7782" s="500" t="s">
        <v>173</v>
      </c>
      <c r="D7782" s="500" t="s">
        <v>759</v>
      </c>
      <c r="E7782" s="501">
        <v>-1993589002.46</v>
      </c>
      <c r="F7782" s="502" t="s">
        <v>878</v>
      </c>
      <c r="G7782" s="100">
        <v>157109903</v>
      </c>
      <c r="H7782" s="530"/>
      <c r="I7782" s="422" t="s">
        <v>1051</v>
      </c>
      <c r="J7782" s="484"/>
      <c r="K7782" s="548"/>
      <c r="L7782" s="548"/>
      <c r="M7782" s="548"/>
      <c r="N7782" s="552"/>
    </row>
    <row r="7783" spans="1:14">
      <c r="A7783" s="499">
        <v>45761</v>
      </c>
      <c r="B7783" s="499">
        <v>45761</v>
      </c>
      <c r="C7783" s="500" t="s">
        <v>173</v>
      </c>
      <c r="D7783" s="500" t="s">
        <v>759</v>
      </c>
      <c r="E7783" s="501">
        <v>-10005528.539999999</v>
      </c>
      <c r="F7783" s="502" t="s">
        <v>878</v>
      </c>
      <c r="G7783" s="100">
        <v>157111818</v>
      </c>
      <c r="H7783" s="530"/>
      <c r="I7783" s="422" t="s">
        <v>681</v>
      </c>
      <c r="J7783" s="484"/>
      <c r="K7783" s="548"/>
      <c r="L7783" s="548"/>
      <c r="M7783" s="548"/>
      <c r="N7783" s="552"/>
    </row>
    <row r="7784" spans="1:14">
      <c r="A7784" s="499">
        <v>45761</v>
      </c>
      <c r="B7784" s="499">
        <v>45761</v>
      </c>
      <c r="C7784" s="500" t="s">
        <v>173</v>
      </c>
      <c r="D7784" s="500" t="s">
        <v>759</v>
      </c>
      <c r="E7784" s="501">
        <v>-387015475.27999997</v>
      </c>
      <c r="F7784" s="502" t="s">
        <v>878</v>
      </c>
      <c r="G7784" s="100">
        <v>157125114</v>
      </c>
      <c r="H7784" s="530"/>
      <c r="I7784" s="422" t="s">
        <v>1052</v>
      </c>
      <c r="J7784" s="484"/>
      <c r="K7784" s="548"/>
      <c r="L7784" s="548"/>
      <c r="M7784" s="548"/>
      <c r="N7784" s="552"/>
    </row>
    <row r="7785" spans="1:14">
      <c r="A7785" s="499">
        <v>45761</v>
      </c>
      <c r="B7785" s="499">
        <v>45761</v>
      </c>
      <c r="C7785" s="500" t="s">
        <v>173</v>
      </c>
      <c r="D7785" s="500" t="s">
        <v>759</v>
      </c>
      <c r="E7785" s="501">
        <v>-3000119.96</v>
      </c>
      <c r="F7785" s="502" t="s">
        <v>878</v>
      </c>
      <c r="G7785" s="100">
        <v>157125169</v>
      </c>
      <c r="H7785" s="530"/>
      <c r="I7785" s="422" t="s">
        <v>1052</v>
      </c>
      <c r="J7785" s="484"/>
      <c r="K7785" s="548"/>
      <c r="L7785" s="548"/>
      <c r="M7785" s="548"/>
      <c r="N7785" s="552"/>
    </row>
    <row r="7786" spans="1:14">
      <c r="A7786" s="499">
        <v>45761</v>
      </c>
      <c r="B7786" s="499">
        <v>45762</v>
      </c>
      <c r="C7786" s="500" t="s">
        <v>173</v>
      </c>
      <c r="D7786" s="500" t="s">
        <v>759</v>
      </c>
      <c r="E7786" s="501">
        <v>1994460173.54</v>
      </c>
      <c r="F7786" s="502" t="s">
        <v>878</v>
      </c>
      <c r="G7786" s="100">
        <v>157109903</v>
      </c>
      <c r="H7786" s="100">
        <v>157109903</v>
      </c>
      <c r="I7786" s="422" t="s">
        <v>1051</v>
      </c>
      <c r="J7786" s="484"/>
      <c r="K7786" s="548"/>
      <c r="L7786" s="548"/>
      <c r="M7786" s="548"/>
      <c r="N7786" s="552"/>
    </row>
    <row r="7787" spans="1:14">
      <c r="A7787" s="499">
        <v>45761</v>
      </c>
      <c r="B7787" s="499">
        <v>45762</v>
      </c>
      <c r="C7787" s="500" t="s">
        <v>173</v>
      </c>
      <c r="D7787" s="500" t="s">
        <v>759</v>
      </c>
      <c r="E7787" s="501">
        <v>10009888.48</v>
      </c>
      <c r="F7787" s="502" t="s">
        <v>878</v>
      </c>
      <c r="G7787" s="100">
        <v>157111818</v>
      </c>
      <c r="H7787" s="100">
        <v>157111818</v>
      </c>
      <c r="I7787" s="422" t="s">
        <v>681</v>
      </c>
      <c r="J7787" s="484"/>
      <c r="K7787" s="548"/>
      <c r="L7787" s="548"/>
      <c r="M7787" s="548"/>
      <c r="N7787" s="552"/>
    </row>
    <row r="7788" spans="1:14">
      <c r="A7788" s="499">
        <v>45761</v>
      </c>
      <c r="B7788" s="499">
        <v>45762</v>
      </c>
      <c r="C7788" s="500" t="s">
        <v>173</v>
      </c>
      <c r="D7788" s="500" t="s">
        <v>759</v>
      </c>
      <c r="E7788" s="501">
        <v>387178659.02999997</v>
      </c>
      <c r="F7788" s="502" t="s">
        <v>878</v>
      </c>
      <c r="G7788" s="100">
        <v>157125114</v>
      </c>
      <c r="H7788" s="100">
        <v>157125114</v>
      </c>
      <c r="I7788" s="422" t="s">
        <v>1052</v>
      </c>
      <c r="J7788" s="484"/>
      <c r="K7788" s="548"/>
      <c r="L7788" s="548"/>
      <c r="M7788" s="548"/>
      <c r="N7788" s="552"/>
    </row>
    <row r="7789" spans="1:14">
      <c r="A7789" s="499">
        <v>45761</v>
      </c>
      <c r="B7789" s="499">
        <v>45762</v>
      </c>
      <c r="C7789" s="500" t="s">
        <v>173</v>
      </c>
      <c r="D7789" s="500" t="s">
        <v>759</v>
      </c>
      <c r="E7789" s="501">
        <v>3001384.95</v>
      </c>
      <c r="F7789" s="502" t="s">
        <v>878</v>
      </c>
      <c r="G7789" s="100">
        <v>157125169</v>
      </c>
      <c r="H7789" s="100">
        <v>157125169</v>
      </c>
      <c r="I7789" s="422" t="s">
        <v>1052</v>
      </c>
      <c r="J7789" s="484"/>
      <c r="K7789" s="548"/>
      <c r="L7789" s="548"/>
      <c r="M7789" s="548"/>
      <c r="N7789" s="552"/>
    </row>
    <row r="7790" spans="1:14">
      <c r="A7790" s="499">
        <v>45761</v>
      </c>
      <c r="B7790" s="499">
        <v>45761</v>
      </c>
      <c r="C7790" s="500" t="s">
        <v>173</v>
      </c>
      <c r="D7790" s="500" t="s">
        <v>760</v>
      </c>
      <c r="E7790" s="501">
        <v>-1500857157</v>
      </c>
      <c r="F7790" s="502" t="s">
        <v>878</v>
      </c>
      <c r="G7790" s="100">
        <v>116718486</v>
      </c>
      <c r="H7790" s="530"/>
      <c r="I7790" s="422" t="s">
        <v>674</v>
      </c>
      <c r="J7790" s="484"/>
      <c r="K7790" s="548"/>
      <c r="L7790" s="548"/>
      <c r="M7790" s="548"/>
      <c r="N7790" s="552"/>
    </row>
    <row r="7791" spans="1:14">
      <c r="A7791" s="499">
        <v>45761</v>
      </c>
      <c r="B7791" s="499">
        <v>45761</v>
      </c>
      <c r="C7791" s="500" t="s">
        <v>173</v>
      </c>
      <c r="D7791" s="500" t="s">
        <v>760</v>
      </c>
      <c r="E7791" s="501">
        <v>-67022972.420000002</v>
      </c>
      <c r="F7791" s="502" t="s">
        <v>878</v>
      </c>
      <c r="G7791" s="100">
        <v>116718682</v>
      </c>
      <c r="H7791" s="530"/>
      <c r="I7791" s="422" t="s">
        <v>716</v>
      </c>
      <c r="J7791" s="484"/>
      <c r="K7791" s="548"/>
      <c r="L7791" s="548"/>
      <c r="M7791" s="548"/>
      <c r="N7791" s="552"/>
    </row>
    <row r="7792" spans="1:14">
      <c r="A7792" s="499">
        <v>45761</v>
      </c>
      <c r="B7792" s="499">
        <v>45761</v>
      </c>
      <c r="C7792" s="500" t="s">
        <v>173</v>
      </c>
      <c r="D7792" s="500" t="s">
        <v>760</v>
      </c>
      <c r="E7792" s="501">
        <v>-237179630.36000001</v>
      </c>
      <c r="F7792" s="502" t="s">
        <v>878</v>
      </c>
      <c r="G7792" s="100">
        <v>116719149</v>
      </c>
      <c r="H7792" s="530"/>
      <c r="I7792" s="422" t="s">
        <v>686</v>
      </c>
      <c r="J7792" s="484"/>
      <c r="K7792" s="548"/>
      <c r="L7792" s="548"/>
      <c r="M7792" s="548"/>
      <c r="N7792" s="552"/>
    </row>
    <row r="7793" spans="1:14">
      <c r="A7793" s="499">
        <v>45761</v>
      </c>
      <c r="B7793" s="499">
        <v>45762</v>
      </c>
      <c r="C7793" s="500" t="s">
        <v>173</v>
      </c>
      <c r="D7793" s="500" t="s">
        <v>760</v>
      </c>
      <c r="E7793" s="501">
        <v>1501478059.55</v>
      </c>
      <c r="F7793" s="502" t="s">
        <v>878</v>
      </c>
      <c r="G7793" s="100">
        <v>116718486</v>
      </c>
      <c r="H7793" s="484">
        <v>116718486</v>
      </c>
      <c r="I7793" s="422" t="s">
        <v>674</v>
      </c>
      <c r="J7793" s="484"/>
      <c r="K7793" s="548"/>
      <c r="L7793" s="548"/>
      <c r="M7793" s="548"/>
      <c r="N7793" s="552"/>
    </row>
    <row r="7794" spans="1:14">
      <c r="A7794" s="499">
        <v>45761</v>
      </c>
      <c r="B7794" s="499">
        <v>45762</v>
      </c>
      <c r="C7794" s="500" t="s">
        <v>173</v>
      </c>
      <c r="D7794" s="500" t="s">
        <v>760</v>
      </c>
      <c r="E7794" s="501">
        <v>67051415.68</v>
      </c>
      <c r="F7794" s="502" t="s">
        <v>878</v>
      </c>
      <c r="G7794" s="100">
        <v>116718682</v>
      </c>
      <c r="H7794" s="484">
        <v>116718682</v>
      </c>
      <c r="I7794" s="422" t="s">
        <v>716</v>
      </c>
      <c r="J7794" s="484"/>
      <c r="K7794" s="548"/>
      <c r="L7794" s="548"/>
      <c r="M7794" s="548"/>
      <c r="N7794" s="552"/>
    </row>
    <row r="7795" spans="1:14">
      <c r="A7795" s="499">
        <v>45761</v>
      </c>
      <c r="B7795" s="499">
        <v>45762</v>
      </c>
      <c r="C7795" s="500" t="s">
        <v>173</v>
      </c>
      <c r="D7795" s="500" t="s">
        <v>760</v>
      </c>
      <c r="E7795" s="501">
        <v>237279050.86000001</v>
      </c>
      <c r="F7795" s="502" t="s">
        <v>878</v>
      </c>
      <c r="G7795" s="100">
        <v>116719149</v>
      </c>
      <c r="H7795" s="484">
        <v>116719149</v>
      </c>
      <c r="I7795" s="422" t="s">
        <v>686</v>
      </c>
      <c r="J7795" s="484"/>
      <c r="K7795" s="548"/>
      <c r="L7795" s="548"/>
      <c r="M7795" s="548"/>
      <c r="N7795" s="552"/>
    </row>
    <row r="7796" spans="1:14">
      <c r="A7796" s="499">
        <v>45761</v>
      </c>
      <c r="B7796" s="499">
        <v>45761</v>
      </c>
      <c r="C7796" s="500" t="s">
        <v>173</v>
      </c>
      <c r="D7796" s="500" t="s">
        <v>764</v>
      </c>
      <c r="E7796" s="501">
        <v>-154116721.84</v>
      </c>
      <c r="F7796" s="502" t="s">
        <v>878</v>
      </c>
      <c r="G7796" s="100">
        <v>116718044</v>
      </c>
      <c r="H7796" s="530"/>
      <c r="I7796" s="422" t="s">
        <v>686</v>
      </c>
      <c r="J7796" s="484"/>
      <c r="K7796" s="548"/>
      <c r="L7796" s="548"/>
      <c r="M7796" s="548"/>
      <c r="N7796" s="552"/>
    </row>
    <row r="7797" spans="1:14">
      <c r="A7797" s="499">
        <v>45761</v>
      </c>
      <c r="B7797" s="499">
        <v>45761</v>
      </c>
      <c r="C7797" s="500" t="s">
        <v>173</v>
      </c>
      <c r="D7797" s="500" t="s">
        <v>764</v>
      </c>
      <c r="E7797" s="501">
        <v>-5003789.67</v>
      </c>
      <c r="F7797" s="502" t="s">
        <v>878</v>
      </c>
      <c r="G7797" s="100">
        <v>116718049</v>
      </c>
      <c r="H7797" s="530"/>
      <c r="I7797" s="422" t="s">
        <v>686</v>
      </c>
      <c r="J7797" s="484"/>
      <c r="K7797" s="548"/>
      <c r="L7797" s="548"/>
      <c r="M7797" s="548"/>
      <c r="N7797" s="552"/>
    </row>
    <row r="7798" spans="1:14">
      <c r="A7798" s="499">
        <v>45761</v>
      </c>
      <c r="B7798" s="499">
        <v>45768</v>
      </c>
      <c r="C7798" s="500" t="s">
        <v>173</v>
      </c>
      <c r="D7798" s="500" t="s">
        <v>764</v>
      </c>
      <c r="E7798" s="501">
        <v>154589627.94999999</v>
      </c>
      <c r="F7798" s="502" t="s">
        <v>878</v>
      </c>
      <c r="G7798" s="100">
        <v>116718044</v>
      </c>
      <c r="H7798" s="100">
        <v>116718044</v>
      </c>
      <c r="I7798" s="422" t="s">
        <v>686</v>
      </c>
      <c r="J7798" s="484"/>
      <c r="K7798" s="548"/>
      <c r="L7798" s="548"/>
      <c r="M7798" s="548"/>
      <c r="N7798" s="552"/>
    </row>
    <row r="7799" spans="1:14">
      <c r="A7799" s="499">
        <v>45761</v>
      </c>
      <c r="B7799" s="499">
        <v>45768</v>
      </c>
      <c r="C7799" s="500" t="s">
        <v>173</v>
      </c>
      <c r="D7799" s="500" t="s">
        <v>764</v>
      </c>
      <c r="E7799" s="501">
        <v>5019143.76</v>
      </c>
      <c r="F7799" s="502" t="s">
        <v>878</v>
      </c>
      <c r="G7799" s="100">
        <v>116718049</v>
      </c>
      <c r="H7799" s="100">
        <v>116718049</v>
      </c>
      <c r="I7799" s="422" t="s">
        <v>686</v>
      </c>
      <c r="J7799" s="484"/>
      <c r="K7799" s="548"/>
      <c r="L7799" s="548"/>
      <c r="M7799" s="548"/>
      <c r="N7799" s="552"/>
    </row>
    <row r="7800" spans="1:14">
      <c r="A7800" s="499">
        <v>45761</v>
      </c>
      <c r="B7800" s="499">
        <v>45761</v>
      </c>
      <c r="C7800" s="500" t="s">
        <v>173</v>
      </c>
      <c r="D7800" s="500" t="s">
        <v>763</v>
      </c>
      <c r="E7800" s="501">
        <v>-5220639264.3999996</v>
      </c>
      <c r="F7800" s="502" t="s">
        <v>878</v>
      </c>
      <c r="G7800" s="100">
        <v>116709766</v>
      </c>
      <c r="H7800" s="530"/>
      <c r="I7800" s="422" t="s">
        <v>684</v>
      </c>
      <c r="J7800" s="484"/>
      <c r="K7800" s="548"/>
      <c r="L7800" s="548"/>
      <c r="M7800" s="548"/>
      <c r="N7800" s="552"/>
    </row>
    <row r="7801" spans="1:14">
      <c r="A7801" s="499">
        <v>45761</v>
      </c>
      <c r="B7801" s="499">
        <v>45761</v>
      </c>
      <c r="C7801" s="500" t="s">
        <v>173</v>
      </c>
      <c r="D7801" s="500" t="s">
        <v>763</v>
      </c>
      <c r="E7801" s="501">
        <v>-26013150.800000001</v>
      </c>
      <c r="F7801" s="502" t="s">
        <v>878</v>
      </c>
      <c r="G7801" s="100">
        <v>116709826</v>
      </c>
      <c r="H7801" s="530"/>
      <c r="I7801" s="422" t="s">
        <v>684</v>
      </c>
      <c r="J7801" s="484"/>
      <c r="K7801" s="548"/>
      <c r="L7801" s="548"/>
      <c r="M7801" s="548"/>
      <c r="N7801" s="552"/>
    </row>
    <row r="7802" spans="1:14">
      <c r="A7802" s="499">
        <v>45761</v>
      </c>
      <c r="B7802" s="499">
        <v>45761</v>
      </c>
      <c r="C7802" s="500" t="s">
        <v>173</v>
      </c>
      <c r="D7802" s="500" t="s">
        <v>763</v>
      </c>
      <c r="E7802" s="501">
        <v>-196007837.61000001</v>
      </c>
      <c r="F7802" s="502" t="s">
        <v>878</v>
      </c>
      <c r="G7802" s="100">
        <v>116715841</v>
      </c>
      <c r="H7802" s="100"/>
      <c r="I7802" s="422" t="s">
        <v>1052</v>
      </c>
      <c r="J7802" s="484"/>
      <c r="K7802" s="548"/>
      <c r="L7802" s="548"/>
      <c r="M7802" s="548"/>
      <c r="N7802" s="552"/>
    </row>
    <row r="7803" spans="1:14">
      <c r="A7803" s="499">
        <v>45761</v>
      </c>
      <c r="B7803" s="499">
        <v>45761</v>
      </c>
      <c r="C7803" s="500" t="s">
        <v>173</v>
      </c>
      <c r="D7803" s="500" t="s">
        <v>763</v>
      </c>
      <c r="E7803" s="501">
        <v>-1000039.99</v>
      </c>
      <c r="F7803" s="502" t="s">
        <v>878</v>
      </c>
      <c r="G7803" s="100">
        <v>116715858</v>
      </c>
      <c r="H7803" s="100"/>
      <c r="I7803" s="422" t="s">
        <v>1052</v>
      </c>
      <c r="J7803" s="484"/>
      <c r="K7803" s="548"/>
      <c r="L7803" s="548"/>
      <c r="M7803" s="548"/>
      <c r="N7803" s="552"/>
    </row>
    <row r="7804" spans="1:14">
      <c r="A7804" s="499">
        <v>45761</v>
      </c>
      <c r="B7804" s="499">
        <v>45762</v>
      </c>
      <c r="C7804" s="500" t="s">
        <v>173</v>
      </c>
      <c r="D7804" s="500" t="s">
        <v>763</v>
      </c>
      <c r="E7804" s="501">
        <v>5222892077.5200005</v>
      </c>
      <c r="F7804" s="502" t="s">
        <v>878</v>
      </c>
      <c r="G7804" s="100">
        <v>116709766</v>
      </c>
      <c r="H7804" s="484">
        <v>116709766</v>
      </c>
      <c r="I7804" s="422" t="s">
        <v>684</v>
      </c>
      <c r="J7804" s="484"/>
      <c r="K7804" s="548"/>
      <c r="L7804" s="548"/>
      <c r="M7804" s="548"/>
      <c r="N7804" s="552"/>
    </row>
    <row r="7805" spans="1:14">
      <c r="A7805" s="499">
        <v>45761</v>
      </c>
      <c r="B7805" s="499">
        <v>45762</v>
      </c>
      <c r="C7805" s="500" t="s">
        <v>173</v>
      </c>
      <c r="D7805" s="500" t="s">
        <v>763</v>
      </c>
      <c r="E7805" s="501">
        <v>26024376.010000002</v>
      </c>
      <c r="F7805" s="502" t="s">
        <v>878</v>
      </c>
      <c r="G7805" s="100">
        <v>116709826</v>
      </c>
      <c r="H7805" s="484">
        <v>116709826</v>
      </c>
      <c r="I7805" s="422" t="s">
        <v>684</v>
      </c>
      <c r="J7805" s="484"/>
      <c r="K7805" s="548"/>
      <c r="L7805" s="548"/>
      <c r="M7805" s="548"/>
      <c r="N7805" s="552"/>
    </row>
    <row r="7806" spans="1:14">
      <c r="A7806" s="499">
        <v>45761</v>
      </c>
      <c r="B7806" s="499">
        <v>45762</v>
      </c>
      <c r="C7806" s="500" t="s">
        <v>173</v>
      </c>
      <c r="D7806" s="500" t="s">
        <v>763</v>
      </c>
      <c r="E7806" s="501">
        <v>196090483.63999999</v>
      </c>
      <c r="F7806" s="502" t="s">
        <v>878</v>
      </c>
      <c r="G7806" s="100">
        <v>116715841</v>
      </c>
      <c r="H7806" s="484">
        <v>116715841</v>
      </c>
      <c r="I7806" s="422" t="s">
        <v>1052</v>
      </c>
      <c r="J7806" s="484"/>
      <c r="K7806" s="548"/>
      <c r="L7806" s="548"/>
      <c r="M7806" s="548"/>
      <c r="N7806" s="552"/>
    </row>
    <row r="7807" spans="1:14">
      <c r="A7807" s="499">
        <v>45761</v>
      </c>
      <c r="B7807" s="499">
        <v>45762</v>
      </c>
      <c r="C7807" s="500" t="s">
        <v>173</v>
      </c>
      <c r="D7807" s="500" t="s">
        <v>763</v>
      </c>
      <c r="E7807" s="501">
        <v>1000461.65</v>
      </c>
      <c r="F7807" s="502" t="s">
        <v>878</v>
      </c>
      <c r="G7807" s="100">
        <v>116715858</v>
      </c>
      <c r="H7807" s="484">
        <v>116715858</v>
      </c>
      <c r="I7807" s="422" t="s">
        <v>1052</v>
      </c>
      <c r="J7807" s="484"/>
      <c r="K7807" s="548"/>
      <c r="L7807" s="548"/>
      <c r="M7807" s="548"/>
      <c r="N7807" s="552"/>
    </row>
    <row r="7808" spans="1:14">
      <c r="A7808" s="499">
        <v>45762</v>
      </c>
      <c r="B7808" s="499">
        <v>45762</v>
      </c>
      <c r="C7808" s="500" t="s">
        <v>173</v>
      </c>
      <c r="D7808" s="500" t="s">
        <v>762</v>
      </c>
      <c r="E7808" s="501">
        <v>-4693410483.5799999</v>
      </c>
      <c r="F7808" s="502" t="s">
        <v>878</v>
      </c>
      <c r="G7808" s="100">
        <v>116729489</v>
      </c>
      <c r="H7808" s="530"/>
      <c r="I7808" s="422" t="s">
        <v>674</v>
      </c>
      <c r="J7808" s="484"/>
      <c r="K7808" s="548"/>
      <c r="L7808" s="548"/>
      <c r="M7808" s="548"/>
      <c r="N7808" s="552"/>
    </row>
    <row r="7809" spans="1:25">
      <c r="A7809" s="499">
        <v>45762</v>
      </c>
      <c r="B7809" s="499">
        <v>45762</v>
      </c>
      <c r="C7809" s="500" t="s">
        <v>173</v>
      </c>
      <c r="D7809" s="500" t="s">
        <v>762</v>
      </c>
      <c r="E7809" s="501">
        <v>-23016725.190000001</v>
      </c>
      <c r="F7809" s="502" t="s">
        <v>878</v>
      </c>
      <c r="G7809" s="100">
        <v>116729504</v>
      </c>
      <c r="H7809" s="530"/>
      <c r="I7809" s="422" t="s">
        <v>674</v>
      </c>
      <c r="J7809" s="484"/>
      <c r="K7809" s="548"/>
      <c r="L7809" s="548"/>
      <c r="M7809" s="548"/>
      <c r="N7809" s="552"/>
    </row>
    <row r="7810" spans="1:25">
      <c r="A7810" s="499">
        <v>45762</v>
      </c>
      <c r="B7810" s="499">
        <v>45763</v>
      </c>
      <c r="C7810" s="500" t="s">
        <v>173</v>
      </c>
      <c r="D7810" s="500" t="s">
        <v>762</v>
      </c>
      <c r="E7810" s="501">
        <v>4695410005.0299997</v>
      </c>
      <c r="F7810" s="502" t="s">
        <v>878</v>
      </c>
      <c r="G7810" s="100">
        <v>116729489</v>
      </c>
      <c r="H7810" s="100">
        <v>116729489</v>
      </c>
      <c r="I7810" s="422" t="s">
        <v>674</v>
      </c>
      <c r="J7810" s="484"/>
      <c r="K7810" s="548"/>
      <c r="L7810" s="548"/>
      <c r="M7810" s="548"/>
      <c r="N7810" s="552"/>
    </row>
    <row r="7811" spans="1:25">
      <c r="A7811" s="499">
        <v>45762</v>
      </c>
      <c r="B7811" s="499">
        <v>45763</v>
      </c>
      <c r="C7811" s="500" t="s">
        <v>173</v>
      </c>
      <c r="D7811" s="500" t="s">
        <v>762</v>
      </c>
      <c r="E7811" s="501">
        <v>23026530.949999999</v>
      </c>
      <c r="F7811" s="502" t="s">
        <v>878</v>
      </c>
      <c r="G7811" s="100">
        <v>116729504</v>
      </c>
      <c r="H7811" s="100">
        <v>116729504</v>
      </c>
      <c r="I7811" s="422" t="s">
        <v>674</v>
      </c>
      <c r="J7811" s="484"/>
      <c r="K7811" s="548"/>
      <c r="L7811" s="548"/>
      <c r="M7811" s="548"/>
      <c r="N7811" s="552"/>
    </row>
    <row r="7812" spans="1:25">
      <c r="A7812" s="499">
        <v>45762</v>
      </c>
      <c r="B7812" s="499">
        <v>45762</v>
      </c>
      <c r="C7812" s="500" t="s">
        <v>173</v>
      </c>
      <c r="D7812" s="500" t="s">
        <v>761</v>
      </c>
      <c r="E7812" s="501">
        <v>-497230413.92000002</v>
      </c>
      <c r="F7812" s="502" t="s">
        <v>878</v>
      </c>
      <c r="G7812" s="100">
        <v>116729593</v>
      </c>
      <c r="H7812" s="530"/>
      <c r="I7812" s="422" t="s">
        <v>633</v>
      </c>
      <c r="J7812" s="484"/>
      <c r="K7812" s="548"/>
      <c r="L7812" s="548"/>
      <c r="M7812" s="548"/>
      <c r="N7812" s="552"/>
    </row>
    <row r="7813" spans="1:25">
      <c r="A7813" s="499">
        <v>45762</v>
      </c>
      <c r="B7813" s="499">
        <v>45762</v>
      </c>
      <c r="C7813" s="500" t="s">
        <v>173</v>
      </c>
      <c r="D7813" s="500" t="s">
        <v>761</v>
      </c>
      <c r="E7813" s="501">
        <v>-793711122.75</v>
      </c>
      <c r="F7813" s="502" t="s">
        <v>878</v>
      </c>
      <c r="G7813" s="100">
        <v>116731374</v>
      </c>
      <c r="H7813" s="530"/>
      <c r="I7813" s="422" t="s">
        <v>686</v>
      </c>
      <c r="J7813" s="484"/>
      <c r="K7813" s="548"/>
      <c r="L7813" s="548"/>
      <c r="M7813" s="548"/>
      <c r="N7813" s="552"/>
    </row>
    <row r="7814" spans="1:25">
      <c r="A7814" s="499">
        <v>45762</v>
      </c>
      <c r="B7814" s="499">
        <v>45762</v>
      </c>
      <c r="C7814" s="500" t="s">
        <v>173</v>
      </c>
      <c r="D7814" s="500" t="s">
        <v>761</v>
      </c>
      <c r="E7814" s="501">
        <v>-6005999.8399999999</v>
      </c>
      <c r="F7814" s="502" t="s">
        <v>878</v>
      </c>
      <c r="G7814" s="100">
        <v>116731402</v>
      </c>
      <c r="H7814" s="530"/>
      <c r="I7814" s="422" t="s">
        <v>678</v>
      </c>
      <c r="J7814" s="484"/>
      <c r="K7814" s="548"/>
      <c r="L7814" s="548"/>
      <c r="M7814" s="548"/>
      <c r="N7814" s="552"/>
    </row>
    <row r="7815" spans="1:25">
      <c r="A7815" s="499">
        <v>45762</v>
      </c>
      <c r="B7815" s="499">
        <v>45776</v>
      </c>
      <c r="C7815" s="500" t="s">
        <v>173</v>
      </c>
      <c r="D7815" s="500" t="s">
        <v>761</v>
      </c>
      <c r="E7815" s="501">
        <v>500300982.00999999</v>
      </c>
      <c r="F7815" s="502" t="s">
        <v>878</v>
      </c>
      <c r="G7815" s="100">
        <v>116729593</v>
      </c>
      <c r="H7815" s="484">
        <v>116729593</v>
      </c>
      <c r="I7815" s="422" t="s">
        <v>633</v>
      </c>
      <c r="J7815" s="484"/>
      <c r="K7815" s="548"/>
      <c r="L7815" s="548"/>
      <c r="M7815" s="548"/>
      <c r="N7815" s="552"/>
    </row>
    <row r="7816" spans="1:25">
      <c r="A7816" s="499">
        <v>45762</v>
      </c>
      <c r="B7816" s="499">
        <v>45769</v>
      </c>
      <c r="C7816" s="500" t="s">
        <v>173</v>
      </c>
      <c r="D7816" s="500" t="s">
        <v>761</v>
      </c>
      <c r="E7816" s="501">
        <v>796161841.75</v>
      </c>
      <c r="F7816" s="502" t="s">
        <v>878</v>
      </c>
      <c r="G7816" s="100">
        <v>116731374</v>
      </c>
      <c r="H7816" s="484">
        <v>116731374</v>
      </c>
      <c r="I7816" s="422" t="s">
        <v>686</v>
      </c>
      <c r="J7816" s="484"/>
      <c r="K7816" s="548"/>
      <c r="L7816" s="548"/>
      <c r="M7816" s="548"/>
      <c r="N7816" s="552"/>
    </row>
    <row r="7817" spans="1:25">
      <c r="A7817" s="499">
        <v>45762</v>
      </c>
      <c r="B7817" s="499">
        <v>45763</v>
      </c>
      <c r="C7817" s="500" t="s">
        <v>173</v>
      </c>
      <c r="D7817" s="500" t="s">
        <v>761</v>
      </c>
      <c r="E7817" s="501">
        <v>6008551.9800000004</v>
      </c>
      <c r="F7817" s="502" t="s">
        <v>878</v>
      </c>
      <c r="G7817" s="100">
        <v>116731402</v>
      </c>
      <c r="H7817" s="484">
        <v>116731402</v>
      </c>
      <c r="I7817" s="422" t="s">
        <v>678</v>
      </c>
      <c r="J7817" s="484"/>
      <c r="K7817" s="548"/>
      <c r="L7817" s="548"/>
      <c r="M7817" s="548"/>
      <c r="N7817" s="552"/>
    </row>
    <row r="7818" spans="1:25">
      <c r="A7818" s="499">
        <v>45762</v>
      </c>
      <c r="B7818" s="499">
        <v>45764</v>
      </c>
      <c r="C7818" s="500" t="s">
        <v>173</v>
      </c>
      <c r="D7818" s="500" t="s">
        <v>761</v>
      </c>
      <c r="E7818" s="501">
        <v>-412076777.77999997</v>
      </c>
      <c r="F7818" s="502" t="s">
        <v>906</v>
      </c>
      <c r="G7818" s="100" t="s">
        <v>53</v>
      </c>
      <c r="H7818" s="530"/>
      <c r="I7818" s="422" t="s">
        <v>712</v>
      </c>
      <c r="K7818" s="548">
        <v>116734592</v>
      </c>
      <c r="L7818" s="549">
        <v>79.794799999999995</v>
      </c>
      <c r="M7818" s="549">
        <f>E7818*(-1)/(N7818*O7818)*100</f>
        <v>82.415355555999994</v>
      </c>
      <c r="N7818" s="549">
        <v>500000</v>
      </c>
      <c r="O7818" s="539">
        <v>1000</v>
      </c>
      <c r="T7818" s="549">
        <v>15.6</v>
      </c>
      <c r="U7818" s="538">
        <v>0</v>
      </c>
      <c r="V7818" s="538">
        <v>41207.68</v>
      </c>
      <c r="W7818" s="550">
        <f>VLOOKUP(G7818,Справочник!A:C,3,0)</f>
        <v>5.2999999999999999E-2</v>
      </c>
      <c r="X7818" s="539" t="str">
        <f>VLOOKUP(G7818,Справочник!A:G,7,0)</f>
        <v>Министерство финансов Республики Казахстан</v>
      </c>
      <c r="Y7818" s="551" t="str">
        <f>VLOOKUP(G7818,Справочник!A:B,2,0)</f>
        <v>19.10.2027</v>
      </c>
    </row>
    <row r="7819" spans="1:25">
      <c r="A7819" s="499">
        <v>45762</v>
      </c>
      <c r="B7819" s="499">
        <v>45762</v>
      </c>
      <c r="C7819" s="500" t="s">
        <v>173</v>
      </c>
      <c r="D7819" s="500" t="s">
        <v>759</v>
      </c>
      <c r="E7819" s="501">
        <v>-1345524987.1300001</v>
      </c>
      <c r="F7819" s="502" t="s">
        <v>878</v>
      </c>
      <c r="G7819" s="100">
        <v>116727683</v>
      </c>
      <c r="H7819" s="530"/>
      <c r="I7819" s="422" t="s">
        <v>717</v>
      </c>
      <c r="J7819" s="484"/>
      <c r="K7819" s="548"/>
      <c r="L7819" s="548"/>
      <c r="M7819" s="548"/>
      <c r="N7819" s="552"/>
    </row>
    <row r="7820" spans="1:25">
      <c r="A7820" s="499">
        <v>45762</v>
      </c>
      <c r="B7820" s="499">
        <v>45762</v>
      </c>
      <c r="C7820" s="500" t="s">
        <v>173</v>
      </c>
      <c r="D7820" s="500" t="s">
        <v>759</v>
      </c>
      <c r="E7820" s="501">
        <v>-143035505.18000001</v>
      </c>
      <c r="F7820" s="502" t="s">
        <v>878</v>
      </c>
      <c r="G7820" s="100">
        <v>116728764</v>
      </c>
      <c r="H7820" s="530"/>
      <c r="I7820" s="422" t="s">
        <v>695</v>
      </c>
      <c r="J7820" s="484"/>
      <c r="K7820" s="548"/>
      <c r="L7820" s="548"/>
      <c r="M7820" s="548"/>
      <c r="N7820" s="552"/>
    </row>
    <row r="7821" spans="1:25">
      <c r="A7821" s="499">
        <v>45762</v>
      </c>
      <c r="B7821" s="499">
        <v>45762</v>
      </c>
      <c r="C7821" s="500" t="s">
        <v>173</v>
      </c>
      <c r="D7821" s="500" t="s">
        <v>759</v>
      </c>
      <c r="E7821" s="501">
        <v>-645427957.5</v>
      </c>
      <c r="F7821" s="502" t="s">
        <v>878</v>
      </c>
      <c r="G7821" s="100">
        <v>116728767</v>
      </c>
      <c r="H7821" s="530"/>
      <c r="I7821" s="422" t="s">
        <v>684</v>
      </c>
      <c r="J7821" s="484"/>
      <c r="K7821" s="548"/>
      <c r="L7821" s="548"/>
      <c r="M7821" s="548"/>
      <c r="N7821" s="552"/>
    </row>
    <row r="7822" spans="1:25">
      <c r="A7822" s="499">
        <v>45762</v>
      </c>
      <c r="B7822" s="499">
        <v>45762</v>
      </c>
      <c r="C7822" s="500" t="s">
        <v>173</v>
      </c>
      <c r="D7822" s="500" t="s">
        <v>759</v>
      </c>
      <c r="E7822" s="501">
        <v>-248068810.08000001</v>
      </c>
      <c r="F7822" s="502" t="s">
        <v>878</v>
      </c>
      <c r="G7822" s="100">
        <v>116728770</v>
      </c>
      <c r="H7822" s="530"/>
      <c r="I7822" s="422" t="s">
        <v>705</v>
      </c>
      <c r="J7822" s="484"/>
      <c r="K7822" s="548"/>
      <c r="L7822" s="548"/>
      <c r="M7822" s="548"/>
      <c r="N7822" s="552"/>
    </row>
    <row r="7823" spans="1:25">
      <c r="A7823" s="499">
        <v>45762</v>
      </c>
      <c r="B7823" s="499">
        <v>45762</v>
      </c>
      <c r="C7823" s="500" t="s">
        <v>173</v>
      </c>
      <c r="D7823" s="500" t="s">
        <v>759</v>
      </c>
      <c r="E7823" s="501">
        <v>-12005563.310000001</v>
      </c>
      <c r="F7823" s="502" t="s">
        <v>878</v>
      </c>
      <c r="G7823" s="100">
        <v>116729615</v>
      </c>
      <c r="H7823" s="530"/>
      <c r="I7823" s="422" t="s">
        <v>633</v>
      </c>
      <c r="J7823" s="484"/>
      <c r="K7823" s="548"/>
      <c r="L7823" s="548"/>
      <c r="M7823" s="548"/>
      <c r="N7823" s="552"/>
    </row>
    <row r="7824" spans="1:25">
      <c r="A7824" s="499">
        <v>45762</v>
      </c>
      <c r="B7824" s="499">
        <v>45763</v>
      </c>
      <c r="C7824" s="500" t="s">
        <v>173</v>
      </c>
      <c r="D7824" s="500" t="s">
        <v>759</v>
      </c>
      <c r="E7824" s="501">
        <v>1346111119.9300001</v>
      </c>
      <c r="F7824" s="502" t="s">
        <v>878</v>
      </c>
      <c r="G7824" s="100">
        <v>116727683</v>
      </c>
      <c r="H7824" s="484">
        <v>116727683</v>
      </c>
      <c r="I7824" s="422" t="s">
        <v>717</v>
      </c>
      <c r="J7824" s="484"/>
      <c r="K7824" s="548"/>
      <c r="L7824" s="548"/>
      <c r="M7824" s="548"/>
      <c r="N7824" s="552"/>
    </row>
    <row r="7825" spans="1:14">
      <c r="A7825" s="499">
        <v>45762</v>
      </c>
      <c r="B7825" s="499">
        <v>45763</v>
      </c>
      <c r="C7825" s="500" t="s">
        <v>173</v>
      </c>
      <c r="D7825" s="500" t="s">
        <v>759</v>
      </c>
      <c r="E7825" s="501">
        <v>143097225.97999999</v>
      </c>
      <c r="F7825" s="502" t="s">
        <v>878</v>
      </c>
      <c r="G7825" s="100">
        <v>116728764</v>
      </c>
      <c r="H7825" s="484">
        <v>116728764</v>
      </c>
      <c r="I7825" s="422" t="s">
        <v>695</v>
      </c>
      <c r="J7825" s="484"/>
      <c r="K7825" s="548"/>
      <c r="L7825" s="548"/>
      <c r="M7825" s="548"/>
      <c r="N7825" s="552"/>
    </row>
    <row r="7826" spans="1:14">
      <c r="A7826" s="499">
        <v>45762</v>
      </c>
      <c r="B7826" s="499">
        <v>45763</v>
      </c>
      <c r="C7826" s="500" t="s">
        <v>173</v>
      </c>
      <c r="D7826" s="500" t="s">
        <v>759</v>
      </c>
      <c r="E7826" s="501">
        <v>645706464.08000004</v>
      </c>
      <c r="F7826" s="502" t="s">
        <v>878</v>
      </c>
      <c r="G7826" s="100">
        <v>116728767</v>
      </c>
      <c r="H7826" s="484">
        <v>116728767</v>
      </c>
      <c r="I7826" s="422" t="s">
        <v>684</v>
      </c>
      <c r="J7826" s="484"/>
      <c r="K7826" s="548"/>
      <c r="L7826" s="548"/>
      <c r="M7826" s="548"/>
      <c r="N7826" s="552"/>
    </row>
    <row r="7827" spans="1:14">
      <c r="A7827" s="499">
        <v>45762</v>
      </c>
      <c r="B7827" s="499">
        <v>45763</v>
      </c>
      <c r="C7827" s="500" t="s">
        <v>173</v>
      </c>
      <c r="D7827" s="500" t="s">
        <v>759</v>
      </c>
      <c r="E7827" s="501">
        <v>248175853.47</v>
      </c>
      <c r="F7827" s="502" t="s">
        <v>878</v>
      </c>
      <c r="G7827" s="100">
        <v>116728770</v>
      </c>
      <c r="H7827" s="484">
        <v>116728770</v>
      </c>
      <c r="I7827" s="422" t="s">
        <v>705</v>
      </c>
      <c r="J7827" s="484"/>
      <c r="K7827" s="548"/>
      <c r="L7827" s="548"/>
      <c r="M7827" s="548"/>
      <c r="N7827" s="552"/>
    </row>
    <row r="7828" spans="1:14">
      <c r="A7828" s="499">
        <v>45762</v>
      </c>
      <c r="B7828" s="499">
        <v>45763</v>
      </c>
      <c r="C7828" s="500" t="s">
        <v>173</v>
      </c>
      <c r="D7828" s="500" t="s">
        <v>759</v>
      </c>
      <c r="E7828" s="501">
        <v>12010664.85</v>
      </c>
      <c r="F7828" s="502" t="s">
        <v>878</v>
      </c>
      <c r="G7828" s="100">
        <v>116729615</v>
      </c>
      <c r="H7828" s="484">
        <v>116729615</v>
      </c>
      <c r="I7828" s="422" t="s">
        <v>633</v>
      </c>
      <c r="J7828" s="484"/>
      <c r="K7828" s="548"/>
      <c r="L7828" s="548"/>
      <c r="M7828" s="548"/>
      <c r="N7828" s="552"/>
    </row>
    <row r="7829" spans="1:14">
      <c r="A7829" s="499">
        <v>45762</v>
      </c>
      <c r="B7829" s="499">
        <v>45762</v>
      </c>
      <c r="C7829" s="500" t="s">
        <v>173</v>
      </c>
      <c r="D7829" s="500" t="s">
        <v>760</v>
      </c>
      <c r="E7829" s="501">
        <v>-1500695414.25</v>
      </c>
      <c r="F7829" s="502" t="s">
        <v>878</v>
      </c>
      <c r="G7829" s="100">
        <v>116728325</v>
      </c>
      <c r="H7829" s="530"/>
      <c r="I7829" s="422" t="s">
        <v>633</v>
      </c>
      <c r="J7829" s="484"/>
      <c r="K7829" s="548"/>
      <c r="L7829" s="548"/>
      <c r="M7829" s="548"/>
      <c r="N7829" s="552"/>
    </row>
    <row r="7830" spans="1:14">
      <c r="A7830" s="499">
        <v>45762</v>
      </c>
      <c r="B7830" s="499">
        <v>45762</v>
      </c>
      <c r="C7830" s="500" t="s">
        <v>173</v>
      </c>
      <c r="D7830" s="500" t="s">
        <v>760</v>
      </c>
      <c r="E7830" s="501">
        <v>-303220336.14999998</v>
      </c>
      <c r="F7830" s="502" t="s">
        <v>878</v>
      </c>
      <c r="G7830" s="100">
        <v>116728980</v>
      </c>
      <c r="H7830" s="530"/>
      <c r="I7830" s="422" t="s">
        <v>674</v>
      </c>
      <c r="J7830" s="484"/>
      <c r="K7830" s="548"/>
      <c r="L7830" s="548"/>
      <c r="M7830" s="548"/>
      <c r="N7830" s="552"/>
    </row>
    <row r="7831" spans="1:14">
      <c r="A7831" s="499">
        <v>45762</v>
      </c>
      <c r="B7831" s="499">
        <v>45763</v>
      </c>
      <c r="C7831" s="500" t="s">
        <v>173</v>
      </c>
      <c r="D7831" s="500" t="s">
        <v>760</v>
      </c>
      <c r="E7831" s="501">
        <v>1501345026.24</v>
      </c>
      <c r="F7831" s="502" t="s">
        <v>878</v>
      </c>
      <c r="G7831" s="100">
        <v>116728325</v>
      </c>
      <c r="H7831" s="100">
        <v>116728325</v>
      </c>
      <c r="I7831" s="422" t="s">
        <v>633</v>
      </c>
      <c r="J7831" s="484"/>
      <c r="K7831" s="548"/>
      <c r="L7831" s="548"/>
      <c r="M7831" s="548"/>
      <c r="N7831" s="552"/>
    </row>
    <row r="7832" spans="1:14">
      <c r="A7832" s="499">
        <v>45762</v>
      </c>
      <c r="B7832" s="499">
        <v>45763</v>
      </c>
      <c r="C7832" s="500" t="s">
        <v>173</v>
      </c>
      <c r="D7832" s="500" t="s">
        <v>760</v>
      </c>
      <c r="E7832" s="501">
        <v>303351176.97000003</v>
      </c>
      <c r="F7832" s="502" t="s">
        <v>878</v>
      </c>
      <c r="G7832" s="100">
        <v>116728980</v>
      </c>
      <c r="H7832" s="100">
        <v>116728980</v>
      </c>
      <c r="I7832" s="422" t="s">
        <v>674</v>
      </c>
      <c r="J7832" s="484"/>
      <c r="K7832" s="548"/>
      <c r="L7832" s="548"/>
      <c r="M7832" s="548"/>
      <c r="N7832" s="552"/>
    </row>
    <row r="7833" spans="1:14">
      <c r="A7833" s="499">
        <v>45762</v>
      </c>
      <c r="B7833" s="499">
        <v>45762</v>
      </c>
      <c r="C7833" s="500" t="s">
        <v>173</v>
      </c>
      <c r="D7833" s="500" t="s">
        <v>763</v>
      </c>
      <c r="E7833" s="501">
        <v>-5419593516</v>
      </c>
      <c r="F7833" s="502" t="s">
        <v>878</v>
      </c>
      <c r="G7833" s="100">
        <v>116726987</v>
      </c>
      <c r="H7833" s="530"/>
      <c r="I7833" s="422" t="s">
        <v>684</v>
      </c>
      <c r="J7833" s="484"/>
      <c r="K7833" s="548"/>
      <c r="L7833" s="548"/>
      <c r="M7833" s="548"/>
      <c r="N7833" s="552"/>
    </row>
    <row r="7834" spans="1:14">
      <c r="A7834" s="499">
        <v>45762</v>
      </c>
      <c r="B7834" s="499">
        <v>45762</v>
      </c>
      <c r="C7834" s="500" t="s">
        <v>173</v>
      </c>
      <c r="D7834" s="500" t="s">
        <v>763</v>
      </c>
      <c r="E7834" s="501">
        <v>-27017914.5</v>
      </c>
      <c r="F7834" s="502" t="s">
        <v>878</v>
      </c>
      <c r="G7834" s="100">
        <v>116727105</v>
      </c>
      <c r="H7834" s="530"/>
      <c r="I7834" s="422" t="s">
        <v>684</v>
      </c>
      <c r="J7834" s="484"/>
      <c r="K7834" s="548"/>
      <c r="L7834" s="548"/>
      <c r="M7834" s="548"/>
      <c r="N7834" s="552"/>
    </row>
    <row r="7835" spans="1:14">
      <c r="A7835" s="499">
        <v>45762</v>
      </c>
      <c r="B7835" s="499">
        <v>45763</v>
      </c>
      <c r="C7835" s="500" t="s">
        <v>173</v>
      </c>
      <c r="D7835" s="500" t="s">
        <v>763</v>
      </c>
      <c r="E7835" s="501">
        <v>5421932181.96</v>
      </c>
      <c r="F7835" s="502" t="s">
        <v>878</v>
      </c>
      <c r="G7835" s="100">
        <v>116726987</v>
      </c>
      <c r="H7835" s="100">
        <v>116726987</v>
      </c>
      <c r="I7835" s="422" t="s">
        <v>684</v>
      </c>
      <c r="J7835" s="484"/>
      <c r="K7835" s="548"/>
      <c r="L7835" s="548"/>
      <c r="M7835" s="548"/>
      <c r="N7835" s="552"/>
    </row>
    <row r="7836" spans="1:14">
      <c r="A7836" s="499">
        <v>45762</v>
      </c>
      <c r="B7836" s="499">
        <v>45763</v>
      </c>
      <c r="C7836" s="500" t="s">
        <v>173</v>
      </c>
      <c r="D7836" s="500" t="s">
        <v>763</v>
      </c>
      <c r="E7836" s="501">
        <v>27029573.289999999</v>
      </c>
      <c r="F7836" s="502" t="s">
        <v>878</v>
      </c>
      <c r="G7836" s="100">
        <v>116727105</v>
      </c>
      <c r="H7836" s="100">
        <v>116727105</v>
      </c>
      <c r="I7836" s="422" t="s">
        <v>684</v>
      </c>
      <c r="J7836" s="484"/>
      <c r="K7836" s="548"/>
      <c r="L7836" s="548"/>
      <c r="M7836" s="548"/>
      <c r="N7836" s="552"/>
    </row>
    <row r="7837" spans="1:14">
      <c r="A7837" s="499">
        <v>45763</v>
      </c>
      <c r="B7837" s="499">
        <v>45763</v>
      </c>
      <c r="C7837" s="500" t="s">
        <v>173</v>
      </c>
      <c r="D7837" s="500" t="s">
        <v>762</v>
      </c>
      <c r="E7837" s="501">
        <v>-4692529392.6599998</v>
      </c>
      <c r="F7837" s="502" t="s">
        <v>878</v>
      </c>
      <c r="G7837" s="100">
        <v>116746529</v>
      </c>
      <c r="H7837" s="530"/>
      <c r="I7837" s="422" t="s">
        <v>708</v>
      </c>
      <c r="J7837" s="484"/>
      <c r="K7837" s="548"/>
      <c r="L7837" s="548"/>
      <c r="M7837" s="548"/>
      <c r="N7837" s="552"/>
    </row>
    <row r="7838" spans="1:14">
      <c r="A7838" s="499">
        <v>45763</v>
      </c>
      <c r="B7838" s="499">
        <v>45763</v>
      </c>
      <c r="C7838" s="500" t="s">
        <v>173</v>
      </c>
      <c r="D7838" s="500" t="s">
        <v>762</v>
      </c>
      <c r="E7838" s="501">
        <v>-328106936.86000001</v>
      </c>
      <c r="F7838" s="502" t="s">
        <v>878</v>
      </c>
      <c r="G7838" s="100">
        <v>116746767</v>
      </c>
      <c r="H7838" s="530"/>
      <c r="I7838" s="422" t="s">
        <v>708</v>
      </c>
      <c r="J7838" s="484"/>
      <c r="K7838" s="548"/>
      <c r="L7838" s="548"/>
      <c r="M7838" s="548"/>
      <c r="N7838" s="552"/>
    </row>
    <row r="7839" spans="1:14">
      <c r="A7839" s="499">
        <v>45763</v>
      </c>
      <c r="B7839" s="499">
        <v>45764</v>
      </c>
      <c r="C7839" s="500" t="s">
        <v>173</v>
      </c>
      <c r="D7839" s="500" t="s">
        <v>762</v>
      </c>
      <c r="E7839" s="501">
        <v>4694522110.6199999</v>
      </c>
      <c r="F7839" s="502" t="s">
        <v>878</v>
      </c>
      <c r="G7839" s="100">
        <v>116746529</v>
      </c>
      <c r="H7839" s="484">
        <v>116746529</v>
      </c>
      <c r="I7839" s="422" t="s">
        <v>708</v>
      </c>
      <c r="J7839" s="484"/>
      <c r="K7839" s="548"/>
      <c r="L7839" s="548"/>
      <c r="M7839" s="548"/>
      <c r="N7839" s="552"/>
    </row>
    <row r="7840" spans="1:14">
      <c r="A7840" s="499">
        <v>45763</v>
      </c>
      <c r="B7840" s="499">
        <v>45764</v>
      </c>
      <c r="C7840" s="500" t="s">
        <v>173</v>
      </c>
      <c r="D7840" s="500" t="s">
        <v>762</v>
      </c>
      <c r="E7840" s="501">
        <v>328246269.94</v>
      </c>
      <c r="F7840" s="502" t="s">
        <v>878</v>
      </c>
      <c r="G7840" s="100">
        <v>116746767</v>
      </c>
      <c r="H7840" s="484">
        <v>116746767</v>
      </c>
      <c r="I7840" s="422" t="s">
        <v>708</v>
      </c>
      <c r="J7840" s="484"/>
      <c r="K7840" s="548"/>
      <c r="L7840" s="548"/>
      <c r="M7840" s="548"/>
      <c r="N7840" s="552"/>
    </row>
    <row r="7841" spans="1:14">
      <c r="A7841" s="499">
        <v>45763</v>
      </c>
      <c r="B7841" s="499">
        <v>45763</v>
      </c>
      <c r="C7841" s="500" t="s">
        <v>173</v>
      </c>
      <c r="D7841" s="500" t="s">
        <v>761</v>
      </c>
      <c r="E7841" s="501">
        <v>-895857773.37</v>
      </c>
      <c r="F7841" s="502" t="s">
        <v>878</v>
      </c>
      <c r="G7841" s="100">
        <v>116742479</v>
      </c>
      <c r="H7841" s="530"/>
      <c r="I7841" s="422" t="s">
        <v>657</v>
      </c>
      <c r="J7841" s="484"/>
      <c r="K7841" s="548"/>
      <c r="L7841" s="548"/>
      <c r="M7841" s="548"/>
      <c r="N7841" s="552"/>
    </row>
    <row r="7842" spans="1:14">
      <c r="A7842" s="499">
        <v>45763</v>
      </c>
      <c r="B7842" s="499">
        <v>45763</v>
      </c>
      <c r="C7842" s="500" t="s">
        <v>173</v>
      </c>
      <c r="D7842" s="500" t="s">
        <v>761</v>
      </c>
      <c r="E7842" s="501">
        <v>-609134637.11000001</v>
      </c>
      <c r="F7842" s="502" t="s">
        <v>878</v>
      </c>
      <c r="G7842" s="100">
        <v>116744963</v>
      </c>
      <c r="H7842" s="530"/>
      <c r="I7842" s="422" t="s">
        <v>673</v>
      </c>
      <c r="J7842" s="484"/>
      <c r="K7842" s="548"/>
      <c r="L7842" s="548"/>
      <c r="M7842" s="548"/>
      <c r="N7842" s="552"/>
    </row>
    <row r="7843" spans="1:14">
      <c r="A7843" s="499">
        <v>45763</v>
      </c>
      <c r="B7843" s="499">
        <v>45763</v>
      </c>
      <c r="C7843" s="500" t="s">
        <v>173</v>
      </c>
      <c r="D7843" s="500" t="s">
        <v>761</v>
      </c>
      <c r="E7843" s="501">
        <v>-1073652688.73</v>
      </c>
      <c r="F7843" s="502" t="s">
        <v>878</v>
      </c>
      <c r="G7843" s="100">
        <v>116744972</v>
      </c>
      <c r="H7843" s="530"/>
      <c r="I7843" s="422" t="s">
        <v>711</v>
      </c>
      <c r="J7843" s="484"/>
      <c r="K7843" s="548"/>
      <c r="L7843" s="548"/>
      <c r="M7843" s="548"/>
      <c r="N7843" s="552"/>
    </row>
    <row r="7844" spans="1:14">
      <c r="A7844" s="499">
        <v>45763</v>
      </c>
      <c r="B7844" s="499">
        <v>45763</v>
      </c>
      <c r="C7844" s="500" t="s">
        <v>173</v>
      </c>
      <c r="D7844" s="500" t="s">
        <v>761</v>
      </c>
      <c r="E7844" s="501">
        <v>-108023110.27</v>
      </c>
      <c r="F7844" s="502" t="s">
        <v>878</v>
      </c>
      <c r="G7844" s="100">
        <v>116745283</v>
      </c>
      <c r="H7844" s="530"/>
      <c r="I7844" s="422" t="s">
        <v>823</v>
      </c>
      <c r="J7844" s="484"/>
      <c r="K7844" s="548"/>
      <c r="L7844" s="548"/>
      <c r="M7844" s="548"/>
      <c r="N7844" s="552"/>
    </row>
    <row r="7845" spans="1:14">
      <c r="A7845" s="499">
        <v>45763</v>
      </c>
      <c r="B7845" s="499">
        <v>45763</v>
      </c>
      <c r="C7845" s="500" t="s">
        <v>173</v>
      </c>
      <c r="D7845" s="500" t="s">
        <v>761</v>
      </c>
      <c r="E7845" s="501">
        <v>-14007071.609999999</v>
      </c>
      <c r="F7845" s="502" t="s">
        <v>878</v>
      </c>
      <c r="G7845" s="100">
        <v>116745427</v>
      </c>
      <c r="H7845" s="530"/>
      <c r="I7845" s="422" t="s">
        <v>716</v>
      </c>
      <c r="J7845" s="484"/>
      <c r="K7845" s="548"/>
      <c r="L7845" s="548"/>
      <c r="M7845" s="548"/>
      <c r="N7845" s="552"/>
    </row>
    <row r="7846" spans="1:14">
      <c r="A7846" s="499">
        <v>45763</v>
      </c>
      <c r="B7846" s="499">
        <v>45763</v>
      </c>
      <c r="C7846" s="500" t="s">
        <v>173</v>
      </c>
      <c r="D7846" s="500" t="s">
        <v>761</v>
      </c>
      <c r="E7846" s="501">
        <v>-164001255.31999999</v>
      </c>
      <c r="F7846" s="502" t="s">
        <v>878</v>
      </c>
      <c r="G7846" s="100">
        <v>116747945</v>
      </c>
      <c r="H7846" s="530"/>
      <c r="I7846" s="422" t="s">
        <v>1018</v>
      </c>
      <c r="J7846" s="484"/>
      <c r="K7846" s="548"/>
      <c r="L7846" s="548"/>
      <c r="M7846" s="548"/>
      <c r="N7846" s="552"/>
    </row>
    <row r="7847" spans="1:14">
      <c r="A7847" s="499">
        <v>45763</v>
      </c>
      <c r="B7847" s="499">
        <v>45763</v>
      </c>
      <c r="C7847" s="500" t="s">
        <v>173</v>
      </c>
      <c r="D7847" s="500" t="s">
        <v>761</v>
      </c>
      <c r="E7847" s="501">
        <v>-1000007.65</v>
      </c>
      <c r="F7847" s="502" t="s">
        <v>878</v>
      </c>
      <c r="G7847" s="100">
        <v>116747952</v>
      </c>
      <c r="H7847" s="530"/>
      <c r="I7847" s="422" t="s">
        <v>1018</v>
      </c>
      <c r="J7847" s="484"/>
      <c r="K7847" s="548"/>
      <c r="L7847" s="548"/>
      <c r="M7847" s="548"/>
      <c r="N7847" s="552"/>
    </row>
    <row r="7848" spans="1:14">
      <c r="A7848" s="499">
        <v>45763</v>
      </c>
      <c r="B7848" s="499">
        <v>45764</v>
      </c>
      <c r="C7848" s="500" t="s">
        <v>173</v>
      </c>
      <c r="D7848" s="500" t="s">
        <v>761</v>
      </c>
      <c r="E7848" s="501">
        <v>896245323.89999998</v>
      </c>
      <c r="F7848" s="502" t="s">
        <v>878</v>
      </c>
      <c r="G7848" s="100">
        <v>116742479</v>
      </c>
      <c r="H7848" s="484">
        <v>116742479</v>
      </c>
      <c r="I7848" s="422" t="s">
        <v>657</v>
      </c>
      <c r="J7848" s="484"/>
      <c r="K7848" s="548"/>
      <c r="L7848" s="548"/>
      <c r="M7848" s="548"/>
      <c r="N7848" s="552"/>
    </row>
    <row r="7849" spans="1:14">
      <c r="A7849" s="499">
        <v>45763</v>
      </c>
      <c r="B7849" s="499">
        <v>45770</v>
      </c>
      <c r="C7849" s="500" t="s">
        <v>173</v>
      </c>
      <c r="D7849" s="500" t="s">
        <v>761</v>
      </c>
      <c r="E7849" s="501">
        <v>611015444.61000001</v>
      </c>
      <c r="F7849" s="502" t="s">
        <v>878</v>
      </c>
      <c r="G7849" s="100">
        <v>116744963</v>
      </c>
      <c r="H7849" s="484">
        <v>116744963</v>
      </c>
      <c r="I7849" s="422" t="s">
        <v>673</v>
      </c>
      <c r="J7849" s="484"/>
      <c r="K7849" s="548"/>
      <c r="L7849" s="548"/>
      <c r="M7849" s="548"/>
      <c r="N7849" s="552"/>
    </row>
    <row r="7850" spans="1:14">
      <c r="A7850" s="499">
        <v>45763</v>
      </c>
      <c r="B7850" s="499">
        <v>45770</v>
      </c>
      <c r="C7850" s="500" t="s">
        <v>173</v>
      </c>
      <c r="D7850" s="500" t="s">
        <v>761</v>
      </c>
      <c r="E7850" s="501">
        <v>1076967775.25</v>
      </c>
      <c r="F7850" s="502" t="s">
        <v>878</v>
      </c>
      <c r="G7850" s="100">
        <v>116744972</v>
      </c>
      <c r="H7850" s="484">
        <v>116744972</v>
      </c>
      <c r="I7850" s="422" t="s">
        <v>711</v>
      </c>
      <c r="J7850" s="484"/>
      <c r="K7850" s="548"/>
      <c r="L7850" s="548"/>
      <c r="M7850" s="548"/>
      <c r="N7850" s="552"/>
    </row>
    <row r="7851" spans="1:14">
      <c r="A7851" s="499">
        <v>45763</v>
      </c>
      <c r="B7851" s="499">
        <v>45770</v>
      </c>
      <c r="C7851" s="500" t="s">
        <v>173</v>
      </c>
      <c r="D7851" s="500" t="s">
        <v>761</v>
      </c>
      <c r="E7851" s="501">
        <v>108356650.12</v>
      </c>
      <c r="F7851" s="502" t="s">
        <v>878</v>
      </c>
      <c r="G7851" s="100">
        <v>116745283</v>
      </c>
      <c r="H7851" s="484">
        <v>116745283</v>
      </c>
      <c r="I7851" s="422" t="s">
        <v>823</v>
      </c>
      <c r="J7851" s="484"/>
      <c r="K7851" s="548"/>
      <c r="L7851" s="548"/>
      <c r="M7851" s="548"/>
      <c r="N7851" s="552"/>
    </row>
    <row r="7852" spans="1:14">
      <c r="A7852" s="499">
        <v>45763</v>
      </c>
      <c r="B7852" s="499">
        <v>45764</v>
      </c>
      <c r="C7852" s="500" t="s">
        <v>173</v>
      </c>
      <c r="D7852" s="500" t="s">
        <v>761</v>
      </c>
      <c r="E7852" s="501">
        <v>14013096.57</v>
      </c>
      <c r="F7852" s="502" t="s">
        <v>878</v>
      </c>
      <c r="G7852" s="100">
        <v>116745427</v>
      </c>
      <c r="H7852" s="484">
        <v>116745427</v>
      </c>
      <c r="I7852" s="422" t="s">
        <v>716</v>
      </c>
      <c r="J7852" s="484"/>
      <c r="K7852" s="548"/>
      <c r="L7852" s="548"/>
      <c r="M7852" s="548"/>
      <c r="N7852" s="552"/>
    </row>
    <row r="7853" spans="1:14">
      <c r="A7853" s="499">
        <v>45763</v>
      </c>
      <c r="B7853" s="499">
        <v>45764</v>
      </c>
      <c r="C7853" s="500" t="s">
        <v>173</v>
      </c>
      <c r="D7853" s="500" t="s">
        <v>761</v>
      </c>
      <c r="E7853" s="501">
        <v>164070001.05000001</v>
      </c>
      <c r="F7853" s="502" t="s">
        <v>878</v>
      </c>
      <c r="G7853" s="100">
        <v>116747945</v>
      </c>
      <c r="H7853" s="484">
        <v>116747945</v>
      </c>
      <c r="I7853" s="422" t="s">
        <v>1018</v>
      </c>
      <c r="J7853" s="484"/>
      <c r="K7853" s="548"/>
      <c r="L7853" s="548"/>
      <c r="M7853" s="548"/>
      <c r="N7853" s="552"/>
    </row>
    <row r="7854" spans="1:14">
      <c r="A7854" s="499">
        <v>45763</v>
      </c>
      <c r="B7854" s="499">
        <v>45764</v>
      </c>
      <c r="C7854" s="500" t="s">
        <v>173</v>
      </c>
      <c r="D7854" s="500" t="s">
        <v>761</v>
      </c>
      <c r="E7854" s="501">
        <v>1000426.83</v>
      </c>
      <c r="F7854" s="502" t="s">
        <v>878</v>
      </c>
      <c r="G7854" s="100">
        <v>116747952</v>
      </c>
      <c r="H7854" s="484">
        <v>116747952</v>
      </c>
      <c r="I7854" s="422" t="s">
        <v>1018</v>
      </c>
      <c r="J7854" s="484"/>
      <c r="K7854" s="548"/>
      <c r="L7854" s="548"/>
      <c r="M7854" s="548"/>
      <c r="N7854" s="552"/>
    </row>
    <row r="7855" spans="1:14">
      <c r="A7855" s="499">
        <v>45763</v>
      </c>
      <c r="B7855" s="499">
        <v>45763</v>
      </c>
      <c r="C7855" s="500" t="s">
        <v>173</v>
      </c>
      <c r="D7855" s="500" t="s">
        <v>759</v>
      </c>
      <c r="E7855" s="501">
        <v>-2381408220.5500002</v>
      </c>
      <c r="F7855" s="502" t="s">
        <v>878</v>
      </c>
      <c r="G7855" s="100">
        <v>116743695</v>
      </c>
      <c r="H7855" s="530"/>
      <c r="I7855" s="422" t="s">
        <v>805</v>
      </c>
      <c r="J7855" s="484"/>
      <c r="K7855" s="548"/>
      <c r="L7855" s="548"/>
      <c r="M7855" s="548"/>
      <c r="N7855" s="552"/>
    </row>
    <row r="7856" spans="1:14">
      <c r="A7856" s="499">
        <v>45763</v>
      </c>
      <c r="B7856" s="499">
        <v>45763</v>
      </c>
      <c r="C7856" s="500" t="s">
        <v>173</v>
      </c>
      <c r="D7856" s="500" t="s">
        <v>759</v>
      </c>
      <c r="E7856" s="501">
        <v>-13000511.199999999</v>
      </c>
      <c r="F7856" s="502" t="s">
        <v>878</v>
      </c>
      <c r="G7856" s="100">
        <v>116746047</v>
      </c>
      <c r="H7856" s="530"/>
      <c r="I7856" s="422" t="s">
        <v>706</v>
      </c>
      <c r="J7856" s="484"/>
      <c r="K7856" s="548"/>
      <c r="L7856" s="548"/>
      <c r="M7856" s="548"/>
      <c r="N7856" s="552"/>
    </row>
    <row r="7857" spans="1:14">
      <c r="A7857" s="499">
        <v>45763</v>
      </c>
      <c r="B7857" s="499">
        <v>45763</v>
      </c>
      <c r="C7857" s="500" t="s">
        <v>173</v>
      </c>
      <c r="D7857" s="500" t="s">
        <v>759</v>
      </c>
      <c r="E7857" s="501">
        <v>-256001959.53</v>
      </c>
      <c r="F7857" s="502" t="s">
        <v>878</v>
      </c>
      <c r="G7857" s="100">
        <v>116750969</v>
      </c>
      <c r="H7857" s="530"/>
      <c r="I7857" s="422" t="s">
        <v>1018</v>
      </c>
      <c r="J7857" s="484"/>
      <c r="K7857" s="548"/>
      <c r="L7857" s="548"/>
      <c r="M7857" s="548"/>
      <c r="N7857" s="552"/>
    </row>
    <row r="7858" spans="1:14">
      <c r="A7858" s="499">
        <v>45763</v>
      </c>
      <c r="B7858" s="499">
        <v>45763</v>
      </c>
      <c r="C7858" s="500" t="s">
        <v>173</v>
      </c>
      <c r="D7858" s="500" t="s">
        <v>759</v>
      </c>
      <c r="E7858" s="501">
        <v>-60045326.939999998</v>
      </c>
      <c r="F7858" s="502" t="s">
        <v>878</v>
      </c>
      <c r="G7858" s="100">
        <v>116750972</v>
      </c>
      <c r="H7858" s="530"/>
      <c r="I7858" s="422" t="s">
        <v>686</v>
      </c>
      <c r="J7858" s="484"/>
      <c r="K7858" s="548"/>
      <c r="L7858" s="548"/>
      <c r="M7858" s="548"/>
      <c r="N7858" s="552"/>
    </row>
    <row r="7859" spans="1:14">
      <c r="A7859" s="499">
        <v>45763</v>
      </c>
      <c r="B7859" s="499">
        <v>45763</v>
      </c>
      <c r="C7859" s="500" t="s">
        <v>173</v>
      </c>
      <c r="D7859" s="500" t="s">
        <v>759</v>
      </c>
      <c r="E7859" s="501">
        <v>-2001510.9</v>
      </c>
      <c r="F7859" s="502" t="s">
        <v>878</v>
      </c>
      <c r="G7859" s="100">
        <v>116750977</v>
      </c>
      <c r="H7859" s="530"/>
      <c r="I7859" s="422" t="s">
        <v>686</v>
      </c>
      <c r="J7859" s="484"/>
      <c r="K7859" s="548"/>
      <c r="L7859" s="548"/>
      <c r="M7859" s="548"/>
      <c r="N7859" s="552"/>
    </row>
    <row r="7860" spans="1:14">
      <c r="A7860" s="499">
        <v>45763</v>
      </c>
      <c r="B7860" s="499">
        <v>45764</v>
      </c>
      <c r="C7860" s="500" t="s">
        <v>173</v>
      </c>
      <c r="D7860" s="500" t="s">
        <v>759</v>
      </c>
      <c r="E7860" s="501">
        <v>2382435814.5100002</v>
      </c>
      <c r="F7860" s="502" t="s">
        <v>878</v>
      </c>
      <c r="G7860" s="100">
        <v>116743695</v>
      </c>
      <c r="H7860" s="484">
        <v>116743695</v>
      </c>
      <c r="I7860" s="422" t="s">
        <v>805</v>
      </c>
      <c r="J7860" s="484"/>
      <c r="K7860" s="548"/>
      <c r="L7860" s="548"/>
      <c r="M7860" s="548"/>
      <c r="N7860" s="552"/>
    </row>
    <row r="7861" spans="1:14">
      <c r="A7861" s="499">
        <v>45763</v>
      </c>
      <c r="B7861" s="499">
        <v>45764</v>
      </c>
      <c r="C7861" s="500" t="s">
        <v>173</v>
      </c>
      <c r="D7861" s="500" t="s">
        <v>759</v>
      </c>
      <c r="E7861" s="501">
        <v>13006032</v>
      </c>
      <c r="F7861" s="502" t="s">
        <v>878</v>
      </c>
      <c r="G7861" s="100">
        <v>116746047</v>
      </c>
      <c r="H7861" s="484">
        <v>116746047</v>
      </c>
      <c r="I7861" s="422" t="s">
        <v>706</v>
      </c>
      <c r="J7861" s="484"/>
      <c r="K7861" s="548"/>
      <c r="L7861" s="548"/>
      <c r="M7861" s="548"/>
      <c r="N7861" s="552"/>
    </row>
    <row r="7862" spans="1:14">
      <c r="A7862" s="499">
        <v>45763</v>
      </c>
      <c r="B7862" s="499">
        <v>45764</v>
      </c>
      <c r="C7862" s="500" t="s">
        <v>173</v>
      </c>
      <c r="D7862" s="500" t="s">
        <v>759</v>
      </c>
      <c r="E7862" s="501">
        <v>256108708.84</v>
      </c>
      <c r="F7862" s="502" t="s">
        <v>878</v>
      </c>
      <c r="G7862" s="100">
        <v>116750969</v>
      </c>
      <c r="H7862" s="484">
        <v>116750969</v>
      </c>
      <c r="I7862" s="422" t="s">
        <v>1018</v>
      </c>
      <c r="J7862" s="484"/>
      <c r="K7862" s="548"/>
      <c r="L7862" s="548"/>
      <c r="M7862" s="548"/>
      <c r="N7862" s="552"/>
    </row>
    <row r="7863" spans="1:14">
      <c r="A7863" s="499">
        <v>45763</v>
      </c>
      <c r="B7863" s="499">
        <v>45764</v>
      </c>
      <c r="C7863" s="500" t="s">
        <v>173</v>
      </c>
      <c r="D7863" s="500" t="s">
        <v>759</v>
      </c>
      <c r="E7863" s="501">
        <v>60070348.57</v>
      </c>
      <c r="F7863" s="502" t="s">
        <v>878</v>
      </c>
      <c r="G7863" s="100">
        <v>116750972</v>
      </c>
      <c r="H7863" s="484">
        <v>116750972</v>
      </c>
      <c r="I7863" s="422" t="s">
        <v>686</v>
      </c>
      <c r="J7863" s="484"/>
      <c r="K7863" s="548"/>
      <c r="L7863" s="548"/>
      <c r="M7863" s="548"/>
      <c r="N7863" s="552"/>
    </row>
    <row r="7864" spans="1:14">
      <c r="A7864" s="499">
        <v>45763</v>
      </c>
      <c r="B7864" s="499">
        <v>45764</v>
      </c>
      <c r="C7864" s="500" t="s">
        <v>173</v>
      </c>
      <c r="D7864" s="500" t="s">
        <v>759</v>
      </c>
      <c r="E7864" s="501">
        <v>2002344.95</v>
      </c>
      <c r="F7864" s="502" t="s">
        <v>878</v>
      </c>
      <c r="G7864" s="100">
        <v>116750977</v>
      </c>
      <c r="H7864" s="484">
        <v>116750977</v>
      </c>
      <c r="I7864" s="422" t="s">
        <v>686</v>
      </c>
      <c r="J7864" s="484"/>
      <c r="K7864" s="548"/>
      <c r="L7864" s="548"/>
      <c r="M7864" s="548"/>
      <c r="N7864" s="552"/>
    </row>
    <row r="7865" spans="1:14">
      <c r="A7865" s="499">
        <v>45763</v>
      </c>
      <c r="B7865" s="499">
        <v>45763</v>
      </c>
      <c r="C7865" s="500" t="s">
        <v>173</v>
      </c>
      <c r="D7865" s="500" t="s">
        <v>760</v>
      </c>
      <c r="E7865" s="501">
        <v>-310125018.35000002</v>
      </c>
      <c r="F7865" s="502" t="s">
        <v>878</v>
      </c>
      <c r="G7865" s="100">
        <v>116742321</v>
      </c>
      <c r="H7865" s="530"/>
      <c r="I7865" s="422" t="s">
        <v>598</v>
      </c>
      <c r="J7865" s="484"/>
      <c r="K7865" s="548"/>
      <c r="L7865" s="548"/>
      <c r="M7865" s="548"/>
      <c r="N7865" s="552"/>
    </row>
    <row r="7866" spans="1:14">
      <c r="A7866" s="499">
        <v>45763</v>
      </c>
      <c r="B7866" s="499">
        <v>45763</v>
      </c>
      <c r="C7866" s="500" t="s">
        <v>173</v>
      </c>
      <c r="D7866" s="500" t="s">
        <v>760</v>
      </c>
      <c r="E7866" s="501">
        <v>-65052988</v>
      </c>
      <c r="F7866" s="502" t="s">
        <v>878</v>
      </c>
      <c r="G7866" s="100">
        <v>116742324</v>
      </c>
      <c r="H7866" s="530"/>
      <c r="I7866" s="422" t="s">
        <v>671</v>
      </c>
      <c r="J7866" s="484"/>
      <c r="K7866" s="548"/>
      <c r="L7866" s="548"/>
      <c r="M7866" s="548"/>
      <c r="N7866" s="552"/>
    </row>
    <row r="7867" spans="1:14">
      <c r="A7867" s="499">
        <v>45763</v>
      </c>
      <c r="B7867" s="499">
        <v>45763</v>
      </c>
      <c r="C7867" s="500" t="s">
        <v>173</v>
      </c>
      <c r="D7867" s="500" t="s">
        <v>760</v>
      </c>
      <c r="E7867" s="501">
        <v>-1421304071.26</v>
      </c>
      <c r="F7867" s="502" t="s">
        <v>878</v>
      </c>
      <c r="G7867" s="100">
        <v>116745280</v>
      </c>
      <c r="H7867" s="530"/>
      <c r="I7867" s="422" t="s">
        <v>823</v>
      </c>
      <c r="J7867" s="484"/>
      <c r="K7867" s="548"/>
      <c r="L7867" s="548"/>
      <c r="M7867" s="548"/>
      <c r="N7867" s="552"/>
    </row>
    <row r="7868" spans="1:14">
      <c r="A7868" s="499">
        <v>45763</v>
      </c>
      <c r="B7868" s="499">
        <v>45763</v>
      </c>
      <c r="C7868" s="500" t="s">
        <v>173</v>
      </c>
      <c r="D7868" s="500" t="s">
        <v>760</v>
      </c>
      <c r="E7868" s="501">
        <v>-8006043.5899999999</v>
      </c>
      <c r="F7868" s="502" t="s">
        <v>878</v>
      </c>
      <c r="G7868" s="100">
        <v>116750587</v>
      </c>
      <c r="H7868" s="530"/>
      <c r="I7868" s="422" t="s">
        <v>686</v>
      </c>
      <c r="J7868" s="484"/>
      <c r="K7868" s="548"/>
      <c r="L7868" s="548"/>
      <c r="M7868" s="548"/>
      <c r="N7868" s="552"/>
    </row>
    <row r="7869" spans="1:14">
      <c r="A7869" s="499">
        <v>45763</v>
      </c>
      <c r="B7869" s="499">
        <v>45763</v>
      </c>
      <c r="C7869" s="500" t="s">
        <v>173</v>
      </c>
      <c r="D7869" s="500" t="s">
        <v>760</v>
      </c>
      <c r="E7869" s="501">
        <v>-194146557.11000001</v>
      </c>
      <c r="F7869" s="502" t="s">
        <v>878</v>
      </c>
      <c r="G7869" s="100">
        <v>116756639</v>
      </c>
      <c r="H7869" s="530"/>
      <c r="I7869" s="422" t="s">
        <v>686</v>
      </c>
      <c r="J7869" s="484"/>
      <c r="K7869" s="548"/>
      <c r="L7869" s="548"/>
      <c r="M7869" s="548"/>
      <c r="N7869" s="552"/>
    </row>
    <row r="7870" spans="1:14">
      <c r="A7870" s="499">
        <v>45763</v>
      </c>
      <c r="B7870" s="499">
        <v>45770</v>
      </c>
      <c r="C7870" s="500" t="s">
        <v>173</v>
      </c>
      <c r="D7870" s="500" t="s">
        <v>760</v>
      </c>
      <c r="E7870" s="501">
        <v>311085556.25</v>
      </c>
      <c r="F7870" s="502" t="s">
        <v>878</v>
      </c>
      <c r="G7870" s="100">
        <v>116742321</v>
      </c>
      <c r="H7870" s="484">
        <v>116742321</v>
      </c>
      <c r="I7870" s="422" t="s">
        <v>598</v>
      </c>
      <c r="J7870" s="484"/>
      <c r="K7870" s="548"/>
      <c r="L7870" s="548"/>
      <c r="M7870" s="548"/>
      <c r="N7870" s="552"/>
    </row>
    <row r="7871" spans="1:14">
      <c r="A7871" s="499">
        <v>45763</v>
      </c>
      <c r="B7871" s="499">
        <v>45770</v>
      </c>
      <c r="C7871" s="500" t="s">
        <v>173</v>
      </c>
      <c r="D7871" s="500" t="s">
        <v>760</v>
      </c>
      <c r="E7871" s="501">
        <v>65254474.039999999</v>
      </c>
      <c r="F7871" s="502" t="s">
        <v>878</v>
      </c>
      <c r="G7871" s="100">
        <v>116742324</v>
      </c>
      <c r="H7871" s="484">
        <v>116742324</v>
      </c>
      <c r="I7871" s="422" t="s">
        <v>671</v>
      </c>
      <c r="J7871" s="484"/>
      <c r="K7871" s="548"/>
      <c r="L7871" s="548"/>
      <c r="M7871" s="548"/>
      <c r="N7871" s="552"/>
    </row>
    <row r="7872" spans="1:14">
      <c r="A7872" s="499">
        <v>45763</v>
      </c>
      <c r="B7872" s="499">
        <v>45770</v>
      </c>
      <c r="C7872" s="500" t="s">
        <v>173</v>
      </c>
      <c r="D7872" s="500" t="s">
        <v>760</v>
      </c>
      <c r="E7872" s="501">
        <v>1425692563.7</v>
      </c>
      <c r="F7872" s="502" t="s">
        <v>878</v>
      </c>
      <c r="G7872" s="100">
        <v>116745280</v>
      </c>
      <c r="H7872" s="484">
        <v>116745280</v>
      </c>
      <c r="I7872" s="422" t="s">
        <v>823</v>
      </c>
      <c r="J7872" s="484"/>
      <c r="K7872" s="548"/>
      <c r="L7872" s="548"/>
      <c r="M7872" s="548"/>
      <c r="N7872" s="552"/>
    </row>
    <row r="7873" spans="1:16">
      <c r="A7873" s="499">
        <v>45763</v>
      </c>
      <c r="B7873" s="499">
        <v>45770</v>
      </c>
      <c r="C7873" s="500" t="s">
        <v>173</v>
      </c>
      <c r="D7873" s="500" t="s">
        <v>760</v>
      </c>
      <c r="E7873" s="501">
        <v>8030303</v>
      </c>
      <c r="F7873" s="502" t="s">
        <v>878</v>
      </c>
      <c r="G7873" s="100">
        <v>116750587</v>
      </c>
      <c r="H7873" s="484">
        <v>116750587</v>
      </c>
      <c r="I7873" s="422" t="s">
        <v>686</v>
      </c>
      <c r="J7873" s="484"/>
      <c r="K7873" s="548"/>
      <c r="L7873" s="548"/>
      <c r="M7873" s="548"/>
      <c r="N7873" s="552"/>
    </row>
    <row r="7874" spans="1:16">
      <c r="A7874" s="499">
        <v>45763</v>
      </c>
      <c r="B7874" s="499">
        <v>45770</v>
      </c>
      <c r="C7874" s="500" t="s">
        <v>173</v>
      </c>
      <c r="D7874" s="500" t="s">
        <v>760</v>
      </c>
      <c r="E7874" s="501">
        <v>194734847.77000001</v>
      </c>
      <c r="F7874" s="502" t="s">
        <v>878</v>
      </c>
      <c r="G7874" s="100">
        <v>116756639</v>
      </c>
      <c r="H7874" s="484">
        <v>116756639</v>
      </c>
      <c r="I7874" s="422" t="s">
        <v>686</v>
      </c>
      <c r="J7874" s="484"/>
      <c r="K7874" s="548"/>
      <c r="L7874" s="548"/>
      <c r="M7874" s="548"/>
      <c r="N7874" s="552"/>
    </row>
    <row r="7875" spans="1:16">
      <c r="A7875" s="499">
        <v>45763</v>
      </c>
      <c r="B7875" s="499">
        <v>45763</v>
      </c>
      <c r="C7875" s="500" t="s">
        <v>173</v>
      </c>
      <c r="D7875" s="500" t="s">
        <v>764</v>
      </c>
      <c r="E7875" s="501">
        <v>-129000987.42</v>
      </c>
      <c r="F7875" s="502" t="s">
        <v>878</v>
      </c>
      <c r="G7875" s="100">
        <v>116749076</v>
      </c>
      <c r="H7875" s="530"/>
      <c r="I7875" s="422" t="s">
        <v>1018</v>
      </c>
      <c r="J7875" s="484"/>
      <c r="K7875" s="548"/>
      <c r="L7875" s="548"/>
      <c r="M7875" s="548"/>
      <c r="N7875" s="552"/>
    </row>
    <row r="7876" spans="1:16">
      <c r="A7876" s="499">
        <v>45763</v>
      </c>
      <c r="B7876" s="499">
        <v>45764</v>
      </c>
      <c r="C7876" s="500" t="s">
        <v>173</v>
      </c>
      <c r="D7876" s="500" t="s">
        <v>764</v>
      </c>
      <c r="E7876" s="501">
        <v>129055240.29000001</v>
      </c>
      <c r="F7876" s="502" t="s">
        <v>878</v>
      </c>
      <c r="G7876" s="100">
        <v>116749076</v>
      </c>
      <c r="H7876" s="100">
        <v>116749076</v>
      </c>
      <c r="I7876" s="422" t="s">
        <v>1018</v>
      </c>
      <c r="J7876" s="484"/>
      <c r="K7876" s="548"/>
      <c r="L7876" s="548"/>
      <c r="M7876" s="548"/>
      <c r="N7876" s="552"/>
    </row>
    <row r="7877" spans="1:16">
      <c r="A7877" s="499">
        <v>45763</v>
      </c>
      <c r="B7877" s="499">
        <v>45763</v>
      </c>
      <c r="C7877" s="500" t="s">
        <v>173</v>
      </c>
      <c r="D7877" s="500" t="s">
        <v>763</v>
      </c>
      <c r="E7877" s="501">
        <v>-5422979412.8999996</v>
      </c>
      <c r="F7877" s="502" t="s">
        <v>878</v>
      </c>
      <c r="G7877" s="100">
        <v>116741894</v>
      </c>
      <c r="H7877" s="530"/>
      <c r="I7877" s="422" t="s">
        <v>684</v>
      </c>
      <c r="J7877" s="484"/>
      <c r="K7877" s="548"/>
      <c r="L7877" s="548"/>
      <c r="M7877" s="548"/>
      <c r="N7877" s="552"/>
    </row>
    <row r="7878" spans="1:16">
      <c r="A7878" s="499">
        <v>45763</v>
      </c>
      <c r="B7878" s="499">
        <v>45763</v>
      </c>
      <c r="C7878" s="500" t="s">
        <v>173</v>
      </c>
      <c r="D7878" s="500" t="s">
        <v>763</v>
      </c>
      <c r="E7878" s="501">
        <v>-26023895.300000001</v>
      </c>
      <c r="F7878" s="502" t="s">
        <v>878</v>
      </c>
      <c r="G7878" s="100">
        <v>116741909</v>
      </c>
      <c r="H7878" s="530"/>
      <c r="I7878" s="422" t="s">
        <v>684</v>
      </c>
      <c r="J7878" s="484"/>
      <c r="K7878" s="548"/>
      <c r="L7878" s="548"/>
      <c r="M7878" s="548"/>
      <c r="N7878" s="552"/>
    </row>
    <row r="7879" spans="1:16">
      <c r="A7879" s="499">
        <v>45763</v>
      </c>
      <c r="B7879" s="499">
        <v>45763</v>
      </c>
      <c r="C7879" s="500" t="s">
        <v>173</v>
      </c>
      <c r="D7879" s="500" t="s">
        <v>763</v>
      </c>
      <c r="E7879" s="501">
        <v>-159051838.28999999</v>
      </c>
      <c r="F7879" s="502" t="s">
        <v>878</v>
      </c>
      <c r="G7879" s="100">
        <v>116746731</v>
      </c>
      <c r="H7879" s="530"/>
      <c r="I7879" s="422" t="s">
        <v>708</v>
      </c>
      <c r="J7879" s="484"/>
      <c r="K7879" s="548"/>
      <c r="L7879" s="548"/>
      <c r="M7879" s="548"/>
      <c r="N7879" s="552"/>
    </row>
    <row r="7880" spans="1:16">
      <c r="A7880" s="499">
        <v>45763</v>
      </c>
      <c r="B7880" s="499">
        <v>45763</v>
      </c>
      <c r="C7880" s="500" t="s">
        <v>173</v>
      </c>
      <c r="D7880" s="500" t="s">
        <v>763</v>
      </c>
      <c r="E7880" s="501">
        <v>-1000326.03</v>
      </c>
      <c r="F7880" s="502" t="s">
        <v>878</v>
      </c>
      <c r="G7880" s="100">
        <v>116746739</v>
      </c>
      <c r="H7880" s="530"/>
      <c r="I7880" s="422" t="s">
        <v>708</v>
      </c>
      <c r="J7880" s="484"/>
      <c r="K7880" s="548"/>
      <c r="L7880" s="548"/>
      <c r="M7880" s="548"/>
      <c r="N7880" s="552"/>
    </row>
    <row r="7881" spans="1:16">
      <c r="A7881" s="499">
        <v>45763</v>
      </c>
      <c r="B7881" s="499">
        <v>45764</v>
      </c>
      <c r="C7881" s="500" t="s">
        <v>173</v>
      </c>
      <c r="D7881" s="500" t="s">
        <v>763</v>
      </c>
      <c r="E7881" s="501">
        <v>5425319539.9499998</v>
      </c>
      <c r="F7881" s="502" t="s">
        <v>878</v>
      </c>
      <c r="G7881" s="100">
        <v>116741894</v>
      </c>
      <c r="H7881" s="484">
        <v>116741894</v>
      </c>
      <c r="I7881" s="422" t="s">
        <v>684</v>
      </c>
      <c r="J7881" s="484"/>
      <c r="K7881" s="548"/>
      <c r="L7881" s="548"/>
      <c r="M7881" s="548"/>
      <c r="N7881" s="552"/>
    </row>
    <row r="7882" spans="1:16">
      <c r="A7882" s="499">
        <v>45763</v>
      </c>
      <c r="B7882" s="499">
        <v>45764</v>
      </c>
      <c r="C7882" s="500" t="s">
        <v>173</v>
      </c>
      <c r="D7882" s="500" t="s">
        <v>763</v>
      </c>
      <c r="E7882" s="501">
        <v>26035125.149999999</v>
      </c>
      <c r="F7882" s="502" t="s">
        <v>878</v>
      </c>
      <c r="G7882" s="100">
        <v>116741909</v>
      </c>
      <c r="H7882" s="484">
        <v>116741909</v>
      </c>
      <c r="I7882" s="422" t="s">
        <v>684</v>
      </c>
      <c r="J7882" s="484"/>
      <c r="K7882" s="548"/>
      <c r="L7882" s="548"/>
      <c r="M7882" s="548"/>
      <c r="N7882" s="552"/>
    </row>
    <row r="7883" spans="1:16">
      <c r="A7883" s="499">
        <v>45763</v>
      </c>
      <c r="B7883" s="499">
        <v>45764</v>
      </c>
      <c r="C7883" s="500" t="s">
        <v>173</v>
      </c>
      <c r="D7883" s="500" t="s">
        <v>763</v>
      </c>
      <c r="E7883" s="501">
        <v>159119380.84999999</v>
      </c>
      <c r="F7883" s="502" t="s">
        <v>878</v>
      </c>
      <c r="G7883" s="100">
        <v>116746731</v>
      </c>
      <c r="H7883" s="484">
        <v>116746731</v>
      </c>
      <c r="I7883" s="422" t="s">
        <v>708</v>
      </c>
      <c r="J7883" s="484"/>
      <c r="K7883" s="548"/>
      <c r="L7883" s="548"/>
      <c r="M7883" s="548"/>
      <c r="N7883" s="552"/>
    </row>
    <row r="7884" spans="1:16">
      <c r="A7884" s="499">
        <v>45763</v>
      </c>
      <c r="B7884" s="499">
        <v>45764</v>
      </c>
      <c r="C7884" s="500" t="s">
        <v>173</v>
      </c>
      <c r="D7884" s="500" t="s">
        <v>763</v>
      </c>
      <c r="E7884" s="501">
        <v>1000750.83</v>
      </c>
      <c r="F7884" s="502" t="s">
        <v>878</v>
      </c>
      <c r="G7884" s="100">
        <v>116746739</v>
      </c>
      <c r="H7884" s="484">
        <v>116746739</v>
      </c>
      <c r="I7884" s="422" t="s">
        <v>708</v>
      </c>
      <c r="J7884" s="484"/>
      <c r="K7884" s="548"/>
      <c r="L7884" s="548"/>
      <c r="M7884" s="548"/>
      <c r="N7884" s="552"/>
    </row>
    <row r="7885" spans="1:16">
      <c r="A7885" s="499">
        <v>45763</v>
      </c>
      <c r="B7885" s="499">
        <v>45763</v>
      </c>
      <c r="C7885" s="500" t="s">
        <v>173</v>
      </c>
      <c r="D7885" s="500" t="s">
        <v>759</v>
      </c>
      <c r="E7885" s="501">
        <v>316874999.99999994</v>
      </c>
      <c r="F7885" s="502" t="s">
        <v>381</v>
      </c>
      <c r="G7885" s="100" t="s">
        <v>90</v>
      </c>
      <c r="H7885" s="530"/>
      <c r="I7885" s="422"/>
      <c r="K7885" s="548"/>
      <c r="L7885" s="548"/>
      <c r="M7885" s="548"/>
      <c r="N7885" s="552"/>
    </row>
    <row r="7886" spans="1:16">
      <c r="A7886" s="499">
        <v>45763</v>
      </c>
      <c r="B7886" s="499">
        <v>45763</v>
      </c>
      <c r="C7886" s="500" t="s">
        <v>173</v>
      </c>
      <c r="D7886" s="500" t="s">
        <v>762</v>
      </c>
      <c r="E7886" s="501">
        <v>304833750</v>
      </c>
      <c r="F7886" s="502" t="s">
        <v>381</v>
      </c>
      <c r="G7886" s="100" t="s">
        <v>90</v>
      </c>
      <c r="H7886" s="530"/>
      <c r="I7886" s="422"/>
      <c r="K7886" s="548"/>
      <c r="L7886" s="548"/>
      <c r="M7886" s="548"/>
      <c r="N7886" s="552"/>
    </row>
    <row r="7887" spans="1:16">
      <c r="A7887" s="499">
        <v>45763</v>
      </c>
      <c r="B7887" s="499">
        <v>45763</v>
      </c>
      <c r="C7887" s="500" t="s">
        <v>173</v>
      </c>
      <c r="D7887" s="500" t="s">
        <v>760</v>
      </c>
      <c r="E7887" s="501">
        <v>191392499.99999997</v>
      </c>
      <c r="F7887" s="502" t="s">
        <v>381</v>
      </c>
      <c r="G7887" s="100" t="s">
        <v>90</v>
      </c>
      <c r="H7887" s="530"/>
      <c r="I7887" s="422"/>
      <c r="K7887" s="548"/>
      <c r="L7887" s="548"/>
      <c r="M7887" s="548"/>
      <c r="N7887" s="552"/>
      <c r="P7887" s="539">
        <v>-1</v>
      </c>
    </row>
    <row r="7888" spans="1:16">
      <c r="A7888" s="499">
        <v>45763</v>
      </c>
      <c r="B7888" s="499">
        <v>45763</v>
      </c>
      <c r="C7888" s="500" t="s">
        <v>173</v>
      </c>
      <c r="D7888" s="500" t="s">
        <v>761</v>
      </c>
      <c r="E7888" s="501">
        <v>164774999.99999997</v>
      </c>
      <c r="F7888" s="502" t="s">
        <v>381</v>
      </c>
      <c r="G7888" s="100" t="s">
        <v>90</v>
      </c>
      <c r="H7888" s="530"/>
      <c r="I7888" s="422"/>
      <c r="K7888" s="548"/>
      <c r="L7888" s="548"/>
      <c r="M7888" s="548"/>
      <c r="N7888" s="552"/>
    </row>
    <row r="7889" spans="1:14">
      <c r="A7889" s="499">
        <v>45763</v>
      </c>
      <c r="B7889" s="499">
        <v>45763</v>
      </c>
      <c r="C7889" s="500" t="s">
        <v>173</v>
      </c>
      <c r="D7889" s="500" t="s">
        <v>763</v>
      </c>
      <c r="E7889" s="501">
        <v>160338749.99999997</v>
      </c>
      <c r="F7889" s="502" t="s">
        <v>381</v>
      </c>
      <c r="G7889" s="100" t="s">
        <v>90</v>
      </c>
      <c r="H7889" s="530"/>
      <c r="I7889" s="422"/>
      <c r="K7889" s="548"/>
      <c r="L7889" s="548"/>
      <c r="M7889" s="548"/>
      <c r="N7889" s="552"/>
    </row>
    <row r="7890" spans="1:14">
      <c r="A7890" s="499">
        <v>45763</v>
      </c>
      <c r="B7890" s="499">
        <v>45763</v>
      </c>
      <c r="C7890" s="500" t="s">
        <v>173</v>
      </c>
      <c r="D7890" s="500" t="s">
        <v>764</v>
      </c>
      <c r="E7890" s="501">
        <v>129284999.99999999</v>
      </c>
      <c r="F7890" s="502" t="s">
        <v>381</v>
      </c>
      <c r="G7890" s="100" t="s">
        <v>90</v>
      </c>
      <c r="H7890" s="530"/>
      <c r="I7890" s="422"/>
      <c r="K7890" s="548"/>
      <c r="L7890" s="548"/>
      <c r="M7890" s="548"/>
      <c r="N7890" s="552"/>
    </row>
    <row r="7891" spans="1:14">
      <c r="A7891" s="499">
        <v>45764</v>
      </c>
      <c r="B7891" s="499">
        <v>45764</v>
      </c>
      <c r="C7891" s="500" t="s">
        <v>173</v>
      </c>
      <c r="D7891" s="500" t="s">
        <v>762</v>
      </c>
      <c r="E7891" s="501">
        <v>-4996707243.75</v>
      </c>
      <c r="F7891" s="502" t="s">
        <v>878</v>
      </c>
      <c r="G7891" s="100">
        <v>116760023</v>
      </c>
      <c r="H7891" s="530"/>
      <c r="I7891" s="422" t="s">
        <v>816</v>
      </c>
      <c r="J7891" s="484"/>
      <c r="K7891" s="548"/>
      <c r="L7891" s="548"/>
      <c r="M7891" s="548"/>
      <c r="N7891" s="552"/>
    </row>
    <row r="7892" spans="1:14">
      <c r="A7892" s="499">
        <v>45764</v>
      </c>
      <c r="B7892" s="499">
        <v>45764</v>
      </c>
      <c r="C7892" s="500" t="s">
        <v>173</v>
      </c>
      <c r="D7892" s="500" t="s">
        <v>762</v>
      </c>
      <c r="E7892" s="501">
        <v>-28003963.739999998</v>
      </c>
      <c r="F7892" s="502" t="s">
        <v>878</v>
      </c>
      <c r="G7892" s="100">
        <v>116760055</v>
      </c>
      <c r="H7892" s="530"/>
      <c r="I7892" s="422" t="s">
        <v>816</v>
      </c>
      <c r="J7892" s="484"/>
      <c r="K7892" s="548"/>
      <c r="L7892" s="548"/>
      <c r="M7892" s="548"/>
      <c r="N7892" s="552"/>
    </row>
    <row r="7893" spans="1:14">
      <c r="A7893" s="499">
        <v>45764</v>
      </c>
      <c r="B7893" s="499">
        <v>45771</v>
      </c>
      <c r="C7893" s="500" t="s">
        <v>173</v>
      </c>
      <c r="D7893" s="500" t="s">
        <v>762</v>
      </c>
      <c r="E7893" s="501">
        <v>5012049284.2600002</v>
      </c>
      <c r="F7893" s="502" t="s">
        <v>878</v>
      </c>
      <c r="G7893" s="100">
        <v>116760023</v>
      </c>
      <c r="H7893" s="100">
        <v>116760023</v>
      </c>
      <c r="I7893" s="422" t="s">
        <v>816</v>
      </c>
      <c r="J7893" s="484"/>
      <c r="K7893" s="548"/>
      <c r="L7893" s="548"/>
      <c r="M7893" s="548"/>
      <c r="N7893" s="552"/>
    </row>
    <row r="7894" spans="1:14">
      <c r="A7894" s="499">
        <v>45764</v>
      </c>
      <c r="B7894" s="499">
        <v>45771</v>
      </c>
      <c r="C7894" s="500" t="s">
        <v>173</v>
      </c>
      <c r="D7894" s="500" t="s">
        <v>762</v>
      </c>
      <c r="E7894" s="501">
        <v>28089947.949999999</v>
      </c>
      <c r="F7894" s="502" t="s">
        <v>878</v>
      </c>
      <c r="G7894" s="100">
        <v>116760055</v>
      </c>
      <c r="H7894" s="100">
        <v>116760055</v>
      </c>
      <c r="I7894" s="422" t="s">
        <v>816</v>
      </c>
      <c r="J7894" s="484"/>
      <c r="K7894" s="548"/>
      <c r="L7894" s="548"/>
      <c r="M7894" s="548"/>
      <c r="N7894" s="552"/>
    </row>
    <row r="7895" spans="1:14">
      <c r="A7895" s="499">
        <v>45764</v>
      </c>
      <c r="B7895" s="499">
        <v>45764</v>
      </c>
      <c r="C7895" s="500" t="s">
        <v>173</v>
      </c>
      <c r="D7895" s="500" t="s">
        <v>759</v>
      </c>
      <c r="E7895" s="501">
        <v>-446038561.61000001</v>
      </c>
      <c r="F7895" s="502" t="s">
        <v>878</v>
      </c>
      <c r="G7895" s="100">
        <v>116759134</v>
      </c>
      <c r="H7895" s="530"/>
      <c r="I7895" s="422" t="s">
        <v>1052</v>
      </c>
      <c r="J7895" s="484"/>
      <c r="K7895" s="548"/>
      <c r="L7895" s="548"/>
      <c r="M7895" s="548"/>
      <c r="N7895" s="552"/>
    </row>
    <row r="7896" spans="1:14">
      <c r="A7896" s="499">
        <v>45764</v>
      </c>
      <c r="B7896" s="499">
        <v>45764</v>
      </c>
      <c r="C7896" s="500" t="s">
        <v>173</v>
      </c>
      <c r="D7896" s="500" t="s">
        <v>759</v>
      </c>
      <c r="E7896" s="501">
        <v>-497042971.12</v>
      </c>
      <c r="F7896" s="502" t="s">
        <v>878</v>
      </c>
      <c r="G7896" s="100">
        <v>116759137</v>
      </c>
      <c r="H7896" s="530"/>
      <c r="I7896" s="422" t="s">
        <v>1052</v>
      </c>
      <c r="J7896" s="484"/>
      <c r="K7896" s="548"/>
      <c r="L7896" s="548"/>
      <c r="M7896" s="548"/>
      <c r="N7896" s="552"/>
    </row>
    <row r="7897" spans="1:14">
      <c r="A7897" s="499">
        <v>45764</v>
      </c>
      <c r="B7897" s="499">
        <v>45764</v>
      </c>
      <c r="C7897" s="500" t="s">
        <v>173</v>
      </c>
      <c r="D7897" s="500" t="s">
        <v>759</v>
      </c>
      <c r="E7897" s="501">
        <v>-185030299.21000001</v>
      </c>
      <c r="F7897" s="502" t="s">
        <v>878</v>
      </c>
      <c r="G7897" s="100">
        <v>116759140</v>
      </c>
      <c r="H7897" s="530"/>
      <c r="I7897" s="422" t="s">
        <v>633</v>
      </c>
      <c r="J7897" s="484"/>
      <c r="K7897" s="548"/>
      <c r="L7897" s="548"/>
      <c r="M7897" s="548"/>
      <c r="N7897" s="552"/>
    </row>
    <row r="7898" spans="1:14">
      <c r="A7898" s="499">
        <v>45764</v>
      </c>
      <c r="B7898" s="499">
        <v>45764</v>
      </c>
      <c r="C7898" s="500" t="s">
        <v>173</v>
      </c>
      <c r="D7898" s="500" t="s">
        <v>759</v>
      </c>
      <c r="E7898" s="501">
        <v>-199072707.83000001</v>
      </c>
      <c r="F7898" s="502" t="s">
        <v>878</v>
      </c>
      <c r="G7898" s="100">
        <v>116759143</v>
      </c>
      <c r="H7898" s="530"/>
      <c r="I7898" s="422" t="s">
        <v>1042</v>
      </c>
      <c r="J7898" s="484"/>
      <c r="K7898" s="548"/>
      <c r="L7898" s="548"/>
      <c r="M7898" s="548"/>
      <c r="N7898" s="552"/>
    </row>
    <row r="7899" spans="1:14">
      <c r="A7899" s="499">
        <v>45764</v>
      </c>
      <c r="B7899" s="499">
        <v>45764</v>
      </c>
      <c r="C7899" s="500" t="s">
        <v>173</v>
      </c>
      <c r="D7899" s="500" t="s">
        <v>759</v>
      </c>
      <c r="E7899" s="501">
        <v>-100004776.2</v>
      </c>
      <c r="F7899" s="502" t="s">
        <v>878</v>
      </c>
      <c r="G7899" s="100">
        <v>116759146</v>
      </c>
      <c r="H7899" s="530"/>
      <c r="I7899" s="422" t="s">
        <v>1013</v>
      </c>
      <c r="J7899" s="484"/>
      <c r="K7899" s="548"/>
      <c r="L7899" s="548"/>
      <c r="M7899" s="548"/>
      <c r="N7899" s="552"/>
    </row>
    <row r="7900" spans="1:14">
      <c r="A7900" s="499">
        <v>45764</v>
      </c>
      <c r="B7900" s="499">
        <v>45764</v>
      </c>
      <c r="C7900" s="500" t="s">
        <v>173</v>
      </c>
      <c r="D7900" s="500" t="s">
        <v>759</v>
      </c>
      <c r="E7900" s="501">
        <v>-146006973.25</v>
      </c>
      <c r="F7900" s="502" t="s">
        <v>878</v>
      </c>
      <c r="G7900" s="100">
        <v>116759149</v>
      </c>
      <c r="H7900" s="530"/>
      <c r="I7900" s="422" t="s">
        <v>1013</v>
      </c>
      <c r="J7900" s="484"/>
      <c r="K7900" s="548"/>
      <c r="L7900" s="548"/>
      <c r="M7900" s="548"/>
      <c r="N7900" s="552"/>
    </row>
    <row r="7901" spans="1:14">
      <c r="A7901" s="499">
        <v>45764</v>
      </c>
      <c r="B7901" s="499">
        <v>45764</v>
      </c>
      <c r="C7901" s="500" t="s">
        <v>173</v>
      </c>
      <c r="D7901" s="500" t="s">
        <v>759</v>
      </c>
      <c r="E7901" s="501">
        <v>-12000573.140000001</v>
      </c>
      <c r="F7901" s="502" t="s">
        <v>878</v>
      </c>
      <c r="G7901" s="100">
        <v>116759152</v>
      </c>
      <c r="H7901" s="530"/>
      <c r="I7901" s="422" t="s">
        <v>1013</v>
      </c>
      <c r="J7901" s="484"/>
      <c r="K7901" s="548"/>
      <c r="L7901" s="548"/>
      <c r="M7901" s="548"/>
      <c r="N7901" s="552"/>
    </row>
    <row r="7902" spans="1:14">
      <c r="A7902" s="499">
        <v>45764</v>
      </c>
      <c r="B7902" s="499">
        <v>45764</v>
      </c>
      <c r="C7902" s="500" t="s">
        <v>173</v>
      </c>
      <c r="D7902" s="500" t="s">
        <v>759</v>
      </c>
      <c r="E7902" s="501">
        <v>-415019821.23000002</v>
      </c>
      <c r="F7902" s="502" t="s">
        <v>878</v>
      </c>
      <c r="G7902" s="100">
        <v>116759155</v>
      </c>
      <c r="H7902" s="530"/>
      <c r="I7902" s="422" t="s">
        <v>1013</v>
      </c>
      <c r="J7902" s="484"/>
      <c r="K7902" s="548"/>
      <c r="L7902" s="548"/>
      <c r="M7902" s="548"/>
      <c r="N7902" s="552"/>
    </row>
    <row r="7903" spans="1:14">
      <c r="A7903" s="499">
        <v>45764</v>
      </c>
      <c r="B7903" s="499">
        <v>45764</v>
      </c>
      <c r="C7903" s="500" t="s">
        <v>173</v>
      </c>
      <c r="D7903" s="500" t="s">
        <v>759</v>
      </c>
      <c r="E7903" s="501">
        <v>-39023431.469999999</v>
      </c>
      <c r="F7903" s="502" t="s">
        <v>878</v>
      </c>
      <c r="G7903" s="100">
        <v>116759214</v>
      </c>
      <c r="H7903" s="530"/>
      <c r="I7903" s="422" t="s">
        <v>695</v>
      </c>
      <c r="J7903" s="484"/>
      <c r="K7903" s="548"/>
      <c r="L7903" s="548"/>
      <c r="M7903" s="548"/>
      <c r="N7903" s="552"/>
    </row>
    <row r="7904" spans="1:14">
      <c r="A7904" s="499">
        <v>45764</v>
      </c>
      <c r="B7904" s="499">
        <v>45764</v>
      </c>
      <c r="C7904" s="500" t="s">
        <v>173</v>
      </c>
      <c r="D7904" s="500" t="s">
        <v>759</v>
      </c>
      <c r="E7904" s="501">
        <v>-46007109.850000001</v>
      </c>
      <c r="F7904" s="502" t="s">
        <v>878</v>
      </c>
      <c r="G7904" s="100">
        <v>116759217</v>
      </c>
      <c r="H7904" s="530"/>
      <c r="I7904" s="422" t="s">
        <v>671</v>
      </c>
      <c r="J7904" s="484"/>
      <c r="K7904" s="548"/>
      <c r="L7904" s="548"/>
      <c r="M7904" s="548"/>
      <c r="N7904" s="552"/>
    </row>
    <row r="7905" spans="1:14">
      <c r="A7905" s="499">
        <v>45764</v>
      </c>
      <c r="B7905" s="499">
        <v>45764</v>
      </c>
      <c r="C7905" s="500" t="s">
        <v>173</v>
      </c>
      <c r="D7905" s="500" t="s">
        <v>759</v>
      </c>
      <c r="E7905" s="501">
        <v>-210209785.38</v>
      </c>
      <c r="F7905" s="502" t="s">
        <v>878</v>
      </c>
      <c r="G7905" s="100">
        <v>116759220</v>
      </c>
      <c r="H7905" s="530"/>
      <c r="I7905" s="422" t="s">
        <v>678</v>
      </c>
      <c r="J7905" s="484"/>
      <c r="K7905" s="548"/>
      <c r="L7905" s="548"/>
      <c r="M7905" s="548"/>
      <c r="N7905" s="552"/>
    </row>
    <row r="7906" spans="1:14">
      <c r="A7906" s="499">
        <v>45764</v>
      </c>
      <c r="B7906" s="499">
        <v>45764</v>
      </c>
      <c r="C7906" s="500" t="s">
        <v>173</v>
      </c>
      <c r="D7906" s="500" t="s">
        <v>759</v>
      </c>
      <c r="E7906" s="501">
        <v>-632226844.38999999</v>
      </c>
      <c r="F7906" s="502" t="s">
        <v>878</v>
      </c>
      <c r="G7906" s="100">
        <v>116759223</v>
      </c>
      <c r="H7906" s="530"/>
      <c r="I7906" s="422" t="s">
        <v>684</v>
      </c>
      <c r="J7906" s="484"/>
      <c r="K7906" s="548"/>
      <c r="L7906" s="548"/>
      <c r="M7906" s="548"/>
      <c r="N7906" s="552"/>
    </row>
    <row r="7907" spans="1:14">
      <c r="A7907" s="499">
        <v>45764</v>
      </c>
      <c r="B7907" s="499">
        <v>45764</v>
      </c>
      <c r="C7907" s="500" t="s">
        <v>173</v>
      </c>
      <c r="D7907" s="500" t="s">
        <v>759</v>
      </c>
      <c r="E7907" s="501">
        <v>-1024310956.03</v>
      </c>
      <c r="F7907" s="502" t="s">
        <v>878</v>
      </c>
      <c r="G7907" s="100">
        <v>116759226</v>
      </c>
      <c r="H7907" s="530"/>
      <c r="I7907" s="422" t="s">
        <v>700</v>
      </c>
      <c r="J7907" s="484"/>
      <c r="K7907" s="548"/>
      <c r="L7907" s="548"/>
      <c r="M7907" s="548"/>
      <c r="N7907" s="552"/>
    </row>
    <row r="7908" spans="1:14">
      <c r="A7908" s="499">
        <v>45764</v>
      </c>
      <c r="B7908" s="499">
        <v>45764</v>
      </c>
      <c r="C7908" s="500" t="s">
        <v>173</v>
      </c>
      <c r="D7908" s="500" t="s">
        <v>759</v>
      </c>
      <c r="E7908" s="501">
        <v>-1050526738.8</v>
      </c>
      <c r="F7908" s="502" t="s">
        <v>878</v>
      </c>
      <c r="G7908" s="100">
        <v>116759229</v>
      </c>
      <c r="H7908" s="530"/>
      <c r="I7908" s="422" t="s">
        <v>658</v>
      </c>
      <c r="J7908" s="484"/>
      <c r="K7908" s="548"/>
      <c r="L7908" s="548"/>
      <c r="M7908" s="548"/>
      <c r="N7908" s="552"/>
    </row>
    <row r="7909" spans="1:14">
      <c r="A7909" s="499">
        <v>45764</v>
      </c>
      <c r="B7909" s="499">
        <v>45764</v>
      </c>
      <c r="C7909" s="500" t="s">
        <v>173</v>
      </c>
      <c r="D7909" s="500" t="s">
        <v>759</v>
      </c>
      <c r="E7909" s="501">
        <v>-4265250068.3499999</v>
      </c>
      <c r="F7909" s="502" t="s">
        <v>878</v>
      </c>
      <c r="G7909" s="100">
        <v>116759237</v>
      </c>
      <c r="H7909" s="530"/>
      <c r="I7909" s="422" t="s">
        <v>717</v>
      </c>
      <c r="J7909" s="484"/>
      <c r="K7909" s="548"/>
      <c r="L7909" s="548"/>
      <c r="M7909" s="548"/>
      <c r="N7909" s="552"/>
    </row>
    <row r="7910" spans="1:14">
      <c r="A7910" s="499">
        <v>45764</v>
      </c>
      <c r="B7910" s="499">
        <v>45764</v>
      </c>
      <c r="C7910" s="500" t="s">
        <v>173</v>
      </c>
      <c r="D7910" s="500" t="s">
        <v>759</v>
      </c>
      <c r="E7910" s="501">
        <v>-39006387.399999999</v>
      </c>
      <c r="F7910" s="502" t="s">
        <v>878</v>
      </c>
      <c r="G7910" s="100">
        <v>116764390</v>
      </c>
      <c r="H7910" s="530"/>
      <c r="I7910" s="422" t="s">
        <v>633</v>
      </c>
      <c r="J7910" s="484"/>
      <c r="K7910" s="548"/>
      <c r="L7910" s="548"/>
      <c r="M7910" s="548"/>
      <c r="N7910" s="552"/>
    </row>
    <row r="7911" spans="1:14">
      <c r="A7911" s="499">
        <v>45764</v>
      </c>
      <c r="B7911" s="499">
        <v>45765</v>
      </c>
      <c r="C7911" s="500" t="s">
        <v>173</v>
      </c>
      <c r="D7911" s="500" t="s">
        <v>759</v>
      </c>
      <c r="E7911" s="501">
        <v>446229813.17000002</v>
      </c>
      <c r="F7911" s="502" t="s">
        <v>878</v>
      </c>
      <c r="G7911" s="100">
        <v>116759134</v>
      </c>
      <c r="H7911" s="484">
        <v>116759134</v>
      </c>
      <c r="I7911" s="422" t="s">
        <v>1052</v>
      </c>
      <c r="J7911" s="484"/>
      <c r="K7911" s="548"/>
      <c r="L7911" s="548"/>
      <c r="M7911" s="548"/>
      <c r="N7911" s="552"/>
    </row>
    <row r="7912" spans="1:14">
      <c r="A7912" s="499">
        <v>45764</v>
      </c>
      <c r="B7912" s="499">
        <v>45765</v>
      </c>
      <c r="C7912" s="500" t="s">
        <v>173</v>
      </c>
      <c r="D7912" s="500" t="s">
        <v>759</v>
      </c>
      <c r="E7912" s="501">
        <v>497256092.25</v>
      </c>
      <c r="F7912" s="502" t="s">
        <v>878</v>
      </c>
      <c r="G7912" s="100">
        <v>116759137</v>
      </c>
      <c r="H7912" s="484">
        <v>116759137</v>
      </c>
      <c r="I7912" s="422" t="s">
        <v>1052</v>
      </c>
      <c r="J7912" s="484"/>
      <c r="K7912" s="548"/>
      <c r="L7912" s="548"/>
      <c r="M7912" s="548"/>
      <c r="N7912" s="552"/>
    </row>
    <row r="7913" spans="1:14">
      <c r="A7913" s="499">
        <v>45764</v>
      </c>
      <c r="B7913" s="499">
        <v>45765</v>
      </c>
      <c r="C7913" s="500" t="s">
        <v>173</v>
      </c>
      <c r="D7913" s="500" t="s">
        <v>759</v>
      </c>
      <c r="E7913" s="501">
        <v>185109636.15000001</v>
      </c>
      <c r="F7913" s="502" t="s">
        <v>878</v>
      </c>
      <c r="G7913" s="100">
        <v>116759140</v>
      </c>
      <c r="H7913" s="484">
        <v>116759140</v>
      </c>
      <c r="I7913" s="422" t="s">
        <v>633</v>
      </c>
      <c r="J7913" s="484"/>
      <c r="K7913" s="548"/>
      <c r="L7913" s="548"/>
      <c r="M7913" s="548"/>
      <c r="N7913" s="552"/>
    </row>
    <row r="7914" spans="1:14">
      <c r="A7914" s="499">
        <v>45764</v>
      </c>
      <c r="B7914" s="499">
        <v>45765</v>
      </c>
      <c r="C7914" s="500" t="s">
        <v>173</v>
      </c>
      <c r="D7914" s="500" t="s">
        <v>759</v>
      </c>
      <c r="E7914" s="501">
        <v>199158065.84</v>
      </c>
      <c r="F7914" s="502" t="s">
        <v>878</v>
      </c>
      <c r="G7914" s="100">
        <v>116759143</v>
      </c>
      <c r="H7914" s="484">
        <v>116759143</v>
      </c>
      <c r="I7914" s="422" t="s">
        <v>1042</v>
      </c>
      <c r="J7914" s="484"/>
      <c r="K7914" s="548"/>
      <c r="L7914" s="548"/>
      <c r="M7914" s="548"/>
      <c r="N7914" s="552"/>
    </row>
    <row r="7915" spans="1:14">
      <c r="A7915" s="499">
        <v>45764</v>
      </c>
      <c r="B7915" s="499">
        <v>45765</v>
      </c>
      <c r="C7915" s="500" t="s">
        <v>173</v>
      </c>
      <c r="D7915" s="500" t="s">
        <v>759</v>
      </c>
      <c r="E7915" s="501">
        <v>100047655.78</v>
      </c>
      <c r="F7915" s="502" t="s">
        <v>878</v>
      </c>
      <c r="G7915" s="100">
        <v>116759146</v>
      </c>
      <c r="H7915" s="484">
        <v>116759146</v>
      </c>
      <c r="I7915" s="422" t="s">
        <v>1013</v>
      </c>
      <c r="J7915" s="484"/>
      <c r="K7915" s="548"/>
      <c r="L7915" s="548"/>
      <c r="M7915" s="548"/>
      <c r="N7915" s="552"/>
    </row>
    <row r="7916" spans="1:14">
      <c r="A7916" s="499">
        <v>45764</v>
      </c>
      <c r="B7916" s="499">
        <v>45765</v>
      </c>
      <c r="C7916" s="500" t="s">
        <v>173</v>
      </c>
      <c r="D7916" s="500" t="s">
        <v>759</v>
      </c>
      <c r="E7916" s="501">
        <v>146069577.44</v>
      </c>
      <c r="F7916" s="502" t="s">
        <v>878</v>
      </c>
      <c r="G7916" s="100">
        <v>116759149</v>
      </c>
      <c r="H7916" s="484">
        <v>116759149</v>
      </c>
      <c r="I7916" s="422" t="s">
        <v>1013</v>
      </c>
      <c r="J7916" s="484"/>
      <c r="K7916" s="548"/>
      <c r="L7916" s="548"/>
      <c r="M7916" s="548"/>
      <c r="N7916" s="552"/>
    </row>
    <row r="7917" spans="1:14">
      <c r="A7917" s="499">
        <v>45764</v>
      </c>
      <c r="B7917" s="499">
        <v>45765</v>
      </c>
      <c r="C7917" s="500" t="s">
        <v>173</v>
      </c>
      <c r="D7917" s="500" t="s">
        <v>759</v>
      </c>
      <c r="E7917" s="501">
        <v>12005718.689999999</v>
      </c>
      <c r="F7917" s="502" t="s">
        <v>878</v>
      </c>
      <c r="G7917" s="100">
        <v>116759152</v>
      </c>
      <c r="H7917" s="484">
        <v>116759152</v>
      </c>
      <c r="I7917" s="422" t="s">
        <v>1013</v>
      </c>
      <c r="J7917" s="484"/>
      <c r="K7917" s="548"/>
      <c r="L7917" s="548"/>
      <c r="M7917" s="548"/>
      <c r="N7917" s="552"/>
    </row>
    <row r="7918" spans="1:14">
      <c r="A7918" s="499">
        <v>45764</v>
      </c>
      <c r="B7918" s="499">
        <v>45765</v>
      </c>
      <c r="C7918" s="500" t="s">
        <v>173</v>
      </c>
      <c r="D7918" s="500" t="s">
        <v>759</v>
      </c>
      <c r="E7918" s="501">
        <v>415197771.5</v>
      </c>
      <c r="F7918" s="502" t="s">
        <v>878</v>
      </c>
      <c r="G7918" s="100">
        <v>116759155</v>
      </c>
      <c r="H7918" s="484">
        <v>116759155</v>
      </c>
      <c r="I7918" s="422" t="s">
        <v>1013</v>
      </c>
      <c r="J7918" s="484"/>
      <c r="K7918" s="548"/>
      <c r="L7918" s="548"/>
      <c r="M7918" s="548"/>
      <c r="N7918" s="552"/>
    </row>
    <row r="7919" spans="1:14">
      <c r="A7919" s="499">
        <v>45764</v>
      </c>
      <c r="B7919" s="499">
        <v>45771</v>
      </c>
      <c r="C7919" s="500" t="s">
        <v>173</v>
      </c>
      <c r="D7919" s="500" t="s">
        <v>759</v>
      </c>
      <c r="E7919" s="501">
        <v>39143548.799999997</v>
      </c>
      <c r="F7919" s="502" t="s">
        <v>878</v>
      </c>
      <c r="G7919" s="100">
        <v>116759214</v>
      </c>
      <c r="H7919" s="484">
        <v>116759214</v>
      </c>
      <c r="I7919" s="422" t="s">
        <v>695</v>
      </c>
      <c r="J7919" s="484"/>
      <c r="K7919" s="548"/>
      <c r="L7919" s="548"/>
      <c r="M7919" s="548"/>
      <c r="N7919" s="552"/>
    </row>
    <row r="7920" spans="1:14">
      <c r="A7920" s="499">
        <v>45764</v>
      </c>
      <c r="B7920" s="499">
        <v>45771</v>
      </c>
      <c r="C7920" s="500" t="s">
        <v>173</v>
      </c>
      <c r="D7920" s="500" t="s">
        <v>759</v>
      </c>
      <c r="E7920" s="501">
        <v>46148723.520000003</v>
      </c>
      <c r="F7920" s="502" t="s">
        <v>878</v>
      </c>
      <c r="G7920" s="100">
        <v>116759217</v>
      </c>
      <c r="H7920" s="484">
        <v>116759217</v>
      </c>
      <c r="I7920" s="422" t="s">
        <v>671</v>
      </c>
      <c r="J7920" s="484"/>
      <c r="K7920" s="548"/>
      <c r="L7920" s="548"/>
      <c r="M7920" s="548"/>
      <c r="N7920" s="552"/>
    </row>
    <row r="7921" spans="1:14">
      <c r="A7921" s="499">
        <v>45764</v>
      </c>
      <c r="B7921" s="499">
        <v>45771</v>
      </c>
      <c r="C7921" s="500" t="s">
        <v>173</v>
      </c>
      <c r="D7921" s="500" t="s">
        <v>759</v>
      </c>
      <c r="E7921" s="501">
        <v>210856828.38</v>
      </c>
      <c r="F7921" s="502" t="s">
        <v>878</v>
      </c>
      <c r="G7921" s="100">
        <v>116759220</v>
      </c>
      <c r="H7921" s="484">
        <v>116759220</v>
      </c>
      <c r="I7921" s="422" t="s">
        <v>678</v>
      </c>
      <c r="J7921" s="484"/>
      <c r="K7921" s="548"/>
      <c r="L7921" s="548"/>
      <c r="M7921" s="548"/>
      <c r="N7921" s="552"/>
    </row>
    <row r="7922" spans="1:14">
      <c r="A7922" s="499">
        <v>45764</v>
      </c>
      <c r="B7922" s="499">
        <v>45771</v>
      </c>
      <c r="C7922" s="500" t="s">
        <v>173</v>
      </c>
      <c r="D7922" s="500" t="s">
        <v>759</v>
      </c>
      <c r="E7922" s="501">
        <v>634172890.58000004</v>
      </c>
      <c r="F7922" s="502" t="s">
        <v>878</v>
      </c>
      <c r="G7922" s="100">
        <v>116759223</v>
      </c>
      <c r="H7922" s="484">
        <v>116759223</v>
      </c>
      <c r="I7922" s="422" t="s">
        <v>684</v>
      </c>
      <c r="J7922" s="484"/>
      <c r="K7922" s="548"/>
      <c r="L7922" s="548"/>
      <c r="M7922" s="548"/>
      <c r="N7922" s="552"/>
    </row>
    <row r="7923" spans="1:14">
      <c r="A7923" s="499">
        <v>45764</v>
      </c>
      <c r="B7923" s="499">
        <v>45771</v>
      </c>
      <c r="C7923" s="500" t="s">
        <v>173</v>
      </c>
      <c r="D7923" s="500" t="s">
        <v>759</v>
      </c>
      <c r="E7923" s="501">
        <v>1027463869.34</v>
      </c>
      <c r="F7923" s="502" t="s">
        <v>878</v>
      </c>
      <c r="G7923" s="100">
        <v>116759226</v>
      </c>
      <c r="H7923" s="484">
        <v>116759226</v>
      </c>
      <c r="I7923" s="422" t="s">
        <v>700</v>
      </c>
      <c r="J7923" s="484"/>
      <c r="K7923" s="548"/>
      <c r="L7923" s="548"/>
      <c r="M7923" s="548"/>
      <c r="N7923" s="552"/>
    </row>
    <row r="7924" spans="1:14">
      <c r="A7924" s="499">
        <v>45764</v>
      </c>
      <c r="B7924" s="499">
        <v>45771</v>
      </c>
      <c r="C7924" s="500" t="s">
        <v>173</v>
      </c>
      <c r="D7924" s="500" t="s">
        <v>759</v>
      </c>
      <c r="E7924" s="501">
        <v>1053760346.45</v>
      </c>
      <c r="F7924" s="502" t="s">
        <v>878</v>
      </c>
      <c r="G7924" s="100">
        <v>116759229</v>
      </c>
      <c r="H7924" s="484">
        <v>116759229</v>
      </c>
      <c r="I7924" s="422" t="s">
        <v>658</v>
      </c>
      <c r="J7924" s="484"/>
      <c r="K7924" s="548"/>
      <c r="L7924" s="548"/>
      <c r="M7924" s="548"/>
      <c r="N7924" s="552"/>
    </row>
    <row r="7925" spans="1:14">
      <c r="A7925" s="499">
        <v>45764</v>
      </c>
      <c r="B7925" s="499">
        <v>45771</v>
      </c>
      <c r="C7925" s="500" t="s">
        <v>173</v>
      </c>
      <c r="D7925" s="500" t="s">
        <v>759</v>
      </c>
      <c r="E7925" s="501">
        <v>4278378858.6300001</v>
      </c>
      <c r="F7925" s="502" t="s">
        <v>878</v>
      </c>
      <c r="G7925" s="100">
        <v>116759237</v>
      </c>
      <c r="H7925" s="484">
        <v>116759237</v>
      </c>
      <c r="I7925" s="422" t="s">
        <v>717</v>
      </c>
      <c r="J7925" s="484"/>
      <c r="K7925" s="548"/>
      <c r="L7925" s="548"/>
      <c r="M7925" s="548"/>
      <c r="N7925" s="552"/>
    </row>
    <row r="7926" spans="1:14">
      <c r="A7926" s="499">
        <v>45764</v>
      </c>
      <c r="B7926" s="499">
        <v>45765</v>
      </c>
      <c r="C7926" s="500" t="s">
        <v>173</v>
      </c>
      <c r="D7926" s="500" t="s">
        <v>759</v>
      </c>
      <c r="E7926" s="501">
        <v>39023005.189999998</v>
      </c>
      <c r="F7926" s="502" t="s">
        <v>878</v>
      </c>
      <c r="G7926" s="100">
        <v>116764390</v>
      </c>
      <c r="H7926" s="484">
        <v>116764390</v>
      </c>
      <c r="I7926" s="422" t="s">
        <v>633</v>
      </c>
      <c r="J7926" s="484"/>
      <c r="K7926" s="548"/>
      <c r="L7926" s="548"/>
      <c r="M7926" s="548"/>
      <c r="N7926" s="552"/>
    </row>
    <row r="7927" spans="1:14">
      <c r="A7927" s="499">
        <v>45764</v>
      </c>
      <c r="B7927" s="499">
        <v>45764</v>
      </c>
      <c r="C7927" s="500" t="s">
        <v>173</v>
      </c>
      <c r="D7927" s="500" t="s">
        <v>761</v>
      </c>
      <c r="E7927" s="501">
        <v>-21008956.920000002</v>
      </c>
      <c r="F7927" s="502" t="s">
        <v>878</v>
      </c>
      <c r="G7927" s="100">
        <v>116760035</v>
      </c>
      <c r="H7927" s="530"/>
      <c r="I7927" s="422" t="s">
        <v>550</v>
      </c>
      <c r="J7927" s="484"/>
      <c r="K7927" s="548"/>
      <c r="L7927" s="548"/>
      <c r="M7927" s="548"/>
      <c r="N7927" s="552"/>
    </row>
    <row r="7928" spans="1:14">
      <c r="A7928" s="499">
        <v>45764</v>
      </c>
      <c r="B7928" s="499">
        <v>45764</v>
      </c>
      <c r="C7928" s="500" t="s">
        <v>173</v>
      </c>
      <c r="D7928" s="500" t="s">
        <v>761</v>
      </c>
      <c r="E7928" s="501">
        <v>-636530500.96000004</v>
      </c>
      <c r="F7928" s="502" t="s">
        <v>878</v>
      </c>
      <c r="G7928" s="100">
        <v>116760492</v>
      </c>
      <c r="H7928" s="530"/>
      <c r="I7928" s="422" t="s">
        <v>672</v>
      </c>
      <c r="J7928" s="484"/>
      <c r="K7928" s="548"/>
      <c r="L7928" s="548"/>
      <c r="M7928" s="548"/>
      <c r="N7928" s="552"/>
    </row>
    <row r="7929" spans="1:14">
      <c r="A7929" s="499">
        <v>45764</v>
      </c>
      <c r="B7929" s="499">
        <v>45764</v>
      </c>
      <c r="C7929" s="500" t="s">
        <v>173</v>
      </c>
      <c r="D7929" s="500" t="s">
        <v>761</v>
      </c>
      <c r="E7929" s="501">
        <v>-5004170.6100000003</v>
      </c>
      <c r="F7929" s="502" t="s">
        <v>878</v>
      </c>
      <c r="G7929" s="100">
        <v>116760525</v>
      </c>
      <c r="H7929" s="530"/>
      <c r="I7929" s="422" t="s">
        <v>672</v>
      </c>
      <c r="J7929" s="484"/>
      <c r="K7929" s="548"/>
      <c r="L7929" s="548"/>
      <c r="M7929" s="548"/>
      <c r="N7929" s="552"/>
    </row>
    <row r="7930" spans="1:14">
      <c r="A7930" s="499">
        <v>45764</v>
      </c>
      <c r="B7930" s="499">
        <v>45765</v>
      </c>
      <c r="C7930" s="500" t="s">
        <v>173</v>
      </c>
      <c r="D7930" s="500" t="s">
        <v>761</v>
      </c>
      <c r="E7930" s="501">
        <v>21017907.309999999</v>
      </c>
      <c r="F7930" s="502" t="s">
        <v>878</v>
      </c>
      <c r="G7930" s="100">
        <v>116760035</v>
      </c>
      <c r="H7930" s="484">
        <v>116760035</v>
      </c>
      <c r="I7930" s="422" t="s">
        <v>550</v>
      </c>
      <c r="J7930" s="484"/>
      <c r="K7930" s="548"/>
      <c r="L7930" s="548"/>
      <c r="M7930" s="548"/>
      <c r="N7930" s="552"/>
    </row>
    <row r="7931" spans="1:14">
      <c r="A7931" s="499">
        <v>45764</v>
      </c>
      <c r="B7931" s="499">
        <v>45765</v>
      </c>
      <c r="C7931" s="500" t="s">
        <v>173</v>
      </c>
      <c r="D7931" s="500" t="s">
        <v>761</v>
      </c>
      <c r="E7931" s="501">
        <v>636799238.90999997</v>
      </c>
      <c r="F7931" s="502" t="s">
        <v>878</v>
      </c>
      <c r="G7931" s="100">
        <v>116760492</v>
      </c>
      <c r="H7931" s="484">
        <v>116760492</v>
      </c>
      <c r="I7931" s="422" t="s">
        <v>672</v>
      </c>
      <c r="J7931" s="484"/>
      <c r="K7931" s="548"/>
      <c r="L7931" s="548"/>
      <c r="M7931" s="548"/>
      <c r="N7931" s="552"/>
    </row>
    <row r="7932" spans="1:14">
      <c r="A7932" s="499">
        <v>45764</v>
      </c>
      <c r="B7932" s="499">
        <v>45765</v>
      </c>
      <c r="C7932" s="500" t="s">
        <v>173</v>
      </c>
      <c r="D7932" s="500" t="s">
        <v>761</v>
      </c>
      <c r="E7932" s="501">
        <v>5006283.33</v>
      </c>
      <c r="F7932" s="502" t="s">
        <v>878</v>
      </c>
      <c r="G7932" s="100">
        <v>116760525</v>
      </c>
      <c r="H7932" s="484">
        <v>116760525</v>
      </c>
      <c r="I7932" s="422" t="s">
        <v>672</v>
      </c>
      <c r="J7932" s="484"/>
      <c r="K7932" s="548"/>
      <c r="L7932" s="548"/>
      <c r="M7932" s="548"/>
      <c r="N7932" s="552"/>
    </row>
    <row r="7933" spans="1:14">
      <c r="A7933" s="499">
        <v>45764</v>
      </c>
      <c r="B7933" s="499">
        <v>45764</v>
      </c>
      <c r="C7933" s="500" t="s">
        <v>173</v>
      </c>
      <c r="D7933" s="500" t="s">
        <v>764</v>
      </c>
      <c r="E7933" s="501">
        <v>-3143429019.5</v>
      </c>
      <c r="F7933" s="502" t="s">
        <v>878</v>
      </c>
      <c r="G7933" s="100">
        <v>116760462</v>
      </c>
      <c r="H7933" s="530"/>
      <c r="I7933" s="422" t="s">
        <v>701</v>
      </c>
      <c r="J7933" s="484"/>
      <c r="K7933" s="548"/>
      <c r="L7933" s="548"/>
      <c r="M7933" s="548"/>
      <c r="N7933" s="552"/>
    </row>
    <row r="7934" spans="1:14">
      <c r="A7934" s="499">
        <v>45764</v>
      </c>
      <c r="B7934" s="499">
        <v>45764</v>
      </c>
      <c r="C7934" s="500" t="s">
        <v>173</v>
      </c>
      <c r="D7934" s="500" t="s">
        <v>764</v>
      </c>
      <c r="E7934" s="501">
        <v>-18005277.02</v>
      </c>
      <c r="F7934" s="502" t="s">
        <v>878</v>
      </c>
      <c r="G7934" s="100">
        <v>116761004</v>
      </c>
      <c r="H7934" s="530"/>
      <c r="I7934" s="422" t="s">
        <v>717</v>
      </c>
      <c r="J7934" s="484"/>
      <c r="K7934" s="548"/>
      <c r="L7934" s="548"/>
      <c r="M7934" s="548"/>
      <c r="N7934" s="552"/>
    </row>
    <row r="7935" spans="1:14">
      <c r="A7935" s="499">
        <v>45764</v>
      </c>
      <c r="B7935" s="499">
        <v>45771</v>
      </c>
      <c r="C7935" s="500" t="s">
        <v>173</v>
      </c>
      <c r="D7935" s="500" t="s">
        <v>764</v>
      </c>
      <c r="E7935" s="501">
        <v>3153104752.3899999</v>
      </c>
      <c r="F7935" s="502" t="s">
        <v>878</v>
      </c>
      <c r="G7935" s="100">
        <v>116760462</v>
      </c>
      <c r="H7935" s="100">
        <v>116760462</v>
      </c>
      <c r="I7935" s="422" t="s">
        <v>701</v>
      </c>
      <c r="J7935" s="484"/>
      <c r="K7935" s="548"/>
      <c r="L7935" s="548"/>
      <c r="M7935" s="548"/>
      <c r="N7935" s="552"/>
    </row>
    <row r="7936" spans="1:14">
      <c r="A7936" s="499">
        <v>45764</v>
      </c>
      <c r="B7936" s="499">
        <v>45771</v>
      </c>
      <c r="C7936" s="500" t="s">
        <v>173</v>
      </c>
      <c r="D7936" s="500" t="s">
        <v>764</v>
      </c>
      <c r="E7936" s="501">
        <v>18060698.739999998</v>
      </c>
      <c r="F7936" s="502" t="s">
        <v>878</v>
      </c>
      <c r="G7936" s="100">
        <v>116761004</v>
      </c>
      <c r="H7936" s="100">
        <v>116761004</v>
      </c>
      <c r="I7936" s="422" t="s">
        <v>717</v>
      </c>
      <c r="J7936" s="484"/>
      <c r="K7936" s="548"/>
      <c r="L7936" s="548"/>
      <c r="M7936" s="548"/>
      <c r="N7936" s="552"/>
    </row>
    <row r="7937" spans="1:14">
      <c r="A7937" s="499">
        <v>45764</v>
      </c>
      <c r="B7937" s="499">
        <v>45764</v>
      </c>
      <c r="C7937" s="500" t="s">
        <v>173</v>
      </c>
      <c r="D7937" s="500" t="s">
        <v>763</v>
      </c>
      <c r="E7937" s="501">
        <v>-2800396373.5999999</v>
      </c>
      <c r="F7937" s="502" t="s">
        <v>878</v>
      </c>
      <c r="G7937" s="100">
        <v>116758467</v>
      </c>
      <c r="H7937" s="530"/>
      <c r="I7937" s="422" t="s">
        <v>816</v>
      </c>
      <c r="J7937" s="484"/>
      <c r="K7937" s="548"/>
      <c r="L7937" s="548"/>
      <c r="M7937" s="548"/>
      <c r="N7937" s="552"/>
    </row>
    <row r="7938" spans="1:14">
      <c r="A7938" s="499">
        <v>45764</v>
      </c>
      <c r="B7938" s="499">
        <v>45764</v>
      </c>
      <c r="C7938" s="500" t="s">
        <v>173</v>
      </c>
      <c r="D7938" s="500" t="s">
        <v>763</v>
      </c>
      <c r="E7938" s="501">
        <v>-2779278294.6199999</v>
      </c>
      <c r="F7938" s="502" t="s">
        <v>878</v>
      </c>
      <c r="G7938" s="100">
        <v>116758470</v>
      </c>
      <c r="H7938" s="530"/>
      <c r="I7938" s="422" t="s">
        <v>716</v>
      </c>
      <c r="J7938" s="484"/>
      <c r="K7938" s="548"/>
      <c r="L7938" s="548"/>
      <c r="M7938" s="548"/>
      <c r="N7938" s="552"/>
    </row>
    <row r="7939" spans="1:14">
      <c r="A7939" s="499">
        <v>45764</v>
      </c>
      <c r="B7939" s="499">
        <v>45764</v>
      </c>
      <c r="C7939" s="500" t="s">
        <v>173</v>
      </c>
      <c r="D7939" s="500" t="s">
        <v>763</v>
      </c>
      <c r="E7939" s="501">
        <v>-32001528.379999999</v>
      </c>
      <c r="F7939" s="502" t="s">
        <v>878</v>
      </c>
      <c r="G7939" s="100">
        <v>116758583</v>
      </c>
      <c r="H7939" s="530"/>
      <c r="I7939" s="422" t="s">
        <v>1013</v>
      </c>
      <c r="J7939" s="484"/>
      <c r="K7939" s="548"/>
      <c r="L7939" s="548"/>
      <c r="M7939" s="548"/>
      <c r="N7939" s="552"/>
    </row>
    <row r="7940" spans="1:14">
      <c r="A7940" s="499">
        <v>45764</v>
      </c>
      <c r="B7940" s="499">
        <v>45765</v>
      </c>
      <c r="C7940" s="500" t="s">
        <v>173</v>
      </c>
      <c r="D7940" s="500" t="s">
        <v>763</v>
      </c>
      <c r="E7940" s="501">
        <v>2801589419.1799998</v>
      </c>
      <c r="F7940" s="502" t="s">
        <v>878</v>
      </c>
      <c r="G7940" s="100">
        <v>116758467</v>
      </c>
      <c r="H7940" s="484">
        <v>116758467</v>
      </c>
      <c r="I7940" s="422" t="s">
        <v>816</v>
      </c>
      <c r="J7940" s="484"/>
      <c r="K7940" s="548"/>
      <c r="L7940" s="548"/>
      <c r="M7940" s="548"/>
      <c r="N7940" s="552"/>
    </row>
    <row r="7941" spans="1:14">
      <c r="A7941" s="499">
        <v>45764</v>
      </c>
      <c r="B7941" s="499">
        <v>45765</v>
      </c>
      <c r="C7941" s="500" t="s">
        <v>173</v>
      </c>
      <c r="D7941" s="500" t="s">
        <v>763</v>
      </c>
      <c r="E7941" s="501">
        <v>2780462343.3200002</v>
      </c>
      <c r="F7941" s="502" t="s">
        <v>878</v>
      </c>
      <c r="G7941" s="100">
        <v>116758470</v>
      </c>
      <c r="H7941" s="484">
        <v>116758470</v>
      </c>
      <c r="I7941" s="422" t="s">
        <v>716</v>
      </c>
      <c r="J7941" s="484"/>
      <c r="K7941" s="548"/>
      <c r="L7941" s="548"/>
      <c r="M7941" s="548"/>
      <c r="N7941" s="552"/>
    </row>
    <row r="7942" spans="1:14">
      <c r="A7942" s="499">
        <v>45764</v>
      </c>
      <c r="B7942" s="499">
        <v>45765</v>
      </c>
      <c r="C7942" s="500" t="s">
        <v>173</v>
      </c>
      <c r="D7942" s="500" t="s">
        <v>763</v>
      </c>
      <c r="E7942" s="501">
        <v>32015170.68</v>
      </c>
      <c r="F7942" s="502" t="s">
        <v>878</v>
      </c>
      <c r="G7942" s="100">
        <v>116758583</v>
      </c>
      <c r="H7942" s="484">
        <v>116758583</v>
      </c>
      <c r="I7942" s="422" t="s">
        <v>1013</v>
      </c>
      <c r="J7942" s="484"/>
      <c r="K7942" s="548"/>
      <c r="L7942" s="548"/>
      <c r="M7942" s="548"/>
      <c r="N7942" s="552"/>
    </row>
    <row r="7943" spans="1:14">
      <c r="A7943" s="499">
        <v>45765</v>
      </c>
      <c r="B7943" s="499">
        <v>45765</v>
      </c>
      <c r="C7943" s="500" t="s">
        <v>173</v>
      </c>
      <c r="D7943" s="500" t="s">
        <v>761</v>
      </c>
      <c r="E7943" s="501">
        <v>-498022305.81999999</v>
      </c>
      <c r="F7943" s="502" t="s">
        <v>878</v>
      </c>
      <c r="G7943" s="100">
        <v>116775920</v>
      </c>
      <c r="H7943" s="530"/>
      <c r="I7943" s="422" t="s">
        <v>633</v>
      </c>
      <c r="J7943" s="484"/>
      <c r="K7943" s="548"/>
      <c r="L7943" s="548"/>
      <c r="M7943" s="548"/>
      <c r="N7943" s="552"/>
    </row>
    <row r="7944" spans="1:14">
      <c r="A7944" s="499">
        <v>45765</v>
      </c>
      <c r="B7944" s="499">
        <v>45765</v>
      </c>
      <c r="C7944" s="500" t="s">
        <v>173</v>
      </c>
      <c r="D7944" s="500" t="s">
        <v>761</v>
      </c>
      <c r="E7944" s="501">
        <v>-1455529308.6300001</v>
      </c>
      <c r="F7944" s="502" t="s">
        <v>878</v>
      </c>
      <c r="G7944" s="100">
        <v>116777355</v>
      </c>
      <c r="H7944" s="530"/>
      <c r="I7944" s="422" t="s">
        <v>675</v>
      </c>
      <c r="J7944" s="484"/>
      <c r="K7944" s="548"/>
      <c r="L7944" s="548"/>
      <c r="M7944" s="548"/>
      <c r="N7944" s="552"/>
    </row>
    <row r="7945" spans="1:14">
      <c r="A7945" s="499">
        <v>45765</v>
      </c>
      <c r="B7945" s="499">
        <v>45765</v>
      </c>
      <c r="C7945" s="500" t="s">
        <v>173</v>
      </c>
      <c r="D7945" s="500" t="s">
        <v>761</v>
      </c>
      <c r="E7945" s="501">
        <v>-39014871.399999999</v>
      </c>
      <c r="F7945" s="502" t="s">
        <v>878</v>
      </c>
      <c r="G7945" s="100">
        <v>116777797</v>
      </c>
      <c r="H7945" s="530"/>
      <c r="I7945" s="422" t="s">
        <v>674</v>
      </c>
      <c r="J7945" s="484"/>
      <c r="K7945" s="548"/>
      <c r="L7945" s="548"/>
      <c r="M7945" s="548"/>
      <c r="N7945" s="552"/>
    </row>
    <row r="7946" spans="1:14">
      <c r="A7946" s="499">
        <v>45765</v>
      </c>
      <c r="B7946" s="499">
        <v>45765</v>
      </c>
      <c r="C7946" s="500" t="s">
        <v>173</v>
      </c>
      <c r="D7946" s="500" t="s">
        <v>761</v>
      </c>
      <c r="E7946" s="501">
        <v>-1000381.32</v>
      </c>
      <c r="F7946" s="502" t="s">
        <v>878</v>
      </c>
      <c r="G7946" s="100">
        <v>116777813</v>
      </c>
      <c r="H7946" s="530"/>
      <c r="I7946" s="422" t="s">
        <v>674</v>
      </c>
      <c r="J7946" s="484"/>
      <c r="K7946" s="548"/>
      <c r="L7946" s="548"/>
      <c r="M7946" s="548"/>
      <c r="N7946" s="552"/>
    </row>
    <row r="7947" spans="1:14">
      <c r="A7947" s="499">
        <v>45765</v>
      </c>
      <c r="B7947" s="499">
        <v>45768</v>
      </c>
      <c r="C7947" s="500" t="s">
        <v>173</v>
      </c>
      <c r="D7947" s="500" t="s">
        <v>761</v>
      </c>
      <c r="E7947" s="501">
        <v>498664959.25999999</v>
      </c>
      <c r="F7947" s="502" t="s">
        <v>878</v>
      </c>
      <c r="G7947" s="100">
        <v>116775920</v>
      </c>
      <c r="H7947" s="484">
        <v>116775920</v>
      </c>
      <c r="I7947" s="422" t="s">
        <v>633</v>
      </c>
      <c r="J7947" s="484"/>
      <c r="K7947" s="548"/>
      <c r="L7947" s="548"/>
      <c r="M7947" s="548"/>
      <c r="N7947" s="552"/>
    </row>
    <row r="7948" spans="1:14">
      <c r="A7948" s="499">
        <v>45765</v>
      </c>
      <c r="B7948" s="499">
        <v>45768</v>
      </c>
      <c r="C7948" s="500" t="s">
        <v>173</v>
      </c>
      <c r="D7948" s="500" t="s">
        <v>761</v>
      </c>
      <c r="E7948" s="501">
        <v>1457407539.5999999</v>
      </c>
      <c r="F7948" s="502" t="s">
        <v>878</v>
      </c>
      <c r="G7948" s="100">
        <v>116777355</v>
      </c>
      <c r="H7948" s="484">
        <v>116777355</v>
      </c>
      <c r="I7948" s="422" t="s">
        <v>675</v>
      </c>
      <c r="J7948" s="484"/>
      <c r="K7948" s="548"/>
      <c r="L7948" s="548"/>
      <c r="M7948" s="548"/>
      <c r="N7948" s="552"/>
    </row>
    <row r="7949" spans="1:14">
      <c r="A7949" s="499">
        <v>45765</v>
      </c>
      <c r="B7949" s="499">
        <v>45768</v>
      </c>
      <c r="C7949" s="500" t="s">
        <v>173</v>
      </c>
      <c r="D7949" s="500" t="s">
        <v>761</v>
      </c>
      <c r="E7949" s="501">
        <v>39065056.600000001</v>
      </c>
      <c r="F7949" s="502" t="s">
        <v>878</v>
      </c>
      <c r="G7949" s="100">
        <v>116777797</v>
      </c>
      <c r="H7949" s="484">
        <v>116777797</v>
      </c>
      <c r="I7949" s="422" t="s">
        <v>674</v>
      </c>
      <c r="J7949" s="484"/>
      <c r="K7949" s="548"/>
      <c r="L7949" s="548"/>
      <c r="M7949" s="548"/>
      <c r="N7949" s="552"/>
    </row>
    <row r="7950" spans="1:14">
      <c r="A7950" s="499">
        <v>45765</v>
      </c>
      <c r="B7950" s="499">
        <v>45768</v>
      </c>
      <c r="C7950" s="500" t="s">
        <v>173</v>
      </c>
      <c r="D7950" s="500" t="s">
        <v>761</v>
      </c>
      <c r="E7950" s="501">
        <v>1001668.12</v>
      </c>
      <c r="F7950" s="502" t="s">
        <v>878</v>
      </c>
      <c r="G7950" s="100">
        <v>116777813</v>
      </c>
      <c r="H7950" s="484">
        <v>116777813</v>
      </c>
      <c r="I7950" s="422" t="s">
        <v>674</v>
      </c>
      <c r="J7950" s="484"/>
      <c r="K7950" s="548"/>
      <c r="L7950" s="548"/>
      <c r="M7950" s="548"/>
      <c r="N7950" s="552"/>
    </row>
    <row r="7951" spans="1:14">
      <c r="A7951" s="499">
        <v>45765</v>
      </c>
      <c r="B7951" s="499">
        <v>45765</v>
      </c>
      <c r="C7951" s="500" t="s">
        <v>173</v>
      </c>
      <c r="D7951" s="500" t="s">
        <v>759</v>
      </c>
      <c r="E7951" s="501">
        <v>-2028751876.9400001</v>
      </c>
      <c r="F7951" s="502" t="s">
        <v>878</v>
      </c>
      <c r="G7951" s="100">
        <v>116775895</v>
      </c>
      <c r="H7951" s="530"/>
      <c r="I7951" s="422" t="s">
        <v>656</v>
      </c>
      <c r="J7951" s="484"/>
      <c r="K7951" s="548"/>
      <c r="L7951" s="548"/>
      <c r="M7951" s="548"/>
      <c r="N7951" s="552"/>
    </row>
    <row r="7952" spans="1:14">
      <c r="A7952" s="499">
        <v>45765</v>
      </c>
      <c r="B7952" s="499">
        <v>45765</v>
      </c>
      <c r="C7952" s="500" t="s">
        <v>173</v>
      </c>
      <c r="D7952" s="500" t="s">
        <v>759</v>
      </c>
      <c r="E7952" s="501">
        <v>-11004194.5</v>
      </c>
      <c r="F7952" s="502" t="s">
        <v>878</v>
      </c>
      <c r="G7952" s="100">
        <v>116777128</v>
      </c>
      <c r="H7952" s="530"/>
      <c r="I7952" s="422" t="s">
        <v>674</v>
      </c>
      <c r="J7952" s="484"/>
      <c r="K7952" s="548"/>
      <c r="L7952" s="548"/>
      <c r="M7952" s="548"/>
      <c r="N7952" s="552"/>
    </row>
    <row r="7953" spans="1:16">
      <c r="A7953" s="499">
        <v>45765</v>
      </c>
      <c r="B7953" s="499">
        <v>45768</v>
      </c>
      <c r="C7953" s="500" t="s">
        <v>173</v>
      </c>
      <c r="D7953" s="500" t="s">
        <v>759</v>
      </c>
      <c r="E7953" s="501">
        <v>2031344888.6300001</v>
      </c>
      <c r="F7953" s="502" t="s">
        <v>878</v>
      </c>
      <c r="G7953" s="100">
        <v>116775895</v>
      </c>
      <c r="H7953" s="100">
        <v>116775895</v>
      </c>
      <c r="I7953" s="422" t="s">
        <v>656</v>
      </c>
      <c r="J7953" s="484"/>
      <c r="K7953" s="548"/>
      <c r="L7953" s="548"/>
      <c r="M7953" s="548"/>
      <c r="N7953" s="552"/>
    </row>
    <row r="7954" spans="1:16">
      <c r="A7954" s="499">
        <v>45765</v>
      </c>
      <c r="B7954" s="499">
        <v>45768</v>
      </c>
      <c r="C7954" s="500" t="s">
        <v>173</v>
      </c>
      <c r="D7954" s="500" t="s">
        <v>759</v>
      </c>
      <c r="E7954" s="501">
        <v>11018349.300000001</v>
      </c>
      <c r="F7954" s="502" t="s">
        <v>878</v>
      </c>
      <c r="G7954" s="100">
        <v>116777128</v>
      </c>
      <c r="H7954" s="100">
        <v>116777128</v>
      </c>
      <c r="I7954" s="422" t="s">
        <v>674</v>
      </c>
      <c r="J7954" s="484"/>
      <c r="K7954" s="548"/>
      <c r="L7954" s="548"/>
      <c r="M7954" s="548"/>
      <c r="N7954" s="552"/>
    </row>
    <row r="7955" spans="1:16">
      <c r="A7955" s="499">
        <v>45765</v>
      </c>
      <c r="B7955" s="499">
        <v>45765</v>
      </c>
      <c r="C7955" s="500" t="s">
        <v>173</v>
      </c>
      <c r="D7955" s="500" t="s">
        <v>763</v>
      </c>
      <c r="E7955" s="501">
        <v>-5586058912.2299995</v>
      </c>
      <c r="F7955" s="502" t="s">
        <v>878</v>
      </c>
      <c r="G7955" s="100">
        <v>116774145</v>
      </c>
      <c r="H7955" s="530"/>
      <c r="I7955" s="422" t="s">
        <v>684</v>
      </c>
      <c r="J7955" s="484"/>
      <c r="K7955" s="548"/>
      <c r="L7955" s="548"/>
      <c r="M7955" s="548"/>
      <c r="N7955" s="552"/>
    </row>
    <row r="7956" spans="1:16">
      <c r="A7956" s="499">
        <v>45765</v>
      </c>
      <c r="B7956" s="499">
        <v>45765</v>
      </c>
      <c r="C7956" s="500" t="s">
        <v>173</v>
      </c>
      <c r="D7956" s="500" t="s">
        <v>763</v>
      </c>
      <c r="E7956" s="501">
        <v>-28020360</v>
      </c>
      <c r="F7956" s="502" t="s">
        <v>878</v>
      </c>
      <c r="G7956" s="100">
        <v>116774162</v>
      </c>
      <c r="H7956" s="530"/>
      <c r="I7956" s="422" t="s">
        <v>684</v>
      </c>
      <c r="J7956" s="484"/>
      <c r="K7956" s="548"/>
      <c r="L7956" s="548"/>
      <c r="M7956" s="548"/>
      <c r="N7956" s="552"/>
    </row>
    <row r="7957" spans="1:16">
      <c r="A7957" s="499">
        <v>45765</v>
      </c>
      <c r="B7957" s="499">
        <v>45768</v>
      </c>
      <c r="C7957" s="500" t="s">
        <v>173</v>
      </c>
      <c r="D7957" s="500" t="s">
        <v>763</v>
      </c>
      <c r="E7957" s="501">
        <v>5593244497.0299997</v>
      </c>
      <c r="F7957" s="502" t="s">
        <v>878</v>
      </c>
      <c r="G7957" s="100">
        <v>116774145</v>
      </c>
      <c r="H7957" s="100">
        <v>116774145</v>
      </c>
      <c r="I7957" s="422" t="s">
        <v>684</v>
      </c>
      <c r="J7957" s="484"/>
      <c r="K7957" s="548"/>
      <c r="L7957" s="548"/>
      <c r="M7957" s="548"/>
      <c r="N7957" s="552"/>
    </row>
    <row r="7958" spans="1:16">
      <c r="A7958" s="499">
        <v>45765</v>
      </c>
      <c r="B7958" s="499">
        <v>45768</v>
      </c>
      <c r="C7958" s="500" t="s">
        <v>173</v>
      </c>
      <c r="D7958" s="500" t="s">
        <v>763</v>
      </c>
      <c r="E7958" s="501">
        <v>28056403.780000001</v>
      </c>
      <c r="F7958" s="502" t="s">
        <v>878</v>
      </c>
      <c r="G7958" s="100">
        <v>116774162</v>
      </c>
      <c r="H7958" s="100">
        <v>116774162</v>
      </c>
      <c r="I7958" s="422" t="s">
        <v>684</v>
      </c>
      <c r="J7958" s="484"/>
      <c r="K7958" s="548"/>
      <c r="L7958" s="548"/>
      <c r="M7958" s="548"/>
      <c r="N7958" s="552"/>
    </row>
    <row r="7959" spans="1:16">
      <c r="A7959" s="499">
        <v>45765</v>
      </c>
      <c r="B7959" s="499">
        <v>45765</v>
      </c>
      <c r="C7959" s="500" t="s">
        <v>173</v>
      </c>
      <c r="D7959" s="500" t="s">
        <v>761</v>
      </c>
      <c r="E7959" s="501">
        <v>31802750</v>
      </c>
      <c r="F7959" s="502" t="s">
        <v>381</v>
      </c>
      <c r="G7959" s="100" t="s">
        <v>60</v>
      </c>
      <c r="H7959" s="530"/>
      <c r="I7959" s="422"/>
      <c r="K7959" s="548"/>
      <c r="L7959" s="548"/>
      <c r="M7959" s="548"/>
      <c r="N7959" s="552"/>
      <c r="P7959" s="539">
        <v>-1</v>
      </c>
    </row>
    <row r="7960" spans="1:16">
      <c r="A7960" s="499">
        <v>45768</v>
      </c>
      <c r="B7960" s="499">
        <v>45768</v>
      </c>
      <c r="C7960" s="500" t="s">
        <v>173</v>
      </c>
      <c r="D7960" s="500" t="s">
        <v>761</v>
      </c>
      <c r="E7960" s="501">
        <v>-494077212.19999999</v>
      </c>
      <c r="F7960" s="502" t="s">
        <v>878</v>
      </c>
      <c r="G7960" s="100">
        <v>116788936</v>
      </c>
      <c r="H7960" s="530"/>
      <c r="I7960" s="422" t="s">
        <v>716</v>
      </c>
      <c r="J7960" s="484"/>
      <c r="K7960" s="548"/>
      <c r="L7960" s="548"/>
      <c r="M7960" s="548"/>
      <c r="N7960" s="552"/>
    </row>
    <row r="7961" spans="1:16">
      <c r="A7961" s="499">
        <v>45768</v>
      </c>
      <c r="B7961" s="499">
        <v>45768</v>
      </c>
      <c r="C7961" s="500" t="s">
        <v>173</v>
      </c>
      <c r="D7961" s="500" t="s">
        <v>761</v>
      </c>
      <c r="E7961" s="501">
        <v>-1494142773.55</v>
      </c>
      <c r="F7961" s="502" t="s">
        <v>878</v>
      </c>
      <c r="G7961" s="100">
        <v>116793087</v>
      </c>
      <c r="H7961" s="530"/>
      <c r="I7961" s="422" t="s">
        <v>713</v>
      </c>
      <c r="J7961" s="484"/>
      <c r="K7961" s="548"/>
      <c r="L7961" s="548"/>
      <c r="M7961" s="548"/>
      <c r="N7961" s="552"/>
    </row>
    <row r="7962" spans="1:16">
      <c r="A7962" s="499">
        <v>45768</v>
      </c>
      <c r="B7962" s="499">
        <v>45768</v>
      </c>
      <c r="C7962" s="500" t="s">
        <v>173</v>
      </c>
      <c r="D7962" s="500" t="s">
        <v>761</v>
      </c>
      <c r="E7962" s="501">
        <v>-7005357.9500000002</v>
      </c>
      <c r="F7962" s="502" t="s">
        <v>878</v>
      </c>
      <c r="G7962" s="100">
        <v>116793104</v>
      </c>
      <c r="H7962" s="530"/>
      <c r="I7962" s="422" t="s">
        <v>713</v>
      </c>
      <c r="J7962" s="484"/>
      <c r="K7962" s="548"/>
      <c r="L7962" s="548"/>
      <c r="M7962" s="548"/>
      <c r="N7962" s="552"/>
    </row>
    <row r="7963" spans="1:16">
      <c r="A7963" s="499">
        <v>45768</v>
      </c>
      <c r="B7963" s="499">
        <v>45769</v>
      </c>
      <c r="C7963" s="500" t="s">
        <v>173</v>
      </c>
      <c r="D7963" s="500" t="s">
        <v>761</v>
      </c>
      <c r="E7963" s="501">
        <v>494292440.36000001</v>
      </c>
      <c r="F7963" s="502" t="s">
        <v>878</v>
      </c>
      <c r="G7963" s="100">
        <v>116788936</v>
      </c>
      <c r="H7963" s="484">
        <v>116788936</v>
      </c>
      <c r="I7963" s="422" t="s">
        <v>716</v>
      </c>
      <c r="J7963" s="484"/>
      <c r="K7963" s="548"/>
      <c r="L7963" s="548"/>
      <c r="M7963" s="548"/>
      <c r="N7963" s="552"/>
    </row>
    <row r="7964" spans="1:16">
      <c r="A7964" s="499">
        <v>45768</v>
      </c>
      <c r="B7964" s="499">
        <v>45775</v>
      </c>
      <c r="C7964" s="500" t="s">
        <v>173</v>
      </c>
      <c r="D7964" s="500" t="s">
        <v>761</v>
      </c>
      <c r="E7964" s="501">
        <v>1498756195.21</v>
      </c>
      <c r="F7964" s="502" t="s">
        <v>878</v>
      </c>
      <c r="G7964" s="100">
        <v>116793087</v>
      </c>
      <c r="H7964" s="484">
        <v>116793087</v>
      </c>
      <c r="I7964" s="422" t="s">
        <v>713</v>
      </c>
      <c r="J7964" s="484"/>
      <c r="K7964" s="548"/>
      <c r="L7964" s="548"/>
      <c r="M7964" s="548"/>
      <c r="N7964" s="552"/>
    </row>
    <row r="7965" spans="1:16">
      <c r="A7965" s="499">
        <v>45768</v>
      </c>
      <c r="B7965" s="499">
        <v>45775</v>
      </c>
      <c r="C7965" s="500" t="s">
        <v>173</v>
      </c>
      <c r="D7965" s="500" t="s">
        <v>761</v>
      </c>
      <c r="E7965" s="501">
        <v>7026988.1900000004</v>
      </c>
      <c r="F7965" s="502" t="s">
        <v>878</v>
      </c>
      <c r="G7965" s="100">
        <v>116793104</v>
      </c>
      <c r="H7965" s="484">
        <v>116793104</v>
      </c>
      <c r="I7965" s="422" t="s">
        <v>713</v>
      </c>
      <c r="J7965" s="484"/>
      <c r="K7965" s="548"/>
      <c r="L7965" s="548"/>
      <c r="M7965" s="548"/>
      <c r="N7965" s="552"/>
    </row>
    <row r="7966" spans="1:16">
      <c r="A7966" s="499">
        <v>45768</v>
      </c>
      <c r="B7966" s="499">
        <v>45768</v>
      </c>
      <c r="C7966" s="500" t="s">
        <v>173</v>
      </c>
      <c r="D7966" s="500" t="s">
        <v>759</v>
      </c>
      <c r="E7966" s="501">
        <v>-144039063.74000001</v>
      </c>
      <c r="F7966" s="502" t="s">
        <v>878</v>
      </c>
      <c r="G7966" s="100">
        <v>116789049</v>
      </c>
      <c r="H7966" s="530"/>
      <c r="I7966" s="422" t="s">
        <v>1013</v>
      </c>
      <c r="J7966" s="484"/>
      <c r="K7966" s="548"/>
      <c r="L7966" s="548"/>
      <c r="M7966" s="548"/>
      <c r="N7966" s="552"/>
    </row>
    <row r="7967" spans="1:16">
      <c r="A7967" s="499">
        <v>45768</v>
      </c>
      <c r="B7967" s="499">
        <v>45768</v>
      </c>
      <c r="C7967" s="500" t="s">
        <v>173</v>
      </c>
      <c r="D7967" s="500" t="s">
        <v>759</v>
      </c>
      <c r="E7967" s="501">
        <v>-1723864086.22</v>
      </c>
      <c r="F7967" s="502" t="s">
        <v>878</v>
      </c>
      <c r="G7967" s="100">
        <v>116789052</v>
      </c>
      <c r="H7967" s="530"/>
      <c r="I7967" s="422" t="s">
        <v>717</v>
      </c>
      <c r="J7967" s="484"/>
      <c r="K7967" s="548"/>
      <c r="L7967" s="548"/>
      <c r="M7967" s="548"/>
      <c r="N7967" s="552"/>
    </row>
    <row r="7968" spans="1:16">
      <c r="A7968" s="499">
        <v>45768</v>
      </c>
      <c r="B7968" s="499">
        <v>45768</v>
      </c>
      <c r="C7968" s="500" t="s">
        <v>173</v>
      </c>
      <c r="D7968" s="500" t="s">
        <v>759</v>
      </c>
      <c r="E7968" s="501">
        <v>-23006239.350000001</v>
      </c>
      <c r="F7968" s="502" t="s">
        <v>878</v>
      </c>
      <c r="G7968" s="100">
        <v>116789055</v>
      </c>
      <c r="H7968" s="530"/>
      <c r="I7968" s="422" t="s">
        <v>1013</v>
      </c>
      <c r="J7968" s="484"/>
      <c r="K7968" s="548"/>
      <c r="L7968" s="548"/>
      <c r="M7968" s="548"/>
      <c r="N7968" s="552"/>
    </row>
    <row r="7969" spans="1:20">
      <c r="A7969" s="499">
        <v>45768</v>
      </c>
      <c r="B7969" s="499">
        <v>45768</v>
      </c>
      <c r="C7969" s="500" t="s">
        <v>173</v>
      </c>
      <c r="D7969" s="500" t="s">
        <v>759</v>
      </c>
      <c r="E7969" s="501">
        <v>-142005223.09</v>
      </c>
      <c r="F7969" s="502" t="s">
        <v>878</v>
      </c>
      <c r="G7969" s="100">
        <v>116789058</v>
      </c>
      <c r="H7969" s="530"/>
      <c r="I7969" s="422" t="s">
        <v>1018</v>
      </c>
      <c r="J7969" s="484"/>
      <c r="K7969" s="548"/>
      <c r="L7969" s="548"/>
      <c r="M7969" s="548"/>
      <c r="N7969" s="552"/>
    </row>
    <row r="7970" spans="1:20">
      <c r="A7970" s="499">
        <v>45768</v>
      </c>
      <c r="B7970" s="499">
        <v>45768</v>
      </c>
      <c r="C7970" s="500" t="s">
        <v>173</v>
      </c>
      <c r="D7970" s="500" t="s">
        <v>759</v>
      </c>
      <c r="E7970" s="501">
        <v>-10000367.82</v>
      </c>
      <c r="F7970" s="502" t="s">
        <v>878</v>
      </c>
      <c r="G7970" s="100">
        <v>116789069</v>
      </c>
      <c r="H7970" s="530"/>
      <c r="I7970" s="422" t="s">
        <v>1018</v>
      </c>
      <c r="J7970" s="484"/>
      <c r="K7970" s="548"/>
      <c r="L7970" s="548"/>
      <c r="M7970" s="548"/>
      <c r="N7970" s="552"/>
    </row>
    <row r="7971" spans="1:20">
      <c r="A7971" s="499">
        <v>45768</v>
      </c>
      <c r="B7971" s="499">
        <v>45769</v>
      </c>
      <c r="C7971" s="500" t="s">
        <v>173</v>
      </c>
      <c r="D7971" s="500" t="s">
        <v>759</v>
      </c>
      <c r="E7971" s="501">
        <v>144101809.91999999</v>
      </c>
      <c r="F7971" s="502" t="s">
        <v>878</v>
      </c>
      <c r="G7971" s="100">
        <v>116789049</v>
      </c>
      <c r="H7971" s="484">
        <v>116789049</v>
      </c>
      <c r="I7971" s="422" t="s">
        <v>1013</v>
      </c>
      <c r="J7971" s="484"/>
      <c r="K7971" s="548"/>
      <c r="L7971" s="548"/>
      <c r="M7971" s="548"/>
      <c r="N7971" s="552"/>
    </row>
    <row r="7972" spans="1:20">
      <c r="A7972" s="499">
        <v>45768</v>
      </c>
      <c r="B7972" s="499">
        <v>45769</v>
      </c>
      <c r="C7972" s="500" t="s">
        <v>173</v>
      </c>
      <c r="D7972" s="500" t="s">
        <v>759</v>
      </c>
      <c r="E7972" s="501">
        <v>1724615034.48</v>
      </c>
      <c r="F7972" s="502" t="s">
        <v>878</v>
      </c>
      <c r="G7972" s="100">
        <v>116789052</v>
      </c>
      <c r="H7972" s="484">
        <v>116789052</v>
      </c>
      <c r="I7972" s="422" t="s">
        <v>717</v>
      </c>
      <c r="J7972" s="484"/>
      <c r="K7972" s="548"/>
      <c r="L7972" s="548"/>
      <c r="M7972" s="548"/>
      <c r="N7972" s="552"/>
    </row>
    <row r="7973" spans="1:20">
      <c r="A7973" s="499">
        <v>45768</v>
      </c>
      <c r="B7973" s="499">
        <v>45769</v>
      </c>
      <c r="C7973" s="500" t="s">
        <v>173</v>
      </c>
      <c r="D7973" s="500" t="s">
        <v>759</v>
      </c>
      <c r="E7973" s="501">
        <v>23016261.309999999</v>
      </c>
      <c r="F7973" s="502" t="s">
        <v>878</v>
      </c>
      <c r="G7973" s="100">
        <v>116789055</v>
      </c>
      <c r="H7973" s="484">
        <v>116789055</v>
      </c>
      <c r="I7973" s="422" t="s">
        <v>1013</v>
      </c>
      <c r="J7973" s="484"/>
      <c r="K7973" s="548"/>
      <c r="L7973" s="548"/>
      <c r="M7973" s="548"/>
      <c r="N7973" s="552"/>
    </row>
    <row r="7974" spans="1:20">
      <c r="A7974" s="499">
        <v>45768</v>
      </c>
      <c r="B7974" s="499">
        <v>45769</v>
      </c>
      <c r="C7974" s="500" t="s">
        <v>173</v>
      </c>
      <c r="D7974" s="500" t="s">
        <v>759</v>
      </c>
      <c r="E7974" s="501">
        <v>142067083.28999999</v>
      </c>
      <c r="F7974" s="502" t="s">
        <v>878</v>
      </c>
      <c r="G7974" s="100">
        <v>116789058</v>
      </c>
      <c r="H7974" s="484">
        <v>116789058</v>
      </c>
      <c r="I7974" s="422" t="s">
        <v>1018</v>
      </c>
      <c r="J7974" s="484"/>
      <c r="K7974" s="548"/>
      <c r="L7974" s="548"/>
      <c r="M7974" s="548"/>
      <c r="N7974" s="552"/>
    </row>
    <row r="7975" spans="1:20">
      <c r="A7975" s="499">
        <v>45768</v>
      </c>
      <c r="B7975" s="499">
        <v>45769</v>
      </c>
      <c r="C7975" s="500" t="s">
        <v>173</v>
      </c>
      <c r="D7975" s="500" t="s">
        <v>759</v>
      </c>
      <c r="E7975" s="501">
        <v>10004724.17</v>
      </c>
      <c r="F7975" s="502" t="s">
        <v>878</v>
      </c>
      <c r="G7975" s="100">
        <v>116789069</v>
      </c>
      <c r="H7975" s="484">
        <v>116789069</v>
      </c>
      <c r="I7975" s="422" t="s">
        <v>1018</v>
      </c>
      <c r="J7975" s="484"/>
      <c r="K7975" s="548"/>
      <c r="L7975" s="548"/>
      <c r="M7975" s="548"/>
      <c r="N7975" s="552"/>
    </row>
    <row r="7976" spans="1:20">
      <c r="A7976" s="499">
        <v>45768</v>
      </c>
      <c r="B7976" s="499">
        <v>45768</v>
      </c>
      <c r="C7976" s="500" t="s">
        <v>173</v>
      </c>
      <c r="D7976" s="500" t="s">
        <v>764</v>
      </c>
      <c r="E7976" s="501">
        <v>-159140198.25</v>
      </c>
      <c r="F7976" s="502" t="s">
        <v>878</v>
      </c>
      <c r="G7976" s="100">
        <v>116790350</v>
      </c>
      <c r="H7976" s="530"/>
      <c r="I7976" s="422" t="s">
        <v>678</v>
      </c>
      <c r="J7976" s="484"/>
      <c r="K7976" s="548"/>
      <c r="L7976" s="548"/>
      <c r="M7976" s="548"/>
      <c r="N7976" s="552"/>
    </row>
    <row r="7977" spans="1:20">
      <c r="A7977" s="499">
        <v>45768</v>
      </c>
      <c r="B7977" s="499">
        <v>45775</v>
      </c>
      <c r="C7977" s="500" t="s">
        <v>173</v>
      </c>
      <c r="D7977" s="500" t="s">
        <v>764</v>
      </c>
      <c r="E7977" s="501">
        <v>159631570.86000001</v>
      </c>
      <c r="F7977" s="502" t="s">
        <v>878</v>
      </c>
      <c r="G7977" s="100">
        <v>116790350</v>
      </c>
      <c r="H7977" s="100">
        <v>116790350</v>
      </c>
      <c r="I7977" s="422" t="s">
        <v>678</v>
      </c>
      <c r="J7977" s="484"/>
      <c r="K7977" s="548"/>
      <c r="L7977" s="548"/>
      <c r="M7977" s="548"/>
      <c r="N7977" s="552"/>
    </row>
    <row r="7978" spans="1:20">
      <c r="A7978" s="499">
        <v>45768</v>
      </c>
      <c r="B7978" s="499">
        <v>45768</v>
      </c>
      <c r="C7978" s="500" t="s">
        <v>173</v>
      </c>
      <c r="D7978" s="500" t="s">
        <v>763</v>
      </c>
      <c r="E7978" s="501">
        <v>-5594688752.4700003</v>
      </c>
      <c r="F7978" s="502" t="s">
        <v>878</v>
      </c>
      <c r="G7978" s="100">
        <v>116787767</v>
      </c>
      <c r="H7978" s="530"/>
      <c r="I7978" s="422" t="s">
        <v>684</v>
      </c>
      <c r="J7978" s="484"/>
      <c r="K7978" s="548"/>
      <c r="L7978" s="548"/>
      <c r="M7978" s="548"/>
      <c r="N7978" s="552"/>
    </row>
    <row r="7979" spans="1:20">
      <c r="A7979" s="499">
        <v>45768</v>
      </c>
      <c r="B7979" s="499">
        <v>45768</v>
      </c>
      <c r="C7979" s="500" t="s">
        <v>173</v>
      </c>
      <c r="D7979" s="500" t="s">
        <v>763</v>
      </c>
      <c r="E7979" s="501">
        <v>-26007053.18</v>
      </c>
      <c r="F7979" s="502" t="s">
        <v>878</v>
      </c>
      <c r="G7979" s="100">
        <v>116787823</v>
      </c>
      <c r="H7979" s="530"/>
      <c r="I7979" s="422" t="s">
        <v>1013</v>
      </c>
      <c r="J7979" s="484"/>
      <c r="K7979" s="548"/>
      <c r="L7979" s="548"/>
      <c r="M7979" s="548"/>
      <c r="N7979" s="552"/>
    </row>
    <row r="7980" spans="1:20">
      <c r="A7980" s="499">
        <v>45768</v>
      </c>
      <c r="B7980" s="499">
        <v>45769</v>
      </c>
      <c r="C7980" s="500" t="s">
        <v>173</v>
      </c>
      <c r="D7980" s="500" t="s">
        <v>763</v>
      </c>
      <c r="E7980" s="501">
        <v>5597102975.6300001</v>
      </c>
      <c r="F7980" s="502" t="s">
        <v>878</v>
      </c>
      <c r="G7980" s="100">
        <v>116787767</v>
      </c>
      <c r="H7980" s="100">
        <v>116787767</v>
      </c>
      <c r="I7980" s="422" t="s">
        <v>684</v>
      </c>
      <c r="J7980" s="484"/>
      <c r="K7980" s="548"/>
      <c r="L7980" s="548"/>
      <c r="M7980" s="548"/>
      <c r="N7980" s="552"/>
    </row>
    <row r="7981" spans="1:20">
      <c r="A7981" s="499">
        <v>45768</v>
      </c>
      <c r="B7981" s="499">
        <v>45769</v>
      </c>
      <c r="C7981" s="500" t="s">
        <v>173</v>
      </c>
      <c r="D7981" s="500" t="s">
        <v>763</v>
      </c>
      <c r="E7981" s="501">
        <v>26018275.829999998</v>
      </c>
      <c r="F7981" s="502" t="s">
        <v>878</v>
      </c>
      <c r="G7981" s="100">
        <v>116787823</v>
      </c>
      <c r="H7981" s="100">
        <v>116787823</v>
      </c>
      <c r="I7981" s="422" t="s">
        <v>1013</v>
      </c>
      <c r="J7981" s="484"/>
      <c r="K7981" s="548"/>
      <c r="L7981" s="548"/>
      <c r="M7981" s="548"/>
      <c r="N7981" s="552"/>
    </row>
    <row r="7982" spans="1:20">
      <c r="A7982" s="499">
        <v>45769</v>
      </c>
      <c r="B7982" s="499">
        <v>45769</v>
      </c>
      <c r="C7982" s="500" t="s">
        <v>173</v>
      </c>
      <c r="D7982" s="500" t="s">
        <v>761</v>
      </c>
      <c r="E7982" s="501">
        <v>-786195651.12</v>
      </c>
      <c r="F7982" s="502" t="s">
        <v>878</v>
      </c>
      <c r="G7982" s="100">
        <v>116807969</v>
      </c>
      <c r="H7982" s="530"/>
      <c r="I7982" s="422" t="s">
        <v>705</v>
      </c>
      <c r="J7982" s="484"/>
      <c r="K7982" s="548"/>
      <c r="L7982" s="548"/>
      <c r="M7982" s="548"/>
      <c r="N7982" s="552">
        <v>936912</v>
      </c>
      <c r="R7982" s="539">
        <v>839.13499999999999</v>
      </c>
      <c r="S7982" s="539">
        <v>841.72597300493499</v>
      </c>
      <c r="T7982" s="538">
        <v>16.100000000000001</v>
      </c>
    </row>
    <row r="7983" spans="1:20">
      <c r="A7983" s="499">
        <v>45769</v>
      </c>
      <c r="B7983" s="499">
        <v>45769</v>
      </c>
      <c r="C7983" s="500" t="s">
        <v>173</v>
      </c>
      <c r="D7983" s="500" t="s">
        <v>761</v>
      </c>
      <c r="E7983" s="501">
        <v>-5001244.5999999996</v>
      </c>
      <c r="F7983" s="502" t="s">
        <v>878</v>
      </c>
      <c r="G7983" s="100">
        <v>116808010</v>
      </c>
      <c r="H7983" s="530"/>
      <c r="I7983" s="422" t="s">
        <v>705</v>
      </c>
      <c r="J7983" s="484"/>
      <c r="K7983" s="548"/>
      <c r="L7983" s="548"/>
      <c r="M7983" s="548"/>
      <c r="N7983" s="552">
        <v>5960</v>
      </c>
      <c r="R7983" s="539">
        <v>839.13499999999999</v>
      </c>
      <c r="S7983" s="539">
        <v>841.72597315436201</v>
      </c>
      <c r="T7983" s="538">
        <v>16.100000000000001</v>
      </c>
    </row>
    <row r="7984" spans="1:20">
      <c r="A7984" s="499">
        <v>45769</v>
      </c>
      <c r="B7984" s="499">
        <v>45769</v>
      </c>
      <c r="C7984" s="500" t="s">
        <v>173</v>
      </c>
      <c r="D7984" s="500" t="s">
        <v>761</v>
      </c>
      <c r="E7984" s="501">
        <v>-497002525.56</v>
      </c>
      <c r="F7984" s="502" t="s">
        <v>878</v>
      </c>
      <c r="G7984" s="100">
        <v>116810029</v>
      </c>
      <c r="H7984" s="530"/>
      <c r="I7984" s="422" t="s">
        <v>633</v>
      </c>
      <c r="J7984" s="484"/>
      <c r="K7984" s="548"/>
      <c r="L7984" s="548"/>
      <c r="M7984" s="548"/>
      <c r="N7984" s="552">
        <v>944797</v>
      </c>
      <c r="R7984" s="539">
        <v>526.04160000508045</v>
      </c>
      <c r="S7984" s="539">
        <v>526.27421127501498</v>
      </c>
      <c r="T7984" s="538">
        <v>16.14</v>
      </c>
    </row>
    <row r="7985" spans="1:25">
      <c r="A7985" s="499">
        <v>45769</v>
      </c>
      <c r="B7985" s="499">
        <v>45769</v>
      </c>
      <c r="C7985" s="500" t="s">
        <v>173</v>
      </c>
      <c r="D7985" s="500" t="s">
        <v>761</v>
      </c>
      <c r="E7985" s="501">
        <v>-3000473.99</v>
      </c>
      <c r="F7985" s="502" t="s">
        <v>878</v>
      </c>
      <c r="G7985" s="100">
        <v>116811263</v>
      </c>
      <c r="H7985" s="530"/>
      <c r="I7985" s="422" t="s">
        <v>1013</v>
      </c>
      <c r="J7985" s="484"/>
      <c r="K7985" s="548"/>
      <c r="L7985" s="548"/>
      <c r="M7985" s="548"/>
      <c r="N7985" s="552">
        <v>6078</v>
      </c>
      <c r="R7985" s="539">
        <v>493.66140013162226</v>
      </c>
      <c r="S7985" s="539">
        <v>495.19134419216903</v>
      </c>
      <c r="T7985" s="538">
        <v>16.16</v>
      </c>
    </row>
    <row r="7986" spans="1:25">
      <c r="A7986" s="499">
        <v>45769</v>
      </c>
      <c r="B7986" s="499">
        <v>45776</v>
      </c>
      <c r="C7986" s="500" t="s">
        <v>173</v>
      </c>
      <c r="D7986" s="500" t="s">
        <v>761</v>
      </c>
      <c r="E7986" s="501">
        <v>788623164.82000005</v>
      </c>
      <c r="F7986" s="502" t="s">
        <v>878</v>
      </c>
      <c r="G7986" s="100">
        <v>116807969</v>
      </c>
      <c r="H7986" s="484">
        <v>116807969</v>
      </c>
      <c r="I7986" s="422" t="s">
        <v>705</v>
      </c>
      <c r="J7986" s="484"/>
      <c r="K7986" s="548"/>
      <c r="L7986" s="548"/>
      <c r="M7986" s="548"/>
      <c r="N7986" s="552">
        <v>936912</v>
      </c>
      <c r="R7986" s="539">
        <v>839.13499999999999</v>
      </c>
      <c r="S7986" s="539">
        <v>841.72597300493499</v>
      </c>
      <c r="T7986" s="538">
        <v>16.100000000000001</v>
      </c>
    </row>
    <row r="7987" spans="1:25">
      <c r="A7987" s="499">
        <v>45769</v>
      </c>
      <c r="B7987" s="499">
        <v>45776</v>
      </c>
      <c r="C7987" s="500" t="s">
        <v>173</v>
      </c>
      <c r="D7987" s="500" t="s">
        <v>761</v>
      </c>
      <c r="E7987" s="501">
        <v>5016686.8</v>
      </c>
      <c r="F7987" s="502" t="s">
        <v>878</v>
      </c>
      <c r="G7987" s="100">
        <v>116808010</v>
      </c>
      <c r="H7987" s="484">
        <v>116808010</v>
      </c>
      <c r="I7987" s="422" t="s">
        <v>705</v>
      </c>
      <c r="J7987" s="484"/>
      <c r="K7987" s="548"/>
      <c r="L7987" s="548"/>
      <c r="M7987" s="548"/>
      <c r="N7987" s="552">
        <v>5960</v>
      </c>
      <c r="R7987" s="539">
        <v>839.13499999999999</v>
      </c>
      <c r="S7987" s="539">
        <v>841.72597315436201</v>
      </c>
      <c r="T7987" s="538">
        <v>16.100000000000001</v>
      </c>
    </row>
    <row r="7988" spans="1:25">
      <c r="A7988" s="499">
        <v>45769</v>
      </c>
      <c r="B7988" s="499">
        <v>45770</v>
      </c>
      <c r="C7988" s="500" t="s">
        <v>173</v>
      </c>
      <c r="D7988" s="500" t="s">
        <v>761</v>
      </c>
      <c r="E7988" s="501">
        <v>497222295.99000001</v>
      </c>
      <c r="F7988" s="502" t="s">
        <v>878</v>
      </c>
      <c r="G7988" s="100">
        <v>116810029</v>
      </c>
      <c r="H7988" s="484">
        <v>116810029</v>
      </c>
      <c r="I7988" s="422" t="s">
        <v>633</v>
      </c>
      <c r="J7988" s="484"/>
      <c r="K7988" s="548"/>
      <c r="L7988" s="548"/>
      <c r="M7988" s="548"/>
      <c r="N7988" s="552">
        <v>944797</v>
      </c>
      <c r="R7988" s="539">
        <v>526.04160000508045</v>
      </c>
      <c r="S7988" s="539">
        <v>526.27421127501498</v>
      </c>
      <c r="T7988" s="538">
        <v>16.14</v>
      </c>
    </row>
    <row r="7989" spans="1:25">
      <c r="A7989" s="499">
        <v>45769</v>
      </c>
      <c r="B7989" s="499">
        <v>45776</v>
      </c>
      <c r="C7989" s="500" t="s">
        <v>173</v>
      </c>
      <c r="D7989" s="500" t="s">
        <v>761</v>
      </c>
      <c r="E7989" s="501">
        <v>3009772.99</v>
      </c>
      <c r="F7989" s="502" t="s">
        <v>878</v>
      </c>
      <c r="G7989" s="100">
        <v>116811263</v>
      </c>
      <c r="H7989" s="484">
        <v>116811263</v>
      </c>
      <c r="I7989" s="422" t="s">
        <v>1013</v>
      </c>
      <c r="J7989" s="484"/>
      <c r="K7989" s="548"/>
      <c r="L7989" s="548"/>
      <c r="M7989" s="548"/>
      <c r="N7989" s="552">
        <v>6078</v>
      </c>
      <c r="R7989" s="539">
        <v>493.66140013162226</v>
      </c>
      <c r="S7989" s="539">
        <v>495.19134419216903</v>
      </c>
      <c r="T7989" s="538">
        <v>16.16</v>
      </c>
    </row>
    <row r="7990" spans="1:25">
      <c r="A7990" s="499">
        <v>45769</v>
      </c>
      <c r="B7990" s="499">
        <v>45771</v>
      </c>
      <c r="C7990" s="500" t="s">
        <v>173</v>
      </c>
      <c r="D7990" s="500" t="s">
        <v>761</v>
      </c>
      <c r="E7990" s="501">
        <v>-649670986.55999994</v>
      </c>
      <c r="F7990" s="502" t="s">
        <v>906</v>
      </c>
      <c r="G7990" s="100" t="s">
        <v>476</v>
      </c>
      <c r="H7990" s="530"/>
      <c r="I7990" s="422" t="s">
        <v>677</v>
      </c>
      <c r="K7990" s="548">
        <v>116812780</v>
      </c>
      <c r="L7990" s="549">
        <v>85.706299999999999</v>
      </c>
      <c r="M7990" s="549">
        <f>E7990*(-1)/(N7990*O7990)*100</f>
        <v>88.150744445047479</v>
      </c>
      <c r="N7990" s="549">
        <v>737000</v>
      </c>
      <c r="O7990" s="539">
        <v>1000</v>
      </c>
      <c r="P7990" s="557">
        <v>87.788600000000002</v>
      </c>
      <c r="T7990" s="549">
        <v>15.4</v>
      </c>
      <c r="U7990" s="549">
        <v>0</v>
      </c>
      <c r="V7990" s="549">
        <v>64967.1</v>
      </c>
      <c r="W7990" s="550">
        <f>VLOOKUP(G7990,Справочник!A:C,3,0)</f>
        <v>0.11</v>
      </c>
      <c r="X7990" s="539" t="str">
        <f>VLOOKUP(G7990,Справочник!A:G,7,0)</f>
        <v>Министерство финансов Республики Казахстан</v>
      </c>
      <c r="Y7990" s="551">
        <f>VLOOKUP(G7990,Справочник!A:B,2,0)</f>
        <v>47518</v>
      </c>
    </row>
    <row r="7991" spans="1:25">
      <c r="A7991" s="499">
        <v>45769</v>
      </c>
      <c r="B7991" s="499">
        <v>45769</v>
      </c>
      <c r="C7991" s="500" t="s">
        <v>173</v>
      </c>
      <c r="D7991" s="500" t="s">
        <v>759</v>
      </c>
      <c r="E7991" s="501">
        <v>-2032010325.8099999</v>
      </c>
      <c r="F7991" s="502" t="s">
        <v>878</v>
      </c>
      <c r="G7991" s="100">
        <v>116805097</v>
      </c>
      <c r="H7991" s="530"/>
      <c r="I7991" s="422" t="s">
        <v>633</v>
      </c>
      <c r="J7991" s="484"/>
      <c r="K7991" s="548"/>
      <c r="L7991" s="548"/>
      <c r="M7991" s="548"/>
      <c r="N7991" s="552">
        <v>3862832</v>
      </c>
      <c r="R7991" s="539">
        <v>526.04159999968931</v>
      </c>
      <c r="S7991" s="539">
        <v>526.27449951227504</v>
      </c>
      <c r="T7991" s="538">
        <v>16.16</v>
      </c>
    </row>
    <row r="7992" spans="1:25">
      <c r="A7992" s="499">
        <v>45769</v>
      </c>
      <c r="B7992" s="499">
        <v>45769</v>
      </c>
      <c r="C7992" s="500" t="s">
        <v>173</v>
      </c>
      <c r="D7992" s="500" t="s">
        <v>759</v>
      </c>
      <c r="E7992" s="501">
        <v>-12008595.460000001</v>
      </c>
      <c r="F7992" s="502" t="s">
        <v>878</v>
      </c>
      <c r="G7992" s="100">
        <v>116805126</v>
      </c>
      <c r="H7992" s="530"/>
      <c r="I7992" s="422" t="s">
        <v>674</v>
      </c>
      <c r="J7992" s="484"/>
      <c r="K7992" s="548"/>
      <c r="L7992" s="548"/>
      <c r="M7992" s="548"/>
      <c r="N7992" s="552">
        <v>13056</v>
      </c>
      <c r="R7992" s="539">
        <v>919.77600030637257</v>
      </c>
      <c r="S7992" s="539">
        <v>920.17919194240199</v>
      </c>
      <c r="T7992" s="538">
        <v>16.0001</v>
      </c>
    </row>
    <row r="7993" spans="1:25">
      <c r="A7993" s="499">
        <v>45769</v>
      </c>
      <c r="B7993" s="499">
        <v>45770</v>
      </c>
      <c r="C7993" s="500" t="s">
        <v>173</v>
      </c>
      <c r="D7993" s="500" t="s">
        <v>759</v>
      </c>
      <c r="E7993" s="501">
        <v>2032909977.5</v>
      </c>
      <c r="F7993" s="502" t="s">
        <v>878</v>
      </c>
      <c r="G7993" s="100">
        <v>116805097</v>
      </c>
      <c r="H7993" s="100">
        <v>116805097</v>
      </c>
      <c r="I7993" s="422" t="s">
        <v>633</v>
      </c>
      <c r="J7993" s="484"/>
      <c r="K7993" s="548"/>
      <c r="L7993" s="548"/>
      <c r="M7993" s="548"/>
      <c r="N7993" s="552">
        <v>3862832</v>
      </c>
      <c r="R7993" s="539">
        <v>526.04159999968931</v>
      </c>
      <c r="S7993" s="539">
        <v>526.27449951227504</v>
      </c>
      <c r="T7993" s="538">
        <v>16.16</v>
      </c>
    </row>
    <row r="7994" spans="1:25">
      <c r="A7994" s="499">
        <v>45769</v>
      </c>
      <c r="B7994" s="499">
        <v>45770</v>
      </c>
      <c r="C7994" s="500" t="s">
        <v>173</v>
      </c>
      <c r="D7994" s="500" t="s">
        <v>759</v>
      </c>
      <c r="E7994" s="501">
        <v>12013859.529999999</v>
      </c>
      <c r="F7994" s="502" t="s">
        <v>878</v>
      </c>
      <c r="G7994" s="100">
        <v>116805126</v>
      </c>
      <c r="H7994" s="100">
        <v>116805126</v>
      </c>
      <c r="I7994" s="422" t="s">
        <v>674</v>
      </c>
      <c r="J7994" s="484"/>
      <c r="K7994" s="548"/>
      <c r="L7994" s="548"/>
      <c r="M7994" s="548"/>
      <c r="N7994" s="552">
        <v>13056</v>
      </c>
      <c r="R7994" s="539">
        <v>919.77600030637257</v>
      </c>
      <c r="S7994" s="539">
        <v>920.17919194240199</v>
      </c>
      <c r="T7994" s="538">
        <v>16.0001</v>
      </c>
    </row>
    <row r="7995" spans="1:25">
      <c r="A7995" s="499">
        <v>45769</v>
      </c>
      <c r="B7995" s="499">
        <v>45769</v>
      </c>
      <c r="C7995" s="500" t="s">
        <v>173</v>
      </c>
      <c r="D7995" s="500" t="s">
        <v>763</v>
      </c>
      <c r="E7995" s="501">
        <v>-5593503275.1999998</v>
      </c>
      <c r="F7995" s="502" t="s">
        <v>878</v>
      </c>
      <c r="G7995" s="100">
        <v>116804532</v>
      </c>
      <c r="H7995" s="530"/>
      <c r="I7995" s="422" t="s">
        <v>684</v>
      </c>
      <c r="J7995" s="484"/>
      <c r="K7995" s="548"/>
      <c r="L7995" s="548"/>
      <c r="M7995" s="548"/>
      <c r="N7995" s="552">
        <v>5294677</v>
      </c>
      <c r="R7995" s="539">
        <v>1056.4390000000001</v>
      </c>
      <c r="S7995" s="539">
        <v>1056.8963223120099</v>
      </c>
      <c r="T7995" s="538">
        <v>15.8005</v>
      </c>
    </row>
    <row r="7996" spans="1:25">
      <c r="A7996" s="499">
        <v>45769</v>
      </c>
      <c r="B7996" s="499">
        <v>45769</v>
      </c>
      <c r="C7996" s="500" t="s">
        <v>173</v>
      </c>
      <c r="D7996" s="500" t="s">
        <v>763</v>
      </c>
      <c r="E7996" s="501">
        <v>-30013431.989999998</v>
      </c>
      <c r="F7996" s="502" t="s">
        <v>878</v>
      </c>
      <c r="G7996" s="100">
        <v>116804563</v>
      </c>
      <c r="H7996" s="530"/>
      <c r="I7996" s="422" t="s">
        <v>684</v>
      </c>
      <c r="J7996" s="484"/>
      <c r="K7996" s="548"/>
      <c r="L7996" s="548"/>
      <c r="M7996" s="548"/>
      <c r="N7996" s="552">
        <v>28410</v>
      </c>
      <c r="R7996" s="539">
        <v>1056.4390000000001</v>
      </c>
      <c r="S7996" s="539">
        <v>1056.89632242168</v>
      </c>
      <c r="T7996" s="538">
        <v>15.8005</v>
      </c>
    </row>
    <row r="7997" spans="1:25">
      <c r="A7997" s="499">
        <v>45769</v>
      </c>
      <c r="B7997" s="499">
        <v>45770</v>
      </c>
      <c r="C7997" s="500" t="s">
        <v>173</v>
      </c>
      <c r="D7997" s="500" t="s">
        <v>763</v>
      </c>
      <c r="E7997" s="501">
        <v>5595924649.1300001</v>
      </c>
      <c r="F7997" s="502" t="s">
        <v>878</v>
      </c>
      <c r="G7997" s="100">
        <v>116804532</v>
      </c>
      <c r="H7997" s="100">
        <v>116804532</v>
      </c>
      <c r="I7997" s="422" t="s">
        <v>684</v>
      </c>
      <c r="J7997" s="484"/>
      <c r="K7997" s="548"/>
      <c r="L7997" s="548"/>
      <c r="M7997" s="548"/>
      <c r="N7997" s="552">
        <v>5294677</v>
      </c>
      <c r="R7997" s="539">
        <v>1056.4390000000001</v>
      </c>
      <c r="S7997" s="539">
        <v>1056.8963223120099</v>
      </c>
      <c r="T7997" s="538">
        <v>15.8005</v>
      </c>
    </row>
    <row r="7998" spans="1:25">
      <c r="A7998" s="499">
        <v>45769</v>
      </c>
      <c r="B7998" s="499">
        <v>45770</v>
      </c>
      <c r="C7998" s="500" t="s">
        <v>173</v>
      </c>
      <c r="D7998" s="500" t="s">
        <v>763</v>
      </c>
      <c r="E7998" s="501">
        <v>30026424.52</v>
      </c>
      <c r="F7998" s="502" t="s">
        <v>878</v>
      </c>
      <c r="G7998" s="100">
        <v>116804563</v>
      </c>
      <c r="H7998" s="100">
        <v>116804563</v>
      </c>
      <c r="I7998" s="422" t="s">
        <v>684</v>
      </c>
      <c r="J7998" s="484"/>
      <c r="K7998" s="548"/>
      <c r="L7998" s="548"/>
      <c r="M7998" s="548"/>
      <c r="N7998" s="552">
        <v>28410</v>
      </c>
      <c r="R7998" s="539">
        <v>1056.4390000000001</v>
      </c>
      <c r="S7998" s="539">
        <v>1056.89632242168</v>
      </c>
      <c r="T7998" s="538">
        <v>15.8005</v>
      </c>
    </row>
    <row r="7999" spans="1:25">
      <c r="A7999" s="499">
        <v>45770</v>
      </c>
      <c r="B7999" s="499">
        <v>45770</v>
      </c>
      <c r="C7999" s="500" t="s">
        <v>173</v>
      </c>
      <c r="D7999" s="500" t="s">
        <v>761</v>
      </c>
      <c r="E7999" s="501">
        <v>-1137550539.95</v>
      </c>
      <c r="F7999" s="502" t="s">
        <v>878</v>
      </c>
      <c r="G7999" s="100">
        <v>116821323</v>
      </c>
      <c r="H7999" s="530"/>
      <c r="I7999" s="422" t="s">
        <v>676</v>
      </c>
      <c r="J7999" s="484"/>
      <c r="K7999" s="548"/>
      <c r="L7999" s="548"/>
      <c r="M7999" s="548"/>
      <c r="N7999" s="552">
        <v>1198398</v>
      </c>
      <c r="R7999" s="539">
        <v>949.22600000166892</v>
      </c>
      <c r="S7999" s="539">
        <v>952.16599998497998</v>
      </c>
      <c r="T7999" s="538">
        <v>16.149999999999999</v>
      </c>
    </row>
    <row r="8000" spans="1:25">
      <c r="A8000" s="499">
        <v>45770</v>
      </c>
      <c r="B8000" s="499">
        <v>45770</v>
      </c>
      <c r="C8000" s="500" t="s">
        <v>173</v>
      </c>
      <c r="D8000" s="500" t="s">
        <v>761</v>
      </c>
      <c r="E8000" s="501">
        <v>-1143887518.9300001</v>
      </c>
      <c r="F8000" s="502" t="s">
        <v>878</v>
      </c>
      <c r="G8000" s="100">
        <v>116823382</v>
      </c>
      <c r="H8000" s="530"/>
      <c r="I8000" s="422" t="s">
        <v>674</v>
      </c>
      <c r="J8000" s="484"/>
      <c r="K8000" s="548"/>
      <c r="L8000" s="548"/>
      <c r="M8000" s="548"/>
      <c r="N8000" s="552">
        <v>1247013</v>
      </c>
      <c r="R8000" s="539">
        <v>917.3020000032077</v>
      </c>
      <c r="S8000" s="539">
        <v>917.70410499329205</v>
      </c>
      <c r="T8000" s="538">
        <v>16</v>
      </c>
    </row>
    <row r="8001" spans="1:20">
      <c r="A8001" s="499">
        <v>45770</v>
      </c>
      <c r="B8001" s="499">
        <v>45770</v>
      </c>
      <c r="C8001" s="500" t="s">
        <v>173</v>
      </c>
      <c r="D8001" s="500" t="s">
        <v>761</v>
      </c>
      <c r="E8001" s="501">
        <v>-12009317.779999999</v>
      </c>
      <c r="F8001" s="502" t="s">
        <v>878</v>
      </c>
      <c r="G8001" s="100">
        <v>116823422</v>
      </c>
      <c r="H8001" s="530"/>
      <c r="I8001" s="422" t="s">
        <v>674</v>
      </c>
      <c r="J8001" s="484"/>
      <c r="K8001" s="548"/>
      <c r="L8001" s="548"/>
      <c r="M8001" s="548"/>
      <c r="N8001" s="552">
        <v>13092</v>
      </c>
      <c r="R8001" s="539">
        <v>917.30199969446983</v>
      </c>
      <c r="S8001" s="539">
        <v>917.704104796823</v>
      </c>
      <c r="T8001" s="538">
        <v>16</v>
      </c>
    </row>
    <row r="8002" spans="1:20">
      <c r="A8002" s="499">
        <v>45770</v>
      </c>
      <c r="B8002" s="499">
        <v>45777</v>
      </c>
      <c r="C8002" s="500" t="s">
        <v>173</v>
      </c>
      <c r="D8002" s="500" t="s">
        <v>761</v>
      </c>
      <c r="E8002" s="501">
        <v>1141073830.05</v>
      </c>
      <c r="F8002" s="502" t="s">
        <v>878</v>
      </c>
      <c r="G8002" s="100">
        <v>116821323</v>
      </c>
      <c r="H8002" s="484">
        <v>116821323</v>
      </c>
      <c r="I8002" s="422" t="s">
        <v>676</v>
      </c>
      <c r="J8002" s="484"/>
      <c r="K8002" s="548"/>
      <c r="L8002" s="548"/>
      <c r="M8002" s="548"/>
      <c r="N8002" s="552">
        <v>1198398</v>
      </c>
      <c r="R8002" s="539">
        <v>949.22600000166892</v>
      </c>
      <c r="S8002" s="539">
        <v>952.16599998497998</v>
      </c>
      <c r="T8002" s="538">
        <v>16.149999999999999</v>
      </c>
    </row>
    <row r="8003" spans="1:20">
      <c r="A8003" s="499">
        <v>45770</v>
      </c>
      <c r="B8003" s="499">
        <v>45771</v>
      </c>
      <c r="C8003" s="500" t="s">
        <v>173</v>
      </c>
      <c r="D8003" s="500" t="s">
        <v>761</v>
      </c>
      <c r="E8003" s="501">
        <v>1144388949.0799999</v>
      </c>
      <c r="F8003" s="502" t="s">
        <v>878</v>
      </c>
      <c r="G8003" s="100">
        <v>116823382</v>
      </c>
      <c r="H8003" s="484">
        <v>116823382</v>
      </c>
      <c r="I8003" s="422" t="s">
        <v>674</v>
      </c>
      <c r="J8003" s="484"/>
      <c r="K8003" s="548"/>
      <c r="L8003" s="548"/>
      <c r="M8003" s="548"/>
      <c r="N8003" s="552">
        <v>1247013</v>
      </c>
      <c r="R8003" s="539">
        <v>917.3020000032077</v>
      </c>
      <c r="S8003" s="539">
        <v>917.70410499329205</v>
      </c>
      <c r="T8003" s="538">
        <v>16</v>
      </c>
    </row>
    <row r="8004" spans="1:20">
      <c r="A8004" s="499">
        <v>45770</v>
      </c>
      <c r="B8004" s="499">
        <v>45771</v>
      </c>
      <c r="C8004" s="500" t="s">
        <v>173</v>
      </c>
      <c r="D8004" s="500" t="s">
        <v>761</v>
      </c>
      <c r="E8004" s="501">
        <v>12014582.140000001</v>
      </c>
      <c r="F8004" s="502" t="s">
        <v>878</v>
      </c>
      <c r="G8004" s="100">
        <v>116823422</v>
      </c>
      <c r="H8004" s="484">
        <v>116823422</v>
      </c>
      <c r="I8004" s="422" t="s">
        <v>674</v>
      </c>
      <c r="J8004" s="484"/>
      <c r="K8004" s="548"/>
      <c r="L8004" s="548"/>
      <c r="M8004" s="548"/>
      <c r="N8004" s="552">
        <v>13092</v>
      </c>
      <c r="R8004" s="539">
        <v>917.30199969446983</v>
      </c>
      <c r="S8004" s="539">
        <v>917.704104796823</v>
      </c>
      <c r="T8004" s="538">
        <v>16</v>
      </c>
    </row>
    <row r="8005" spans="1:20">
      <c r="A8005" s="499">
        <v>45770</v>
      </c>
      <c r="B8005" s="499">
        <v>45770</v>
      </c>
      <c r="C8005" s="500" t="s">
        <v>173</v>
      </c>
      <c r="D8005" s="500" t="s">
        <v>759</v>
      </c>
      <c r="E8005" s="501">
        <v>-660052450.52999997</v>
      </c>
      <c r="F8005" s="502" t="s">
        <v>878</v>
      </c>
      <c r="G8005" s="100">
        <v>116819961</v>
      </c>
      <c r="H8005" s="530"/>
      <c r="I8005" s="422" t="s">
        <v>633</v>
      </c>
      <c r="J8005" s="484"/>
      <c r="K8005" s="548"/>
      <c r="L8005" s="548"/>
      <c r="M8005" s="548"/>
      <c r="N8005" s="552">
        <v>1257300</v>
      </c>
      <c r="R8005" s="539">
        <v>990.08</v>
      </c>
      <c r="S8005" s="539">
        <v>495.04</v>
      </c>
      <c r="T8005" s="538">
        <v>16</v>
      </c>
    </row>
    <row r="8006" spans="1:20">
      <c r="A8006" s="499">
        <v>45770</v>
      </c>
      <c r="B8006" s="499">
        <v>45770</v>
      </c>
      <c r="C8006" s="500" t="s">
        <v>173</v>
      </c>
      <c r="D8006" s="500" t="s">
        <v>759</v>
      </c>
      <c r="E8006" s="501">
        <v>-1373109113</v>
      </c>
      <c r="F8006" s="502" t="s">
        <v>878</v>
      </c>
      <c r="G8006" s="100">
        <v>116819966</v>
      </c>
      <c r="H8006" s="530"/>
      <c r="I8006" s="422" t="s">
        <v>633</v>
      </c>
      <c r="J8006" s="484"/>
      <c r="K8006" s="548"/>
      <c r="L8006" s="548"/>
      <c r="M8006" s="548"/>
      <c r="N8006" s="552">
        <v>2615565</v>
      </c>
      <c r="R8006" s="539">
        <v>2059.66</v>
      </c>
      <c r="S8006" s="539">
        <v>1029.83</v>
      </c>
      <c r="T8006" s="538">
        <v>16</v>
      </c>
    </row>
    <row r="8007" spans="1:20">
      <c r="A8007" s="499">
        <v>45770</v>
      </c>
      <c r="B8007" s="499">
        <v>45770</v>
      </c>
      <c r="C8007" s="500" t="s">
        <v>173</v>
      </c>
      <c r="D8007" s="500" t="s">
        <v>759</v>
      </c>
      <c r="E8007" s="501">
        <v>-12000953.65</v>
      </c>
      <c r="F8007" s="502" t="s">
        <v>878</v>
      </c>
      <c r="G8007" s="100">
        <v>116819991</v>
      </c>
      <c r="H8007" s="530"/>
      <c r="I8007" s="422" t="s">
        <v>633</v>
      </c>
      <c r="J8007" s="484"/>
      <c r="K8007" s="548"/>
      <c r="L8007" s="548"/>
      <c r="M8007" s="548"/>
      <c r="N8007" s="552">
        <v>22860</v>
      </c>
      <c r="R8007" s="539">
        <v>39.32</v>
      </c>
      <c r="S8007" s="539">
        <v>9</v>
      </c>
      <c r="T8007" s="538">
        <v>16</v>
      </c>
    </row>
    <row r="8008" spans="1:20">
      <c r="A8008" s="499">
        <v>45770</v>
      </c>
      <c r="B8008" s="499">
        <v>45771</v>
      </c>
      <c r="C8008" s="500" t="s">
        <v>173</v>
      </c>
      <c r="D8008" s="500" t="s">
        <v>759</v>
      </c>
      <c r="E8008" s="501">
        <v>660341788.59000003</v>
      </c>
      <c r="F8008" s="502" t="s">
        <v>878</v>
      </c>
      <c r="G8008" s="100">
        <v>116819961</v>
      </c>
      <c r="H8008" s="484">
        <v>116819961</v>
      </c>
      <c r="I8008" s="422" t="s">
        <v>633</v>
      </c>
      <c r="J8008" s="484"/>
      <c r="K8008" s="548"/>
      <c r="L8008" s="548"/>
      <c r="M8008" s="548"/>
      <c r="N8008" s="552">
        <v>1257300</v>
      </c>
      <c r="R8008" s="539">
        <v>990.08</v>
      </c>
      <c r="S8008" s="539">
        <v>495.04</v>
      </c>
      <c r="T8008" s="538">
        <v>16</v>
      </c>
    </row>
    <row r="8009" spans="1:20">
      <c r="A8009" s="499">
        <v>45770</v>
      </c>
      <c r="B8009" s="499">
        <v>45771</v>
      </c>
      <c r="C8009" s="500" t="s">
        <v>173</v>
      </c>
      <c r="D8009" s="500" t="s">
        <v>759</v>
      </c>
      <c r="E8009" s="501">
        <v>1373711023.8399999</v>
      </c>
      <c r="F8009" s="502" t="s">
        <v>878</v>
      </c>
      <c r="G8009" s="100">
        <v>116819966</v>
      </c>
      <c r="H8009" s="484">
        <v>116819966</v>
      </c>
      <c r="I8009" s="422" t="s">
        <v>633</v>
      </c>
      <c r="J8009" s="484"/>
      <c r="K8009" s="548"/>
      <c r="L8009" s="548"/>
      <c r="M8009" s="548"/>
      <c r="N8009" s="552">
        <v>2615565</v>
      </c>
      <c r="R8009" s="539">
        <v>2059.66</v>
      </c>
      <c r="S8009" s="539">
        <v>1029.83</v>
      </c>
      <c r="T8009" s="538">
        <v>16</v>
      </c>
    </row>
    <row r="8010" spans="1:20">
      <c r="A8010" s="499">
        <v>45770</v>
      </c>
      <c r="B8010" s="499">
        <v>45771</v>
      </c>
      <c r="C8010" s="500" t="s">
        <v>173</v>
      </c>
      <c r="D8010" s="500" t="s">
        <v>759</v>
      </c>
      <c r="E8010" s="501">
        <v>12006214.34</v>
      </c>
      <c r="F8010" s="502" t="s">
        <v>878</v>
      </c>
      <c r="G8010" s="100">
        <v>116819991</v>
      </c>
      <c r="H8010" s="484">
        <v>116819991</v>
      </c>
      <c r="I8010" s="422" t="s">
        <v>633</v>
      </c>
      <c r="J8010" s="484"/>
      <c r="K8010" s="548"/>
      <c r="L8010" s="548"/>
      <c r="M8010" s="548"/>
      <c r="N8010" s="552">
        <v>22860</v>
      </c>
      <c r="R8010" s="539">
        <v>39.32</v>
      </c>
      <c r="S8010" s="539">
        <v>9</v>
      </c>
      <c r="T8010" s="538">
        <v>16</v>
      </c>
    </row>
    <row r="8011" spans="1:20">
      <c r="A8011" s="499">
        <v>45770</v>
      </c>
      <c r="B8011" s="499">
        <v>45770</v>
      </c>
      <c r="C8011" s="500" t="s">
        <v>173</v>
      </c>
      <c r="D8011" s="500" t="s">
        <v>760</v>
      </c>
      <c r="E8011" s="501">
        <v>-261093642.21000001</v>
      </c>
      <c r="F8011" s="502" t="s">
        <v>878</v>
      </c>
      <c r="G8011" s="100">
        <v>116824055</v>
      </c>
      <c r="H8011" s="530"/>
      <c r="I8011" s="422" t="s">
        <v>550</v>
      </c>
      <c r="J8011" s="484"/>
      <c r="K8011" s="548"/>
      <c r="L8011" s="548"/>
      <c r="M8011" s="548"/>
      <c r="N8011" s="552">
        <v>499032</v>
      </c>
      <c r="R8011" s="539">
        <v>523.2002</v>
      </c>
      <c r="S8011" s="539">
        <v>524.82569416390095</v>
      </c>
      <c r="T8011" s="538">
        <v>16.1999</v>
      </c>
    </row>
    <row r="8012" spans="1:20">
      <c r="A8012" s="499">
        <v>45770</v>
      </c>
      <c r="B8012" s="499">
        <v>45770</v>
      </c>
      <c r="C8012" s="500" t="s">
        <v>173</v>
      </c>
      <c r="D8012" s="500" t="s">
        <v>760</v>
      </c>
      <c r="E8012" s="501">
        <v>-82027518.299999997</v>
      </c>
      <c r="F8012" s="502" t="s">
        <v>878</v>
      </c>
      <c r="G8012" s="100">
        <v>116824059</v>
      </c>
      <c r="H8012" s="530"/>
      <c r="I8012" s="422" t="s">
        <v>1013</v>
      </c>
      <c r="J8012" s="484"/>
      <c r="K8012" s="548"/>
      <c r="L8012" s="548"/>
      <c r="M8012" s="548"/>
      <c r="N8012" s="552">
        <v>166870</v>
      </c>
      <c r="R8012" s="539">
        <v>491.56540000000001</v>
      </c>
      <c r="S8012" s="539">
        <v>493.09261023551301</v>
      </c>
      <c r="T8012" s="538">
        <v>16.1999</v>
      </c>
    </row>
    <row r="8013" spans="1:20">
      <c r="A8013" s="499">
        <v>45770</v>
      </c>
      <c r="B8013" s="499">
        <v>45770</v>
      </c>
      <c r="C8013" s="500" t="s">
        <v>173</v>
      </c>
      <c r="D8013" s="500" t="s">
        <v>760</v>
      </c>
      <c r="E8013" s="501">
        <v>-165059199.09999999</v>
      </c>
      <c r="F8013" s="502" t="s">
        <v>878</v>
      </c>
      <c r="G8013" s="100">
        <v>116825613</v>
      </c>
      <c r="H8013" s="530"/>
      <c r="I8013" s="422" t="s">
        <v>550</v>
      </c>
      <c r="J8013" s="484"/>
      <c r="K8013" s="548"/>
      <c r="L8013" s="548"/>
      <c r="M8013" s="548"/>
      <c r="N8013" s="552">
        <v>315480</v>
      </c>
      <c r="R8013" s="539">
        <v>523.2002</v>
      </c>
      <c r="S8013" s="539">
        <v>524.82569414859904</v>
      </c>
      <c r="T8013" s="538">
        <v>16.1999</v>
      </c>
    </row>
    <row r="8014" spans="1:20">
      <c r="A8014" s="499">
        <v>45770</v>
      </c>
      <c r="B8014" s="499">
        <v>45770</v>
      </c>
      <c r="C8014" s="500" t="s">
        <v>173</v>
      </c>
      <c r="D8014" s="500" t="s">
        <v>760</v>
      </c>
      <c r="E8014" s="501">
        <v>-39013087.969999999</v>
      </c>
      <c r="F8014" s="502" t="s">
        <v>878</v>
      </c>
      <c r="G8014" s="100">
        <v>116825664</v>
      </c>
      <c r="H8014" s="530"/>
      <c r="I8014" s="422" t="s">
        <v>1013</v>
      </c>
      <c r="J8014" s="484"/>
      <c r="K8014" s="548"/>
      <c r="L8014" s="548"/>
      <c r="M8014" s="548"/>
      <c r="N8014" s="552">
        <v>79365</v>
      </c>
      <c r="R8014" s="539">
        <v>491.56540000000001</v>
      </c>
      <c r="S8014" s="539">
        <v>493.087915453915</v>
      </c>
      <c r="T8014" s="538">
        <v>16.150099999999998</v>
      </c>
    </row>
    <row r="8015" spans="1:20">
      <c r="A8015" s="499">
        <v>45770</v>
      </c>
      <c r="B8015" s="499">
        <v>45770</v>
      </c>
      <c r="C8015" s="500" t="s">
        <v>173</v>
      </c>
      <c r="D8015" s="500" t="s">
        <v>760</v>
      </c>
      <c r="E8015" s="501">
        <v>-1003359858.75</v>
      </c>
      <c r="F8015" s="502" t="s">
        <v>878</v>
      </c>
      <c r="G8015" s="100">
        <v>116825667</v>
      </c>
      <c r="H8015" s="530"/>
      <c r="I8015" s="422" t="s">
        <v>550</v>
      </c>
      <c r="J8015" s="484"/>
      <c r="K8015" s="548"/>
      <c r="L8015" s="548"/>
      <c r="M8015" s="548"/>
      <c r="N8015" s="552">
        <v>1917736</v>
      </c>
      <c r="R8015" s="539">
        <v>523.2002</v>
      </c>
      <c r="S8015" s="539">
        <v>524.82068719573499</v>
      </c>
      <c r="T8015" s="538">
        <v>16.149999999999999</v>
      </c>
    </row>
    <row r="8016" spans="1:20">
      <c r="A8016" s="499">
        <v>45770</v>
      </c>
      <c r="B8016" s="499">
        <v>45770</v>
      </c>
      <c r="C8016" s="500" t="s">
        <v>173</v>
      </c>
      <c r="D8016" s="500" t="s">
        <v>760</v>
      </c>
      <c r="E8016" s="501">
        <v>-451161810.86000001</v>
      </c>
      <c r="F8016" s="502" t="s">
        <v>878</v>
      </c>
      <c r="G8016" s="100">
        <v>116825698</v>
      </c>
      <c r="H8016" s="530"/>
      <c r="I8016" s="422" t="s">
        <v>550</v>
      </c>
      <c r="J8016" s="484"/>
      <c r="K8016" s="548"/>
      <c r="L8016" s="548"/>
      <c r="M8016" s="548"/>
      <c r="N8016" s="552">
        <v>862312</v>
      </c>
      <c r="R8016" s="539">
        <v>523.2002</v>
      </c>
      <c r="S8016" s="539">
        <v>524.82068718746802</v>
      </c>
      <c r="T8016" s="538">
        <v>16.149999999999999</v>
      </c>
    </row>
    <row r="8017" spans="1:20">
      <c r="A8017" s="499">
        <v>45770</v>
      </c>
      <c r="B8017" s="499">
        <v>45777</v>
      </c>
      <c r="C8017" s="500" t="s">
        <v>173</v>
      </c>
      <c r="D8017" s="500" t="s">
        <v>760</v>
      </c>
      <c r="E8017" s="501">
        <v>261904815.81</v>
      </c>
      <c r="F8017" s="502" t="s">
        <v>878</v>
      </c>
      <c r="G8017" s="100">
        <v>116824055</v>
      </c>
      <c r="H8017" s="484">
        <v>116824055</v>
      </c>
      <c r="I8017" s="422" t="s">
        <v>550</v>
      </c>
      <c r="J8017" s="484"/>
      <c r="K8017" s="548"/>
      <c r="L8017" s="548"/>
      <c r="M8017" s="548"/>
      <c r="N8017" s="552">
        <v>499032</v>
      </c>
      <c r="R8017" s="539">
        <v>523.2002</v>
      </c>
      <c r="S8017" s="539">
        <v>524.82569416390095</v>
      </c>
      <c r="T8017" s="538">
        <v>16.1999</v>
      </c>
    </row>
    <row r="8018" spans="1:20">
      <c r="A8018" s="499">
        <v>45770</v>
      </c>
      <c r="B8018" s="499">
        <v>45777</v>
      </c>
      <c r="C8018" s="500" t="s">
        <v>173</v>
      </c>
      <c r="D8018" s="500" t="s">
        <v>760</v>
      </c>
      <c r="E8018" s="501">
        <v>82282363.870000005</v>
      </c>
      <c r="F8018" s="502" t="s">
        <v>878</v>
      </c>
      <c r="G8018" s="100">
        <v>116824059</v>
      </c>
      <c r="H8018" s="484">
        <v>116824059</v>
      </c>
      <c r="I8018" s="422" t="s">
        <v>1013</v>
      </c>
      <c r="J8018" s="484"/>
      <c r="K8018" s="548"/>
      <c r="L8018" s="548"/>
      <c r="M8018" s="548"/>
      <c r="N8018" s="552">
        <v>166870</v>
      </c>
      <c r="R8018" s="539">
        <v>491.56540000000001</v>
      </c>
      <c r="S8018" s="539">
        <v>493.09261023551301</v>
      </c>
      <c r="T8018" s="538">
        <v>16.1999</v>
      </c>
    </row>
    <row r="8019" spans="1:20">
      <c r="A8019" s="499">
        <v>45770</v>
      </c>
      <c r="B8019" s="499">
        <v>45777</v>
      </c>
      <c r="C8019" s="500" t="s">
        <v>173</v>
      </c>
      <c r="D8019" s="500" t="s">
        <v>760</v>
      </c>
      <c r="E8019" s="501">
        <v>165572009.99000001</v>
      </c>
      <c r="F8019" s="502" t="s">
        <v>878</v>
      </c>
      <c r="G8019" s="100">
        <v>116825613</v>
      </c>
      <c r="H8019" s="484">
        <v>116825613</v>
      </c>
      <c r="I8019" s="422" t="s">
        <v>550</v>
      </c>
      <c r="J8019" s="484"/>
      <c r="K8019" s="548"/>
      <c r="L8019" s="548"/>
      <c r="M8019" s="548"/>
      <c r="N8019" s="552">
        <v>315480</v>
      </c>
      <c r="R8019" s="539">
        <v>523.2002</v>
      </c>
      <c r="S8019" s="539">
        <v>524.82569414859904</v>
      </c>
      <c r="T8019" s="538">
        <v>16.1999</v>
      </c>
    </row>
    <row r="8020" spans="1:20">
      <c r="A8020" s="499">
        <v>45770</v>
      </c>
      <c r="B8020" s="499">
        <v>45777</v>
      </c>
      <c r="C8020" s="500" t="s">
        <v>173</v>
      </c>
      <c r="D8020" s="500" t="s">
        <v>760</v>
      </c>
      <c r="E8020" s="501">
        <v>39133922.409999996</v>
      </c>
      <c r="F8020" s="502" t="s">
        <v>878</v>
      </c>
      <c r="G8020" s="100">
        <v>116825664</v>
      </c>
      <c r="H8020" s="484">
        <v>116825664</v>
      </c>
      <c r="I8020" s="422" t="s">
        <v>1013</v>
      </c>
      <c r="J8020" s="484"/>
      <c r="K8020" s="548"/>
      <c r="L8020" s="548"/>
      <c r="M8020" s="548"/>
      <c r="N8020" s="552">
        <v>79365</v>
      </c>
      <c r="R8020" s="539">
        <v>491.56540000000001</v>
      </c>
      <c r="S8020" s="539">
        <v>493.087915453915</v>
      </c>
      <c r="T8020" s="538">
        <v>16.150099999999998</v>
      </c>
    </row>
    <row r="8021" spans="1:20">
      <c r="A8021" s="499">
        <v>45770</v>
      </c>
      <c r="B8021" s="499">
        <v>45777</v>
      </c>
      <c r="C8021" s="500" t="s">
        <v>173</v>
      </c>
      <c r="D8021" s="500" t="s">
        <v>760</v>
      </c>
      <c r="E8021" s="501">
        <v>1006467525.38</v>
      </c>
      <c r="F8021" s="502" t="s">
        <v>878</v>
      </c>
      <c r="G8021" s="100">
        <v>116825667</v>
      </c>
      <c r="H8021" s="484">
        <v>116825667</v>
      </c>
      <c r="I8021" s="422" t="s">
        <v>550</v>
      </c>
      <c r="J8021" s="484"/>
      <c r="K8021" s="548"/>
      <c r="L8021" s="548"/>
      <c r="M8021" s="548"/>
      <c r="N8021" s="552">
        <v>1917736</v>
      </c>
      <c r="R8021" s="539">
        <v>523.2002</v>
      </c>
      <c r="S8021" s="539">
        <v>524.82068719573499</v>
      </c>
      <c r="T8021" s="538">
        <v>16.149999999999999</v>
      </c>
    </row>
    <row r="8022" spans="1:20">
      <c r="A8022" s="499">
        <v>45770</v>
      </c>
      <c r="B8022" s="499">
        <v>45777</v>
      </c>
      <c r="C8022" s="500" t="s">
        <v>173</v>
      </c>
      <c r="D8022" s="500" t="s">
        <v>760</v>
      </c>
      <c r="E8022" s="501">
        <v>452559176.41000003</v>
      </c>
      <c r="F8022" s="502" t="s">
        <v>878</v>
      </c>
      <c r="G8022" s="100">
        <v>116825698</v>
      </c>
      <c r="H8022" s="484">
        <v>116825698</v>
      </c>
      <c r="I8022" s="422" t="s">
        <v>550</v>
      </c>
      <c r="J8022" s="484"/>
      <c r="K8022" s="548"/>
      <c r="L8022" s="548"/>
      <c r="M8022" s="548"/>
      <c r="N8022" s="552">
        <v>862312</v>
      </c>
      <c r="R8022" s="539">
        <v>523.2002</v>
      </c>
      <c r="S8022" s="539">
        <v>524.82068718746802</v>
      </c>
      <c r="T8022" s="538">
        <v>16.149999999999999</v>
      </c>
    </row>
    <row r="8023" spans="1:20">
      <c r="A8023" s="499">
        <v>45770</v>
      </c>
      <c r="B8023" s="499">
        <v>45770</v>
      </c>
      <c r="C8023" s="500" t="s">
        <v>173</v>
      </c>
      <c r="D8023" s="500" t="s">
        <v>763</v>
      </c>
      <c r="E8023" s="501">
        <v>-5598639518.1599998</v>
      </c>
      <c r="F8023" s="502" t="s">
        <v>878</v>
      </c>
      <c r="G8023" s="100">
        <v>116819932</v>
      </c>
      <c r="H8023" s="530"/>
      <c r="I8023" s="422" t="s">
        <v>684</v>
      </c>
      <c r="J8023" s="484"/>
      <c r="K8023" s="548"/>
      <c r="L8023" s="548"/>
      <c r="M8023" s="548"/>
      <c r="N8023" s="552">
        <v>5297518</v>
      </c>
      <c r="R8023" s="539">
        <v>1056.8420000000001</v>
      </c>
      <c r="S8023" s="539">
        <v>1057.29949676811</v>
      </c>
      <c r="T8023" s="538">
        <v>15.8005</v>
      </c>
    </row>
    <row r="8024" spans="1:20">
      <c r="A8024" s="499">
        <v>45770</v>
      </c>
      <c r="B8024" s="499">
        <v>45770</v>
      </c>
      <c r="C8024" s="500" t="s">
        <v>173</v>
      </c>
      <c r="D8024" s="500" t="s">
        <v>763</v>
      </c>
      <c r="E8024" s="501">
        <v>-27002145.699999999</v>
      </c>
      <c r="F8024" s="502" t="s">
        <v>878</v>
      </c>
      <c r="G8024" s="100">
        <v>116819999</v>
      </c>
      <c r="H8024" s="530"/>
      <c r="I8024" s="422" t="s">
        <v>633</v>
      </c>
      <c r="J8024" s="484"/>
      <c r="K8024" s="548"/>
      <c r="L8024" s="548"/>
      <c r="M8024" s="548"/>
      <c r="N8024" s="552">
        <v>51435</v>
      </c>
      <c r="R8024" s="539">
        <v>524.97609999999997</v>
      </c>
      <c r="S8024" s="539">
        <v>525.20622649946495</v>
      </c>
      <c r="T8024" s="538">
        <v>16</v>
      </c>
    </row>
    <row r="8025" spans="1:20">
      <c r="A8025" s="499">
        <v>45770</v>
      </c>
      <c r="B8025" s="499">
        <v>45771</v>
      </c>
      <c r="C8025" s="500" t="s">
        <v>173</v>
      </c>
      <c r="D8025" s="500" t="s">
        <v>763</v>
      </c>
      <c r="E8025" s="501">
        <v>5601063115.5200005</v>
      </c>
      <c r="F8025" s="502" t="s">
        <v>878</v>
      </c>
      <c r="G8025" s="100">
        <v>116819932</v>
      </c>
      <c r="H8025" s="100">
        <v>116819932</v>
      </c>
      <c r="I8025" s="422" t="s">
        <v>684</v>
      </c>
      <c r="J8025" s="484"/>
      <c r="K8025" s="548"/>
      <c r="L8025" s="548"/>
      <c r="M8025" s="548"/>
      <c r="N8025" s="552">
        <v>5297518</v>
      </c>
      <c r="R8025" s="539">
        <v>1056.8420000000001</v>
      </c>
      <c r="S8025" s="539">
        <v>1057.29949676811</v>
      </c>
      <c r="T8025" s="538">
        <v>15.8005</v>
      </c>
    </row>
    <row r="8026" spans="1:20">
      <c r="A8026" s="499">
        <v>45770</v>
      </c>
      <c r="B8026" s="499">
        <v>45771</v>
      </c>
      <c r="C8026" s="500" t="s">
        <v>173</v>
      </c>
      <c r="D8026" s="500" t="s">
        <v>763</v>
      </c>
      <c r="E8026" s="501">
        <v>27013982.260000002</v>
      </c>
      <c r="F8026" s="502" t="s">
        <v>878</v>
      </c>
      <c r="G8026" s="100">
        <v>116819999</v>
      </c>
      <c r="H8026" s="100">
        <v>116819999</v>
      </c>
      <c r="I8026" s="422" t="s">
        <v>633</v>
      </c>
      <c r="J8026" s="484"/>
      <c r="K8026" s="548"/>
      <c r="L8026" s="548"/>
      <c r="M8026" s="548"/>
      <c r="N8026" s="552">
        <v>51435</v>
      </c>
      <c r="R8026" s="539">
        <v>524.97609999999997</v>
      </c>
      <c r="S8026" s="539">
        <v>525.20622649946495</v>
      </c>
      <c r="T8026" s="538">
        <v>16</v>
      </c>
    </row>
    <row r="8027" spans="1:20">
      <c r="A8027" s="499">
        <v>45771</v>
      </c>
      <c r="B8027" s="499">
        <v>45771</v>
      </c>
      <c r="C8027" s="500" t="s">
        <v>173</v>
      </c>
      <c r="D8027" s="500" t="s">
        <v>762</v>
      </c>
      <c r="E8027" s="501">
        <v>-306180995.32999998</v>
      </c>
      <c r="F8027" s="502" t="s">
        <v>878</v>
      </c>
      <c r="G8027" s="100">
        <v>116839178</v>
      </c>
      <c r="H8027" s="530"/>
      <c r="I8027" s="422" t="s">
        <v>1727</v>
      </c>
      <c r="J8027" s="484"/>
      <c r="K8027" s="548"/>
      <c r="L8027" s="548"/>
      <c r="M8027" s="548"/>
      <c r="N8027" s="552">
        <v>286416</v>
      </c>
      <c r="R8027" s="558">
        <v>1069.008</v>
      </c>
      <c r="S8027" s="558">
        <v>1072.7803505739901</v>
      </c>
      <c r="T8027" s="538">
        <v>16.100300000000001</v>
      </c>
    </row>
    <row r="8028" spans="1:20">
      <c r="A8028" s="499">
        <v>45771</v>
      </c>
      <c r="B8028" s="499">
        <v>45771</v>
      </c>
      <c r="C8028" s="500" t="s">
        <v>173</v>
      </c>
      <c r="D8028" s="500" t="s">
        <v>762</v>
      </c>
      <c r="E8028" s="501">
        <v>-4708599433.8900003</v>
      </c>
      <c r="F8028" s="502" t="s">
        <v>878</v>
      </c>
      <c r="G8028" s="100">
        <v>116839181</v>
      </c>
      <c r="H8028" s="530"/>
      <c r="I8028" s="422" t="s">
        <v>717</v>
      </c>
      <c r="J8028" s="484"/>
      <c r="K8028" s="548"/>
      <c r="L8028" s="548"/>
      <c r="M8028" s="548"/>
      <c r="N8028" s="552">
        <v>7658289</v>
      </c>
      <c r="R8028" s="558">
        <v>614.83699999999999</v>
      </c>
      <c r="S8028" s="558">
        <v>617.00664354270305</v>
      </c>
      <c r="T8028" s="538">
        <v>16.100200000000001</v>
      </c>
    </row>
    <row r="8029" spans="1:20">
      <c r="A8029" s="499">
        <v>45771</v>
      </c>
      <c r="B8029" s="499">
        <v>45771</v>
      </c>
      <c r="C8029" s="500" t="s">
        <v>173</v>
      </c>
      <c r="D8029" s="500" t="s">
        <v>762</v>
      </c>
      <c r="E8029" s="501">
        <v>-3002076.75</v>
      </c>
      <c r="F8029" s="502" t="s">
        <v>878</v>
      </c>
      <c r="G8029" s="100">
        <v>116839409</v>
      </c>
      <c r="H8029" s="530"/>
      <c r="I8029" s="422" t="s">
        <v>602</v>
      </c>
      <c r="J8029" s="484"/>
      <c r="K8029" s="548"/>
      <c r="L8029" s="548"/>
      <c r="M8029" s="548"/>
      <c r="N8029" s="552">
        <v>3639</v>
      </c>
      <c r="R8029" s="558">
        <v>824.97299999999996</v>
      </c>
      <c r="S8029" s="558">
        <v>827.88419345974205</v>
      </c>
      <c r="T8029" s="538">
        <v>16.100300000000001</v>
      </c>
    </row>
    <row r="8030" spans="1:20">
      <c r="A8030" s="499">
        <v>45771</v>
      </c>
      <c r="B8030" s="499">
        <v>45771</v>
      </c>
      <c r="C8030" s="500" t="s">
        <v>173</v>
      </c>
      <c r="D8030" s="500" t="s">
        <v>762</v>
      </c>
      <c r="E8030" s="501">
        <v>-4003845.55</v>
      </c>
      <c r="F8030" s="502" t="s">
        <v>878</v>
      </c>
      <c r="G8030" s="100">
        <v>116839412</v>
      </c>
      <c r="H8030" s="530"/>
      <c r="I8030" s="422" t="s">
        <v>596</v>
      </c>
      <c r="J8030" s="484"/>
      <c r="K8030" s="548"/>
      <c r="L8030" s="548"/>
      <c r="M8030" s="548"/>
      <c r="N8030" s="552">
        <v>3924</v>
      </c>
      <c r="R8030" s="558">
        <v>1020.348</v>
      </c>
      <c r="S8030" s="558">
        <v>1023.9486365953099</v>
      </c>
      <c r="T8030" s="538">
        <v>16.100300000000001</v>
      </c>
    </row>
    <row r="8031" spans="1:20">
      <c r="A8031" s="499">
        <v>45771</v>
      </c>
      <c r="B8031" s="499">
        <v>45771</v>
      </c>
      <c r="C8031" s="500" t="s">
        <v>173</v>
      </c>
      <c r="D8031" s="500" t="s">
        <v>762</v>
      </c>
      <c r="E8031" s="501">
        <v>-4002192.9</v>
      </c>
      <c r="F8031" s="502" t="s">
        <v>878</v>
      </c>
      <c r="G8031" s="100">
        <v>116839415</v>
      </c>
      <c r="H8031" s="530"/>
      <c r="I8031" s="422" t="s">
        <v>1047</v>
      </c>
      <c r="J8031" s="484"/>
      <c r="K8031" s="548"/>
      <c r="L8031" s="548"/>
      <c r="M8031" s="548"/>
      <c r="N8031" s="552">
        <v>3940</v>
      </c>
      <c r="R8031" s="558">
        <v>1015.785</v>
      </c>
      <c r="S8031" s="558">
        <v>1019.36953553299</v>
      </c>
      <c r="T8031" s="538">
        <v>16.100300000000001</v>
      </c>
    </row>
    <row r="8032" spans="1:20">
      <c r="A8032" s="499">
        <v>45771</v>
      </c>
      <c r="B8032" s="499">
        <v>45771</v>
      </c>
      <c r="C8032" s="500" t="s">
        <v>173</v>
      </c>
      <c r="D8032" s="500" t="s">
        <v>762</v>
      </c>
      <c r="E8032" s="501">
        <v>-4000946.56</v>
      </c>
      <c r="F8032" s="502" t="s">
        <v>878</v>
      </c>
      <c r="G8032" s="100">
        <v>116839418</v>
      </c>
      <c r="H8032" s="530"/>
      <c r="I8032" s="422" t="s">
        <v>592</v>
      </c>
      <c r="J8032" s="484"/>
      <c r="K8032" s="548"/>
      <c r="L8032" s="548"/>
      <c r="M8032" s="548"/>
      <c r="N8032" s="552">
        <v>5052</v>
      </c>
      <c r="R8032" s="558">
        <v>791.95299999999997</v>
      </c>
      <c r="S8032" s="558">
        <v>794.74767022961203</v>
      </c>
      <c r="T8032" s="538">
        <v>16.100300000000001</v>
      </c>
    </row>
    <row r="8033" spans="1:20">
      <c r="A8033" s="499">
        <v>45771</v>
      </c>
      <c r="B8033" s="499">
        <v>45771</v>
      </c>
      <c r="C8033" s="500" t="s">
        <v>173</v>
      </c>
      <c r="D8033" s="500" t="s">
        <v>762</v>
      </c>
      <c r="E8033" s="501">
        <v>-4002818.3</v>
      </c>
      <c r="F8033" s="502" t="s">
        <v>878</v>
      </c>
      <c r="G8033" s="100">
        <v>116839421</v>
      </c>
      <c r="H8033" s="530"/>
      <c r="I8033" s="422" t="s">
        <v>600</v>
      </c>
      <c r="J8033" s="484"/>
      <c r="K8033" s="548"/>
      <c r="L8033" s="548"/>
      <c r="M8033" s="548"/>
      <c r="N8033" s="552">
        <v>4420</v>
      </c>
      <c r="R8033" s="558">
        <v>905.61500000000001</v>
      </c>
      <c r="S8033" s="558">
        <v>908.81076470588198</v>
      </c>
      <c r="T8033" s="538">
        <v>16.100300000000001</v>
      </c>
    </row>
    <row r="8034" spans="1:20">
      <c r="A8034" s="499">
        <v>45771</v>
      </c>
      <c r="B8034" s="499">
        <v>45771</v>
      </c>
      <c r="C8034" s="500" t="s">
        <v>173</v>
      </c>
      <c r="D8034" s="500" t="s">
        <v>762</v>
      </c>
      <c r="E8034" s="501">
        <v>-6000745.6799999997</v>
      </c>
      <c r="F8034" s="502" t="s">
        <v>878</v>
      </c>
      <c r="G8034" s="100">
        <v>116839424</v>
      </c>
      <c r="H8034" s="530"/>
      <c r="I8034" s="422" t="s">
        <v>715</v>
      </c>
      <c r="J8034" s="484"/>
      <c r="K8034" s="548"/>
      <c r="L8034" s="548"/>
      <c r="M8034" s="548"/>
      <c r="N8034" s="552">
        <v>8208</v>
      </c>
      <c r="R8034" s="558">
        <v>731.08500000000004</v>
      </c>
      <c r="S8034" s="558">
        <v>733.664876949318</v>
      </c>
      <c r="T8034" s="538">
        <v>16.100300000000001</v>
      </c>
    </row>
    <row r="8035" spans="1:20">
      <c r="A8035" s="499">
        <v>45771</v>
      </c>
      <c r="B8035" s="499">
        <v>45771</v>
      </c>
      <c r="C8035" s="500" t="s">
        <v>173</v>
      </c>
      <c r="D8035" s="500" t="s">
        <v>762</v>
      </c>
      <c r="E8035" s="501">
        <v>-3001943.18</v>
      </c>
      <c r="F8035" s="502" t="s">
        <v>878</v>
      </c>
      <c r="G8035" s="100">
        <v>116839427</v>
      </c>
      <c r="H8035" s="530"/>
      <c r="I8035" s="422" t="s">
        <v>590</v>
      </c>
      <c r="J8035" s="484"/>
      <c r="K8035" s="548"/>
      <c r="L8035" s="548"/>
      <c r="M8035" s="548"/>
      <c r="N8035" s="552">
        <v>3393</v>
      </c>
      <c r="R8035" s="558">
        <v>884.74599999999998</v>
      </c>
      <c r="S8035" s="558">
        <v>887.86812260536396</v>
      </c>
      <c r="T8035" s="538">
        <v>16.100300000000001</v>
      </c>
    </row>
    <row r="8036" spans="1:20">
      <c r="A8036" s="499">
        <v>45771</v>
      </c>
      <c r="B8036" s="499">
        <v>45779</v>
      </c>
      <c r="C8036" s="500" t="s">
        <v>173</v>
      </c>
      <c r="D8036" s="500" t="s">
        <v>762</v>
      </c>
      <c r="E8036" s="501">
        <v>307261456.88999999</v>
      </c>
      <c r="F8036" s="502" t="s">
        <v>878</v>
      </c>
      <c r="G8036" s="100">
        <v>116839178</v>
      </c>
      <c r="H8036" s="484">
        <v>116839178</v>
      </c>
      <c r="I8036" s="422" t="s">
        <v>1727</v>
      </c>
      <c r="J8036" s="484"/>
      <c r="K8036" s="548"/>
      <c r="L8036" s="548"/>
      <c r="M8036" s="548"/>
      <c r="N8036" s="552">
        <v>286416</v>
      </c>
      <c r="R8036" s="558">
        <v>1069.008</v>
      </c>
      <c r="S8036" s="558">
        <v>1072.7803505739901</v>
      </c>
      <c r="T8036" s="538">
        <v>16.100300000000001</v>
      </c>
    </row>
    <row r="8037" spans="1:20">
      <c r="A8037" s="499">
        <v>45771</v>
      </c>
      <c r="B8037" s="499">
        <v>45779</v>
      </c>
      <c r="C8037" s="500" t="s">
        <v>173</v>
      </c>
      <c r="D8037" s="500" t="s">
        <v>762</v>
      </c>
      <c r="E8037" s="501">
        <v>4725215191.1700001</v>
      </c>
      <c r="F8037" s="502" t="s">
        <v>878</v>
      </c>
      <c r="G8037" s="100">
        <v>116839181</v>
      </c>
      <c r="H8037" s="484">
        <v>116839181</v>
      </c>
      <c r="I8037" s="422" t="s">
        <v>717</v>
      </c>
      <c r="J8037" s="484"/>
      <c r="K8037" s="548"/>
      <c r="L8037" s="548"/>
      <c r="M8037" s="548"/>
      <c r="N8037" s="552">
        <v>7658289</v>
      </c>
      <c r="R8037" s="558">
        <v>614.83699999999999</v>
      </c>
      <c r="S8037" s="558">
        <v>617.00664354270305</v>
      </c>
      <c r="T8037" s="538">
        <v>16.100200000000001</v>
      </c>
    </row>
    <row r="8038" spans="1:20">
      <c r="A8038" s="499">
        <v>45771</v>
      </c>
      <c r="B8038" s="499">
        <v>45779</v>
      </c>
      <c r="C8038" s="500" t="s">
        <v>173</v>
      </c>
      <c r="D8038" s="500" t="s">
        <v>762</v>
      </c>
      <c r="E8038" s="501">
        <v>3012670.58</v>
      </c>
      <c r="F8038" s="502" t="s">
        <v>878</v>
      </c>
      <c r="G8038" s="100">
        <v>116839409</v>
      </c>
      <c r="H8038" s="484">
        <v>116839409</v>
      </c>
      <c r="I8038" s="422" t="s">
        <v>602</v>
      </c>
      <c r="J8038" s="484"/>
      <c r="K8038" s="548"/>
      <c r="L8038" s="548"/>
      <c r="M8038" s="548"/>
      <c r="N8038" s="552">
        <v>3639</v>
      </c>
      <c r="R8038" s="558">
        <v>824.97299999999996</v>
      </c>
      <c r="S8038" s="558">
        <v>827.88419345974205</v>
      </c>
      <c r="T8038" s="538">
        <v>16.100300000000001</v>
      </c>
    </row>
    <row r="8039" spans="1:20">
      <c r="A8039" s="499">
        <v>45771</v>
      </c>
      <c r="B8039" s="499">
        <v>45779</v>
      </c>
      <c r="C8039" s="500" t="s">
        <v>173</v>
      </c>
      <c r="D8039" s="500" t="s">
        <v>762</v>
      </c>
      <c r="E8039" s="501">
        <v>4017974.45</v>
      </c>
      <c r="F8039" s="502" t="s">
        <v>878</v>
      </c>
      <c r="G8039" s="100">
        <v>116839412</v>
      </c>
      <c r="H8039" s="484">
        <v>116839412</v>
      </c>
      <c r="I8039" s="422" t="s">
        <v>596</v>
      </c>
      <c r="J8039" s="484"/>
      <c r="K8039" s="548"/>
      <c r="L8039" s="548"/>
      <c r="M8039" s="548"/>
      <c r="N8039" s="552">
        <v>3924</v>
      </c>
      <c r="R8039" s="558">
        <v>1020.348</v>
      </c>
      <c r="S8039" s="558">
        <v>1023.9486365953099</v>
      </c>
      <c r="T8039" s="538">
        <v>16.100300000000001</v>
      </c>
    </row>
    <row r="8040" spans="1:20">
      <c r="A8040" s="499">
        <v>45771</v>
      </c>
      <c r="B8040" s="499">
        <v>45779</v>
      </c>
      <c r="C8040" s="500" t="s">
        <v>173</v>
      </c>
      <c r="D8040" s="500" t="s">
        <v>762</v>
      </c>
      <c r="E8040" s="501">
        <v>4016315.97</v>
      </c>
      <c r="F8040" s="502" t="s">
        <v>878</v>
      </c>
      <c r="G8040" s="100">
        <v>116839415</v>
      </c>
      <c r="H8040" s="484">
        <v>116839415</v>
      </c>
      <c r="I8040" s="422" t="s">
        <v>1047</v>
      </c>
      <c r="J8040" s="484"/>
      <c r="K8040" s="548"/>
      <c r="L8040" s="548"/>
      <c r="M8040" s="548"/>
      <c r="N8040" s="552">
        <v>3940</v>
      </c>
      <c r="R8040" s="558">
        <v>1015.785</v>
      </c>
      <c r="S8040" s="558">
        <v>1019.36953553299</v>
      </c>
      <c r="T8040" s="538">
        <v>16.100300000000001</v>
      </c>
    </row>
    <row r="8041" spans="1:20">
      <c r="A8041" s="499">
        <v>45771</v>
      </c>
      <c r="B8041" s="499">
        <v>45779</v>
      </c>
      <c r="C8041" s="500" t="s">
        <v>173</v>
      </c>
      <c r="D8041" s="500" t="s">
        <v>762</v>
      </c>
      <c r="E8041" s="501">
        <v>4015065.23</v>
      </c>
      <c r="F8041" s="502" t="s">
        <v>878</v>
      </c>
      <c r="G8041" s="100">
        <v>116839418</v>
      </c>
      <c r="H8041" s="484">
        <v>116839418</v>
      </c>
      <c r="I8041" s="422" t="s">
        <v>592</v>
      </c>
      <c r="J8041" s="484"/>
      <c r="K8041" s="548"/>
      <c r="L8041" s="548"/>
      <c r="M8041" s="548"/>
      <c r="N8041" s="552">
        <v>5052</v>
      </c>
      <c r="R8041" s="558">
        <v>791.95299999999997</v>
      </c>
      <c r="S8041" s="558">
        <v>794.74767022961203</v>
      </c>
      <c r="T8041" s="538">
        <v>16.100300000000001</v>
      </c>
    </row>
    <row r="8042" spans="1:20">
      <c r="A8042" s="499">
        <v>45771</v>
      </c>
      <c r="B8042" s="499">
        <v>45779</v>
      </c>
      <c r="C8042" s="500" t="s">
        <v>173</v>
      </c>
      <c r="D8042" s="500" t="s">
        <v>762</v>
      </c>
      <c r="E8042" s="501">
        <v>4016943.58</v>
      </c>
      <c r="F8042" s="502" t="s">
        <v>878</v>
      </c>
      <c r="G8042" s="100">
        <v>116839421</v>
      </c>
      <c r="H8042" s="484">
        <v>116839421</v>
      </c>
      <c r="I8042" s="422" t="s">
        <v>600</v>
      </c>
      <c r="J8042" s="484"/>
      <c r="K8042" s="548"/>
      <c r="L8042" s="548"/>
      <c r="M8042" s="548"/>
      <c r="N8042" s="552">
        <v>4420</v>
      </c>
      <c r="R8042" s="558">
        <v>905.61500000000001</v>
      </c>
      <c r="S8042" s="558">
        <v>908.81076470588198</v>
      </c>
      <c r="T8042" s="538">
        <v>16.100300000000001</v>
      </c>
    </row>
    <row r="8043" spans="1:20">
      <c r="A8043" s="499">
        <v>45771</v>
      </c>
      <c r="B8043" s="499">
        <v>45779</v>
      </c>
      <c r="C8043" s="500" t="s">
        <v>173</v>
      </c>
      <c r="D8043" s="500" t="s">
        <v>762</v>
      </c>
      <c r="E8043" s="501">
        <v>6021921.3099999996</v>
      </c>
      <c r="F8043" s="502" t="s">
        <v>878</v>
      </c>
      <c r="G8043" s="100">
        <v>116839424</v>
      </c>
      <c r="H8043" s="484">
        <v>116839424</v>
      </c>
      <c r="I8043" s="422" t="s">
        <v>715</v>
      </c>
      <c r="J8043" s="484"/>
      <c r="K8043" s="548"/>
      <c r="L8043" s="548"/>
      <c r="M8043" s="548"/>
      <c r="N8043" s="552">
        <v>8208</v>
      </c>
      <c r="R8043" s="558">
        <v>731.08500000000004</v>
      </c>
      <c r="S8043" s="558">
        <v>733.664876949318</v>
      </c>
      <c r="T8043" s="538">
        <v>16.100300000000001</v>
      </c>
    </row>
    <row r="8044" spans="1:20">
      <c r="A8044" s="499">
        <v>45771</v>
      </c>
      <c r="B8044" s="499">
        <v>45779</v>
      </c>
      <c r="C8044" s="500" t="s">
        <v>173</v>
      </c>
      <c r="D8044" s="500" t="s">
        <v>762</v>
      </c>
      <c r="E8044" s="501">
        <v>3012536.54</v>
      </c>
      <c r="F8044" s="502" t="s">
        <v>878</v>
      </c>
      <c r="G8044" s="100">
        <v>116839427</v>
      </c>
      <c r="H8044" s="484">
        <v>116839427</v>
      </c>
      <c r="I8044" s="422" t="s">
        <v>590</v>
      </c>
      <c r="J8044" s="484"/>
      <c r="K8044" s="548"/>
      <c r="L8044" s="548"/>
      <c r="M8044" s="548"/>
      <c r="N8044" s="552">
        <v>3393</v>
      </c>
      <c r="R8044" s="558">
        <v>884.74599999999998</v>
      </c>
      <c r="S8044" s="558">
        <v>887.86812260536396</v>
      </c>
      <c r="T8044" s="538">
        <v>16.100300000000001</v>
      </c>
    </row>
    <row r="8045" spans="1:20">
      <c r="A8045" s="499">
        <v>45771</v>
      </c>
      <c r="B8045" s="499">
        <v>45771</v>
      </c>
      <c r="C8045" s="500" t="s">
        <v>173</v>
      </c>
      <c r="D8045" s="500" t="s">
        <v>761</v>
      </c>
      <c r="E8045" s="501">
        <v>-504116574.69999999</v>
      </c>
      <c r="F8045" s="502" t="s">
        <v>878</v>
      </c>
      <c r="G8045" s="100">
        <v>116838301</v>
      </c>
      <c r="H8045" s="530"/>
      <c r="I8045" s="422" t="s">
        <v>633</v>
      </c>
      <c r="J8045" s="484"/>
      <c r="K8045" s="548"/>
      <c r="L8045" s="548"/>
      <c r="M8045" s="548"/>
      <c r="N8045" s="552">
        <v>960120</v>
      </c>
      <c r="R8045" s="539">
        <v>525.05580000416614</v>
      </c>
      <c r="S8045" s="539">
        <v>525.288838468108</v>
      </c>
      <c r="T8045" s="538">
        <v>16.2</v>
      </c>
    </row>
    <row r="8046" spans="1:20">
      <c r="A8046" s="499">
        <v>45771</v>
      </c>
      <c r="B8046" s="499">
        <v>45771</v>
      </c>
      <c r="C8046" s="500" t="s">
        <v>173</v>
      </c>
      <c r="D8046" s="500" t="s">
        <v>761</v>
      </c>
      <c r="E8046" s="501">
        <v>-2000462.6</v>
      </c>
      <c r="F8046" s="502" t="s">
        <v>878</v>
      </c>
      <c r="G8046" s="100">
        <v>116838317</v>
      </c>
      <c r="H8046" s="530"/>
      <c r="I8046" s="422" t="s">
        <v>633</v>
      </c>
      <c r="J8046" s="484"/>
      <c r="K8046" s="548"/>
      <c r="L8046" s="548"/>
      <c r="M8046" s="548"/>
      <c r="N8046" s="552">
        <v>3810</v>
      </c>
      <c r="R8046" s="539">
        <v>525.0558005249344</v>
      </c>
      <c r="S8046" s="539">
        <v>525.28883989501298</v>
      </c>
      <c r="T8046" s="538">
        <v>16.2</v>
      </c>
    </row>
    <row r="8047" spans="1:20">
      <c r="A8047" s="499">
        <v>45771</v>
      </c>
      <c r="B8047" s="499">
        <v>45771</v>
      </c>
      <c r="C8047" s="500" t="s">
        <v>173</v>
      </c>
      <c r="D8047" s="500" t="s">
        <v>761</v>
      </c>
      <c r="E8047" s="501">
        <v>-105000219.87</v>
      </c>
      <c r="F8047" s="502" t="s">
        <v>878</v>
      </c>
      <c r="G8047" s="100">
        <v>116843550</v>
      </c>
      <c r="H8047" s="530"/>
      <c r="I8047" s="422" t="s">
        <v>1018</v>
      </c>
      <c r="J8047" s="484"/>
      <c r="K8047" s="548"/>
      <c r="L8047" s="548"/>
      <c r="M8047" s="548"/>
      <c r="N8047" s="552">
        <v>1132950</v>
      </c>
      <c r="R8047" s="539">
        <v>92.678600000000003</v>
      </c>
      <c r="S8047" s="539">
        <v>92.719861273666098</v>
      </c>
      <c r="T8047" s="538">
        <v>16.2501</v>
      </c>
    </row>
    <row r="8048" spans="1:20">
      <c r="A8048" s="499">
        <v>45771</v>
      </c>
      <c r="B8048" s="499">
        <v>45772</v>
      </c>
      <c r="C8048" s="500" t="s">
        <v>173</v>
      </c>
      <c r="D8048" s="500" t="s">
        <v>761</v>
      </c>
      <c r="E8048" s="501">
        <v>504340319.58999997</v>
      </c>
      <c r="F8048" s="502" t="s">
        <v>878</v>
      </c>
      <c r="G8048" s="100">
        <v>116838301</v>
      </c>
      <c r="H8048" s="484">
        <v>116838301</v>
      </c>
      <c r="I8048" s="422" t="s">
        <v>633</v>
      </c>
      <c r="J8048" s="484"/>
      <c r="K8048" s="548"/>
      <c r="L8048" s="548"/>
      <c r="M8048" s="548"/>
      <c r="N8048" s="552">
        <v>960120</v>
      </c>
      <c r="R8048" s="539">
        <v>525.05580000416614</v>
      </c>
      <c r="S8048" s="539">
        <v>525.288838468108</v>
      </c>
      <c r="T8048" s="538">
        <v>16.2</v>
      </c>
    </row>
    <row r="8049" spans="1:25">
      <c r="A8049" s="499">
        <v>45771</v>
      </c>
      <c r="B8049" s="499">
        <v>45772</v>
      </c>
      <c r="C8049" s="500" t="s">
        <v>173</v>
      </c>
      <c r="D8049" s="500" t="s">
        <v>761</v>
      </c>
      <c r="E8049" s="501">
        <v>2001350.48</v>
      </c>
      <c r="F8049" s="502" t="s">
        <v>878</v>
      </c>
      <c r="G8049" s="100">
        <v>116838317</v>
      </c>
      <c r="H8049" s="484">
        <v>116838317</v>
      </c>
      <c r="I8049" s="422" t="s">
        <v>633</v>
      </c>
      <c r="J8049" s="484"/>
      <c r="K8049" s="548"/>
      <c r="L8049" s="548"/>
      <c r="M8049" s="548"/>
      <c r="N8049" s="552">
        <v>3810</v>
      </c>
      <c r="R8049" s="539">
        <v>525.0558005249344</v>
      </c>
      <c r="S8049" s="539">
        <v>525.28883989501298</v>
      </c>
      <c r="T8049" s="538">
        <v>16.2</v>
      </c>
    </row>
    <row r="8050" spans="1:25">
      <c r="A8050" s="499">
        <v>45771</v>
      </c>
      <c r="B8050" s="499">
        <v>45772</v>
      </c>
      <c r="C8050" s="500" t="s">
        <v>173</v>
      </c>
      <c r="D8050" s="500" t="s">
        <v>761</v>
      </c>
      <c r="E8050" s="501">
        <v>105046966.83</v>
      </c>
      <c r="F8050" s="502" t="s">
        <v>878</v>
      </c>
      <c r="G8050" s="100">
        <v>116843550</v>
      </c>
      <c r="H8050" s="484">
        <v>116843550</v>
      </c>
      <c r="I8050" s="422" t="s">
        <v>1018</v>
      </c>
      <c r="J8050" s="484"/>
      <c r="K8050" s="548"/>
      <c r="L8050" s="548"/>
      <c r="M8050" s="548"/>
      <c r="N8050" s="552">
        <v>1132950</v>
      </c>
      <c r="R8050" s="539">
        <v>92.678600000000003</v>
      </c>
      <c r="S8050" s="539">
        <v>92.719861273666098</v>
      </c>
      <c r="T8050" s="538">
        <v>16.2501</v>
      </c>
    </row>
    <row r="8051" spans="1:25">
      <c r="A8051" s="499">
        <v>45771</v>
      </c>
      <c r="B8051" s="499">
        <v>45775</v>
      </c>
      <c r="C8051" s="500" t="s">
        <v>173</v>
      </c>
      <c r="D8051" s="500" t="s">
        <v>761</v>
      </c>
      <c r="E8051" s="501">
        <v>-4822485.33</v>
      </c>
      <c r="F8051" s="502" t="s">
        <v>906</v>
      </c>
      <c r="G8051" s="100" t="s">
        <v>417</v>
      </c>
      <c r="H8051" s="530"/>
      <c r="I8051" s="422" t="s">
        <v>687</v>
      </c>
      <c r="K8051" s="548">
        <v>116836749</v>
      </c>
      <c r="L8051" s="549">
        <v>79.201700000000002</v>
      </c>
      <c r="M8051" s="549">
        <f>E8051*(-1)/(N8051*O8051)*100</f>
        <v>80.374755500000006</v>
      </c>
      <c r="N8051" s="549">
        <v>6000</v>
      </c>
      <c r="O8051" s="539">
        <v>1000</v>
      </c>
      <c r="P8051" s="557">
        <v>83.291300000000007</v>
      </c>
      <c r="T8051" s="538">
        <v>15.99</v>
      </c>
      <c r="U8051" s="538">
        <v>393.2</v>
      </c>
      <c r="V8051" s="538">
        <v>482.25</v>
      </c>
      <c r="W8051" s="550">
        <f>VLOOKUP(G8051,Справочник!A:C,3,0)</f>
        <v>0.10299999999999999</v>
      </c>
      <c r="X8051" s="539" t="str">
        <f>VLOOKUP(G8051,Справочник!A:G,7,0)</f>
        <v>Министерство финансов Республики Казахстан</v>
      </c>
      <c r="Y8051" s="551">
        <f>VLOOKUP(G8051,Справочник!A:B,2,0)</f>
        <v>47924</v>
      </c>
    </row>
    <row r="8052" spans="1:25">
      <c r="A8052" s="499">
        <v>45771</v>
      </c>
      <c r="B8052" s="499">
        <v>45775</v>
      </c>
      <c r="C8052" s="500" t="s">
        <v>173</v>
      </c>
      <c r="D8052" s="500" t="s">
        <v>761</v>
      </c>
      <c r="E8052" s="501">
        <v>-4841157.33</v>
      </c>
      <c r="F8052" s="502" t="s">
        <v>906</v>
      </c>
      <c r="G8052" s="100" t="s">
        <v>417</v>
      </c>
      <c r="H8052" s="530"/>
      <c r="I8052" s="422" t="s">
        <v>687</v>
      </c>
      <c r="K8052" s="548">
        <v>116837577</v>
      </c>
      <c r="L8052" s="549">
        <v>79.512900000000002</v>
      </c>
      <c r="M8052" s="549">
        <f>E8052*(-1)/(N8052*O8052)*100</f>
        <v>80.685955500000006</v>
      </c>
      <c r="N8052" s="549">
        <v>6000</v>
      </c>
      <c r="O8052" s="539">
        <v>1000</v>
      </c>
      <c r="P8052" s="557">
        <v>83.291300000000007</v>
      </c>
      <c r="T8052" s="538">
        <v>15.89</v>
      </c>
      <c r="U8052" s="538">
        <v>393.2</v>
      </c>
      <c r="V8052" s="538">
        <v>484.12</v>
      </c>
      <c r="W8052" s="550">
        <f>VLOOKUP(G8052,Справочник!A:C,3,0)</f>
        <v>0.10299999999999999</v>
      </c>
      <c r="X8052" s="539" t="str">
        <f>VLOOKUP(G8052,Справочник!A:G,7,0)</f>
        <v>Министерство финансов Республики Казахстан</v>
      </c>
      <c r="Y8052" s="551">
        <f>VLOOKUP(G8052,Справочник!A:B,2,0)</f>
        <v>47924</v>
      </c>
    </row>
    <row r="8053" spans="1:25">
      <c r="A8053" s="499">
        <v>45771</v>
      </c>
      <c r="B8053" s="499">
        <v>45771</v>
      </c>
      <c r="C8053" s="500" t="s">
        <v>173</v>
      </c>
      <c r="D8053" s="500" t="s">
        <v>759</v>
      </c>
      <c r="E8053" s="501">
        <v>-2283528055.6199999</v>
      </c>
      <c r="F8053" s="502" t="s">
        <v>878</v>
      </c>
      <c r="G8053" s="100">
        <v>116836887</v>
      </c>
      <c r="H8053" s="530"/>
      <c r="I8053" s="422" t="s">
        <v>633</v>
      </c>
      <c r="J8053" s="484"/>
      <c r="K8053" s="548"/>
      <c r="L8053" s="548"/>
      <c r="M8053" s="548"/>
      <c r="N8053" s="552">
        <v>4349115</v>
      </c>
      <c r="R8053" s="539">
        <v>525.05580000068971</v>
      </c>
      <c r="S8053" s="539">
        <v>525.28739995608305</v>
      </c>
      <c r="T8053" s="538">
        <v>16.100000000000001</v>
      </c>
    </row>
    <row r="8054" spans="1:25">
      <c r="A8054" s="499">
        <v>45771</v>
      </c>
      <c r="B8054" s="499">
        <v>45771</v>
      </c>
      <c r="C8054" s="500" t="s">
        <v>173</v>
      </c>
      <c r="D8054" s="500" t="s">
        <v>759</v>
      </c>
      <c r="E8054" s="501">
        <v>-7004534082</v>
      </c>
      <c r="F8054" s="502" t="s">
        <v>878</v>
      </c>
      <c r="G8054" s="100">
        <v>116837660</v>
      </c>
      <c r="H8054" s="530"/>
      <c r="I8054" s="422" t="s">
        <v>590</v>
      </c>
      <c r="J8054" s="484"/>
      <c r="K8054" s="548"/>
      <c r="L8054" s="548"/>
      <c r="M8054" s="548"/>
      <c r="N8054" s="552">
        <v>7917000</v>
      </c>
      <c r="R8054" s="539">
        <v>884.74599999999998</v>
      </c>
      <c r="S8054" s="539">
        <v>887.87777783503805</v>
      </c>
      <c r="T8054" s="538">
        <v>16.150099999999998</v>
      </c>
    </row>
    <row r="8055" spans="1:25">
      <c r="A8055" s="499">
        <v>45771</v>
      </c>
      <c r="B8055" s="499">
        <v>45771</v>
      </c>
      <c r="C8055" s="500" t="s">
        <v>173</v>
      </c>
      <c r="D8055" s="500" t="s">
        <v>759</v>
      </c>
      <c r="E8055" s="501">
        <v>-48011102.350000001</v>
      </c>
      <c r="F8055" s="502" t="s">
        <v>878</v>
      </c>
      <c r="G8055" s="100">
        <v>116838313</v>
      </c>
      <c r="H8055" s="530"/>
      <c r="I8055" s="422" t="s">
        <v>633</v>
      </c>
      <c r="J8055" s="484"/>
      <c r="K8055" s="548"/>
      <c r="L8055" s="548"/>
      <c r="M8055" s="548"/>
      <c r="N8055" s="552">
        <v>91440</v>
      </c>
      <c r="R8055" s="539">
        <v>525.05579997812777</v>
      </c>
      <c r="S8055" s="539">
        <v>525.28883847331599</v>
      </c>
      <c r="T8055" s="538">
        <v>16.2</v>
      </c>
    </row>
    <row r="8056" spans="1:25">
      <c r="A8056" s="499">
        <v>45771</v>
      </c>
      <c r="B8056" s="499">
        <v>45772</v>
      </c>
      <c r="C8056" s="500" t="s">
        <v>173</v>
      </c>
      <c r="D8056" s="500" t="s">
        <v>759</v>
      </c>
      <c r="E8056" s="501">
        <v>2284535310.46</v>
      </c>
      <c r="F8056" s="502" t="s">
        <v>878</v>
      </c>
      <c r="G8056" s="100">
        <v>116836887</v>
      </c>
      <c r="H8056" s="484">
        <v>116836887</v>
      </c>
      <c r="I8056" s="422" t="s">
        <v>633</v>
      </c>
      <c r="J8056" s="484"/>
      <c r="K8056" s="548"/>
      <c r="L8056" s="548"/>
      <c r="M8056" s="548"/>
      <c r="N8056" s="552">
        <v>4349115</v>
      </c>
      <c r="R8056" s="539">
        <v>525.05580000068971</v>
      </c>
      <c r="S8056" s="539">
        <v>525.28739995608305</v>
      </c>
      <c r="T8056" s="538">
        <v>16.100000000000001</v>
      </c>
    </row>
    <row r="8057" spans="1:25">
      <c r="A8057" s="499">
        <v>45771</v>
      </c>
      <c r="B8057" s="499">
        <v>45779</v>
      </c>
      <c r="C8057" s="500" t="s">
        <v>173</v>
      </c>
      <c r="D8057" s="500" t="s">
        <v>759</v>
      </c>
      <c r="E8057" s="501">
        <v>7029328367.1199999</v>
      </c>
      <c r="F8057" s="502" t="s">
        <v>878</v>
      </c>
      <c r="G8057" s="100">
        <v>116837660</v>
      </c>
      <c r="H8057" s="484">
        <v>116837660</v>
      </c>
      <c r="I8057" s="422" t="s">
        <v>590</v>
      </c>
      <c r="J8057" s="484"/>
      <c r="K8057" s="548"/>
      <c r="L8057" s="548"/>
      <c r="M8057" s="548"/>
      <c r="N8057" s="552">
        <v>7917000</v>
      </c>
      <c r="R8057" s="539">
        <v>884.74599999999998</v>
      </c>
      <c r="S8057" s="539">
        <v>887.87777783503805</v>
      </c>
      <c r="T8057" s="538">
        <v>16.150099999999998</v>
      </c>
    </row>
    <row r="8058" spans="1:25">
      <c r="A8058" s="499">
        <v>45771</v>
      </c>
      <c r="B8058" s="499">
        <v>45772</v>
      </c>
      <c r="C8058" s="500" t="s">
        <v>173</v>
      </c>
      <c r="D8058" s="500" t="s">
        <v>759</v>
      </c>
      <c r="E8058" s="501">
        <v>48032411.390000001</v>
      </c>
      <c r="F8058" s="502" t="s">
        <v>878</v>
      </c>
      <c r="G8058" s="100">
        <v>116838313</v>
      </c>
      <c r="H8058" s="484">
        <v>116838313</v>
      </c>
      <c r="I8058" s="422" t="s">
        <v>633</v>
      </c>
      <c r="J8058" s="484"/>
      <c r="K8058" s="548"/>
      <c r="L8058" s="548"/>
      <c r="M8058" s="548"/>
      <c r="N8058" s="552">
        <v>91440</v>
      </c>
      <c r="R8058" s="539">
        <v>525.05579997812777</v>
      </c>
      <c r="S8058" s="539">
        <v>525.28883847331599</v>
      </c>
      <c r="T8058" s="538">
        <v>16.2</v>
      </c>
    </row>
    <row r="8059" spans="1:25">
      <c r="A8059" s="499">
        <v>45771</v>
      </c>
      <c r="B8059" s="499">
        <v>45771</v>
      </c>
      <c r="C8059" s="500" t="s">
        <v>173</v>
      </c>
      <c r="D8059" s="500" t="s">
        <v>760</v>
      </c>
      <c r="E8059" s="501">
        <v>-157000328.75999999</v>
      </c>
      <c r="F8059" s="502" t="s">
        <v>878</v>
      </c>
      <c r="G8059" s="100">
        <v>116844675</v>
      </c>
      <c r="H8059" s="530"/>
      <c r="I8059" s="422" t="s">
        <v>1018</v>
      </c>
      <c r="J8059" s="484"/>
      <c r="K8059" s="548"/>
      <c r="L8059" s="548"/>
      <c r="M8059" s="548"/>
      <c r="N8059" s="552">
        <v>1694030</v>
      </c>
      <c r="R8059" s="539">
        <v>92.678600000000003</v>
      </c>
      <c r="S8059" s="539">
        <v>92.718592722679105</v>
      </c>
      <c r="T8059" s="538">
        <v>15.750500000000001</v>
      </c>
    </row>
    <row r="8060" spans="1:25">
      <c r="A8060" s="499">
        <v>45771</v>
      </c>
      <c r="B8060" s="499">
        <v>45772</v>
      </c>
      <c r="C8060" s="500" t="s">
        <v>173</v>
      </c>
      <c r="D8060" s="500" t="s">
        <v>760</v>
      </c>
      <c r="E8060" s="501">
        <v>157068077.63</v>
      </c>
      <c r="F8060" s="502" t="s">
        <v>878</v>
      </c>
      <c r="G8060" s="100">
        <v>116844675</v>
      </c>
      <c r="H8060" s="100">
        <v>116844675</v>
      </c>
      <c r="I8060" s="422" t="s">
        <v>1018</v>
      </c>
      <c r="J8060" s="484"/>
      <c r="K8060" s="548"/>
      <c r="L8060" s="548"/>
      <c r="M8060" s="548"/>
      <c r="N8060" s="552">
        <v>1694030</v>
      </c>
      <c r="R8060" s="539">
        <v>92.678600000000003</v>
      </c>
      <c r="S8060" s="539">
        <v>92.718592722679105</v>
      </c>
      <c r="T8060" s="538">
        <v>15.750500000000001</v>
      </c>
    </row>
    <row r="8061" spans="1:25">
      <c r="A8061" s="499">
        <v>45771</v>
      </c>
      <c r="B8061" s="499">
        <v>45771</v>
      </c>
      <c r="C8061" s="500" t="s">
        <v>173</v>
      </c>
      <c r="D8061" s="500" t="s">
        <v>764</v>
      </c>
      <c r="E8061" s="501">
        <v>-395178674.69999999</v>
      </c>
      <c r="F8061" s="502" t="s">
        <v>878</v>
      </c>
      <c r="G8061" s="100">
        <v>116837297</v>
      </c>
      <c r="H8061" s="530"/>
      <c r="I8061" s="422" t="s">
        <v>696</v>
      </c>
      <c r="J8061" s="484"/>
      <c r="K8061" s="548"/>
      <c r="L8061" s="548"/>
      <c r="M8061" s="548"/>
      <c r="N8061" s="552">
        <v>500465</v>
      </c>
      <c r="R8061" s="539">
        <v>789.62300000999073</v>
      </c>
      <c r="S8061" s="539">
        <v>792.418049094342</v>
      </c>
      <c r="T8061" s="538">
        <v>16.149999999999999</v>
      </c>
    </row>
    <row r="8062" spans="1:25">
      <c r="A8062" s="499">
        <v>45771</v>
      </c>
      <c r="B8062" s="499">
        <v>45771</v>
      </c>
      <c r="C8062" s="500" t="s">
        <v>173</v>
      </c>
      <c r="D8062" s="500" t="s">
        <v>764</v>
      </c>
      <c r="E8062" s="501">
        <v>-1515698415</v>
      </c>
      <c r="F8062" s="502" t="s">
        <v>878</v>
      </c>
      <c r="G8062" s="100">
        <v>116837300</v>
      </c>
      <c r="H8062" s="530"/>
      <c r="I8062" s="422" t="s">
        <v>718</v>
      </c>
      <c r="J8062" s="484"/>
      <c r="K8062" s="548"/>
      <c r="L8062" s="548"/>
      <c r="M8062" s="548"/>
      <c r="N8062" s="552">
        <v>1999800</v>
      </c>
      <c r="R8062" s="539">
        <v>757.92499999999995</v>
      </c>
      <c r="S8062" s="539">
        <v>760.60784684968496</v>
      </c>
      <c r="T8062" s="538">
        <v>16.149999999999999</v>
      </c>
    </row>
    <row r="8063" spans="1:25">
      <c r="A8063" s="499">
        <v>45771</v>
      </c>
      <c r="B8063" s="499">
        <v>45771</v>
      </c>
      <c r="C8063" s="500" t="s">
        <v>173</v>
      </c>
      <c r="D8063" s="500" t="s">
        <v>764</v>
      </c>
      <c r="E8063" s="501">
        <v>-1244646170.9200001</v>
      </c>
      <c r="F8063" s="502" t="s">
        <v>878</v>
      </c>
      <c r="G8063" s="100">
        <v>116837303</v>
      </c>
      <c r="H8063" s="530"/>
      <c r="I8063" s="422" t="s">
        <v>723</v>
      </c>
      <c r="J8063" s="484"/>
      <c r="K8063" s="548"/>
      <c r="L8063" s="548"/>
      <c r="M8063" s="548"/>
      <c r="N8063" s="552">
        <v>1939396</v>
      </c>
      <c r="R8063" s="539">
        <v>641.7700000000001</v>
      </c>
      <c r="S8063" s="539">
        <v>644.04168997461102</v>
      </c>
      <c r="T8063" s="538">
        <v>16.149999999999999</v>
      </c>
    </row>
    <row r="8064" spans="1:25">
      <c r="A8064" s="499">
        <v>45771</v>
      </c>
      <c r="B8064" s="499">
        <v>45771</v>
      </c>
      <c r="C8064" s="500" t="s">
        <v>173</v>
      </c>
      <c r="D8064" s="500" t="s">
        <v>764</v>
      </c>
      <c r="E8064" s="501">
        <v>-16015382.210000001</v>
      </c>
      <c r="F8064" s="502" t="s">
        <v>878</v>
      </c>
      <c r="G8064" s="100">
        <v>116837360</v>
      </c>
      <c r="H8064" s="530"/>
      <c r="I8064" s="422" t="s">
        <v>596</v>
      </c>
      <c r="J8064" s="484"/>
      <c r="K8064" s="548"/>
      <c r="L8064" s="548"/>
      <c r="M8064" s="548"/>
      <c r="N8064" s="552">
        <v>15696</v>
      </c>
      <c r="R8064" s="539">
        <v>1020.3480001274211</v>
      </c>
      <c r="S8064" s="539">
        <v>1023.95975280326</v>
      </c>
      <c r="T8064" s="538">
        <v>16.149999999999999</v>
      </c>
    </row>
    <row r="8065" spans="1:20">
      <c r="A8065" s="499">
        <v>45771</v>
      </c>
      <c r="B8065" s="499">
        <v>45771</v>
      </c>
      <c r="C8065" s="500" t="s">
        <v>173</v>
      </c>
      <c r="D8065" s="500" t="s">
        <v>764</v>
      </c>
      <c r="E8065" s="501">
        <v>-85017943.840000004</v>
      </c>
      <c r="F8065" s="502" t="s">
        <v>878</v>
      </c>
      <c r="G8065" s="100">
        <v>116846230</v>
      </c>
      <c r="H8065" s="530"/>
      <c r="I8065" s="422" t="s">
        <v>657</v>
      </c>
      <c r="J8065" s="484"/>
      <c r="K8065" s="548"/>
      <c r="L8065" s="548"/>
      <c r="M8065" s="548"/>
      <c r="N8065" s="552">
        <v>87380</v>
      </c>
      <c r="R8065" s="539">
        <v>972.96800000000007</v>
      </c>
      <c r="S8065" s="539">
        <v>973.38117818722799</v>
      </c>
      <c r="T8065" s="538">
        <v>15.5</v>
      </c>
    </row>
    <row r="8066" spans="1:20">
      <c r="A8066" s="499">
        <v>45771</v>
      </c>
      <c r="B8066" s="499">
        <v>45779</v>
      </c>
      <c r="C8066" s="500" t="s">
        <v>173</v>
      </c>
      <c r="D8066" s="500" t="s">
        <v>764</v>
      </c>
      <c r="E8066" s="501">
        <v>396577498.94</v>
      </c>
      <c r="F8066" s="502" t="s">
        <v>878</v>
      </c>
      <c r="G8066" s="100">
        <v>116837297</v>
      </c>
      <c r="H8066" s="484">
        <v>116837297</v>
      </c>
      <c r="I8066" s="422" t="s">
        <v>696</v>
      </c>
      <c r="J8066" s="484"/>
      <c r="K8066" s="548"/>
      <c r="L8066" s="548"/>
      <c r="M8066" s="548"/>
      <c r="N8066" s="552">
        <v>500465</v>
      </c>
      <c r="R8066" s="539">
        <v>789.62300000999073</v>
      </c>
      <c r="S8066" s="539">
        <v>792.418049094342</v>
      </c>
      <c r="T8066" s="538">
        <v>16.149999999999999</v>
      </c>
    </row>
    <row r="8067" spans="1:20">
      <c r="A8067" s="499">
        <v>45771</v>
      </c>
      <c r="B8067" s="499">
        <v>45779</v>
      </c>
      <c r="C8067" s="500" t="s">
        <v>173</v>
      </c>
      <c r="D8067" s="500" t="s">
        <v>764</v>
      </c>
      <c r="E8067" s="501">
        <v>1521063572.1300001</v>
      </c>
      <c r="F8067" s="502" t="s">
        <v>878</v>
      </c>
      <c r="G8067" s="100">
        <v>116837300</v>
      </c>
      <c r="H8067" s="484">
        <v>116837300</v>
      </c>
      <c r="I8067" s="422" t="s">
        <v>718</v>
      </c>
      <c r="J8067" s="484"/>
      <c r="K8067" s="548"/>
      <c r="L8067" s="548"/>
      <c r="M8067" s="548"/>
      <c r="N8067" s="552">
        <v>1999800</v>
      </c>
      <c r="R8067" s="539">
        <v>757.92499999999995</v>
      </c>
      <c r="S8067" s="539">
        <v>760.60784684968496</v>
      </c>
      <c r="T8067" s="538">
        <v>16.149999999999999</v>
      </c>
    </row>
    <row r="8068" spans="1:20">
      <c r="A8068" s="499">
        <v>45771</v>
      </c>
      <c r="B8068" s="499">
        <v>45779</v>
      </c>
      <c r="C8068" s="500" t="s">
        <v>173</v>
      </c>
      <c r="D8068" s="500" t="s">
        <v>764</v>
      </c>
      <c r="E8068" s="501">
        <v>1249051877.3699999</v>
      </c>
      <c r="F8068" s="502" t="s">
        <v>878</v>
      </c>
      <c r="G8068" s="100">
        <v>116837303</v>
      </c>
      <c r="H8068" s="484">
        <v>116837303</v>
      </c>
      <c r="I8068" s="422" t="s">
        <v>723</v>
      </c>
      <c r="J8068" s="484"/>
      <c r="K8068" s="548"/>
      <c r="L8068" s="548"/>
      <c r="M8068" s="548"/>
      <c r="N8068" s="552">
        <v>1939396</v>
      </c>
      <c r="R8068" s="539">
        <v>641.7700000000001</v>
      </c>
      <c r="S8068" s="539">
        <v>644.04168997461102</v>
      </c>
      <c r="T8068" s="538">
        <v>16.149999999999999</v>
      </c>
    </row>
    <row r="8069" spans="1:20">
      <c r="A8069" s="499">
        <v>45771</v>
      </c>
      <c r="B8069" s="499">
        <v>45779</v>
      </c>
      <c r="C8069" s="500" t="s">
        <v>173</v>
      </c>
      <c r="D8069" s="500" t="s">
        <v>764</v>
      </c>
      <c r="E8069" s="501">
        <v>16072072.279999999</v>
      </c>
      <c r="F8069" s="502" t="s">
        <v>878</v>
      </c>
      <c r="G8069" s="100">
        <v>116837360</v>
      </c>
      <c r="H8069" s="484">
        <v>116837360</v>
      </c>
      <c r="I8069" s="422" t="s">
        <v>596</v>
      </c>
      <c r="J8069" s="484"/>
      <c r="K8069" s="548"/>
      <c r="L8069" s="548"/>
      <c r="M8069" s="548"/>
      <c r="N8069" s="552">
        <v>15696</v>
      </c>
      <c r="R8069" s="539">
        <v>1020.3480001274211</v>
      </c>
      <c r="S8069" s="539">
        <v>1023.95975280326</v>
      </c>
      <c r="T8069" s="538">
        <v>16.149999999999999</v>
      </c>
    </row>
    <row r="8070" spans="1:20">
      <c r="A8070" s="499">
        <v>45771</v>
      </c>
      <c r="B8070" s="499">
        <v>45772</v>
      </c>
      <c r="C8070" s="500" t="s">
        <v>173</v>
      </c>
      <c r="D8070" s="500" t="s">
        <v>764</v>
      </c>
      <c r="E8070" s="501">
        <v>85054047.349999994</v>
      </c>
      <c r="F8070" s="502" t="s">
        <v>878</v>
      </c>
      <c r="G8070" s="100">
        <v>116846230</v>
      </c>
      <c r="H8070" s="484">
        <v>116846230</v>
      </c>
      <c r="I8070" s="422" t="s">
        <v>657</v>
      </c>
      <c r="J8070" s="484"/>
      <c r="K8070" s="548"/>
      <c r="L8070" s="548"/>
      <c r="M8070" s="548"/>
      <c r="N8070" s="552">
        <v>87380</v>
      </c>
      <c r="R8070" s="539">
        <v>972.96800000000007</v>
      </c>
      <c r="S8070" s="539">
        <v>973.38117818722799</v>
      </c>
      <c r="T8070" s="538">
        <v>15.5</v>
      </c>
    </row>
    <row r="8071" spans="1:20">
      <c r="A8071" s="499">
        <v>45771</v>
      </c>
      <c r="B8071" s="499">
        <v>45771</v>
      </c>
      <c r="C8071" s="500" t="s">
        <v>173</v>
      </c>
      <c r="D8071" s="500" t="s">
        <v>763</v>
      </c>
      <c r="E8071" s="501">
        <v>-5598263052.6000004</v>
      </c>
      <c r="F8071" s="502" t="s">
        <v>878</v>
      </c>
      <c r="G8071" s="100">
        <v>116836664</v>
      </c>
      <c r="H8071" s="530"/>
      <c r="I8071" s="422" t="s">
        <v>684</v>
      </c>
      <c r="J8071" s="484"/>
      <c r="K8071" s="548"/>
      <c r="L8071" s="548"/>
      <c r="M8071" s="548"/>
      <c r="N8071" s="552">
        <v>5294762</v>
      </c>
      <c r="R8071" s="539">
        <v>1057.3209999999999</v>
      </c>
      <c r="S8071" s="539">
        <v>1057.7804421841799</v>
      </c>
      <c r="T8071" s="538">
        <v>15.8605</v>
      </c>
    </row>
    <row r="8072" spans="1:20">
      <c r="A8072" s="499">
        <v>45771</v>
      </c>
      <c r="B8072" s="499">
        <v>45771</v>
      </c>
      <c r="C8072" s="500" t="s">
        <v>173</v>
      </c>
      <c r="D8072" s="500" t="s">
        <v>763</v>
      </c>
      <c r="E8072" s="501">
        <v>-30000017.52</v>
      </c>
      <c r="F8072" s="502" t="s">
        <v>878</v>
      </c>
      <c r="G8072" s="100">
        <v>116836702</v>
      </c>
      <c r="H8072" s="530"/>
      <c r="I8072" s="422" t="s">
        <v>1048</v>
      </c>
      <c r="J8072" s="484"/>
      <c r="K8072" s="548"/>
      <c r="L8072" s="548"/>
      <c r="M8072" s="548"/>
      <c r="N8072" s="552">
        <v>29262600</v>
      </c>
      <c r="R8072" s="539">
        <v>1.0251999999999999</v>
      </c>
      <c r="S8072" s="539">
        <v>1.0256454846801</v>
      </c>
      <c r="T8072" s="538">
        <v>15.8605</v>
      </c>
    </row>
    <row r="8073" spans="1:20">
      <c r="A8073" s="499">
        <v>45771</v>
      </c>
      <c r="B8073" s="499">
        <v>45772</v>
      </c>
      <c r="C8073" s="500" t="s">
        <v>173</v>
      </c>
      <c r="D8073" s="500" t="s">
        <v>763</v>
      </c>
      <c r="E8073" s="501">
        <v>5600695689.6199999</v>
      </c>
      <c r="F8073" s="502" t="s">
        <v>878</v>
      </c>
      <c r="G8073" s="100">
        <v>116836664</v>
      </c>
      <c r="H8073" s="100">
        <v>116836664</v>
      </c>
      <c r="I8073" s="422" t="s">
        <v>684</v>
      </c>
      <c r="J8073" s="484"/>
      <c r="K8073" s="548"/>
      <c r="L8073" s="548"/>
      <c r="M8073" s="548"/>
      <c r="N8073" s="552">
        <v>5294762</v>
      </c>
      <c r="R8073" s="539">
        <v>1057.3209999999999</v>
      </c>
      <c r="S8073" s="539">
        <v>1057.7804421841799</v>
      </c>
      <c r="T8073" s="538">
        <v>15.8605</v>
      </c>
    </row>
    <row r="8074" spans="1:20">
      <c r="A8074" s="499">
        <v>45771</v>
      </c>
      <c r="B8074" s="499">
        <v>45772</v>
      </c>
      <c r="C8074" s="500" t="s">
        <v>173</v>
      </c>
      <c r="D8074" s="500" t="s">
        <v>763</v>
      </c>
      <c r="E8074" s="501">
        <v>30013053.559999999</v>
      </c>
      <c r="F8074" s="502" t="s">
        <v>878</v>
      </c>
      <c r="G8074" s="100">
        <v>116836702</v>
      </c>
      <c r="H8074" s="100">
        <v>116836702</v>
      </c>
      <c r="I8074" s="422" t="s">
        <v>1048</v>
      </c>
      <c r="J8074" s="484"/>
      <c r="K8074" s="548"/>
      <c r="L8074" s="548"/>
      <c r="M8074" s="548"/>
      <c r="N8074" s="552">
        <v>29262600</v>
      </c>
      <c r="R8074" s="539">
        <v>1.0251999999999999</v>
      </c>
      <c r="S8074" s="539">
        <v>1.0256454846801</v>
      </c>
      <c r="T8074" s="538">
        <v>15.8605</v>
      </c>
    </row>
    <row r="8075" spans="1:20">
      <c r="A8075" s="499">
        <v>45771</v>
      </c>
      <c r="B8075" s="499">
        <v>45771</v>
      </c>
      <c r="C8075" s="500" t="s">
        <v>173</v>
      </c>
      <c r="D8075" s="500" t="s">
        <v>761</v>
      </c>
      <c r="E8075" s="501">
        <v>17160000</v>
      </c>
      <c r="F8075" s="502" t="s">
        <v>381</v>
      </c>
      <c r="G8075" s="100" t="s">
        <v>61</v>
      </c>
      <c r="H8075" s="530"/>
      <c r="I8075" s="422"/>
      <c r="K8075" s="548"/>
      <c r="L8075" s="548"/>
      <c r="M8075" s="548"/>
      <c r="N8075" s="552"/>
    </row>
    <row r="8076" spans="1:20">
      <c r="A8076" s="499">
        <v>45771</v>
      </c>
      <c r="B8076" s="499">
        <v>45771</v>
      </c>
      <c r="C8076" s="500" t="s">
        <v>173</v>
      </c>
      <c r="D8076" s="500" t="s">
        <v>761</v>
      </c>
      <c r="E8076" s="501">
        <v>27500000</v>
      </c>
      <c r="F8076" s="502" t="s">
        <v>381</v>
      </c>
      <c r="G8076" s="100" t="s">
        <v>61</v>
      </c>
      <c r="H8076" s="530"/>
      <c r="I8076" s="422"/>
      <c r="K8076" s="548"/>
      <c r="L8076" s="548"/>
      <c r="M8076" s="548"/>
      <c r="N8076" s="552"/>
    </row>
    <row r="8077" spans="1:20">
      <c r="A8077" s="499">
        <v>45771</v>
      </c>
      <c r="B8077" s="499">
        <v>45771</v>
      </c>
      <c r="C8077" s="500" t="s">
        <v>173</v>
      </c>
      <c r="D8077" s="500" t="s">
        <v>761</v>
      </c>
      <c r="E8077" s="501">
        <v>27500000</v>
      </c>
      <c r="F8077" s="502" t="s">
        <v>381</v>
      </c>
      <c r="G8077" s="100" t="s">
        <v>61</v>
      </c>
      <c r="H8077" s="530"/>
      <c r="I8077" s="422"/>
      <c r="K8077" s="548"/>
      <c r="L8077" s="548"/>
      <c r="M8077" s="548"/>
      <c r="N8077" s="552"/>
    </row>
    <row r="8078" spans="1:20">
      <c r="A8078" s="499">
        <v>45771</v>
      </c>
      <c r="B8078" s="499">
        <v>45771</v>
      </c>
      <c r="C8078" s="500" t="s">
        <v>173</v>
      </c>
      <c r="D8078" s="500" t="s">
        <v>761</v>
      </c>
      <c r="E8078" s="501">
        <v>16500000</v>
      </c>
      <c r="F8078" s="502" t="s">
        <v>381</v>
      </c>
      <c r="G8078" s="100" t="s">
        <v>61</v>
      </c>
      <c r="H8078" s="530"/>
      <c r="I8078" s="422"/>
      <c r="K8078" s="548"/>
      <c r="L8078" s="548"/>
      <c r="M8078" s="548"/>
      <c r="N8078" s="552"/>
    </row>
    <row r="8079" spans="1:20">
      <c r="A8079" s="499">
        <v>45771</v>
      </c>
      <c r="B8079" s="499">
        <v>45771</v>
      </c>
      <c r="C8079" s="500" t="s">
        <v>173</v>
      </c>
      <c r="D8079" s="500" t="s">
        <v>761</v>
      </c>
      <c r="E8079" s="501">
        <v>16500000</v>
      </c>
      <c r="F8079" s="502" t="s">
        <v>381</v>
      </c>
      <c r="G8079" s="100" t="s">
        <v>61</v>
      </c>
      <c r="H8079" s="530"/>
      <c r="I8079" s="422"/>
      <c r="K8079" s="548"/>
      <c r="L8079" s="548"/>
      <c r="M8079" s="548"/>
      <c r="N8079" s="552"/>
    </row>
    <row r="8080" spans="1:20">
      <c r="A8080" s="499">
        <v>45771</v>
      </c>
      <c r="B8080" s="499">
        <v>45771</v>
      </c>
      <c r="C8080" s="500" t="s">
        <v>173</v>
      </c>
      <c r="D8080" s="500" t="s">
        <v>764</v>
      </c>
      <c r="E8080" s="501">
        <v>85525000</v>
      </c>
      <c r="F8080" s="502" t="s">
        <v>381</v>
      </c>
      <c r="G8080" s="100" t="s">
        <v>61</v>
      </c>
      <c r="H8080" s="530"/>
      <c r="I8080" s="422"/>
      <c r="K8080" s="548"/>
      <c r="L8080" s="548"/>
      <c r="M8080" s="548"/>
      <c r="N8080" s="552"/>
    </row>
    <row r="8081" spans="1:22">
      <c r="A8081" s="499">
        <v>45771</v>
      </c>
      <c r="B8081" s="499">
        <v>45771</v>
      </c>
      <c r="C8081" s="500" t="s">
        <v>173</v>
      </c>
      <c r="D8081" s="500" t="s">
        <v>760</v>
      </c>
      <c r="E8081" s="501">
        <v>154212300</v>
      </c>
      <c r="F8081" s="502" t="s">
        <v>381</v>
      </c>
      <c r="G8081" s="100" t="s">
        <v>61</v>
      </c>
      <c r="H8081" s="530"/>
      <c r="I8081" s="422"/>
      <c r="K8081" s="548"/>
      <c r="L8081" s="548"/>
      <c r="M8081" s="548"/>
      <c r="N8081" s="552"/>
    </row>
    <row r="8082" spans="1:22">
      <c r="A8082" s="499">
        <v>45772</v>
      </c>
      <c r="B8082" s="499">
        <v>45772</v>
      </c>
      <c r="C8082" s="500" t="s">
        <v>173</v>
      </c>
      <c r="D8082" s="500" t="s">
        <v>759</v>
      </c>
      <c r="E8082" s="501">
        <v>-2320515127.9299998</v>
      </c>
      <c r="F8082" s="502" t="s">
        <v>878</v>
      </c>
      <c r="G8082" s="100">
        <v>116855094</v>
      </c>
      <c r="H8082" s="530"/>
      <c r="I8082" s="422" t="s">
        <v>654</v>
      </c>
      <c r="J8082" s="484"/>
      <c r="K8082" s="548"/>
      <c r="L8082" s="548"/>
      <c r="M8082" s="548"/>
      <c r="N8082" s="552">
        <v>2247111</v>
      </c>
      <c r="R8082" s="539">
        <v>1032.66600000178</v>
      </c>
      <c r="S8082" s="539">
        <v>1034.0172363893</v>
      </c>
      <c r="T8082" s="538">
        <v>15.92</v>
      </c>
    </row>
    <row r="8083" spans="1:22">
      <c r="A8083" s="499">
        <v>45772</v>
      </c>
      <c r="B8083" s="499">
        <v>45772</v>
      </c>
      <c r="C8083" s="500" t="s">
        <v>173</v>
      </c>
      <c r="D8083" s="500" t="s">
        <v>759</v>
      </c>
      <c r="E8083" s="501">
        <v>-12007840.25</v>
      </c>
      <c r="F8083" s="502" t="s">
        <v>878</v>
      </c>
      <c r="G8083" s="100">
        <v>116855144</v>
      </c>
      <c r="H8083" s="530"/>
      <c r="I8083" s="422" t="s">
        <v>654</v>
      </c>
      <c r="J8083" s="484"/>
      <c r="K8083" s="548"/>
      <c r="L8083" s="548"/>
      <c r="M8083" s="548"/>
      <c r="N8083" s="552">
        <v>11628</v>
      </c>
      <c r="R8083" s="539">
        <v>1032.6660001719986</v>
      </c>
      <c r="S8083" s="539">
        <v>1034.0172368421099</v>
      </c>
      <c r="T8083" s="538">
        <v>15.92</v>
      </c>
    </row>
    <row r="8084" spans="1:22">
      <c r="A8084" s="499">
        <v>45772</v>
      </c>
      <c r="B8084" s="499">
        <v>45775</v>
      </c>
      <c r="C8084" s="500" t="s">
        <v>173</v>
      </c>
      <c r="D8084" s="500" t="s">
        <v>759</v>
      </c>
      <c r="E8084" s="501">
        <v>2323551506.0799999</v>
      </c>
      <c r="F8084" s="502" t="s">
        <v>878</v>
      </c>
      <c r="G8084" s="100">
        <v>116855094</v>
      </c>
      <c r="H8084" s="100">
        <v>116855094</v>
      </c>
      <c r="I8084" s="422" t="s">
        <v>654</v>
      </c>
      <c r="J8084" s="484"/>
      <c r="K8084" s="548"/>
      <c r="L8084" s="548"/>
      <c r="M8084" s="548"/>
      <c r="N8084" s="552">
        <v>2247111</v>
      </c>
      <c r="R8084" s="539">
        <v>1032.66600000178</v>
      </c>
      <c r="S8084" s="539">
        <v>1034.0172363893</v>
      </c>
      <c r="T8084" s="538">
        <v>15.92</v>
      </c>
    </row>
    <row r="8085" spans="1:22">
      <c r="A8085" s="499">
        <v>45772</v>
      </c>
      <c r="B8085" s="499">
        <v>45775</v>
      </c>
      <c r="C8085" s="500" t="s">
        <v>173</v>
      </c>
      <c r="D8085" s="500" t="s">
        <v>759</v>
      </c>
      <c r="E8085" s="501">
        <v>12023552.43</v>
      </c>
      <c r="F8085" s="502" t="s">
        <v>878</v>
      </c>
      <c r="G8085" s="100">
        <v>116855144</v>
      </c>
      <c r="H8085" s="100">
        <v>116855144</v>
      </c>
      <c r="I8085" s="422" t="s">
        <v>654</v>
      </c>
      <c r="J8085" s="484"/>
      <c r="K8085" s="548"/>
      <c r="L8085" s="548"/>
      <c r="M8085" s="548"/>
      <c r="N8085" s="552">
        <v>11628</v>
      </c>
      <c r="R8085" s="539">
        <v>1032.6660001719986</v>
      </c>
      <c r="S8085" s="539">
        <v>1034.0172368421099</v>
      </c>
      <c r="T8085" s="538">
        <v>15.92</v>
      </c>
    </row>
    <row r="8086" spans="1:22">
      <c r="A8086" s="499">
        <v>45772</v>
      </c>
      <c r="B8086" s="499">
        <v>45772</v>
      </c>
      <c r="C8086" s="500" t="s">
        <v>173</v>
      </c>
      <c r="D8086" s="500" t="s">
        <v>760</v>
      </c>
      <c r="E8086" s="501">
        <v>-156058291.12</v>
      </c>
      <c r="F8086" s="502" t="s">
        <v>878</v>
      </c>
      <c r="G8086" s="100">
        <v>116855742</v>
      </c>
      <c r="H8086" s="530"/>
      <c r="I8086" s="422" t="s">
        <v>716</v>
      </c>
      <c r="J8086" s="484"/>
      <c r="K8086" s="548"/>
      <c r="L8086" s="548"/>
      <c r="M8086" s="548"/>
      <c r="N8086" s="552">
        <v>226044</v>
      </c>
      <c r="R8086" s="539">
        <v>690.38900000000001</v>
      </c>
      <c r="S8086" s="539">
        <v>691.28839150784802</v>
      </c>
      <c r="T8086" s="538">
        <v>15.8499</v>
      </c>
    </row>
    <row r="8087" spans="1:22">
      <c r="A8087" s="499">
        <v>45772</v>
      </c>
      <c r="B8087" s="499">
        <v>45775</v>
      </c>
      <c r="C8087" s="500" t="s">
        <v>173</v>
      </c>
      <c r="D8087" s="500" t="s">
        <v>760</v>
      </c>
      <c r="E8087" s="501">
        <v>156261593.16999999</v>
      </c>
      <c r="F8087" s="502" t="s">
        <v>878</v>
      </c>
      <c r="G8087" s="100">
        <v>116855742</v>
      </c>
      <c r="H8087" s="100">
        <v>116855742</v>
      </c>
      <c r="I8087" s="422" t="s">
        <v>716</v>
      </c>
      <c r="J8087" s="484"/>
      <c r="K8087" s="548"/>
      <c r="L8087" s="548"/>
      <c r="M8087" s="548"/>
      <c r="N8087" s="552">
        <v>226044</v>
      </c>
      <c r="R8087" s="539">
        <v>690.38900000000001</v>
      </c>
      <c r="S8087" s="539">
        <v>691.28839150784802</v>
      </c>
      <c r="T8087" s="538">
        <v>15.8499</v>
      </c>
    </row>
    <row r="8088" spans="1:22">
      <c r="A8088" s="499">
        <v>45772</v>
      </c>
      <c r="B8088" s="499">
        <v>45772</v>
      </c>
      <c r="C8088" s="500" t="s">
        <v>173</v>
      </c>
      <c r="D8088" s="500" t="s">
        <v>763</v>
      </c>
      <c r="E8088" s="501">
        <f>-5602541065.15</f>
        <v>-5602541065.1499996</v>
      </c>
      <c r="F8088" s="502" t="s">
        <v>878</v>
      </c>
      <c r="G8088" s="100">
        <v>116852453</v>
      </c>
      <c r="H8088" s="530"/>
      <c r="I8088" s="422" t="s">
        <v>684</v>
      </c>
      <c r="J8088" s="484"/>
      <c r="K8088" s="548"/>
      <c r="L8088" s="548"/>
      <c r="M8088" s="548"/>
      <c r="N8088" s="552">
        <v>5296654</v>
      </c>
      <c r="R8088" s="539">
        <v>1057.751</v>
      </c>
      <c r="S8088" s="539">
        <v>1059.1203238723899</v>
      </c>
      <c r="T8088" s="538">
        <v>15.750500000000001</v>
      </c>
    </row>
    <row r="8089" spans="1:22">
      <c r="A8089" s="499">
        <v>45772</v>
      </c>
      <c r="B8089" s="499">
        <v>45772</v>
      </c>
      <c r="C8089" s="500" t="s">
        <v>173</v>
      </c>
      <c r="D8089" s="500" t="s">
        <v>763</v>
      </c>
      <c r="E8089" s="501">
        <v>-28018293.91</v>
      </c>
      <c r="F8089" s="502" t="s">
        <v>878</v>
      </c>
      <c r="G8089" s="100">
        <v>116852585</v>
      </c>
      <c r="H8089" s="530"/>
      <c r="I8089" s="422" t="s">
        <v>654</v>
      </c>
      <c r="J8089" s="484"/>
      <c r="K8089" s="548"/>
      <c r="L8089" s="548"/>
      <c r="M8089" s="548"/>
      <c r="N8089" s="552">
        <v>27132</v>
      </c>
      <c r="R8089" s="539">
        <v>1032.6659999999999</v>
      </c>
      <c r="S8089" s="539">
        <v>1034.01137992039</v>
      </c>
      <c r="T8089" s="538">
        <v>15.851000000000001</v>
      </c>
    </row>
    <row r="8090" spans="1:22">
      <c r="A8090" s="499">
        <v>45772</v>
      </c>
      <c r="B8090" s="499">
        <v>45775</v>
      </c>
      <c r="C8090" s="500" t="s">
        <v>173</v>
      </c>
      <c r="D8090" s="500" t="s">
        <v>763</v>
      </c>
      <c r="E8090" s="501">
        <v>5609793899.9200001</v>
      </c>
      <c r="F8090" s="502" t="s">
        <v>878</v>
      </c>
      <c r="G8090" s="100">
        <v>116852453</v>
      </c>
      <c r="H8090" s="100">
        <v>116852453</v>
      </c>
      <c r="I8090" s="422" t="s">
        <v>684</v>
      </c>
      <c r="J8090" s="484"/>
      <c r="K8090" s="548"/>
      <c r="L8090" s="548"/>
      <c r="M8090" s="548"/>
      <c r="N8090" s="552">
        <v>5296654</v>
      </c>
      <c r="R8090" s="539">
        <v>1057.751</v>
      </c>
      <c r="S8090" s="539">
        <v>1059.1203238723899</v>
      </c>
      <c r="T8090" s="538">
        <v>15.750500000000001</v>
      </c>
    </row>
    <row r="8091" spans="1:22">
      <c r="A8091" s="499">
        <v>45772</v>
      </c>
      <c r="B8091" s="499">
        <v>45775</v>
      </c>
      <c r="C8091" s="500" t="s">
        <v>173</v>
      </c>
      <c r="D8091" s="500" t="s">
        <v>763</v>
      </c>
      <c r="E8091" s="501">
        <v>28054796.760000002</v>
      </c>
      <c r="F8091" s="502" t="s">
        <v>878</v>
      </c>
      <c r="G8091" s="100">
        <v>116852585</v>
      </c>
      <c r="H8091" s="100">
        <v>116852585</v>
      </c>
      <c r="I8091" s="422" t="s">
        <v>654</v>
      </c>
      <c r="J8091" s="484"/>
      <c r="K8091" s="548"/>
      <c r="L8091" s="548"/>
      <c r="M8091" s="548"/>
      <c r="N8091" s="552">
        <v>27132</v>
      </c>
      <c r="R8091" s="539">
        <v>1032.6659999999999</v>
      </c>
      <c r="S8091" s="539">
        <v>1034.01137992039</v>
      </c>
      <c r="T8091" s="538">
        <v>15.851000000000001</v>
      </c>
    </row>
    <row r="8092" spans="1:22">
      <c r="A8092" s="499">
        <v>45772</v>
      </c>
      <c r="B8092" s="499">
        <v>45772</v>
      </c>
      <c r="C8092" s="500" t="s">
        <v>173</v>
      </c>
      <c r="D8092" s="500" t="s">
        <v>764</v>
      </c>
      <c r="E8092" s="501">
        <v>-84013181.280000001</v>
      </c>
      <c r="F8092" s="502" t="s">
        <v>878</v>
      </c>
      <c r="G8092" s="100">
        <v>116856738</v>
      </c>
      <c r="H8092" s="530"/>
      <c r="I8092" s="422" t="s">
        <v>827</v>
      </c>
      <c r="J8092" s="484"/>
      <c r="K8092" s="548"/>
      <c r="L8092" s="548"/>
      <c r="M8092" s="548"/>
      <c r="N8092" s="552">
        <v>79968</v>
      </c>
      <c r="R8092" s="539">
        <v>1050.585</v>
      </c>
      <c r="S8092" s="539">
        <v>1058.4434247449001</v>
      </c>
      <c r="T8092" s="538">
        <v>16.060099999999998</v>
      </c>
      <c r="U8092" s="538">
        <v>2142.34</v>
      </c>
      <c r="V8092" s="538">
        <v>1071.17</v>
      </c>
    </row>
    <row r="8093" spans="1:22">
      <c r="A8093" s="499">
        <v>45772</v>
      </c>
      <c r="B8093" s="499">
        <v>45772</v>
      </c>
      <c r="C8093" s="500" t="s">
        <v>173</v>
      </c>
      <c r="D8093" s="500" t="s">
        <v>764</v>
      </c>
      <c r="E8093" s="501">
        <f>-2000313.84</f>
        <v>-2000313.84</v>
      </c>
      <c r="F8093" s="502" t="s">
        <v>878</v>
      </c>
      <c r="G8093" s="100">
        <v>116856747</v>
      </c>
      <c r="H8093" s="530"/>
      <c r="I8093" s="422" t="s">
        <v>827</v>
      </c>
      <c r="J8093" s="484"/>
      <c r="K8093" s="548"/>
      <c r="L8093" s="548"/>
      <c r="M8093" s="548"/>
      <c r="N8093" s="552">
        <v>1904</v>
      </c>
      <c r="R8093" s="539">
        <v>1050.585</v>
      </c>
      <c r="S8093" s="539">
        <v>1058.4434243697499</v>
      </c>
      <c r="T8093" s="538">
        <v>16.060099999999998</v>
      </c>
      <c r="U8093" s="538">
        <v>51.01</v>
      </c>
      <c r="V8093" s="538">
        <v>25.5</v>
      </c>
    </row>
    <row r="8094" spans="1:22">
      <c r="A8094" s="499">
        <v>45772</v>
      </c>
      <c r="B8094" s="499">
        <v>45789</v>
      </c>
      <c r="C8094" s="500" t="s">
        <v>173</v>
      </c>
      <c r="D8094" s="500" t="s">
        <v>764</v>
      </c>
      <c r="E8094" s="501">
        <v>84641603.790000007</v>
      </c>
      <c r="F8094" s="502" t="s">
        <v>878</v>
      </c>
      <c r="G8094" s="100">
        <v>116856738</v>
      </c>
      <c r="H8094" s="484">
        <v>116856738</v>
      </c>
      <c r="I8094" s="422" t="s">
        <v>827</v>
      </c>
      <c r="J8094" s="484"/>
      <c r="K8094" s="548"/>
      <c r="L8094" s="548"/>
      <c r="M8094" s="548"/>
      <c r="N8094" s="552">
        <v>79968</v>
      </c>
      <c r="R8094" s="539">
        <v>1050.585</v>
      </c>
      <c r="S8094" s="539">
        <v>1058.4434247449001</v>
      </c>
      <c r="T8094" s="538">
        <v>16.060099999999998</v>
      </c>
      <c r="U8094" s="538">
        <v>2142.34</v>
      </c>
      <c r="V8094" s="538">
        <v>1071.17</v>
      </c>
    </row>
    <row r="8095" spans="1:22">
      <c r="A8095" s="499">
        <v>45772</v>
      </c>
      <c r="B8095" s="499">
        <v>45789</v>
      </c>
      <c r="C8095" s="500" t="s">
        <v>173</v>
      </c>
      <c r="D8095" s="500" t="s">
        <v>764</v>
      </c>
      <c r="E8095" s="501">
        <v>2015276.28</v>
      </c>
      <c r="F8095" s="502" t="s">
        <v>878</v>
      </c>
      <c r="G8095" s="100">
        <v>116856747</v>
      </c>
      <c r="H8095" s="484">
        <v>116856747</v>
      </c>
      <c r="I8095" s="422" t="s">
        <v>827</v>
      </c>
      <c r="J8095" s="484"/>
      <c r="K8095" s="548"/>
      <c r="L8095" s="548"/>
      <c r="M8095" s="548"/>
      <c r="N8095" s="552">
        <v>1904</v>
      </c>
      <c r="R8095" s="539">
        <v>1050.585</v>
      </c>
      <c r="S8095" s="539">
        <v>1058.4434243697499</v>
      </c>
      <c r="T8095" s="538">
        <v>16.060099999999998</v>
      </c>
      <c r="U8095" s="538">
        <v>51.01</v>
      </c>
      <c r="V8095" s="538">
        <v>25.5</v>
      </c>
    </row>
    <row r="8096" spans="1:22">
      <c r="A8096" s="499">
        <v>45772</v>
      </c>
      <c r="B8096" s="499">
        <v>45772</v>
      </c>
      <c r="C8096" s="500" t="s">
        <v>173</v>
      </c>
      <c r="D8096" s="500" t="s">
        <v>761</v>
      </c>
      <c r="E8096" s="501">
        <v>-609127461.13999999</v>
      </c>
      <c r="F8096" s="502" t="s">
        <v>878</v>
      </c>
      <c r="G8096" s="100">
        <v>116855459</v>
      </c>
      <c r="H8096" s="530"/>
      <c r="I8096" s="422" t="s">
        <v>631</v>
      </c>
      <c r="J8096" s="484"/>
      <c r="K8096" s="548"/>
      <c r="L8096" s="548"/>
      <c r="M8096" s="548"/>
      <c r="N8096" s="552">
        <v>1337973</v>
      </c>
      <c r="R8096" s="539">
        <v>455.26139999835573</v>
      </c>
      <c r="S8096" s="539">
        <v>455.86009991980399</v>
      </c>
      <c r="T8096" s="538">
        <v>16</v>
      </c>
      <c r="U8096" s="538">
        <v>2741.07</v>
      </c>
      <c r="V8096" s="538">
        <v>1370.54</v>
      </c>
    </row>
    <row r="8097" spans="1:22">
      <c r="A8097" s="499">
        <v>45772</v>
      </c>
      <c r="B8097" s="499">
        <v>45772</v>
      </c>
      <c r="C8097" s="500" t="s">
        <v>173</v>
      </c>
      <c r="D8097" s="500" t="s">
        <v>761</v>
      </c>
      <c r="E8097" s="501">
        <v>-3001120.98</v>
      </c>
      <c r="F8097" s="502" t="s">
        <v>878</v>
      </c>
      <c r="G8097" s="100">
        <v>116859246</v>
      </c>
      <c r="H8097" s="530"/>
      <c r="I8097" s="422" t="s">
        <v>716</v>
      </c>
      <c r="J8097" s="484"/>
      <c r="K8097" s="548"/>
      <c r="L8097" s="548"/>
      <c r="M8097" s="548"/>
      <c r="N8097" s="552">
        <v>4347</v>
      </c>
      <c r="R8097" s="539">
        <v>690.38899930986884</v>
      </c>
      <c r="S8097" s="539">
        <v>691.27137796181296</v>
      </c>
      <c r="T8097" s="538">
        <v>15.5501</v>
      </c>
      <c r="U8097" s="538">
        <v>39.32</v>
      </c>
      <c r="V8097" s="538">
        <v>6.75</v>
      </c>
    </row>
    <row r="8098" spans="1:22">
      <c r="A8098" s="499">
        <v>45772</v>
      </c>
      <c r="B8098" s="499">
        <v>45775</v>
      </c>
      <c r="C8098" s="500" t="s">
        <v>173</v>
      </c>
      <c r="D8098" s="500" t="s">
        <v>761</v>
      </c>
      <c r="E8098" s="501">
        <v>609928505.47000003</v>
      </c>
      <c r="F8098" s="502" t="s">
        <v>878</v>
      </c>
      <c r="G8098" s="100">
        <v>116855459</v>
      </c>
      <c r="H8098" s="100">
        <v>116855459</v>
      </c>
      <c r="I8098" s="422" t="s">
        <v>631</v>
      </c>
      <c r="J8098" s="484"/>
      <c r="K8098" s="548"/>
      <c r="L8098" s="548"/>
      <c r="M8098" s="548"/>
      <c r="N8098" s="552">
        <v>1337973</v>
      </c>
      <c r="R8098" s="539">
        <v>455.26139999835573</v>
      </c>
      <c r="S8098" s="539">
        <v>455.86009991980399</v>
      </c>
      <c r="T8098" s="538">
        <v>16</v>
      </c>
      <c r="U8098" s="538">
        <v>2741.07</v>
      </c>
      <c r="V8098" s="538">
        <v>1370.54</v>
      </c>
    </row>
    <row r="8099" spans="1:22">
      <c r="A8099" s="499">
        <v>45772</v>
      </c>
      <c r="B8099" s="499">
        <v>45775</v>
      </c>
      <c r="C8099" s="500" t="s">
        <v>173</v>
      </c>
      <c r="D8099" s="500" t="s">
        <v>761</v>
      </c>
      <c r="E8099" s="501">
        <v>3004956.68</v>
      </c>
      <c r="F8099" s="502" t="s">
        <v>878</v>
      </c>
      <c r="G8099" s="100">
        <v>116859246</v>
      </c>
      <c r="H8099" s="100">
        <v>116859246</v>
      </c>
      <c r="I8099" s="422" t="s">
        <v>716</v>
      </c>
      <c r="J8099" s="484"/>
      <c r="K8099" s="548"/>
      <c r="L8099" s="548"/>
      <c r="M8099" s="548"/>
      <c r="N8099" s="552">
        <v>4347</v>
      </c>
      <c r="R8099" s="539">
        <v>690.38899930986884</v>
      </c>
      <c r="S8099" s="539">
        <v>691.27137796181296</v>
      </c>
      <c r="T8099" s="538">
        <v>15.5501</v>
      </c>
      <c r="U8099" s="538">
        <v>39.32</v>
      </c>
      <c r="V8099" s="538">
        <v>6.75</v>
      </c>
    </row>
    <row r="8100" spans="1:22">
      <c r="A8100" s="499">
        <v>45775</v>
      </c>
      <c r="B8100" s="499">
        <v>45775</v>
      </c>
      <c r="C8100" s="500" t="s">
        <v>173</v>
      </c>
      <c r="D8100" s="500" t="s">
        <v>761</v>
      </c>
      <c r="E8100" s="501">
        <v>-498233791.07999998</v>
      </c>
      <c r="F8100" s="502" t="s">
        <v>878</v>
      </c>
      <c r="G8100" s="100">
        <v>116868859</v>
      </c>
      <c r="H8100" s="530"/>
      <c r="I8100" s="422" t="s">
        <v>653</v>
      </c>
      <c r="J8100" s="484"/>
      <c r="K8100" s="548"/>
      <c r="L8100" s="548"/>
      <c r="M8100" s="548"/>
      <c r="N8100" s="552">
        <v>500490</v>
      </c>
      <c r="R8100" s="539">
        <v>995.49199999999996</v>
      </c>
      <c r="S8100" s="539">
        <v>995.92292531319299</v>
      </c>
      <c r="T8100" s="538">
        <v>15.8</v>
      </c>
      <c r="U8100" s="538">
        <v>747.35</v>
      </c>
      <c r="V8100" s="538">
        <v>373.68</v>
      </c>
    </row>
    <row r="8101" spans="1:22">
      <c r="A8101" s="499">
        <v>45775</v>
      </c>
      <c r="B8101" s="499">
        <v>45775</v>
      </c>
      <c r="C8101" s="500" t="s">
        <v>173</v>
      </c>
      <c r="D8101" s="500" t="s">
        <v>761</v>
      </c>
      <c r="E8101" s="501">
        <v>-592051792.89999998</v>
      </c>
      <c r="F8101" s="502" t="s">
        <v>878</v>
      </c>
      <c r="G8101" s="100">
        <v>116873684</v>
      </c>
      <c r="H8101" s="530"/>
      <c r="I8101" s="422" t="s">
        <v>633</v>
      </c>
      <c r="J8101" s="484"/>
      <c r="K8101" s="548"/>
      <c r="L8101" s="548"/>
      <c r="M8101" s="548"/>
      <c r="N8101" s="552">
        <v>1136640</v>
      </c>
      <c r="R8101" s="539">
        <v>520.87890000351911</v>
      </c>
      <c r="S8101" s="539">
        <v>521.10081011577995</v>
      </c>
      <c r="T8101" s="538">
        <v>15.5501</v>
      </c>
      <c r="U8101" s="538">
        <v>888.08</v>
      </c>
      <c r="V8101" s="538">
        <v>444.04</v>
      </c>
    </row>
    <row r="8102" spans="1:22">
      <c r="A8102" s="499">
        <v>45775</v>
      </c>
      <c r="B8102" s="499">
        <v>45775</v>
      </c>
      <c r="C8102" s="500" t="s">
        <v>173</v>
      </c>
      <c r="D8102" s="500" t="s">
        <v>761</v>
      </c>
      <c r="E8102" s="501">
        <v>-1010055718.67</v>
      </c>
      <c r="F8102" s="502" t="s">
        <v>878</v>
      </c>
      <c r="G8102" s="100">
        <v>116873687</v>
      </c>
      <c r="H8102" s="530"/>
      <c r="I8102" s="422" t="s">
        <v>681</v>
      </c>
      <c r="J8102" s="484"/>
      <c r="K8102" s="548"/>
      <c r="L8102" s="548"/>
      <c r="M8102" s="548"/>
      <c r="N8102" s="552">
        <v>1120090</v>
      </c>
      <c r="R8102" s="539">
        <v>901.76299999999992</v>
      </c>
      <c r="S8102" s="539">
        <v>902.14717574480596</v>
      </c>
      <c r="T8102" s="538">
        <v>15.55</v>
      </c>
      <c r="U8102" s="538">
        <v>1515.08</v>
      </c>
      <c r="V8102" s="538">
        <v>757.54</v>
      </c>
    </row>
    <row r="8103" spans="1:22">
      <c r="A8103" s="499">
        <v>45775</v>
      </c>
      <c r="B8103" s="499">
        <v>45775</v>
      </c>
      <c r="C8103" s="500" t="s">
        <v>173</v>
      </c>
      <c r="D8103" s="500" t="s">
        <v>761</v>
      </c>
      <c r="E8103" s="501">
        <v>-9000496.5</v>
      </c>
      <c r="F8103" s="502" t="s">
        <v>878</v>
      </c>
      <c r="G8103" s="100">
        <v>116873692</v>
      </c>
      <c r="H8103" s="530"/>
      <c r="I8103" s="422" t="s">
        <v>681</v>
      </c>
      <c r="J8103" s="484"/>
      <c r="K8103" s="548"/>
      <c r="L8103" s="548"/>
      <c r="M8103" s="548"/>
      <c r="N8103" s="552">
        <v>9981</v>
      </c>
      <c r="R8103" s="539">
        <v>901.76299969942886</v>
      </c>
      <c r="S8103" s="539">
        <v>902.14717563370402</v>
      </c>
      <c r="T8103" s="538">
        <v>15.55</v>
      </c>
      <c r="U8103" s="538">
        <v>39.32</v>
      </c>
      <c r="V8103" s="538">
        <v>6.75</v>
      </c>
    </row>
    <row r="8104" spans="1:22">
      <c r="A8104" s="499">
        <v>45775</v>
      </c>
      <c r="B8104" s="499">
        <v>45776</v>
      </c>
      <c r="C8104" s="500" t="s">
        <v>173</v>
      </c>
      <c r="D8104" s="500" t="s">
        <v>761</v>
      </c>
      <c r="E8104" s="501">
        <v>498449464.88999999</v>
      </c>
      <c r="F8104" s="502" t="s">
        <v>878</v>
      </c>
      <c r="G8104" s="100">
        <v>116868859</v>
      </c>
      <c r="H8104" s="484">
        <v>116868859</v>
      </c>
      <c r="I8104" s="422" t="s">
        <v>653</v>
      </c>
      <c r="J8104" s="484"/>
      <c r="K8104" s="548"/>
      <c r="L8104" s="548"/>
      <c r="M8104" s="548"/>
      <c r="N8104" s="552">
        <v>500490</v>
      </c>
      <c r="R8104" s="539">
        <v>995.49199999999996</v>
      </c>
      <c r="S8104" s="539">
        <v>995.92292531319299</v>
      </c>
      <c r="T8104" s="538">
        <v>15.8</v>
      </c>
      <c r="U8104" s="538">
        <v>747.35</v>
      </c>
      <c r="V8104" s="538">
        <v>373.68</v>
      </c>
    </row>
    <row r="8105" spans="1:22">
      <c r="A8105" s="499">
        <v>45775</v>
      </c>
      <c r="B8105" s="499">
        <v>45776</v>
      </c>
      <c r="C8105" s="500" t="s">
        <v>173</v>
      </c>
      <c r="D8105" s="500" t="s">
        <v>761</v>
      </c>
      <c r="E8105" s="501">
        <v>592304024.80999994</v>
      </c>
      <c r="F8105" s="502" t="s">
        <v>878</v>
      </c>
      <c r="G8105" s="100">
        <v>116873684</v>
      </c>
      <c r="H8105" s="484">
        <v>116873684</v>
      </c>
      <c r="I8105" s="422" t="s">
        <v>633</v>
      </c>
      <c r="J8105" s="484"/>
      <c r="K8105" s="548"/>
      <c r="L8105" s="548"/>
      <c r="M8105" s="548"/>
      <c r="N8105" s="552">
        <v>1136640</v>
      </c>
      <c r="R8105" s="539">
        <v>520.87890000351911</v>
      </c>
      <c r="S8105" s="539">
        <v>521.10081011577995</v>
      </c>
      <c r="T8105" s="538">
        <v>15.5501</v>
      </c>
      <c r="U8105" s="538">
        <v>888.08</v>
      </c>
      <c r="V8105" s="538">
        <v>444.04</v>
      </c>
    </row>
    <row r="8106" spans="1:22">
      <c r="A8106" s="499">
        <v>45775</v>
      </c>
      <c r="B8106" s="499">
        <v>45776</v>
      </c>
      <c r="C8106" s="500" t="s">
        <v>173</v>
      </c>
      <c r="D8106" s="500" t="s">
        <v>761</v>
      </c>
      <c r="E8106" s="501">
        <v>1010486030.08</v>
      </c>
      <c r="F8106" s="502" t="s">
        <v>878</v>
      </c>
      <c r="G8106" s="100">
        <v>116873687</v>
      </c>
      <c r="H8106" s="484">
        <v>116873687</v>
      </c>
      <c r="I8106" s="422" t="s">
        <v>681</v>
      </c>
      <c r="J8106" s="484"/>
      <c r="K8106" s="548"/>
      <c r="L8106" s="548"/>
      <c r="M8106" s="548"/>
      <c r="N8106" s="552">
        <v>1120090</v>
      </c>
      <c r="R8106" s="539">
        <v>901.76299999999992</v>
      </c>
      <c r="S8106" s="539">
        <v>902.14717574480596</v>
      </c>
      <c r="T8106" s="538">
        <v>15.55</v>
      </c>
      <c r="U8106" s="538">
        <v>1515.08</v>
      </c>
      <c r="V8106" s="538">
        <v>757.54</v>
      </c>
    </row>
    <row r="8107" spans="1:22">
      <c r="A8107" s="499">
        <v>45775</v>
      </c>
      <c r="B8107" s="499">
        <v>45776</v>
      </c>
      <c r="C8107" s="500" t="s">
        <v>173</v>
      </c>
      <c r="D8107" s="500" t="s">
        <v>761</v>
      </c>
      <c r="E8107" s="501">
        <v>9004330.9600000009</v>
      </c>
      <c r="F8107" s="502" t="s">
        <v>878</v>
      </c>
      <c r="G8107" s="100">
        <v>116873692</v>
      </c>
      <c r="H8107" s="484">
        <v>116873692</v>
      </c>
      <c r="I8107" s="422" t="s">
        <v>681</v>
      </c>
      <c r="J8107" s="484"/>
      <c r="K8107" s="548"/>
      <c r="L8107" s="548"/>
      <c r="M8107" s="548"/>
      <c r="N8107" s="552">
        <v>9981</v>
      </c>
      <c r="R8107" s="539">
        <v>901.76299969942886</v>
      </c>
      <c r="S8107" s="539">
        <v>902.14717563370402</v>
      </c>
      <c r="T8107" s="538">
        <v>15.55</v>
      </c>
      <c r="U8107" s="538">
        <v>39.32</v>
      </c>
      <c r="V8107" s="538">
        <v>6.75</v>
      </c>
    </row>
    <row r="8108" spans="1:22">
      <c r="A8108" s="499">
        <v>45775</v>
      </c>
      <c r="B8108" s="499">
        <v>45775</v>
      </c>
      <c r="C8108" s="500" t="s">
        <v>173</v>
      </c>
      <c r="D8108" s="500" t="s">
        <v>759</v>
      </c>
      <c r="E8108" s="501">
        <v>-2211563001.96</v>
      </c>
      <c r="F8108" s="502" t="s">
        <v>878</v>
      </c>
      <c r="G8108" s="100">
        <v>116868234</v>
      </c>
      <c r="H8108" s="530"/>
      <c r="I8108" s="422" t="s">
        <v>805</v>
      </c>
      <c r="J8108" s="484"/>
      <c r="K8108" s="548"/>
      <c r="L8108" s="548"/>
      <c r="M8108" s="548"/>
      <c r="N8108" s="552">
        <v>4103616</v>
      </c>
      <c r="R8108" s="539">
        <v>538.93029999883026</v>
      </c>
      <c r="S8108" s="539">
        <v>539.16359037492805</v>
      </c>
      <c r="T8108" s="538">
        <v>15.8</v>
      </c>
      <c r="U8108" s="538">
        <v>3317.34</v>
      </c>
      <c r="V8108" s="538">
        <v>1658.67</v>
      </c>
    </row>
    <row r="8109" spans="1:22">
      <c r="A8109" s="499">
        <v>45775</v>
      </c>
      <c r="B8109" s="499">
        <v>45775</v>
      </c>
      <c r="C8109" s="500" t="s">
        <v>173</v>
      </c>
      <c r="D8109" s="500" t="s">
        <v>759</v>
      </c>
      <c r="E8109" s="501">
        <v>-111009711.17</v>
      </c>
      <c r="F8109" s="502" t="s">
        <v>878</v>
      </c>
      <c r="G8109" s="100">
        <v>116868265</v>
      </c>
      <c r="H8109" s="530"/>
      <c r="I8109" s="422" t="s">
        <v>633</v>
      </c>
      <c r="J8109" s="484"/>
      <c r="K8109" s="548"/>
      <c r="L8109" s="548"/>
      <c r="M8109" s="548"/>
      <c r="N8109" s="552">
        <v>213120</v>
      </c>
      <c r="R8109" s="539">
        <v>520.87890000938444</v>
      </c>
      <c r="S8109" s="539">
        <v>521.10437636073596</v>
      </c>
      <c r="T8109" s="538">
        <v>15.8</v>
      </c>
      <c r="U8109" s="538">
        <v>166.51</v>
      </c>
      <c r="V8109" s="538">
        <v>83.26</v>
      </c>
    </row>
    <row r="8110" spans="1:22">
      <c r="A8110" s="499">
        <v>45775</v>
      </c>
      <c r="B8110" s="499">
        <v>45775</v>
      </c>
      <c r="C8110" s="500" t="s">
        <v>173</v>
      </c>
      <c r="D8110" s="500" t="s">
        <v>759</v>
      </c>
      <c r="E8110" s="501">
        <v>-13001137.34</v>
      </c>
      <c r="F8110" s="502" t="s">
        <v>878</v>
      </c>
      <c r="G8110" s="100">
        <v>116869486</v>
      </c>
      <c r="H8110" s="530"/>
      <c r="I8110" s="422" t="s">
        <v>633</v>
      </c>
      <c r="J8110" s="484"/>
      <c r="K8110" s="548"/>
      <c r="L8110" s="548"/>
      <c r="M8110" s="548"/>
      <c r="N8110" s="552">
        <v>24960</v>
      </c>
      <c r="R8110" s="539">
        <v>520.87889983974355</v>
      </c>
      <c r="S8110" s="539">
        <v>521.10437620192295</v>
      </c>
      <c r="T8110" s="538">
        <v>15.8</v>
      </c>
      <c r="U8110" s="538">
        <v>39.32</v>
      </c>
      <c r="V8110" s="538">
        <v>9.75</v>
      </c>
    </row>
    <row r="8111" spans="1:22">
      <c r="A8111" s="499">
        <v>45775</v>
      </c>
      <c r="B8111" s="499">
        <v>45776</v>
      </c>
      <c r="C8111" s="500" t="s">
        <v>173</v>
      </c>
      <c r="D8111" s="500" t="s">
        <v>759</v>
      </c>
      <c r="E8111" s="501">
        <v>2212520336.0799999</v>
      </c>
      <c r="F8111" s="502" t="s">
        <v>878</v>
      </c>
      <c r="G8111" s="100">
        <v>116868234</v>
      </c>
      <c r="H8111" s="484">
        <v>116868234</v>
      </c>
      <c r="I8111" s="422" t="s">
        <v>805</v>
      </c>
      <c r="J8111" s="484"/>
      <c r="K8111" s="548"/>
      <c r="L8111" s="548"/>
      <c r="M8111" s="548"/>
      <c r="N8111" s="552">
        <v>4103616</v>
      </c>
      <c r="R8111" s="539">
        <v>538.93029999883026</v>
      </c>
      <c r="S8111" s="539">
        <v>539.16359037492805</v>
      </c>
      <c r="T8111" s="538">
        <v>15.8</v>
      </c>
      <c r="U8111" s="538">
        <v>3317.34</v>
      </c>
      <c r="V8111" s="538">
        <v>1658.67</v>
      </c>
    </row>
    <row r="8112" spans="1:22">
      <c r="A8112" s="499">
        <v>45775</v>
      </c>
      <c r="B8112" s="499">
        <v>45776</v>
      </c>
      <c r="C8112" s="500" t="s">
        <v>173</v>
      </c>
      <c r="D8112" s="500" t="s">
        <v>759</v>
      </c>
      <c r="E8112" s="501">
        <v>111057764.69</v>
      </c>
      <c r="F8112" s="502" t="s">
        <v>878</v>
      </c>
      <c r="G8112" s="100">
        <v>116868265</v>
      </c>
      <c r="H8112" s="484">
        <v>116868265</v>
      </c>
      <c r="I8112" s="422" t="s">
        <v>633</v>
      </c>
      <c r="J8112" s="484"/>
      <c r="K8112" s="548"/>
      <c r="L8112" s="548"/>
      <c r="M8112" s="548"/>
      <c r="N8112" s="552">
        <v>213120</v>
      </c>
      <c r="R8112" s="539">
        <v>520.87890000938444</v>
      </c>
      <c r="S8112" s="539">
        <v>521.10437636073596</v>
      </c>
      <c r="T8112" s="538">
        <v>15.8</v>
      </c>
      <c r="U8112" s="538">
        <v>166.51</v>
      </c>
      <c r="V8112" s="538">
        <v>83.26</v>
      </c>
    </row>
    <row r="8113" spans="1:25">
      <c r="A8113" s="499">
        <v>45775</v>
      </c>
      <c r="B8113" s="499">
        <v>45776</v>
      </c>
      <c r="C8113" s="500" t="s">
        <v>173</v>
      </c>
      <c r="D8113" s="500" t="s">
        <v>759</v>
      </c>
      <c r="E8113" s="501">
        <v>13006765.23</v>
      </c>
      <c r="F8113" s="502" t="s">
        <v>878</v>
      </c>
      <c r="G8113" s="100">
        <v>116869486</v>
      </c>
      <c r="H8113" s="484">
        <v>116869486</v>
      </c>
      <c r="I8113" s="422" t="s">
        <v>633</v>
      </c>
      <c r="J8113" s="484"/>
      <c r="K8113" s="548"/>
      <c r="L8113" s="548"/>
      <c r="M8113" s="548"/>
      <c r="N8113" s="552">
        <v>24960</v>
      </c>
      <c r="R8113" s="539">
        <v>520.87889983974355</v>
      </c>
      <c r="S8113" s="539">
        <v>521.10437620192295</v>
      </c>
      <c r="T8113" s="538">
        <v>15.8</v>
      </c>
      <c r="U8113" s="538">
        <v>39.32</v>
      </c>
      <c r="V8113" s="538">
        <v>9.75</v>
      </c>
    </row>
    <row r="8114" spans="1:25">
      <c r="A8114" s="499">
        <v>45775</v>
      </c>
      <c r="B8114" s="499">
        <v>45775</v>
      </c>
      <c r="C8114" s="500" t="s">
        <v>173</v>
      </c>
      <c r="D8114" s="500" t="s">
        <v>760</v>
      </c>
      <c r="E8114" s="501">
        <v>-155013560.63999999</v>
      </c>
      <c r="F8114" s="502" t="s">
        <v>878</v>
      </c>
      <c r="G8114" s="100">
        <v>116868826</v>
      </c>
      <c r="H8114" s="530"/>
      <c r="I8114" s="422" t="s">
        <v>633</v>
      </c>
      <c r="J8114" s="484"/>
      <c r="K8114" s="548"/>
      <c r="L8114" s="548"/>
      <c r="M8114" s="548"/>
      <c r="N8114" s="552">
        <v>297600</v>
      </c>
      <c r="R8114" s="539">
        <v>520.87890000000004</v>
      </c>
      <c r="S8114" s="539">
        <v>521.10437493279596</v>
      </c>
      <c r="T8114" s="538">
        <v>15.799899999999999</v>
      </c>
      <c r="U8114" s="538">
        <v>232.52</v>
      </c>
      <c r="V8114" s="538">
        <v>116.26</v>
      </c>
    </row>
    <row r="8115" spans="1:25">
      <c r="A8115" s="499">
        <v>45775</v>
      </c>
      <c r="B8115" s="499">
        <v>45776</v>
      </c>
      <c r="C8115" s="500" t="s">
        <v>173</v>
      </c>
      <c r="D8115" s="500" t="s">
        <v>760</v>
      </c>
      <c r="E8115" s="501">
        <v>155080661.97999999</v>
      </c>
      <c r="F8115" s="502" t="s">
        <v>878</v>
      </c>
      <c r="G8115" s="100">
        <v>116868826</v>
      </c>
      <c r="H8115" s="100">
        <v>116868826</v>
      </c>
      <c r="I8115" s="422" t="s">
        <v>633</v>
      </c>
      <c r="J8115" s="484"/>
      <c r="K8115" s="548"/>
      <c r="L8115" s="548"/>
      <c r="M8115" s="548"/>
      <c r="N8115" s="552">
        <v>297600</v>
      </c>
      <c r="R8115" s="539">
        <v>520.87890000000004</v>
      </c>
      <c r="S8115" s="539">
        <v>521.10437493279596</v>
      </c>
      <c r="T8115" s="538">
        <v>15.799899999999999</v>
      </c>
      <c r="U8115" s="538">
        <v>232.52</v>
      </c>
      <c r="V8115" s="538">
        <v>116.26</v>
      </c>
    </row>
    <row r="8116" spans="1:25">
      <c r="A8116" s="499">
        <v>45775</v>
      </c>
      <c r="B8116" s="499">
        <v>45775</v>
      </c>
      <c r="C8116" s="500" t="s">
        <v>173</v>
      </c>
      <c r="D8116" s="500" t="s">
        <v>764</v>
      </c>
      <c r="E8116" s="501">
        <v>-274105790.02999997</v>
      </c>
      <c r="F8116" s="502" t="s">
        <v>878</v>
      </c>
      <c r="G8116" s="100">
        <v>116869606</v>
      </c>
      <c r="H8116" s="530"/>
      <c r="I8116" s="422" t="s">
        <v>682</v>
      </c>
      <c r="J8116" s="484"/>
      <c r="K8116" s="548"/>
      <c r="L8116" s="548"/>
      <c r="M8116" s="548"/>
      <c r="N8116" s="552">
        <v>247970</v>
      </c>
      <c r="R8116" s="539">
        <v>1105.3989999999999</v>
      </c>
      <c r="S8116" s="539">
        <v>1112.2252174053301</v>
      </c>
      <c r="T8116" s="538">
        <v>16.100000000000001</v>
      </c>
      <c r="U8116" s="538">
        <v>5756.22</v>
      </c>
      <c r="V8116" s="538">
        <v>2878.11</v>
      </c>
    </row>
    <row r="8117" spans="1:25">
      <c r="A8117" s="499">
        <v>45775</v>
      </c>
      <c r="B8117" s="499">
        <v>45775</v>
      </c>
      <c r="C8117" s="500" t="s">
        <v>173</v>
      </c>
      <c r="D8117" s="500" t="s">
        <v>764</v>
      </c>
      <c r="E8117" s="501">
        <v>-1059332498.47</v>
      </c>
      <c r="F8117" s="502" t="s">
        <v>878</v>
      </c>
      <c r="G8117" s="100">
        <v>116871003</v>
      </c>
      <c r="H8117" s="530"/>
      <c r="I8117" s="422" t="s">
        <v>798</v>
      </c>
      <c r="J8117" s="484"/>
      <c r="K8117" s="548"/>
      <c r="L8117" s="548"/>
      <c r="M8117" s="548"/>
      <c r="N8117" s="552">
        <v>960513</v>
      </c>
      <c r="R8117" s="539">
        <v>1102.8820000041644</v>
      </c>
      <c r="S8117" s="539">
        <v>1109.65185231225</v>
      </c>
      <c r="T8117" s="538">
        <v>16.003499999999999</v>
      </c>
      <c r="U8117" s="538">
        <v>22245.98</v>
      </c>
      <c r="V8117" s="538">
        <v>11122.99</v>
      </c>
    </row>
    <row r="8118" spans="1:25">
      <c r="A8118" s="499">
        <v>45775</v>
      </c>
      <c r="B8118" s="499">
        <v>45775</v>
      </c>
      <c r="C8118" s="500" t="s">
        <v>173</v>
      </c>
      <c r="D8118" s="500" t="s">
        <v>764</v>
      </c>
      <c r="E8118" s="501">
        <v>-7002197.8200000003</v>
      </c>
      <c r="F8118" s="502" t="s">
        <v>878</v>
      </c>
      <c r="G8118" s="100">
        <v>116871048</v>
      </c>
      <c r="H8118" s="530"/>
      <c r="I8118" s="422" t="s">
        <v>798</v>
      </c>
      <c r="J8118" s="484"/>
      <c r="K8118" s="548"/>
      <c r="L8118" s="548"/>
      <c r="M8118" s="548"/>
      <c r="N8118" s="552">
        <v>6349</v>
      </c>
      <c r="R8118" s="539">
        <v>1102.8820003150104</v>
      </c>
      <c r="S8118" s="539">
        <v>1109.6518522602</v>
      </c>
      <c r="T8118" s="538">
        <v>16.003499999999999</v>
      </c>
      <c r="U8118" s="538">
        <v>147.05000000000001</v>
      </c>
      <c r="V8118" s="538">
        <v>73.52</v>
      </c>
    </row>
    <row r="8119" spans="1:25">
      <c r="A8119" s="499">
        <v>45775</v>
      </c>
      <c r="B8119" s="499">
        <v>45789</v>
      </c>
      <c r="C8119" s="500" t="s">
        <v>173</v>
      </c>
      <c r="D8119" s="500" t="s">
        <v>764</v>
      </c>
      <c r="E8119" s="501">
        <v>275798487.16000003</v>
      </c>
      <c r="F8119" s="502" t="s">
        <v>878</v>
      </c>
      <c r="G8119" s="100">
        <v>116869606</v>
      </c>
      <c r="H8119" s="100">
        <v>116869606</v>
      </c>
      <c r="I8119" s="422" t="s">
        <v>682</v>
      </c>
      <c r="J8119" s="484"/>
      <c r="K8119" s="548"/>
      <c r="L8119" s="548"/>
      <c r="M8119" s="548"/>
      <c r="N8119" s="552">
        <v>247970</v>
      </c>
      <c r="R8119" s="539">
        <v>1105.3989999999999</v>
      </c>
      <c r="S8119" s="539">
        <v>1112.2252174053301</v>
      </c>
      <c r="T8119" s="538">
        <v>16.100000000000001</v>
      </c>
      <c r="U8119" s="538">
        <v>5756.22</v>
      </c>
      <c r="V8119" s="538">
        <v>2878.11</v>
      </c>
    </row>
    <row r="8120" spans="1:25">
      <c r="A8120" s="499">
        <v>45775</v>
      </c>
      <c r="B8120" s="499">
        <v>45789</v>
      </c>
      <c r="C8120" s="500" t="s">
        <v>173</v>
      </c>
      <c r="D8120" s="500" t="s">
        <v>764</v>
      </c>
      <c r="E8120" s="501">
        <v>1065835029.62</v>
      </c>
      <c r="F8120" s="502" t="s">
        <v>878</v>
      </c>
      <c r="G8120" s="100">
        <v>116871003</v>
      </c>
      <c r="H8120" s="100">
        <v>116871003</v>
      </c>
      <c r="I8120" s="422" t="s">
        <v>798</v>
      </c>
      <c r="J8120" s="484"/>
      <c r="K8120" s="548"/>
      <c r="L8120" s="548"/>
      <c r="M8120" s="548"/>
      <c r="N8120" s="552">
        <v>960513</v>
      </c>
      <c r="R8120" s="539">
        <v>1102.8820000041644</v>
      </c>
      <c r="S8120" s="539">
        <v>1109.65185231225</v>
      </c>
      <c r="T8120" s="538">
        <v>16.003499999999999</v>
      </c>
      <c r="U8120" s="538">
        <v>22245.98</v>
      </c>
      <c r="V8120" s="538">
        <v>11122.99</v>
      </c>
    </row>
    <row r="8121" spans="1:25">
      <c r="A8121" s="499">
        <v>45775</v>
      </c>
      <c r="B8121" s="499">
        <v>45789</v>
      </c>
      <c r="C8121" s="500" t="s">
        <v>173</v>
      </c>
      <c r="D8121" s="500" t="s">
        <v>764</v>
      </c>
      <c r="E8121" s="501">
        <v>7045179.6100000003</v>
      </c>
      <c r="F8121" s="502" t="s">
        <v>878</v>
      </c>
      <c r="G8121" s="100">
        <v>116871048</v>
      </c>
      <c r="H8121" s="100">
        <v>116871048</v>
      </c>
      <c r="I8121" s="422" t="s">
        <v>798</v>
      </c>
      <c r="J8121" s="484"/>
      <c r="K8121" s="548"/>
      <c r="L8121" s="548"/>
      <c r="M8121" s="548"/>
      <c r="N8121" s="552">
        <v>6349</v>
      </c>
      <c r="R8121" s="539">
        <v>1102.8820003150104</v>
      </c>
      <c r="S8121" s="539">
        <v>1109.6518522602</v>
      </c>
      <c r="T8121" s="538">
        <v>16.003499999999999</v>
      </c>
      <c r="U8121" s="538">
        <v>147.05000000000001</v>
      </c>
      <c r="V8121" s="538">
        <v>73.52</v>
      </c>
    </row>
    <row r="8122" spans="1:25">
      <c r="A8122" s="499">
        <v>45775</v>
      </c>
      <c r="B8122" s="499">
        <v>45775</v>
      </c>
      <c r="C8122" s="500" t="s">
        <v>173</v>
      </c>
      <c r="D8122" s="500" t="s">
        <v>763</v>
      </c>
      <c r="E8122" s="501">
        <v>-5611953896.6400003</v>
      </c>
      <c r="F8122" s="502" t="s">
        <v>878</v>
      </c>
      <c r="G8122" s="100">
        <v>116867582</v>
      </c>
      <c r="H8122" s="530"/>
      <c r="I8122" s="422" t="s">
        <v>684</v>
      </c>
      <c r="J8122" s="484"/>
      <c r="K8122" s="548"/>
      <c r="L8122" s="548"/>
      <c r="M8122" s="548"/>
      <c r="N8122" s="552">
        <v>5298615</v>
      </c>
      <c r="R8122" s="539">
        <v>1059.136</v>
      </c>
      <c r="S8122" s="539">
        <v>1059.5933349243201</v>
      </c>
      <c r="T8122" s="538">
        <v>15.7607</v>
      </c>
      <c r="U8122" s="538">
        <v>8417.93</v>
      </c>
      <c r="V8122" s="538">
        <v>4208.97</v>
      </c>
    </row>
    <row r="8123" spans="1:25">
      <c r="A8123" s="499">
        <v>45775</v>
      </c>
      <c r="B8123" s="499">
        <v>45775</v>
      </c>
      <c r="C8123" s="500" t="s">
        <v>173</v>
      </c>
      <c r="D8123" s="500" t="s">
        <v>763</v>
      </c>
      <c r="E8123" s="501">
        <v>-26022971.52</v>
      </c>
      <c r="F8123" s="502" t="s">
        <v>878</v>
      </c>
      <c r="G8123" s="100">
        <v>116867596</v>
      </c>
      <c r="H8123" s="530"/>
      <c r="I8123" s="422" t="s">
        <v>684</v>
      </c>
      <c r="J8123" s="484"/>
      <c r="K8123" s="548"/>
      <c r="L8123" s="548"/>
      <c r="M8123" s="548"/>
      <c r="N8123" s="552">
        <v>24570</v>
      </c>
      <c r="R8123" s="539">
        <v>1059.136</v>
      </c>
      <c r="S8123" s="539">
        <v>1059.5933349613299</v>
      </c>
      <c r="T8123" s="538">
        <v>15.7607</v>
      </c>
      <c r="U8123" s="538">
        <v>39.32</v>
      </c>
      <c r="V8123" s="538">
        <v>39.32</v>
      </c>
    </row>
    <row r="8124" spans="1:25">
      <c r="A8124" s="499">
        <v>45775</v>
      </c>
      <c r="B8124" s="499">
        <v>45776</v>
      </c>
      <c r="C8124" s="500" t="s">
        <v>173</v>
      </c>
      <c r="D8124" s="500" t="s">
        <v>763</v>
      </c>
      <c r="E8124" s="501">
        <v>5614377138.3299999</v>
      </c>
      <c r="F8124" s="502" t="s">
        <v>878</v>
      </c>
      <c r="G8124" s="100">
        <v>116867582</v>
      </c>
      <c r="H8124" s="100">
        <v>116867582</v>
      </c>
      <c r="I8124" s="422" t="s">
        <v>684</v>
      </c>
      <c r="J8124" s="484"/>
      <c r="K8124" s="548"/>
      <c r="L8124" s="548"/>
      <c r="M8124" s="548"/>
      <c r="N8124" s="552">
        <v>5298615</v>
      </c>
      <c r="R8124" s="539">
        <v>1059.136</v>
      </c>
      <c r="S8124" s="539">
        <v>1059.5933349243201</v>
      </c>
      <c r="T8124" s="538">
        <v>15.7607</v>
      </c>
      <c r="U8124" s="538">
        <v>8417.93</v>
      </c>
      <c r="V8124" s="538">
        <v>4208.97</v>
      </c>
    </row>
    <row r="8125" spans="1:25">
      <c r="A8125" s="499">
        <v>45775</v>
      </c>
      <c r="B8125" s="499">
        <v>45776</v>
      </c>
      <c r="C8125" s="500" t="s">
        <v>173</v>
      </c>
      <c r="D8125" s="500" t="s">
        <v>763</v>
      </c>
      <c r="E8125" s="501">
        <v>26034208.239999998</v>
      </c>
      <c r="F8125" s="502" t="s">
        <v>878</v>
      </c>
      <c r="G8125" s="100">
        <v>116867596</v>
      </c>
      <c r="H8125" s="100">
        <v>116867596</v>
      </c>
      <c r="I8125" s="422" t="s">
        <v>684</v>
      </c>
      <c r="J8125" s="484"/>
      <c r="K8125" s="548"/>
      <c r="L8125" s="548"/>
      <c r="M8125" s="548"/>
      <c r="N8125" s="552">
        <v>24570</v>
      </c>
      <c r="R8125" s="539">
        <v>1059.136</v>
      </c>
      <c r="S8125" s="539">
        <v>1059.5933349613299</v>
      </c>
      <c r="T8125" s="538">
        <v>15.7607</v>
      </c>
      <c r="U8125" s="538">
        <v>39.32</v>
      </c>
      <c r="V8125" s="538">
        <v>39.32</v>
      </c>
    </row>
    <row r="8126" spans="1:25">
      <c r="A8126" s="499">
        <v>45771</v>
      </c>
      <c r="B8126" s="499">
        <v>45775</v>
      </c>
      <c r="C8126" s="500" t="s">
        <v>173</v>
      </c>
      <c r="D8126" s="500" t="s">
        <v>764</v>
      </c>
      <c r="E8126" s="501">
        <v>771851666.66999996</v>
      </c>
      <c r="F8126" s="502" t="s">
        <v>912</v>
      </c>
      <c r="G8126" s="100" t="s">
        <v>74</v>
      </c>
      <c r="H8126" s="530"/>
      <c r="I8126" s="422"/>
      <c r="K8126" s="548"/>
      <c r="L8126" s="548">
        <v>69.429000000000002</v>
      </c>
      <c r="M8126" s="548">
        <f>E8126/(N8126*O8126)*100</f>
        <v>77.18516666699999</v>
      </c>
      <c r="N8126" s="552">
        <v>1000000</v>
      </c>
      <c r="O8126" s="539">
        <v>1000</v>
      </c>
      <c r="Q8126" s="538">
        <v>68.499300000000005</v>
      </c>
      <c r="W8126" s="550">
        <f>VLOOKUP(G8126,Справочник!A:C,3,0)</f>
        <v>8.0700000000000008E-2</v>
      </c>
      <c r="X8126" s="539" t="str">
        <f>VLOOKUP(G8126,Справочник!A:G,7,0)</f>
        <v>Министерство финансов Республики Казахстан</v>
      </c>
      <c r="Y8126" s="551" t="str">
        <f>VLOOKUP(G8126,Справочник!A:B,2,0)</f>
        <v>12.05.2034</v>
      </c>
    </row>
    <row r="8127" spans="1:25">
      <c r="A8127" s="499">
        <v>45771</v>
      </c>
      <c r="B8127" s="499">
        <v>45775</v>
      </c>
      <c r="C8127" s="500" t="s">
        <v>173</v>
      </c>
      <c r="D8127" s="500" t="s">
        <v>764</v>
      </c>
      <c r="E8127" s="501">
        <v>409081383.32999998</v>
      </c>
      <c r="F8127" s="502" t="s">
        <v>912</v>
      </c>
      <c r="G8127" s="100" t="s">
        <v>74</v>
      </c>
      <c r="H8127" s="530"/>
      <c r="I8127" s="422"/>
      <c r="K8127" s="548"/>
      <c r="L8127" s="548">
        <v>69.429000000000002</v>
      </c>
      <c r="M8127" s="548">
        <f>E8127/(N8127*O8127)*100</f>
        <v>77.18516666603773</v>
      </c>
      <c r="N8127" s="552">
        <v>530000</v>
      </c>
      <c r="O8127" s="539">
        <v>1000</v>
      </c>
      <c r="Q8127" s="538">
        <v>68.499300000000005</v>
      </c>
      <c r="W8127" s="550">
        <f>VLOOKUP(G8127,Справочник!A:C,3,0)</f>
        <v>8.0700000000000008E-2</v>
      </c>
      <c r="X8127" s="539" t="str">
        <f>VLOOKUP(G8127,Справочник!A:G,7,0)</f>
        <v>Министерство финансов Республики Казахстан</v>
      </c>
      <c r="Y8127" s="551" t="str">
        <f>VLOOKUP(G8127,Справочник!A:B,2,0)</f>
        <v>12.05.2034</v>
      </c>
    </row>
    <row r="8128" spans="1:25">
      <c r="A8128" s="499">
        <v>45776</v>
      </c>
      <c r="B8128" s="499">
        <v>45776</v>
      </c>
      <c r="C8128" s="500" t="s">
        <v>173</v>
      </c>
      <c r="D8128" s="500" t="s">
        <v>761</v>
      </c>
      <c r="E8128" s="501">
        <v>-2891561698.1999998</v>
      </c>
      <c r="F8128" s="502" t="s">
        <v>878</v>
      </c>
      <c r="G8128" s="100">
        <v>116882611</v>
      </c>
      <c r="H8128" s="530"/>
      <c r="I8128" s="422" t="s">
        <v>674</v>
      </c>
      <c r="J8128" s="484"/>
      <c r="K8128" s="548"/>
      <c r="L8128" s="548"/>
      <c r="M8128" s="548"/>
      <c r="N8128" s="552">
        <v>3129870</v>
      </c>
      <c r="R8128" s="539">
        <v>923.8599999999999</v>
      </c>
      <c r="S8128" s="539">
        <v>926.69485808356205</v>
      </c>
      <c r="T8128" s="538">
        <v>16</v>
      </c>
      <c r="U8128" s="538">
        <v>30361.4</v>
      </c>
      <c r="V8128" s="538">
        <v>15180.7</v>
      </c>
    </row>
    <row r="8129" spans="1:22">
      <c r="A8129" s="499">
        <v>45776</v>
      </c>
      <c r="B8129" s="499">
        <v>45776</v>
      </c>
      <c r="C8129" s="500" t="s">
        <v>173</v>
      </c>
      <c r="D8129" s="500" t="s">
        <v>761</v>
      </c>
      <c r="E8129" s="501">
        <v>-512304185.33999997</v>
      </c>
      <c r="F8129" s="502" t="s">
        <v>878</v>
      </c>
      <c r="G8129" s="100">
        <v>116883755</v>
      </c>
      <c r="H8129" s="530"/>
      <c r="I8129" s="422" t="s">
        <v>675</v>
      </c>
      <c r="J8129" s="484"/>
      <c r="K8129" s="548"/>
      <c r="L8129" s="548"/>
      <c r="M8129" s="548"/>
      <c r="N8129" s="552">
        <v>544768</v>
      </c>
      <c r="R8129" s="539">
        <v>940.40799999265732</v>
      </c>
      <c r="S8129" s="539">
        <v>940.80992780412896</v>
      </c>
      <c r="T8129" s="538">
        <v>15.6</v>
      </c>
      <c r="U8129" s="538">
        <v>768.46</v>
      </c>
      <c r="V8129" s="538">
        <v>384.23</v>
      </c>
    </row>
    <row r="8130" spans="1:22">
      <c r="A8130" s="499">
        <v>45776</v>
      </c>
      <c r="B8130" s="499">
        <v>45783</v>
      </c>
      <c r="C8130" s="500" t="s">
        <v>173</v>
      </c>
      <c r="D8130" s="500" t="s">
        <v>761</v>
      </c>
      <c r="E8130" s="501">
        <v>2900434435.4699998</v>
      </c>
      <c r="F8130" s="502" t="s">
        <v>878</v>
      </c>
      <c r="G8130" s="100">
        <v>116882611</v>
      </c>
      <c r="H8130" s="100">
        <v>116882611</v>
      </c>
      <c r="I8130" s="422" t="s">
        <v>674</v>
      </c>
      <c r="J8130" s="484"/>
      <c r="K8130" s="548"/>
      <c r="L8130" s="548"/>
      <c r="M8130" s="548"/>
      <c r="N8130" s="552">
        <v>3129870</v>
      </c>
      <c r="R8130" s="539">
        <v>923.8599999999999</v>
      </c>
      <c r="S8130" s="539">
        <v>926.69485808356205</v>
      </c>
      <c r="T8130" s="538">
        <v>16</v>
      </c>
      <c r="U8130" s="538">
        <v>30361.4</v>
      </c>
      <c r="V8130" s="538">
        <v>15180.7</v>
      </c>
    </row>
    <row r="8131" spans="1:22">
      <c r="A8131" s="499">
        <v>45776</v>
      </c>
      <c r="B8131" s="499">
        <v>45777</v>
      </c>
      <c r="C8131" s="500" t="s">
        <v>173</v>
      </c>
      <c r="D8131" s="500" t="s">
        <v>761</v>
      </c>
      <c r="E8131" s="501">
        <v>512523142.75</v>
      </c>
      <c r="F8131" s="502" t="s">
        <v>878</v>
      </c>
      <c r="G8131" s="100">
        <v>116883755</v>
      </c>
      <c r="H8131" s="100">
        <v>116883755</v>
      </c>
      <c r="I8131" s="422" t="s">
        <v>675</v>
      </c>
      <c r="J8131" s="484"/>
      <c r="K8131" s="548"/>
      <c r="L8131" s="548"/>
      <c r="M8131" s="548"/>
      <c r="N8131" s="552">
        <v>544768</v>
      </c>
      <c r="R8131" s="539">
        <v>940.40799999265732</v>
      </c>
      <c r="S8131" s="539">
        <v>940.80992780412896</v>
      </c>
      <c r="T8131" s="538">
        <v>15.6</v>
      </c>
      <c r="U8131" s="538">
        <v>768.46</v>
      </c>
      <c r="V8131" s="538">
        <v>384.23</v>
      </c>
    </row>
    <row r="8132" spans="1:22">
      <c r="A8132" s="499">
        <v>45776</v>
      </c>
      <c r="B8132" s="499">
        <v>45776</v>
      </c>
      <c r="C8132" s="500" t="s">
        <v>173</v>
      </c>
      <c r="D8132" s="500" t="s">
        <v>759</v>
      </c>
      <c r="E8132" s="501">
        <v>-2324065535.0999999</v>
      </c>
      <c r="F8132" s="502" t="s">
        <v>878</v>
      </c>
      <c r="G8132" s="100">
        <v>116883467</v>
      </c>
      <c r="H8132" s="530"/>
      <c r="I8132" s="422" t="s">
        <v>653</v>
      </c>
      <c r="J8132" s="484"/>
      <c r="K8132" s="548"/>
      <c r="L8132" s="548"/>
      <c r="M8132" s="548"/>
      <c r="N8132" s="552">
        <v>2333610</v>
      </c>
      <c r="R8132" s="539">
        <v>995.91</v>
      </c>
      <c r="S8132" s="539">
        <v>996.33701892347005</v>
      </c>
      <c r="T8132" s="538">
        <v>15.6502</v>
      </c>
      <c r="U8132" s="538">
        <v>3486.1</v>
      </c>
      <c r="V8132" s="538">
        <v>1743.05</v>
      </c>
    </row>
    <row r="8133" spans="1:22">
      <c r="A8133" s="499">
        <v>45776</v>
      </c>
      <c r="B8133" s="499">
        <v>45776</v>
      </c>
      <c r="C8133" s="500" t="s">
        <v>173</v>
      </c>
      <c r="D8133" s="500" t="s">
        <v>759</v>
      </c>
      <c r="E8133" s="501">
        <v>-12007129.34</v>
      </c>
      <c r="F8133" s="502" t="s">
        <v>878</v>
      </c>
      <c r="G8133" s="100">
        <v>116883745</v>
      </c>
      <c r="H8133" s="530"/>
      <c r="I8133" s="422" t="s">
        <v>675</v>
      </c>
      <c r="J8133" s="484"/>
      <c r="K8133" s="548"/>
      <c r="L8133" s="548"/>
      <c r="M8133" s="548"/>
      <c r="N8133" s="552">
        <v>12768</v>
      </c>
      <c r="R8133" s="539">
        <v>940.40799968671683</v>
      </c>
      <c r="S8133" s="539">
        <v>940.80992716165395</v>
      </c>
      <c r="T8133" s="538">
        <v>15.6</v>
      </c>
      <c r="U8133" s="538">
        <v>39.32</v>
      </c>
      <c r="V8133" s="538">
        <v>9.01</v>
      </c>
    </row>
    <row r="8134" spans="1:22">
      <c r="A8134" s="499">
        <v>45776</v>
      </c>
      <c r="B8134" s="499">
        <v>45777</v>
      </c>
      <c r="C8134" s="500" t="s">
        <v>173</v>
      </c>
      <c r="D8134" s="500" t="s">
        <v>759</v>
      </c>
      <c r="E8134" s="501">
        <v>2325062030.73</v>
      </c>
      <c r="F8134" s="502" t="s">
        <v>878</v>
      </c>
      <c r="G8134" s="100">
        <v>116883467</v>
      </c>
      <c r="H8134" s="100">
        <v>116883467</v>
      </c>
      <c r="I8134" s="422" t="s">
        <v>653</v>
      </c>
      <c r="J8134" s="484"/>
      <c r="K8134" s="548"/>
      <c r="L8134" s="548"/>
      <c r="M8134" s="548"/>
      <c r="N8134" s="552">
        <v>2333610</v>
      </c>
      <c r="R8134" s="539">
        <v>995.91</v>
      </c>
      <c r="S8134" s="539">
        <v>996.33701892347005</v>
      </c>
      <c r="T8134" s="538">
        <v>15.6502</v>
      </c>
      <c r="U8134" s="538">
        <v>3486.1</v>
      </c>
      <c r="V8134" s="538">
        <v>1743.05</v>
      </c>
    </row>
    <row r="8135" spans="1:22">
      <c r="A8135" s="499">
        <v>45776</v>
      </c>
      <c r="B8135" s="499">
        <v>45777</v>
      </c>
      <c r="C8135" s="500" t="s">
        <v>173</v>
      </c>
      <c r="D8135" s="500" t="s">
        <v>759</v>
      </c>
      <c r="E8135" s="501">
        <v>12012261.15</v>
      </c>
      <c r="F8135" s="502" t="s">
        <v>878</v>
      </c>
      <c r="G8135" s="100">
        <v>116883745</v>
      </c>
      <c r="H8135" s="100">
        <v>116883745</v>
      </c>
      <c r="I8135" s="422" t="s">
        <v>675</v>
      </c>
      <c r="J8135" s="484"/>
      <c r="K8135" s="548"/>
      <c r="L8135" s="548"/>
      <c r="M8135" s="548"/>
      <c r="N8135" s="552">
        <v>12768</v>
      </c>
      <c r="R8135" s="539">
        <v>940.40799968671683</v>
      </c>
      <c r="S8135" s="539">
        <v>940.80992716165395</v>
      </c>
      <c r="T8135" s="538">
        <v>15.6</v>
      </c>
      <c r="U8135" s="538">
        <v>39.32</v>
      </c>
      <c r="V8135" s="538">
        <v>9.01</v>
      </c>
    </row>
    <row r="8136" spans="1:22">
      <c r="A8136" s="499">
        <v>45776</v>
      </c>
      <c r="B8136" s="499">
        <v>45776</v>
      </c>
      <c r="C8136" s="500" t="s">
        <v>173</v>
      </c>
      <c r="D8136" s="500" t="s">
        <v>760</v>
      </c>
      <c r="E8136" s="501">
        <v>-154084044.58000001</v>
      </c>
      <c r="F8136" s="502" t="s">
        <v>878</v>
      </c>
      <c r="G8136" s="100">
        <v>116882369</v>
      </c>
      <c r="H8136" s="530"/>
      <c r="I8136" s="422" t="s">
        <v>656</v>
      </c>
      <c r="J8136" s="484"/>
      <c r="K8136" s="548"/>
      <c r="L8136" s="548"/>
      <c r="M8136" s="548"/>
      <c r="N8136" s="552">
        <v>153384</v>
      </c>
      <c r="R8136" s="539">
        <v>1004.564</v>
      </c>
      <c r="S8136" s="539">
        <v>1004.99638365149</v>
      </c>
      <c r="T8136" s="538">
        <v>15.7103</v>
      </c>
      <c r="U8136" s="538">
        <v>231.13</v>
      </c>
      <c r="V8136" s="538">
        <v>115.56</v>
      </c>
    </row>
    <row r="8137" spans="1:22">
      <c r="A8137" s="499">
        <v>45776</v>
      </c>
      <c r="B8137" s="499">
        <v>45777</v>
      </c>
      <c r="C8137" s="500" t="s">
        <v>173</v>
      </c>
      <c r="D8137" s="500" t="s">
        <v>760</v>
      </c>
      <c r="E8137" s="501">
        <v>154150365.31</v>
      </c>
      <c r="F8137" s="502" t="s">
        <v>878</v>
      </c>
      <c r="G8137" s="100">
        <v>116882369</v>
      </c>
      <c r="H8137" s="100">
        <v>116882369</v>
      </c>
      <c r="I8137" s="422" t="s">
        <v>656</v>
      </c>
      <c r="J8137" s="484"/>
      <c r="K8137" s="548"/>
      <c r="L8137" s="548"/>
      <c r="M8137" s="548"/>
      <c r="N8137" s="552">
        <v>153384</v>
      </c>
      <c r="R8137" s="539">
        <v>1004.564</v>
      </c>
      <c r="S8137" s="539">
        <v>1004.99638365149</v>
      </c>
      <c r="T8137" s="538">
        <v>15.7103</v>
      </c>
      <c r="U8137" s="538">
        <v>231.13</v>
      </c>
      <c r="V8137" s="538">
        <v>115.56</v>
      </c>
    </row>
    <row r="8138" spans="1:22">
      <c r="A8138" s="499">
        <v>45776</v>
      </c>
      <c r="B8138" s="499">
        <v>45776</v>
      </c>
      <c r="C8138" s="500" t="s">
        <v>173</v>
      </c>
      <c r="D8138" s="500" t="s">
        <v>763</v>
      </c>
      <c r="E8138" s="501">
        <v>-5610630648.4799995</v>
      </c>
      <c r="F8138" s="502" t="s">
        <v>878</v>
      </c>
      <c r="G8138" s="100">
        <v>116881660</v>
      </c>
      <c r="H8138" s="530"/>
      <c r="I8138" s="422" t="s">
        <v>684</v>
      </c>
      <c r="J8138" s="484"/>
      <c r="K8138" s="548"/>
      <c r="L8138" s="548"/>
      <c r="M8138" s="548"/>
      <c r="N8138" s="552">
        <v>5294896</v>
      </c>
      <c r="R8138" s="539">
        <v>1059.6300000000001</v>
      </c>
      <c r="S8138" s="539">
        <v>1060.08607636486</v>
      </c>
      <c r="T8138" s="538">
        <v>15.71</v>
      </c>
      <c r="U8138" s="538">
        <v>1059.6300000000001</v>
      </c>
      <c r="V8138" s="538">
        <v>1060.08607636486</v>
      </c>
    </row>
    <row r="8139" spans="1:22">
      <c r="A8139" s="499">
        <v>45776</v>
      </c>
      <c r="B8139" s="499">
        <v>45776</v>
      </c>
      <c r="C8139" s="500" t="s">
        <v>173</v>
      </c>
      <c r="D8139" s="500" t="s">
        <v>763</v>
      </c>
      <c r="E8139" s="501">
        <v>-30008721.600000001</v>
      </c>
      <c r="F8139" s="502" t="s">
        <v>878</v>
      </c>
      <c r="G8139" s="100">
        <v>116881671</v>
      </c>
      <c r="H8139" s="530"/>
      <c r="I8139" s="422" t="s">
        <v>684</v>
      </c>
      <c r="J8139" s="484"/>
      <c r="K8139" s="548"/>
      <c r="L8139" s="548"/>
      <c r="M8139" s="548"/>
      <c r="N8139" s="552">
        <v>28320</v>
      </c>
      <c r="R8139" s="539">
        <v>1059.6300000000001</v>
      </c>
      <c r="S8139" s="539">
        <v>1060.08607627119</v>
      </c>
      <c r="T8139" s="538">
        <v>15.71</v>
      </c>
      <c r="U8139" s="538">
        <v>1059.6300000000001</v>
      </c>
      <c r="V8139" s="538">
        <v>1060.08607627119</v>
      </c>
    </row>
    <row r="8140" spans="1:22">
      <c r="A8140" s="499">
        <v>45776</v>
      </c>
      <c r="B8140" s="499">
        <v>45777</v>
      </c>
      <c r="C8140" s="500" t="s">
        <v>173</v>
      </c>
      <c r="D8140" s="500" t="s">
        <v>763</v>
      </c>
      <c r="E8140" s="501">
        <v>5613045525.3999996</v>
      </c>
      <c r="F8140" s="502" t="s">
        <v>878</v>
      </c>
      <c r="G8140" s="100">
        <v>116881660</v>
      </c>
      <c r="H8140" s="100">
        <v>116881660</v>
      </c>
      <c r="I8140" s="422" t="s">
        <v>684</v>
      </c>
      <c r="J8140" s="484"/>
      <c r="K8140" s="548"/>
      <c r="L8140" s="548"/>
      <c r="M8140" s="548"/>
      <c r="N8140" s="552">
        <v>5294896</v>
      </c>
      <c r="R8140" s="539">
        <v>1059.6300000000001</v>
      </c>
      <c r="S8140" s="539">
        <v>1060.08607636486</v>
      </c>
      <c r="T8140" s="538">
        <v>15.71</v>
      </c>
      <c r="U8140" s="538">
        <v>1059.6300000000001</v>
      </c>
      <c r="V8140" s="538">
        <v>1060.08607636486</v>
      </c>
    </row>
    <row r="8141" spans="1:22">
      <c r="A8141" s="499">
        <v>45776</v>
      </c>
      <c r="B8141" s="499">
        <v>45777</v>
      </c>
      <c r="C8141" s="500" t="s">
        <v>173</v>
      </c>
      <c r="D8141" s="500" t="s">
        <v>763</v>
      </c>
      <c r="E8141" s="501">
        <v>30021637.68</v>
      </c>
      <c r="F8141" s="502" t="s">
        <v>878</v>
      </c>
      <c r="G8141" s="100">
        <v>116881671</v>
      </c>
      <c r="H8141" s="100">
        <v>116881671</v>
      </c>
      <c r="I8141" s="422" t="s">
        <v>684</v>
      </c>
      <c r="J8141" s="484"/>
      <c r="K8141" s="548"/>
      <c r="L8141" s="548"/>
      <c r="M8141" s="548"/>
      <c r="N8141" s="552">
        <v>28320</v>
      </c>
      <c r="R8141" s="539">
        <v>1059.6300000000001</v>
      </c>
      <c r="S8141" s="539">
        <v>1060.08607627119</v>
      </c>
      <c r="T8141" s="538">
        <v>15.71</v>
      </c>
      <c r="U8141" s="538">
        <v>1059.6300000000001</v>
      </c>
      <c r="V8141" s="538">
        <v>1060.08607627119</v>
      </c>
    </row>
    <row r="8142" spans="1:22">
      <c r="A8142" s="499">
        <v>45777</v>
      </c>
      <c r="B8142" s="499">
        <v>45777</v>
      </c>
      <c r="C8142" s="500" t="s">
        <v>173</v>
      </c>
      <c r="D8142" s="500" t="s">
        <v>761</v>
      </c>
      <c r="E8142" s="501">
        <v>-500168796.30000001</v>
      </c>
      <c r="F8142" s="502" t="s">
        <v>878</v>
      </c>
      <c r="G8142" s="100">
        <v>116895546</v>
      </c>
      <c r="H8142" s="530"/>
      <c r="I8142" s="422" t="s">
        <v>635</v>
      </c>
      <c r="J8142" s="484"/>
      <c r="K8142" s="548"/>
      <c r="L8142" s="548"/>
      <c r="M8142" s="548"/>
      <c r="N8142" s="552">
        <v>886500</v>
      </c>
      <c r="R8142" s="539">
        <v>564.20619999999997</v>
      </c>
      <c r="S8142" s="539">
        <v>564.69311767625504</v>
      </c>
      <c r="T8142" s="538">
        <v>15.75</v>
      </c>
      <c r="U8142" s="538">
        <v>1500.51</v>
      </c>
      <c r="V8142" s="538">
        <v>750.25</v>
      </c>
    </row>
    <row r="8143" spans="1:22">
      <c r="A8143" s="499">
        <v>45777</v>
      </c>
      <c r="B8143" s="499">
        <v>45777</v>
      </c>
      <c r="C8143" s="500" t="s">
        <v>173</v>
      </c>
      <c r="D8143" s="500" t="s">
        <v>761</v>
      </c>
      <c r="E8143" s="501">
        <v>-1147428702.72</v>
      </c>
      <c r="F8143" s="502" t="s">
        <v>878</v>
      </c>
      <c r="G8143" s="100">
        <v>116896654</v>
      </c>
      <c r="H8143" s="530"/>
      <c r="I8143" s="422" t="s">
        <v>703</v>
      </c>
      <c r="J8143" s="484"/>
      <c r="K8143" s="548"/>
      <c r="L8143" s="548"/>
      <c r="M8143" s="548"/>
      <c r="N8143" s="552">
        <v>1321344</v>
      </c>
      <c r="R8143" s="539">
        <v>868.38</v>
      </c>
      <c r="S8143" s="539">
        <v>871.43479430034904</v>
      </c>
      <c r="T8143" s="538">
        <v>16.05</v>
      </c>
      <c r="U8143" s="538">
        <v>13769.14</v>
      </c>
      <c r="V8143" s="538">
        <v>6884.57</v>
      </c>
    </row>
    <row r="8144" spans="1:22">
      <c r="A8144" s="499">
        <v>45777</v>
      </c>
      <c r="B8144" s="499">
        <v>45777</v>
      </c>
      <c r="C8144" s="500" t="s">
        <v>173</v>
      </c>
      <c r="D8144" s="500" t="s">
        <v>761</v>
      </c>
      <c r="E8144" s="501">
        <v>-9002099.7699999996</v>
      </c>
      <c r="F8144" s="502" t="s">
        <v>878</v>
      </c>
      <c r="G8144" s="100">
        <v>116896945</v>
      </c>
      <c r="H8144" s="530"/>
      <c r="I8144" s="422" t="s">
        <v>633</v>
      </c>
      <c r="J8144" s="484"/>
      <c r="K8144" s="548"/>
      <c r="L8144" s="548"/>
      <c r="M8144" s="548"/>
      <c r="N8144" s="552">
        <v>17370</v>
      </c>
      <c r="R8144" s="539">
        <v>518.25559988485895</v>
      </c>
      <c r="S8144" s="539">
        <v>518.70002187679904</v>
      </c>
      <c r="T8144" s="538">
        <v>15.65</v>
      </c>
      <c r="U8144" s="538">
        <v>39.32</v>
      </c>
      <c r="V8144" s="538">
        <v>13.5</v>
      </c>
    </row>
    <row r="8145" spans="1:22">
      <c r="A8145" s="499">
        <v>45777</v>
      </c>
      <c r="B8145" s="499">
        <v>45779</v>
      </c>
      <c r="C8145" s="500" t="s">
        <v>173</v>
      </c>
      <c r="D8145" s="500" t="s">
        <v>761</v>
      </c>
      <c r="E8145" s="501">
        <v>500600448.81999999</v>
      </c>
      <c r="F8145" s="502" t="s">
        <v>878</v>
      </c>
      <c r="G8145" s="100">
        <v>116895546</v>
      </c>
      <c r="H8145" s="100">
        <v>116895546</v>
      </c>
      <c r="I8145" s="422" t="s">
        <v>635</v>
      </c>
      <c r="J8145" s="484"/>
      <c r="K8145" s="548"/>
      <c r="L8145" s="548"/>
      <c r="M8145" s="548"/>
      <c r="N8145" s="552">
        <v>886500</v>
      </c>
      <c r="R8145" s="539">
        <v>564.20619999999997</v>
      </c>
      <c r="S8145" s="539">
        <v>564.69311767625504</v>
      </c>
      <c r="T8145" s="538">
        <v>15.75</v>
      </c>
      <c r="U8145" s="538">
        <v>1500.51</v>
      </c>
      <c r="V8145" s="538">
        <v>750.25</v>
      </c>
    </row>
    <row r="8146" spans="1:22">
      <c r="A8146" s="499">
        <v>45777</v>
      </c>
      <c r="B8146" s="499">
        <v>45785</v>
      </c>
      <c r="C8146" s="500" t="s">
        <v>173</v>
      </c>
      <c r="D8146" s="500" t="s">
        <v>761</v>
      </c>
      <c r="E8146" s="501">
        <v>1151465136.8399999</v>
      </c>
      <c r="F8146" s="502" t="s">
        <v>878</v>
      </c>
      <c r="G8146" s="100">
        <v>116896654</v>
      </c>
      <c r="H8146" s="100">
        <v>116896654</v>
      </c>
      <c r="I8146" s="422" t="s">
        <v>703</v>
      </c>
      <c r="J8146" s="484"/>
      <c r="K8146" s="548"/>
      <c r="L8146" s="548"/>
      <c r="M8146" s="548"/>
      <c r="N8146" s="552">
        <v>1321344</v>
      </c>
      <c r="R8146" s="539">
        <v>868.38</v>
      </c>
      <c r="S8146" s="539">
        <v>871.43479430034904</v>
      </c>
      <c r="T8146" s="538">
        <v>16.05</v>
      </c>
      <c r="U8146" s="538">
        <v>13769.14</v>
      </c>
      <c r="V8146" s="538">
        <v>6884.57</v>
      </c>
    </row>
    <row r="8147" spans="1:22">
      <c r="A8147" s="499">
        <v>45777</v>
      </c>
      <c r="B8147" s="499">
        <v>45779</v>
      </c>
      <c r="C8147" s="500" t="s">
        <v>173</v>
      </c>
      <c r="D8147" s="500" t="s">
        <v>761</v>
      </c>
      <c r="E8147" s="501">
        <v>9009819.3800000008</v>
      </c>
      <c r="F8147" s="502" t="s">
        <v>878</v>
      </c>
      <c r="G8147" s="100">
        <v>116896945</v>
      </c>
      <c r="H8147" s="100">
        <v>116896945</v>
      </c>
      <c r="I8147" s="422" t="s">
        <v>633</v>
      </c>
      <c r="J8147" s="484"/>
      <c r="K8147" s="548"/>
      <c r="L8147" s="548"/>
      <c r="M8147" s="548"/>
      <c r="N8147" s="552">
        <v>17370</v>
      </c>
      <c r="R8147" s="539">
        <v>518.25559988485895</v>
      </c>
      <c r="S8147" s="539">
        <v>518.70002187679904</v>
      </c>
      <c r="T8147" s="538">
        <v>15.65</v>
      </c>
      <c r="U8147" s="538">
        <v>39.32</v>
      </c>
      <c r="V8147" s="538">
        <v>13.5</v>
      </c>
    </row>
    <row r="8148" spans="1:22">
      <c r="A8148" s="499">
        <v>45777</v>
      </c>
      <c r="B8148" s="499">
        <v>45777</v>
      </c>
      <c r="C8148" s="500" t="s">
        <v>173</v>
      </c>
      <c r="D8148" s="500" t="s">
        <v>759</v>
      </c>
      <c r="E8148" s="501">
        <v>-1973666070.2</v>
      </c>
      <c r="F8148" s="502" t="s">
        <v>878</v>
      </c>
      <c r="G8148" s="100">
        <v>116895549</v>
      </c>
      <c r="H8148" s="530"/>
      <c r="I8148" s="422" t="s">
        <v>635</v>
      </c>
      <c r="J8148" s="484"/>
      <c r="K8148" s="548"/>
      <c r="L8148" s="548"/>
      <c r="M8148" s="548"/>
      <c r="N8148" s="552">
        <v>3498129</v>
      </c>
      <c r="R8148" s="539">
        <v>564.20620000005715</v>
      </c>
      <c r="S8148" s="539">
        <v>564.69311768090904</v>
      </c>
      <c r="T8148" s="538">
        <v>15.75</v>
      </c>
      <c r="U8148" s="538">
        <v>5921</v>
      </c>
      <c r="V8148" s="538">
        <v>2960.5</v>
      </c>
    </row>
    <row r="8149" spans="1:22">
      <c r="A8149" s="499">
        <v>45777</v>
      </c>
      <c r="B8149" s="499">
        <v>45777</v>
      </c>
      <c r="C8149" s="500" t="s">
        <v>173</v>
      </c>
      <c r="D8149" s="500" t="s">
        <v>759</v>
      </c>
      <c r="E8149" s="501">
        <v>-42016339.890000001</v>
      </c>
      <c r="F8149" s="502" t="s">
        <v>878</v>
      </c>
      <c r="G8149" s="100">
        <v>116896404</v>
      </c>
      <c r="H8149" s="530"/>
      <c r="I8149" s="422" t="s">
        <v>720</v>
      </c>
      <c r="J8149" s="484"/>
      <c r="K8149" s="548"/>
      <c r="L8149" s="548"/>
      <c r="M8149" s="548"/>
      <c r="N8149" s="552">
        <v>64890</v>
      </c>
      <c r="R8149" s="539">
        <v>647.50099999999998</v>
      </c>
      <c r="S8149" s="539">
        <v>648.05802820157203</v>
      </c>
      <c r="T8149" s="538">
        <v>15.7</v>
      </c>
      <c r="U8149" s="538">
        <v>126.05</v>
      </c>
      <c r="V8149" s="538">
        <v>63.02</v>
      </c>
    </row>
    <row r="8150" spans="1:22">
      <c r="A8150" s="499">
        <v>45777</v>
      </c>
      <c r="B8150" s="499">
        <v>45777</v>
      </c>
      <c r="C8150" s="500" t="s">
        <v>173</v>
      </c>
      <c r="D8150" s="500" t="s">
        <v>759</v>
      </c>
      <c r="E8150" s="501">
        <v>-68039668.480000004</v>
      </c>
      <c r="F8150" s="502" t="s">
        <v>878</v>
      </c>
      <c r="G8150" s="100">
        <v>116896407</v>
      </c>
      <c r="H8150" s="530"/>
      <c r="I8150" s="422" t="s">
        <v>602</v>
      </c>
      <c r="J8150" s="484"/>
      <c r="K8150" s="548"/>
      <c r="L8150" s="548"/>
      <c r="M8150" s="548"/>
      <c r="N8150" s="552">
        <v>76160</v>
      </c>
      <c r="R8150" s="539">
        <v>893.37800000000004</v>
      </c>
      <c r="S8150" s="539">
        <v>894.14654989495796</v>
      </c>
      <c r="T8150" s="538">
        <v>15.7</v>
      </c>
      <c r="U8150" s="538">
        <v>204.12</v>
      </c>
      <c r="V8150" s="538">
        <v>102.06</v>
      </c>
    </row>
    <row r="8151" spans="1:22">
      <c r="A8151" s="499">
        <v>45777</v>
      </c>
      <c r="B8151" s="499">
        <v>45777</v>
      </c>
      <c r="C8151" s="500" t="s">
        <v>173</v>
      </c>
      <c r="D8151" s="500" t="s">
        <v>759</v>
      </c>
      <c r="E8151" s="501">
        <v>-71069223.230000004</v>
      </c>
      <c r="F8151" s="502" t="s">
        <v>878</v>
      </c>
      <c r="G8151" s="100">
        <v>116896410</v>
      </c>
      <c r="H8151" s="530"/>
      <c r="I8151" s="422" t="s">
        <v>598</v>
      </c>
      <c r="J8151" s="484"/>
      <c r="K8151" s="548"/>
      <c r="L8151" s="548"/>
      <c r="M8151" s="548"/>
      <c r="N8151" s="552">
        <v>71355</v>
      </c>
      <c r="R8151" s="539">
        <v>995.99500007007225</v>
      </c>
      <c r="S8151" s="539">
        <v>996.85182860346197</v>
      </c>
      <c r="T8151" s="538">
        <v>15.7</v>
      </c>
      <c r="U8151" s="538">
        <v>213.21</v>
      </c>
      <c r="V8151" s="538">
        <v>106.6</v>
      </c>
    </row>
    <row r="8152" spans="1:22">
      <c r="A8152" s="499">
        <v>45777</v>
      </c>
      <c r="B8152" s="499">
        <v>45777</v>
      </c>
      <c r="C8152" s="500" t="s">
        <v>173</v>
      </c>
      <c r="D8152" s="500" t="s">
        <v>759</v>
      </c>
      <c r="E8152" s="501">
        <v>-83046009.890000001</v>
      </c>
      <c r="F8152" s="502" t="s">
        <v>878</v>
      </c>
      <c r="G8152" s="100">
        <v>116896413</v>
      </c>
      <c r="H8152" s="530"/>
      <c r="I8152" s="422" t="s">
        <v>711</v>
      </c>
      <c r="J8152" s="484"/>
      <c r="K8152" s="548"/>
      <c r="L8152" s="548"/>
      <c r="M8152" s="548"/>
      <c r="N8152" s="552">
        <v>98853</v>
      </c>
      <c r="R8152" s="539">
        <v>840.09600002023205</v>
      </c>
      <c r="S8152" s="539">
        <v>840.81871273507102</v>
      </c>
      <c r="T8152" s="538">
        <v>15.7</v>
      </c>
      <c r="U8152" s="538">
        <v>249.14</v>
      </c>
      <c r="V8152" s="538">
        <v>124.57</v>
      </c>
    </row>
    <row r="8153" spans="1:22">
      <c r="A8153" s="499">
        <v>45777</v>
      </c>
      <c r="B8153" s="499">
        <v>45777</v>
      </c>
      <c r="C8153" s="500" t="s">
        <v>173</v>
      </c>
      <c r="D8153" s="500" t="s">
        <v>759</v>
      </c>
      <c r="E8153" s="501">
        <v>-83046009.890000001</v>
      </c>
      <c r="F8153" s="502" t="s">
        <v>878</v>
      </c>
      <c r="G8153" s="100">
        <v>116896416</v>
      </c>
      <c r="H8153" s="530"/>
      <c r="I8153" s="422" t="s">
        <v>711</v>
      </c>
      <c r="J8153" s="484"/>
      <c r="K8153" s="548"/>
      <c r="L8153" s="548"/>
      <c r="M8153" s="548"/>
      <c r="N8153" s="552">
        <v>98853</v>
      </c>
      <c r="R8153" s="539">
        <v>840.09600002023205</v>
      </c>
      <c r="S8153" s="539">
        <v>840.81871273507102</v>
      </c>
      <c r="T8153" s="538">
        <v>15.7</v>
      </c>
      <c r="U8153" s="538">
        <v>249.14</v>
      </c>
      <c r="V8153" s="538">
        <v>124.57</v>
      </c>
    </row>
    <row r="8154" spans="1:22">
      <c r="A8154" s="499">
        <v>45777</v>
      </c>
      <c r="B8154" s="499">
        <v>45777</v>
      </c>
      <c r="C8154" s="500" t="s">
        <v>173</v>
      </c>
      <c r="D8154" s="500" t="s">
        <v>759</v>
      </c>
      <c r="E8154" s="501">
        <v>-3001528.65</v>
      </c>
      <c r="F8154" s="502" t="s">
        <v>878</v>
      </c>
      <c r="G8154" s="100">
        <v>116896419</v>
      </c>
      <c r="H8154" s="530"/>
      <c r="I8154" s="422" t="s">
        <v>596</v>
      </c>
      <c r="J8154" s="484"/>
      <c r="K8154" s="548"/>
      <c r="L8154" s="548"/>
      <c r="M8154" s="548"/>
      <c r="N8154" s="552">
        <v>2931</v>
      </c>
      <c r="R8154" s="539">
        <v>1024.0629989764584</v>
      </c>
      <c r="S8154" s="539">
        <v>1024.9439747526401</v>
      </c>
      <c r="T8154" s="538">
        <v>15.7</v>
      </c>
      <c r="U8154" s="538">
        <v>39.32</v>
      </c>
      <c r="V8154" s="538">
        <v>4.5</v>
      </c>
    </row>
    <row r="8155" spans="1:22">
      <c r="A8155" s="499">
        <v>45777</v>
      </c>
      <c r="B8155" s="499">
        <v>45777</v>
      </c>
      <c r="C8155" s="500" t="s">
        <v>173</v>
      </c>
      <c r="D8155" s="500" t="s">
        <v>759</v>
      </c>
      <c r="E8155" s="501">
        <v>-14001912.51</v>
      </c>
      <c r="F8155" s="502" t="s">
        <v>878</v>
      </c>
      <c r="G8155" s="100">
        <v>116900253</v>
      </c>
      <c r="H8155" s="530"/>
      <c r="I8155" s="422" t="s">
        <v>653</v>
      </c>
      <c r="J8155" s="484"/>
      <c r="K8155" s="548"/>
      <c r="L8155" s="548"/>
      <c r="M8155" s="548"/>
      <c r="N8155" s="552">
        <v>14056</v>
      </c>
      <c r="R8155" s="539">
        <v>996.15199985771198</v>
      </c>
      <c r="S8155" s="539">
        <v>996.99258821855403</v>
      </c>
      <c r="T8155" s="538">
        <v>15.4</v>
      </c>
      <c r="U8155" s="538">
        <v>42.01</v>
      </c>
      <c r="V8155" s="538">
        <v>21</v>
      </c>
    </row>
    <row r="8156" spans="1:22">
      <c r="A8156" s="499">
        <v>45777</v>
      </c>
      <c r="B8156" s="499">
        <v>45779</v>
      </c>
      <c r="C8156" s="500" t="s">
        <v>173</v>
      </c>
      <c r="D8156" s="500" t="s">
        <v>759</v>
      </c>
      <c r="E8156" s="501">
        <v>1975369371.0599999</v>
      </c>
      <c r="F8156" s="502" t="s">
        <v>878</v>
      </c>
      <c r="G8156" s="100">
        <v>116895549</v>
      </c>
      <c r="H8156" s="484">
        <v>116895549</v>
      </c>
      <c r="I8156" s="422" t="s">
        <v>635</v>
      </c>
      <c r="J8156" s="484"/>
      <c r="K8156" s="548"/>
      <c r="L8156" s="548"/>
      <c r="M8156" s="548"/>
      <c r="N8156" s="552">
        <v>3498129</v>
      </c>
      <c r="R8156" s="539">
        <v>564.20620000005715</v>
      </c>
      <c r="S8156" s="539">
        <v>564.69311768090904</v>
      </c>
      <c r="T8156" s="538">
        <v>15.75</v>
      </c>
      <c r="U8156" s="538">
        <v>5921</v>
      </c>
      <c r="V8156" s="538">
        <v>2960.5</v>
      </c>
    </row>
    <row r="8157" spans="1:22">
      <c r="A8157" s="499">
        <v>45777</v>
      </c>
      <c r="B8157" s="499">
        <v>45779</v>
      </c>
      <c r="C8157" s="500" t="s">
        <v>173</v>
      </c>
      <c r="D8157" s="500" t="s">
        <v>759</v>
      </c>
      <c r="E8157" s="501">
        <v>42052485.450000003</v>
      </c>
      <c r="F8157" s="502" t="s">
        <v>878</v>
      </c>
      <c r="G8157" s="100">
        <v>116896404</v>
      </c>
      <c r="H8157" s="484">
        <v>116896404</v>
      </c>
      <c r="I8157" s="422" t="s">
        <v>720</v>
      </c>
      <c r="J8157" s="484"/>
      <c r="K8157" s="548"/>
      <c r="L8157" s="548"/>
      <c r="M8157" s="548"/>
      <c r="N8157" s="552">
        <v>64890</v>
      </c>
      <c r="R8157" s="539">
        <v>647.50099999999998</v>
      </c>
      <c r="S8157" s="539">
        <v>648.05802820157203</v>
      </c>
      <c r="T8157" s="538">
        <v>15.7</v>
      </c>
      <c r="U8157" s="538">
        <v>126.05</v>
      </c>
      <c r="V8157" s="538">
        <v>63.02</v>
      </c>
    </row>
    <row r="8158" spans="1:22">
      <c r="A8158" s="499">
        <v>45777</v>
      </c>
      <c r="B8158" s="499">
        <v>45779</v>
      </c>
      <c r="C8158" s="500" t="s">
        <v>173</v>
      </c>
      <c r="D8158" s="500" t="s">
        <v>759</v>
      </c>
      <c r="E8158" s="501">
        <v>68098201.239999995</v>
      </c>
      <c r="F8158" s="502" t="s">
        <v>878</v>
      </c>
      <c r="G8158" s="100">
        <v>116896407</v>
      </c>
      <c r="H8158" s="484">
        <v>116896407</v>
      </c>
      <c r="I8158" s="422" t="s">
        <v>602</v>
      </c>
      <c r="J8158" s="484"/>
      <c r="K8158" s="548"/>
      <c r="L8158" s="548"/>
      <c r="M8158" s="548"/>
      <c r="N8158" s="552">
        <v>76160</v>
      </c>
      <c r="R8158" s="539">
        <v>893.37800000000004</v>
      </c>
      <c r="S8158" s="539">
        <v>894.14654989495796</v>
      </c>
      <c r="T8158" s="538">
        <v>15.7</v>
      </c>
      <c r="U8158" s="538">
        <v>204.12</v>
      </c>
      <c r="V8158" s="538">
        <v>102.06</v>
      </c>
    </row>
    <row r="8159" spans="1:22">
      <c r="A8159" s="499">
        <v>45777</v>
      </c>
      <c r="B8159" s="499">
        <v>45779</v>
      </c>
      <c r="C8159" s="500" t="s">
        <v>173</v>
      </c>
      <c r="D8159" s="500" t="s">
        <v>759</v>
      </c>
      <c r="E8159" s="501">
        <v>71130362.230000004</v>
      </c>
      <c r="F8159" s="502" t="s">
        <v>878</v>
      </c>
      <c r="G8159" s="100">
        <v>116896410</v>
      </c>
      <c r="H8159" s="484">
        <v>116896410</v>
      </c>
      <c r="I8159" s="422" t="s">
        <v>598</v>
      </c>
      <c r="J8159" s="484"/>
      <c r="K8159" s="548"/>
      <c r="L8159" s="548"/>
      <c r="M8159" s="548"/>
      <c r="N8159" s="552">
        <v>71355</v>
      </c>
      <c r="R8159" s="539">
        <v>995.99500007007225</v>
      </c>
      <c r="S8159" s="539">
        <v>996.85182860346197</v>
      </c>
      <c r="T8159" s="538">
        <v>15.7</v>
      </c>
      <c r="U8159" s="538">
        <v>213.21</v>
      </c>
      <c r="V8159" s="538">
        <v>106.6</v>
      </c>
    </row>
    <row r="8160" spans="1:22">
      <c r="A8160" s="499">
        <v>45777</v>
      </c>
      <c r="B8160" s="499">
        <v>45779</v>
      </c>
      <c r="C8160" s="500" t="s">
        <v>173</v>
      </c>
      <c r="D8160" s="500" t="s">
        <v>759</v>
      </c>
      <c r="E8160" s="501">
        <v>83117452.209999993</v>
      </c>
      <c r="F8160" s="502" t="s">
        <v>878</v>
      </c>
      <c r="G8160" s="100">
        <v>116896413</v>
      </c>
      <c r="H8160" s="484">
        <v>116896413</v>
      </c>
      <c r="I8160" s="422" t="s">
        <v>711</v>
      </c>
      <c r="J8160" s="484"/>
      <c r="K8160" s="548"/>
      <c r="L8160" s="548"/>
      <c r="M8160" s="548"/>
      <c r="N8160" s="552">
        <v>98853</v>
      </c>
      <c r="R8160" s="539">
        <v>840.09600002023205</v>
      </c>
      <c r="S8160" s="539">
        <v>840.81871273507102</v>
      </c>
      <c r="T8160" s="538">
        <v>15.7</v>
      </c>
      <c r="U8160" s="538">
        <v>249.14</v>
      </c>
      <c r="V8160" s="538">
        <v>124.57</v>
      </c>
    </row>
    <row r="8161" spans="1:22">
      <c r="A8161" s="499">
        <v>45777</v>
      </c>
      <c r="B8161" s="499">
        <v>45779</v>
      </c>
      <c r="C8161" s="500" t="s">
        <v>173</v>
      </c>
      <c r="D8161" s="500" t="s">
        <v>759</v>
      </c>
      <c r="E8161" s="501">
        <v>83117452.209999993</v>
      </c>
      <c r="F8161" s="502" t="s">
        <v>878</v>
      </c>
      <c r="G8161" s="100">
        <v>116896416</v>
      </c>
      <c r="H8161" s="484">
        <v>116896416</v>
      </c>
      <c r="I8161" s="422" t="s">
        <v>711</v>
      </c>
      <c r="J8161" s="484"/>
      <c r="K8161" s="548"/>
      <c r="L8161" s="548"/>
      <c r="M8161" s="548"/>
      <c r="N8161" s="552">
        <v>98853</v>
      </c>
      <c r="R8161" s="539">
        <v>840.09600002023205</v>
      </c>
      <c r="S8161" s="539">
        <v>840.81871273507102</v>
      </c>
      <c r="T8161" s="538">
        <v>15.7</v>
      </c>
      <c r="U8161" s="538">
        <v>249.14</v>
      </c>
      <c r="V8161" s="538">
        <v>124.57</v>
      </c>
    </row>
    <row r="8162" spans="1:22">
      <c r="A8162" s="499">
        <v>45777</v>
      </c>
      <c r="B8162" s="499">
        <v>45779</v>
      </c>
      <c r="C8162" s="500" t="s">
        <v>173</v>
      </c>
      <c r="D8162" s="500" t="s">
        <v>759</v>
      </c>
      <c r="E8162" s="501">
        <v>3004110.79</v>
      </c>
      <c r="F8162" s="502" t="s">
        <v>878</v>
      </c>
      <c r="G8162" s="100">
        <v>116896419</v>
      </c>
      <c r="H8162" s="484">
        <v>116896419</v>
      </c>
      <c r="I8162" s="422" t="s">
        <v>596</v>
      </c>
      <c r="J8162" s="484"/>
      <c r="K8162" s="548"/>
      <c r="L8162" s="548"/>
      <c r="M8162" s="548"/>
      <c r="N8162" s="552">
        <v>2931</v>
      </c>
      <c r="R8162" s="539">
        <v>1024.0629989764584</v>
      </c>
      <c r="S8162" s="539">
        <v>1024.9439747526401</v>
      </c>
      <c r="T8162" s="538">
        <v>15.7</v>
      </c>
      <c r="U8162" s="538">
        <v>39.32</v>
      </c>
      <c r="V8162" s="538">
        <v>4.5</v>
      </c>
    </row>
    <row r="8163" spans="1:22">
      <c r="A8163" s="499">
        <v>45777</v>
      </c>
      <c r="B8163" s="499">
        <v>45779</v>
      </c>
      <c r="C8163" s="500" t="s">
        <v>173</v>
      </c>
      <c r="D8163" s="500" t="s">
        <v>759</v>
      </c>
      <c r="E8163" s="501">
        <v>14013727.82</v>
      </c>
      <c r="F8163" s="502" t="s">
        <v>878</v>
      </c>
      <c r="G8163" s="100">
        <v>116900253</v>
      </c>
      <c r="H8163" s="484">
        <v>116900253</v>
      </c>
      <c r="I8163" s="422" t="s">
        <v>653</v>
      </c>
      <c r="J8163" s="484"/>
      <c r="K8163" s="548"/>
      <c r="L8163" s="548"/>
      <c r="M8163" s="548"/>
      <c r="N8163" s="552">
        <v>14056</v>
      </c>
      <c r="R8163" s="539">
        <v>996.15199985771198</v>
      </c>
      <c r="S8163" s="539">
        <v>996.99258821855403</v>
      </c>
      <c r="T8163" s="538">
        <v>15.4</v>
      </c>
      <c r="U8163" s="538">
        <v>42.01</v>
      </c>
      <c r="V8163" s="538">
        <v>21</v>
      </c>
    </row>
    <row r="8164" spans="1:22">
      <c r="A8164" s="499">
        <v>45777</v>
      </c>
      <c r="B8164" s="499">
        <v>45777</v>
      </c>
      <c r="C8164" s="500" t="s">
        <v>173</v>
      </c>
      <c r="D8164" s="500" t="s">
        <v>760</v>
      </c>
      <c r="E8164" s="501">
        <v>-1411197652.8800001</v>
      </c>
      <c r="F8164" s="502" t="s">
        <v>878</v>
      </c>
      <c r="G8164" s="100">
        <v>116897937</v>
      </c>
      <c r="H8164" s="530"/>
      <c r="I8164" s="422" t="s">
        <v>721</v>
      </c>
      <c r="J8164" s="484"/>
      <c r="K8164" s="548"/>
      <c r="L8164" s="548"/>
      <c r="M8164" s="548"/>
      <c r="N8164" s="552">
        <v>2003620</v>
      </c>
      <c r="R8164" s="539">
        <v>704.32399999999996</v>
      </c>
      <c r="S8164" s="539">
        <v>706.79395813577401</v>
      </c>
      <c r="T8164" s="538">
        <v>16</v>
      </c>
      <c r="U8164" s="538">
        <v>16934.37</v>
      </c>
      <c r="V8164" s="538">
        <v>8467.19</v>
      </c>
    </row>
    <row r="8165" spans="1:22">
      <c r="A8165" s="499">
        <v>45777</v>
      </c>
      <c r="B8165" s="499">
        <v>45777</v>
      </c>
      <c r="C8165" s="500" t="s">
        <v>173</v>
      </c>
      <c r="D8165" s="500" t="s">
        <v>760</v>
      </c>
      <c r="E8165" s="501">
        <v>-139014201.91</v>
      </c>
      <c r="F8165" s="502" t="s">
        <v>878</v>
      </c>
      <c r="G8165" s="100">
        <v>116897983</v>
      </c>
      <c r="H8165" s="530"/>
      <c r="I8165" s="422" t="s">
        <v>816</v>
      </c>
      <c r="J8165" s="484"/>
      <c r="K8165" s="548"/>
      <c r="L8165" s="548"/>
      <c r="M8165" s="548"/>
      <c r="N8165" s="552">
        <v>129548</v>
      </c>
      <c r="R8165" s="539">
        <v>1073.0709999999999</v>
      </c>
      <c r="S8165" s="539">
        <v>1076.83409832649</v>
      </c>
      <c r="T8165" s="538">
        <v>16</v>
      </c>
      <c r="U8165" s="538">
        <v>1668.17</v>
      </c>
      <c r="V8165" s="538">
        <v>834.09</v>
      </c>
    </row>
    <row r="8166" spans="1:22">
      <c r="A8166" s="499">
        <v>45777</v>
      </c>
      <c r="B8166" s="499">
        <v>45777</v>
      </c>
      <c r="C8166" s="500" t="s">
        <v>173</v>
      </c>
      <c r="D8166" s="500" t="s">
        <v>760</v>
      </c>
      <c r="E8166" s="501">
        <v>-608069594.11000001</v>
      </c>
      <c r="F8166" s="502" t="s">
        <v>878</v>
      </c>
      <c r="G8166" s="100">
        <v>116898654</v>
      </c>
      <c r="H8166" s="530"/>
      <c r="I8166" s="422" t="s">
        <v>550</v>
      </c>
      <c r="J8166" s="484"/>
      <c r="K8166" s="548"/>
      <c r="L8166" s="548"/>
      <c r="M8166" s="548"/>
      <c r="N8166" s="552">
        <v>1180736</v>
      </c>
      <c r="R8166" s="539">
        <v>514.99199999999996</v>
      </c>
      <c r="S8166" s="539">
        <v>516.79799934108905</v>
      </c>
      <c r="T8166" s="538">
        <v>16</v>
      </c>
      <c r="U8166" s="538">
        <v>7296.84</v>
      </c>
      <c r="V8166" s="538">
        <v>3648.42</v>
      </c>
    </row>
    <row r="8167" spans="1:22">
      <c r="A8167" s="499">
        <v>45777</v>
      </c>
      <c r="B8167" s="499">
        <v>45785</v>
      </c>
      <c r="C8167" s="500" t="s">
        <v>173</v>
      </c>
      <c r="D8167" s="500" t="s">
        <v>760</v>
      </c>
      <c r="E8167" s="501">
        <v>1416146510.4000001</v>
      </c>
      <c r="F8167" s="502" t="s">
        <v>878</v>
      </c>
      <c r="G8167" s="100">
        <v>116897937</v>
      </c>
      <c r="H8167" s="100">
        <v>116897937</v>
      </c>
      <c r="I8167" s="422" t="s">
        <v>721</v>
      </c>
      <c r="J8167" s="484"/>
      <c r="K8167" s="548"/>
      <c r="L8167" s="548"/>
      <c r="M8167" s="548"/>
      <c r="N8167" s="552">
        <v>2003620</v>
      </c>
      <c r="R8167" s="539">
        <v>704.32399999999996</v>
      </c>
      <c r="S8167" s="539">
        <v>706.79395813577401</v>
      </c>
      <c r="T8167" s="538">
        <v>16</v>
      </c>
      <c r="U8167" s="538">
        <v>16934.37</v>
      </c>
      <c r="V8167" s="538">
        <v>8467.19</v>
      </c>
    </row>
    <row r="8168" spans="1:22">
      <c r="A8168" s="499">
        <v>45777</v>
      </c>
      <c r="B8168" s="499">
        <v>45785</v>
      </c>
      <c r="C8168" s="500" t="s">
        <v>173</v>
      </c>
      <c r="D8168" s="500" t="s">
        <v>760</v>
      </c>
      <c r="E8168" s="501">
        <v>139501703.77000001</v>
      </c>
      <c r="F8168" s="502" t="s">
        <v>878</v>
      </c>
      <c r="G8168" s="100">
        <v>116897983</v>
      </c>
      <c r="H8168" s="100">
        <v>116897983</v>
      </c>
      <c r="I8168" s="422" t="s">
        <v>816</v>
      </c>
      <c r="J8168" s="484"/>
      <c r="K8168" s="548"/>
      <c r="L8168" s="548"/>
      <c r="M8168" s="548"/>
      <c r="N8168" s="552">
        <v>129548</v>
      </c>
      <c r="R8168" s="539">
        <v>1073.0709999999999</v>
      </c>
      <c r="S8168" s="539">
        <v>1076.83409832649</v>
      </c>
      <c r="T8168" s="538">
        <v>16</v>
      </c>
      <c r="U8168" s="538">
        <v>1668.17</v>
      </c>
      <c r="V8168" s="538">
        <v>834.09</v>
      </c>
    </row>
    <row r="8169" spans="1:22">
      <c r="A8169" s="499">
        <v>45777</v>
      </c>
      <c r="B8169" s="499">
        <v>45785</v>
      </c>
      <c r="C8169" s="500" t="s">
        <v>173</v>
      </c>
      <c r="D8169" s="500" t="s">
        <v>760</v>
      </c>
      <c r="E8169" s="501">
        <v>610202002.54999995</v>
      </c>
      <c r="F8169" s="502" t="s">
        <v>878</v>
      </c>
      <c r="G8169" s="100">
        <v>116898654</v>
      </c>
      <c r="H8169" s="100">
        <v>116898654</v>
      </c>
      <c r="I8169" s="422" t="s">
        <v>550</v>
      </c>
      <c r="J8169" s="484"/>
      <c r="K8169" s="548"/>
      <c r="L8169" s="548"/>
      <c r="M8169" s="548"/>
      <c r="N8169" s="552">
        <v>1180736</v>
      </c>
      <c r="R8169" s="539">
        <v>514.99199999999996</v>
      </c>
      <c r="S8169" s="539">
        <v>516.79799934108905</v>
      </c>
      <c r="T8169" s="538">
        <v>16</v>
      </c>
      <c r="U8169" s="538">
        <v>7296.84</v>
      </c>
      <c r="V8169" s="538">
        <v>3648.42</v>
      </c>
    </row>
    <row r="8170" spans="1:22">
      <c r="A8170" s="499">
        <v>45777</v>
      </c>
      <c r="B8170" s="499">
        <v>45777</v>
      </c>
      <c r="C8170" s="500" t="s">
        <v>173</v>
      </c>
      <c r="D8170" s="500" t="s">
        <v>763</v>
      </c>
      <c r="E8170" s="501">
        <v>-5615253138</v>
      </c>
      <c r="F8170" s="502" t="s">
        <v>878</v>
      </c>
      <c r="G8170" s="100">
        <v>116895020</v>
      </c>
      <c r="H8170" s="530"/>
      <c r="I8170" s="422" t="s">
        <v>684</v>
      </c>
      <c r="J8170" s="484"/>
      <c r="K8170" s="548"/>
      <c r="L8170" s="548"/>
      <c r="M8170" s="548"/>
      <c r="N8170" s="552">
        <v>5296784</v>
      </c>
      <c r="R8170" s="539">
        <v>1060.125</v>
      </c>
      <c r="S8170" s="539">
        <v>1061.0399430597899</v>
      </c>
      <c r="T8170" s="538">
        <v>15.7507</v>
      </c>
      <c r="U8170" s="538">
        <v>16845.759999999998</v>
      </c>
      <c r="V8170" s="538">
        <v>8422.8799999999992</v>
      </c>
    </row>
    <row r="8171" spans="1:22">
      <c r="A8171" s="499">
        <v>45777</v>
      </c>
      <c r="B8171" s="499">
        <v>45777</v>
      </c>
      <c r="C8171" s="500" t="s">
        <v>173</v>
      </c>
      <c r="D8171" s="500" t="s">
        <v>763</v>
      </c>
      <c r="E8171" s="501">
        <v>-28021224</v>
      </c>
      <c r="F8171" s="502" t="s">
        <v>878</v>
      </c>
      <c r="G8171" s="100">
        <v>116895180</v>
      </c>
      <c r="H8171" s="530"/>
      <c r="I8171" s="422" t="s">
        <v>684</v>
      </c>
      <c r="J8171" s="484"/>
      <c r="K8171" s="548"/>
      <c r="L8171" s="548"/>
      <c r="M8171" s="548"/>
      <c r="N8171" s="552">
        <v>26432</v>
      </c>
      <c r="R8171" s="539">
        <v>1060.125</v>
      </c>
      <c r="S8171" s="539">
        <v>1061.0340935229999</v>
      </c>
      <c r="T8171" s="538">
        <v>15.65</v>
      </c>
      <c r="U8171" s="538">
        <v>84.06</v>
      </c>
      <c r="V8171" s="538">
        <v>42.03</v>
      </c>
    </row>
    <row r="8172" spans="1:22">
      <c r="A8172" s="499">
        <v>45777</v>
      </c>
      <c r="B8172" s="499">
        <v>45779</v>
      </c>
      <c r="C8172" s="500" t="s">
        <v>173</v>
      </c>
      <c r="D8172" s="500" t="s">
        <v>763</v>
      </c>
      <c r="E8172" s="501">
        <v>5620099393.7600002</v>
      </c>
      <c r="F8172" s="502" t="s">
        <v>878</v>
      </c>
      <c r="G8172" s="100">
        <v>116895020</v>
      </c>
      <c r="H8172" s="100">
        <v>116895020</v>
      </c>
      <c r="I8172" s="422" t="s">
        <v>684</v>
      </c>
      <c r="J8172" s="484"/>
      <c r="K8172" s="548"/>
      <c r="L8172" s="548"/>
      <c r="M8172" s="548"/>
      <c r="N8172" s="552">
        <v>5296784</v>
      </c>
      <c r="R8172" s="539">
        <v>1060.125</v>
      </c>
      <c r="S8172" s="539">
        <v>1061.0399430597899</v>
      </c>
      <c r="T8172" s="538">
        <v>15.7507</v>
      </c>
      <c r="U8172" s="538">
        <v>16845.759999999998</v>
      </c>
      <c r="V8172" s="538">
        <v>8422.8799999999992</v>
      </c>
    </row>
    <row r="8173" spans="1:22">
      <c r="A8173" s="499">
        <v>45777</v>
      </c>
      <c r="B8173" s="499">
        <v>45779</v>
      </c>
      <c r="C8173" s="500" t="s">
        <v>173</v>
      </c>
      <c r="D8173" s="500" t="s">
        <v>763</v>
      </c>
      <c r="E8173" s="501">
        <v>28045253.16</v>
      </c>
      <c r="F8173" s="502" t="s">
        <v>878</v>
      </c>
      <c r="G8173" s="100">
        <v>116895180</v>
      </c>
      <c r="H8173" s="100">
        <v>116895180</v>
      </c>
      <c r="I8173" s="422" t="s">
        <v>684</v>
      </c>
      <c r="J8173" s="484"/>
      <c r="K8173" s="548"/>
      <c r="L8173" s="548"/>
      <c r="M8173" s="548"/>
      <c r="N8173" s="552">
        <v>26432</v>
      </c>
      <c r="R8173" s="539">
        <v>1060.125</v>
      </c>
      <c r="S8173" s="539">
        <v>1061.0340935229999</v>
      </c>
      <c r="T8173" s="538">
        <v>15.65</v>
      </c>
      <c r="U8173" s="538">
        <v>84.06</v>
      </c>
      <c r="V8173" s="538">
        <v>42.03</v>
      </c>
    </row>
    <row r="8174" spans="1:22">
      <c r="A8174" s="499">
        <v>45779</v>
      </c>
      <c r="B8174" s="499">
        <v>45779</v>
      </c>
      <c r="C8174" s="500" t="s">
        <v>173</v>
      </c>
      <c r="D8174" s="500" t="s">
        <v>762</v>
      </c>
      <c r="E8174" s="501">
        <v>-838729007.21000004</v>
      </c>
      <c r="F8174" s="502" t="s">
        <v>878</v>
      </c>
      <c r="G8174" s="100">
        <v>116919582</v>
      </c>
      <c r="H8174" s="530"/>
      <c r="I8174" s="422" t="s">
        <v>689</v>
      </c>
      <c r="J8174" s="484"/>
      <c r="K8174" s="548"/>
      <c r="L8174" s="548"/>
      <c r="M8174" s="548"/>
      <c r="N8174" s="552">
        <v>915934</v>
      </c>
      <c r="R8174" s="558">
        <v>915.70899999999995</v>
      </c>
      <c r="S8174" s="558">
        <v>916.87560323123705</v>
      </c>
      <c r="T8174" s="538">
        <v>15.5002</v>
      </c>
      <c r="U8174" s="538">
        <v>3774.28</v>
      </c>
      <c r="V8174" s="538">
        <v>1887.14</v>
      </c>
    </row>
    <row r="8175" spans="1:22">
      <c r="A8175" s="499">
        <v>45779</v>
      </c>
      <c r="B8175" s="499">
        <v>45779</v>
      </c>
      <c r="C8175" s="500" t="s">
        <v>173</v>
      </c>
      <c r="D8175" s="500" t="s">
        <v>762</v>
      </c>
      <c r="E8175" s="501">
        <v>-4195702941.98</v>
      </c>
      <c r="F8175" s="502" t="s">
        <v>878</v>
      </c>
      <c r="G8175" s="100">
        <v>116919585</v>
      </c>
      <c r="H8175" s="530"/>
      <c r="I8175" s="422" t="s">
        <v>656</v>
      </c>
      <c r="J8175" s="484"/>
      <c r="K8175" s="548"/>
      <c r="L8175" s="548"/>
      <c r="M8175" s="548"/>
      <c r="N8175" s="552">
        <v>4209772</v>
      </c>
      <c r="R8175" s="558">
        <v>996.65800000000002</v>
      </c>
      <c r="S8175" s="558">
        <v>997.92773137120003</v>
      </c>
      <c r="T8175" s="538">
        <v>15.5002</v>
      </c>
      <c r="U8175" s="538">
        <v>18880.66</v>
      </c>
      <c r="V8175" s="538">
        <v>9440.33</v>
      </c>
    </row>
    <row r="8176" spans="1:22">
      <c r="A8176" s="499">
        <v>45779</v>
      </c>
      <c r="B8176" s="499">
        <v>45779</v>
      </c>
      <c r="C8176" s="500" t="s">
        <v>173</v>
      </c>
      <c r="D8176" s="500" t="s">
        <v>762</v>
      </c>
      <c r="E8176" s="501">
        <v>-26007455.469999999</v>
      </c>
      <c r="F8176" s="502" t="s">
        <v>878</v>
      </c>
      <c r="G8176" s="100">
        <v>116923550</v>
      </c>
      <c r="H8176" s="530"/>
      <c r="I8176" s="422" t="s">
        <v>674</v>
      </c>
      <c r="J8176" s="484"/>
      <c r="K8176" s="548"/>
      <c r="L8176" s="548"/>
      <c r="M8176" s="548"/>
      <c r="N8176" s="552">
        <v>28262</v>
      </c>
      <c r="R8176" s="558">
        <v>920.22699999999998</v>
      </c>
      <c r="S8176" s="558">
        <v>921.41902413134198</v>
      </c>
      <c r="T8176" s="538">
        <v>15.760199999999999</v>
      </c>
      <c r="U8176" s="538">
        <v>117.03</v>
      </c>
      <c r="V8176" s="538">
        <v>58.52</v>
      </c>
    </row>
    <row r="8177" spans="1:22">
      <c r="A8177" s="499">
        <v>45779</v>
      </c>
      <c r="B8177" s="499">
        <v>45782</v>
      </c>
      <c r="C8177" s="500" t="s">
        <v>173</v>
      </c>
      <c r="D8177" s="500" t="s">
        <v>762</v>
      </c>
      <c r="E8177" s="501">
        <v>839797538.76999998</v>
      </c>
      <c r="F8177" s="502" t="s">
        <v>878</v>
      </c>
      <c r="G8177" s="100">
        <v>116919582</v>
      </c>
      <c r="H8177" s="484">
        <v>116919582</v>
      </c>
      <c r="I8177" s="422" t="s">
        <v>689</v>
      </c>
      <c r="J8177" s="484"/>
      <c r="K8177" s="548"/>
      <c r="L8177" s="548"/>
      <c r="M8177" s="548"/>
      <c r="N8177" s="552">
        <v>915934</v>
      </c>
      <c r="R8177" s="558">
        <v>915.70899999999995</v>
      </c>
      <c r="S8177" s="558">
        <v>916.87560323123705</v>
      </c>
      <c r="T8177" s="538">
        <v>15.5002</v>
      </c>
      <c r="U8177" s="538">
        <v>3774.28</v>
      </c>
      <c r="V8177" s="538">
        <v>1887.14</v>
      </c>
    </row>
    <row r="8178" spans="1:22">
      <c r="A8178" s="499">
        <v>45779</v>
      </c>
      <c r="B8178" s="499">
        <v>45782</v>
      </c>
      <c r="C8178" s="500" t="s">
        <v>173</v>
      </c>
      <c r="D8178" s="500" t="s">
        <v>762</v>
      </c>
      <c r="E8178" s="501">
        <v>4201048221.5500002</v>
      </c>
      <c r="F8178" s="502" t="s">
        <v>878</v>
      </c>
      <c r="G8178" s="100">
        <v>116919585</v>
      </c>
      <c r="H8178" s="484">
        <v>116919585</v>
      </c>
      <c r="I8178" s="422" t="s">
        <v>656</v>
      </c>
      <c r="J8178" s="484"/>
      <c r="K8178" s="548"/>
      <c r="L8178" s="548"/>
      <c r="M8178" s="548"/>
      <c r="N8178" s="552">
        <v>4209772</v>
      </c>
      <c r="R8178" s="558">
        <v>996.65800000000002</v>
      </c>
      <c r="S8178" s="558">
        <v>997.92773137120003</v>
      </c>
      <c r="T8178" s="538">
        <v>15.5002</v>
      </c>
      <c r="U8178" s="538">
        <v>18880.66</v>
      </c>
      <c r="V8178" s="538">
        <v>9440.33</v>
      </c>
    </row>
    <row r="8179" spans="1:22">
      <c r="A8179" s="499">
        <v>45779</v>
      </c>
      <c r="B8179" s="499">
        <v>45782</v>
      </c>
      <c r="C8179" s="500" t="s">
        <v>173</v>
      </c>
      <c r="D8179" s="500" t="s">
        <v>762</v>
      </c>
      <c r="E8179" s="501">
        <v>26041144.460000001</v>
      </c>
      <c r="F8179" s="502" t="s">
        <v>878</v>
      </c>
      <c r="G8179" s="100">
        <v>116923550</v>
      </c>
      <c r="H8179" s="484">
        <v>116923550</v>
      </c>
      <c r="I8179" s="422" t="s">
        <v>674</v>
      </c>
      <c r="J8179" s="484"/>
      <c r="K8179" s="548"/>
      <c r="L8179" s="548"/>
      <c r="M8179" s="548"/>
      <c r="N8179" s="552">
        <v>28262</v>
      </c>
      <c r="R8179" s="558">
        <v>920.22699999999998</v>
      </c>
      <c r="S8179" s="558">
        <v>921.41902413134198</v>
      </c>
      <c r="T8179" s="538">
        <v>15.760199999999999</v>
      </c>
      <c r="U8179" s="538">
        <v>117.03</v>
      </c>
      <c r="V8179" s="538">
        <v>58.52</v>
      </c>
    </row>
    <row r="8180" spans="1:22">
      <c r="A8180" s="499">
        <v>45779</v>
      </c>
      <c r="B8180" s="499">
        <v>45779</v>
      </c>
      <c r="C8180" s="500" t="s">
        <v>173</v>
      </c>
      <c r="D8180" s="500" t="s">
        <v>761</v>
      </c>
      <c r="E8180" s="501">
        <v>-507145381.74000001</v>
      </c>
      <c r="F8180" s="502" t="s">
        <v>878</v>
      </c>
      <c r="G8180" s="100">
        <v>116918126</v>
      </c>
      <c r="H8180" s="530"/>
      <c r="I8180" s="422" t="s">
        <v>674</v>
      </c>
      <c r="J8180" s="484"/>
      <c r="K8180" s="548"/>
      <c r="L8180" s="548"/>
      <c r="M8180" s="548"/>
      <c r="N8180" s="552">
        <v>551109</v>
      </c>
      <c r="R8180" s="539">
        <v>920.22699999455642</v>
      </c>
      <c r="S8180" s="539">
        <v>921.39178046448205</v>
      </c>
      <c r="T8180" s="538">
        <v>15.4</v>
      </c>
      <c r="U8180" s="538">
        <v>2282.15</v>
      </c>
      <c r="V8180" s="538">
        <v>1141.08</v>
      </c>
    </row>
    <row r="8181" spans="1:22">
      <c r="A8181" s="499">
        <v>45779</v>
      </c>
      <c r="B8181" s="499">
        <v>45779</v>
      </c>
      <c r="C8181" s="500" t="s">
        <v>173</v>
      </c>
      <c r="D8181" s="500" t="s">
        <v>761</v>
      </c>
      <c r="E8181" s="501">
        <v>-2000573.5</v>
      </c>
      <c r="F8181" s="502" t="s">
        <v>878</v>
      </c>
      <c r="G8181" s="100">
        <v>116918156</v>
      </c>
      <c r="H8181" s="530"/>
      <c r="I8181" s="422" t="s">
        <v>674</v>
      </c>
      <c r="J8181" s="484"/>
      <c r="K8181" s="548"/>
      <c r="L8181" s="548"/>
      <c r="M8181" s="548"/>
      <c r="N8181" s="552">
        <v>2174</v>
      </c>
      <c r="R8181" s="539">
        <v>920.22700091996319</v>
      </c>
      <c r="S8181" s="539">
        <v>921.39178012879495</v>
      </c>
      <c r="T8181" s="538">
        <v>15.4</v>
      </c>
      <c r="U8181" s="538">
        <v>39.32</v>
      </c>
      <c r="V8181" s="538">
        <v>4.5</v>
      </c>
    </row>
    <row r="8182" spans="1:22">
      <c r="A8182" s="499">
        <v>45779</v>
      </c>
      <c r="B8182" s="499">
        <v>45782</v>
      </c>
      <c r="C8182" s="500" t="s">
        <v>173</v>
      </c>
      <c r="D8182" s="500" t="s">
        <v>761</v>
      </c>
      <c r="E8182" s="501">
        <v>507787302.74000001</v>
      </c>
      <c r="F8182" s="502" t="s">
        <v>878</v>
      </c>
      <c r="G8182" s="100">
        <v>116918126</v>
      </c>
      <c r="H8182" s="484">
        <v>116918126</v>
      </c>
      <c r="I8182" s="422" t="s">
        <v>674</v>
      </c>
      <c r="J8182" s="484"/>
      <c r="K8182" s="548"/>
      <c r="L8182" s="548"/>
      <c r="M8182" s="548"/>
      <c r="N8182" s="552">
        <v>551109</v>
      </c>
      <c r="R8182" s="539">
        <v>920.22699999455642</v>
      </c>
      <c r="S8182" s="539">
        <v>921.39178046448205</v>
      </c>
      <c r="T8182" s="538">
        <v>15.4</v>
      </c>
      <c r="U8182" s="538">
        <v>2282.15</v>
      </c>
      <c r="V8182" s="538">
        <v>1141.08</v>
      </c>
    </row>
    <row r="8183" spans="1:22">
      <c r="A8183" s="499">
        <v>45779</v>
      </c>
      <c r="B8183" s="499">
        <v>45782</v>
      </c>
      <c r="C8183" s="500" t="s">
        <v>173</v>
      </c>
      <c r="D8183" s="500" t="s">
        <v>761</v>
      </c>
      <c r="E8183" s="501">
        <v>2003105.73</v>
      </c>
      <c r="F8183" s="502" t="s">
        <v>878</v>
      </c>
      <c r="G8183" s="100">
        <v>116918156</v>
      </c>
      <c r="H8183" s="484">
        <v>116918156</v>
      </c>
      <c r="I8183" s="422" t="s">
        <v>674</v>
      </c>
      <c r="J8183" s="484"/>
      <c r="K8183" s="548"/>
      <c r="L8183" s="548"/>
      <c r="M8183" s="548"/>
      <c r="N8183" s="552">
        <v>2174</v>
      </c>
      <c r="R8183" s="539">
        <v>920.22700091996319</v>
      </c>
      <c r="S8183" s="539">
        <v>921.39178012879495</v>
      </c>
      <c r="T8183" s="538">
        <v>15.4</v>
      </c>
      <c r="U8183" s="538">
        <v>39.32</v>
      </c>
      <c r="V8183" s="538">
        <v>4.5</v>
      </c>
    </row>
    <row r="8184" spans="1:22">
      <c r="A8184" s="499">
        <v>45779</v>
      </c>
      <c r="B8184" s="499">
        <v>45779</v>
      </c>
      <c r="C8184" s="500" t="s">
        <v>173</v>
      </c>
      <c r="D8184" s="500" t="s">
        <v>759</v>
      </c>
      <c r="E8184" s="501">
        <v>-50024324.100000001</v>
      </c>
      <c r="F8184" s="502" t="s">
        <v>878</v>
      </c>
      <c r="G8184" s="100">
        <v>116915764</v>
      </c>
      <c r="H8184" s="530"/>
      <c r="I8184" s="422" t="s">
        <v>598</v>
      </c>
      <c r="J8184" s="484"/>
      <c r="K8184" s="548"/>
      <c r="L8184" s="548"/>
      <c r="M8184" s="548"/>
      <c r="N8184" s="552">
        <v>50150</v>
      </c>
      <c r="R8184" s="539">
        <v>997.49400000000003</v>
      </c>
      <c r="S8184" s="539">
        <v>1001.8597443669</v>
      </c>
      <c r="T8184" s="538">
        <v>15.975</v>
      </c>
      <c r="U8184" s="538">
        <v>750.36</v>
      </c>
      <c r="V8184" s="538">
        <v>375.18</v>
      </c>
    </row>
    <row r="8185" spans="1:22">
      <c r="A8185" s="499">
        <v>45779</v>
      </c>
      <c r="B8185" s="499">
        <v>45779</v>
      </c>
      <c r="C8185" s="500" t="s">
        <v>173</v>
      </c>
      <c r="D8185" s="500" t="s">
        <v>759</v>
      </c>
      <c r="E8185" s="501">
        <v>-312272107.68000001</v>
      </c>
      <c r="F8185" s="502" t="s">
        <v>878</v>
      </c>
      <c r="G8185" s="100">
        <v>116915767</v>
      </c>
      <c r="H8185" s="530"/>
      <c r="I8185" s="422" t="s">
        <v>676</v>
      </c>
      <c r="J8185" s="484"/>
      <c r="K8185" s="548"/>
      <c r="L8185" s="548"/>
      <c r="M8185" s="548"/>
      <c r="N8185" s="552">
        <v>330720</v>
      </c>
      <c r="R8185" s="539">
        <v>944.21900000000005</v>
      </c>
      <c r="S8185" s="539">
        <v>948.35157492743099</v>
      </c>
      <c r="T8185" s="538">
        <v>15.975</v>
      </c>
      <c r="U8185" s="538">
        <v>4684.08</v>
      </c>
      <c r="V8185" s="538">
        <v>2342.04</v>
      </c>
    </row>
    <row r="8186" spans="1:22">
      <c r="A8186" s="499">
        <v>45779</v>
      </c>
      <c r="B8186" s="499">
        <v>45779</v>
      </c>
      <c r="C8186" s="500" t="s">
        <v>173</v>
      </c>
      <c r="D8186" s="500" t="s">
        <v>759</v>
      </c>
      <c r="E8186" s="501">
        <v>-449192084.44999999</v>
      </c>
      <c r="F8186" s="502" t="s">
        <v>878</v>
      </c>
      <c r="G8186" s="100">
        <v>116915770</v>
      </c>
      <c r="H8186" s="530"/>
      <c r="I8186" s="422" t="s">
        <v>696</v>
      </c>
      <c r="J8186" s="484"/>
      <c r="K8186" s="548"/>
      <c r="L8186" s="548"/>
      <c r="M8186" s="548"/>
      <c r="N8186" s="552">
        <v>554515</v>
      </c>
      <c r="R8186" s="539">
        <v>810.06300000901683</v>
      </c>
      <c r="S8186" s="539">
        <v>813.60841272102698</v>
      </c>
      <c r="T8186" s="538">
        <v>15.975</v>
      </c>
      <c r="U8186" s="538">
        <v>6737.88</v>
      </c>
      <c r="V8186" s="538">
        <v>3368.94</v>
      </c>
    </row>
    <row r="8187" spans="1:22">
      <c r="A8187" s="499">
        <v>45779</v>
      </c>
      <c r="B8187" s="499">
        <v>45779</v>
      </c>
      <c r="C8187" s="500" t="s">
        <v>173</v>
      </c>
      <c r="D8187" s="500" t="s">
        <v>759</v>
      </c>
      <c r="E8187" s="501">
        <v>-971465303.20000005</v>
      </c>
      <c r="F8187" s="502" t="s">
        <v>878</v>
      </c>
      <c r="G8187" s="100">
        <v>116915773</v>
      </c>
      <c r="H8187" s="530"/>
      <c r="I8187" s="422" t="s">
        <v>602</v>
      </c>
      <c r="J8187" s="484"/>
      <c r="K8187" s="548"/>
      <c r="L8187" s="548"/>
      <c r="M8187" s="548"/>
      <c r="N8187" s="552">
        <v>1087520</v>
      </c>
      <c r="R8187" s="539">
        <v>893.28500000000008</v>
      </c>
      <c r="S8187" s="539">
        <v>897.19465147307596</v>
      </c>
      <c r="T8187" s="538">
        <v>15.975</v>
      </c>
      <c r="U8187" s="538">
        <v>14571.98</v>
      </c>
      <c r="V8187" s="538">
        <v>7285.99</v>
      </c>
    </row>
    <row r="8188" spans="1:22">
      <c r="A8188" s="499">
        <v>45779</v>
      </c>
      <c r="B8188" s="499">
        <v>45779</v>
      </c>
      <c r="C8188" s="500" t="s">
        <v>173</v>
      </c>
      <c r="D8188" s="500" t="s">
        <v>759</v>
      </c>
      <c r="E8188" s="501">
        <v>-5004404360</v>
      </c>
      <c r="F8188" s="502" t="s">
        <v>878</v>
      </c>
      <c r="G8188" s="100">
        <v>116915832</v>
      </c>
      <c r="H8188" s="530"/>
      <c r="I8188" s="422" t="s">
        <v>686</v>
      </c>
      <c r="J8188" s="484"/>
      <c r="K8188" s="548"/>
      <c r="L8188" s="548"/>
      <c r="M8188" s="548"/>
      <c r="N8188" s="552">
        <v>5240000</v>
      </c>
      <c r="R8188" s="539">
        <v>955.03899999999999</v>
      </c>
      <c r="S8188" s="539">
        <v>959.21893096564895</v>
      </c>
      <c r="T8188" s="538">
        <v>15.975</v>
      </c>
      <c r="U8188" s="538">
        <v>75066.070000000007</v>
      </c>
      <c r="V8188" s="538">
        <v>37533.03</v>
      </c>
    </row>
    <row r="8189" spans="1:22">
      <c r="A8189" s="499">
        <v>45779</v>
      </c>
      <c r="B8189" s="499">
        <v>45779</v>
      </c>
      <c r="C8189" s="500" t="s">
        <v>173</v>
      </c>
      <c r="D8189" s="500" t="s">
        <v>759</v>
      </c>
      <c r="E8189" s="501">
        <v>-533469504.77999997</v>
      </c>
      <c r="F8189" s="502" t="s">
        <v>878</v>
      </c>
      <c r="G8189" s="100">
        <v>116915839</v>
      </c>
      <c r="H8189" s="530"/>
      <c r="I8189" s="422" t="s">
        <v>686</v>
      </c>
      <c r="J8189" s="484"/>
      <c r="K8189" s="548"/>
      <c r="L8189" s="548"/>
      <c r="M8189" s="548"/>
      <c r="N8189" s="552">
        <v>558584</v>
      </c>
      <c r="R8189" s="539">
        <v>955.03900000716089</v>
      </c>
      <c r="S8189" s="539">
        <v>959.21893097546604</v>
      </c>
      <c r="T8189" s="538">
        <v>15.975</v>
      </c>
      <c r="U8189" s="538">
        <v>8002.04</v>
      </c>
      <c r="V8189" s="538">
        <v>4001.02</v>
      </c>
    </row>
    <row r="8190" spans="1:22">
      <c r="A8190" s="499">
        <v>45779</v>
      </c>
      <c r="B8190" s="499">
        <v>45779</v>
      </c>
      <c r="C8190" s="500" t="s">
        <v>173</v>
      </c>
      <c r="D8190" s="500" t="s">
        <v>759</v>
      </c>
      <c r="E8190" s="501">
        <v>-2000290156.8</v>
      </c>
      <c r="F8190" s="502" t="s">
        <v>878</v>
      </c>
      <c r="G8190" s="100">
        <v>116915960</v>
      </c>
      <c r="H8190" s="530"/>
      <c r="I8190" s="422" t="s">
        <v>805</v>
      </c>
      <c r="J8190" s="484"/>
      <c r="K8190" s="548"/>
      <c r="L8190" s="548"/>
      <c r="M8190" s="548"/>
      <c r="N8190" s="552">
        <v>3692000</v>
      </c>
      <c r="R8190" s="539">
        <v>541.79039999999998</v>
      </c>
      <c r="S8190" s="539">
        <v>542.48730573401997</v>
      </c>
      <c r="T8190" s="538">
        <v>15.65</v>
      </c>
      <c r="U8190" s="538">
        <v>9001.31</v>
      </c>
      <c r="V8190" s="538">
        <v>4500.6499999999996</v>
      </c>
    </row>
    <row r="8191" spans="1:22">
      <c r="A8191" s="499">
        <v>45779</v>
      </c>
      <c r="B8191" s="499">
        <v>45779</v>
      </c>
      <c r="C8191" s="500" t="s">
        <v>173</v>
      </c>
      <c r="D8191" s="500" t="s">
        <v>759</v>
      </c>
      <c r="E8191" s="501">
        <v>-47000487.299999997</v>
      </c>
      <c r="F8191" s="502" t="s">
        <v>878</v>
      </c>
      <c r="G8191" s="100">
        <v>116918658</v>
      </c>
      <c r="H8191" s="530"/>
      <c r="I8191" s="422" t="s">
        <v>590</v>
      </c>
      <c r="J8191" s="484"/>
      <c r="K8191" s="548"/>
      <c r="L8191" s="548"/>
      <c r="M8191" s="548"/>
      <c r="N8191" s="552">
        <v>50854</v>
      </c>
      <c r="R8191" s="539">
        <v>924.22400007865645</v>
      </c>
      <c r="S8191" s="539">
        <v>928.22477582884301</v>
      </c>
      <c r="T8191" s="538">
        <v>15.8001</v>
      </c>
      <c r="U8191" s="538">
        <v>705.01</v>
      </c>
      <c r="V8191" s="538">
        <v>352.5</v>
      </c>
    </row>
    <row r="8192" spans="1:22">
      <c r="A8192" s="499">
        <v>45779</v>
      </c>
      <c r="B8192" s="499">
        <v>45789</v>
      </c>
      <c r="C8192" s="500" t="s">
        <v>173</v>
      </c>
      <c r="D8192" s="500" t="s">
        <v>759</v>
      </c>
      <c r="E8192" s="501">
        <v>50243266.18</v>
      </c>
      <c r="F8192" s="502" t="s">
        <v>878</v>
      </c>
      <c r="G8192" s="100">
        <v>116915764</v>
      </c>
      <c r="H8192" s="484">
        <v>116915764</v>
      </c>
      <c r="I8192" s="422" t="s">
        <v>598</v>
      </c>
      <c r="J8192" s="484"/>
      <c r="K8192" s="548"/>
      <c r="L8192" s="548"/>
      <c r="M8192" s="548"/>
      <c r="N8192" s="552">
        <v>50150</v>
      </c>
      <c r="R8192" s="539">
        <v>997.49400000000003</v>
      </c>
      <c r="S8192" s="539">
        <v>1001.8597443669</v>
      </c>
      <c r="T8192" s="538">
        <v>15.975</v>
      </c>
      <c r="U8192" s="538">
        <v>750.36</v>
      </c>
      <c r="V8192" s="538">
        <v>375.18</v>
      </c>
    </row>
    <row r="8193" spans="1:22">
      <c r="A8193" s="499">
        <v>45779</v>
      </c>
      <c r="B8193" s="499">
        <v>45789</v>
      </c>
      <c r="C8193" s="500" t="s">
        <v>173</v>
      </c>
      <c r="D8193" s="500" t="s">
        <v>759</v>
      </c>
      <c r="E8193" s="501">
        <v>313638832.86000001</v>
      </c>
      <c r="F8193" s="502" t="s">
        <v>878</v>
      </c>
      <c r="G8193" s="100">
        <v>116915767</v>
      </c>
      <c r="H8193" s="484">
        <v>116915767</v>
      </c>
      <c r="I8193" s="422" t="s">
        <v>676</v>
      </c>
      <c r="J8193" s="484"/>
      <c r="K8193" s="548"/>
      <c r="L8193" s="548"/>
      <c r="M8193" s="548"/>
      <c r="N8193" s="552">
        <v>330720</v>
      </c>
      <c r="R8193" s="539">
        <v>944.21900000000005</v>
      </c>
      <c r="S8193" s="539">
        <v>948.35157492743099</v>
      </c>
      <c r="T8193" s="538">
        <v>15.975</v>
      </c>
      <c r="U8193" s="538">
        <v>4684.08</v>
      </c>
      <c r="V8193" s="538">
        <v>2342.04</v>
      </c>
    </row>
    <row r="8194" spans="1:22">
      <c r="A8194" s="499">
        <v>45779</v>
      </c>
      <c r="B8194" s="499">
        <v>45789</v>
      </c>
      <c r="C8194" s="500" t="s">
        <v>173</v>
      </c>
      <c r="D8194" s="500" t="s">
        <v>759</v>
      </c>
      <c r="E8194" s="501">
        <v>451158068.98000002</v>
      </c>
      <c r="F8194" s="502" t="s">
        <v>878</v>
      </c>
      <c r="G8194" s="100">
        <v>116915770</v>
      </c>
      <c r="H8194" s="484">
        <v>116915770</v>
      </c>
      <c r="I8194" s="422" t="s">
        <v>696</v>
      </c>
      <c r="J8194" s="484"/>
      <c r="K8194" s="548"/>
      <c r="L8194" s="548"/>
      <c r="M8194" s="548"/>
      <c r="N8194" s="552">
        <v>554515</v>
      </c>
      <c r="R8194" s="539">
        <v>810.06300000901683</v>
      </c>
      <c r="S8194" s="539">
        <v>813.60841272102698</v>
      </c>
      <c r="T8194" s="538">
        <v>15.975</v>
      </c>
      <c r="U8194" s="538">
        <v>6737.88</v>
      </c>
      <c r="V8194" s="538">
        <v>3368.94</v>
      </c>
    </row>
    <row r="8195" spans="1:22">
      <c r="A8195" s="499">
        <v>45779</v>
      </c>
      <c r="B8195" s="499">
        <v>45789</v>
      </c>
      <c r="C8195" s="500" t="s">
        <v>173</v>
      </c>
      <c r="D8195" s="500" t="s">
        <v>759</v>
      </c>
      <c r="E8195" s="501">
        <v>975717127.37</v>
      </c>
      <c r="F8195" s="502" t="s">
        <v>878</v>
      </c>
      <c r="G8195" s="100">
        <v>116915773</v>
      </c>
      <c r="H8195" s="484">
        <v>116915773</v>
      </c>
      <c r="I8195" s="422" t="s">
        <v>602</v>
      </c>
      <c r="J8195" s="484"/>
      <c r="K8195" s="548"/>
      <c r="L8195" s="548"/>
      <c r="M8195" s="548"/>
      <c r="N8195" s="552">
        <v>1087520</v>
      </c>
      <c r="R8195" s="539">
        <v>893.28500000000008</v>
      </c>
      <c r="S8195" s="539">
        <v>897.19465147307596</v>
      </c>
      <c r="T8195" s="538">
        <v>15.975</v>
      </c>
      <c r="U8195" s="538">
        <v>14571.98</v>
      </c>
      <c r="V8195" s="538">
        <v>7285.99</v>
      </c>
    </row>
    <row r="8196" spans="1:22">
      <c r="A8196" s="499">
        <v>45779</v>
      </c>
      <c r="B8196" s="499">
        <v>45789</v>
      </c>
      <c r="C8196" s="500" t="s">
        <v>173</v>
      </c>
      <c r="D8196" s="500" t="s">
        <v>759</v>
      </c>
      <c r="E8196" s="501">
        <v>5026307198.2600002</v>
      </c>
      <c r="F8196" s="502" t="s">
        <v>878</v>
      </c>
      <c r="G8196" s="100">
        <v>116915832</v>
      </c>
      <c r="H8196" s="484">
        <v>116915832</v>
      </c>
      <c r="I8196" s="422" t="s">
        <v>686</v>
      </c>
      <c r="J8196" s="484"/>
      <c r="K8196" s="548"/>
      <c r="L8196" s="548"/>
      <c r="M8196" s="548"/>
      <c r="N8196" s="552">
        <v>5240000</v>
      </c>
      <c r="R8196" s="539">
        <v>955.03899999999999</v>
      </c>
      <c r="S8196" s="539">
        <v>959.21893096564895</v>
      </c>
      <c r="T8196" s="538">
        <v>15.975</v>
      </c>
      <c r="U8196" s="538">
        <v>75066.070000000007</v>
      </c>
      <c r="V8196" s="538">
        <v>37533.03</v>
      </c>
    </row>
    <row r="8197" spans="1:22">
      <c r="A8197" s="499">
        <v>45779</v>
      </c>
      <c r="B8197" s="499">
        <v>45789</v>
      </c>
      <c r="C8197" s="500" t="s">
        <v>173</v>
      </c>
      <c r="D8197" s="500" t="s">
        <v>759</v>
      </c>
      <c r="E8197" s="501">
        <v>535804347.33999997</v>
      </c>
      <c r="F8197" s="502" t="s">
        <v>878</v>
      </c>
      <c r="G8197" s="100">
        <v>116915839</v>
      </c>
      <c r="H8197" s="484">
        <v>116915839</v>
      </c>
      <c r="I8197" s="422" t="s">
        <v>686</v>
      </c>
      <c r="J8197" s="484"/>
      <c r="K8197" s="548"/>
      <c r="L8197" s="548"/>
      <c r="M8197" s="548"/>
      <c r="N8197" s="552">
        <v>558584</v>
      </c>
      <c r="R8197" s="539">
        <v>955.03900000716089</v>
      </c>
      <c r="S8197" s="539">
        <v>959.21893097546604</v>
      </c>
      <c r="T8197" s="538">
        <v>15.975</v>
      </c>
      <c r="U8197" s="538">
        <v>8002.04</v>
      </c>
      <c r="V8197" s="538">
        <v>4001.02</v>
      </c>
    </row>
    <row r="8198" spans="1:22">
      <c r="A8198" s="499">
        <v>45779</v>
      </c>
      <c r="B8198" s="499">
        <v>45782</v>
      </c>
      <c r="C8198" s="500" t="s">
        <v>173</v>
      </c>
      <c r="D8198" s="500" t="s">
        <v>759</v>
      </c>
      <c r="E8198" s="501">
        <v>2002863132.77</v>
      </c>
      <c r="F8198" s="502" t="s">
        <v>878</v>
      </c>
      <c r="G8198" s="100">
        <v>116915960</v>
      </c>
      <c r="H8198" s="484">
        <v>116915960</v>
      </c>
      <c r="I8198" s="422" t="s">
        <v>805</v>
      </c>
      <c r="J8198" s="484"/>
      <c r="K8198" s="548"/>
      <c r="L8198" s="548"/>
      <c r="M8198" s="548"/>
      <c r="N8198" s="552">
        <v>3692000</v>
      </c>
      <c r="R8198" s="539">
        <v>541.79039999999998</v>
      </c>
      <c r="S8198" s="539">
        <v>542.48730573401997</v>
      </c>
      <c r="T8198" s="538">
        <v>15.65</v>
      </c>
      <c r="U8198" s="538">
        <v>9001.31</v>
      </c>
      <c r="V8198" s="538">
        <v>4500.6499999999996</v>
      </c>
    </row>
    <row r="8199" spans="1:22">
      <c r="A8199" s="499">
        <v>45779</v>
      </c>
      <c r="B8199" s="499">
        <v>45789</v>
      </c>
      <c r="C8199" s="500" t="s">
        <v>173</v>
      </c>
      <c r="D8199" s="500" t="s">
        <v>759</v>
      </c>
      <c r="E8199" s="501">
        <v>47203942.75</v>
      </c>
      <c r="F8199" s="502" t="s">
        <v>878</v>
      </c>
      <c r="G8199" s="100">
        <v>116918658</v>
      </c>
      <c r="H8199" s="484">
        <v>116918658</v>
      </c>
      <c r="I8199" s="422" t="s">
        <v>590</v>
      </c>
      <c r="J8199" s="484"/>
      <c r="K8199" s="548"/>
      <c r="L8199" s="548"/>
      <c r="M8199" s="548"/>
      <c r="N8199" s="552">
        <v>50854</v>
      </c>
      <c r="R8199" s="539">
        <v>924.22400007865645</v>
      </c>
      <c r="S8199" s="539">
        <v>928.22477582884301</v>
      </c>
      <c r="T8199" s="538">
        <v>15.8001</v>
      </c>
      <c r="U8199" s="538">
        <v>705.01</v>
      </c>
      <c r="V8199" s="538">
        <v>352.5</v>
      </c>
    </row>
    <row r="8200" spans="1:22">
      <c r="A8200" s="499">
        <v>45779</v>
      </c>
      <c r="B8200" s="499">
        <v>45779</v>
      </c>
      <c r="C8200" s="500" t="s">
        <v>173</v>
      </c>
      <c r="D8200" s="500" t="s">
        <v>764</v>
      </c>
      <c r="E8200" s="501">
        <v>-3166787079.0100002</v>
      </c>
      <c r="F8200" s="502" t="s">
        <v>878</v>
      </c>
      <c r="G8200" s="100">
        <v>116916132</v>
      </c>
      <c r="H8200" s="530"/>
      <c r="I8200" s="422" t="s">
        <v>686</v>
      </c>
      <c r="J8200" s="484"/>
      <c r="K8200" s="548"/>
      <c r="L8200" s="548"/>
      <c r="M8200" s="548"/>
      <c r="N8200" s="552">
        <v>3315872</v>
      </c>
      <c r="R8200" s="539">
        <v>955.03900000060321</v>
      </c>
      <c r="S8200" s="539">
        <v>959.21762269472401</v>
      </c>
      <c r="T8200" s="538">
        <v>15.97</v>
      </c>
      <c r="U8200" s="538">
        <v>47501.81</v>
      </c>
      <c r="V8200" s="538">
        <v>23750.9</v>
      </c>
    </row>
    <row r="8201" spans="1:22">
      <c r="A8201" s="499">
        <v>45779</v>
      </c>
      <c r="B8201" s="499">
        <v>45779</v>
      </c>
      <c r="C8201" s="500" t="s">
        <v>173</v>
      </c>
      <c r="D8201" s="500" t="s">
        <v>764</v>
      </c>
      <c r="E8201" s="501">
        <v>-16014093.949999999</v>
      </c>
      <c r="F8201" s="502" t="s">
        <v>878</v>
      </c>
      <c r="G8201" s="100">
        <v>116916186</v>
      </c>
      <c r="H8201" s="530"/>
      <c r="I8201" s="422" t="s">
        <v>686</v>
      </c>
      <c r="J8201" s="484"/>
      <c r="K8201" s="548"/>
      <c r="L8201" s="548"/>
      <c r="M8201" s="548"/>
      <c r="N8201" s="552">
        <v>16768</v>
      </c>
      <c r="R8201" s="539">
        <v>955.0389998807251</v>
      </c>
      <c r="S8201" s="539">
        <v>959.21762285305294</v>
      </c>
      <c r="T8201" s="538">
        <v>15.97</v>
      </c>
      <c r="U8201" s="538">
        <v>240.21</v>
      </c>
      <c r="V8201" s="538">
        <v>120.11</v>
      </c>
    </row>
    <row r="8202" spans="1:22">
      <c r="A8202" s="499">
        <v>45779</v>
      </c>
      <c r="B8202" s="499">
        <v>45789</v>
      </c>
      <c r="C8202" s="500" t="s">
        <v>173</v>
      </c>
      <c r="D8202" s="500" t="s">
        <v>764</v>
      </c>
      <c r="E8202" s="501">
        <v>3180642857</v>
      </c>
      <c r="F8202" s="502" t="s">
        <v>878</v>
      </c>
      <c r="G8202" s="100">
        <v>116916132</v>
      </c>
      <c r="H8202" s="100">
        <v>116916132</v>
      </c>
      <c r="I8202" s="422" t="s">
        <v>686</v>
      </c>
      <c r="J8202" s="484"/>
      <c r="K8202" s="548"/>
      <c r="L8202" s="548"/>
      <c r="M8202" s="548"/>
      <c r="N8202" s="552">
        <v>3315872</v>
      </c>
      <c r="R8202" s="539">
        <v>955.03900000060321</v>
      </c>
      <c r="S8202" s="539">
        <v>959.21762269472401</v>
      </c>
      <c r="T8202" s="538">
        <v>15.97</v>
      </c>
      <c r="U8202" s="538">
        <v>47501.81</v>
      </c>
      <c r="V8202" s="538">
        <v>23750.9</v>
      </c>
    </row>
    <row r="8203" spans="1:22">
      <c r="A8203" s="499">
        <v>45779</v>
      </c>
      <c r="B8203" s="499">
        <v>45789</v>
      </c>
      <c r="C8203" s="500" t="s">
        <v>173</v>
      </c>
      <c r="D8203" s="500" t="s">
        <v>764</v>
      </c>
      <c r="E8203" s="501">
        <v>16084161.1</v>
      </c>
      <c r="F8203" s="502" t="s">
        <v>878</v>
      </c>
      <c r="G8203" s="100">
        <v>116916186</v>
      </c>
      <c r="H8203" s="100">
        <v>116916186</v>
      </c>
      <c r="I8203" s="422" t="s">
        <v>686</v>
      </c>
      <c r="J8203" s="484"/>
      <c r="K8203" s="548"/>
      <c r="L8203" s="548"/>
      <c r="M8203" s="548"/>
      <c r="N8203" s="552">
        <v>16768</v>
      </c>
      <c r="R8203" s="539">
        <v>955.0389998807251</v>
      </c>
      <c r="S8203" s="539">
        <v>959.21762285305294</v>
      </c>
      <c r="T8203" s="538">
        <v>15.97</v>
      </c>
      <c r="U8203" s="538">
        <v>240.21</v>
      </c>
      <c r="V8203" s="538">
        <v>120.11</v>
      </c>
    </row>
    <row r="8204" spans="1:22">
      <c r="A8204" s="499">
        <v>45779</v>
      </c>
      <c r="B8204" s="499">
        <v>45779</v>
      </c>
      <c r="C8204" s="500" t="s">
        <v>173</v>
      </c>
      <c r="D8204" s="500" t="s">
        <v>763</v>
      </c>
      <c r="E8204" s="501">
        <v>-5619901069.6000004</v>
      </c>
      <c r="F8204" s="502" t="s">
        <v>878</v>
      </c>
      <c r="G8204" s="100">
        <v>116916215</v>
      </c>
      <c r="H8204" s="530"/>
      <c r="I8204" s="422" t="s">
        <v>684</v>
      </c>
      <c r="J8204" s="484"/>
      <c r="K8204" s="548"/>
      <c r="L8204" s="548"/>
      <c r="M8204" s="548"/>
      <c r="N8204" s="552">
        <v>5294945</v>
      </c>
      <c r="R8204" s="539">
        <v>1061.3710000000001</v>
      </c>
      <c r="S8204" s="539">
        <v>1062.7275804394601</v>
      </c>
      <c r="T8204" s="538">
        <v>15.550700000000001</v>
      </c>
      <c r="U8204" s="538">
        <v>25289.55</v>
      </c>
      <c r="V8204" s="538">
        <v>12644.78</v>
      </c>
    </row>
    <row r="8205" spans="1:22">
      <c r="A8205" s="499">
        <v>45779</v>
      </c>
      <c r="B8205" s="499">
        <v>45779</v>
      </c>
      <c r="C8205" s="500" t="s">
        <v>173</v>
      </c>
      <c r="D8205" s="500" t="s">
        <v>763</v>
      </c>
      <c r="E8205" s="501">
        <f>+-28014617.68</f>
        <v>-28014617.68</v>
      </c>
      <c r="F8205" s="502" t="s">
        <v>878</v>
      </c>
      <c r="G8205" s="100">
        <v>116916673</v>
      </c>
      <c r="H8205" s="530"/>
      <c r="I8205" s="422" t="s">
        <v>635</v>
      </c>
      <c r="J8205" s="484"/>
      <c r="K8205" s="548"/>
      <c r="L8205" s="548"/>
      <c r="M8205" s="548"/>
      <c r="N8205" s="552">
        <v>49700</v>
      </c>
      <c r="R8205" s="539">
        <v>563.67439999999999</v>
      </c>
      <c r="S8205" s="539">
        <v>564.394822132797</v>
      </c>
      <c r="T8205" s="538">
        <v>15.55</v>
      </c>
      <c r="U8205" s="538">
        <v>126.07</v>
      </c>
      <c r="V8205" s="538">
        <v>63.03</v>
      </c>
    </row>
    <row r="8206" spans="1:22">
      <c r="A8206" s="499">
        <v>45779</v>
      </c>
      <c r="B8206" s="499">
        <v>45782</v>
      </c>
      <c r="C8206" s="500" t="s">
        <v>173</v>
      </c>
      <c r="D8206" s="500" t="s">
        <v>763</v>
      </c>
      <c r="E8206" s="501">
        <v>5627084088.4099998</v>
      </c>
      <c r="F8206" s="502" t="s">
        <v>878</v>
      </c>
      <c r="G8206" s="100">
        <v>116916215</v>
      </c>
      <c r="H8206" s="100">
        <v>116916215</v>
      </c>
      <c r="I8206" s="422" t="s">
        <v>684</v>
      </c>
      <c r="J8206" s="484"/>
      <c r="K8206" s="548"/>
      <c r="L8206" s="548"/>
      <c r="M8206" s="548"/>
      <c r="N8206" s="552">
        <v>5294945</v>
      </c>
      <c r="R8206" s="539">
        <v>1061.3710000000001</v>
      </c>
      <c r="S8206" s="539">
        <v>1062.7275804394601</v>
      </c>
      <c r="T8206" s="538">
        <v>15.550700000000001</v>
      </c>
      <c r="U8206" s="538">
        <v>25289.55</v>
      </c>
      <c r="V8206" s="538">
        <v>12644.78</v>
      </c>
    </row>
    <row r="8207" spans="1:22">
      <c r="A8207" s="499">
        <v>45779</v>
      </c>
      <c r="B8207" s="499">
        <v>45782</v>
      </c>
      <c r="C8207" s="500" t="s">
        <v>173</v>
      </c>
      <c r="D8207" s="500" t="s">
        <v>763</v>
      </c>
      <c r="E8207" s="501">
        <v>28050422.66</v>
      </c>
      <c r="F8207" s="502" t="s">
        <v>878</v>
      </c>
      <c r="G8207" s="100">
        <v>116916673</v>
      </c>
      <c r="H8207" s="100">
        <v>116916673</v>
      </c>
      <c r="I8207" s="422" t="s">
        <v>635</v>
      </c>
      <c r="J8207" s="484"/>
      <c r="K8207" s="548"/>
      <c r="L8207" s="548"/>
      <c r="M8207" s="548"/>
      <c r="N8207" s="552">
        <v>49700</v>
      </c>
      <c r="R8207" s="539">
        <v>563.67439999999999</v>
      </c>
      <c r="S8207" s="539">
        <v>564.394822132797</v>
      </c>
      <c r="T8207" s="538">
        <v>15.55</v>
      </c>
      <c r="U8207" s="538">
        <v>126.07</v>
      </c>
      <c r="V8207" s="538">
        <v>63.03</v>
      </c>
    </row>
    <row r="8208" spans="1:22">
      <c r="A8208" s="499">
        <v>45782</v>
      </c>
      <c r="B8208" s="499">
        <v>45782</v>
      </c>
      <c r="C8208" s="500" t="s">
        <v>173</v>
      </c>
      <c r="D8208" s="500" t="s">
        <v>762</v>
      </c>
      <c r="E8208" s="501">
        <v>-674449504.08000004</v>
      </c>
      <c r="F8208" s="502" t="s">
        <v>878</v>
      </c>
      <c r="G8208" s="100">
        <v>116935612</v>
      </c>
      <c r="H8208" s="530"/>
      <c r="I8208" s="422" t="s">
        <v>604</v>
      </c>
      <c r="J8208" s="484"/>
      <c r="K8208" s="548"/>
      <c r="L8208" s="548"/>
      <c r="M8208" s="548"/>
      <c r="N8208" s="552">
        <v>687480</v>
      </c>
      <c r="R8208" s="558">
        <v>981.04600000000005</v>
      </c>
      <c r="S8208" s="558">
        <v>981.47094074009397</v>
      </c>
      <c r="T8208" s="538">
        <v>15.81</v>
      </c>
      <c r="U8208" s="538">
        <v>1011.67</v>
      </c>
      <c r="V8208" s="538">
        <v>505.84</v>
      </c>
    </row>
    <row r="8209" spans="1:22">
      <c r="A8209" s="499">
        <v>45782</v>
      </c>
      <c r="B8209" s="499">
        <v>45782</v>
      </c>
      <c r="C8209" s="500" t="s">
        <v>173</v>
      </c>
      <c r="D8209" s="500" t="s">
        <v>762</v>
      </c>
      <c r="E8209" s="501">
        <v>-536486876.67000002</v>
      </c>
      <c r="F8209" s="502" t="s">
        <v>878</v>
      </c>
      <c r="G8209" s="100">
        <v>116935615</v>
      </c>
      <c r="H8209" s="530"/>
      <c r="I8209" s="422" t="s">
        <v>658</v>
      </c>
      <c r="J8209" s="484"/>
      <c r="K8209" s="548"/>
      <c r="L8209" s="548"/>
      <c r="M8209" s="548"/>
      <c r="N8209" s="552">
        <v>499552</v>
      </c>
      <c r="R8209" s="558">
        <v>1073.9359999999999</v>
      </c>
      <c r="S8209" s="558">
        <v>1074.4011761137999</v>
      </c>
      <c r="T8209" s="538">
        <v>15.81</v>
      </c>
      <c r="U8209" s="538">
        <v>804.73</v>
      </c>
      <c r="V8209" s="538">
        <v>402.37</v>
      </c>
    </row>
    <row r="8210" spans="1:22">
      <c r="A8210" s="499">
        <v>45782</v>
      </c>
      <c r="B8210" s="499">
        <v>45782</v>
      </c>
      <c r="C8210" s="500" t="s">
        <v>173</v>
      </c>
      <c r="D8210" s="500" t="s">
        <v>762</v>
      </c>
      <c r="E8210" s="501">
        <v>-273154021.69</v>
      </c>
      <c r="F8210" s="502" t="s">
        <v>878</v>
      </c>
      <c r="G8210" s="100">
        <v>116935618</v>
      </c>
      <c r="H8210" s="530"/>
      <c r="I8210" s="422" t="s">
        <v>692</v>
      </c>
      <c r="J8210" s="484"/>
      <c r="K8210" s="548"/>
      <c r="L8210" s="548"/>
      <c r="M8210" s="548"/>
      <c r="N8210" s="552">
        <v>322686</v>
      </c>
      <c r="R8210" s="558">
        <v>846.50099999999998</v>
      </c>
      <c r="S8210" s="558">
        <v>846.86766249542904</v>
      </c>
      <c r="T8210" s="538">
        <v>15.81</v>
      </c>
      <c r="U8210" s="538">
        <v>409.73</v>
      </c>
      <c r="V8210" s="538">
        <v>204.87</v>
      </c>
    </row>
    <row r="8211" spans="1:22">
      <c r="A8211" s="499">
        <v>45782</v>
      </c>
      <c r="B8211" s="499">
        <v>45782</v>
      </c>
      <c r="C8211" s="500" t="s">
        <v>173</v>
      </c>
      <c r="D8211" s="500" t="s">
        <v>762</v>
      </c>
      <c r="E8211" s="501">
        <v>-187002850.44</v>
      </c>
      <c r="F8211" s="502" t="s">
        <v>878</v>
      </c>
      <c r="G8211" s="100">
        <v>116935621</v>
      </c>
      <c r="H8211" s="530"/>
      <c r="I8211" s="422" t="s">
        <v>690</v>
      </c>
      <c r="J8211" s="484"/>
      <c r="K8211" s="548"/>
      <c r="L8211" s="548"/>
      <c r="M8211" s="548"/>
      <c r="N8211" s="552">
        <v>207383</v>
      </c>
      <c r="R8211" s="558">
        <v>901.72699999999998</v>
      </c>
      <c r="S8211" s="558">
        <v>902.11758364957598</v>
      </c>
      <c r="T8211" s="538">
        <v>15.81</v>
      </c>
      <c r="U8211" s="538">
        <v>280.5</v>
      </c>
      <c r="V8211" s="538">
        <v>140.25</v>
      </c>
    </row>
    <row r="8212" spans="1:22">
      <c r="A8212" s="499">
        <v>45782</v>
      </c>
      <c r="B8212" s="499">
        <v>45782</v>
      </c>
      <c r="C8212" s="500" t="s">
        <v>173</v>
      </c>
      <c r="D8212" s="500" t="s">
        <v>762</v>
      </c>
      <c r="E8212" s="501">
        <v>-131075607.95999999</v>
      </c>
      <c r="F8212" s="502" t="s">
        <v>878</v>
      </c>
      <c r="G8212" s="100">
        <v>116935624</v>
      </c>
      <c r="H8212" s="530"/>
      <c r="I8212" s="422" t="s">
        <v>598</v>
      </c>
      <c r="J8212" s="484"/>
      <c r="K8212" s="548"/>
      <c r="L8212" s="548"/>
      <c r="M8212" s="548"/>
      <c r="N8212" s="552">
        <v>131262</v>
      </c>
      <c r="R8212" s="558">
        <v>998.58</v>
      </c>
      <c r="S8212" s="558">
        <v>999.01253561579097</v>
      </c>
      <c r="T8212" s="538">
        <v>15.81</v>
      </c>
      <c r="U8212" s="538">
        <v>196.61</v>
      </c>
      <c r="V8212" s="538">
        <v>98.31</v>
      </c>
    </row>
    <row r="8213" spans="1:22">
      <c r="A8213" s="499">
        <v>45782</v>
      </c>
      <c r="B8213" s="499">
        <v>45782</v>
      </c>
      <c r="C8213" s="500" t="s">
        <v>173</v>
      </c>
      <c r="D8213" s="500" t="s">
        <v>762</v>
      </c>
      <c r="E8213" s="501">
        <v>-95068352.5</v>
      </c>
      <c r="F8213" s="502" t="s">
        <v>878</v>
      </c>
      <c r="G8213" s="100">
        <v>116935627</v>
      </c>
      <c r="H8213" s="530"/>
      <c r="I8213" s="422" t="s">
        <v>715</v>
      </c>
      <c r="J8213" s="484"/>
      <c r="K8213" s="548"/>
      <c r="L8213" s="548"/>
      <c r="M8213" s="548"/>
      <c r="N8213" s="552">
        <v>125875</v>
      </c>
      <c r="R8213" s="558">
        <v>755.26</v>
      </c>
      <c r="S8213" s="558">
        <v>755.58714137040704</v>
      </c>
      <c r="T8213" s="538">
        <v>15.81</v>
      </c>
      <c r="U8213" s="538">
        <v>142.6</v>
      </c>
      <c r="V8213" s="538">
        <v>71.3</v>
      </c>
    </row>
    <row r="8214" spans="1:22">
      <c r="A8214" s="499">
        <v>45782</v>
      </c>
      <c r="B8214" s="499">
        <v>45782</v>
      </c>
      <c r="C8214" s="500" t="s">
        <v>173</v>
      </c>
      <c r="D8214" s="500" t="s">
        <v>762</v>
      </c>
      <c r="E8214" s="501">
        <v>-42029304.909999996</v>
      </c>
      <c r="F8214" s="502" t="s">
        <v>878</v>
      </c>
      <c r="G8214" s="100">
        <v>116935630</v>
      </c>
      <c r="H8214" s="530"/>
      <c r="I8214" s="422" t="s">
        <v>693</v>
      </c>
      <c r="J8214" s="484"/>
      <c r="K8214" s="548"/>
      <c r="L8214" s="548"/>
      <c r="M8214" s="548"/>
      <c r="N8214" s="552">
        <v>51366</v>
      </c>
      <c r="R8214" s="558">
        <v>818.23199999999997</v>
      </c>
      <c r="S8214" s="558">
        <v>818.58641766927497</v>
      </c>
      <c r="T8214" s="538">
        <v>15.81</v>
      </c>
      <c r="U8214" s="538">
        <v>63.04</v>
      </c>
      <c r="V8214" s="538">
        <v>31.52</v>
      </c>
    </row>
    <row r="8215" spans="1:22">
      <c r="A8215" s="499">
        <v>45782</v>
      </c>
      <c r="B8215" s="499">
        <v>45782</v>
      </c>
      <c r="C8215" s="500" t="s">
        <v>173</v>
      </c>
      <c r="D8215" s="500" t="s">
        <v>762</v>
      </c>
      <c r="E8215" s="501">
        <v>-36018834.729999997</v>
      </c>
      <c r="F8215" s="502" t="s">
        <v>878</v>
      </c>
      <c r="G8215" s="100">
        <v>116935633</v>
      </c>
      <c r="H8215" s="530"/>
      <c r="I8215" s="422" t="s">
        <v>590</v>
      </c>
      <c r="J8215" s="484"/>
      <c r="K8215" s="548"/>
      <c r="L8215" s="548"/>
      <c r="M8215" s="548"/>
      <c r="N8215" s="552">
        <v>40644</v>
      </c>
      <c r="R8215" s="558">
        <v>886.20299999999997</v>
      </c>
      <c r="S8215" s="558">
        <v>886.58685931502805</v>
      </c>
      <c r="T8215" s="538">
        <v>15.81</v>
      </c>
      <c r="U8215" s="538">
        <v>54.03</v>
      </c>
      <c r="V8215" s="538">
        <v>27.01</v>
      </c>
    </row>
    <row r="8216" spans="1:22">
      <c r="A8216" s="499">
        <v>45782</v>
      </c>
      <c r="B8216" s="499">
        <v>45782</v>
      </c>
      <c r="C8216" s="500" t="s">
        <v>173</v>
      </c>
      <c r="D8216" s="500" t="s">
        <v>762</v>
      </c>
      <c r="E8216" s="501">
        <v>-29023725.920000002</v>
      </c>
      <c r="F8216" s="502" t="s">
        <v>878</v>
      </c>
      <c r="G8216" s="100">
        <v>116935636</v>
      </c>
      <c r="H8216" s="530"/>
      <c r="I8216" s="422" t="s">
        <v>821</v>
      </c>
      <c r="J8216" s="484"/>
      <c r="K8216" s="548"/>
      <c r="L8216" s="548"/>
      <c r="M8216" s="548"/>
      <c r="N8216" s="552">
        <v>27579</v>
      </c>
      <c r="R8216" s="558">
        <v>1052.385</v>
      </c>
      <c r="S8216" s="558">
        <v>1052.8408415823601</v>
      </c>
      <c r="T8216" s="538">
        <v>15.81</v>
      </c>
      <c r="U8216" s="538">
        <v>43.54</v>
      </c>
      <c r="V8216" s="538">
        <v>21.77</v>
      </c>
    </row>
    <row r="8217" spans="1:22">
      <c r="A8217" s="499">
        <v>45782</v>
      </c>
      <c r="B8217" s="499">
        <v>45782</v>
      </c>
      <c r="C8217" s="500" t="s">
        <v>173</v>
      </c>
      <c r="D8217" s="500" t="s">
        <v>762</v>
      </c>
      <c r="E8217" s="501">
        <v>-29013808.359999999</v>
      </c>
      <c r="F8217" s="502" t="s">
        <v>878</v>
      </c>
      <c r="G8217" s="100">
        <v>116935639</v>
      </c>
      <c r="H8217" s="530"/>
      <c r="I8217" s="422" t="s">
        <v>550</v>
      </c>
      <c r="J8217" s="484"/>
      <c r="K8217" s="548"/>
      <c r="L8217" s="548"/>
      <c r="M8217" s="548"/>
      <c r="N8217" s="552">
        <v>55738</v>
      </c>
      <c r="R8217" s="558">
        <v>520.53909999999996</v>
      </c>
      <c r="S8217" s="558">
        <v>520.76457192579596</v>
      </c>
      <c r="T8217" s="538">
        <v>15.81</v>
      </c>
      <c r="U8217" s="538">
        <v>43.52</v>
      </c>
      <c r="V8217" s="538">
        <v>21.76</v>
      </c>
    </row>
    <row r="8218" spans="1:22">
      <c r="A8218" s="499">
        <v>45782</v>
      </c>
      <c r="B8218" s="499">
        <v>45782</v>
      </c>
      <c r="C8218" s="500" t="s">
        <v>173</v>
      </c>
      <c r="D8218" s="500" t="s">
        <v>762</v>
      </c>
      <c r="E8218" s="501">
        <v>-25011103.949999999</v>
      </c>
      <c r="F8218" s="502" t="s">
        <v>878</v>
      </c>
      <c r="G8218" s="100">
        <v>116935642</v>
      </c>
      <c r="H8218" s="530"/>
      <c r="I8218" s="422" t="s">
        <v>588</v>
      </c>
      <c r="J8218" s="484"/>
      <c r="K8218" s="548"/>
      <c r="L8218" s="548"/>
      <c r="M8218" s="548"/>
      <c r="N8218" s="552">
        <v>26425</v>
      </c>
      <c r="R8218" s="558">
        <v>946.49400000000003</v>
      </c>
      <c r="S8218" s="558">
        <v>946.90397464522198</v>
      </c>
      <c r="T8218" s="538">
        <v>15.81</v>
      </c>
      <c r="U8218" s="538">
        <v>39.32</v>
      </c>
      <c r="V8218" s="538">
        <v>18.760000000000002</v>
      </c>
    </row>
    <row r="8219" spans="1:22">
      <c r="A8219" s="499">
        <v>45782</v>
      </c>
      <c r="B8219" s="499">
        <v>45782</v>
      </c>
      <c r="C8219" s="500" t="s">
        <v>173</v>
      </c>
      <c r="D8219" s="500" t="s">
        <v>762</v>
      </c>
      <c r="E8219" s="501">
        <v>-25017987.5</v>
      </c>
      <c r="F8219" s="502" t="s">
        <v>878</v>
      </c>
      <c r="G8219" s="100">
        <v>116935645</v>
      </c>
      <c r="H8219" s="530"/>
      <c r="I8219" s="422" t="s">
        <v>715</v>
      </c>
      <c r="J8219" s="484"/>
      <c r="K8219" s="548"/>
      <c r="L8219" s="548"/>
      <c r="M8219" s="548"/>
      <c r="N8219" s="552">
        <v>33125</v>
      </c>
      <c r="R8219" s="558">
        <v>755.26</v>
      </c>
      <c r="S8219" s="558">
        <v>755.58714143396196</v>
      </c>
      <c r="T8219" s="538">
        <v>15.81</v>
      </c>
      <c r="U8219" s="538">
        <v>39.32</v>
      </c>
      <c r="V8219" s="538">
        <v>18.760000000000002</v>
      </c>
    </row>
    <row r="8220" spans="1:22">
      <c r="A8220" s="499">
        <v>45782</v>
      </c>
      <c r="B8220" s="499">
        <v>45782</v>
      </c>
      <c r="C8220" s="500" t="s">
        <v>173</v>
      </c>
      <c r="D8220" s="500" t="s">
        <v>762</v>
      </c>
      <c r="E8220" s="501">
        <v>-25017987.5</v>
      </c>
      <c r="F8220" s="502" t="s">
        <v>878</v>
      </c>
      <c r="G8220" s="100">
        <v>116935648</v>
      </c>
      <c r="H8220" s="530"/>
      <c r="I8220" s="422" t="s">
        <v>715</v>
      </c>
      <c r="J8220" s="484"/>
      <c r="K8220" s="548"/>
      <c r="L8220" s="548"/>
      <c r="M8220" s="548"/>
      <c r="N8220" s="552">
        <v>33125</v>
      </c>
      <c r="R8220" s="558">
        <v>755.26</v>
      </c>
      <c r="S8220" s="558">
        <v>755.58714143396196</v>
      </c>
      <c r="T8220" s="538">
        <v>15.81</v>
      </c>
      <c r="U8220" s="538">
        <v>39.32</v>
      </c>
      <c r="V8220" s="538">
        <v>18.760000000000002</v>
      </c>
    </row>
    <row r="8221" spans="1:22">
      <c r="A8221" s="499">
        <v>45782</v>
      </c>
      <c r="B8221" s="499">
        <v>45782</v>
      </c>
      <c r="C8221" s="500" t="s">
        <v>173</v>
      </c>
      <c r="D8221" s="500" t="s">
        <v>762</v>
      </c>
      <c r="E8221" s="501">
        <v>-18008570.699999999</v>
      </c>
      <c r="F8221" s="502" t="s">
        <v>878</v>
      </c>
      <c r="G8221" s="100">
        <v>116935651</v>
      </c>
      <c r="H8221" s="530"/>
      <c r="I8221" s="422" t="s">
        <v>550</v>
      </c>
      <c r="J8221" s="484"/>
      <c r="K8221" s="548"/>
      <c r="L8221" s="548"/>
      <c r="M8221" s="548"/>
      <c r="N8221" s="552">
        <v>34596</v>
      </c>
      <c r="R8221" s="558">
        <v>520.53909999999996</v>
      </c>
      <c r="S8221" s="558">
        <v>520.76457162677798</v>
      </c>
      <c r="T8221" s="538">
        <v>15.81</v>
      </c>
      <c r="U8221" s="538">
        <v>39.32</v>
      </c>
      <c r="V8221" s="538">
        <v>13.51</v>
      </c>
    </row>
    <row r="8222" spans="1:22">
      <c r="A8222" s="499">
        <v>45782</v>
      </c>
      <c r="B8222" s="499">
        <v>45782</v>
      </c>
      <c r="C8222" s="500" t="s">
        <v>173</v>
      </c>
      <c r="D8222" s="500" t="s">
        <v>762</v>
      </c>
      <c r="E8222" s="501">
        <v>-9008175.1699999999</v>
      </c>
      <c r="F8222" s="502" t="s">
        <v>878</v>
      </c>
      <c r="G8222" s="100">
        <v>116935654</v>
      </c>
      <c r="H8222" s="530"/>
      <c r="I8222" s="422" t="s">
        <v>658</v>
      </c>
      <c r="J8222" s="484"/>
      <c r="K8222" s="548"/>
      <c r="L8222" s="548"/>
      <c r="M8222" s="548"/>
      <c r="N8222" s="552">
        <v>8388</v>
      </c>
      <c r="R8222" s="558">
        <v>1073.9359999999999</v>
      </c>
      <c r="S8222" s="558">
        <v>1074.4011766809699</v>
      </c>
      <c r="T8222" s="538">
        <v>15.81</v>
      </c>
      <c r="U8222" s="538">
        <v>39.32</v>
      </c>
      <c r="V8222" s="538">
        <v>6.76</v>
      </c>
    </row>
    <row r="8223" spans="1:22">
      <c r="A8223" s="499">
        <v>45782</v>
      </c>
      <c r="B8223" s="499">
        <v>45782</v>
      </c>
      <c r="C8223" s="500" t="s">
        <v>173</v>
      </c>
      <c r="D8223" s="500" t="s">
        <v>762</v>
      </c>
      <c r="E8223" s="501">
        <v>-4002443.87</v>
      </c>
      <c r="F8223" s="502" t="s">
        <v>878</v>
      </c>
      <c r="G8223" s="100">
        <v>116935657</v>
      </c>
      <c r="H8223" s="530"/>
      <c r="I8223" s="422" t="s">
        <v>673</v>
      </c>
      <c r="J8223" s="484"/>
      <c r="K8223" s="548"/>
      <c r="L8223" s="548"/>
      <c r="M8223" s="548"/>
      <c r="N8223" s="552">
        <v>4492</v>
      </c>
      <c r="R8223" s="558">
        <v>891.01599999999996</v>
      </c>
      <c r="S8223" s="558">
        <v>891.40194345503096</v>
      </c>
      <c r="T8223" s="538">
        <v>15.81</v>
      </c>
      <c r="U8223" s="538">
        <v>39.32</v>
      </c>
      <c r="V8223" s="538">
        <v>3</v>
      </c>
    </row>
    <row r="8224" spans="1:22">
      <c r="A8224" s="499">
        <v>45782</v>
      </c>
      <c r="B8224" s="499">
        <v>45782</v>
      </c>
      <c r="C8224" s="500" t="s">
        <v>173</v>
      </c>
      <c r="D8224" s="500" t="s">
        <v>762</v>
      </c>
      <c r="E8224" s="501">
        <v>-18002229.280000001</v>
      </c>
      <c r="F8224" s="502" t="s">
        <v>878</v>
      </c>
      <c r="G8224" s="100">
        <v>116935660</v>
      </c>
      <c r="H8224" s="530"/>
      <c r="I8224" s="422" t="s">
        <v>833</v>
      </c>
      <c r="J8224" s="484"/>
      <c r="K8224" s="548"/>
      <c r="L8224" s="548"/>
      <c r="M8224" s="548"/>
      <c r="N8224" s="552">
        <v>31482</v>
      </c>
      <c r="R8224" s="558">
        <v>571.8261</v>
      </c>
      <c r="S8224" s="558">
        <v>572.07378692586201</v>
      </c>
      <c r="T8224" s="538">
        <v>15.81</v>
      </c>
      <c r="U8224" s="538">
        <v>39.32</v>
      </c>
      <c r="V8224" s="538">
        <v>13.5</v>
      </c>
    </row>
    <row r="8225" spans="1:22">
      <c r="A8225" s="499">
        <v>45782</v>
      </c>
      <c r="B8225" s="499">
        <v>45782</v>
      </c>
      <c r="C8225" s="500" t="s">
        <v>173</v>
      </c>
      <c r="D8225" s="500" t="s">
        <v>762</v>
      </c>
      <c r="E8225" s="501">
        <v>-113013994.93000001</v>
      </c>
      <c r="F8225" s="502" t="s">
        <v>878</v>
      </c>
      <c r="G8225" s="100">
        <v>116935663</v>
      </c>
      <c r="H8225" s="530"/>
      <c r="I8225" s="422" t="s">
        <v>833</v>
      </c>
      <c r="J8225" s="484"/>
      <c r="K8225" s="548"/>
      <c r="L8225" s="548"/>
      <c r="M8225" s="548"/>
      <c r="N8225" s="552">
        <v>197637</v>
      </c>
      <c r="R8225" s="558">
        <v>571.8261</v>
      </c>
      <c r="S8225" s="558">
        <v>572.07378689213101</v>
      </c>
      <c r="T8225" s="538">
        <v>15.81</v>
      </c>
      <c r="U8225" s="538">
        <v>169.52</v>
      </c>
      <c r="V8225" s="538">
        <v>84.76</v>
      </c>
    </row>
    <row r="8226" spans="1:22">
      <c r="A8226" s="499">
        <v>45782</v>
      </c>
      <c r="B8226" s="499">
        <v>45782</v>
      </c>
      <c r="C8226" s="500" t="s">
        <v>173</v>
      </c>
      <c r="D8226" s="500" t="s">
        <v>762</v>
      </c>
      <c r="E8226" s="501">
        <v>-180022292.80000001</v>
      </c>
      <c r="F8226" s="502" t="s">
        <v>878</v>
      </c>
      <c r="G8226" s="100">
        <v>116935666</v>
      </c>
      <c r="H8226" s="530"/>
      <c r="I8226" s="422" t="s">
        <v>833</v>
      </c>
      <c r="J8226" s="484"/>
      <c r="K8226" s="548"/>
      <c r="L8226" s="548"/>
      <c r="M8226" s="548"/>
      <c r="N8226" s="552">
        <v>314820</v>
      </c>
      <c r="R8226" s="558">
        <v>571.8261</v>
      </c>
      <c r="S8226" s="558">
        <v>572.07378686233403</v>
      </c>
      <c r="T8226" s="538">
        <v>15.81</v>
      </c>
      <c r="U8226" s="538">
        <v>270.02999999999997</v>
      </c>
      <c r="V8226" s="538">
        <v>135.02000000000001</v>
      </c>
    </row>
    <row r="8227" spans="1:22">
      <c r="A8227" s="499">
        <v>45782</v>
      </c>
      <c r="B8227" s="499">
        <v>45782</v>
      </c>
      <c r="C8227" s="500" t="s">
        <v>173</v>
      </c>
      <c r="D8227" s="500" t="s">
        <v>762</v>
      </c>
      <c r="E8227" s="501">
        <v>-96087201.790000007</v>
      </c>
      <c r="F8227" s="502" t="s">
        <v>878</v>
      </c>
      <c r="G8227" s="100">
        <v>116935669</v>
      </c>
      <c r="H8227" s="530"/>
      <c r="I8227" s="422" t="s">
        <v>658</v>
      </c>
      <c r="J8227" s="484"/>
      <c r="K8227" s="548"/>
      <c r="L8227" s="548"/>
      <c r="M8227" s="548"/>
      <c r="N8227" s="552">
        <v>89472</v>
      </c>
      <c r="R8227" s="558">
        <v>1073.9359999999999</v>
      </c>
      <c r="S8227" s="558">
        <v>1074.40117612214</v>
      </c>
      <c r="T8227" s="538">
        <v>15.81</v>
      </c>
      <c r="U8227" s="538">
        <v>144.13</v>
      </c>
      <c r="V8227" s="538">
        <v>72.069999999999993</v>
      </c>
    </row>
    <row r="8228" spans="1:22">
      <c r="A8228" s="499">
        <v>45782</v>
      </c>
      <c r="B8228" s="499">
        <v>45782</v>
      </c>
      <c r="C8228" s="500" t="s">
        <v>173</v>
      </c>
      <c r="D8228" s="500" t="s">
        <v>762</v>
      </c>
      <c r="E8228" s="501">
        <v>-15007583.09</v>
      </c>
      <c r="F8228" s="502" t="s">
        <v>878</v>
      </c>
      <c r="G8228" s="100">
        <v>116935672</v>
      </c>
      <c r="H8228" s="530"/>
      <c r="I8228" s="422" t="s">
        <v>656</v>
      </c>
      <c r="J8228" s="484"/>
      <c r="K8228" s="548"/>
      <c r="L8228" s="548"/>
      <c r="M8228" s="548"/>
      <c r="N8228" s="552">
        <v>15045</v>
      </c>
      <c r="R8228" s="558">
        <v>997.51300000000003</v>
      </c>
      <c r="S8228" s="558">
        <v>997.94507344632802</v>
      </c>
      <c r="T8228" s="538">
        <v>15.81</v>
      </c>
      <c r="U8228" s="538">
        <v>39.32</v>
      </c>
      <c r="V8228" s="538">
        <v>11.26</v>
      </c>
    </row>
    <row r="8229" spans="1:22">
      <c r="A8229" s="499">
        <v>45782</v>
      </c>
      <c r="B8229" s="499">
        <v>45782</v>
      </c>
      <c r="C8229" s="500" t="s">
        <v>173</v>
      </c>
      <c r="D8229" s="500" t="s">
        <v>762</v>
      </c>
      <c r="E8229" s="501">
        <v>-29014660.629999999</v>
      </c>
      <c r="F8229" s="502" t="s">
        <v>878</v>
      </c>
      <c r="G8229" s="100">
        <v>116935675</v>
      </c>
      <c r="H8229" s="530"/>
      <c r="I8229" s="422" t="s">
        <v>656</v>
      </c>
      <c r="J8229" s="484"/>
      <c r="K8229" s="548"/>
      <c r="L8229" s="548"/>
      <c r="M8229" s="548"/>
      <c r="N8229" s="552">
        <v>29087</v>
      </c>
      <c r="R8229" s="558">
        <v>997.51300000000003</v>
      </c>
      <c r="S8229" s="558">
        <v>997.94507340048801</v>
      </c>
      <c r="T8229" s="538">
        <v>15.81</v>
      </c>
      <c r="U8229" s="538">
        <v>43.52</v>
      </c>
      <c r="V8229" s="538">
        <v>21.76</v>
      </c>
    </row>
    <row r="8230" spans="1:22">
      <c r="A8230" s="499">
        <v>45782</v>
      </c>
      <c r="B8230" s="499">
        <v>45782</v>
      </c>
      <c r="C8230" s="500" t="s">
        <v>173</v>
      </c>
      <c r="D8230" s="500" t="s">
        <v>762</v>
      </c>
      <c r="E8230" s="501">
        <v>-91047610.019999996</v>
      </c>
      <c r="F8230" s="502" t="s">
        <v>878</v>
      </c>
      <c r="G8230" s="100">
        <v>116935678</v>
      </c>
      <c r="H8230" s="530"/>
      <c r="I8230" s="422" t="s">
        <v>590</v>
      </c>
      <c r="J8230" s="484"/>
      <c r="K8230" s="548"/>
      <c r="L8230" s="548"/>
      <c r="M8230" s="548"/>
      <c r="N8230" s="552">
        <v>102739</v>
      </c>
      <c r="R8230" s="558">
        <v>886.20299999999997</v>
      </c>
      <c r="S8230" s="558">
        <v>886.58685942047305</v>
      </c>
      <c r="T8230" s="538">
        <v>15.81</v>
      </c>
      <c r="U8230" s="538">
        <v>136.57</v>
      </c>
      <c r="V8230" s="538">
        <v>68.290000000000006</v>
      </c>
    </row>
    <row r="8231" spans="1:22">
      <c r="A8231" s="499">
        <v>45782</v>
      </c>
      <c r="B8231" s="499">
        <v>45782</v>
      </c>
      <c r="C8231" s="500" t="s">
        <v>173</v>
      </c>
      <c r="D8231" s="500" t="s">
        <v>762</v>
      </c>
      <c r="E8231" s="501">
        <v>-25013079.68</v>
      </c>
      <c r="F8231" s="502" t="s">
        <v>878</v>
      </c>
      <c r="G8231" s="100">
        <v>116935681</v>
      </c>
      <c r="H8231" s="530"/>
      <c r="I8231" s="422" t="s">
        <v>590</v>
      </c>
      <c r="J8231" s="484"/>
      <c r="K8231" s="548"/>
      <c r="L8231" s="548"/>
      <c r="M8231" s="548"/>
      <c r="N8231" s="552">
        <v>28225</v>
      </c>
      <c r="R8231" s="558">
        <v>886.20299999999997</v>
      </c>
      <c r="S8231" s="558">
        <v>886.58685952170094</v>
      </c>
      <c r="T8231" s="538">
        <v>15.81</v>
      </c>
      <c r="U8231" s="538">
        <v>39.32</v>
      </c>
      <c r="V8231" s="538">
        <v>18.760000000000002</v>
      </c>
    </row>
    <row r="8232" spans="1:22">
      <c r="A8232" s="499">
        <v>45782</v>
      </c>
      <c r="B8232" s="499">
        <v>45782</v>
      </c>
      <c r="C8232" s="500" t="s">
        <v>173</v>
      </c>
      <c r="D8232" s="500" t="s">
        <v>762</v>
      </c>
      <c r="E8232" s="501">
        <v>-135019351.16999999</v>
      </c>
      <c r="F8232" s="502" t="s">
        <v>878</v>
      </c>
      <c r="G8232" s="100">
        <v>116935684</v>
      </c>
      <c r="H8232" s="530"/>
      <c r="I8232" s="422" t="s">
        <v>687</v>
      </c>
      <c r="J8232" s="484"/>
      <c r="K8232" s="548"/>
      <c r="L8232" s="548"/>
      <c r="M8232" s="548"/>
      <c r="N8232" s="552">
        <v>159165</v>
      </c>
      <c r="R8232" s="558">
        <v>848.298</v>
      </c>
      <c r="S8232" s="558">
        <v>848.66544083184101</v>
      </c>
      <c r="T8232" s="538">
        <v>15.81</v>
      </c>
      <c r="U8232" s="538">
        <v>202.53</v>
      </c>
      <c r="V8232" s="538">
        <v>101.26</v>
      </c>
    </row>
    <row r="8233" spans="1:22">
      <c r="A8233" s="499">
        <v>45782</v>
      </c>
      <c r="B8233" s="499">
        <v>45782</v>
      </c>
      <c r="C8233" s="500" t="s">
        <v>173</v>
      </c>
      <c r="D8233" s="500" t="s">
        <v>762</v>
      </c>
      <c r="E8233" s="501">
        <v>-31002046.260000002</v>
      </c>
      <c r="F8233" s="502" t="s">
        <v>878</v>
      </c>
      <c r="G8233" s="100">
        <v>116935687</v>
      </c>
      <c r="H8233" s="530"/>
      <c r="I8233" s="422" t="s">
        <v>1013</v>
      </c>
      <c r="J8233" s="484"/>
      <c r="K8233" s="548"/>
      <c r="L8233" s="548"/>
      <c r="M8233" s="548"/>
      <c r="N8233" s="552">
        <v>62372</v>
      </c>
      <c r="R8233" s="558">
        <v>497.05070000000001</v>
      </c>
      <c r="S8233" s="558">
        <v>497.26599788366599</v>
      </c>
      <c r="T8233" s="538">
        <v>15.81</v>
      </c>
      <c r="U8233" s="538">
        <v>46.5</v>
      </c>
      <c r="V8233" s="538">
        <v>23.25</v>
      </c>
    </row>
    <row r="8234" spans="1:22">
      <c r="A8234" s="499">
        <v>45782</v>
      </c>
      <c r="B8234" s="499">
        <v>45782</v>
      </c>
      <c r="C8234" s="500" t="s">
        <v>173</v>
      </c>
      <c r="D8234" s="500" t="s">
        <v>762</v>
      </c>
      <c r="E8234" s="501">
        <v>-27006399.350000001</v>
      </c>
      <c r="F8234" s="502" t="s">
        <v>878</v>
      </c>
      <c r="G8234" s="100">
        <v>116935690</v>
      </c>
      <c r="H8234" s="530"/>
      <c r="I8234" s="422" t="s">
        <v>633</v>
      </c>
      <c r="J8234" s="484"/>
      <c r="K8234" s="548"/>
      <c r="L8234" s="548"/>
      <c r="M8234" s="548"/>
      <c r="N8234" s="552">
        <v>51570</v>
      </c>
      <c r="R8234" s="558">
        <v>523.68430000000001</v>
      </c>
      <c r="S8234" s="558">
        <v>523.91113418654299</v>
      </c>
      <c r="T8234" s="538">
        <v>15.81</v>
      </c>
      <c r="U8234" s="538">
        <v>40.51</v>
      </c>
      <c r="V8234" s="538">
        <v>20.25</v>
      </c>
    </row>
    <row r="8235" spans="1:22">
      <c r="A8235" s="499">
        <v>45782</v>
      </c>
      <c r="B8235" s="499">
        <v>45782</v>
      </c>
      <c r="C8235" s="500" t="s">
        <v>173</v>
      </c>
      <c r="D8235" s="500" t="s">
        <v>762</v>
      </c>
      <c r="E8235" s="501">
        <v>-1103000966.8900001</v>
      </c>
      <c r="F8235" s="502" t="s">
        <v>878</v>
      </c>
      <c r="G8235" s="100">
        <v>116935693</v>
      </c>
      <c r="H8235" s="530"/>
      <c r="I8235" s="422" t="s">
        <v>809</v>
      </c>
      <c r="J8235" s="484"/>
      <c r="K8235" s="548"/>
      <c r="L8235" s="548"/>
      <c r="M8235" s="548"/>
      <c r="N8235" s="552">
        <v>1063748642</v>
      </c>
      <c r="R8235" s="558">
        <v>1.0368999999999999</v>
      </c>
      <c r="S8235" s="558">
        <v>1.0373460090396101</v>
      </c>
      <c r="T8235" s="538">
        <v>15.7</v>
      </c>
      <c r="U8235" s="538">
        <v>1654.5</v>
      </c>
      <c r="V8235" s="538">
        <v>827.25</v>
      </c>
    </row>
    <row r="8236" spans="1:22">
      <c r="A8236" s="499">
        <v>45782</v>
      </c>
      <c r="B8236" s="499">
        <v>45782</v>
      </c>
      <c r="C8236" s="500" t="s">
        <v>173</v>
      </c>
      <c r="D8236" s="500" t="s">
        <v>762</v>
      </c>
      <c r="E8236" s="501">
        <v>-1036148502.3099999</v>
      </c>
      <c r="F8236" s="502" t="s">
        <v>878</v>
      </c>
      <c r="G8236" s="100">
        <v>116935696</v>
      </c>
      <c r="H8236" s="530"/>
      <c r="I8236" s="422" t="s">
        <v>687</v>
      </c>
      <c r="J8236" s="484"/>
      <c r="K8236" s="548"/>
      <c r="L8236" s="548"/>
      <c r="M8236" s="548"/>
      <c r="N8236" s="552">
        <v>1221444</v>
      </c>
      <c r="R8236" s="558">
        <v>848.298</v>
      </c>
      <c r="S8236" s="558">
        <v>848.66288434017395</v>
      </c>
      <c r="T8236" s="538">
        <v>15.7</v>
      </c>
      <c r="U8236" s="538">
        <v>1554.22</v>
      </c>
      <c r="V8236" s="538">
        <v>777.11</v>
      </c>
    </row>
    <row r="8237" spans="1:22">
      <c r="A8237" s="499">
        <v>45782</v>
      </c>
      <c r="B8237" s="499">
        <v>45782</v>
      </c>
      <c r="C8237" s="500" t="s">
        <v>173</v>
      </c>
      <c r="D8237" s="500" t="s">
        <v>762</v>
      </c>
      <c r="E8237" s="501">
        <v>-27000018.969999999</v>
      </c>
      <c r="F8237" s="502" t="s">
        <v>878</v>
      </c>
      <c r="G8237" s="100">
        <v>116936164</v>
      </c>
      <c r="H8237" s="530"/>
      <c r="I8237" s="422" t="s">
        <v>811</v>
      </c>
      <c r="J8237" s="484"/>
      <c r="K8237" s="548"/>
      <c r="L8237" s="548"/>
      <c r="M8237" s="548"/>
      <c r="N8237" s="552">
        <v>26556525</v>
      </c>
      <c r="R8237" s="558">
        <v>1.0166999999999999</v>
      </c>
      <c r="S8237" s="558">
        <v>1.0171375987633899</v>
      </c>
      <c r="T8237" s="538">
        <v>15.71</v>
      </c>
      <c r="U8237" s="538">
        <v>40.5</v>
      </c>
      <c r="V8237" s="538">
        <v>20.25</v>
      </c>
    </row>
    <row r="8238" spans="1:22">
      <c r="A8238" s="499">
        <v>45782</v>
      </c>
      <c r="B8238" s="499">
        <v>45783</v>
      </c>
      <c r="C8238" s="500" t="s">
        <v>173</v>
      </c>
      <c r="D8238" s="500" t="s">
        <v>762</v>
      </c>
      <c r="E8238" s="501">
        <v>674741642.34000003</v>
      </c>
      <c r="F8238" s="502" t="s">
        <v>878</v>
      </c>
      <c r="G8238" s="100">
        <v>116935612</v>
      </c>
      <c r="H8238" s="484">
        <v>116935612</v>
      </c>
      <c r="I8238" s="422" t="s">
        <v>604</v>
      </c>
      <c r="J8238" s="484"/>
      <c r="K8238" s="548"/>
      <c r="L8238" s="548"/>
      <c r="M8238" s="548"/>
      <c r="N8238" s="552">
        <v>687480</v>
      </c>
      <c r="R8238" s="558">
        <v>981.04600000000005</v>
      </c>
      <c r="S8238" s="558">
        <v>981.47094074009397</v>
      </c>
      <c r="T8238" s="538">
        <v>15.81</v>
      </c>
      <c r="U8238" s="538">
        <v>1011.67</v>
      </c>
      <c r="V8238" s="538">
        <v>505.84</v>
      </c>
    </row>
    <row r="8239" spans="1:22">
      <c r="A8239" s="499">
        <v>45782</v>
      </c>
      <c r="B8239" s="499">
        <v>45783</v>
      </c>
      <c r="C8239" s="500" t="s">
        <v>173</v>
      </c>
      <c r="D8239" s="500" t="s">
        <v>762</v>
      </c>
      <c r="E8239" s="501">
        <v>536719256.32999998</v>
      </c>
      <c r="F8239" s="502" t="s">
        <v>878</v>
      </c>
      <c r="G8239" s="100">
        <v>116935615</v>
      </c>
      <c r="H8239" s="484">
        <v>116935615</v>
      </c>
      <c r="I8239" s="422" t="s">
        <v>658</v>
      </c>
      <c r="J8239" s="484"/>
      <c r="K8239" s="548"/>
      <c r="L8239" s="548"/>
      <c r="M8239" s="548"/>
      <c r="N8239" s="552">
        <v>499552</v>
      </c>
      <c r="R8239" s="558">
        <v>1073.9359999999999</v>
      </c>
      <c r="S8239" s="558">
        <v>1074.4011761137999</v>
      </c>
      <c r="T8239" s="538">
        <v>15.81</v>
      </c>
      <c r="U8239" s="538">
        <v>804.73</v>
      </c>
      <c r="V8239" s="538">
        <v>402.37</v>
      </c>
    </row>
    <row r="8240" spans="1:22">
      <c r="A8240" s="499">
        <v>45782</v>
      </c>
      <c r="B8240" s="499">
        <v>45783</v>
      </c>
      <c r="C8240" s="500" t="s">
        <v>173</v>
      </c>
      <c r="D8240" s="500" t="s">
        <v>762</v>
      </c>
      <c r="E8240" s="501">
        <v>273272338.54000002</v>
      </c>
      <c r="F8240" s="502" t="s">
        <v>878</v>
      </c>
      <c r="G8240" s="100">
        <v>116935618</v>
      </c>
      <c r="H8240" s="484">
        <v>116935618</v>
      </c>
      <c r="I8240" s="422" t="s">
        <v>692</v>
      </c>
      <c r="J8240" s="484"/>
      <c r="K8240" s="548"/>
      <c r="L8240" s="548"/>
      <c r="M8240" s="548"/>
      <c r="N8240" s="552">
        <v>322686</v>
      </c>
      <c r="R8240" s="558">
        <v>846.50099999999998</v>
      </c>
      <c r="S8240" s="558">
        <v>846.86766249542904</v>
      </c>
      <c r="T8240" s="538">
        <v>15.81</v>
      </c>
      <c r="U8240" s="538">
        <v>409.73</v>
      </c>
      <c r="V8240" s="538">
        <v>204.87</v>
      </c>
    </row>
    <row r="8241" spans="1:22">
      <c r="A8241" s="499">
        <v>45782</v>
      </c>
      <c r="B8241" s="499">
        <v>45783</v>
      </c>
      <c r="C8241" s="500" t="s">
        <v>173</v>
      </c>
      <c r="D8241" s="500" t="s">
        <v>762</v>
      </c>
      <c r="E8241" s="501">
        <v>187083850.84999999</v>
      </c>
      <c r="F8241" s="502" t="s">
        <v>878</v>
      </c>
      <c r="G8241" s="100">
        <v>116935621</v>
      </c>
      <c r="H8241" s="484">
        <v>116935621</v>
      </c>
      <c r="I8241" s="422" t="s">
        <v>690</v>
      </c>
      <c r="J8241" s="484"/>
      <c r="K8241" s="548"/>
      <c r="L8241" s="548"/>
      <c r="M8241" s="548"/>
      <c r="N8241" s="552">
        <v>207383</v>
      </c>
      <c r="R8241" s="558">
        <v>901.72699999999998</v>
      </c>
      <c r="S8241" s="558">
        <v>902.11758364957598</v>
      </c>
      <c r="T8241" s="538">
        <v>15.81</v>
      </c>
      <c r="U8241" s="538">
        <v>280.5</v>
      </c>
      <c r="V8241" s="538">
        <v>140.25</v>
      </c>
    </row>
    <row r="8242" spans="1:22">
      <c r="A8242" s="499">
        <v>45782</v>
      </c>
      <c r="B8242" s="499">
        <v>45783</v>
      </c>
      <c r="C8242" s="500" t="s">
        <v>173</v>
      </c>
      <c r="D8242" s="500" t="s">
        <v>762</v>
      </c>
      <c r="E8242" s="501">
        <v>131132383.45</v>
      </c>
      <c r="F8242" s="502" t="s">
        <v>878</v>
      </c>
      <c r="G8242" s="100">
        <v>116935624</v>
      </c>
      <c r="H8242" s="484">
        <v>116935624</v>
      </c>
      <c r="I8242" s="422" t="s">
        <v>598</v>
      </c>
      <c r="J8242" s="484"/>
      <c r="K8242" s="548"/>
      <c r="L8242" s="548"/>
      <c r="M8242" s="548"/>
      <c r="N8242" s="552">
        <v>131262</v>
      </c>
      <c r="R8242" s="558">
        <v>998.58</v>
      </c>
      <c r="S8242" s="558">
        <v>999.01253561579097</v>
      </c>
      <c r="T8242" s="538">
        <v>15.81</v>
      </c>
      <c r="U8242" s="538">
        <v>196.61</v>
      </c>
      <c r="V8242" s="538">
        <v>98.31</v>
      </c>
    </row>
    <row r="8243" spans="1:22">
      <c r="A8243" s="499">
        <v>45782</v>
      </c>
      <c r="B8243" s="499">
        <v>45783</v>
      </c>
      <c r="C8243" s="500" t="s">
        <v>173</v>
      </c>
      <c r="D8243" s="500" t="s">
        <v>762</v>
      </c>
      <c r="E8243" s="501">
        <v>95109531.420000002</v>
      </c>
      <c r="F8243" s="502" t="s">
        <v>878</v>
      </c>
      <c r="G8243" s="100">
        <v>116935627</v>
      </c>
      <c r="H8243" s="484">
        <v>116935627</v>
      </c>
      <c r="I8243" s="422" t="s">
        <v>715</v>
      </c>
      <c r="J8243" s="484"/>
      <c r="K8243" s="548"/>
      <c r="L8243" s="548"/>
      <c r="M8243" s="548"/>
      <c r="N8243" s="552">
        <v>125875</v>
      </c>
      <c r="R8243" s="558">
        <v>755.26</v>
      </c>
      <c r="S8243" s="558">
        <v>755.58714137040704</v>
      </c>
      <c r="T8243" s="538">
        <v>15.81</v>
      </c>
      <c r="U8243" s="538">
        <v>142.6</v>
      </c>
      <c r="V8243" s="538">
        <v>71.3</v>
      </c>
    </row>
    <row r="8244" spans="1:22">
      <c r="A8244" s="499">
        <v>45782</v>
      </c>
      <c r="B8244" s="499">
        <v>45783</v>
      </c>
      <c r="C8244" s="500" t="s">
        <v>173</v>
      </c>
      <c r="D8244" s="500" t="s">
        <v>762</v>
      </c>
      <c r="E8244" s="501">
        <v>42047509.93</v>
      </c>
      <c r="F8244" s="502" t="s">
        <v>878</v>
      </c>
      <c r="G8244" s="100">
        <v>116935630</v>
      </c>
      <c r="H8244" s="484">
        <v>116935630</v>
      </c>
      <c r="I8244" s="422" t="s">
        <v>693</v>
      </c>
      <c r="J8244" s="484"/>
      <c r="K8244" s="548"/>
      <c r="L8244" s="548"/>
      <c r="M8244" s="548"/>
      <c r="N8244" s="552">
        <v>51366</v>
      </c>
      <c r="R8244" s="558">
        <v>818.23199999999997</v>
      </c>
      <c r="S8244" s="558">
        <v>818.58641766927497</v>
      </c>
      <c r="T8244" s="538">
        <v>15.81</v>
      </c>
      <c r="U8244" s="538">
        <v>63.04</v>
      </c>
      <c r="V8244" s="538">
        <v>31.52</v>
      </c>
    </row>
    <row r="8245" spans="1:22">
      <c r="A8245" s="499">
        <v>45782</v>
      </c>
      <c r="B8245" s="499">
        <v>45783</v>
      </c>
      <c r="C8245" s="500" t="s">
        <v>173</v>
      </c>
      <c r="D8245" s="500" t="s">
        <v>762</v>
      </c>
      <c r="E8245" s="501">
        <v>36034436.310000002</v>
      </c>
      <c r="F8245" s="502" t="s">
        <v>878</v>
      </c>
      <c r="G8245" s="100">
        <v>116935633</v>
      </c>
      <c r="H8245" s="484">
        <v>116935633</v>
      </c>
      <c r="I8245" s="422" t="s">
        <v>590</v>
      </c>
      <c r="J8245" s="484"/>
      <c r="K8245" s="548"/>
      <c r="L8245" s="548"/>
      <c r="M8245" s="548"/>
      <c r="N8245" s="552">
        <v>40644</v>
      </c>
      <c r="R8245" s="558">
        <v>886.20299999999997</v>
      </c>
      <c r="S8245" s="558">
        <v>886.58685931502805</v>
      </c>
      <c r="T8245" s="538">
        <v>15.81</v>
      </c>
      <c r="U8245" s="538">
        <v>54.03</v>
      </c>
      <c r="V8245" s="538">
        <v>27.01</v>
      </c>
    </row>
    <row r="8246" spans="1:22">
      <c r="A8246" s="499">
        <v>45782</v>
      </c>
      <c r="B8246" s="499">
        <v>45783</v>
      </c>
      <c r="C8246" s="500" t="s">
        <v>173</v>
      </c>
      <c r="D8246" s="500" t="s">
        <v>762</v>
      </c>
      <c r="E8246" s="501">
        <v>29036297.57</v>
      </c>
      <c r="F8246" s="502" t="s">
        <v>878</v>
      </c>
      <c r="G8246" s="100">
        <v>116935636</v>
      </c>
      <c r="H8246" s="484">
        <v>116935636</v>
      </c>
      <c r="I8246" s="422" t="s">
        <v>821</v>
      </c>
      <c r="J8246" s="484"/>
      <c r="K8246" s="548"/>
      <c r="L8246" s="548"/>
      <c r="M8246" s="548"/>
      <c r="N8246" s="552">
        <v>27579</v>
      </c>
      <c r="R8246" s="558">
        <v>1052.385</v>
      </c>
      <c r="S8246" s="558">
        <v>1052.8408415823601</v>
      </c>
      <c r="T8246" s="538">
        <v>15.81</v>
      </c>
      <c r="U8246" s="538">
        <v>43.54</v>
      </c>
      <c r="V8246" s="538">
        <v>21.77</v>
      </c>
    </row>
    <row r="8247" spans="1:22">
      <c r="A8247" s="499">
        <v>45782</v>
      </c>
      <c r="B8247" s="499">
        <v>45783</v>
      </c>
      <c r="C8247" s="500" t="s">
        <v>173</v>
      </c>
      <c r="D8247" s="500" t="s">
        <v>762</v>
      </c>
      <c r="E8247" s="501">
        <v>29026375.710000001</v>
      </c>
      <c r="F8247" s="502" t="s">
        <v>878</v>
      </c>
      <c r="G8247" s="100">
        <v>116935639</v>
      </c>
      <c r="H8247" s="484">
        <v>116935639</v>
      </c>
      <c r="I8247" s="422" t="s">
        <v>550</v>
      </c>
      <c r="J8247" s="484"/>
      <c r="K8247" s="548"/>
      <c r="L8247" s="548"/>
      <c r="M8247" s="548"/>
      <c r="N8247" s="552">
        <v>55738</v>
      </c>
      <c r="R8247" s="558">
        <v>520.53909999999996</v>
      </c>
      <c r="S8247" s="558">
        <v>520.76457192579596</v>
      </c>
      <c r="T8247" s="538">
        <v>15.81</v>
      </c>
      <c r="U8247" s="538">
        <v>43.52</v>
      </c>
      <c r="V8247" s="538">
        <v>21.76</v>
      </c>
    </row>
    <row r="8248" spans="1:22">
      <c r="A8248" s="499">
        <v>45782</v>
      </c>
      <c r="B8248" s="499">
        <v>45783</v>
      </c>
      <c r="C8248" s="500" t="s">
        <v>173</v>
      </c>
      <c r="D8248" s="500" t="s">
        <v>762</v>
      </c>
      <c r="E8248" s="501">
        <v>25021937.530000001</v>
      </c>
      <c r="F8248" s="502" t="s">
        <v>878</v>
      </c>
      <c r="G8248" s="100">
        <v>116935642</v>
      </c>
      <c r="H8248" s="484">
        <v>116935642</v>
      </c>
      <c r="I8248" s="422" t="s">
        <v>588</v>
      </c>
      <c r="J8248" s="484"/>
      <c r="K8248" s="548"/>
      <c r="L8248" s="548"/>
      <c r="M8248" s="548"/>
      <c r="N8248" s="552">
        <v>26425</v>
      </c>
      <c r="R8248" s="558">
        <v>946.49400000000003</v>
      </c>
      <c r="S8248" s="558">
        <v>946.90397464522198</v>
      </c>
      <c r="T8248" s="538">
        <v>15.81</v>
      </c>
      <c r="U8248" s="538">
        <v>39.32</v>
      </c>
      <c r="V8248" s="538">
        <v>18.760000000000002</v>
      </c>
    </row>
    <row r="8249" spans="1:22">
      <c r="A8249" s="499">
        <v>45782</v>
      </c>
      <c r="B8249" s="499">
        <v>45783</v>
      </c>
      <c r="C8249" s="500" t="s">
        <v>173</v>
      </c>
      <c r="D8249" s="500" t="s">
        <v>762</v>
      </c>
      <c r="E8249" s="501">
        <v>25028824.059999999</v>
      </c>
      <c r="F8249" s="502" t="s">
        <v>878</v>
      </c>
      <c r="G8249" s="100">
        <v>116935645</v>
      </c>
      <c r="H8249" s="484">
        <v>116935645</v>
      </c>
      <c r="I8249" s="422" t="s">
        <v>715</v>
      </c>
      <c r="J8249" s="484"/>
      <c r="K8249" s="548"/>
      <c r="L8249" s="548"/>
      <c r="M8249" s="548"/>
      <c r="N8249" s="552">
        <v>33125</v>
      </c>
      <c r="R8249" s="558">
        <v>755.26</v>
      </c>
      <c r="S8249" s="558">
        <v>755.58714143396196</v>
      </c>
      <c r="T8249" s="538">
        <v>15.81</v>
      </c>
      <c r="U8249" s="538">
        <v>39.32</v>
      </c>
      <c r="V8249" s="538">
        <v>18.760000000000002</v>
      </c>
    </row>
    <row r="8250" spans="1:22">
      <c r="A8250" s="499">
        <v>45782</v>
      </c>
      <c r="B8250" s="499">
        <v>45783</v>
      </c>
      <c r="C8250" s="500" t="s">
        <v>173</v>
      </c>
      <c r="D8250" s="500" t="s">
        <v>762</v>
      </c>
      <c r="E8250" s="501">
        <v>25028824.059999999</v>
      </c>
      <c r="F8250" s="502" t="s">
        <v>878</v>
      </c>
      <c r="G8250" s="100">
        <v>116935648</v>
      </c>
      <c r="H8250" s="484">
        <v>116935648</v>
      </c>
      <c r="I8250" s="422" t="s">
        <v>715</v>
      </c>
      <c r="J8250" s="484"/>
      <c r="K8250" s="548"/>
      <c r="L8250" s="548"/>
      <c r="M8250" s="548"/>
      <c r="N8250" s="552">
        <v>33125</v>
      </c>
      <c r="R8250" s="558">
        <v>755.26</v>
      </c>
      <c r="S8250" s="558">
        <v>755.58714143396196</v>
      </c>
      <c r="T8250" s="538">
        <v>15.81</v>
      </c>
      <c r="U8250" s="538">
        <v>39.32</v>
      </c>
      <c r="V8250" s="538">
        <v>18.760000000000002</v>
      </c>
    </row>
    <row r="8251" spans="1:22">
      <c r="A8251" s="499">
        <v>45782</v>
      </c>
      <c r="B8251" s="499">
        <v>45783</v>
      </c>
      <c r="C8251" s="500" t="s">
        <v>173</v>
      </c>
      <c r="D8251" s="500" t="s">
        <v>762</v>
      </c>
      <c r="E8251" s="501">
        <v>18016371.120000001</v>
      </c>
      <c r="F8251" s="502" t="s">
        <v>878</v>
      </c>
      <c r="G8251" s="100">
        <v>116935651</v>
      </c>
      <c r="H8251" s="484">
        <v>116935651</v>
      </c>
      <c r="I8251" s="422" t="s">
        <v>550</v>
      </c>
      <c r="J8251" s="484"/>
      <c r="K8251" s="548"/>
      <c r="L8251" s="548"/>
      <c r="M8251" s="548"/>
      <c r="N8251" s="552">
        <v>34596</v>
      </c>
      <c r="R8251" s="558">
        <v>520.53909999999996</v>
      </c>
      <c r="S8251" s="558">
        <v>520.76457162677798</v>
      </c>
      <c r="T8251" s="538">
        <v>15.81</v>
      </c>
      <c r="U8251" s="538">
        <v>39.32</v>
      </c>
      <c r="V8251" s="538">
        <v>13.51</v>
      </c>
    </row>
    <row r="8252" spans="1:22">
      <c r="A8252" s="499">
        <v>45782</v>
      </c>
      <c r="B8252" s="499">
        <v>45783</v>
      </c>
      <c r="C8252" s="500" t="s">
        <v>173</v>
      </c>
      <c r="D8252" s="500" t="s">
        <v>762</v>
      </c>
      <c r="E8252" s="501">
        <v>9012077.0700000003</v>
      </c>
      <c r="F8252" s="502" t="s">
        <v>878</v>
      </c>
      <c r="G8252" s="100">
        <v>116935654</v>
      </c>
      <c r="H8252" s="484">
        <v>116935654</v>
      </c>
      <c r="I8252" s="422" t="s">
        <v>658</v>
      </c>
      <c r="J8252" s="484"/>
      <c r="K8252" s="548"/>
      <c r="L8252" s="548"/>
      <c r="M8252" s="548"/>
      <c r="N8252" s="552">
        <v>8388</v>
      </c>
      <c r="R8252" s="558">
        <v>1073.9359999999999</v>
      </c>
      <c r="S8252" s="558">
        <v>1074.4011766809699</v>
      </c>
      <c r="T8252" s="538">
        <v>15.81</v>
      </c>
      <c r="U8252" s="538">
        <v>39.32</v>
      </c>
      <c r="V8252" s="538">
        <v>6.76</v>
      </c>
    </row>
    <row r="8253" spans="1:22">
      <c r="A8253" s="499">
        <v>45782</v>
      </c>
      <c r="B8253" s="499">
        <v>45783</v>
      </c>
      <c r="C8253" s="500" t="s">
        <v>173</v>
      </c>
      <c r="D8253" s="500" t="s">
        <v>762</v>
      </c>
      <c r="E8253" s="501">
        <v>4004177.53</v>
      </c>
      <c r="F8253" s="502" t="s">
        <v>878</v>
      </c>
      <c r="G8253" s="100">
        <v>116935657</v>
      </c>
      <c r="H8253" s="484">
        <v>116935657</v>
      </c>
      <c r="I8253" s="422" t="s">
        <v>673</v>
      </c>
      <c r="J8253" s="484"/>
      <c r="K8253" s="548"/>
      <c r="L8253" s="548"/>
      <c r="M8253" s="548"/>
      <c r="N8253" s="552">
        <v>4492</v>
      </c>
      <c r="R8253" s="558">
        <v>891.01599999999996</v>
      </c>
      <c r="S8253" s="558">
        <v>891.40194345503096</v>
      </c>
      <c r="T8253" s="538">
        <v>15.81</v>
      </c>
      <c r="U8253" s="538">
        <v>39.32</v>
      </c>
      <c r="V8253" s="538">
        <v>3</v>
      </c>
    </row>
    <row r="8254" spans="1:22">
      <c r="A8254" s="499">
        <v>45782</v>
      </c>
      <c r="B8254" s="499">
        <v>45783</v>
      </c>
      <c r="C8254" s="500" t="s">
        <v>173</v>
      </c>
      <c r="D8254" s="500" t="s">
        <v>762</v>
      </c>
      <c r="E8254" s="501">
        <v>18010026.960000001</v>
      </c>
      <c r="F8254" s="502" t="s">
        <v>878</v>
      </c>
      <c r="G8254" s="100">
        <v>116935660</v>
      </c>
      <c r="H8254" s="484">
        <v>116935660</v>
      </c>
      <c r="I8254" s="422" t="s">
        <v>833</v>
      </c>
      <c r="J8254" s="484"/>
      <c r="K8254" s="548"/>
      <c r="L8254" s="548"/>
      <c r="M8254" s="548"/>
      <c r="N8254" s="552">
        <v>31482</v>
      </c>
      <c r="R8254" s="558">
        <v>571.8261</v>
      </c>
      <c r="S8254" s="558">
        <v>572.07378692586201</v>
      </c>
      <c r="T8254" s="538">
        <v>15.81</v>
      </c>
      <c r="U8254" s="538">
        <v>39.32</v>
      </c>
      <c r="V8254" s="538">
        <v>13.5</v>
      </c>
    </row>
    <row r="8255" spans="1:22">
      <c r="A8255" s="499">
        <v>45782</v>
      </c>
      <c r="B8255" s="499">
        <v>45783</v>
      </c>
      <c r="C8255" s="500" t="s">
        <v>173</v>
      </c>
      <c r="D8255" s="500" t="s">
        <v>762</v>
      </c>
      <c r="E8255" s="501">
        <v>113062947.02</v>
      </c>
      <c r="F8255" s="502" t="s">
        <v>878</v>
      </c>
      <c r="G8255" s="100">
        <v>116935663</v>
      </c>
      <c r="H8255" s="484">
        <v>116935663</v>
      </c>
      <c r="I8255" s="422" t="s">
        <v>833</v>
      </c>
      <c r="J8255" s="484"/>
      <c r="K8255" s="548"/>
      <c r="L8255" s="548"/>
      <c r="M8255" s="548"/>
      <c r="N8255" s="552">
        <v>197637</v>
      </c>
      <c r="R8255" s="558">
        <v>571.8261</v>
      </c>
      <c r="S8255" s="558">
        <v>572.07378689213101</v>
      </c>
      <c r="T8255" s="538">
        <v>15.81</v>
      </c>
      <c r="U8255" s="538">
        <v>169.52</v>
      </c>
      <c r="V8255" s="538">
        <v>84.76</v>
      </c>
    </row>
    <row r="8256" spans="1:22">
      <c r="A8256" s="499">
        <v>45782</v>
      </c>
      <c r="B8256" s="499">
        <v>45783</v>
      </c>
      <c r="C8256" s="500" t="s">
        <v>173</v>
      </c>
      <c r="D8256" s="500" t="s">
        <v>762</v>
      </c>
      <c r="E8256" s="501">
        <v>180100269.58000001</v>
      </c>
      <c r="F8256" s="502" t="s">
        <v>878</v>
      </c>
      <c r="G8256" s="100">
        <v>116935666</v>
      </c>
      <c r="H8256" s="484">
        <v>116935666</v>
      </c>
      <c r="I8256" s="422" t="s">
        <v>833</v>
      </c>
      <c r="J8256" s="484"/>
      <c r="K8256" s="548"/>
      <c r="L8256" s="548"/>
      <c r="M8256" s="548"/>
      <c r="N8256" s="552">
        <v>314820</v>
      </c>
      <c r="R8256" s="558">
        <v>571.8261</v>
      </c>
      <c r="S8256" s="558">
        <v>572.07378686233403</v>
      </c>
      <c r="T8256" s="538">
        <v>15.81</v>
      </c>
      <c r="U8256" s="538">
        <v>270.02999999999997</v>
      </c>
      <c r="V8256" s="538">
        <v>135.02000000000001</v>
      </c>
    </row>
    <row r="8257" spans="1:25">
      <c r="A8257" s="499">
        <v>45782</v>
      </c>
      <c r="B8257" s="499">
        <v>45783</v>
      </c>
      <c r="C8257" s="500" t="s">
        <v>173</v>
      </c>
      <c r="D8257" s="500" t="s">
        <v>762</v>
      </c>
      <c r="E8257" s="501">
        <v>96128822.030000001</v>
      </c>
      <c r="F8257" s="502" t="s">
        <v>878</v>
      </c>
      <c r="G8257" s="100">
        <v>116935669</v>
      </c>
      <c r="H8257" s="484">
        <v>116935669</v>
      </c>
      <c r="I8257" s="422" t="s">
        <v>658</v>
      </c>
      <c r="J8257" s="484"/>
      <c r="K8257" s="548"/>
      <c r="L8257" s="548"/>
      <c r="M8257" s="548"/>
      <c r="N8257" s="552">
        <v>89472</v>
      </c>
      <c r="R8257" s="558">
        <v>1073.9359999999999</v>
      </c>
      <c r="S8257" s="558">
        <v>1074.40117612214</v>
      </c>
      <c r="T8257" s="538">
        <v>15.81</v>
      </c>
      <c r="U8257" s="538">
        <v>144.13</v>
      </c>
      <c r="V8257" s="538">
        <v>72.069999999999993</v>
      </c>
    </row>
    <row r="8258" spans="1:25">
      <c r="A8258" s="499">
        <v>45782</v>
      </c>
      <c r="B8258" s="499">
        <v>45783</v>
      </c>
      <c r="C8258" s="500" t="s">
        <v>173</v>
      </c>
      <c r="D8258" s="500" t="s">
        <v>762</v>
      </c>
      <c r="E8258" s="501">
        <v>15014083.630000001</v>
      </c>
      <c r="F8258" s="502" t="s">
        <v>878</v>
      </c>
      <c r="G8258" s="100">
        <v>116935672</v>
      </c>
      <c r="H8258" s="484">
        <v>116935672</v>
      </c>
      <c r="I8258" s="422" t="s">
        <v>656</v>
      </c>
      <c r="J8258" s="484"/>
      <c r="K8258" s="548"/>
      <c r="L8258" s="548"/>
      <c r="M8258" s="548"/>
      <c r="N8258" s="552">
        <v>15045</v>
      </c>
      <c r="R8258" s="558">
        <v>997.51300000000003</v>
      </c>
      <c r="S8258" s="558">
        <v>997.94507344632802</v>
      </c>
      <c r="T8258" s="538">
        <v>15.81</v>
      </c>
      <c r="U8258" s="538">
        <v>39.32</v>
      </c>
      <c r="V8258" s="538">
        <v>11.26</v>
      </c>
    </row>
    <row r="8259" spans="1:25">
      <c r="A8259" s="499">
        <v>45782</v>
      </c>
      <c r="B8259" s="499">
        <v>45783</v>
      </c>
      <c r="C8259" s="500" t="s">
        <v>173</v>
      </c>
      <c r="D8259" s="500" t="s">
        <v>762</v>
      </c>
      <c r="E8259" s="501">
        <v>29027228.350000001</v>
      </c>
      <c r="F8259" s="502" t="s">
        <v>878</v>
      </c>
      <c r="G8259" s="100">
        <v>116935675</v>
      </c>
      <c r="H8259" s="484">
        <v>116935675</v>
      </c>
      <c r="I8259" s="422" t="s">
        <v>656</v>
      </c>
      <c r="J8259" s="484"/>
      <c r="K8259" s="548"/>
      <c r="L8259" s="548"/>
      <c r="M8259" s="548"/>
      <c r="N8259" s="552">
        <v>29087</v>
      </c>
      <c r="R8259" s="558">
        <v>997.51300000000003</v>
      </c>
      <c r="S8259" s="558">
        <v>997.94507340048801</v>
      </c>
      <c r="T8259" s="538">
        <v>15.81</v>
      </c>
      <c r="U8259" s="538">
        <v>43.52</v>
      </c>
      <c r="V8259" s="538">
        <v>21.76</v>
      </c>
    </row>
    <row r="8260" spans="1:25">
      <c r="A8260" s="499">
        <v>45782</v>
      </c>
      <c r="B8260" s="499">
        <v>45783</v>
      </c>
      <c r="C8260" s="500" t="s">
        <v>173</v>
      </c>
      <c r="D8260" s="500" t="s">
        <v>762</v>
      </c>
      <c r="E8260" s="501">
        <v>91087047.349999994</v>
      </c>
      <c r="F8260" s="502" t="s">
        <v>878</v>
      </c>
      <c r="G8260" s="100">
        <v>116935678</v>
      </c>
      <c r="H8260" s="484">
        <v>116935678</v>
      </c>
      <c r="I8260" s="422" t="s">
        <v>590</v>
      </c>
      <c r="J8260" s="484"/>
      <c r="K8260" s="548"/>
      <c r="L8260" s="548"/>
      <c r="M8260" s="548"/>
      <c r="N8260" s="552">
        <v>102739</v>
      </c>
      <c r="R8260" s="558">
        <v>886.20299999999997</v>
      </c>
      <c r="S8260" s="558">
        <v>886.58685942047305</v>
      </c>
      <c r="T8260" s="538">
        <v>15.81</v>
      </c>
      <c r="U8260" s="538">
        <v>136.57</v>
      </c>
      <c r="V8260" s="538">
        <v>68.290000000000006</v>
      </c>
    </row>
    <row r="8261" spans="1:25">
      <c r="A8261" s="499">
        <v>45782</v>
      </c>
      <c r="B8261" s="499">
        <v>45783</v>
      </c>
      <c r="C8261" s="500" t="s">
        <v>173</v>
      </c>
      <c r="D8261" s="500" t="s">
        <v>762</v>
      </c>
      <c r="E8261" s="501">
        <v>25023914.109999999</v>
      </c>
      <c r="F8261" s="502" t="s">
        <v>878</v>
      </c>
      <c r="G8261" s="100">
        <v>116935681</v>
      </c>
      <c r="H8261" s="484">
        <v>116935681</v>
      </c>
      <c r="I8261" s="422" t="s">
        <v>590</v>
      </c>
      <c r="J8261" s="484"/>
      <c r="K8261" s="548"/>
      <c r="L8261" s="548"/>
      <c r="M8261" s="548"/>
      <c r="N8261" s="552">
        <v>28225</v>
      </c>
      <c r="R8261" s="558">
        <v>886.20299999999997</v>
      </c>
      <c r="S8261" s="558">
        <v>886.58685952170094</v>
      </c>
      <c r="T8261" s="538">
        <v>15.81</v>
      </c>
      <c r="U8261" s="538">
        <v>39.32</v>
      </c>
      <c r="V8261" s="538">
        <v>18.760000000000002</v>
      </c>
    </row>
    <row r="8262" spans="1:25">
      <c r="A8262" s="499">
        <v>45782</v>
      </c>
      <c r="B8262" s="499">
        <v>45783</v>
      </c>
      <c r="C8262" s="500" t="s">
        <v>173</v>
      </c>
      <c r="D8262" s="500" t="s">
        <v>762</v>
      </c>
      <c r="E8262" s="501">
        <v>135077834.88999999</v>
      </c>
      <c r="F8262" s="502" t="s">
        <v>878</v>
      </c>
      <c r="G8262" s="100">
        <v>116935684</v>
      </c>
      <c r="H8262" s="484">
        <v>116935684</v>
      </c>
      <c r="I8262" s="422" t="s">
        <v>687</v>
      </c>
      <c r="J8262" s="484"/>
      <c r="K8262" s="548"/>
      <c r="L8262" s="548"/>
      <c r="M8262" s="548"/>
      <c r="N8262" s="552">
        <v>159165</v>
      </c>
      <c r="R8262" s="558">
        <v>848.298</v>
      </c>
      <c r="S8262" s="558">
        <v>848.66544083184101</v>
      </c>
      <c r="T8262" s="538">
        <v>15.81</v>
      </c>
      <c r="U8262" s="538">
        <v>202.53</v>
      </c>
      <c r="V8262" s="538">
        <v>101.26</v>
      </c>
    </row>
    <row r="8263" spans="1:25">
      <c r="A8263" s="499">
        <v>45782</v>
      </c>
      <c r="B8263" s="499">
        <v>45783</v>
      </c>
      <c r="C8263" s="500" t="s">
        <v>173</v>
      </c>
      <c r="D8263" s="500" t="s">
        <v>762</v>
      </c>
      <c r="E8263" s="501">
        <v>31015474.82</v>
      </c>
      <c r="F8263" s="502" t="s">
        <v>878</v>
      </c>
      <c r="G8263" s="100">
        <v>116935687</v>
      </c>
      <c r="H8263" s="484">
        <v>116935687</v>
      </c>
      <c r="I8263" s="422" t="s">
        <v>1013</v>
      </c>
      <c r="J8263" s="484"/>
      <c r="K8263" s="548"/>
      <c r="L8263" s="548"/>
      <c r="M8263" s="548"/>
      <c r="N8263" s="552">
        <v>62372</v>
      </c>
      <c r="R8263" s="558">
        <v>497.05070000000001</v>
      </c>
      <c r="S8263" s="558">
        <v>497.26599788366599</v>
      </c>
      <c r="T8263" s="538">
        <v>15.81</v>
      </c>
      <c r="U8263" s="538">
        <v>46.5</v>
      </c>
      <c r="V8263" s="538">
        <v>23.25</v>
      </c>
    </row>
    <row r="8264" spans="1:25">
      <c r="A8264" s="499">
        <v>45782</v>
      </c>
      <c r="B8264" s="499">
        <v>45783</v>
      </c>
      <c r="C8264" s="500" t="s">
        <v>173</v>
      </c>
      <c r="D8264" s="500" t="s">
        <v>762</v>
      </c>
      <c r="E8264" s="501">
        <v>27018097.190000001</v>
      </c>
      <c r="F8264" s="502" t="s">
        <v>878</v>
      </c>
      <c r="G8264" s="100">
        <v>116935690</v>
      </c>
      <c r="H8264" s="484">
        <v>116935690</v>
      </c>
      <c r="I8264" s="422" t="s">
        <v>633</v>
      </c>
      <c r="J8264" s="484"/>
      <c r="K8264" s="548"/>
      <c r="L8264" s="548"/>
      <c r="M8264" s="548"/>
      <c r="N8264" s="552">
        <v>51570</v>
      </c>
      <c r="R8264" s="558">
        <v>523.68430000000001</v>
      </c>
      <c r="S8264" s="558">
        <v>523.91113418654299</v>
      </c>
      <c r="T8264" s="538">
        <v>15.81</v>
      </c>
      <c r="U8264" s="538">
        <v>40.51</v>
      </c>
      <c r="V8264" s="538">
        <v>20.25</v>
      </c>
    </row>
    <row r="8265" spans="1:25">
      <c r="A8265" s="499">
        <v>45782</v>
      </c>
      <c r="B8265" s="499">
        <v>45783</v>
      </c>
      <c r="C8265" s="500" t="s">
        <v>173</v>
      </c>
      <c r="D8265" s="500" t="s">
        <v>762</v>
      </c>
      <c r="E8265" s="501">
        <v>1103475408.4000001</v>
      </c>
      <c r="F8265" s="502" t="s">
        <v>878</v>
      </c>
      <c r="G8265" s="100">
        <v>116935693</v>
      </c>
      <c r="H8265" s="484">
        <v>116935693</v>
      </c>
      <c r="I8265" s="422" t="s">
        <v>809</v>
      </c>
      <c r="J8265" s="484"/>
      <c r="K8265" s="548"/>
      <c r="L8265" s="548"/>
      <c r="M8265" s="548"/>
      <c r="N8265" s="552">
        <v>1063748642</v>
      </c>
      <c r="R8265" s="558">
        <v>1.0368999999999999</v>
      </c>
      <c r="S8265" s="558">
        <v>1.0373460090396101</v>
      </c>
      <c r="T8265" s="538">
        <v>15.7</v>
      </c>
      <c r="U8265" s="538">
        <v>1654.5</v>
      </c>
      <c r="V8265" s="538">
        <v>827.25</v>
      </c>
    </row>
    <row r="8266" spans="1:25">
      <c r="A8266" s="499">
        <v>45782</v>
      </c>
      <c r="B8266" s="499">
        <v>45783</v>
      </c>
      <c r="C8266" s="500" t="s">
        <v>173</v>
      </c>
      <c r="D8266" s="500" t="s">
        <v>762</v>
      </c>
      <c r="E8266" s="501">
        <v>1036594188.1</v>
      </c>
      <c r="F8266" s="502" t="s">
        <v>878</v>
      </c>
      <c r="G8266" s="100">
        <v>116935696</v>
      </c>
      <c r="H8266" s="484">
        <v>116935696</v>
      </c>
      <c r="I8266" s="422" t="s">
        <v>687</v>
      </c>
      <c r="J8266" s="484"/>
      <c r="K8266" s="548"/>
      <c r="L8266" s="548"/>
      <c r="M8266" s="548"/>
      <c r="N8266" s="552">
        <v>1221444</v>
      </c>
      <c r="R8266" s="558">
        <v>848.298</v>
      </c>
      <c r="S8266" s="558">
        <v>848.66288434017395</v>
      </c>
      <c r="T8266" s="538">
        <v>15.7</v>
      </c>
      <c r="U8266" s="538">
        <v>1554.22</v>
      </c>
      <c r="V8266" s="538">
        <v>777.11</v>
      </c>
    </row>
    <row r="8267" spans="1:25">
      <c r="A8267" s="499">
        <v>45782</v>
      </c>
      <c r="B8267" s="499">
        <v>45783</v>
      </c>
      <c r="C8267" s="500" t="s">
        <v>173</v>
      </c>
      <c r="D8267" s="500" t="s">
        <v>762</v>
      </c>
      <c r="E8267" s="501">
        <v>27011640.07</v>
      </c>
      <c r="F8267" s="502" t="s">
        <v>878</v>
      </c>
      <c r="G8267" s="100">
        <v>116936164</v>
      </c>
      <c r="H8267" s="484">
        <v>116936164</v>
      </c>
      <c r="I8267" s="422" t="s">
        <v>811</v>
      </c>
      <c r="J8267" s="484"/>
      <c r="K8267" s="548"/>
      <c r="L8267" s="548"/>
      <c r="M8267" s="548"/>
      <c r="N8267" s="552">
        <v>26556525</v>
      </c>
      <c r="R8267" s="558">
        <v>1.0166999999999999</v>
      </c>
      <c r="S8267" s="558">
        <v>1.0171375987633899</v>
      </c>
      <c r="T8267" s="538">
        <v>15.71</v>
      </c>
      <c r="U8267" s="538">
        <v>40.5</v>
      </c>
      <c r="V8267" s="538">
        <v>20.25</v>
      </c>
    </row>
    <row r="8268" spans="1:25">
      <c r="A8268" s="499">
        <v>45782</v>
      </c>
      <c r="B8268" s="499">
        <v>45782</v>
      </c>
      <c r="C8268" s="500" t="s">
        <v>173</v>
      </c>
      <c r="D8268" s="500" t="s">
        <v>761</v>
      </c>
      <c r="E8268" s="501">
        <v>-10002370.130000001</v>
      </c>
      <c r="F8268" s="502" t="s">
        <v>878</v>
      </c>
      <c r="G8268" s="100">
        <v>116933094</v>
      </c>
      <c r="H8268" s="530"/>
      <c r="I8268" s="422" t="s">
        <v>633</v>
      </c>
      <c r="J8268" s="484"/>
      <c r="K8268" s="548"/>
      <c r="L8268" s="548"/>
      <c r="M8268" s="548"/>
      <c r="N8268" s="552">
        <v>19100</v>
      </c>
      <c r="R8268" s="539">
        <v>523.68430000000001</v>
      </c>
      <c r="S8268" s="539">
        <v>523.910990575916</v>
      </c>
      <c r="T8268" s="538">
        <v>15.8</v>
      </c>
      <c r="U8268" s="538">
        <v>39.32</v>
      </c>
      <c r="V8268" s="538">
        <v>7.5</v>
      </c>
    </row>
    <row r="8269" spans="1:25">
      <c r="A8269" s="499">
        <v>45782</v>
      </c>
      <c r="B8269" s="499">
        <v>45783</v>
      </c>
      <c r="C8269" s="500" t="s">
        <v>173</v>
      </c>
      <c r="D8269" s="500" t="s">
        <v>761</v>
      </c>
      <c r="E8269" s="501">
        <v>10006699.92</v>
      </c>
      <c r="F8269" s="502" t="s">
        <v>878</v>
      </c>
      <c r="G8269" s="100">
        <v>116933094</v>
      </c>
      <c r="H8269" s="100">
        <v>116933094</v>
      </c>
      <c r="I8269" s="422" t="s">
        <v>633</v>
      </c>
      <c r="J8269" s="484"/>
      <c r="K8269" s="548"/>
      <c r="L8269" s="548"/>
      <c r="M8269" s="548"/>
      <c r="N8269" s="552">
        <v>19100</v>
      </c>
      <c r="R8269" s="539">
        <v>523.68430000000001</v>
      </c>
      <c r="S8269" s="539">
        <v>523.910990575916</v>
      </c>
      <c r="T8269" s="538">
        <v>15.8</v>
      </c>
      <c r="U8269" s="538">
        <v>39.32</v>
      </c>
      <c r="V8269" s="538">
        <v>7.5</v>
      </c>
    </row>
    <row r="8270" spans="1:25">
      <c r="A8270" s="499">
        <v>45782</v>
      </c>
      <c r="B8270" s="499">
        <v>45782</v>
      </c>
      <c r="C8270" s="500" t="s">
        <v>173</v>
      </c>
      <c r="D8270" s="500" t="s">
        <v>761</v>
      </c>
      <c r="E8270" s="501">
        <v>-500000000</v>
      </c>
      <c r="F8270" s="502" t="s">
        <v>906</v>
      </c>
      <c r="G8270" s="100" t="s">
        <v>2515</v>
      </c>
      <c r="H8270" s="530"/>
      <c r="I8270" s="422" t="s">
        <v>2910</v>
      </c>
      <c r="K8270" s="548">
        <v>116945805</v>
      </c>
      <c r="L8270" s="549">
        <v>100</v>
      </c>
      <c r="M8270" s="549">
        <f>E8270*(-1)/(N8270*O8270)*100</f>
        <v>100</v>
      </c>
      <c r="N8270" s="549">
        <v>500000</v>
      </c>
      <c r="O8270" s="539">
        <v>1000</v>
      </c>
      <c r="P8270" s="539">
        <v>100</v>
      </c>
      <c r="T8270" s="538">
        <v>17</v>
      </c>
      <c r="U8270" s="538">
        <v>0</v>
      </c>
      <c r="V8270" s="538">
        <v>0</v>
      </c>
      <c r="W8270" s="550">
        <f>VLOOKUP(G8270,Справочник!A:C,3,0)</f>
        <v>0.17</v>
      </c>
      <c r="X8270" s="539" t="str">
        <f>VLOOKUP(G8270,Справочник!A:G,7,0)</f>
        <v>АО "Банк Развития Казахстана"</v>
      </c>
      <c r="Y8270" s="551">
        <f>VLOOKUP(G8270,Справочник!A:B,2,0)</f>
        <v>46147</v>
      </c>
    </row>
    <row r="8271" spans="1:25">
      <c r="A8271" s="499">
        <v>45782</v>
      </c>
      <c r="B8271" s="499">
        <v>45782</v>
      </c>
      <c r="C8271" s="500" t="s">
        <v>173</v>
      </c>
      <c r="D8271" s="500" t="s">
        <v>759</v>
      </c>
      <c r="E8271" s="501">
        <v>-1991884318.5799999</v>
      </c>
      <c r="F8271" s="502" t="s">
        <v>878</v>
      </c>
      <c r="G8271" s="100">
        <v>116934748</v>
      </c>
      <c r="H8271" s="530"/>
      <c r="I8271" s="422" t="s">
        <v>588</v>
      </c>
      <c r="J8271" s="484"/>
      <c r="K8271" s="548"/>
      <c r="L8271" s="548"/>
      <c r="M8271" s="548"/>
      <c r="N8271" s="552">
        <v>2104487</v>
      </c>
      <c r="R8271" s="539">
        <v>946.49400000095034</v>
      </c>
      <c r="S8271" s="539">
        <v>946.90501177721706</v>
      </c>
      <c r="T8271" s="538">
        <v>15.85</v>
      </c>
      <c r="U8271" s="538">
        <v>2987.83</v>
      </c>
      <c r="V8271" s="538">
        <v>1493.91</v>
      </c>
    </row>
    <row r="8272" spans="1:25">
      <c r="A8272" s="499">
        <v>45782</v>
      </c>
      <c r="B8272" s="499">
        <v>45782</v>
      </c>
      <c r="C8272" s="500" t="s">
        <v>173</v>
      </c>
      <c r="D8272" s="500" t="s">
        <v>759</v>
      </c>
      <c r="E8272" s="501">
        <v>-12003970.68</v>
      </c>
      <c r="F8272" s="502" t="s">
        <v>878</v>
      </c>
      <c r="G8272" s="100">
        <v>116939839</v>
      </c>
      <c r="H8272" s="530"/>
      <c r="I8272" s="422" t="s">
        <v>674</v>
      </c>
      <c r="J8272" s="484"/>
      <c r="K8272" s="548"/>
      <c r="L8272" s="548"/>
      <c r="M8272" s="548"/>
      <c r="N8272" s="552">
        <v>13032</v>
      </c>
      <c r="R8272" s="539">
        <v>921.11500000000001</v>
      </c>
      <c r="S8272" s="539">
        <v>921.50744782074901</v>
      </c>
      <c r="T8272" s="538">
        <v>15.5511</v>
      </c>
      <c r="U8272" s="538">
        <v>39.32</v>
      </c>
      <c r="V8272" s="538">
        <v>9</v>
      </c>
    </row>
    <row r="8273" spans="1:22">
      <c r="A8273" s="499">
        <v>45782</v>
      </c>
      <c r="B8273" s="499">
        <v>45783</v>
      </c>
      <c r="C8273" s="500" t="s">
        <v>173</v>
      </c>
      <c r="D8273" s="500" t="s">
        <v>759</v>
      </c>
      <c r="E8273" s="501">
        <v>1992749287.52</v>
      </c>
      <c r="F8273" s="502" t="s">
        <v>878</v>
      </c>
      <c r="G8273" s="100">
        <v>116934748</v>
      </c>
      <c r="H8273" s="100">
        <v>116934748</v>
      </c>
      <c r="I8273" s="422" t="s">
        <v>588</v>
      </c>
      <c r="J8273" s="484"/>
      <c r="K8273" s="548"/>
      <c r="L8273" s="548"/>
      <c r="M8273" s="548"/>
      <c r="N8273" s="552">
        <v>2104487</v>
      </c>
      <c r="R8273" s="539">
        <v>946.49400000095034</v>
      </c>
      <c r="S8273" s="539">
        <v>946.90501177721706</v>
      </c>
      <c r="T8273" s="538">
        <v>15.85</v>
      </c>
      <c r="U8273" s="538">
        <v>2987.83</v>
      </c>
      <c r="V8273" s="538">
        <v>1493.91</v>
      </c>
    </row>
    <row r="8274" spans="1:22">
      <c r="A8274" s="499">
        <v>45782</v>
      </c>
      <c r="B8274" s="499">
        <v>45783</v>
      </c>
      <c r="C8274" s="500" t="s">
        <v>173</v>
      </c>
      <c r="D8274" s="500" t="s">
        <v>759</v>
      </c>
      <c r="E8274" s="501">
        <v>12009085.060000001</v>
      </c>
      <c r="F8274" s="502" t="s">
        <v>878</v>
      </c>
      <c r="G8274" s="100">
        <v>116939839</v>
      </c>
      <c r="H8274" s="100">
        <v>116939839</v>
      </c>
      <c r="I8274" s="422" t="s">
        <v>674</v>
      </c>
      <c r="J8274" s="484"/>
      <c r="K8274" s="548"/>
      <c r="L8274" s="548"/>
      <c r="M8274" s="548"/>
      <c r="N8274" s="552">
        <v>13032</v>
      </c>
      <c r="R8274" s="539">
        <v>921.11500000000001</v>
      </c>
      <c r="S8274" s="539">
        <v>921.50744782074901</v>
      </c>
      <c r="T8274" s="538">
        <v>15.5511</v>
      </c>
      <c r="U8274" s="538">
        <v>39.32</v>
      </c>
      <c r="V8274" s="538">
        <v>9</v>
      </c>
    </row>
    <row r="8275" spans="1:22">
      <c r="A8275" s="499">
        <v>45782</v>
      </c>
      <c r="B8275" s="499">
        <v>45782</v>
      </c>
      <c r="C8275" s="500" t="s">
        <v>173</v>
      </c>
      <c r="D8275" s="500" t="s">
        <v>763</v>
      </c>
      <c r="E8275" s="501">
        <v>-5628428624.1400003</v>
      </c>
      <c r="F8275" s="502" t="s">
        <v>878</v>
      </c>
      <c r="G8275" s="100">
        <v>116932931</v>
      </c>
      <c r="H8275" s="530"/>
      <c r="I8275" s="422" t="s">
        <v>684</v>
      </c>
      <c r="J8275" s="484"/>
      <c r="K8275" s="548"/>
      <c r="L8275" s="548"/>
      <c r="M8275" s="548"/>
      <c r="N8275" s="552">
        <v>5296866</v>
      </c>
      <c r="R8275" s="539">
        <v>1062.596</v>
      </c>
      <c r="S8275" s="539">
        <v>1063.0545378304801</v>
      </c>
      <c r="T8275" s="538">
        <v>15.7507</v>
      </c>
      <c r="U8275" s="538">
        <v>8442.64</v>
      </c>
      <c r="V8275" s="538">
        <v>4221.32</v>
      </c>
    </row>
    <row r="8276" spans="1:22">
      <c r="A8276" s="499">
        <v>45782</v>
      </c>
      <c r="B8276" s="499">
        <v>45782</v>
      </c>
      <c r="C8276" s="500" t="s">
        <v>173</v>
      </c>
      <c r="D8276" s="500" t="s">
        <v>763</v>
      </c>
      <c r="E8276" s="501">
        <v>-27006399.350000001</v>
      </c>
      <c r="F8276" s="502" t="s">
        <v>878</v>
      </c>
      <c r="G8276" s="100">
        <v>116933085</v>
      </c>
      <c r="H8276" s="530"/>
      <c r="I8276" s="422" t="s">
        <v>633</v>
      </c>
      <c r="J8276" s="484"/>
      <c r="K8276" s="548"/>
      <c r="L8276" s="548"/>
      <c r="M8276" s="548"/>
      <c r="N8276" s="552">
        <v>51570</v>
      </c>
      <c r="R8276" s="539">
        <v>523.68430000000001</v>
      </c>
      <c r="S8276" s="539">
        <v>523.910990692263</v>
      </c>
      <c r="T8276" s="538">
        <v>15.8</v>
      </c>
      <c r="U8276" s="538">
        <v>40.51</v>
      </c>
      <c r="V8276" s="538">
        <v>39.32</v>
      </c>
    </row>
    <row r="8277" spans="1:22">
      <c r="A8277" s="499">
        <v>45782</v>
      </c>
      <c r="B8277" s="499">
        <v>45783</v>
      </c>
      <c r="C8277" s="500" t="s">
        <v>173</v>
      </c>
      <c r="D8277" s="500" t="s">
        <v>763</v>
      </c>
      <c r="E8277" s="501">
        <v>5630857437.5799999</v>
      </c>
      <c r="F8277" s="502" t="s">
        <v>878</v>
      </c>
      <c r="G8277" s="100">
        <v>116932931</v>
      </c>
      <c r="H8277" s="100">
        <v>116932931</v>
      </c>
      <c r="I8277" s="422" t="s">
        <v>684</v>
      </c>
      <c r="J8277" s="484"/>
      <c r="K8277" s="548"/>
      <c r="L8277" s="548"/>
      <c r="M8277" s="548"/>
      <c r="N8277" s="552">
        <v>5296866</v>
      </c>
      <c r="R8277" s="539">
        <v>1062.596</v>
      </c>
      <c r="S8277" s="539">
        <v>1063.0545378304801</v>
      </c>
      <c r="T8277" s="538">
        <v>15.7507</v>
      </c>
      <c r="U8277" s="538">
        <v>8442.64</v>
      </c>
      <c r="V8277" s="538">
        <v>4221.32</v>
      </c>
    </row>
    <row r="8278" spans="1:22">
      <c r="A8278" s="499">
        <v>45782</v>
      </c>
      <c r="B8278" s="499">
        <v>45783</v>
      </c>
      <c r="C8278" s="500" t="s">
        <v>173</v>
      </c>
      <c r="D8278" s="500" t="s">
        <v>763</v>
      </c>
      <c r="E8278" s="501">
        <v>27018089.789999999</v>
      </c>
      <c r="F8278" s="502" t="s">
        <v>878</v>
      </c>
      <c r="G8278" s="100">
        <v>116933085</v>
      </c>
      <c r="H8278" s="100">
        <v>116933085</v>
      </c>
      <c r="I8278" s="422" t="s">
        <v>633</v>
      </c>
      <c r="J8278" s="484"/>
      <c r="K8278" s="548"/>
      <c r="L8278" s="548"/>
      <c r="M8278" s="548"/>
      <c r="N8278" s="552">
        <v>51570</v>
      </c>
      <c r="R8278" s="539">
        <v>523.68430000000001</v>
      </c>
      <c r="S8278" s="539">
        <v>523.910990692263</v>
      </c>
      <c r="T8278" s="538">
        <v>15.8</v>
      </c>
      <c r="U8278" s="538">
        <v>40.51</v>
      </c>
      <c r="V8278" s="538">
        <v>39.32</v>
      </c>
    </row>
    <row r="8279" spans="1:22">
      <c r="A8279" s="499">
        <v>45783</v>
      </c>
      <c r="B8279" s="499">
        <v>45783</v>
      </c>
      <c r="C8279" s="500" t="s">
        <v>173</v>
      </c>
      <c r="D8279" s="500" t="s">
        <v>762</v>
      </c>
      <c r="E8279" s="501">
        <v>-2886491374.21</v>
      </c>
      <c r="F8279" s="502" t="s">
        <v>878</v>
      </c>
      <c r="G8279" s="100">
        <v>116955586</v>
      </c>
      <c r="H8279" s="530"/>
      <c r="I8279" s="422" t="s">
        <v>550</v>
      </c>
      <c r="J8279" s="484"/>
      <c r="K8279" s="548"/>
      <c r="L8279" s="548"/>
      <c r="M8279" s="548"/>
      <c r="N8279" s="552">
        <v>5550740</v>
      </c>
      <c r="R8279" s="558">
        <v>520.01919999999996</v>
      </c>
      <c r="S8279" s="558">
        <v>520.46684677538497</v>
      </c>
      <c r="T8279" s="538">
        <v>15.710100000000001</v>
      </c>
      <c r="U8279" s="538">
        <v>8659.4699999999993</v>
      </c>
      <c r="V8279" s="538">
        <v>4329.74</v>
      </c>
    </row>
    <row r="8280" spans="1:22">
      <c r="A8280" s="499">
        <v>45783</v>
      </c>
      <c r="B8280" s="499">
        <v>45783</v>
      </c>
      <c r="C8280" s="500" t="s">
        <v>173</v>
      </c>
      <c r="D8280" s="500" t="s">
        <v>762</v>
      </c>
      <c r="E8280" s="501">
        <v>-2153559360.7199998</v>
      </c>
      <c r="F8280" s="502" t="s">
        <v>878</v>
      </c>
      <c r="G8280" s="100">
        <v>116955589</v>
      </c>
      <c r="H8280" s="530"/>
      <c r="I8280" s="422" t="s">
        <v>681</v>
      </c>
      <c r="J8280" s="484"/>
      <c r="K8280" s="548"/>
      <c r="L8280" s="548"/>
      <c r="M8280" s="548"/>
      <c r="N8280" s="552">
        <v>2431760</v>
      </c>
      <c r="R8280" s="558">
        <v>885.59699999999998</v>
      </c>
      <c r="S8280" s="558">
        <v>886.35934616080499</v>
      </c>
      <c r="T8280" s="538">
        <v>15.710100000000001</v>
      </c>
      <c r="U8280" s="538">
        <v>6460.68</v>
      </c>
      <c r="V8280" s="538">
        <v>3230.34</v>
      </c>
    </row>
    <row r="8281" spans="1:22">
      <c r="A8281" s="499">
        <v>45783</v>
      </c>
      <c r="B8281" s="499">
        <v>45783</v>
      </c>
      <c r="C8281" s="500" t="s">
        <v>173</v>
      </c>
      <c r="D8281" s="500" t="s">
        <v>762</v>
      </c>
      <c r="E8281" s="501">
        <v>-27014810.82</v>
      </c>
      <c r="F8281" s="502" t="s">
        <v>878</v>
      </c>
      <c r="G8281" s="100">
        <v>116956210</v>
      </c>
      <c r="H8281" s="530"/>
      <c r="I8281" s="422" t="s">
        <v>596</v>
      </c>
      <c r="J8281" s="484"/>
      <c r="K8281" s="548"/>
      <c r="L8281" s="548"/>
      <c r="M8281" s="548"/>
      <c r="N8281" s="552">
        <v>26271</v>
      </c>
      <c r="R8281" s="558">
        <v>1028.3130000000001</v>
      </c>
      <c r="S8281" s="558">
        <v>1029.20046515169</v>
      </c>
      <c r="T8281" s="538">
        <v>15.750299999999999</v>
      </c>
      <c r="U8281" s="538">
        <v>81.040000000000006</v>
      </c>
      <c r="V8281" s="538">
        <v>40.520000000000003</v>
      </c>
    </row>
    <row r="8282" spans="1:22">
      <c r="A8282" s="499">
        <v>45783</v>
      </c>
      <c r="B8282" s="499">
        <v>45785</v>
      </c>
      <c r="C8282" s="500" t="s">
        <v>173</v>
      </c>
      <c r="D8282" s="500" t="s">
        <v>762</v>
      </c>
      <c r="E8282" s="501">
        <v>2888976145.0700002</v>
      </c>
      <c r="F8282" s="502" t="s">
        <v>878</v>
      </c>
      <c r="G8282" s="100">
        <v>116955586</v>
      </c>
      <c r="H8282" s="484">
        <v>116955586</v>
      </c>
      <c r="I8282" s="422" t="s">
        <v>550</v>
      </c>
      <c r="J8282" s="484"/>
      <c r="K8282" s="548"/>
      <c r="L8282" s="548"/>
      <c r="M8282" s="548"/>
      <c r="N8282" s="552">
        <v>5550740</v>
      </c>
      <c r="R8282" s="558">
        <v>520.01919999999996</v>
      </c>
      <c r="S8282" s="558">
        <v>520.46684677538497</v>
      </c>
      <c r="T8282" s="538">
        <v>15.710100000000001</v>
      </c>
      <c r="U8282" s="538">
        <v>8659.4699999999993</v>
      </c>
      <c r="V8282" s="538">
        <v>4329.74</v>
      </c>
    </row>
    <row r="8283" spans="1:22">
      <c r="A8283" s="499">
        <v>45783</v>
      </c>
      <c r="B8283" s="499">
        <v>45785</v>
      </c>
      <c r="C8283" s="500" t="s">
        <v>173</v>
      </c>
      <c r="D8283" s="500" t="s">
        <v>762</v>
      </c>
      <c r="E8283" s="501">
        <v>2155413203.6199999</v>
      </c>
      <c r="F8283" s="502" t="s">
        <v>878</v>
      </c>
      <c r="G8283" s="100">
        <v>116955589</v>
      </c>
      <c r="H8283" s="484">
        <v>116955589</v>
      </c>
      <c r="I8283" s="422" t="s">
        <v>681</v>
      </c>
      <c r="J8283" s="484"/>
      <c r="K8283" s="548"/>
      <c r="L8283" s="548"/>
      <c r="M8283" s="548"/>
      <c r="N8283" s="552">
        <v>2431760</v>
      </c>
      <c r="R8283" s="558">
        <v>885.59699999999998</v>
      </c>
      <c r="S8283" s="558">
        <v>886.35934616080499</v>
      </c>
      <c r="T8283" s="538">
        <v>15.710100000000001</v>
      </c>
      <c r="U8283" s="538">
        <v>6460.68</v>
      </c>
      <c r="V8283" s="538">
        <v>3230.34</v>
      </c>
    </row>
    <row r="8284" spans="1:22">
      <c r="A8284" s="499">
        <v>45783</v>
      </c>
      <c r="B8284" s="499">
        <v>45785</v>
      </c>
      <c r="C8284" s="500" t="s">
        <v>173</v>
      </c>
      <c r="D8284" s="500" t="s">
        <v>762</v>
      </c>
      <c r="E8284" s="501">
        <v>27038125.420000002</v>
      </c>
      <c r="F8284" s="502" t="s">
        <v>878</v>
      </c>
      <c r="G8284" s="100">
        <v>116956210</v>
      </c>
      <c r="H8284" s="484">
        <v>116956210</v>
      </c>
      <c r="I8284" s="422" t="s">
        <v>596</v>
      </c>
      <c r="J8284" s="484"/>
      <c r="K8284" s="548"/>
      <c r="L8284" s="548"/>
      <c r="M8284" s="548"/>
      <c r="N8284" s="552">
        <v>26271</v>
      </c>
      <c r="R8284" s="558">
        <v>1028.3130000000001</v>
      </c>
      <c r="S8284" s="558">
        <v>1029.20046515169</v>
      </c>
      <c r="T8284" s="538">
        <v>15.750299999999999</v>
      </c>
      <c r="U8284" s="538">
        <v>81.040000000000006</v>
      </c>
      <c r="V8284" s="538">
        <v>40.520000000000003</v>
      </c>
    </row>
    <row r="8285" spans="1:22">
      <c r="A8285" s="499">
        <v>45783</v>
      </c>
      <c r="B8285" s="499">
        <v>45783</v>
      </c>
      <c r="C8285" s="500" t="s">
        <v>173</v>
      </c>
      <c r="D8285" s="500" t="s">
        <v>761</v>
      </c>
      <c r="E8285" s="501">
        <v>-500225271</v>
      </c>
      <c r="F8285" s="502" t="s">
        <v>878</v>
      </c>
      <c r="G8285" s="100">
        <v>116952018</v>
      </c>
      <c r="H8285" s="530"/>
      <c r="I8285" s="422" t="s">
        <v>633</v>
      </c>
      <c r="J8285" s="484"/>
      <c r="K8285" s="548"/>
      <c r="L8285" s="548"/>
      <c r="M8285" s="548"/>
      <c r="N8285" s="552">
        <v>955500</v>
      </c>
      <c r="R8285" s="539">
        <v>523.52200000000005</v>
      </c>
      <c r="S8285" s="539">
        <v>523.97524096284701</v>
      </c>
      <c r="T8285" s="538">
        <v>15.8</v>
      </c>
      <c r="U8285" s="538">
        <v>1500.68</v>
      </c>
      <c r="V8285" s="538">
        <v>750.34</v>
      </c>
    </row>
    <row r="8286" spans="1:22">
      <c r="A8286" s="499">
        <v>45783</v>
      </c>
      <c r="B8286" s="499">
        <v>45783</v>
      </c>
      <c r="C8286" s="500" t="s">
        <v>173</v>
      </c>
      <c r="D8286" s="500" t="s">
        <v>761</v>
      </c>
      <c r="E8286" s="501">
        <v>-9005617.0299999993</v>
      </c>
      <c r="F8286" s="502" t="s">
        <v>878</v>
      </c>
      <c r="G8286" s="100">
        <v>116952165</v>
      </c>
      <c r="H8286" s="530"/>
      <c r="I8286" s="422" t="s">
        <v>657</v>
      </c>
      <c r="J8286" s="484"/>
      <c r="K8286" s="548"/>
      <c r="L8286" s="548"/>
      <c r="M8286" s="548"/>
      <c r="N8286" s="552">
        <v>9333</v>
      </c>
      <c r="R8286" s="539">
        <v>964.92200042858667</v>
      </c>
      <c r="S8286" s="539">
        <v>965.75738454944803</v>
      </c>
      <c r="T8286" s="538">
        <v>15.8</v>
      </c>
      <c r="U8286" s="538">
        <v>39.32</v>
      </c>
      <c r="V8286" s="538">
        <v>13.51</v>
      </c>
    </row>
    <row r="8287" spans="1:22">
      <c r="A8287" s="499">
        <v>45783</v>
      </c>
      <c r="B8287" s="499">
        <v>45783</v>
      </c>
      <c r="C8287" s="500" t="s">
        <v>173</v>
      </c>
      <c r="D8287" s="500" t="s">
        <v>761</v>
      </c>
      <c r="E8287" s="501">
        <v>-2388185985.7199998</v>
      </c>
      <c r="F8287" s="502" t="s">
        <v>878</v>
      </c>
      <c r="G8287" s="100">
        <v>116953040</v>
      </c>
      <c r="H8287" s="530"/>
      <c r="I8287" s="422" t="s">
        <v>686</v>
      </c>
      <c r="J8287" s="484"/>
      <c r="K8287" s="548"/>
      <c r="L8287" s="548"/>
      <c r="M8287" s="548"/>
      <c r="N8287" s="552">
        <v>2515898</v>
      </c>
      <c r="R8287" s="539">
        <v>949.23799999841003</v>
      </c>
      <c r="S8287" s="539">
        <v>952.16893486540403</v>
      </c>
      <c r="T8287" s="538">
        <v>16.100000000000001</v>
      </c>
      <c r="U8287" s="538">
        <v>25075.95</v>
      </c>
      <c r="V8287" s="538">
        <v>12537.98</v>
      </c>
    </row>
    <row r="8288" spans="1:22">
      <c r="A8288" s="499">
        <v>45783</v>
      </c>
      <c r="B8288" s="499">
        <v>45783</v>
      </c>
      <c r="C8288" s="500" t="s">
        <v>173</v>
      </c>
      <c r="D8288" s="500" t="s">
        <v>761</v>
      </c>
      <c r="E8288" s="501">
        <v>-13006804.98</v>
      </c>
      <c r="F8288" s="502" t="s">
        <v>878</v>
      </c>
      <c r="G8288" s="100">
        <v>116954288</v>
      </c>
      <c r="H8288" s="530"/>
      <c r="I8288" s="422" t="s">
        <v>696</v>
      </c>
      <c r="J8288" s="484"/>
      <c r="K8288" s="548"/>
      <c r="L8288" s="548"/>
      <c r="M8288" s="548"/>
      <c r="N8288" s="552">
        <v>16068</v>
      </c>
      <c r="R8288" s="539">
        <v>809.48500000000001</v>
      </c>
      <c r="S8288" s="539">
        <v>810.18140527756998</v>
      </c>
      <c r="T8288" s="538">
        <v>15.7006</v>
      </c>
      <c r="U8288" s="538">
        <v>39.32</v>
      </c>
      <c r="V8288" s="538">
        <v>19.510000000000002</v>
      </c>
    </row>
    <row r="8289" spans="1:22">
      <c r="A8289" s="499">
        <v>45783</v>
      </c>
      <c r="B8289" s="499">
        <v>45785</v>
      </c>
      <c r="C8289" s="500" t="s">
        <v>173</v>
      </c>
      <c r="D8289" s="500" t="s">
        <v>761</v>
      </c>
      <c r="E8289" s="501">
        <v>500658342.74000001</v>
      </c>
      <c r="F8289" s="502" t="s">
        <v>878</v>
      </c>
      <c r="G8289" s="100">
        <v>116952018</v>
      </c>
      <c r="H8289" s="484">
        <v>116952018</v>
      </c>
      <c r="I8289" s="422" t="s">
        <v>633</v>
      </c>
      <c r="J8289" s="484"/>
      <c r="K8289" s="548"/>
      <c r="L8289" s="548"/>
      <c r="M8289" s="548"/>
      <c r="N8289" s="552">
        <v>955500</v>
      </c>
      <c r="R8289" s="539">
        <v>523.52200000000005</v>
      </c>
      <c r="S8289" s="539">
        <v>523.97524096284701</v>
      </c>
      <c r="T8289" s="538">
        <v>15.8</v>
      </c>
      <c r="U8289" s="538">
        <v>1500.68</v>
      </c>
      <c r="V8289" s="538">
        <v>750.34</v>
      </c>
    </row>
    <row r="8290" spans="1:22">
      <c r="A8290" s="499">
        <v>45783</v>
      </c>
      <c r="B8290" s="499">
        <v>45785</v>
      </c>
      <c r="C8290" s="500" t="s">
        <v>173</v>
      </c>
      <c r="D8290" s="500" t="s">
        <v>761</v>
      </c>
      <c r="E8290" s="501">
        <v>9013413.6699999999</v>
      </c>
      <c r="F8290" s="502" t="s">
        <v>878</v>
      </c>
      <c r="G8290" s="100">
        <v>116952165</v>
      </c>
      <c r="H8290" s="484">
        <v>116952165</v>
      </c>
      <c r="I8290" s="422" t="s">
        <v>657</v>
      </c>
      <c r="J8290" s="484"/>
      <c r="K8290" s="548"/>
      <c r="L8290" s="548"/>
      <c r="M8290" s="548"/>
      <c r="N8290" s="552">
        <v>9333</v>
      </c>
      <c r="R8290" s="539">
        <v>964.92200042858667</v>
      </c>
      <c r="S8290" s="539">
        <v>965.75738454944803</v>
      </c>
      <c r="T8290" s="538">
        <v>15.8</v>
      </c>
      <c r="U8290" s="538">
        <v>39.32</v>
      </c>
      <c r="V8290" s="538">
        <v>13.51</v>
      </c>
    </row>
    <row r="8291" spans="1:22">
      <c r="A8291" s="499">
        <v>45783</v>
      </c>
      <c r="B8291" s="499">
        <v>45790</v>
      </c>
      <c r="C8291" s="500" t="s">
        <v>173</v>
      </c>
      <c r="D8291" s="500" t="s">
        <v>761</v>
      </c>
      <c r="E8291" s="501">
        <v>2395559918.8899999</v>
      </c>
      <c r="F8291" s="502" t="s">
        <v>878</v>
      </c>
      <c r="G8291" s="100">
        <v>116953040</v>
      </c>
      <c r="H8291" s="484">
        <v>116953040</v>
      </c>
      <c r="I8291" s="422" t="s">
        <v>686</v>
      </c>
      <c r="J8291" s="484"/>
      <c r="K8291" s="548"/>
      <c r="L8291" s="548"/>
      <c r="M8291" s="548"/>
      <c r="N8291" s="552">
        <v>2515898</v>
      </c>
      <c r="R8291" s="539">
        <v>949.23799999841003</v>
      </c>
      <c r="S8291" s="539">
        <v>952.16893486540403</v>
      </c>
      <c r="T8291" s="538">
        <v>16.100000000000001</v>
      </c>
      <c r="U8291" s="538">
        <v>25075.95</v>
      </c>
      <c r="V8291" s="538">
        <v>12537.98</v>
      </c>
    </row>
    <row r="8292" spans="1:22">
      <c r="A8292" s="499">
        <v>45783</v>
      </c>
      <c r="B8292" s="499">
        <v>45785</v>
      </c>
      <c r="C8292" s="500" t="s">
        <v>173</v>
      </c>
      <c r="D8292" s="500" t="s">
        <v>761</v>
      </c>
      <c r="E8292" s="501">
        <v>13017994.82</v>
      </c>
      <c r="F8292" s="502" t="s">
        <v>878</v>
      </c>
      <c r="G8292" s="100">
        <v>116954288</v>
      </c>
      <c r="H8292" s="484">
        <v>116954288</v>
      </c>
      <c r="I8292" s="422" t="s">
        <v>696</v>
      </c>
      <c r="J8292" s="484"/>
      <c r="K8292" s="548"/>
      <c r="L8292" s="548"/>
      <c r="M8292" s="548"/>
      <c r="N8292" s="552">
        <v>16068</v>
      </c>
      <c r="R8292" s="539">
        <v>809.48500000000001</v>
      </c>
      <c r="S8292" s="539">
        <v>810.18140527756998</v>
      </c>
      <c r="T8292" s="538">
        <v>15.7006</v>
      </c>
      <c r="U8292" s="538">
        <v>39.32</v>
      </c>
      <c r="V8292" s="538">
        <v>19.510000000000002</v>
      </c>
    </row>
    <row r="8293" spans="1:22">
      <c r="A8293" s="499">
        <v>45783</v>
      </c>
      <c r="B8293" s="499">
        <v>45783</v>
      </c>
      <c r="C8293" s="500" t="s">
        <v>173</v>
      </c>
      <c r="D8293" s="500" t="s">
        <v>759</v>
      </c>
      <c r="E8293" s="501">
        <v>-1993897930.21</v>
      </c>
      <c r="F8293" s="502" t="s">
        <v>878</v>
      </c>
      <c r="G8293" s="100">
        <v>116953742</v>
      </c>
      <c r="H8293" s="530"/>
      <c r="I8293" s="422" t="s">
        <v>633</v>
      </c>
      <c r="J8293" s="484"/>
      <c r="K8293" s="548"/>
      <c r="L8293" s="548"/>
      <c r="M8293" s="548"/>
      <c r="N8293" s="552">
        <v>3808623</v>
      </c>
      <c r="R8293" s="539">
        <v>523.52200000105029</v>
      </c>
      <c r="S8293" s="539">
        <v>523.97524096504196</v>
      </c>
      <c r="T8293" s="538">
        <v>15.8</v>
      </c>
      <c r="U8293" s="538">
        <v>5981.69</v>
      </c>
      <c r="V8293" s="538">
        <v>2990.85</v>
      </c>
    </row>
    <row r="8294" spans="1:22">
      <c r="A8294" s="499">
        <v>45783</v>
      </c>
      <c r="B8294" s="499">
        <v>45783</v>
      </c>
      <c r="C8294" s="500" t="s">
        <v>173</v>
      </c>
      <c r="D8294" s="500" t="s">
        <v>759</v>
      </c>
      <c r="E8294" s="501">
        <v>-10004505.42</v>
      </c>
      <c r="F8294" s="502" t="s">
        <v>878</v>
      </c>
      <c r="G8294" s="100">
        <v>116958100</v>
      </c>
      <c r="H8294" s="530"/>
      <c r="I8294" s="422" t="s">
        <v>633</v>
      </c>
      <c r="J8294" s="484"/>
      <c r="K8294" s="548"/>
      <c r="L8294" s="548"/>
      <c r="M8294" s="548"/>
      <c r="N8294" s="552">
        <v>19110</v>
      </c>
      <c r="R8294" s="539">
        <v>523.52200000000005</v>
      </c>
      <c r="S8294" s="539">
        <v>523.97810936682401</v>
      </c>
      <c r="T8294" s="538">
        <v>15.9</v>
      </c>
      <c r="U8294" s="538">
        <v>39.32</v>
      </c>
      <c r="V8294" s="538">
        <v>15.01</v>
      </c>
    </row>
    <row r="8295" spans="1:22">
      <c r="A8295" s="499">
        <v>45783</v>
      </c>
      <c r="B8295" s="499">
        <v>45785</v>
      </c>
      <c r="C8295" s="500" t="s">
        <v>173</v>
      </c>
      <c r="D8295" s="500" t="s">
        <v>759</v>
      </c>
      <c r="E8295" s="501">
        <v>1995624154.1700001</v>
      </c>
      <c r="F8295" s="502" t="s">
        <v>878</v>
      </c>
      <c r="G8295" s="100">
        <v>116953742</v>
      </c>
      <c r="H8295" s="100">
        <v>116953742</v>
      </c>
      <c r="I8295" s="422" t="s">
        <v>633</v>
      </c>
      <c r="J8295" s="484"/>
      <c r="K8295" s="548"/>
      <c r="L8295" s="548"/>
      <c r="M8295" s="548"/>
      <c r="N8295" s="552">
        <v>3808623</v>
      </c>
      <c r="R8295" s="539">
        <v>523.52200000105029</v>
      </c>
      <c r="S8295" s="539">
        <v>523.97524096504196</v>
      </c>
      <c r="T8295" s="538">
        <v>15.8</v>
      </c>
      <c r="U8295" s="538">
        <v>5981.69</v>
      </c>
      <c r="V8295" s="538">
        <v>2990.85</v>
      </c>
    </row>
    <row r="8296" spans="1:22">
      <c r="A8296" s="499">
        <v>45783</v>
      </c>
      <c r="B8296" s="499">
        <v>45785</v>
      </c>
      <c r="C8296" s="500" t="s">
        <v>173</v>
      </c>
      <c r="D8296" s="500" t="s">
        <v>759</v>
      </c>
      <c r="E8296" s="501">
        <v>10013221.67</v>
      </c>
      <c r="F8296" s="502" t="s">
        <v>878</v>
      </c>
      <c r="G8296" s="100">
        <v>116958100</v>
      </c>
      <c r="H8296" s="100">
        <v>116958100</v>
      </c>
      <c r="I8296" s="422" t="s">
        <v>633</v>
      </c>
      <c r="J8296" s="484"/>
      <c r="K8296" s="548"/>
      <c r="L8296" s="548"/>
      <c r="M8296" s="548"/>
      <c r="N8296" s="552">
        <v>19110</v>
      </c>
      <c r="R8296" s="539">
        <v>523.52200000000005</v>
      </c>
      <c r="S8296" s="539">
        <v>523.97810936682401</v>
      </c>
      <c r="T8296" s="538">
        <v>15.9</v>
      </c>
      <c r="U8296" s="538">
        <v>39.32</v>
      </c>
      <c r="V8296" s="538">
        <v>15.01</v>
      </c>
    </row>
    <row r="8297" spans="1:22">
      <c r="A8297" s="499">
        <v>45783</v>
      </c>
      <c r="B8297" s="499">
        <v>45783</v>
      </c>
      <c r="C8297" s="500" t="s">
        <v>173</v>
      </c>
      <c r="D8297" s="500" t="s">
        <v>763</v>
      </c>
      <c r="E8297" s="501">
        <v>-5626210770</v>
      </c>
      <c r="F8297" s="502" t="s">
        <v>878</v>
      </c>
      <c r="G8297" s="100">
        <v>116951449</v>
      </c>
      <c r="H8297" s="530"/>
      <c r="I8297" s="422" t="s">
        <v>684</v>
      </c>
      <c r="J8297" s="484"/>
      <c r="K8297" s="548"/>
      <c r="L8297" s="548"/>
      <c r="M8297" s="548"/>
      <c r="N8297" s="552">
        <v>5293125</v>
      </c>
      <c r="R8297" s="539">
        <v>1062.9280000000001</v>
      </c>
      <c r="S8297" s="539">
        <v>1063.83370201913</v>
      </c>
      <c r="T8297" s="538">
        <v>15.5505</v>
      </c>
      <c r="U8297" s="538">
        <v>16878.63</v>
      </c>
      <c r="V8297" s="538">
        <v>8439.32</v>
      </c>
    </row>
    <row r="8298" spans="1:22">
      <c r="A8298" s="499">
        <v>45783</v>
      </c>
      <c r="B8298" s="499">
        <v>45783</v>
      </c>
      <c r="C8298" s="500" t="s">
        <v>173</v>
      </c>
      <c r="D8298" s="500" t="s">
        <v>763</v>
      </c>
      <c r="E8298" s="501">
        <v>-31006672.690000001</v>
      </c>
      <c r="F8298" s="502" t="s">
        <v>878</v>
      </c>
      <c r="G8298" s="100">
        <v>116951513</v>
      </c>
      <c r="H8298" s="530"/>
      <c r="I8298" s="422" t="s">
        <v>684</v>
      </c>
      <c r="J8298" s="484"/>
      <c r="K8298" s="548"/>
      <c r="L8298" s="548"/>
      <c r="M8298" s="548"/>
      <c r="N8298" s="552">
        <v>29171</v>
      </c>
      <c r="R8298" s="539">
        <v>1062.9280000000001</v>
      </c>
      <c r="S8298" s="539">
        <v>1063.83370196428</v>
      </c>
      <c r="T8298" s="538">
        <v>15.5505</v>
      </c>
      <c r="U8298" s="538">
        <v>93.02</v>
      </c>
      <c r="V8298" s="538">
        <v>46.51</v>
      </c>
    </row>
    <row r="8299" spans="1:22">
      <c r="A8299" s="499">
        <v>45783</v>
      </c>
      <c r="B8299" s="499">
        <v>45785</v>
      </c>
      <c r="C8299" s="500" t="s">
        <v>173</v>
      </c>
      <c r="D8299" s="500" t="s">
        <v>763</v>
      </c>
      <c r="E8299" s="501">
        <v>5631004764</v>
      </c>
      <c r="F8299" s="502" t="s">
        <v>878</v>
      </c>
      <c r="G8299" s="100">
        <v>116951449</v>
      </c>
      <c r="H8299" s="100">
        <v>116951449</v>
      </c>
      <c r="I8299" s="422" t="s">
        <v>684</v>
      </c>
      <c r="J8299" s="484"/>
      <c r="K8299" s="548"/>
      <c r="L8299" s="548"/>
      <c r="M8299" s="548"/>
      <c r="N8299" s="552">
        <v>5293125</v>
      </c>
      <c r="R8299" s="539">
        <v>1062.9280000000001</v>
      </c>
      <c r="S8299" s="539">
        <v>1063.83370201913</v>
      </c>
      <c r="T8299" s="538">
        <v>15.5505</v>
      </c>
      <c r="U8299" s="538">
        <v>16878.63</v>
      </c>
      <c r="V8299" s="538">
        <v>8439.32</v>
      </c>
    </row>
    <row r="8300" spans="1:22">
      <c r="A8300" s="499">
        <v>45783</v>
      </c>
      <c r="B8300" s="499">
        <v>45785</v>
      </c>
      <c r="C8300" s="500" t="s">
        <v>173</v>
      </c>
      <c r="D8300" s="500" t="s">
        <v>763</v>
      </c>
      <c r="E8300" s="501">
        <v>31033092.920000002</v>
      </c>
      <c r="F8300" s="502" t="s">
        <v>878</v>
      </c>
      <c r="G8300" s="100">
        <v>116951513</v>
      </c>
      <c r="H8300" s="100">
        <v>116951513</v>
      </c>
      <c r="I8300" s="422" t="s">
        <v>684</v>
      </c>
      <c r="J8300" s="484"/>
      <c r="K8300" s="548"/>
      <c r="L8300" s="548"/>
      <c r="M8300" s="548"/>
      <c r="N8300" s="552">
        <v>29171</v>
      </c>
      <c r="R8300" s="539">
        <v>1062.9280000000001</v>
      </c>
      <c r="S8300" s="539">
        <v>1063.83370196428</v>
      </c>
      <c r="T8300" s="538">
        <v>15.5505</v>
      </c>
      <c r="U8300" s="538">
        <v>93.02</v>
      </c>
      <c r="V8300" s="538">
        <v>46.51</v>
      </c>
    </row>
    <row r="8301" spans="1:22">
      <c r="A8301" s="499">
        <v>45785</v>
      </c>
      <c r="B8301" s="499">
        <v>45785</v>
      </c>
      <c r="C8301" s="500" t="s">
        <v>173</v>
      </c>
      <c r="D8301" s="500" t="s">
        <v>762</v>
      </c>
      <c r="E8301" s="501">
        <v>-5045008626.8999996</v>
      </c>
      <c r="F8301" s="502" t="s">
        <v>878</v>
      </c>
      <c r="G8301" s="100" t="s">
        <v>685</v>
      </c>
      <c r="H8301" s="530"/>
      <c r="I8301" s="422"/>
      <c r="K8301" s="548"/>
      <c r="L8301" s="548"/>
      <c r="M8301" s="548"/>
      <c r="N8301" s="552"/>
    </row>
    <row r="8302" spans="1:22">
      <c r="A8302" s="499">
        <v>45785</v>
      </c>
      <c r="B8302" s="499">
        <v>45785</v>
      </c>
      <c r="C8302" s="500" t="s">
        <v>173</v>
      </c>
      <c r="D8302" s="500" t="s">
        <v>762</v>
      </c>
      <c r="E8302" s="501">
        <v>-28011152.399999999</v>
      </c>
      <c r="F8302" s="502" t="s">
        <v>878</v>
      </c>
      <c r="G8302" s="100" t="s">
        <v>685</v>
      </c>
      <c r="H8302" s="530"/>
      <c r="I8302" s="422"/>
      <c r="K8302" s="548"/>
      <c r="L8302" s="548"/>
      <c r="M8302" s="548"/>
      <c r="N8302" s="552"/>
    </row>
    <row r="8303" spans="1:22">
      <c r="A8303" s="499">
        <v>45785</v>
      </c>
      <c r="B8303" s="499">
        <v>45789</v>
      </c>
      <c r="C8303" s="500" t="s">
        <v>173</v>
      </c>
      <c r="D8303" s="500" t="s">
        <v>762</v>
      </c>
      <c r="E8303" s="501">
        <v>5053849140.6499996</v>
      </c>
      <c r="F8303" s="502" t="s">
        <v>878</v>
      </c>
      <c r="G8303" s="100" t="s">
        <v>685</v>
      </c>
      <c r="H8303" s="100">
        <v>116975204</v>
      </c>
      <c r="I8303" s="422"/>
      <c r="K8303" s="548"/>
      <c r="L8303" s="548"/>
      <c r="M8303" s="548"/>
      <c r="N8303" s="552"/>
    </row>
    <row r="8304" spans="1:22">
      <c r="A8304" s="499">
        <v>45785</v>
      </c>
      <c r="B8304" s="499">
        <v>45789</v>
      </c>
      <c r="C8304" s="500" t="s">
        <v>173</v>
      </c>
      <c r="D8304" s="500" t="s">
        <v>762</v>
      </c>
      <c r="E8304" s="501">
        <v>28060237.149999999</v>
      </c>
      <c r="F8304" s="502" t="s">
        <v>878</v>
      </c>
      <c r="G8304" s="100" t="s">
        <v>685</v>
      </c>
      <c r="H8304" s="100">
        <v>116975226</v>
      </c>
      <c r="I8304" s="422"/>
      <c r="K8304" s="548"/>
      <c r="L8304" s="548"/>
      <c r="M8304" s="548"/>
      <c r="N8304" s="552"/>
    </row>
    <row r="8305" spans="1:25">
      <c r="A8305" s="499">
        <v>45785</v>
      </c>
      <c r="B8305" s="499">
        <v>45785</v>
      </c>
      <c r="C8305" s="500" t="s">
        <v>173</v>
      </c>
      <c r="D8305" s="500" t="s">
        <v>761</v>
      </c>
      <c r="E8305" s="501">
        <v>-671451338.75999999</v>
      </c>
      <c r="F8305" s="502" t="s">
        <v>878</v>
      </c>
      <c r="G8305" s="100" t="s">
        <v>686</v>
      </c>
      <c r="H8305" s="530"/>
      <c r="I8305" s="422"/>
      <c r="K8305" s="548"/>
      <c r="L8305" s="548"/>
      <c r="M8305" s="548"/>
      <c r="N8305" s="552"/>
    </row>
    <row r="8306" spans="1:25">
      <c r="A8306" s="499">
        <v>45785</v>
      </c>
      <c r="B8306" s="499">
        <v>45785</v>
      </c>
      <c r="C8306" s="500" t="s">
        <v>173</v>
      </c>
      <c r="D8306" s="500" t="s">
        <v>761</v>
      </c>
      <c r="E8306" s="501">
        <v>-498478665.64999998</v>
      </c>
      <c r="F8306" s="502" t="s">
        <v>878</v>
      </c>
      <c r="G8306" s="100" t="s">
        <v>2521</v>
      </c>
      <c r="H8306" s="530"/>
      <c r="I8306" s="422"/>
      <c r="K8306" s="548"/>
      <c r="L8306" s="548"/>
      <c r="M8306" s="548"/>
      <c r="N8306" s="552"/>
    </row>
    <row r="8307" spans="1:25">
      <c r="A8307" s="499">
        <v>45785</v>
      </c>
      <c r="B8307" s="499">
        <v>45785</v>
      </c>
      <c r="C8307" s="500" t="s">
        <v>173</v>
      </c>
      <c r="D8307" s="500" t="s">
        <v>761</v>
      </c>
      <c r="E8307" s="501">
        <v>-3002883.53</v>
      </c>
      <c r="F8307" s="502" t="s">
        <v>878</v>
      </c>
      <c r="G8307" s="100" t="s">
        <v>654</v>
      </c>
      <c r="H8307" s="530"/>
      <c r="I8307" s="422"/>
      <c r="K8307" s="548"/>
      <c r="L8307" s="548"/>
      <c r="M8307" s="548"/>
      <c r="N8307" s="552"/>
    </row>
    <row r="8308" spans="1:25">
      <c r="A8308" s="499">
        <v>45785</v>
      </c>
      <c r="B8308" s="499">
        <v>45785</v>
      </c>
      <c r="C8308" s="500" t="s">
        <v>173</v>
      </c>
      <c r="D8308" s="500" t="s">
        <v>761</v>
      </c>
      <c r="E8308" s="501">
        <v>-1000010.21</v>
      </c>
      <c r="F8308" s="502" t="s">
        <v>878</v>
      </c>
      <c r="G8308" s="100" t="s">
        <v>1013</v>
      </c>
      <c r="H8308" s="530"/>
      <c r="I8308" s="422"/>
      <c r="K8308" s="548"/>
      <c r="L8308" s="548"/>
      <c r="M8308" s="548"/>
      <c r="N8308" s="552"/>
    </row>
    <row r="8309" spans="1:25">
      <c r="A8309" s="499">
        <v>45785</v>
      </c>
      <c r="B8309" s="499">
        <v>45792</v>
      </c>
      <c r="C8309" s="500" t="s">
        <v>173</v>
      </c>
      <c r="D8309" s="500" t="s">
        <v>761</v>
      </c>
      <c r="E8309" s="501">
        <v>673518121.16999996</v>
      </c>
      <c r="F8309" s="502" t="s">
        <v>878</v>
      </c>
      <c r="G8309" s="100" t="s">
        <v>686</v>
      </c>
      <c r="H8309" s="100">
        <v>116971519</v>
      </c>
      <c r="I8309" s="422"/>
      <c r="K8309" s="548"/>
      <c r="L8309" s="548"/>
      <c r="M8309" s="548"/>
      <c r="N8309" s="552"/>
    </row>
    <row r="8310" spans="1:25">
      <c r="A8310" s="499">
        <v>45785</v>
      </c>
      <c r="B8310" s="499">
        <v>45789</v>
      </c>
      <c r="C8310" s="500" t="s">
        <v>173</v>
      </c>
      <c r="D8310" s="500" t="s">
        <v>761</v>
      </c>
      <c r="E8310" s="501">
        <v>499341790.33999997</v>
      </c>
      <c r="F8310" s="502" t="s">
        <v>878</v>
      </c>
      <c r="G8310" s="100" t="s">
        <v>2521</v>
      </c>
      <c r="H8310" s="100">
        <v>116972539</v>
      </c>
      <c r="I8310" s="422"/>
      <c r="K8310" s="548"/>
      <c r="L8310" s="548"/>
      <c r="M8310" s="548"/>
      <c r="N8310" s="552"/>
    </row>
    <row r="8311" spans="1:25">
      <c r="A8311" s="499">
        <v>45785</v>
      </c>
      <c r="B8311" s="499">
        <v>45789</v>
      </c>
      <c r="C8311" s="500" t="s">
        <v>173</v>
      </c>
      <c r="D8311" s="500" t="s">
        <v>761</v>
      </c>
      <c r="E8311" s="501">
        <v>3008083.08</v>
      </c>
      <c r="F8311" s="502" t="s">
        <v>878</v>
      </c>
      <c r="G8311" s="100" t="s">
        <v>654</v>
      </c>
      <c r="H8311" s="100">
        <v>116972627</v>
      </c>
      <c r="I8311" s="422"/>
      <c r="K8311" s="548"/>
      <c r="L8311" s="548"/>
      <c r="M8311" s="548"/>
      <c r="N8311" s="552"/>
    </row>
    <row r="8312" spans="1:25">
      <c r="A8312" s="499">
        <v>45785</v>
      </c>
      <c r="B8312" s="499">
        <v>45789</v>
      </c>
      <c r="C8312" s="500" t="s">
        <v>173</v>
      </c>
      <c r="D8312" s="500" t="s">
        <v>761</v>
      </c>
      <c r="E8312" s="501">
        <v>1001741.77</v>
      </c>
      <c r="F8312" s="502" t="s">
        <v>878</v>
      </c>
      <c r="G8312" s="100" t="s">
        <v>1013</v>
      </c>
      <c r="H8312" s="100">
        <v>116973866</v>
      </c>
      <c r="I8312" s="422"/>
      <c r="K8312" s="548"/>
      <c r="L8312" s="548"/>
      <c r="M8312" s="548"/>
      <c r="N8312" s="552"/>
    </row>
    <row r="8313" spans="1:25">
      <c r="A8313" s="499">
        <v>45785</v>
      </c>
      <c r="B8313" s="499">
        <v>45785</v>
      </c>
      <c r="C8313" s="500" t="s">
        <v>173</v>
      </c>
      <c r="D8313" s="500" t="s">
        <v>761</v>
      </c>
      <c r="E8313" s="501">
        <v>-500000000</v>
      </c>
      <c r="F8313" s="502" t="s">
        <v>906</v>
      </c>
      <c r="G8313" s="100" t="s">
        <v>2518</v>
      </c>
      <c r="H8313" s="530"/>
      <c r="I8313" s="422" t="s">
        <v>2517</v>
      </c>
      <c r="J8313" s="523"/>
      <c r="K8313" s="548">
        <v>116975659</v>
      </c>
      <c r="L8313" s="549">
        <v>100</v>
      </c>
      <c r="M8313" s="549">
        <f>E8313*(-1)/(N8313*O8313)*100</f>
        <v>100</v>
      </c>
      <c r="N8313" s="549">
        <v>500000</v>
      </c>
      <c r="O8313" s="539">
        <f>VLOOKUP(G8313,Справочник!A:J,10,0)</f>
        <v>1000</v>
      </c>
      <c r="T8313" s="538">
        <v>16.899999999999999</v>
      </c>
      <c r="U8313" s="538">
        <v>0</v>
      </c>
      <c r="V8313" s="538">
        <v>0</v>
      </c>
      <c r="W8313" s="550">
        <f>VLOOKUP(G8313,Справочник!A:C,3,0)</f>
        <v>0.16900000000000001</v>
      </c>
      <c r="X8313" s="539" t="str">
        <f>VLOOKUP(G8313,Справочник!A:G,7,0)</f>
        <v>АО "Национальный управляющий холдинг "Байтерек"</v>
      </c>
      <c r="Y8313" s="551">
        <f>VLOOKUP(G8313,Справочник!A:B,2,0)</f>
        <v>47611</v>
      </c>
    </row>
    <row r="8314" spans="1:25">
      <c r="A8314" s="499">
        <v>45785</v>
      </c>
      <c r="B8314" s="499">
        <v>45785</v>
      </c>
      <c r="C8314" s="500" t="s">
        <v>173</v>
      </c>
      <c r="D8314" s="500" t="s">
        <v>759</v>
      </c>
      <c r="E8314" s="501">
        <v>-1994688015.3399999</v>
      </c>
      <c r="F8314" s="502" t="s">
        <v>878</v>
      </c>
      <c r="G8314" s="100" t="s">
        <v>633</v>
      </c>
      <c r="H8314" s="530"/>
      <c r="I8314" s="422"/>
      <c r="K8314" s="548"/>
      <c r="L8314" s="548"/>
      <c r="M8314" s="548"/>
      <c r="N8314" s="552"/>
    </row>
    <row r="8315" spans="1:25">
      <c r="A8315" s="499">
        <v>45785</v>
      </c>
      <c r="B8315" s="499">
        <v>45785</v>
      </c>
      <c r="C8315" s="500" t="s">
        <v>173</v>
      </c>
      <c r="D8315" s="500" t="s">
        <v>759</v>
      </c>
      <c r="E8315" s="501">
        <v>-10001821.65</v>
      </c>
      <c r="F8315" s="502" t="s">
        <v>878</v>
      </c>
      <c r="G8315" s="100" t="s">
        <v>631</v>
      </c>
      <c r="H8315" s="530"/>
      <c r="I8315" s="422"/>
      <c r="K8315" s="548"/>
      <c r="L8315" s="548"/>
      <c r="M8315" s="548"/>
      <c r="N8315" s="552"/>
    </row>
    <row r="8316" spans="1:25">
      <c r="A8316" s="499">
        <v>45785</v>
      </c>
      <c r="B8316" s="499">
        <v>45789</v>
      </c>
      <c r="C8316" s="500" t="s">
        <v>173</v>
      </c>
      <c r="D8316" s="500" t="s">
        <v>759</v>
      </c>
      <c r="E8316" s="501">
        <v>1998152761.0999999</v>
      </c>
      <c r="F8316" s="502" t="s">
        <v>878</v>
      </c>
      <c r="G8316" s="100" t="s">
        <v>633</v>
      </c>
      <c r="H8316" s="100">
        <v>116971945</v>
      </c>
      <c r="I8316" s="422"/>
      <c r="K8316" s="548"/>
      <c r="L8316" s="548"/>
      <c r="M8316" s="548"/>
      <c r="N8316" s="552"/>
    </row>
    <row r="8317" spans="1:25">
      <c r="A8317" s="499">
        <v>45785</v>
      </c>
      <c r="B8317" s="499">
        <v>45789</v>
      </c>
      <c r="C8317" s="500" t="s">
        <v>173</v>
      </c>
      <c r="D8317" s="500" t="s">
        <v>759</v>
      </c>
      <c r="E8317" s="501">
        <v>10019249.59</v>
      </c>
      <c r="F8317" s="502" t="s">
        <v>878</v>
      </c>
      <c r="G8317" s="100" t="s">
        <v>631</v>
      </c>
      <c r="H8317" s="100">
        <v>116975709</v>
      </c>
      <c r="I8317" s="422"/>
      <c r="K8317" s="548"/>
      <c r="L8317" s="548"/>
      <c r="M8317" s="548"/>
      <c r="N8317" s="552"/>
    </row>
    <row r="8318" spans="1:25">
      <c r="A8318" s="499">
        <v>45785</v>
      </c>
      <c r="B8318" s="499">
        <v>45785</v>
      </c>
      <c r="C8318" s="500" t="s">
        <v>173</v>
      </c>
      <c r="D8318" s="500" t="s">
        <v>760</v>
      </c>
      <c r="E8318" s="501">
        <v>-1551042585.8</v>
      </c>
      <c r="F8318" s="502" t="s">
        <v>878</v>
      </c>
      <c r="G8318" s="100" t="s">
        <v>686</v>
      </c>
      <c r="H8318" s="530"/>
      <c r="I8318" s="422"/>
      <c r="K8318" s="548"/>
      <c r="L8318" s="548"/>
      <c r="M8318" s="548"/>
      <c r="N8318" s="552"/>
    </row>
    <row r="8319" spans="1:25">
      <c r="A8319" s="499">
        <v>45785</v>
      </c>
      <c r="B8319" s="499">
        <v>45785</v>
      </c>
      <c r="C8319" s="500" t="s">
        <v>173</v>
      </c>
      <c r="D8319" s="500" t="s">
        <v>760</v>
      </c>
      <c r="E8319" s="501">
        <v>-611410980.60000002</v>
      </c>
      <c r="F8319" s="502" t="s">
        <v>878</v>
      </c>
      <c r="G8319" s="100" t="s">
        <v>2520</v>
      </c>
      <c r="H8319" s="530"/>
      <c r="I8319" s="422"/>
      <c r="K8319" s="548"/>
      <c r="L8319" s="548"/>
      <c r="M8319" s="548"/>
      <c r="N8319" s="552"/>
    </row>
    <row r="8320" spans="1:25">
      <c r="A8320" s="499">
        <v>45785</v>
      </c>
      <c r="B8320" s="499">
        <v>45785</v>
      </c>
      <c r="C8320" s="500" t="s">
        <v>173</v>
      </c>
      <c r="D8320" s="500" t="s">
        <v>760</v>
      </c>
      <c r="E8320" s="501">
        <v>-3000419.46</v>
      </c>
      <c r="F8320" s="502" t="s">
        <v>878</v>
      </c>
      <c r="G8320" s="100" t="s">
        <v>721</v>
      </c>
      <c r="H8320" s="530"/>
      <c r="I8320" s="422"/>
      <c r="K8320" s="548"/>
      <c r="L8320" s="548"/>
      <c r="M8320" s="548"/>
      <c r="N8320" s="552"/>
    </row>
    <row r="8321" spans="1:14">
      <c r="A8321" s="499">
        <v>45785</v>
      </c>
      <c r="B8321" s="499">
        <v>45785</v>
      </c>
      <c r="C8321" s="500" t="s">
        <v>173</v>
      </c>
      <c r="D8321" s="500" t="s">
        <v>760</v>
      </c>
      <c r="E8321" s="501">
        <v>-8002613.3899999997</v>
      </c>
      <c r="F8321" s="502" t="s">
        <v>878</v>
      </c>
      <c r="G8321" s="100" t="s">
        <v>2519</v>
      </c>
      <c r="H8321" s="530"/>
      <c r="I8321" s="422"/>
      <c r="K8321" s="548"/>
      <c r="L8321" s="548"/>
      <c r="M8321" s="548"/>
      <c r="N8321" s="552"/>
    </row>
    <row r="8322" spans="1:14">
      <c r="A8322" s="499">
        <v>45785</v>
      </c>
      <c r="B8322" s="499">
        <v>45792</v>
      </c>
      <c r="C8322" s="500" t="s">
        <v>173</v>
      </c>
      <c r="D8322" s="500" t="s">
        <v>760</v>
      </c>
      <c r="E8322" s="501">
        <v>1555831665.6300001</v>
      </c>
      <c r="F8322" s="502" t="s">
        <v>878</v>
      </c>
      <c r="G8322" s="100" t="s">
        <v>686</v>
      </c>
      <c r="H8322" s="100">
        <v>116970536</v>
      </c>
      <c r="I8322" s="422"/>
      <c r="K8322" s="548"/>
      <c r="L8322" s="548"/>
      <c r="M8322" s="548"/>
      <c r="N8322" s="552"/>
    </row>
    <row r="8323" spans="1:14">
      <c r="A8323" s="499">
        <v>45785</v>
      </c>
      <c r="B8323" s="499">
        <v>45792</v>
      </c>
      <c r="C8323" s="500" t="s">
        <v>173</v>
      </c>
      <c r="D8323" s="500" t="s">
        <v>760</v>
      </c>
      <c r="E8323" s="501">
        <v>613298804.97000003</v>
      </c>
      <c r="F8323" s="502" t="s">
        <v>878</v>
      </c>
      <c r="G8323" s="100" t="s">
        <v>2520</v>
      </c>
      <c r="H8323" s="100">
        <v>116971525</v>
      </c>
      <c r="I8323" s="422"/>
      <c r="K8323" s="548"/>
      <c r="L8323" s="548"/>
      <c r="M8323" s="548"/>
      <c r="N8323" s="552"/>
    </row>
    <row r="8324" spans="1:14">
      <c r="A8324" s="499">
        <v>45785</v>
      </c>
      <c r="B8324" s="499">
        <v>45792</v>
      </c>
      <c r="C8324" s="500" t="s">
        <v>173</v>
      </c>
      <c r="D8324" s="500" t="s">
        <v>760</v>
      </c>
      <c r="E8324" s="501">
        <v>3009683.77</v>
      </c>
      <c r="F8324" s="502" t="s">
        <v>878</v>
      </c>
      <c r="G8324" s="100" t="s">
        <v>721</v>
      </c>
      <c r="H8324" s="100">
        <v>116973041</v>
      </c>
      <c r="I8324" s="422"/>
      <c r="K8324" s="548"/>
      <c r="L8324" s="548"/>
      <c r="M8324" s="548"/>
      <c r="N8324" s="552"/>
    </row>
    <row r="8325" spans="1:14">
      <c r="A8325" s="499">
        <v>45785</v>
      </c>
      <c r="B8325" s="499">
        <v>45792</v>
      </c>
      <c r="C8325" s="500" t="s">
        <v>173</v>
      </c>
      <c r="D8325" s="500" t="s">
        <v>760</v>
      </c>
      <c r="E8325" s="501">
        <v>8026708.9299999997</v>
      </c>
      <c r="F8325" s="502" t="s">
        <v>878</v>
      </c>
      <c r="G8325" s="100" t="s">
        <v>2519</v>
      </c>
      <c r="H8325" s="100">
        <v>116977662</v>
      </c>
      <c r="I8325" s="422"/>
      <c r="K8325" s="548"/>
      <c r="L8325" s="548"/>
      <c r="M8325" s="548"/>
      <c r="N8325" s="552"/>
    </row>
    <row r="8326" spans="1:14">
      <c r="A8326" s="499">
        <v>45785</v>
      </c>
      <c r="B8326" s="499">
        <v>45785</v>
      </c>
      <c r="C8326" s="500" t="s">
        <v>173</v>
      </c>
      <c r="D8326" s="500" t="s">
        <v>763</v>
      </c>
      <c r="E8326" s="501">
        <v>-95000969.480000004</v>
      </c>
      <c r="F8326" s="502" t="s">
        <v>878</v>
      </c>
      <c r="G8326" s="100" t="s">
        <v>1013</v>
      </c>
      <c r="H8326" s="530">
        <v>116970022</v>
      </c>
      <c r="I8326" s="422"/>
      <c r="K8326" s="548"/>
      <c r="L8326" s="548"/>
      <c r="M8326" s="548"/>
      <c r="N8326" s="552"/>
    </row>
    <row r="8327" spans="1:14">
      <c r="A8327" s="499">
        <v>45785</v>
      </c>
      <c r="B8327" s="499">
        <v>45785</v>
      </c>
      <c r="C8327" s="500" t="s">
        <v>173</v>
      </c>
      <c r="D8327" s="500" t="s">
        <v>763</v>
      </c>
      <c r="E8327" s="501">
        <v>-5536909811.8999996</v>
      </c>
      <c r="F8327" s="502" t="s">
        <v>878</v>
      </c>
      <c r="G8327" s="100" t="s">
        <v>633</v>
      </c>
      <c r="H8327" s="530">
        <v>116970025</v>
      </c>
      <c r="I8327" s="422"/>
      <c r="K8327" s="548"/>
      <c r="L8327" s="548"/>
      <c r="M8327" s="548"/>
      <c r="N8327" s="552"/>
    </row>
    <row r="8328" spans="1:14">
      <c r="A8328" s="499">
        <v>45785</v>
      </c>
      <c r="B8328" s="499">
        <v>45785</v>
      </c>
      <c r="C8328" s="500" t="s">
        <v>173</v>
      </c>
      <c r="D8328" s="500" t="s">
        <v>763</v>
      </c>
      <c r="E8328" s="501">
        <v>-30005464.949999999</v>
      </c>
      <c r="F8328" s="502" t="s">
        <v>878</v>
      </c>
      <c r="G8328" s="100" t="s">
        <v>631</v>
      </c>
      <c r="H8328" s="530">
        <v>116970139</v>
      </c>
      <c r="I8328" s="422"/>
      <c r="K8328" s="548"/>
      <c r="L8328" s="548"/>
      <c r="M8328" s="548"/>
      <c r="N8328" s="552"/>
    </row>
    <row r="8329" spans="1:14">
      <c r="A8329" s="499">
        <v>45785</v>
      </c>
      <c r="B8329" s="499">
        <v>45789</v>
      </c>
      <c r="C8329" s="500" t="s">
        <v>173</v>
      </c>
      <c r="D8329" s="500" t="s">
        <v>763</v>
      </c>
      <c r="E8329" s="501">
        <v>95165465.349999994</v>
      </c>
      <c r="F8329" s="502" t="s">
        <v>878</v>
      </c>
      <c r="G8329" s="100" t="s">
        <v>1013</v>
      </c>
      <c r="H8329" s="530">
        <v>116970022</v>
      </c>
      <c r="I8329" s="422"/>
      <c r="K8329" s="548"/>
      <c r="L8329" s="548"/>
      <c r="M8329" s="548"/>
      <c r="N8329" s="552"/>
    </row>
    <row r="8330" spans="1:14">
      <c r="A8330" s="499">
        <v>45785</v>
      </c>
      <c r="B8330" s="499">
        <v>45789</v>
      </c>
      <c r="C8330" s="500" t="s">
        <v>173</v>
      </c>
      <c r="D8330" s="500" t="s">
        <v>763</v>
      </c>
      <c r="E8330" s="501">
        <v>5546497009.1599998</v>
      </c>
      <c r="F8330" s="502" t="s">
        <v>878</v>
      </c>
      <c r="G8330" s="100" t="s">
        <v>633</v>
      </c>
      <c r="H8330" s="530">
        <v>116970025</v>
      </c>
      <c r="I8330" s="422"/>
      <c r="K8330" s="548"/>
      <c r="L8330" s="548"/>
      <c r="M8330" s="548"/>
      <c r="N8330" s="552"/>
    </row>
    <row r="8331" spans="1:14">
      <c r="A8331" s="499">
        <v>45785</v>
      </c>
      <c r="B8331" s="499">
        <v>45789</v>
      </c>
      <c r="C8331" s="500" t="s">
        <v>173</v>
      </c>
      <c r="D8331" s="500" t="s">
        <v>763</v>
      </c>
      <c r="E8331" s="501">
        <v>30057419.949999999</v>
      </c>
      <c r="F8331" s="502" t="s">
        <v>878</v>
      </c>
      <c r="G8331" s="100" t="s">
        <v>631</v>
      </c>
      <c r="H8331" s="530">
        <v>116970139</v>
      </c>
      <c r="I8331" s="422"/>
      <c r="K8331" s="548"/>
      <c r="L8331" s="548"/>
      <c r="M8331" s="548"/>
      <c r="N8331" s="552"/>
    </row>
    <row r="8332" spans="1:14">
      <c r="A8332" s="499">
        <v>45789</v>
      </c>
      <c r="B8332" s="499">
        <v>45789</v>
      </c>
      <c r="C8332" s="500" t="s">
        <v>173</v>
      </c>
      <c r="D8332" s="500" t="s">
        <v>762</v>
      </c>
      <c r="E8332" s="501">
        <v>-3766253014.9400001</v>
      </c>
      <c r="F8332" s="502" t="s">
        <v>878</v>
      </c>
      <c r="G8332" s="100" t="s">
        <v>678</v>
      </c>
      <c r="H8332" s="530"/>
      <c r="I8332" s="422"/>
      <c r="K8332" s="548"/>
      <c r="L8332" s="548"/>
      <c r="M8332" s="548"/>
      <c r="N8332" s="552"/>
    </row>
    <row r="8333" spans="1:14">
      <c r="A8333" s="499">
        <v>45789</v>
      </c>
      <c r="B8333" s="499">
        <v>45789</v>
      </c>
      <c r="C8333" s="500" t="s">
        <v>173</v>
      </c>
      <c r="D8333" s="500" t="s">
        <v>762</v>
      </c>
      <c r="E8333" s="501">
        <v>-1575313740</v>
      </c>
      <c r="F8333" s="502" t="s">
        <v>878</v>
      </c>
      <c r="G8333" s="100" t="s">
        <v>681</v>
      </c>
      <c r="H8333" s="530"/>
      <c r="I8333" s="422"/>
      <c r="K8333" s="548"/>
      <c r="L8333" s="548"/>
      <c r="M8333" s="548"/>
      <c r="N8333" s="552"/>
    </row>
    <row r="8334" spans="1:14">
      <c r="A8334" s="499">
        <v>45789</v>
      </c>
      <c r="B8334" s="499">
        <v>45789</v>
      </c>
      <c r="C8334" s="500" t="s">
        <v>173</v>
      </c>
      <c r="D8334" s="500" t="s">
        <v>762</v>
      </c>
      <c r="E8334" s="501">
        <v>-31001234.539999999</v>
      </c>
      <c r="F8334" s="502" t="s">
        <v>878</v>
      </c>
      <c r="G8334" s="100" t="s">
        <v>1018</v>
      </c>
      <c r="H8334" s="530"/>
      <c r="I8334" s="422"/>
      <c r="K8334" s="548"/>
      <c r="L8334" s="548"/>
      <c r="M8334" s="548"/>
      <c r="N8334" s="552"/>
    </row>
    <row r="8335" spans="1:14">
      <c r="A8335" s="499">
        <v>45789</v>
      </c>
      <c r="B8335" s="499">
        <v>45790</v>
      </c>
      <c r="C8335" s="500" t="s">
        <v>173</v>
      </c>
      <c r="D8335" s="500" t="s">
        <v>762</v>
      </c>
      <c r="E8335" s="501">
        <v>3767831745.6599998</v>
      </c>
      <c r="F8335" s="502" t="s">
        <v>878</v>
      </c>
      <c r="G8335" s="100" t="s">
        <v>678</v>
      </c>
      <c r="H8335" s="100">
        <v>116993946</v>
      </c>
      <c r="I8335" s="422"/>
      <c r="K8335" s="548"/>
      <c r="L8335" s="548"/>
      <c r="M8335" s="548"/>
      <c r="N8335" s="552"/>
    </row>
    <row r="8336" spans="1:14">
      <c r="A8336" s="499">
        <v>45789</v>
      </c>
      <c r="B8336" s="499">
        <v>45790</v>
      </c>
      <c r="C8336" s="500" t="s">
        <v>173</v>
      </c>
      <c r="D8336" s="500" t="s">
        <v>762</v>
      </c>
      <c r="E8336" s="501">
        <v>1575974076.99</v>
      </c>
      <c r="F8336" s="502" t="s">
        <v>878</v>
      </c>
      <c r="G8336" s="100" t="s">
        <v>681</v>
      </c>
      <c r="H8336" s="100">
        <v>116993949</v>
      </c>
      <c r="I8336" s="422"/>
      <c r="K8336" s="548"/>
      <c r="L8336" s="548"/>
      <c r="M8336" s="548"/>
      <c r="N8336" s="552"/>
    </row>
    <row r="8337" spans="1:14">
      <c r="A8337" s="499">
        <v>45789</v>
      </c>
      <c r="B8337" s="499">
        <v>45790</v>
      </c>
      <c r="C8337" s="500" t="s">
        <v>173</v>
      </c>
      <c r="D8337" s="500" t="s">
        <v>762</v>
      </c>
      <c r="E8337" s="501">
        <v>31014187.710000001</v>
      </c>
      <c r="F8337" s="502" t="s">
        <v>878</v>
      </c>
      <c r="G8337" s="100" t="s">
        <v>1018</v>
      </c>
      <c r="H8337" s="100">
        <v>116996118</v>
      </c>
      <c r="I8337" s="422"/>
      <c r="K8337" s="548"/>
      <c r="L8337" s="548"/>
      <c r="M8337" s="548"/>
      <c r="N8337" s="552"/>
    </row>
    <row r="8338" spans="1:14">
      <c r="A8338" s="499">
        <v>45789</v>
      </c>
      <c r="B8338" s="499">
        <v>45789</v>
      </c>
      <c r="C8338" s="500" t="s">
        <v>173</v>
      </c>
      <c r="D8338" s="500" t="s">
        <v>761</v>
      </c>
      <c r="E8338" s="501">
        <v>-501058458.18000001</v>
      </c>
      <c r="F8338" s="502" t="s">
        <v>878</v>
      </c>
      <c r="G8338" s="100" t="s">
        <v>633</v>
      </c>
      <c r="H8338" s="530"/>
      <c r="I8338" s="422"/>
      <c r="K8338" s="548"/>
      <c r="L8338" s="548"/>
      <c r="M8338" s="548"/>
      <c r="N8338" s="552"/>
    </row>
    <row r="8339" spans="1:14">
      <c r="A8339" s="499">
        <v>45789</v>
      </c>
      <c r="B8339" s="499">
        <v>45789</v>
      </c>
      <c r="C8339" s="500" t="s">
        <v>173</v>
      </c>
      <c r="D8339" s="500" t="s">
        <v>761</v>
      </c>
      <c r="E8339" s="501">
        <v>-160115598.72</v>
      </c>
      <c r="F8339" s="502" t="s">
        <v>878</v>
      </c>
      <c r="G8339" s="100" t="s">
        <v>819</v>
      </c>
      <c r="H8339" s="530"/>
      <c r="I8339" s="422"/>
      <c r="K8339" s="548"/>
      <c r="L8339" s="548"/>
      <c r="M8339" s="548"/>
      <c r="N8339" s="552"/>
    </row>
    <row r="8340" spans="1:14">
      <c r="A8340" s="499">
        <v>45789</v>
      </c>
      <c r="B8340" s="499">
        <v>45790</v>
      </c>
      <c r="C8340" s="500" t="s">
        <v>173</v>
      </c>
      <c r="D8340" s="500" t="s">
        <v>761</v>
      </c>
      <c r="E8340" s="501">
        <v>501273981.95999998</v>
      </c>
      <c r="F8340" s="502" t="s">
        <v>878</v>
      </c>
      <c r="G8340" s="100" t="s">
        <v>633</v>
      </c>
      <c r="H8340" s="530">
        <v>116991619</v>
      </c>
      <c r="I8340" s="422"/>
      <c r="K8340" s="548"/>
      <c r="L8340" s="548"/>
      <c r="M8340" s="548"/>
      <c r="N8340" s="552"/>
    </row>
    <row r="8341" spans="1:14">
      <c r="A8341" s="499">
        <v>45789</v>
      </c>
      <c r="B8341" s="499">
        <v>45790</v>
      </c>
      <c r="C8341" s="500" t="s">
        <v>173</v>
      </c>
      <c r="D8341" s="500" t="s">
        <v>761</v>
      </c>
      <c r="E8341" s="501">
        <v>160183593.02000001</v>
      </c>
      <c r="F8341" s="502" t="s">
        <v>878</v>
      </c>
      <c r="G8341" s="100" t="s">
        <v>819</v>
      </c>
      <c r="H8341" s="530">
        <v>116999831</v>
      </c>
      <c r="I8341" s="422"/>
      <c r="K8341" s="548"/>
      <c r="L8341" s="548"/>
      <c r="M8341" s="548"/>
      <c r="N8341" s="552"/>
    </row>
    <row r="8342" spans="1:14">
      <c r="A8342" s="499">
        <v>45789</v>
      </c>
      <c r="B8342" s="499">
        <v>45789</v>
      </c>
      <c r="C8342" s="500" t="s">
        <v>173</v>
      </c>
      <c r="D8342" s="500" t="s">
        <v>759</v>
      </c>
      <c r="E8342" s="501">
        <v>-5001149025</v>
      </c>
      <c r="F8342" s="502" t="s">
        <v>878</v>
      </c>
      <c r="G8342" s="100" t="s">
        <v>657</v>
      </c>
      <c r="H8342" s="530"/>
      <c r="I8342" s="422"/>
      <c r="K8342" s="548"/>
      <c r="L8342" s="548"/>
      <c r="M8342" s="548"/>
      <c r="N8342" s="552"/>
    </row>
    <row r="8343" spans="1:14">
      <c r="A8343" s="499">
        <v>45789</v>
      </c>
      <c r="B8343" s="499">
        <v>45789</v>
      </c>
      <c r="C8343" s="500" t="s">
        <v>173</v>
      </c>
      <c r="D8343" s="500" t="s">
        <v>759</v>
      </c>
      <c r="E8343" s="501">
        <v>-50039350</v>
      </c>
      <c r="F8343" s="502" t="s">
        <v>878</v>
      </c>
      <c r="G8343" s="100" t="s">
        <v>598</v>
      </c>
      <c r="H8343" s="530"/>
      <c r="I8343" s="422"/>
      <c r="K8343" s="548"/>
      <c r="L8343" s="548"/>
      <c r="M8343" s="548"/>
      <c r="N8343" s="552"/>
    </row>
    <row r="8344" spans="1:14">
      <c r="A8344" s="499">
        <v>45789</v>
      </c>
      <c r="B8344" s="499">
        <v>45789</v>
      </c>
      <c r="C8344" s="500" t="s">
        <v>173</v>
      </c>
      <c r="D8344" s="500" t="s">
        <v>759</v>
      </c>
      <c r="E8344" s="501">
        <v>-253007086.53</v>
      </c>
      <c r="F8344" s="502" t="s">
        <v>878</v>
      </c>
      <c r="G8344" s="100" t="s">
        <v>670</v>
      </c>
      <c r="H8344" s="530"/>
      <c r="I8344" s="422"/>
      <c r="K8344" s="548"/>
      <c r="L8344" s="548"/>
      <c r="M8344" s="548"/>
      <c r="N8344" s="552"/>
    </row>
    <row r="8345" spans="1:14">
      <c r="A8345" s="499">
        <v>45789</v>
      </c>
      <c r="B8345" s="499">
        <v>45789</v>
      </c>
      <c r="C8345" s="500" t="s">
        <v>173</v>
      </c>
      <c r="D8345" s="500" t="s">
        <v>759</v>
      </c>
      <c r="E8345" s="501">
        <v>-260041844.97</v>
      </c>
      <c r="F8345" s="502" t="s">
        <v>878</v>
      </c>
      <c r="G8345" s="100" t="s">
        <v>550</v>
      </c>
      <c r="H8345" s="530"/>
      <c r="I8345" s="422"/>
      <c r="K8345" s="548"/>
      <c r="L8345" s="548"/>
      <c r="M8345" s="548"/>
      <c r="N8345" s="552"/>
    </row>
    <row r="8346" spans="1:14">
      <c r="A8346" s="499">
        <v>45789</v>
      </c>
      <c r="B8346" s="499">
        <v>45789</v>
      </c>
      <c r="C8346" s="500" t="s">
        <v>173</v>
      </c>
      <c r="D8346" s="500" t="s">
        <v>759</v>
      </c>
      <c r="E8346" s="501">
        <v>-313248503.22000003</v>
      </c>
      <c r="F8346" s="502" t="s">
        <v>878</v>
      </c>
      <c r="G8346" s="100" t="s">
        <v>676</v>
      </c>
      <c r="H8346" s="530"/>
      <c r="I8346" s="422"/>
      <c r="K8346" s="548"/>
      <c r="L8346" s="548"/>
      <c r="M8346" s="548"/>
      <c r="N8346" s="552"/>
    </row>
    <row r="8347" spans="1:14">
      <c r="A8347" s="499">
        <v>45789</v>
      </c>
      <c r="B8347" s="499">
        <v>45789</v>
      </c>
      <c r="C8347" s="500" t="s">
        <v>173</v>
      </c>
      <c r="D8347" s="500" t="s">
        <v>759</v>
      </c>
      <c r="E8347" s="501">
        <v>-1480069631.04</v>
      </c>
      <c r="F8347" s="502" t="s">
        <v>878</v>
      </c>
      <c r="G8347" s="100" t="s">
        <v>2526</v>
      </c>
      <c r="H8347" s="530"/>
      <c r="I8347" s="422"/>
      <c r="K8347" s="548"/>
      <c r="L8347" s="548"/>
      <c r="M8347" s="548"/>
      <c r="N8347" s="552"/>
    </row>
    <row r="8348" spans="1:14">
      <c r="A8348" s="499">
        <v>45789</v>
      </c>
      <c r="B8348" s="499">
        <v>45789</v>
      </c>
      <c r="C8348" s="500" t="s">
        <v>173</v>
      </c>
      <c r="D8348" s="500" t="s">
        <v>759</v>
      </c>
      <c r="E8348" s="501">
        <v>-41001076.579999998</v>
      </c>
      <c r="F8348" s="502" t="s">
        <v>878</v>
      </c>
      <c r="G8348" s="100" t="s">
        <v>692</v>
      </c>
      <c r="H8348" s="530"/>
      <c r="I8348" s="422"/>
      <c r="K8348" s="548"/>
      <c r="L8348" s="548"/>
      <c r="M8348" s="548"/>
      <c r="N8348" s="552"/>
    </row>
    <row r="8349" spans="1:14">
      <c r="A8349" s="499">
        <v>45789</v>
      </c>
      <c r="B8349" s="499">
        <v>45789</v>
      </c>
      <c r="C8349" s="500" t="s">
        <v>173</v>
      </c>
      <c r="D8349" s="500" t="s">
        <v>759</v>
      </c>
      <c r="E8349" s="501">
        <v>-382154923.92000002</v>
      </c>
      <c r="F8349" s="502" t="s">
        <v>878</v>
      </c>
      <c r="G8349" s="100" t="s">
        <v>602</v>
      </c>
      <c r="H8349" s="530"/>
      <c r="I8349" s="422"/>
      <c r="K8349" s="548"/>
      <c r="L8349" s="548"/>
      <c r="M8349" s="548"/>
      <c r="N8349" s="552"/>
    </row>
    <row r="8350" spans="1:14">
      <c r="A8350" s="499">
        <v>45789</v>
      </c>
      <c r="B8350" s="499">
        <v>45789</v>
      </c>
      <c r="C8350" s="500" t="s">
        <v>173</v>
      </c>
      <c r="D8350" s="500" t="s">
        <v>759</v>
      </c>
      <c r="E8350" s="501">
        <v>-429035604</v>
      </c>
      <c r="F8350" s="502" t="s">
        <v>878</v>
      </c>
      <c r="G8350" s="100" t="s">
        <v>658</v>
      </c>
      <c r="H8350" s="530"/>
      <c r="I8350" s="422"/>
      <c r="K8350" s="548"/>
      <c r="L8350" s="548"/>
      <c r="M8350" s="548"/>
      <c r="N8350" s="552"/>
    </row>
    <row r="8351" spans="1:14">
      <c r="A8351" s="499">
        <v>45789</v>
      </c>
      <c r="B8351" s="499">
        <v>45789</v>
      </c>
      <c r="C8351" s="500" t="s">
        <v>173</v>
      </c>
      <c r="D8351" s="500" t="s">
        <v>759</v>
      </c>
      <c r="E8351" s="501">
        <v>-447368731.19</v>
      </c>
      <c r="F8351" s="502" t="s">
        <v>878</v>
      </c>
      <c r="G8351" s="100" t="s">
        <v>675</v>
      </c>
      <c r="H8351" s="530"/>
      <c r="I8351" s="422"/>
      <c r="K8351" s="548"/>
      <c r="L8351" s="548"/>
      <c r="M8351" s="548"/>
      <c r="N8351" s="552"/>
    </row>
    <row r="8352" spans="1:14">
      <c r="A8352" s="499">
        <v>45789</v>
      </c>
      <c r="B8352" s="499">
        <v>45789</v>
      </c>
      <c r="C8352" s="500" t="s">
        <v>173</v>
      </c>
      <c r="D8352" s="500" t="s">
        <v>759</v>
      </c>
      <c r="E8352" s="501">
        <v>-504399030.91000003</v>
      </c>
      <c r="F8352" s="502" t="s">
        <v>878</v>
      </c>
      <c r="G8352" s="100" t="s">
        <v>604</v>
      </c>
      <c r="H8352" s="530"/>
      <c r="I8352" s="422"/>
      <c r="K8352" s="548"/>
      <c r="L8352" s="548"/>
      <c r="M8352" s="548"/>
      <c r="N8352" s="552"/>
    </row>
    <row r="8353" spans="1:14">
      <c r="A8353" s="499">
        <v>45789</v>
      </c>
      <c r="B8353" s="499">
        <v>45789</v>
      </c>
      <c r="C8353" s="500" t="s">
        <v>173</v>
      </c>
      <c r="D8353" s="500" t="s">
        <v>759</v>
      </c>
      <c r="E8353" s="501">
        <v>-197005132.84</v>
      </c>
      <c r="F8353" s="502" t="s">
        <v>878</v>
      </c>
      <c r="G8353" s="100" t="s">
        <v>691</v>
      </c>
      <c r="H8353" s="530"/>
      <c r="I8353" s="422"/>
      <c r="K8353" s="548"/>
      <c r="L8353" s="548"/>
      <c r="M8353" s="548"/>
      <c r="N8353" s="552"/>
    </row>
    <row r="8354" spans="1:14">
      <c r="A8354" s="499">
        <v>45789</v>
      </c>
      <c r="B8354" s="499">
        <v>45789</v>
      </c>
      <c r="C8354" s="500" t="s">
        <v>173</v>
      </c>
      <c r="D8354" s="500" t="s">
        <v>759</v>
      </c>
      <c r="E8354" s="501">
        <v>-352014018.05000001</v>
      </c>
      <c r="F8354" s="502" t="s">
        <v>878</v>
      </c>
      <c r="G8354" s="100" t="s">
        <v>1018</v>
      </c>
      <c r="H8354" s="530"/>
      <c r="I8354" s="422"/>
      <c r="K8354" s="548"/>
      <c r="L8354" s="548"/>
      <c r="M8354" s="548"/>
      <c r="N8354" s="552"/>
    </row>
    <row r="8355" spans="1:14">
      <c r="A8355" s="499">
        <v>45789</v>
      </c>
      <c r="B8355" s="499">
        <v>45796</v>
      </c>
      <c r="C8355" s="500" t="s">
        <v>173</v>
      </c>
      <c r="D8355" s="500" t="s">
        <v>759</v>
      </c>
      <c r="E8355" s="501">
        <v>5016542972.75</v>
      </c>
      <c r="F8355" s="502" t="s">
        <v>878</v>
      </c>
      <c r="G8355" s="100" t="s">
        <v>657</v>
      </c>
      <c r="H8355" s="100">
        <v>116990315</v>
      </c>
      <c r="I8355" s="422"/>
      <c r="K8355" s="548"/>
      <c r="L8355" s="548"/>
      <c r="M8355" s="548"/>
      <c r="N8355" s="552"/>
    </row>
    <row r="8356" spans="1:14">
      <c r="A8356" s="499">
        <v>45789</v>
      </c>
      <c r="B8356" s="499">
        <v>45796</v>
      </c>
      <c r="C8356" s="500" t="s">
        <v>173</v>
      </c>
      <c r="D8356" s="500" t="s">
        <v>759</v>
      </c>
      <c r="E8356" s="501">
        <v>50193375.229999997</v>
      </c>
      <c r="F8356" s="502" t="s">
        <v>878</v>
      </c>
      <c r="G8356" s="100" t="s">
        <v>598</v>
      </c>
      <c r="H8356" s="100">
        <v>116990318</v>
      </c>
      <c r="I8356" s="422"/>
      <c r="K8356" s="548"/>
      <c r="L8356" s="548"/>
      <c r="M8356" s="548"/>
      <c r="N8356" s="552"/>
    </row>
    <row r="8357" spans="1:14">
      <c r="A8357" s="499">
        <v>45789</v>
      </c>
      <c r="B8357" s="499">
        <v>45796</v>
      </c>
      <c r="C8357" s="500" t="s">
        <v>173</v>
      </c>
      <c r="D8357" s="500" t="s">
        <v>759</v>
      </c>
      <c r="E8357" s="501">
        <v>253785863.13999999</v>
      </c>
      <c r="F8357" s="502" t="s">
        <v>878</v>
      </c>
      <c r="G8357" s="100" t="s">
        <v>670</v>
      </c>
      <c r="H8357" s="100">
        <v>116990321</v>
      </c>
      <c r="I8357" s="422"/>
      <c r="K8357" s="548"/>
      <c r="L8357" s="548"/>
      <c r="M8357" s="548"/>
      <c r="N8357" s="552"/>
    </row>
    <row r="8358" spans="1:14">
      <c r="A8358" s="499">
        <v>45789</v>
      </c>
      <c r="B8358" s="499">
        <v>45796</v>
      </c>
      <c r="C8358" s="500" t="s">
        <v>173</v>
      </c>
      <c r="D8358" s="500" t="s">
        <v>759</v>
      </c>
      <c r="E8358" s="501">
        <v>260842275.13999999</v>
      </c>
      <c r="F8358" s="502" t="s">
        <v>878</v>
      </c>
      <c r="G8358" s="100" t="s">
        <v>550</v>
      </c>
      <c r="H8358" s="100">
        <v>116990324</v>
      </c>
      <c r="I8358" s="422"/>
      <c r="K8358" s="548"/>
      <c r="L8358" s="548"/>
      <c r="M8358" s="548"/>
      <c r="N8358" s="552"/>
    </row>
    <row r="8359" spans="1:14">
      <c r="A8359" s="499">
        <v>45789</v>
      </c>
      <c r="B8359" s="499">
        <v>45796</v>
      </c>
      <c r="C8359" s="500" t="s">
        <v>173</v>
      </c>
      <c r="D8359" s="500" t="s">
        <v>759</v>
      </c>
      <c r="E8359" s="501">
        <v>314212707.86000001</v>
      </c>
      <c r="F8359" s="502" t="s">
        <v>878</v>
      </c>
      <c r="G8359" s="100" t="s">
        <v>676</v>
      </c>
      <c r="H8359" s="100">
        <v>116990327</v>
      </c>
      <c r="I8359" s="422"/>
      <c r="K8359" s="548"/>
      <c r="L8359" s="548"/>
      <c r="M8359" s="548"/>
      <c r="N8359" s="552"/>
    </row>
    <row r="8360" spans="1:14">
      <c r="A8360" s="499">
        <v>45789</v>
      </c>
      <c r="B8360" s="499">
        <v>45796</v>
      </c>
      <c r="C8360" s="500" t="s">
        <v>173</v>
      </c>
      <c r="D8360" s="500" t="s">
        <v>759</v>
      </c>
      <c r="E8360" s="501">
        <v>1484625407.01</v>
      </c>
      <c r="F8360" s="502" t="s">
        <v>878</v>
      </c>
      <c r="G8360" s="100" t="s">
        <v>2526</v>
      </c>
      <c r="H8360" s="100">
        <v>116990330</v>
      </c>
      <c r="I8360" s="422"/>
      <c r="K8360" s="548"/>
      <c r="L8360" s="548"/>
      <c r="M8360" s="548"/>
      <c r="N8360" s="552"/>
    </row>
    <row r="8361" spans="1:14">
      <c r="A8361" s="499">
        <v>45789</v>
      </c>
      <c r="B8361" s="499">
        <v>45790</v>
      </c>
      <c r="C8361" s="500" t="s">
        <v>173</v>
      </c>
      <c r="D8361" s="500" t="s">
        <v>759</v>
      </c>
      <c r="E8361" s="501">
        <v>41018824.990000002</v>
      </c>
      <c r="F8361" s="502" t="s">
        <v>878</v>
      </c>
      <c r="G8361" s="100" t="s">
        <v>692</v>
      </c>
      <c r="H8361" s="100">
        <v>116991146</v>
      </c>
      <c r="I8361" s="422"/>
      <c r="K8361" s="548"/>
      <c r="L8361" s="548"/>
      <c r="M8361" s="548"/>
      <c r="N8361" s="552"/>
    </row>
    <row r="8362" spans="1:14">
      <c r="A8362" s="499">
        <v>45789</v>
      </c>
      <c r="B8362" s="499">
        <v>45790</v>
      </c>
      <c r="C8362" s="500" t="s">
        <v>173</v>
      </c>
      <c r="D8362" s="500" t="s">
        <v>759</v>
      </c>
      <c r="E8362" s="501">
        <v>382320349.88999999</v>
      </c>
      <c r="F8362" s="502" t="s">
        <v>878</v>
      </c>
      <c r="G8362" s="100" t="s">
        <v>602</v>
      </c>
      <c r="H8362" s="100">
        <v>116991149</v>
      </c>
      <c r="I8362" s="422"/>
      <c r="K8362" s="548"/>
      <c r="L8362" s="548"/>
      <c r="M8362" s="548"/>
      <c r="N8362" s="552"/>
    </row>
    <row r="8363" spans="1:14">
      <c r="A8363" s="499">
        <v>45789</v>
      </c>
      <c r="B8363" s="499">
        <v>45790</v>
      </c>
      <c r="C8363" s="500" t="s">
        <v>173</v>
      </c>
      <c r="D8363" s="500" t="s">
        <v>759</v>
      </c>
      <c r="E8363" s="501">
        <v>429221323.51999998</v>
      </c>
      <c r="F8363" s="502" t="s">
        <v>878</v>
      </c>
      <c r="G8363" s="100" t="s">
        <v>658</v>
      </c>
      <c r="H8363" s="100">
        <v>116991152</v>
      </c>
      <c r="I8363" s="422"/>
      <c r="K8363" s="548"/>
      <c r="L8363" s="548"/>
      <c r="M8363" s="548"/>
      <c r="N8363" s="552"/>
    </row>
    <row r="8364" spans="1:14">
      <c r="A8364" s="499">
        <v>45789</v>
      </c>
      <c r="B8364" s="499">
        <v>45790</v>
      </c>
      <c r="C8364" s="500" t="s">
        <v>173</v>
      </c>
      <c r="D8364" s="500" t="s">
        <v>759</v>
      </c>
      <c r="E8364" s="501">
        <v>447562386.69999999</v>
      </c>
      <c r="F8364" s="502" t="s">
        <v>878</v>
      </c>
      <c r="G8364" s="100" t="s">
        <v>675</v>
      </c>
      <c r="H8364" s="100">
        <v>116991155</v>
      </c>
      <c r="I8364" s="422"/>
      <c r="K8364" s="548"/>
      <c r="L8364" s="548"/>
      <c r="M8364" s="548"/>
      <c r="N8364" s="552"/>
    </row>
    <row r="8365" spans="1:14">
      <c r="A8365" s="499">
        <v>45789</v>
      </c>
      <c r="B8365" s="499">
        <v>45790</v>
      </c>
      <c r="C8365" s="500" t="s">
        <v>173</v>
      </c>
      <c r="D8365" s="500" t="s">
        <v>759</v>
      </c>
      <c r="E8365" s="501">
        <v>504617373.5</v>
      </c>
      <c r="F8365" s="502" t="s">
        <v>878</v>
      </c>
      <c r="G8365" s="100" t="s">
        <v>604</v>
      </c>
      <c r="H8365" s="100">
        <v>116991158</v>
      </c>
      <c r="I8365" s="422"/>
      <c r="K8365" s="548"/>
      <c r="L8365" s="548"/>
      <c r="M8365" s="548"/>
      <c r="N8365" s="552"/>
    </row>
    <row r="8366" spans="1:14">
      <c r="A8366" s="499">
        <v>45789</v>
      </c>
      <c r="B8366" s="499">
        <v>45790</v>
      </c>
      <c r="C8366" s="500" t="s">
        <v>173</v>
      </c>
      <c r="D8366" s="500" t="s">
        <v>759</v>
      </c>
      <c r="E8366" s="501">
        <v>197090411.77000001</v>
      </c>
      <c r="F8366" s="502" t="s">
        <v>878</v>
      </c>
      <c r="G8366" s="100" t="s">
        <v>691</v>
      </c>
      <c r="H8366" s="100">
        <v>116991161</v>
      </c>
      <c r="I8366" s="422"/>
      <c r="K8366" s="548"/>
      <c r="L8366" s="548"/>
      <c r="M8366" s="548"/>
      <c r="N8366" s="552"/>
    </row>
    <row r="8367" spans="1:14">
      <c r="A8367" s="499">
        <v>45789</v>
      </c>
      <c r="B8367" s="499">
        <v>45790</v>
      </c>
      <c r="C8367" s="500" t="s">
        <v>173</v>
      </c>
      <c r="D8367" s="500" t="s">
        <v>759</v>
      </c>
      <c r="E8367" s="501">
        <v>352161099.14999998</v>
      </c>
      <c r="F8367" s="502" t="s">
        <v>878</v>
      </c>
      <c r="G8367" s="100" t="s">
        <v>1018</v>
      </c>
      <c r="H8367" s="100">
        <v>116995997</v>
      </c>
      <c r="I8367" s="422"/>
      <c r="K8367" s="548"/>
      <c r="L8367" s="548"/>
      <c r="M8367" s="548"/>
      <c r="N8367" s="552"/>
    </row>
    <row r="8368" spans="1:14">
      <c r="A8368" s="499">
        <v>45789</v>
      </c>
      <c r="B8368" s="499">
        <v>45789</v>
      </c>
      <c r="C8368" s="500" t="s">
        <v>173</v>
      </c>
      <c r="D8368" s="500" t="s">
        <v>760</v>
      </c>
      <c r="E8368" s="501">
        <v>-182001914.28</v>
      </c>
      <c r="F8368" s="502" t="s">
        <v>878</v>
      </c>
      <c r="G8368" s="100" t="s">
        <v>686</v>
      </c>
      <c r="H8368" s="530"/>
      <c r="I8368" s="422"/>
      <c r="K8368" s="548"/>
      <c r="L8368" s="548"/>
      <c r="M8368" s="548"/>
      <c r="N8368" s="552"/>
    </row>
    <row r="8369" spans="1:14">
      <c r="A8369" s="499">
        <v>45789</v>
      </c>
      <c r="B8369" s="499">
        <v>45796</v>
      </c>
      <c r="C8369" s="500" t="s">
        <v>173</v>
      </c>
      <c r="D8369" s="500" t="s">
        <v>760</v>
      </c>
      <c r="E8369" s="501">
        <v>182560734.94999999</v>
      </c>
      <c r="F8369" s="502" t="s">
        <v>878</v>
      </c>
      <c r="G8369" s="100" t="s">
        <v>686</v>
      </c>
      <c r="H8369" s="100">
        <v>117002176</v>
      </c>
      <c r="I8369" s="422"/>
      <c r="K8369" s="548"/>
      <c r="L8369" s="548"/>
      <c r="M8369" s="548"/>
      <c r="N8369" s="552"/>
    </row>
    <row r="8370" spans="1:14">
      <c r="A8370" s="499">
        <v>45789</v>
      </c>
      <c r="B8370" s="499">
        <v>45789</v>
      </c>
      <c r="C8370" s="500" t="s">
        <v>173</v>
      </c>
      <c r="D8370" s="500" t="s">
        <v>764</v>
      </c>
      <c r="E8370" s="501">
        <v>-624019968</v>
      </c>
      <c r="F8370" s="502" t="s">
        <v>878</v>
      </c>
      <c r="G8370" s="100" t="s">
        <v>821</v>
      </c>
      <c r="H8370" s="530"/>
      <c r="I8370" s="422"/>
      <c r="K8370" s="548"/>
      <c r="L8370" s="548"/>
      <c r="M8370" s="548"/>
      <c r="N8370" s="552"/>
    </row>
    <row r="8371" spans="1:14">
      <c r="A8371" s="499">
        <v>45789</v>
      </c>
      <c r="B8371" s="499">
        <v>45789</v>
      </c>
      <c r="C8371" s="500" t="s">
        <v>173</v>
      </c>
      <c r="D8371" s="500" t="s">
        <v>764</v>
      </c>
      <c r="E8371" s="501">
        <v>-3983098130.3200002</v>
      </c>
      <c r="F8371" s="502" t="s">
        <v>878</v>
      </c>
      <c r="G8371" s="100" t="s">
        <v>684</v>
      </c>
      <c r="H8371" s="530"/>
      <c r="I8371" s="422"/>
      <c r="K8371" s="548"/>
      <c r="L8371" s="548"/>
      <c r="M8371" s="548"/>
      <c r="N8371" s="552"/>
    </row>
    <row r="8372" spans="1:14">
      <c r="A8372" s="499">
        <v>45789</v>
      </c>
      <c r="B8372" s="499">
        <v>45789</v>
      </c>
      <c r="C8372" s="500" t="s">
        <v>173</v>
      </c>
      <c r="D8372" s="500" t="s">
        <v>764</v>
      </c>
      <c r="E8372" s="501">
        <v>-25011563.75</v>
      </c>
      <c r="F8372" s="502" t="s">
        <v>878</v>
      </c>
      <c r="G8372" s="100" t="s">
        <v>680</v>
      </c>
      <c r="H8372" s="530"/>
      <c r="I8372" s="422"/>
      <c r="K8372" s="548"/>
      <c r="L8372" s="548"/>
      <c r="M8372" s="548"/>
      <c r="N8372" s="552"/>
    </row>
    <row r="8373" spans="1:14">
      <c r="A8373" s="499">
        <v>45789</v>
      </c>
      <c r="B8373" s="499">
        <v>45796</v>
      </c>
      <c r="C8373" s="500" t="s">
        <v>173</v>
      </c>
      <c r="D8373" s="500" t="s">
        <v>764</v>
      </c>
      <c r="E8373" s="501">
        <v>625934804.89999998</v>
      </c>
      <c r="F8373" s="502" t="s">
        <v>878</v>
      </c>
      <c r="G8373" s="100" t="s">
        <v>821</v>
      </c>
      <c r="H8373" s="530">
        <v>116992022</v>
      </c>
      <c r="I8373" s="422"/>
      <c r="K8373" s="548"/>
      <c r="L8373" s="548"/>
      <c r="M8373" s="548"/>
      <c r="N8373" s="552"/>
    </row>
    <row r="8374" spans="1:14">
      <c r="A8374" s="499">
        <v>45789</v>
      </c>
      <c r="B8374" s="499">
        <v>45796</v>
      </c>
      <c r="C8374" s="500" t="s">
        <v>173</v>
      </c>
      <c r="D8374" s="500" t="s">
        <v>764</v>
      </c>
      <c r="E8374" s="501">
        <v>3995320392.4299998</v>
      </c>
      <c r="F8374" s="502" t="s">
        <v>878</v>
      </c>
      <c r="G8374" s="100" t="s">
        <v>684</v>
      </c>
      <c r="H8374" s="530">
        <v>116992025</v>
      </c>
      <c r="I8374" s="422"/>
      <c r="K8374" s="548"/>
      <c r="L8374" s="548"/>
      <c r="M8374" s="548"/>
      <c r="N8374" s="552"/>
    </row>
    <row r="8375" spans="1:14">
      <c r="A8375" s="499">
        <v>45789</v>
      </c>
      <c r="B8375" s="499">
        <v>45796</v>
      </c>
      <c r="C8375" s="500" t="s">
        <v>173</v>
      </c>
      <c r="D8375" s="500" t="s">
        <v>764</v>
      </c>
      <c r="E8375" s="501">
        <v>25088359.530000001</v>
      </c>
      <c r="F8375" s="502" t="s">
        <v>878</v>
      </c>
      <c r="G8375" s="100" t="s">
        <v>680</v>
      </c>
      <c r="H8375" s="530">
        <v>116992061</v>
      </c>
      <c r="I8375" s="422"/>
      <c r="K8375" s="548"/>
      <c r="L8375" s="548"/>
      <c r="M8375" s="548"/>
      <c r="N8375" s="552"/>
    </row>
    <row r="8376" spans="1:14">
      <c r="A8376" s="499">
        <v>45789</v>
      </c>
      <c r="B8376" s="499">
        <v>45789</v>
      </c>
      <c r="C8376" s="500" t="s">
        <v>173</v>
      </c>
      <c r="D8376" s="500" t="s">
        <v>763</v>
      </c>
      <c r="E8376" s="501">
        <v>-5640658092.1199999</v>
      </c>
      <c r="F8376" s="502" t="s">
        <v>878</v>
      </c>
      <c r="G8376" s="100" t="s">
        <v>633</v>
      </c>
      <c r="H8376" s="530"/>
      <c r="I8376" s="422"/>
      <c r="K8376" s="548"/>
      <c r="L8376" s="548"/>
      <c r="M8376" s="548"/>
      <c r="N8376" s="552"/>
    </row>
    <row r="8377" spans="1:14">
      <c r="A8377" s="499">
        <v>45789</v>
      </c>
      <c r="B8377" s="499">
        <v>45789</v>
      </c>
      <c r="C8377" s="500" t="s">
        <v>173</v>
      </c>
      <c r="D8377" s="500" t="s">
        <v>763</v>
      </c>
      <c r="E8377" s="501">
        <v>-31003617.170000002</v>
      </c>
      <c r="F8377" s="502" t="s">
        <v>878</v>
      </c>
      <c r="G8377" s="100" t="s">
        <v>2527</v>
      </c>
      <c r="H8377" s="530"/>
      <c r="I8377" s="422"/>
      <c r="K8377" s="548"/>
      <c r="L8377" s="548"/>
      <c r="M8377" s="548"/>
      <c r="N8377" s="552"/>
    </row>
    <row r="8378" spans="1:14">
      <c r="A8378" s="499">
        <v>45789</v>
      </c>
      <c r="B8378" s="499">
        <v>45789</v>
      </c>
      <c r="C8378" s="500" t="s">
        <v>173</v>
      </c>
      <c r="D8378" s="500" t="s">
        <v>763</v>
      </c>
      <c r="E8378" s="501">
        <v>-1000116.68</v>
      </c>
      <c r="F8378" s="502" t="s">
        <v>878</v>
      </c>
      <c r="G8378" s="100" t="s">
        <v>2528</v>
      </c>
      <c r="H8378" s="530"/>
      <c r="I8378" s="422"/>
      <c r="K8378" s="548"/>
      <c r="L8378" s="548"/>
      <c r="M8378" s="548"/>
      <c r="N8378" s="552"/>
    </row>
    <row r="8379" spans="1:14">
      <c r="A8379" s="499">
        <v>45789</v>
      </c>
      <c r="B8379" s="499">
        <v>45789</v>
      </c>
      <c r="C8379" s="500" t="s">
        <v>173</v>
      </c>
      <c r="D8379" s="500" t="s">
        <v>763</v>
      </c>
      <c r="E8379" s="501">
        <v>-152017735.81999999</v>
      </c>
      <c r="F8379" s="502" t="s">
        <v>878</v>
      </c>
      <c r="G8379" s="100" t="s">
        <v>2529</v>
      </c>
      <c r="H8379" s="530"/>
      <c r="I8379" s="422"/>
      <c r="K8379" s="548"/>
      <c r="L8379" s="548"/>
      <c r="M8379" s="548"/>
      <c r="N8379" s="552"/>
    </row>
    <row r="8380" spans="1:14">
      <c r="A8380" s="499">
        <v>45789</v>
      </c>
      <c r="B8380" s="499">
        <v>45789</v>
      </c>
      <c r="C8380" s="500" t="s">
        <v>173</v>
      </c>
      <c r="D8380" s="500" t="s">
        <v>763</v>
      </c>
      <c r="E8380" s="501">
        <v>-1000199.2</v>
      </c>
      <c r="F8380" s="502" t="s">
        <v>878</v>
      </c>
      <c r="G8380" s="100" t="s">
        <v>681</v>
      </c>
      <c r="H8380" s="530"/>
      <c r="I8380" s="422"/>
      <c r="K8380" s="548"/>
      <c r="L8380" s="548"/>
      <c r="M8380" s="548"/>
      <c r="N8380" s="552"/>
    </row>
    <row r="8381" spans="1:14">
      <c r="A8381" s="499">
        <v>45789</v>
      </c>
      <c r="B8381" s="499">
        <v>45790</v>
      </c>
      <c r="C8381" s="500" t="s">
        <v>173</v>
      </c>
      <c r="D8381" s="500" t="s">
        <v>763</v>
      </c>
      <c r="E8381" s="501">
        <v>5643092136.54</v>
      </c>
      <c r="F8381" s="502" t="s">
        <v>878</v>
      </c>
      <c r="G8381" s="100" t="s">
        <v>633</v>
      </c>
      <c r="H8381" s="530">
        <v>116990415</v>
      </c>
      <c r="I8381" s="422"/>
      <c r="K8381" s="548"/>
      <c r="L8381" s="548"/>
      <c r="M8381" s="548"/>
      <c r="N8381" s="552"/>
    </row>
    <row r="8382" spans="1:14">
      <c r="A8382" s="499">
        <v>45789</v>
      </c>
      <c r="B8382" s="499">
        <v>45790</v>
      </c>
      <c r="C8382" s="500" t="s">
        <v>173</v>
      </c>
      <c r="D8382" s="500" t="s">
        <v>763</v>
      </c>
      <c r="E8382" s="501">
        <v>31016995.780000001</v>
      </c>
      <c r="F8382" s="502" t="s">
        <v>878</v>
      </c>
      <c r="G8382" s="100" t="s">
        <v>2527</v>
      </c>
      <c r="H8382" s="530">
        <v>116990478</v>
      </c>
      <c r="I8382" s="422"/>
      <c r="K8382" s="548"/>
      <c r="L8382" s="548"/>
      <c r="M8382" s="548"/>
      <c r="N8382" s="552"/>
    </row>
    <row r="8383" spans="1:14">
      <c r="A8383" s="499">
        <v>45789</v>
      </c>
      <c r="B8383" s="499">
        <v>45790</v>
      </c>
      <c r="C8383" s="500" t="s">
        <v>173</v>
      </c>
      <c r="D8383" s="500" t="s">
        <v>763</v>
      </c>
      <c r="E8383" s="501">
        <v>1000548.25</v>
      </c>
      <c r="F8383" s="502" t="s">
        <v>878</v>
      </c>
      <c r="G8383" s="100" t="s">
        <v>2528</v>
      </c>
      <c r="H8383" s="530">
        <v>116990543</v>
      </c>
      <c r="I8383" s="422"/>
      <c r="K8383" s="548"/>
      <c r="L8383" s="548"/>
      <c r="M8383" s="548"/>
      <c r="N8383" s="552"/>
    </row>
    <row r="8384" spans="1:14">
      <c r="A8384" s="499">
        <v>45789</v>
      </c>
      <c r="B8384" s="499">
        <v>45790</v>
      </c>
      <c r="C8384" s="500" t="s">
        <v>173</v>
      </c>
      <c r="D8384" s="500" t="s">
        <v>763</v>
      </c>
      <c r="E8384" s="501">
        <v>152082291.30000001</v>
      </c>
      <c r="F8384" s="502" t="s">
        <v>878</v>
      </c>
      <c r="G8384" s="100" t="s">
        <v>2529</v>
      </c>
      <c r="H8384" s="530">
        <v>116993265</v>
      </c>
      <c r="I8384" s="422"/>
      <c r="K8384" s="548"/>
      <c r="L8384" s="548"/>
      <c r="M8384" s="548"/>
      <c r="N8384" s="552"/>
    </row>
    <row r="8385" spans="1:14">
      <c r="A8385" s="499">
        <v>45789</v>
      </c>
      <c r="B8385" s="499">
        <v>45790</v>
      </c>
      <c r="C8385" s="500" t="s">
        <v>173</v>
      </c>
      <c r="D8385" s="500" t="s">
        <v>763</v>
      </c>
      <c r="E8385" s="501">
        <v>1000619.83</v>
      </c>
      <c r="F8385" s="502" t="s">
        <v>878</v>
      </c>
      <c r="G8385" s="100" t="s">
        <v>681</v>
      </c>
      <c r="H8385" s="530">
        <v>116993319</v>
      </c>
      <c r="I8385" s="422"/>
      <c r="K8385" s="548"/>
      <c r="L8385" s="548"/>
      <c r="M8385" s="548"/>
      <c r="N8385" s="552"/>
    </row>
    <row r="8386" spans="1:14">
      <c r="A8386" s="499">
        <v>45789</v>
      </c>
      <c r="B8386" s="499">
        <v>45789</v>
      </c>
      <c r="C8386" s="500" t="s">
        <v>173</v>
      </c>
      <c r="D8386" s="500" t="s">
        <v>759</v>
      </c>
      <c r="E8386" s="501">
        <v>302625000</v>
      </c>
      <c r="F8386" s="502" t="s">
        <v>381</v>
      </c>
      <c r="G8386" s="100" t="s">
        <v>74</v>
      </c>
      <c r="H8386" s="530"/>
      <c r="I8386" s="422"/>
      <c r="K8386" s="548"/>
      <c r="L8386" s="548"/>
      <c r="M8386" s="548"/>
      <c r="N8386" s="552"/>
    </row>
    <row r="8387" spans="1:14">
      <c r="A8387" s="499">
        <v>45789</v>
      </c>
      <c r="B8387" s="499">
        <v>45789</v>
      </c>
      <c r="C8387" s="500" t="s">
        <v>173</v>
      </c>
      <c r="D8387" s="500" t="s">
        <v>762</v>
      </c>
      <c r="E8387" s="501">
        <v>291125250</v>
      </c>
      <c r="F8387" s="502" t="s">
        <v>381</v>
      </c>
      <c r="G8387" s="100" t="s">
        <v>74</v>
      </c>
      <c r="H8387" s="530"/>
      <c r="I8387" s="422"/>
      <c r="K8387" s="548"/>
      <c r="L8387" s="548"/>
      <c r="M8387" s="548"/>
      <c r="N8387" s="552"/>
    </row>
    <row r="8388" spans="1:14">
      <c r="A8388" s="499">
        <v>45789</v>
      </c>
      <c r="B8388" s="499">
        <v>45789</v>
      </c>
      <c r="C8388" s="500" t="s">
        <v>173</v>
      </c>
      <c r="D8388" s="500" t="s">
        <v>760</v>
      </c>
      <c r="E8388" s="501">
        <v>182785500.00000003</v>
      </c>
      <c r="F8388" s="502" t="s">
        <v>381</v>
      </c>
      <c r="G8388" s="100" t="s">
        <v>74</v>
      </c>
      <c r="H8388" s="530"/>
      <c r="I8388" s="422"/>
      <c r="K8388" s="548"/>
      <c r="L8388" s="548"/>
      <c r="M8388" s="548"/>
      <c r="N8388" s="552"/>
    </row>
    <row r="8389" spans="1:14">
      <c r="A8389" s="499">
        <v>45789</v>
      </c>
      <c r="B8389" s="499">
        <v>45789</v>
      </c>
      <c r="C8389" s="500" t="s">
        <v>173</v>
      </c>
      <c r="D8389" s="500" t="s">
        <v>761</v>
      </c>
      <c r="E8389" s="501">
        <v>157365000.00000003</v>
      </c>
      <c r="F8389" s="502" t="s">
        <v>381</v>
      </c>
      <c r="G8389" s="100" t="s">
        <v>74</v>
      </c>
      <c r="H8389" s="530"/>
      <c r="I8389" s="422">
        <v>-1</v>
      </c>
      <c r="K8389" s="548"/>
      <c r="L8389" s="548"/>
      <c r="M8389" s="548"/>
      <c r="N8389" s="552"/>
    </row>
    <row r="8390" spans="1:14">
      <c r="A8390" s="499">
        <v>45787</v>
      </c>
      <c r="B8390" s="499">
        <v>45789</v>
      </c>
      <c r="C8390" s="500" t="s">
        <v>173</v>
      </c>
      <c r="D8390" s="500" t="s">
        <v>761</v>
      </c>
      <c r="E8390" s="501">
        <v>590799.99999999988</v>
      </c>
      <c r="F8390" s="502" t="s">
        <v>381</v>
      </c>
      <c r="G8390" s="100" t="s">
        <v>92</v>
      </c>
      <c r="H8390" s="530"/>
      <c r="I8390" s="422"/>
      <c r="K8390" s="548"/>
      <c r="L8390" s="548"/>
      <c r="M8390" s="548"/>
      <c r="N8390" s="552"/>
    </row>
    <row r="8391" spans="1:14">
      <c r="A8391" s="499">
        <v>45789</v>
      </c>
      <c r="B8391" s="499">
        <v>45789</v>
      </c>
      <c r="C8391" s="500" t="s">
        <v>173</v>
      </c>
      <c r="D8391" s="500" t="s">
        <v>763</v>
      </c>
      <c r="E8391" s="501">
        <v>153128250</v>
      </c>
      <c r="F8391" s="502" t="s">
        <v>381</v>
      </c>
      <c r="G8391" s="100" t="s">
        <v>74</v>
      </c>
      <c r="H8391" s="530"/>
      <c r="I8391" s="422"/>
      <c r="K8391" s="548"/>
      <c r="L8391" s="548"/>
      <c r="M8391" s="548"/>
      <c r="N8391" s="552"/>
    </row>
    <row r="8392" spans="1:14">
      <c r="A8392" s="499">
        <v>45790</v>
      </c>
      <c r="B8392" s="499">
        <v>45790</v>
      </c>
      <c r="C8392" s="500" t="s">
        <v>173</v>
      </c>
      <c r="D8392" s="500" t="s">
        <v>762</v>
      </c>
      <c r="E8392" s="501">
        <v>-3057881610.4200001</v>
      </c>
      <c r="F8392" s="502" t="s">
        <v>878</v>
      </c>
      <c r="G8392" s="100" t="s">
        <v>1091</v>
      </c>
      <c r="H8392" s="530"/>
      <c r="I8392" s="422"/>
      <c r="K8392" s="548"/>
      <c r="L8392" s="548"/>
      <c r="M8392" s="548"/>
      <c r="N8392" s="552"/>
    </row>
    <row r="8393" spans="1:14">
      <c r="A8393" s="499">
        <v>45790</v>
      </c>
      <c r="B8393" s="499">
        <v>45790</v>
      </c>
      <c r="C8393" s="500" t="s">
        <v>173</v>
      </c>
      <c r="D8393" s="500" t="s">
        <v>762</v>
      </c>
      <c r="E8393" s="501">
        <v>-2287981818.25</v>
      </c>
      <c r="F8393" s="502" t="s">
        <v>878</v>
      </c>
      <c r="G8393" s="100" t="s">
        <v>805</v>
      </c>
      <c r="H8393" s="530"/>
      <c r="I8393" s="422"/>
      <c r="K8393" s="548"/>
      <c r="L8393" s="548"/>
      <c r="M8393" s="548"/>
      <c r="N8393" s="552"/>
    </row>
    <row r="8394" spans="1:14">
      <c r="A8394" s="499">
        <v>45790</v>
      </c>
      <c r="B8394" s="499">
        <v>45790</v>
      </c>
      <c r="C8394" s="500" t="s">
        <v>173</v>
      </c>
      <c r="D8394" s="500" t="s">
        <v>762</v>
      </c>
      <c r="E8394" s="501">
        <v>-28012020.510000002</v>
      </c>
      <c r="F8394" s="502" t="s">
        <v>878</v>
      </c>
      <c r="G8394" s="100" t="s">
        <v>2537</v>
      </c>
      <c r="H8394" s="530"/>
      <c r="I8394" s="422"/>
      <c r="K8394" s="548"/>
      <c r="L8394" s="548"/>
      <c r="M8394" s="548"/>
      <c r="N8394" s="552"/>
    </row>
    <row r="8395" spans="1:14">
      <c r="A8395" s="499">
        <v>45790</v>
      </c>
      <c r="B8395" s="499">
        <v>45791</v>
      </c>
      <c r="C8395" s="500" t="s">
        <v>173</v>
      </c>
      <c r="D8395" s="500" t="s">
        <v>762</v>
      </c>
      <c r="E8395" s="501">
        <v>3059175982.3800001</v>
      </c>
      <c r="F8395" s="502" t="s">
        <v>878</v>
      </c>
      <c r="G8395" s="100" t="s">
        <v>1091</v>
      </c>
      <c r="H8395" s="100">
        <v>117014597</v>
      </c>
      <c r="I8395" s="422"/>
      <c r="K8395" s="548"/>
      <c r="L8395" s="548"/>
      <c r="M8395" s="548"/>
      <c r="N8395" s="552"/>
    </row>
    <row r="8396" spans="1:14">
      <c r="A8396" s="499">
        <v>45790</v>
      </c>
      <c r="B8396" s="499">
        <v>45791</v>
      </c>
      <c r="C8396" s="500" t="s">
        <v>173</v>
      </c>
      <c r="D8396" s="500" t="s">
        <v>762</v>
      </c>
      <c r="E8396" s="501">
        <v>2288950292.75</v>
      </c>
      <c r="F8396" s="502" t="s">
        <v>878</v>
      </c>
      <c r="G8396" s="100" t="s">
        <v>805</v>
      </c>
      <c r="H8396" s="100">
        <v>117014600</v>
      </c>
      <c r="I8396" s="422"/>
      <c r="K8396" s="548"/>
      <c r="L8396" s="548"/>
      <c r="M8396" s="548"/>
      <c r="N8396" s="552"/>
    </row>
    <row r="8397" spans="1:14">
      <c r="A8397" s="499">
        <v>45790</v>
      </c>
      <c r="B8397" s="499">
        <v>45791</v>
      </c>
      <c r="C8397" s="500" t="s">
        <v>173</v>
      </c>
      <c r="D8397" s="500" t="s">
        <v>762</v>
      </c>
      <c r="E8397" s="501">
        <v>28023877.649999999</v>
      </c>
      <c r="F8397" s="502" t="s">
        <v>878</v>
      </c>
      <c r="G8397" s="100" t="s">
        <v>2537</v>
      </c>
      <c r="H8397" s="100">
        <v>117014630</v>
      </c>
      <c r="I8397" s="422"/>
      <c r="K8397" s="548"/>
      <c r="L8397" s="548"/>
      <c r="M8397" s="548"/>
      <c r="N8397" s="552"/>
    </row>
    <row r="8398" spans="1:14">
      <c r="A8398" s="499">
        <v>45790</v>
      </c>
      <c r="B8398" s="499">
        <v>45790</v>
      </c>
      <c r="C8398" s="500" t="s">
        <v>173</v>
      </c>
      <c r="D8398" s="500" t="s">
        <v>761</v>
      </c>
      <c r="E8398" s="501">
        <v>-1011810219.4400001</v>
      </c>
      <c r="F8398" s="502" t="s">
        <v>878</v>
      </c>
      <c r="G8398" s="100" t="s">
        <v>686</v>
      </c>
      <c r="H8398" s="530"/>
      <c r="I8398" s="422"/>
      <c r="K8398" s="548"/>
      <c r="L8398" s="548"/>
      <c r="M8398" s="548"/>
      <c r="N8398" s="552"/>
    </row>
    <row r="8399" spans="1:14">
      <c r="A8399" s="499">
        <v>45790</v>
      </c>
      <c r="B8399" s="499">
        <v>45790</v>
      </c>
      <c r="C8399" s="500" t="s">
        <v>173</v>
      </c>
      <c r="D8399" s="500" t="s">
        <v>761</v>
      </c>
      <c r="E8399" s="501">
        <v>-537524355.79999995</v>
      </c>
      <c r="F8399" s="502" t="s">
        <v>878</v>
      </c>
      <c r="G8399" s="100" t="s">
        <v>816</v>
      </c>
      <c r="H8399" s="530"/>
      <c r="I8399" s="422"/>
      <c r="K8399" s="548"/>
      <c r="L8399" s="548"/>
      <c r="M8399" s="548"/>
      <c r="N8399" s="552"/>
    </row>
    <row r="8400" spans="1:14">
      <c r="A8400" s="499">
        <v>45790</v>
      </c>
      <c r="B8400" s="499">
        <v>45790</v>
      </c>
      <c r="C8400" s="500" t="s">
        <v>173</v>
      </c>
      <c r="D8400" s="500" t="s">
        <v>761</v>
      </c>
      <c r="E8400" s="501">
        <v>-1163349532.6700001</v>
      </c>
      <c r="F8400" s="502" t="s">
        <v>878</v>
      </c>
      <c r="G8400" s="100" t="s">
        <v>678</v>
      </c>
      <c r="H8400" s="530"/>
      <c r="I8400" s="422"/>
      <c r="K8400" s="548"/>
      <c r="L8400" s="548"/>
      <c r="M8400" s="548"/>
      <c r="N8400" s="552"/>
    </row>
    <row r="8401" spans="1:14">
      <c r="A8401" s="499">
        <v>45790</v>
      </c>
      <c r="B8401" s="499">
        <v>45790</v>
      </c>
      <c r="C8401" s="500" t="s">
        <v>173</v>
      </c>
      <c r="D8401" s="500" t="s">
        <v>761</v>
      </c>
      <c r="E8401" s="501">
        <v>-337203084.29000002</v>
      </c>
      <c r="F8401" s="502" t="s">
        <v>878</v>
      </c>
      <c r="G8401" s="100" t="s">
        <v>680</v>
      </c>
      <c r="H8401" s="530"/>
      <c r="I8401" s="422"/>
      <c r="K8401" s="548"/>
      <c r="L8401" s="548"/>
      <c r="M8401" s="548"/>
      <c r="N8401" s="552"/>
    </row>
    <row r="8402" spans="1:14">
      <c r="A8402" s="499">
        <v>45790</v>
      </c>
      <c r="B8402" s="499">
        <v>45790</v>
      </c>
      <c r="C8402" s="500" t="s">
        <v>173</v>
      </c>
      <c r="D8402" s="500" t="s">
        <v>761</v>
      </c>
      <c r="E8402" s="501">
        <v>-8003562.7000000002</v>
      </c>
      <c r="F8402" s="502" t="s">
        <v>878</v>
      </c>
      <c r="G8402" s="100" t="s">
        <v>2538</v>
      </c>
      <c r="H8402" s="530"/>
      <c r="I8402" s="422"/>
      <c r="K8402" s="548"/>
      <c r="L8402" s="548"/>
      <c r="M8402" s="548"/>
      <c r="N8402" s="552"/>
    </row>
    <row r="8403" spans="1:14">
      <c r="A8403" s="499">
        <v>45790</v>
      </c>
      <c r="B8403" s="499">
        <v>45791</v>
      </c>
      <c r="C8403" s="500" t="s">
        <v>173</v>
      </c>
      <c r="D8403" s="500" t="s">
        <v>761</v>
      </c>
      <c r="E8403" s="501">
        <v>1012241278.3099999</v>
      </c>
      <c r="F8403" s="502" t="s">
        <v>878</v>
      </c>
      <c r="G8403" s="100" t="s">
        <v>686</v>
      </c>
      <c r="H8403" s="530">
        <v>117012594</v>
      </c>
      <c r="I8403" s="422"/>
      <c r="K8403" s="548"/>
      <c r="L8403" s="548"/>
      <c r="M8403" s="548"/>
      <c r="N8403" s="552"/>
    </row>
    <row r="8404" spans="1:14">
      <c r="A8404" s="499">
        <v>45790</v>
      </c>
      <c r="B8404" s="499">
        <v>45791</v>
      </c>
      <c r="C8404" s="500" t="s">
        <v>173</v>
      </c>
      <c r="D8404" s="500" t="s">
        <v>761</v>
      </c>
      <c r="E8404" s="501">
        <v>537753355.89999998</v>
      </c>
      <c r="F8404" s="502" t="s">
        <v>878</v>
      </c>
      <c r="G8404" s="100" t="s">
        <v>816</v>
      </c>
      <c r="H8404" s="530">
        <v>117012619</v>
      </c>
      <c r="I8404" s="422"/>
      <c r="K8404" s="548"/>
      <c r="L8404" s="548"/>
      <c r="M8404" s="548"/>
      <c r="N8404" s="552"/>
    </row>
    <row r="8405" spans="1:14">
      <c r="A8405" s="499">
        <v>45790</v>
      </c>
      <c r="B8405" s="499">
        <v>45797</v>
      </c>
      <c r="C8405" s="500" t="s">
        <v>173</v>
      </c>
      <c r="D8405" s="500" t="s">
        <v>761</v>
      </c>
      <c r="E8405" s="501">
        <v>1166908129.6500001</v>
      </c>
      <c r="F8405" s="502" t="s">
        <v>878</v>
      </c>
      <c r="G8405" s="100" t="s">
        <v>678</v>
      </c>
      <c r="H8405" s="530">
        <v>117012694</v>
      </c>
      <c r="I8405" s="422"/>
      <c r="K8405" s="548"/>
      <c r="L8405" s="548"/>
      <c r="M8405" s="548"/>
      <c r="N8405" s="552"/>
    </row>
    <row r="8406" spans="1:14">
      <c r="A8406" s="499">
        <v>45790</v>
      </c>
      <c r="B8406" s="499">
        <v>45797</v>
      </c>
      <c r="C8406" s="500" t="s">
        <v>173</v>
      </c>
      <c r="D8406" s="500" t="s">
        <v>761</v>
      </c>
      <c r="E8406" s="501">
        <v>338234562.66000003</v>
      </c>
      <c r="F8406" s="502" t="s">
        <v>878</v>
      </c>
      <c r="G8406" s="100" t="s">
        <v>680</v>
      </c>
      <c r="H8406" s="530">
        <v>117012697</v>
      </c>
      <c r="I8406" s="422"/>
      <c r="K8406" s="548"/>
      <c r="L8406" s="548"/>
      <c r="M8406" s="548"/>
      <c r="N8406" s="552"/>
    </row>
    <row r="8407" spans="1:14">
      <c r="A8407" s="499">
        <v>45790</v>
      </c>
      <c r="B8407" s="499">
        <v>45791</v>
      </c>
      <c r="C8407" s="500" t="s">
        <v>173</v>
      </c>
      <c r="D8407" s="500" t="s">
        <v>761</v>
      </c>
      <c r="E8407" s="501">
        <v>8006961.5199999996</v>
      </c>
      <c r="F8407" s="502" t="s">
        <v>878</v>
      </c>
      <c r="G8407" s="100" t="s">
        <v>2538</v>
      </c>
      <c r="H8407" s="530">
        <v>117012734</v>
      </c>
      <c r="I8407" s="422"/>
      <c r="K8407" s="548"/>
      <c r="L8407" s="548"/>
      <c r="M8407" s="548"/>
      <c r="N8407" s="552"/>
    </row>
    <row r="8408" spans="1:14">
      <c r="A8408" s="499">
        <v>45790</v>
      </c>
      <c r="B8408" s="499">
        <v>45790</v>
      </c>
      <c r="C8408" s="500" t="s">
        <v>173</v>
      </c>
      <c r="D8408" s="500" t="s">
        <v>759</v>
      </c>
      <c r="E8408" s="501">
        <v>-2340225444.96</v>
      </c>
      <c r="F8408" s="502" t="s">
        <v>878</v>
      </c>
      <c r="G8408" s="100" t="s">
        <v>819</v>
      </c>
      <c r="H8408" s="530"/>
      <c r="I8408" s="422"/>
      <c r="K8408" s="548"/>
      <c r="L8408" s="548"/>
      <c r="M8408" s="548"/>
      <c r="N8408" s="552"/>
    </row>
    <row r="8409" spans="1:14">
      <c r="A8409" s="499">
        <v>45790</v>
      </c>
      <c r="B8409" s="499">
        <v>45790</v>
      </c>
      <c r="C8409" s="500" t="s">
        <v>173</v>
      </c>
      <c r="D8409" s="500" t="s">
        <v>759</v>
      </c>
      <c r="E8409" s="501">
        <v>-16004393.98</v>
      </c>
      <c r="F8409" s="502" t="s">
        <v>878</v>
      </c>
      <c r="G8409" s="100" t="s">
        <v>675</v>
      </c>
      <c r="H8409" s="530"/>
      <c r="I8409" s="422"/>
      <c r="K8409" s="548"/>
      <c r="L8409" s="548"/>
      <c r="M8409" s="548"/>
      <c r="N8409" s="552"/>
    </row>
    <row r="8410" spans="1:14">
      <c r="A8410" s="499">
        <v>45790</v>
      </c>
      <c r="B8410" s="499">
        <v>45791</v>
      </c>
      <c r="C8410" s="500" t="s">
        <v>173</v>
      </c>
      <c r="D8410" s="500" t="s">
        <v>759</v>
      </c>
      <c r="E8410" s="501">
        <v>2341225650.9000001</v>
      </c>
      <c r="F8410" s="502" t="s">
        <v>878</v>
      </c>
      <c r="G8410" s="100" t="s">
        <v>819</v>
      </c>
      <c r="H8410" s="530">
        <v>117013734</v>
      </c>
      <c r="I8410" s="422"/>
      <c r="K8410" s="548"/>
      <c r="L8410" s="548"/>
      <c r="M8410" s="548"/>
      <c r="N8410" s="552"/>
    </row>
    <row r="8411" spans="1:14">
      <c r="A8411" s="499">
        <v>45790</v>
      </c>
      <c r="B8411" s="499">
        <v>45791</v>
      </c>
      <c r="C8411" s="500" t="s">
        <v>173</v>
      </c>
      <c r="D8411" s="500" t="s">
        <v>759</v>
      </c>
      <c r="E8411" s="501">
        <v>16011321.91</v>
      </c>
      <c r="F8411" s="502" t="s">
        <v>878</v>
      </c>
      <c r="G8411" s="100" t="s">
        <v>675</v>
      </c>
      <c r="H8411" s="530">
        <v>117025242</v>
      </c>
      <c r="I8411" s="422"/>
      <c r="K8411" s="548"/>
      <c r="L8411" s="548"/>
      <c r="M8411" s="548"/>
      <c r="N8411" s="552"/>
    </row>
    <row r="8412" spans="1:14">
      <c r="A8412" s="499">
        <v>45790</v>
      </c>
      <c r="B8412" s="499">
        <v>45790</v>
      </c>
      <c r="C8412" s="500" t="s">
        <v>173</v>
      </c>
      <c r="D8412" s="500" t="s">
        <v>763</v>
      </c>
      <c r="E8412" s="501">
        <v>-5795463216.7600002</v>
      </c>
      <c r="F8412" s="502" t="s">
        <v>878</v>
      </c>
      <c r="G8412" s="100" t="s">
        <v>716</v>
      </c>
      <c r="H8412" s="530"/>
      <c r="I8412" s="422"/>
      <c r="K8412" s="548"/>
      <c r="L8412" s="548"/>
      <c r="M8412" s="548"/>
      <c r="N8412" s="552"/>
    </row>
    <row r="8413" spans="1:14">
      <c r="A8413" s="499">
        <v>45790</v>
      </c>
      <c r="B8413" s="499">
        <v>45790</v>
      </c>
      <c r="C8413" s="500" t="s">
        <v>173</v>
      </c>
      <c r="D8413" s="500" t="s">
        <v>763</v>
      </c>
      <c r="E8413" s="501">
        <v>-32008081.280000001</v>
      </c>
      <c r="F8413" s="502" t="s">
        <v>878</v>
      </c>
      <c r="G8413" s="100" t="s">
        <v>2539</v>
      </c>
      <c r="H8413" s="530"/>
      <c r="I8413" s="422"/>
      <c r="K8413" s="548"/>
      <c r="L8413" s="548"/>
      <c r="M8413" s="548"/>
      <c r="N8413" s="552"/>
    </row>
    <row r="8414" spans="1:14">
      <c r="A8414" s="499">
        <v>45790</v>
      </c>
      <c r="B8414" s="499">
        <v>45791</v>
      </c>
      <c r="C8414" s="500" t="s">
        <v>173</v>
      </c>
      <c r="D8414" s="500" t="s">
        <v>763</v>
      </c>
      <c r="E8414" s="501">
        <v>5797940181.8599997</v>
      </c>
      <c r="F8414" s="502" t="s">
        <v>878</v>
      </c>
      <c r="G8414" s="100" t="s">
        <v>716</v>
      </c>
      <c r="H8414" s="530">
        <v>117011713</v>
      </c>
      <c r="I8414" s="422"/>
      <c r="K8414" s="548"/>
      <c r="L8414" s="548"/>
      <c r="M8414" s="548"/>
      <c r="N8414" s="552"/>
    </row>
    <row r="8415" spans="1:14">
      <c r="A8415" s="499">
        <v>45790</v>
      </c>
      <c r="B8415" s="499">
        <v>45791</v>
      </c>
      <c r="C8415" s="500" t="s">
        <v>173</v>
      </c>
      <c r="D8415" s="500" t="s">
        <v>763</v>
      </c>
      <c r="E8415" s="501">
        <v>32021761.449999999</v>
      </c>
      <c r="F8415" s="502" t="s">
        <v>878</v>
      </c>
      <c r="G8415" s="100" t="s">
        <v>2539</v>
      </c>
      <c r="H8415" s="530">
        <v>117011739</v>
      </c>
      <c r="I8415" s="422"/>
      <c r="K8415" s="548"/>
      <c r="L8415" s="548"/>
      <c r="M8415" s="548"/>
      <c r="N8415" s="552"/>
    </row>
    <row r="8416" spans="1:14">
      <c r="A8416" s="499">
        <v>45791</v>
      </c>
      <c r="B8416" s="499">
        <v>45791</v>
      </c>
      <c r="C8416" s="500" t="s">
        <v>173</v>
      </c>
      <c r="D8416" s="500" t="s">
        <v>762</v>
      </c>
      <c r="E8416" s="501">
        <v>-86001367.680000007</v>
      </c>
      <c r="F8416" s="502" t="s">
        <v>878</v>
      </c>
      <c r="G8416" s="100" t="s">
        <v>2514</v>
      </c>
      <c r="H8416" s="530"/>
      <c r="I8416" s="422"/>
      <c r="K8416" s="548"/>
      <c r="L8416" s="548"/>
      <c r="M8416" s="548"/>
      <c r="N8416" s="552"/>
    </row>
    <row r="8417" spans="1:14">
      <c r="A8417" s="499">
        <v>45791</v>
      </c>
      <c r="B8417" s="499">
        <v>45791</v>
      </c>
      <c r="C8417" s="500" t="s">
        <v>173</v>
      </c>
      <c r="D8417" s="500" t="s">
        <v>762</v>
      </c>
      <c r="E8417" s="501">
        <v>-203175645.75</v>
      </c>
      <c r="F8417" s="502" t="s">
        <v>878</v>
      </c>
      <c r="G8417" s="100" t="s">
        <v>1042</v>
      </c>
      <c r="H8417" s="530"/>
      <c r="I8417" s="422"/>
      <c r="K8417" s="548"/>
      <c r="L8417" s="548"/>
      <c r="M8417" s="548"/>
      <c r="N8417" s="552"/>
    </row>
    <row r="8418" spans="1:14">
      <c r="A8418" s="499">
        <v>45791</v>
      </c>
      <c r="B8418" s="499">
        <v>45791</v>
      </c>
      <c r="C8418" s="500" t="s">
        <v>173</v>
      </c>
      <c r="D8418" s="500" t="s">
        <v>762</v>
      </c>
      <c r="E8418" s="501">
        <v>-507000275.5</v>
      </c>
      <c r="F8418" s="502" t="s">
        <v>878</v>
      </c>
      <c r="G8418" s="100" t="s">
        <v>1048</v>
      </c>
      <c r="H8418" s="530"/>
      <c r="I8418" s="422"/>
      <c r="K8418" s="548"/>
      <c r="L8418" s="548"/>
      <c r="M8418" s="548"/>
      <c r="N8418" s="552"/>
    </row>
    <row r="8419" spans="1:14">
      <c r="A8419" s="499">
        <v>45791</v>
      </c>
      <c r="B8419" s="499">
        <v>45791</v>
      </c>
      <c r="C8419" s="500" t="s">
        <v>173</v>
      </c>
      <c r="D8419" s="500" t="s">
        <v>762</v>
      </c>
      <c r="E8419" s="501">
        <v>-528475613.94999999</v>
      </c>
      <c r="F8419" s="502" t="s">
        <v>878</v>
      </c>
      <c r="G8419" s="100" t="s">
        <v>686</v>
      </c>
      <c r="H8419" s="530"/>
      <c r="I8419" s="422"/>
      <c r="K8419" s="548"/>
      <c r="L8419" s="548"/>
      <c r="M8419" s="548"/>
      <c r="N8419" s="552"/>
    </row>
    <row r="8420" spans="1:14">
      <c r="A8420" s="499">
        <v>45791</v>
      </c>
      <c r="B8420" s="499">
        <v>45791</v>
      </c>
      <c r="C8420" s="500" t="s">
        <v>173</v>
      </c>
      <c r="D8420" s="500" t="s">
        <v>762</v>
      </c>
      <c r="E8420" s="501">
        <v>-1207229832.1099999</v>
      </c>
      <c r="F8420" s="502" t="s">
        <v>878</v>
      </c>
      <c r="G8420" s="100" t="s">
        <v>696</v>
      </c>
      <c r="H8420" s="530"/>
      <c r="I8420" s="422"/>
      <c r="K8420" s="548"/>
      <c r="L8420" s="548"/>
      <c r="M8420" s="548"/>
      <c r="N8420" s="552"/>
    </row>
    <row r="8421" spans="1:14">
      <c r="A8421" s="499">
        <v>45791</v>
      </c>
      <c r="B8421" s="499">
        <v>45791</v>
      </c>
      <c r="C8421" s="500" t="s">
        <v>173</v>
      </c>
      <c r="D8421" s="500" t="s">
        <v>762</v>
      </c>
      <c r="E8421" s="501">
        <v>-2816087695.3400002</v>
      </c>
      <c r="F8421" s="502" t="s">
        <v>878</v>
      </c>
      <c r="G8421" s="100" t="s">
        <v>2540</v>
      </c>
      <c r="H8421" s="530"/>
      <c r="I8421" s="422"/>
      <c r="K8421" s="548"/>
      <c r="L8421" s="548"/>
      <c r="M8421" s="548"/>
      <c r="N8421" s="552"/>
    </row>
    <row r="8422" spans="1:14">
      <c r="A8422" s="499">
        <v>45791</v>
      </c>
      <c r="B8422" s="499">
        <v>45791</v>
      </c>
      <c r="C8422" s="500" t="s">
        <v>173</v>
      </c>
      <c r="D8422" s="500" t="s">
        <v>762</v>
      </c>
      <c r="E8422" s="501">
        <v>-28020773.09</v>
      </c>
      <c r="F8422" s="502" t="s">
        <v>878</v>
      </c>
      <c r="G8422" s="100" t="s">
        <v>1051</v>
      </c>
      <c r="H8422" s="530"/>
      <c r="I8422" s="422"/>
      <c r="K8422" s="548"/>
      <c r="L8422" s="548"/>
      <c r="M8422" s="548"/>
      <c r="N8422" s="552"/>
    </row>
    <row r="8423" spans="1:14">
      <c r="A8423" s="499">
        <v>45791</v>
      </c>
      <c r="B8423" s="499">
        <v>45792</v>
      </c>
      <c r="C8423" s="500" t="s">
        <v>173</v>
      </c>
      <c r="D8423" s="500" t="s">
        <v>762</v>
      </c>
      <c r="E8423" s="501">
        <v>86038124.900000006</v>
      </c>
      <c r="F8423" s="502" t="s">
        <v>878</v>
      </c>
      <c r="G8423" s="100" t="s">
        <v>2514</v>
      </c>
      <c r="H8423" s="530">
        <v>117032656</v>
      </c>
      <c r="I8423" s="422"/>
      <c r="K8423" s="548"/>
      <c r="L8423" s="548"/>
      <c r="M8423" s="548"/>
      <c r="N8423" s="552"/>
    </row>
    <row r="8424" spans="1:14">
      <c r="A8424" s="499">
        <v>45791</v>
      </c>
      <c r="B8424" s="499">
        <v>45792</v>
      </c>
      <c r="C8424" s="500" t="s">
        <v>173</v>
      </c>
      <c r="D8424" s="500" t="s">
        <v>762</v>
      </c>
      <c r="E8424" s="501">
        <v>203262483.58000001</v>
      </c>
      <c r="F8424" s="502" t="s">
        <v>878</v>
      </c>
      <c r="G8424" s="100" t="s">
        <v>1042</v>
      </c>
      <c r="H8424" s="530">
        <v>117032659</v>
      </c>
      <c r="I8424" s="422"/>
      <c r="K8424" s="548"/>
      <c r="L8424" s="548"/>
      <c r="M8424" s="548"/>
      <c r="N8424" s="552"/>
    </row>
    <row r="8425" spans="1:14">
      <c r="A8425" s="499">
        <v>45791</v>
      </c>
      <c r="B8425" s="499">
        <v>45792</v>
      </c>
      <c r="C8425" s="500" t="s">
        <v>173</v>
      </c>
      <c r="D8425" s="500" t="s">
        <v>762</v>
      </c>
      <c r="E8425" s="501">
        <v>507216968.81</v>
      </c>
      <c r="F8425" s="502" t="s">
        <v>878</v>
      </c>
      <c r="G8425" s="100" t="s">
        <v>1048</v>
      </c>
      <c r="H8425" s="530">
        <v>117032662</v>
      </c>
      <c r="I8425" s="422"/>
      <c r="K8425" s="548"/>
      <c r="L8425" s="548"/>
      <c r="M8425" s="548"/>
      <c r="N8425" s="552"/>
    </row>
    <row r="8426" spans="1:14">
      <c r="A8426" s="499">
        <v>45791</v>
      </c>
      <c r="B8426" s="499">
        <v>45792</v>
      </c>
      <c r="C8426" s="500" t="s">
        <v>173</v>
      </c>
      <c r="D8426" s="500" t="s">
        <v>762</v>
      </c>
      <c r="E8426" s="501">
        <v>528701485.88</v>
      </c>
      <c r="F8426" s="502" t="s">
        <v>878</v>
      </c>
      <c r="G8426" s="100" t="s">
        <v>686</v>
      </c>
      <c r="H8426" s="530">
        <v>117032665</v>
      </c>
      <c r="I8426" s="422"/>
      <c r="K8426" s="548"/>
      <c r="L8426" s="548"/>
      <c r="M8426" s="548"/>
      <c r="N8426" s="552"/>
    </row>
    <row r="8427" spans="1:14">
      <c r="A8427" s="499">
        <v>45791</v>
      </c>
      <c r="B8427" s="499">
        <v>45792</v>
      </c>
      <c r="C8427" s="500" t="s">
        <v>173</v>
      </c>
      <c r="D8427" s="500" t="s">
        <v>762</v>
      </c>
      <c r="E8427" s="501">
        <v>1207745802.1400001</v>
      </c>
      <c r="F8427" s="502" t="s">
        <v>878</v>
      </c>
      <c r="G8427" s="100" t="s">
        <v>696</v>
      </c>
      <c r="H8427" s="530">
        <v>117032668</v>
      </c>
      <c r="I8427" s="422"/>
      <c r="K8427" s="548"/>
      <c r="L8427" s="548"/>
      <c r="M8427" s="548"/>
      <c r="N8427" s="552"/>
    </row>
    <row r="8428" spans="1:14">
      <c r="A8428" s="499">
        <v>45791</v>
      </c>
      <c r="B8428" s="499">
        <v>45792</v>
      </c>
      <c r="C8428" s="500" t="s">
        <v>173</v>
      </c>
      <c r="D8428" s="500" t="s">
        <v>762</v>
      </c>
      <c r="E8428" s="501">
        <v>2817291283.5100002</v>
      </c>
      <c r="F8428" s="502" t="s">
        <v>878</v>
      </c>
      <c r="G8428" s="100" t="s">
        <v>2540</v>
      </c>
      <c r="H8428" s="530">
        <v>117032671</v>
      </c>
      <c r="I8428" s="422"/>
      <c r="K8428" s="548"/>
      <c r="L8428" s="548"/>
      <c r="M8428" s="548"/>
      <c r="N8428" s="552"/>
    </row>
    <row r="8429" spans="1:14">
      <c r="A8429" s="499">
        <v>45791</v>
      </c>
      <c r="B8429" s="499">
        <v>45792</v>
      </c>
      <c r="C8429" s="500" t="s">
        <v>173</v>
      </c>
      <c r="D8429" s="500" t="s">
        <v>762</v>
      </c>
      <c r="E8429" s="501">
        <v>28032749.09</v>
      </c>
      <c r="F8429" s="502" t="s">
        <v>878</v>
      </c>
      <c r="G8429" s="100" t="s">
        <v>1051</v>
      </c>
      <c r="H8429" s="530">
        <v>117032687</v>
      </c>
      <c r="I8429" s="422"/>
      <c r="K8429" s="548"/>
      <c r="L8429" s="548"/>
      <c r="M8429" s="548"/>
      <c r="N8429" s="552"/>
    </row>
    <row r="8430" spans="1:14">
      <c r="A8430" s="499">
        <v>45791</v>
      </c>
      <c r="B8430" s="499">
        <v>45791</v>
      </c>
      <c r="C8430" s="500" t="s">
        <v>173</v>
      </c>
      <c r="D8430" s="500" t="s">
        <v>761</v>
      </c>
      <c r="E8430" s="501">
        <v>-895708038.08000004</v>
      </c>
      <c r="F8430" s="502" t="s">
        <v>878</v>
      </c>
      <c r="G8430" s="100" t="s">
        <v>687</v>
      </c>
      <c r="H8430" s="530"/>
      <c r="I8430" s="422">
        <v>-1</v>
      </c>
      <c r="K8430" s="548"/>
      <c r="L8430" s="548"/>
      <c r="M8430" s="548"/>
      <c r="N8430" s="552"/>
    </row>
    <row r="8431" spans="1:14">
      <c r="A8431" s="499">
        <v>45791</v>
      </c>
      <c r="B8431" s="499">
        <v>45791</v>
      </c>
      <c r="C8431" s="500" t="s">
        <v>173</v>
      </c>
      <c r="D8431" s="500" t="s">
        <v>761</v>
      </c>
      <c r="E8431" s="501">
        <v>-654517382.01999998</v>
      </c>
      <c r="F8431" s="502" t="s">
        <v>878</v>
      </c>
      <c r="G8431" s="100" t="s">
        <v>2541</v>
      </c>
      <c r="H8431" s="530"/>
      <c r="I8431" s="422"/>
      <c r="K8431" s="548"/>
      <c r="L8431" s="548"/>
      <c r="M8431" s="548"/>
      <c r="N8431" s="552"/>
    </row>
    <row r="8432" spans="1:14">
      <c r="A8432" s="499">
        <v>45791</v>
      </c>
      <c r="B8432" s="499">
        <v>45791</v>
      </c>
      <c r="C8432" s="500" t="s">
        <v>173</v>
      </c>
      <c r="D8432" s="500" t="s">
        <v>761</v>
      </c>
      <c r="E8432" s="501">
        <v>-7000105.6399999997</v>
      </c>
      <c r="F8432" s="502" t="s">
        <v>878</v>
      </c>
      <c r="G8432" s="100" t="s">
        <v>723</v>
      </c>
      <c r="H8432" s="530"/>
      <c r="I8432" s="422"/>
      <c r="K8432" s="548"/>
      <c r="L8432" s="548"/>
      <c r="M8432" s="548"/>
      <c r="N8432" s="552"/>
    </row>
    <row r="8433" spans="1:14">
      <c r="A8433" s="499">
        <v>45791</v>
      </c>
      <c r="B8433" s="499">
        <v>45792</v>
      </c>
      <c r="C8433" s="500" t="s">
        <v>173</v>
      </c>
      <c r="D8433" s="500" t="s">
        <v>761</v>
      </c>
      <c r="E8433" s="501">
        <v>896090615.84000003</v>
      </c>
      <c r="F8433" s="502" t="s">
        <v>878</v>
      </c>
      <c r="G8433" s="100" t="s">
        <v>687</v>
      </c>
      <c r="H8433" s="100">
        <v>117029411</v>
      </c>
      <c r="I8433" s="422"/>
      <c r="K8433" s="548"/>
      <c r="L8433" s="548"/>
      <c r="M8433" s="548"/>
      <c r="N8433" s="552"/>
    </row>
    <row r="8434" spans="1:14">
      <c r="A8434" s="499">
        <v>45791</v>
      </c>
      <c r="B8434" s="499">
        <v>45798</v>
      </c>
      <c r="C8434" s="500" t="s">
        <v>173</v>
      </c>
      <c r="D8434" s="500" t="s">
        <v>761</v>
      </c>
      <c r="E8434" s="501">
        <v>656532040.32000005</v>
      </c>
      <c r="F8434" s="502" t="s">
        <v>878</v>
      </c>
      <c r="G8434" s="100" t="s">
        <v>2541</v>
      </c>
      <c r="H8434" s="100">
        <v>117030896</v>
      </c>
      <c r="I8434" s="422"/>
      <c r="K8434" s="548"/>
      <c r="L8434" s="548"/>
      <c r="M8434" s="548"/>
      <c r="N8434" s="552"/>
    </row>
    <row r="8435" spans="1:14">
      <c r="A8435" s="499">
        <v>45791</v>
      </c>
      <c r="B8435" s="499">
        <v>45792</v>
      </c>
      <c r="C8435" s="500" t="s">
        <v>173</v>
      </c>
      <c r="D8435" s="500" t="s">
        <v>761</v>
      </c>
      <c r="E8435" s="501">
        <v>7003097.4699999997</v>
      </c>
      <c r="F8435" s="502" t="s">
        <v>878</v>
      </c>
      <c r="G8435" s="100" t="s">
        <v>723</v>
      </c>
      <c r="H8435" s="100">
        <v>117031531</v>
      </c>
      <c r="I8435" s="422"/>
      <c r="K8435" s="548"/>
      <c r="L8435" s="548"/>
      <c r="M8435" s="548"/>
      <c r="N8435" s="552"/>
    </row>
    <row r="8436" spans="1:14">
      <c r="A8436" s="499">
        <v>45791</v>
      </c>
      <c r="B8436" s="499">
        <v>45791</v>
      </c>
      <c r="C8436" s="500" t="s">
        <v>173</v>
      </c>
      <c r="D8436" s="500" t="s">
        <v>759</v>
      </c>
      <c r="E8436" s="501">
        <v>-784425282.37</v>
      </c>
      <c r="F8436" s="502" t="s">
        <v>878</v>
      </c>
      <c r="G8436" s="100" t="s">
        <v>635</v>
      </c>
      <c r="H8436" s="530"/>
      <c r="I8436" s="422"/>
      <c r="K8436" s="548"/>
      <c r="L8436" s="548"/>
      <c r="M8436" s="548"/>
      <c r="N8436" s="552"/>
    </row>
    <row r="8437" spans="1:14">
      <c r="A8437" s="499">
        <v>45791</v>
      </c>
      <c r="B8437" s="499">
        <v>45791</v>
      </c>
      <c r="C8437" s="500" t="s">
        <v>173</v>
      </c>
      <c r="D8437" s="500" t="s">
        <v>759</v>
      </c>
      <c r="E8437" s="501">
        <v>-1560163785.71</v>
      </c>
      <c r="F8437" s="502" t="s">
        <v>878</v>
      </c>
      <c r="G8437" s="100" t="s">
        <v>674</v>
      </c>
      <c r="H8437" s="530"/>
      <c r="I8437" s="422"/>
      <c r="K8437" s="548"/>
      <c r="L8437" s="548"/>
      <c r="M8437" s="548"/>
      <c r="N8437" s="552"/>
    </row>
    <row r="8438" spans="1:14">
      <c r="A8438" s="499">
        <v>45791</v>
      </c>
      <c r="B8438" s="499">
        <v>45791</v>
      </c>
      <c r="C8438" s="500" t="s">
        <v>173</v>
      </c>
      <c r="D8438" s="500" t="s">
        <v>759</v>
      </c>
      <c r="E8438" s="501">
        <v>-12004148.99</v>
      </c>
      <c r="F8438" s="502" t="s">
        <v>878</v>
      </c>
      <c r="G8438" s="100" t="s">
        <v>590</v>
      </c>
      <c r="H8438" s="530"/>
      <c r="I8438" s="422"/>
      <c r="K8438" s="548"/>
      <c r="L8438" s="548"/>
      <c r="M8438" s="548"/>
      <c r="N8438" s="552"/>
    </row>
    <row r="8439" spans="1:14">
      <c r="A8439" s="499">
        <v>45791</v>
      </c>
      <c r="B8439" s="499">
        <v>45792</v>
      </c>
      <c r="C8439" s="500" t="s">
        <v>173</v>
      </c>
      <c r="D8439" s="500" t="s">
        <v>759</v>
      </c>
      <c r="E8439" s="501">
        <v>784760113.75999999</v>
      </c>
      <c r="F8439" s="502" t="s">
        <v>878</v>
      </c>
      <c r="G8439" s="100" t="s">
        <v>635</v>
      </c>
      <c r="H8439" s="530">
        <v>117028879</v>
      </c>
      <c r="I8439" s="422"/>
      <c r="K8439" s="548"/>
      <c r="L8439" s="548"/>
      <c r="M8439" s="548"/>
      <c r="N8439" s="552"/>
    </row>
    <row r="8440" spans="1:14">
      <c r="A8440" s="499">
        <v>45791</v>
      </c>
      <c r="B8440" s="499">
        <v>45792</v>
      </c>
      <c r="C8440" s="500" t="s">
        <v>173</v>
      </c>
      <c r="D8440" s="500" t="s">
        <v>759</v>
      </c>
      <c r="E8440" s="501">
        <v>1560829740.55</v>
      </c>
      <c r="F8440" s="502" t="s">
        <v>878</v>
      </c>
      <c r="G8440" s="100" t="s">
        <v>674</v>
      </c>
      <c r="H8440" s="530">
        <v>117029164</v>
      </c>
      <c r="I8440" s="422"/>
      <c r="K8440" s="548"/>
      <c r="L8440" s="548"/>
      <c r="M8440" s="548"/>
      <c r="N8440" s="552"/>
    </row>
    <row r="8441" spans="1:14">
      <c r="A8441" s="499">
        <v>45791</v>
      </c>
      <c r="B8441" s="499">
        <v>45792</v>
      </c>
      <c r="C8441" s="500" t="s">
        <v>173</v>
      </c>
      <c r="D8441" s="500" t="s">
        <v>759</v>
      </c>
      <c r="E8441" s="501">
        <v>12009361.75</v>
      </c>
      <c r="F8441" s="502" t="s">
        <v>878</v>
      </c>
      <c r="G8441" s="100" t="s">
        <v>590</v>
      </c>
      <c r="H8441" s="530">
        <v>117032993</v>
      </c>
      <c r="I8441" s="422"/>
      <c r="K8441" s="548"/>
      <c r="L8441" s="548"/>
      <c r="M8441" s="548"/>
      <c r="N8441" s="552"/>
    </row>
    <row r="8442" spans="1:14">
      <c r="A8442" s="499">
        <v>45791</v>
      </c>
      <c r="B8442" s="499">
        <v>45791</v>
      </c>
      <c r="C8442" s="500" t="s">
        <v>173</v>
      </c>
      <c r="D8442" s="500" t="s">
        <v>763</v>
      </c>
      <c r="E8442" s="501">
        <v>-1975778147.6199999</v>
      </c>
      <c r="F8442" s="502" t="s">
        <v>878</v>
      </c>
      <c r="G8442" s="100" t="s">
        <v>686</v>
      </c>
      <c r="H8442" s="530"/>
      <c r="I8442" s="422"/>
      <c r="K8442" s="548"/>
      <c r="L8442" s="548"/>
      <c r="M8442" s="548"/>
      <c r="N8442" s="552"/>
    </row>
    <row r="8443" spans="1:14">
      <c r="A8443" s="499">
        <v>45791</v>
      </c>
      <c r="B8443" s="499">
        <v>45791</v>
      </c>
      <c r="C8443" s="500" t="s">
        <v>173</v>
      </c>
      <c r="D8443" s="500" t="s">
        <v>763</v>
      </c>
      <c r="E8443" s="501">
        <v>-3825439054.8899999</v>
      </c>
      <c r="F8443" s="502" t="s">
        <v>878</v>
      </c>
      <c r="G8443" s="100" t="s">
        <v>672</v>
      </c>
      <c r="H8443" s="530"/>
      <c r="I8443" s="422"/>
      <c r="K8443" s="548"/>
      <c r="L8443" s="548"/>
      <c r="M8443" s="548"/>
      <c r="N8443" s="552"/>
    </row>
    <row r="8444" spans="1:14">
      <c r="A8444" s="499">
        <v>45791</v>
      </c>
      <c r="B8444" s="499">
        <v>45791</v>
      </c>
      <c r="C8444" s="500" t="s">
        <v>173</v>
      </c>
      <c r="D8444" s="500" t="s">
        <v>763</v>
      </c>
      <c r="E8444" s="501">
        <v>-29018501.859999999</v>
      </c>
      <c r="F8444" s="502" t="s">
        <v>878</v>
      </c>
      <c r="G8444" s="100" t="s">
        <v>2542</v>
      </c>
      <c r="H8444" s="530"/>
      <c r="I8444" s="422"/>
      <c r="K8444" s="548"/>
      <c r="L8444" s="548"/>
      <c r="M8444" s="548"/>
      <c r="N8444" s="552"/>
    </row>
    <row r="8445" spans="1:14">
      <c r="A8445" s="499">
        <v>45791</v>
      </c>
      <c r="B8445" s="499">
        <v>45792</v>
      </c>
      <c r="C8445" s="500" t="s">
        <v>173</v>
      </c>
      <c r="D8445" s="500" t="s">
        <v>763</v>
      </c>
      <c r="E8445" s="501">
        <v>1976622595.2</v>
      </c>
      <c r="F8445" s="502" t="s">
        <v>878</v>
      </c>
      <c r="G8445" s="100" t="s">
        <v>686</v>
      </c>
      <c r="H8445" s="530">
        <v>117027576</v>
      </c>
      <c r="I8445" s="422"/>
      <c r="K8445" s="548"/>
      <c r="L8445" s="548"/>
      <c r="M8445" s="548"/>
      <c r="N8445" s="552"/>
    </row>
    <row r="8446" spans="1:14">
      <c r="A8446" s="499">
        <v>45791</v>
      </c>
      <c r="B8446" s="499">
        <v>45792</v>
      </c>
      <c r="C8446" s="500" t="s">
        <v>173</v>
      </c>
      <c r="D8446" s="500" t="s">
        <v>763</v>
      </c>
      <c r="E8446" s="501">
        <v>3827074047.54</v>
      </c>
      <c r="F8446" s="502" t="s">
        <v>878</v>
      </c>
      <c r="G8446" s="100" t="s">
        <v>672</v>
      </c>
      <c r="H8446" s="530">
        <v>117027579</v>
      </c>
      <c r="I8446" s="422"/>
      <c r="K8446" s="548"/>
      <c r="L8446" s="548"/>
      <c r="M8446" s="548"/>
      <c r="N8446" s="552"/>
    </row>
    <row r="8447" spans="1:14">
      <c r="A8447" s="499">
        <v>45791</v>
      </c>
      <c r="B8447" s="499">
        <v>45792</v>
      </c>
      <c r="C8447" s="500" t="s">
        <v>173</v>
      </c>
      <c r="D8447" s="500" t="s">
        <v>763</v>
      </c>
      <c r="E8447" s="501">
        <v>29030904.370000001</v>
      </c>
      <c r="F8447" s="502" t="s">
        <v>878</v>
      </c>
      <c r="G8447" s="100" t="s">
        <v>2542</v>
      </c>
      <c r="H8447" s="530">
        <v>117027675</v>
      </c>
      <c r="I8447" s="422"/>
      <c r="K8447" s="548"/>
      <c r="L8447" s="548"/>
      <c r="M8447" s="548"/>
      <c r="N8447" s="552"/>
    </row>
    <row r="8448" spans="1:14">
      <c r="A8448" s="499">
        <v>45792</v>
      </c>
      <c r="B8448" s="499">
        <v>45792</v>
      </c>
      <c r="C8448" s="500" t="s">
        <v>173</v>
      </c>
      <c r="D8448" s="500" t="s">
        <v>762</v>
      </c>
      <c r="E8448" s="501">
        <v>-5352187163.1199999</v>
      </c>
      <c r="F8448" s="502" t="s">
        <v>878</v>
      </c>
      <c r="G8448" s="100" t="s">
        <v>680</v>
      </c>
      <c r="H8448" s="530"/>
      <c r="I8448" s="422"/>
      <c r="K8448" s="548"/>
      <c r="L8448" s="548"/>
      <c r="M8448" s="548"/>
      <c r="N8448" s="552"/>
    </row>
    <row r="8449" spans="1:14">
      <c r="A8449" s="499">
        <v>45792</v>
      </c>
      <c r="B8449" s="499">
        <v>45792</v>
      </c>
      <c r="C8449" s="500" t="s">
        <v>173</v>
      </c>
      <c r="D8449" s="500" t="s">
        <v>762</v>
      </c>
      <c r="E8449" s="501">
        <v>-27021139.379999999</v>
      </c>
      <c r="F8449" s="502" t="s">
        <v>878</v>
      </c>
      <c r="G8449" s="100" t="s">
        <v>2547</v>
      </c>
      <c r="H8449" s="530"/>
      <c r="I8449" s="422"/>
      <c r="K8449" s="548"/>
      <c r="L8449" s="548"/>
      <c r="M8449" s="548"/>
      <c r="N8449" s="552"/>
    </row>
    <row r="8450" spans="1:14">
      <c r="A8450" s="499">
        <v>45792</v>
      </c>
      <c r="B8450" s="499">
        <v>45799</v>
      </c>
      <c r="C8450" s="500" t="s">
        <v>173</v>
      </c>
      <c r="D8450" s="500" t="s">
        <v>762</v>
      </c>
      <c r="E8450" s="501">
        <v>5368661635.1099997</v>
      </c>
      <c r="F8450" s="502" t="s">
        <v>878</v>
      </c>
      <c r="G8450" s="100" t="s">
        <v>680</v>
      </c>
      <c r="H8450" s="100">
        <v>117048602</v>
      </c>
      <c r="I8450" s="422"/>
      <c r="K8450" s="548"/>
      <c r="L8450" s="548"/>
      <c r="M8450" s="548"/>
      <c r="N8450" s="552"/>
    </row>
    <row r="8451" spans="1:14">
      <c r="A8451" s="499">
        <v>45792</v>
      </c>
      <c r="B8451" s="499">
        <v>45799</v>
      </c>
      <c r="C8451" s="500" t="s">
        <v>173</v>
      </c>
      <c r="D8451" s="500" t="s">
        <v>762</v>
      </c>
      <c r="E8451" s="501">
        <v>27104312.670000002</v>
      </c>
      <c r="F8451" s="502" t="s">
        <v>878</v>
      </c>
      <c r="G8451" s="100" t="s">
        <v>2547</v>
      </c>
      <c r="H8451" s="100">
        <v>117048714</v>
      </c>
      <c r="I8451" s="422"/>
      <c r="K8451" s="548"/>
      <c r="L8451" s="548"/>
      <c r="M8451" s="548"/>
      <c r="N8451" s="552"/>
    </row>
    <row r="8452" spans="1:14">
      <c r="A8452" s="499">
        <v>45792</v>
      </c>
      <c r="B8452" s="499">
        <v>45792</v>
      </c>
      <c r="C8452" s="500" t="s">
        <v>173</v>
      </c>
      <c r="D8452" s="500" t="s">
        <v>761</v>
      </c>
      <c r="E8452" s="501">
        <v>-995466376.39999998</v>
      </c>
      <c r="F8452" s="502" t="s">
        <v>878</v>
      </c>
      <c r="G8452" s="100" t="s">
        <v>695</v>
      </c>
      <c r="H8452" s="530"/>
      <c r="I8452" s="422"/>
      <c r="K8452" s="548"/>
      <c r="L8452" s="548"/>
      <c r="M8452" s="548"/>
      <c r="N8452" s="552"/>
    </row>
    <row r="8453" spans="1:14">
      <c r="A8453" s="499">
        <v>45792</v>
      </c>
      <c r="B8453" s="499">
        <v>45792</v>
      </c>
      <c r="C8453" s="500" t="s">
        <v>173</v>
      </c>
      <c r="D8453" s="500" t="s">
        <v>761</v>
      </c>
      <c r="E8453" s="501">
        <v>-573267325.13</v>
      </c>
      <c r="F8453" s="502" t="s">
        <v>878</v>
      </c>
      <c r="G8453" s="100" t="s">
        <v>633</v>
      </c>
      <c r="H8453" s="530"/>
      <c r="I8453" s="422"/>
      <c r="K8453" s="548"/>
      <c r="L8453" s="548"/>
      <c r="M8453" s="548"/>
      <c r="N8453" s="552"/>
    </row>
    <row r="8454" spans="1:14">
      <c r="A8454" s="499">
        <v>45792</v>
      </c>
      <c r="B8454" s="499">
        <v>45792</v>
      </c>
      <c r="C8454" s="500" t="s">
        <v>173</v>
      </c>
      <c r="D8454" s="500" t="s">
        <v>761</v>
      </c>
      <c r="E8454" s="501">
        <v>-8001723.1399999997</v>
      </c>
      <c r="F8454" s="502" t="s">
        <v>878</v>
      </c>
      <c r="G8454" s="100" t="s">
        <v>705</v>
      </c>
      <c r="H8454" s="530"/>
      <c r="I8454" s="422"/>
      <c r="K8454" s="548"/>
      <c r="L8454" s="548"/>
      <c r="M8454" s="548"/>
      <c r="N8454" s="552"/>
    </row>
    <row r="8455" spans="1:14">
      <c r="A8455" s="499">
        <v>45792</v>
      </c>
      <c r="B8455" s="499">
        <v>45799</v>
      </c>
      <c r="C8455" s="500" t="s">
        <v>173</v>
      </c>
      <c r="D8455" s="500" t="s">
        <v>761</v>
      </c>
      <c r="E8455" s="501">
        <v>998530503.73000002</v>
      </c>
      <c r="F8455" s="502" t="s">
        <v>878</v>
      </c>
      <c r="G8455" s="100" t="s">
        <v>695</v>
      </c>
      <c r="H8455" s="530">
        <v>117046614</v>
      </c>
      <c r="I8455" s="422"/>
      <c r="K8455" s="548"/>
      <c r="L8455" s="548"/>
      <c r="M8455" s="548"/>
      <c r="N8455" s="552"/>
    </row>
    <row r="8456" spans="1:14">
      <c r="A8456" s="499">
        <v>45792</v>
      </c>
      <c r="B8456" s="499">
        <v>45793</v>
      </c>
      <c r="C8456" s="500" t="s">
        <v>173</v>
      </c>
      <c r="D8456" s="500" t="s">
        <v>761</v>
      </c>
      <c r="E8456" s="501">
        <v>573514693.90999997</v>
      </c>
      <c r="F8456" s="502" t="s">
        <v>878</v>
      </c>
      <c r="G8456" s="100" t="s">
        <v>633</v>
      </c>
      <c r="H8456" s="530">
        <v>117046827</v>
      </c>
      <c r="I8456" s="422"/>
      <c r="K8456" s="548"/>
      <c r="L8456" s="548"/>
      <c r="M8456" s="548"/>
      <c r="N8456" s="552"/>
    </row>
    <row r="8457" spans="1:14">
      <c r="A8457" s="499">
        <v>45792</v>
      </c>
      <c r="B8457" s="499">
        <v>45799</v>
      </c>
      <c r="C8457" s="500" t="s">
        <v>173</v>
      </c>
      <c r="D8457" s="500" t="s">
        <v>761</v>
      </c>
      <c r="E8457" s="501">
        <v>8026353.0999999996</v>
      </c>
      <c r="F8457" s="502" t="s">
        <v>878</v>
      </c>
      <c r="G8457" s="100" t="s">
        <v>705</v>
      </c>
      <c r="H8457" s="530">
        <v>117046905</v>
      </c>
      <c r="I8457" s="422"/>
      <c r="K8457" s="548"/>
      <c r="L8457" s="548"/>
      <c r="M8457" s="548"/>
      <c r="N8457" s="552"/>
    </row>
    <row r="8458" spans="1:14">
      <c r="A8458" s="499">
        <v>45792</v>
      </c>
      <c r="B8458" s="499">
        <v>45792</v>
      </c>
      <c r="C8458" s="500" t="s">
        <v>173</v>
      </c>
      <c r="D8458" s="500" t="s">
        <v>759</v>
      </c>
      <c r="E8458" s="501">
        <v>-2344093093.8499999</v>
      </c>
      <c r="F8458" s="502" t="s">
        <v>878</v>
      </c>
      <c r="G8458" s="100" t="s">
        <v>2527</v>
      </c>
      <c r="H8458" s="530"/>
      <c r="I8458" s="422"/>
      <c r="K8458" s="548"/>
      <c r="L8458" s="548"/>
      <c r="M8458" s="548"/>
      <c r="N8458" s="552"/>
    </row>
    <row r="8459" spans="1:14">
      <c r="A8459" s="499">
        <v>45792</v>
      </c>
      <c r="B8459" s="499">
        <v>45792</v>
      </c>
      <c r="C8459" s="500" t="s">
        <v>173</v>
      </c>
      <c r="D8459" s="500" t="s">
        <v>759</v>
      </c>
      <c r="E8459" s="501">
        <v>-14001944.279999999</v>
      </c>
      <c r="F8459" s="502" t="s">
        <v>878</v>
      </c>
      <c r="G8459" s="100" t="s">
        <v>550</v>
      </c>
      <c r="H8459" s="530"/>
      <c r="I8459" s="422"/>
      <c r="K8459" s="548"/>
      <c r="L8459" s="548"/>
      <c r="M8459" s="548"/>
      <c r="N8459" s="552"/>
    </row>
    <row r="8460" spans="1:14">
      <c r="A8460" s="499">
        <v>45792</v>
      </c>
      <c r="B8460" s="499">
        <v>45793</v>
      </c>
      <c r="C8460" s="500" t="s">
        <v>173</v>
      </c>
      <c r="D8460" s="500" t="s">
        <v>759</v>
      </c>
      <c r="E8460" s="501">
        <v>2345101374.9899998</v>
      </c>
      <c r="F8460" s="502" t="s">
        <v>878</v>
      </c>
      <c r="G8460" s="100" t="s">
        <v>2527</v>
      </c>
      <c r="H8460" s="100">
        <v>117046821</v>
      </c>
      <c r="I8460" s="422"/>
      <c r="K8460" s="548"/>
      <c r="L8460" s="548"/>
      <c r="M8460" s="548"/>
      <c r="N8460" s="552"/>
    </row>
    <row r="8461" spans="1:14">
      <c r="A8461" s="499">
        <v>45792</v>
      </c>
      <c r="B8461" s="499">
        <v>45793</v>
      </c>
      <c r="C8461" s="500" t="s">
        <v>173</v>
      </c>
      <c r="D8461" s="500" t="s">
        <v>759</v>
      </c>
      <c r="E8461" s="501">
        <v>14008043.76</v>
      </c>
      <c r="F8461" s="502" t="s">
        <v>878</v>
      </c>
      <c r="G8461" s="100" t="s">
        <v>550</v>
      </c>
      <c r="H8461" s="100">
        <v>117048668</v>
      </c>
      <c r="I8461" s="422"/>
      <c r="K8461" s="548"/>
      <c r="L8461" s="548"/>
      <c r="M8461" s="548"/>
      <c r="N8461" s="552"/>
    </row>
    <row r="8462" spans="1:14">
      <c r="A8462" s="499">
        <v>45792</v>
      </c>
      <c r="B8462" s="499">
        <v>45792</v>
      </c>
      <c r="C8462" s="500" t="s">
        <v>173</v>
      </c>
      <c r="D8462" s="500" t="s">
        <v>760</v>
      </c>
      <c r="E8462" s="501">
        <v>-2001583.84</v>
      </c>
      <c r="F8462" s="502" t="s">
        <v>878</v>
      </c>
      <c r="G8462" s="100" t="s">
        <v>675</v>
      </c>
      <c r="H8462" s="530"/>
      <c r="I8462" s="422"/>
      <c r="K8462" s="548"/>
      <c r="L8462" s="548"/>
      <c r="M8462" s="548"/>
      <c r="N8462" s="552"/>
    </row>
    <row r="8463" spans="1:14">
      <c r="A8463" s="499">
        <v>45792</v>
      </c>
      <c r="B8463" s="499">
        <v>45792</v>
      </c>
      <c r="C8463" s="500" t="s">
        <v>173</v>
      </c>
      <c r="D8463" s="500" t="s">
        <v>760</v>
      </c>
      <c r="E8463" s="501">
        <v>-101065203.58</v>
      </c>
      <c r="F8463" s="502" t="s">
        <v>878</v>
      </c>
      <c r="G8463" s="100" t="s">
        <v>706</v>
      </c>
      <c r="H8463" s="530"/>
      <c r="I8463" s="422"/>
      <c r="K8463" s="548"/>
      <c r="L8463" s="548"/>
      <c r="M8463" s="548"/>
      <c r="N8463" s="552"/>
    </row>
    <row r="8464" spans="1:14">
      <c r="A8464" s="499">
        <v>45792</v>
      </c>
      <c r="B8464" s="499">
        <v>45792</v>
      </c>
      <c r="C8464" s="500" t="s">
        <v>173</v>
      </c>
      <c r="D8464" s="500" t="s">
        <v>760</v>
      </c>
      <c r="E8464" s="501">
        <v>-162147297.69</v>
      </c>
      <c r="F8464" s="502" t="s">
        <v>878</v>
      </c>
      <c r="G8464" s="100" t="s">
        <v>699</v>
      </c>
      <c r="H8464" s="530"/>
      <c r="I8464" s="422"/>
      <c r="K8464" s="548"/>
      <c r="L8464" s="548"/>
      <c r="M8464" s="548"/>
      <c r="N8464" s="552"/>
    </row>
    <row r="8465" spans="1:14">
      <c r="A8465" s="499">
        <v>45792</v>
      </c>
      <c r="B8465" s="499">
        <v>45792</v>
      </c>
      <c r="C8465" s="500" t="s">
        <v>173</v>
      </c>
      <c r="D8465" s="500" t="s">
        <v>760</v>
      </c>
      <c r="E8465" s="501">
        <v>-213037534.00999999</v>
      </c>
      <c r="F8465" s="502" t="s">
        <v>878</v>
      </c>
      <c r="G8465" s="100" t="s">
        <v>709</v>
      </c>
      <c r="H8465" s="530"/>
      <c r="I8465" s="422"/>
      <c r="K8465" s="548"/>
      <c r="L8465" s="548"/>
      <c r="M8465" s="548"/>
      <c r="N8465" s="552"/>
    </row>
    <row r="8466" spans="1:14">
      <c r="A8466" s="499">
        <v>45792</v>
      </c>
      <c r="B8466" s="499">
        <v>45792</v>
      </c>
      <c r="C8466" s="500" t="s">
        <v>173</v>
      </c>
      <c r="D8466" s="500" t="s">
        <v>760</v>
      </c>
      <c r="E8466" s="501">
        <v>-257170809.91</v>
      </c>
      <c r="F8466" s="502" t="s">
        <v>878</v>
      </c>
      <c r="G8466" s="100" t="s">
        <v>720</v>
      </c>
      <c r="H8466" s="530"/>
      <c r="I8466" s="422"/>
      <c r="K8466" s="548"/>
      <c r="L8466" s="548"/>
      <c r="M8466" s="548"/>
      <c r="N8466" s="552"/>
    </row>
    <row r="8467" spans="1:14">
      <c r="A8467" s="499">
        <v>45792</v>
      </c>
      <c r="B8467" s="499">
        <v>45792</v>
      </c>
      <c r="C8467" s="500" t="s">
        <v>173</v>
      </c>
      <c r="D8467" s="500" t="s">
        <v>760</v>
      </c>
      <c r="E8467" s="501">
        <v>-310215110.24000001</v>
      </c>
      <c r="F8467" s="502" t="s">
        <v>878</v>
      </c>
      <c r="G8467" s="100" t="s">
        <v>708</v>
      </c>
      <c r="H8467" s="530"/>
      <c r="I8467" s="422"/>
      <c r="K8467" s="548"/>
      <c r="L8467" s="548"/>
      <c r="M8467" s="548"/>
      <c r="N8467" s="552"/>
    </row>
    <row r="8468" spans="1:14">
      <c r="A8468" s="499">
        <v>45792</v>
      </c>
      <c r="B8468" s="499">
        <v>45792</v>
      </c>
      <c r="C8468" s="500" t="s">
        <v>173</v>
      </c>
      <c r="D8468" s="500" t="s">
        <v>760</v>
      </c>
      <c r="E8468" s="501">
        <v>-400313176</v>
      </c>
      <c r="F8468" s="502" t="s">
        <v>878</v>
      </c>
      <c r="G8468" s="100" t="s">
        <v>2547</v>
      </c>
      <c r="H8468" s="530"/>
      <c r="I8468" s="422"/>
      <c r="K8468" s="548"/>
      <c r="L8468" s="548"/>
      <c r="M8468" s="548"/>
      <c r="N8468" s="552"/>
    </row>
    <row r="8469" spans="1:14">
      <c r="A8469" s="499">
        <v>45792</v>
      </c>
      <c r="B8469" s="499">
        <v>45792</v>
      </c>
      <c r="C8469" s="500" t="s">
        <v>173</v>
      </c>
      <c r="D8469" s="500" t="s">
        <v>760</v>
      </c>
      <c r="E8469" s="501">
        <v>-105022656.27</v>
      </c>
      <c r="F8469" s="502" t="s">
        <v>878</v>
      </c>
      <c r="G8469" s="100" t="s">
        <v>691</v>
      </c>
      <c r="H8469" s="530"/>
      <c r="I8469" s="422"/>
      <c r="K8469" s="548"/>
      <c r="L8469" s="548"/>
      <c r="M8469" s="548"/>
      <c r="N8469" s="552"/>
    </row>
    <row r="8470" spans="1:14">
      <c r="A8470" s="499">
        <v>45792</v>
      </c>
      <c r="B8470" s="499">
        <v>45792</v>
      </c>
      <c r="C8470" s="500" t="s">
        <v>173</v>
      </c>
      <c r="D8470" s="500" t="s">
        <v>760</v>
      </c>
      <c r="E8470" s="501">
        <v>-314067753.04000002</v>
      </c>
      <c r="F8470" s="502" t="s">
        <v>878</v>
      </c>
      <c r="G8470" s="100" t="s">
        <v>2548</v>
      </c>
      <c r="H8470" s="530"/>
      <c r="I8470" s="422"/>
      <c r="K8470" s="548"/>
      <c r="L8470" s="548"/>
      <c r="M8470" s="548"/>
      <c r="N8470" s="552"/>
    </row>
    <row r="8471" spans="1:14">
      <c r="A8471" s="499">
        <v>45792</v>
      </c>
      <c r="B8471" s="499">
        <v>45792</v>
      </c>
      <c r="C8471" s="500" t="s">
        <v>173</v>
      </c>
      <c r="D8471" s="500" t="s">
        <v>760</v>
      </c>
      <c r="E8471" s="501">
        <v>-303077118.35000002</v>
      </c>
      <c r="F8471" s="502" t="s">
        <v>878</v>
      </c>
      <c r="G8471" s="100" t="s">
        <v>656</v>
      </c>
      <c r="H8471" s="530"/>
      <c r="I8471" s="422"/>
      <c r="K8471" s="548"/>
      <c r="L8471" s="548"/>
      <c r="M8471" s="548"/>
      <c r="N8471" s="552"/>
    </row>
    <row r="8472" spans="1:14">
      <c r="A8472" s="499">
        <v>45792</v>
      </c>
      <c r="B8472" s="499">
        <v>45792</v>
      </c>
      <c r="C8472" s="500" t="s">
        <v>173</v>
      </c>
      <c r="D8472" s="500" t="s">
        <v>760</v>
      </c>
      <c r="E8472" s="501">
        <v>-11002742.92</v>
      </c>
      <c r="F8472" s="502" t="s">
        <v>878</v>
      </c>
      <c r="G8472" s="100" t="s">
        <v>686</v>
      </c>
      <c r="H8472" s="530"/>
      <c r="I8472" s="422"/>
      <c r="K8472" s="548"/>
      <c r="L8472" s="548">
        <v>-1</v>
      </c>
      <c r="M8472" s="548"/>
      <c r="N8472" s="552"/>
    </row>
    <row r="8473" spans="1:14">
      <c r="A8473" s="499">
        <v>45792</v>
      </c>
      <c r="B8473" s="499">
        <v>45799</v>
      </c>
      <c r="C8473" s="500" t="s">
        <v>173</v>
      </c>
      <c r="D8473" s="500" t="s">
        <v>760</v>
      </c>
      <c r="E8473" s="501">
        <v>2007744.84</v>
      </c>
      <c r="F8473" s="502" t="s">
        <v>878</v>
      </c>
      <c r="G8473" s="100" t="s">
        <v>675</v>
      </c>
      <c r="H8473" s="530">
        <v>117045488</v>
      </c>
      <c r="I8473" s="422"/>
      <c r="K8473" s="548"/>
      <c r="L8473" s="548"/>
      <c r="M8473" s="548"/>
      <c r="N8473" s="552"/>
    </row>
    <row r="8474" spans="1:14">
      <c r="A8474" s="499">
        <v>45792</v>
      </c>
      <c r="B8474" s="499">
        <v>45799</v>
      </c>
      <c r="C8474" s="500" t="s">
        <v>173</v>
      </c>
      <c r="D8474" s="500" t="s">
        <v>760</v>
      </c>
      <c r="E8474" s="501">
        <v>101376288.65000001</v>
      </c>
      <c r="F8474" s="502" t="s">
        <v>878</v>
      </c>
      <c r="G8474" s="100" t="s">
        <v>706</v>
      </c>
      <c r="H8474" s="530">
        <v>117045491</v>
      </c>
      <c r="I8474" s="422"/>
      <c r="K8474" s="548"/>
      <c r="L8474" s="548"/>
      <c r="M8474" s="548"/>
      <c r="N8474" s="552"/>
    </row>
    <row r="8475" spans="1:14">
      <c r="A8475" s="499">
        <v>45792</v>
      </c>
      <c r="B8475" s="499">
        <v>45799</v>
      </c>
      <c r="C8475" s="500" t="s">
        <v>173</v>
      </c>
      <c r="D8475" s="500" t="s">
        <v>760</v>
      </c>
      <c r="E8475" s="501">
        <v>162646397.28999999</v>
      </c>
      <c r="F8475" s="502" t="s">
        <v>878</v>
      </c>
      <c r="G8475" s="100" t="s">
        <v>699</v>
      </c>
      <c r="H8475" s="530">
        <v>117045494</v>
      </c>
      <c r="I8475" s="422"/>
      <c r="K8475" s="548"/>
      <c r="L8475" s="548"/>
      <c r="M8475" s="548"/>
      <c r="N8475" s="552"/>
    </row>
    <row r="8476" spans="1:14">
      <c r="A8476" s="499">
        <v>45792</v>
      </c>
      <c r="B8476" s="499">
        <v>45799</v>
      </c>
      <c r="C8476" s="500" t="s">
        <v>173</v>
      </c>
      <c r="D8476" s="500" t="s">
        <v>760</v>
      </c>
      <c r="E8476" s="501">
        <v>213693276.96000001</v>
      </c>
      <c r="F8476" s="502" t="s">
        <v>878</v>
      </c>
      <c r="G8476" s="100" t="s">
        <v>709</v>
      </c>
      <c r="H8476" s="530">
        <v>117045497</v>
      </c>
      <c r="I8476" s="422"/>
      <c r="K8476" s="548"/>
      <c r="L8476" s="548"/>
      <c r="M8476" s="548"/>
      <c r="N8476" s="552"/>
    </row>
    <row r="8477" spans="1:14">
      <c r="A8477" s="499">
        <v>45792</v>
      </c>
      <c r="B8477" s="499">
        <v>45799</v>
      </c>
      <c r="C8477" s="500" t="s">
        <v>173</v>
      </c>
      <c r="D8477" s="500" t="s">
        <v>760</v>
      </c>
      <c r="E8477" s="501">
        <v>257962397.87</v>
      </c>
      <c r="F8477" s="502" t="s">
        <v>878</v>
      </c>
      <c r="G8477" s="100" t="s">
        <v>720</v>
      </c>
      <c r="H8477" s="530">
        <v>117045500</v>
      </c>
      <c r="I8477" s="422"/>
      <c r="K8477" s="548"/>
      <c r="L8477" s="548"/>
      <c r="M8477" s="548"/>
      <c r="N8477" s="552"/>
    </row>
    <row r="8478" spans="1:14">
      <c r="A8478" s="499">
        <v>45792</v>
      </c>
      <c r="B8478" s="499">
        <v>45799</v>
      </c>
      <c r="C8478" s="500" t="s">
        <v>173</v>
      </c>
      <c r="D8478" s="500" t="s">
        <v>760</v>
      </c>
      <c r="E8478" s="501">
        <v>311169971.89999998</v>
      </c>
      <c r="F8478" s="502" t="s">
        <v>878</v>
      </c>
      <c r="G8478" s="100" t="s">
        <v>708</v>
      </c>
      <c r="H8478" s="530">
        <v>117045503</v>
      </c>
      <c r="I8478" s="422"/>
      <c r="K8478" s="548"/>
      <c r="L8478" s="548"/>
      <c r="M8478" s="548"/>
      <c r="N8478" s="552"/>
    </row>
    <row r="8479" spans="1:14">
      <c r="A8479" s="499">
        <v>45792</v>
      </c>
      <c r="B8479" s="499">
        <v>45799</v>
      </c>
      <c r="C8479" s="500" t="s">
        <v>173</v>
      </c>
      <c r="D8479" s="500" t="s">
        <v>760</v>
      </c>
      <c r="E8479" s="501">
        <v>401545365.18000001</v>
      </c>
      <c r="F8479" s="502" t="s">
        <v>878</v>
      </c>
      <c r="G8479" s="100" t="s">
        <v>2547</v>
      </c>
      <c r="H8479" s="530">
        <v>117045506</v>
      </c>
      <c r="I8479" s="422"/>
      <c r="K8479" s="548"/>
      <c r="L8479" s="548"/>
      <c r="M8479" s="548"/>
      <c r="N8479" s="552"/>
    </row>
    <row r="8480" spans="1:14">
      <c r="A8480" s="499">
        <v>45792</v>
      </c>
      <c r="B8480" s="499">
        <v>45799</v>
      </c>
      <c r="C8480" s="500" t="s">
        <v>173</v>
      </c>
      <c r="D8480" s="500" t="s">
        <v>760</v>
      </c>
      <c r="E8480" s="501">
        <v>105345922.62</v>
      </c>
      <c r="F8480" s="502" t="s">
        <v>878</v>
      </c>
      <c r="G8480" s="100" t="s">
        <v>691</v>
      </c>
      <c r="H8480" s="530">
        <v>117045509</v>
      </c>
      <c r="I8480" s="422"/>
      <c r="K8480" s="548"/>
      <c r="L8480" s="548"/>
      <c r="M8480" s="548"/>
      <c r="N8480" s="552"/>
    </row>
    <row r="8481" spans="1:14">
      <c r="A8481" s="499">
        <v>45792</v>
      </c>
      <c r="B8481" s="499">
        <v>45799</v>
      </c>
      <c r="C8481" s="500" t="s">
        <v>173</v>
      </c>
      <c r="D8481" s="500" t="s">
        <v>760</v>
      </c>
      <c r="E8481" s="501">
        <v>315034473.37</v>
      </c>
      <c r="F8481" s="502" t="s">
        <v>878</v>
      </c>
      <c r="G8481" s="100" t="s">
        <v>2548</v>
      </c>
      <c r="H8481" s="530">
        <v>117045512</v>
      </c>
      <c r="I8481" s="422"/>
      <c r="K8481" s="548"/>
      <c r="L8481" s="548"/>
      <c r="M8481" s="548"/>
      <c r="N8481" s="552"/>
    </row>
    <row r="8482" spans="1:14">
      <c r="A8482" s="499">
        <v>45792</v>
      </c>
      <c r="B8482" s="499">
        <v>45799</v>
      </c>
      <c r="C8482" s="500" t="s">
        <v>173</v>
      </c>
      <c r="D8482" s="500" t="s">
        <v>760</v>
      </c>
      <c r="E8482" s="501">
        <v>304010008.81999999</v>
      </c>
      <c r="F8482" s="502" t="s">
        <v>878</v>
      </c>
      <c r="G8482" s="100" t="s">
        <v>656</v>
      </c>
      <c r="H8482" s="530">
        <v>117045515</v>
      </c>
      <c r="I8482" s="422"/>
      <c r="K8482" s="548"/>
      <c r="L8482" s="548"/>
      <c r="M8482" s="548"/>
      <c r="N8482" s="552"/>
    </row>
    <row r="8483" spans="1:14">
      <c r="A8483" s="499">
        <v>45792</v>
      </c>
      <c r="B8483" s="499">
        <v>45799</v>
      </c>
      <c r="C8483" s="500" t="s">
        <v>173</v>
      </c>
      <c r="D8483" s="500" t="s">
        <v>760</v>
      </c>
      <c r="E8483" s="501">
        <v>11036506.869999999</v>
      </c>
      <c r="F8483" s="502" t="s">
        <v>878</v>
      </c>
      <c r="G8483" s="100" t="s">
        <v>686</v>
      </c>
      <c r="H8483" s="530">
        <v>117045869</v>
      </c>
      <c r="I8483" s="422"/>
      <c r="K8483" s="548"/>
      <c r="L8483" s="548"/>
      <c r="M8483" s="548"/>
      <c r="N8483" s="552"/>
    </row>
    <row r="8484" spans="1:14">
      <c r="A8484" s="499">
        <v>45792</v>
      </c>
      <c r="B8484" s="499">
        <v>45792</v>
      </c>
      <c r="C8484" s="500" t="s">
        <v>173</v>
      </c>
      <c r="D8484" s="500" t="s">
        <v>763</v>
      </c>
      <c r="E8484" s="501">
        <v>-784303837</v>
      </c>
      <c r="F8484" s="502" t="s">
        <v>878</v>
      </c>
      <c r="G8484" s="100" t="s">
        <v>635</v>
      </c>
      <c r="H8484" s="530"/>
      <c r="I8484" s="422"/>
      <c r="K8484" s="548"/>
      <c r="L8484" s="548"/>
      <c r="M8484" s="548"/>
      <c r="N8484" s="552"/>
    </row>
    <row r="8485" spans="1:14">
      <c r="A8485" s="499">
        <v>45792</v>
      </c>
      <c r="B8485" s="499">
        <v>45792</v>
      </c>
      <c r="C8485" s="500" t="s">
        <v>173</v>
      </c>
      <c r="D8485" s="500" t="s">
        <v>763</v>
      </c>
      <c r="E8485" s="501">
        <v>-5017339678.04</v>
      </c>
      <c r="F8485" s="502" t="s">
        <v>878</v>
      </c>
      <c r="G8485" s="100" t="s">
        <v>2528</v>
      </c>
      <c r="H8485" s="530"/>
      <c r="I8485" s="422"/>
      <c r="K8485" s="548"/>
      <c r="L8485" s="548"/>
      <c r="M8485" s="548"/>
      <c r="N8485" s="552"/>
    </row>
    <row r="8486" spans="1:14">
      <c r="A8486" s="499">
        <v>45792</v>
      </c>
      <c r="B8486" s="499">
        <v>45792</v>
      </c>
      <c r="C8486" s="500" t="s">
        <v>173</v>
      </c>
      <c r="D8486" s="500" t="s">
        <v>763</v>
      </c>
      <c r="E8486" s="501">
        <v>-31012383.879999999</v>
      </c>
      <c r="F8486" s="502" t="s">
        <v>878</v>
      </c>
      <c r="G8486" s="100" t="s">
        <v>658</v>
      </c>
      <c r="H8486" s="530"/>
      <c r="I8486" s="422"/>
      <c r="K8486" s="548"/>
      <c r="L8486" s="548"/>
      <c r="M8486" s="548"/>
      <c r="N8486" s="552"/>
    </row>
    <row r="8487" spans="1:14">
      <c r="A8487" s="499">
        <v>45792</v>
      </c>
      <c r="B8487" s="499">
        <v>45793</v>
      </c>
      <c r="C8487" s="500" t="s">
        <v>173</v>
      </c>
      <c r="D8487" s="500" t="s">
        <v>763</v>
      </c>
      <c r="E8487" s="501">
        <v>784640335.58000004</v>
      </c>
      <c r="F8487" s="502" t="s">
        <v>878</v>
      </c>
      <c r="G8487" s="100" t="s">
        <v>635</v>
      </c>
      <c r="H8487" s="530">
        <v>117045585</v>
      </c>
      <c r="I8487" s="422"/>
      <c r="K8487" s="548"/>
      <c r="L8487" s="548"/>
      <c r="M8487" s="548"/>
      <c r="N8487" s="552"/>
    </row>
    <row r="8488" spans="1:14">
      <c r="A8488" s="499">
        <v>45792</v>
      </c>
      <c r="B8488" s="499">
        <v>45793</v>
      </c>
      <c r="C8488" s="500" t="s">
        <v>173</v>
      </c>
      <c r="D8488" s="500" t="s">
        <v>763</v>
      </c>
      <c r="E8488" s="501">
        <v>5019490975.8299999</v>
      </c>
      <c r="F8488" s="502" t="s">
        <v>878</v>
      </c>
      <c r="G8488" s="100" t="s">
        <v>2528</v>
      </c>
      <c r="H8488" s="530">
        <v>117045588</v>
      </c>
      <c r="I8488" s="422"/>
      <c r="K8488" s="548"/>
      <c r="L8488" s="548"/>
      <c r="M8488" s="548"/>
      <c r="N8488" s="552"/>
    </row>
    <row r="8489" spans="1:14">
      <c r="A8489" s="499">
        <v>45792</v>
      </c>
      <c r="B8489" s="499">
        <v>45793</v>
      </c>
      <c r="C8489" s="500" t="s">
        <v>173</v>
      </c>
      <c r="D8489" s="500" t="s">
        <v>763</v>
      </c>
      <c r="E8489" s="501">
        <v>31025681.23</v>
      </c>
      <c r="F8489" s="502" t="s">
        <v>878</v>
      </c>
      <c r="G8489" s="100" t="s">
        <v>658</v>
      </c>
      <c r="H8489" s="530">
        <v>117045617</v>
      </c>
      <c r="I8489" s="422"/>
      <c r="K8489" s="548"/>
      <c r="L8489" s="548"/>
      <c r="M8489" s="548"/>
      <c r="N8489" s="552"/>
    </row>
    <row r="8490" spans="1:14">
      <c r="A8490" s="499">
        <v>45793</v>
      </c>
      <c r="B8490" s="499">
        <v>45793</v>
      </c>
      <c r="C8490" s="500" t="s">
        <v>173</v>
      </c>
      <c r="D8490" s="500" t="s">
        <v>761</v>
      </c>
      <c r="E8490" s="501">
        <v>-571083794.25</v>
      </c>
      <c r="F8490" s="502" t="s">
        <v>878</v>
      </c>
      <c r="G8490" s="100" t="s">
        <v>686</v>
      </c>
      <c r="H8490" s="530"/>
      <c r="I8490" s="422"/>
      <c r="K8490" s="548"/>
      <c r="L8490" s="548"/>
      <c r="M8490" s="548"/>
      <c r="N8490" s="552"/>
    </row>
    <row r="8491" spans="1:14">
      <c r="A8491" s="499">
        <v>45793</v>
      </c>
      <c r="B8491" s="499">
        <v>45793</v>
      </c>
      <c r="C8491" s="500" t="s">
        <v>173</v>
      </c>
      <c r="D8491" s="500" t="s">
        <v>761</v>
      </c>
      <c r="E8491" s="501">
        <v>-3001325.99</v>
      </c>
      <c r="F8491" s="502" t="s">
        <v>878</v>
      </c>
      <c r="G8491" s="100" t="s">
        <v>701</v>
      </c>
      <c r="H8491" s="530"/>
      <c r="I8491" s="422"/>
      <c r="K8491" s="548"/>
      <c r="L8491" s="548"/>
      <c r="M8491" s="548"/>
      <c r="N8491" s="552"/>
    </row>
    <row r="8492" spans="1:14">
      <c r="A8492" s="499">
        <v>45793</v>
      </c>
      <c r="B8492" s="499">
        <v>45796</v>
      </c>
      <c r="C8492" s="500" t="s">
        <v>173</v>
      </c>
      <c r="D8492" s="500" t="s">
        <v>761</v>
      </c>
      <c r="E8492" s="501">
        <v>571825420.88</v>
      </c>
      <c r="F8492" s="502" t="s">
        <v>878</v>
      </c>
      <c r="G8492" s="100" t="s">
        <v>686</v>
      </c>
      <c r="H8492" s="100">
        <v>117062191</v>
      </c>
      <c r="I8492" s="422"/>
      <c r="K8492" s="548"/>
      <c r="L8492" s="548"/>
      <c r="M8492" s="548"/>
      <c r="N8492" s="552"/>
    </row>
    <row r="8493" spans="1:14">
      <c r="A8493" s="499">
        <v>45793</v>
      </c>
      <c r="B8493" s="499">
        <v>45796</v>
      </c>
      <c r="C8493" s="500" t="s">
        <v>173</v>
      </c>
      <c r="D8493" s="500" t="s">
        <v>761</v>
      </c>
      <c r="E8493" s="501">
        <v>3005235.94</v>
      </c>
      <c r="F8493" s="502" t="s">
        <v>878</v>
      </c>
      <c r="G8493" s="100" t="s">
        <v>701</v>
      </c>
      <c r="H8493" s="100">
        <v>117062714</v>
      </c>
      <c r="I8493" s="422"/>
      <c r="K8493" s="548"/>
      <c r="L8493" s="548"/>
      <c r="M8493" s="548"/>
      <c r="N8493" s="552"/>
    </row>
    <row r="8494" spans="1:14">
      <c r="A8494" s="499">
        <v>45793</v>
      </c>
      <c r="B8494" s="499">
        <v>45793</v>
      </c>
      <c r="C8494" s="500" t="s">
        <v>173</v>
      </c>
      <c r="D8494" s="500" t="s">
        <v>759</v>
      </c>
      <c r="E8494" s="501">
        <v>-2129774981.3399999</v>
      </c>
      <c r="F8494" s="502" t="s">
        <v>878</v>
      </c>
      <c r="G8494" s="100" t="s">
        <v>633</v>
      </c>
      <c r="H8494" s="530"/>
      <c r="I8494" s="422"/>
      <c r="K8494" s="548"/>
      <c r="L8494" s="548"/>
      <c r="M8494" s="548"/>
      <c r="N8494" s="552"/>
    </row>
    <row r="8495" spans="1:14">
      <c r="A8495" s="499">
        <v>45793</v>
      </c>
      <c r="B8495" s="499">
        <v>45793</v>
      </c>
      <c r="C8495" s="500" t="s">
        <v>173</v>
      </c>
      <c r="D8495" s="500" t="s">
        <v>759</v>
      </c>
      <c r="E8495" s="501">
        <v>-216031421.65000001</v>
      </c>
      <c r="F8495" s="502" t="s">
        <v>878</v>
      </c>
      <c r="G8495" s="100" t="s">
        <v>631</v>
      </c>
      <c r="H8495" s="530"/>
      <c r="I8495" s="422"/>
      <c r="K8495" s="548"/>
      <c r="L8495" s="548"/>
      <c r="M8495" s="548"/>
      <c r="N8495" s="552"/>
    </row>
    <row r="8496" spans="1:14">
      <c r="A8496" s="499">
        <v>45793</v>
      </c>
      <c r="B8496" s="499">
        <v>45793</v>
      </c>
      <c r="C8496" s="500" t="s">
        <v>173</v>
      </c>
      <c r="D8496" s="500" t="s">
        <v>759</v>
      </c>
      <c r="E8496" s="501">
        <v>-13004732.15</v>
      </c>
      <c r="F8496" s="502" t="s">
        <v>878</v>
      </c>
      <c r="G8496" s="100" t="s">
        <v>2527</v>
      </c>
      <c r="H8496" s="530"/>
      <c r="I8496" s="422"/>
      <c r="K8496" s="548"/>
      <c r="L8496" s="548"/>
      <c r="M8496" s="548"/>
      <c r="N8496" s="552"/>
    </row>
    <row r="8497" spans="1:14">
      <c r="A8497" s="499">
        <v>45793</v>
      </c>
      <c r="B8497" s="499">
        <v>45796</v>
      </c>
      <c r="C8497" s="500" t="s">
        <v>173</v>
      </c>
      <c r="D8497" s="500" t="s">
        <v>759</v>
      </c>
      <c r="E8497" s="501">
        <v>2132575781.3199999</v>
      </c>
      <c r="F8497" s="502" t="s">
        <v>878</v>
      </c>
      <c r="G8497" s="100" t="s">
        <v>633</v>
      </c>
      <c r="H8497" s="530">
        <v>117062751</v>
      </c>
      <c r="I8497" s="422"/>
      <c r="K8497" s="548"/>
      <c r="L8497" s="548"/>
      <c r="M8497" s="548"/>
      <c r="N8497" s="552"/>
    </row>
    <row r="8498" spans="1:14">
      <c r="A8498" s="499">
        <v>45793</v>
      </c>
      <c r="B8498" s="499">
        <v>45796</v>
      </c>
      <c r="C8498" s="500" t="s">
        <v>173</v>
      </c>
      <c r="D8498" s="500" t="s">
        <v>759</v>
      </c>
      <c r="E8498" s="501">
        <v>216315517.77000001</v>
      </c>
      <c r="F8498" s="502" t="s">
        <v>878</v>
      </c>
      <c r="G8498" s="100" t="s">
        <v>631</v>
      </c>
      <c r="H8498" s="530">
        <v>117062954</v>
      </c>
      <c r="I8498" s="422"/>
      <c r="K8498" s="548"/>
      <c r="L8498" s="548"/>
      <c r="M8498" s="548"/>
      <c r="N8498" s="552"/>
    </row>
    <row r="8499" spans="1:14">
      <c r="A8499" s="499">
        <v>45793</v>
      </c>
      <c r="B8499" s="499">
        <v>45796</v>
      </c>
      <c r="C8499" s="500" t="s">
        <v>173</v>
      </c>
      <c r="D8499" s="500" t="s">
        <v>759</v>
      </c>
      <c r="E8499" s="501">
        <v>13021353.27</v>
      </c>
      <c r="F8499" s="502" t="s">
        <v>878</v>
      </c>
      <c r="G8499" s="100" t="s">
        <v>2527</v>
      </c>
      <c r="H8499" s="530">
        <v>117070304</v>
      </c>
      <c r="I8499" s="422"/>
      <c r="K8499" s="548"/>
      <c r="L8499" s="548"/>
      <c r="M8499" s="548"/>
      <c r="N8499" s="552"/>
    </row>
    <row r="8500" spans="1:14">
      <c r="A8500" s="499">
        <v>45793</v>
      </c>
      <c r="B8500" s="499">
        <v>45793</v>
      </c>
      <c r="C8500" s="500" t="s">
        <v>173</v>
      </c>
      <c r="D8500" s="500" t="s">
        <v>763</v>
      </c>
      <c r="E8500" s="501">
        <v>-5002767390</v>
      </c>
      <c r="F8500" s="502" t="s">
        <v>878</v>
      </c>
      <c r="G8500" s="100" t="s">
        <v>819</v>
      </c>
      <c r="H8500" s="530"/>
      <c r="I8500" s="422"/>
      <c r="K8500" s="548"/>
      <c r="L8500" s="548"/>
      <c r="M8500" s="548"/>
      <c r="N8500" s="552"/>
    </row>
    <row r="8501" spans="1:14">
      <c r="A8501" s="499">
        <v>45793</v>
      </c>
      <c r="B8501" s="499">
        <v>45793</v>
      </c>
      <c r="C8501" s="500" t="s">
        <v>173</v>
      </c>
      <c r="D8501" s="500" t="s">
        <v>763</v>
      </c>
      <c r="E8501" s="501">
        <v>-508000047.95999998</v>
      </c>
      <c r="F8501" s="502" t="s">
        <v>878</v>
      </c>
      <c r="G8501" s="100" t="s">
        <v>1048</v>
      </c>
      <c r="H8501" s="530"/>
      <c r="I8501" s="422"/>
      <c r="K8501" s="548"/>
      <c r="L8501" s="548"/>
      <c r="M8501" s="548"/>
      <c r="N8501" s="552"/>
    </row>
    <row r="8502" spans="1:14">
      <c r="A8502" s="499">
        <v>45793</v>
      </c>
      <c r="B8502" s="499">
        <v>45793</v>
      </c>
      <c r="C8502" s="500" t="s">
        <v>173</v>
      </c>
      <c r="D8502" s="500" t="s">
        <v>763</v>
      </c>
      <c r="E8502" s="501">
        <v>-181065886.15000001</v>
      </c>
      <c r="F8502" s="502" t="s">
        <v>878</v>
      </c>
      <c r="G8502" s="100" t="s">
        <v>633</v>
      </c>
      <c r="H8502" s="530"/>
      <c r="I8502" s="422"/>
      <c r="K8502" s="548"/>
      <c r="L8502" s="548"/>
      <c r="M8502" s="548"/>
      <c r="N8502" s="552"/>
    </row>
    <row r="8503" spans="1:14">
      <c r="A8503" s="499">
        <v>45793</v>
      </c>
      <c r="B8503" s="499">
        <v>45793</v>
      </c>
      <c r="C8503" s="500" t="s">
        <v>173</v>
      </c>
      <c r="D8503" s="500" t="s">
        <v>763</v>
      </c>
      <c r="E8503" s="501">
        <v>-113079603.98</v>
      </c>
      <c r="F8503" s="502" t="s">
        <v>878</v>
      </c>
      <c r="G8503" s="100" t="s">
        <v>1042</v>
      </c>
      <c r="H8503" s="530"/>
      <c r="I8503" s="422"/>
      <c r="K8503" s="548"/>
      <c r="L8503" s="548"/>
      <c r="M8503" s="548"/>
      <c r="N8503" s="552"/>
    </row>
    <row r="8504" spans="1:14">
      <c r="A8504" s="499">
        <v>45793</v>
      </c>
      <c r="B8504" s="499">
        <v>45793</v>
      </c>
      <c r="C8504" s="500" t="s">
        <v>173</v>
      </c>
      <c r="D8504" s="500" t="s">
        <v>763</v>
      </c>
      <c r="E8504" s="501">
        <v>-30021133.800000001</v>
      </c>
      <c r="F8504" s="502" t="s">
        <v>878</v>
      </c>
      <c r="G8504" s="100" t="s">
        <v>2555</v>
      </c>
      <c r="H8504" s="530"/>
      <c r="I8504" s="422"/>
      <c r="K8504" s="548"/>
      <c r="L8504" s="548"/>
      <c r="M8504" s="548"/>
      <c r="N8504" s="552"/>
    </row>
    <row r="8505" spans="1:14">
      <c r="A8505" s="499">
        <v>45793</v>
      </c>
      <c r="B8505" s="499">
        <v>45796</v>
      </c>
      <c r="C8505" s="500" t="s">
        <v>173</v>
      </c>
      <c r="D8505" s="500" t="s">
        <v>763</v>
      </c>
      <c r="E8505" s="501">
        <v>5009284776.0600004</v>
      </c>
      <c r="F8505" s="502" t="s">
        <v>878</v>
      </c>
      <c r="G8505" s="100" t="s">
        <v>819</v>
      </c>
      <c r="H8505" s="530">
        <v>117067436</v>
      </c>
      <c r="I8505" s="422"/>
      <c r="K8505" s="548"/>
      <c r="L8505" s="548"/>
      <c r="M8505" s="548"/>
      <c r="N8505" s="552"/>
    </row>
    <row r="8506" spans="1:14">
      <c r="A8506" s="499">
        <v>45793</v>
      </c>
      <c r="B8506" s="499">
        <v>45796</v>
      </c>
      <c r="C8506" s="500" t="s">
        <v>173</v>
      </c>
      <c r="D8506" s="500" t="s">
        <v>763</v>
      </c>
      <c r="E8506" s="501">
        <v>508661843.98000002</v>
      </c>
      <c r="F8506" s="502" t="s">
        <v>878</v>
      </c>
      <c r="G8506" s="100" t="s">
        <v>1048</v>
      </c>
      <c r="H8506" s="530">
        <v>117067439</v>
      </c>
      <c r="I8506" s="422"/>
      <c r="K8506" s="548"/>
      <c r="L8506" s="548"/>
      <c r="M8506" s="548"/>
      <c r="N8506" s="552"/>
    </row>
    <row r="8507" spans="1:14">
      <c r="A8507" s="499">
        <v>45793</v>
      </c>
      <c r="B8507" s="499">
        <v>45796</v>
      </c>
      <c r="C8507" s="500" t="s">
        <v>173</v>
      </c>
      <c r="D8507" s="500" t="s">
        <v>763</v>
      </c>
      <c r="E8507" s="501">
        <v>181301769.36000001</v>
      </c>
      <c r="F8507" s="502" t="s">
        <v>878</v>
      </c>
      <c r="G8507" s="100" t="s">
        <v>633</v>
      </c>
      <c r="H8507" s="530">
        <v>117067442</v>
      </c>
      <c r="I8507" s="422"/>
      <c r="K8507" s="548"/>
      <c r="L8507" s="548"/>
      <c r="M8507" s="548"/>
      <c r="N8507" s="552"/>
    </row>
    <row r="8508" spans="1:14">
      <c r="A8508" s="499">
        <v>45793</v>
      </c>
      <c r="B8508" s="499">
        <v>45796</v>
      </c>
      <c r="C8508" s="500" t="s">
        <v>173</v>
      </c>
      <c r="D8508" s="500" t="s">
        <v>763</v>
      </c>
      <c r="E8508" s="501">
        <v>113226918.2</v>
      </c>
      <c r="F8508" s="502" t="s">
        <v>878</v>
      </c>
      <c r="G8508" s="100" t="s">
        <v>1042</v>
      </c>
      <c r="H8508" s="530">
        <v>117067445</v>
      </c>
      <c r="I8508" s="422"/>
      <c r="K8508" s="548"/>
      <c r="L8508" s="548"/>
      <c r="M8508" s="548"/>
      <c r="N8508" s="552"/>
    </row>
    <row r="8509" spans="1:14">
      <c r="A8509" s="499">
        <v>45793</v>
      </c>
      <c r="B8509" s="499">
        <v>45796</v>
      </c>
      <c r="C8509" s="500" t="s">
        <v>173</v>
      </c>
      <c r="D8509" s="500" t="s">
        <v>763</v>
      </c>
      <c r="E8509" s="501">
        <v>30060243.77</v>
      </c>
      <c r="F8509" s="502" t="s">
        <v>878</v>
      </c>
      <c r="G8509" s="100" t="s">
        <v>2555</v>
      </c>
      <c r="H8509" s="530">
        <v>117067456</v>
      </c>
      <c r="I8509" s="422"/>
      <c r="K8509" s="548"/>
      <c r="L8509" s="548"/>
      <c r="M8509" s="548"/>
      <c r="N8509" s="552"/>
    </row>
    <row r="8510" spans="1:14">
      <c r="A8510" s="499">
        <v>45796</v>
      </c>
      <c r="B8510" s="499">
        <v>45796</v>
      </c>
      <c r="C8510" s="500" t="s">
        <v>173</v>
      </c>
      <c r="D8510" s="500" t="s">
        <v>762</v>
      </c>
      <c r="E8510" s="501">
        <v>38375000</v>
      </c>
      <c r="F8510" s="502" t="s">
        <v>381</v>
      </c>
      <c r="G8510" s="100" t="s">
        <v>498</v>
      </c>
      <c r="H8510" s="530"/>
      <c r="I8510" s="422"/>
      <c r="K8510" s="548"/>
      <c r="L8510" s="548"/>
      <c r="M8510" s="548"/>
      <c r="N8510" s="552"/>
    </row>
    <row r="8511" spans="1:14">
      <c r="A8511" s="499">
        <v>45796</v>
      </c>
      <c r="B8511" s="499">
        <v>45796</v>
      </c>
      <c r="C8511" s="500" t="s">
        <v>173</v>
      </c>
      <c r="D8511" s="500" t="s">
        <v>762</v>
      </c>
      <c r="E8511" s="501">
        <v>-38009009.759999998</v>
      </c>
      <c r="F8511" s="502" t="s">
        <v>878</v>
      </c>
      <c r="G8511" s="100" t="s">
        <v>718</v>
      </c>
      <c r="H8511" s="530"/>
      <c r="I8511" s="422"/>
      <c r="K8511" s="548"/>
      <c r="L8511" s="548"/>
      <c r="M8511" s="548"/>
      <c r="N8511" s="552"/>
    </row>
    <row r="8512" spans="1:14">
      <c r="A8512" s="499">
        <v>45796</v>
      </c>
      <c r="B8512" s="499">
        <v>45803</v>
      </c>
      <c r="C8512" s="500" t="s">
        <v>173</v>
      </c>
      <c r="D8512" s="500" t="s">
        <v>762</v>
      </c>
      <c r="E8512" s="501">
        <v>38125275.68</v>
      </c>
      <c r="F8512" s="502" t="s">
        <v>878</v>
      </c>
      <c r="G8512" s="100" t="s">
        <v>718</v>
      </c>
      <c r="H8512" s="100">
        <v>117083092</v>
      </c>
      <c r="I8512" s="422"/>
      <c r="K8512" s="548"/>
      <c r="L8512" s="548"/>
      <c r="M8512" s="548"/>
      <c r="N8512" s="552"/>
    </row>
    <row r="8513" spans="1:25">
      <c r="A8513" s="499">
        <v>45796</v>
      </c>
      <c r="B8513" s="499">
        <v>45796</v>
      </c>
      <c r="C8513" s="500" t="s">
        <v>173</v>
      </c>
      <c r="D8513" s="500" t="s">
        <v>761</v>
      </c>
      <c r="E8513" s="501">
        <v>-571129987.00999999</v>
      </c>
      <c r="F8513" s="502" t="s">
        <v>878</v>
      </c>
      <c r="G8513" s="100" t="s">
        <v>680</v>
      </c>
      <c r="H8513" s="530"/>
      <c r="I8513" s="422"/>
      <c r="K8513" s="548"/>
      <c r="L8513" s="548"/>
      <c r="M8513" s="548"/>
      <c r="N8513" s="552"/>
    </row>
    <row r="8514" spans="1:25">
      <c r="A8514" s="499">
        <v>45796</v>
      </c>
      <c r="B8514" s="499">
        <v>45796</v>
      </c>
      <c r="C8514" s="500" t="s">
        <v>173</v>
      </c>
      <c r="D8514" s="500" t="s">
        <v>761</v>
      </c>
      <c r="E8514" s="501">
        <v>-504013840.69999999</v>
      </c>
      <c r="F8514" s="502" t="s">
        <v>878</v>
      </c>
      <c r="G8514" s="100" t="s">
        <v>2514</v>
      </c>
      <c r="H8514" s="530"/>
      <c r="I8514" s="422"/>
      <c r="K8514" s="548"/>
      <c r="L8514" s="548"/>
      <c r="M8514" s="548"/>
      <c r="N8514" s="552"/>
    </row>
    <row r="8515" spans="1:25">
      <c r="A8515" s="499">
        <v>45796</v>
      </c>
      <c r="B8515" s="499">
        <v>45796</v>
      </c>
      <c r="C8515" s="500" t="s">
        <v>173</v>
      </c>
      <c r="D8515" s="500" t="s">
        <v>761</v>
      </c>
      <c r="E8515" s="501">
        <v>-3000082.39</v>
      </c>
      <c r="F8515" s="502" t="s">
        <v>878</v>
      </c>
      <c r="G8515" s="100" t="s">
        <v>2514</v>
      </c>
      <c r="H8515" s="530"/>
      <c r="I8515" s="422"/>
      <c r="K8515" s="548"/>
      <c r="L8515" s="548"/>
      <c r="M8515" s="548"/>
      <c r="N8515" s="552"/>
    </row>
    <row r="8516" spans="1:25">
      <c r="A8516" s="499">
        <v>45796</v>
      </c>
      <c r="B8516" s="499">
        <v>45803</v>
      </c>
      <c r="C8516" s="500" t="s">
        <v>173</v>
      </c>
      <c r="D8516" s="500" t="s">
        <v>761</v>
      </c>
      <c r="E8516" s="501">
        <v>572893448.63999999</v>
      </c>
      <c r="F8516" s="502" t="s">
        <v>878</v>
      </c>
      <c r="G8516" s="100" t="s">
        <v>680</v>
      </c>
      <c r="H8516" s="100">
        <v>117081567</v>
      </c>
      <c r="I8516" s="422"/>
      <c r="K8516" s="548"/>
      <c r="L8516" s="548"/>
      <c r="M8516" s="548"/>
      <c r="N8516" s="552"/>
    </row>
    <row r="8517" spans="1:25">
      <c r="A8517" s="499">
        <v>45796</v>
      </c>
      <c r="B8517" s="499">
        <v>45797</v>
      </c>
      <c r="C8517" s="500" t="s">
        <v>173</v>
      </c>
      <c r="D8517" s="500" t="s">
        <v>761</v>
      </c>
      <c r="E8517" s="501">
        <v>504228564.39999998</v>
      </c>
      <c r="F8517" s="502" t="s">
        <v>878</v>
      </c>
      <c r="G8517" s="100" t="s">
        <v>2514</v>
      </c>
      <c r="H8517" s="100">
        <v>117086268</v>
      </c>
      <c r="I8517" s="422"/>
      <c r="K8517" s="548"/>
      <c r="L8517" s="548"/>
      <c r="M8517" s="548"/>
      <c r="N8517" s="552"/>
    </row>
    <row r="8518" spans="1:25">
      <c r="A8518" s="499">
        <v>45796</v>
      </c>
      <c r="B8518" s="499">
        <v>45797</v>
      </c>
      <c r="C8518" s="500" t="s">
        <v>173</v>
      </c>
      <c r="D8518" s="500" t="s">
        <v>761</v>
      </c>
      <c r="E8518" s="501">
        <v>3001360.51</v>
      </c>
      <c r="F8518" s="502" t="s">
        <v>878</v>
      </c>
      <c r="G8518" s="100" t="s">
        <v>2514</v>
      </c>
      <c r="H8518" s="100">
        <v>117086286</v>
      </c>
      <c r="I8518" s="422"/>
      <c r="K8518" s="548"/>
      <c r="L8518" s="548"/>
      <c r="M8518" s="548"/>
      <c r="N8518" s="552"/>
    </row>
    <row r="8519" spans="1:25">
      <c r="A8519" s="499">
        <v>45796</v>
      </c>
      <c r="B8519" s="499">
        <v>45796</v>
      </c>
      <c r="C8519" s="500" t="s">
        <v>173</v>
      </c>
      <c r="D8519" s="500" t="s">
        <v>761</v>
      </c>
      <c r="E8519" s="501">
        <v>502391444.44</v>
      </c>
      <c r="F8519" s="502" t="s">
        <v>912</v>
      </c>
      <c r="G8519" s="100" t="s">
        <v>2518</v>
      </c>
      <c r="H8519" s="530"/>
      <c r="I8519" s="422" t="s">
        <v>2517</v>
      </c>
      <c r="K8519" s="548"/>
      <c r="L8519" s="548">
        <v>99.9619</v>
      </c>
      <c r="M8519" s="548"/>
      <c r="N8519" s="552">
        <v>500000</v>
      </c>
      <c r="W8519" s="550">
        <f>VLOOKUP(G8519,Справочник!A:C,3,0)</f>
        <v>0.16900000000000001</v>
      </c>
      <c r="X8519" s="539" t="str">
        <f>VLOOKUP(G8519,Справочник!A:G,7,0)</f>
        <v>АО "Национальный управляющий холдинг "Байтерек"</v>
      </c>
      <c r="Y8519" s="551">
        <f>VLOOKUP(G8519,Справочник!A:B,2,0)</f>
        <v>47611</v>
      </c>
    </row>
    <row r="8520" spans="1:25">
      <c r="A8520" s="499">
        <v>45796</v>
      </c>
      <c r="B8520" s="499">
        <v>45796</v>
      </c>
      <c r="C8520" s="500" t="s">
        <v>173</v>
      </c>
      <c r="D8520" s="500" t="s">
        <v>759</v>
      </c>
      <c r="E8520" s="501">
        <v>-710118050.35000002</v>
      </c>
      <c r="F8520" s="502" t="s">
        <v>878</v>
      </c>
      <c r="G8520" s="100" t="s">
        <v>1013</v>
      </c>
      <c r="H8520" s="530"/>
      <c r="I8520" s="422"/>
      <c r="K8520" s="548"/>
      <c r="L8520" s="548"/>
      <c r="M8520" s="548"/>
      <c r="N8520" s="552"/>
    </row>
    <row r="8521" spans="1:25">
      <c r="A8521" s="499">
        <v>45796</v>
      </c>
      <c r="B8521" s="499">
        <v>45796</v>
      </c>
      <c r="C8521" s="500" t="s">
        <v>173</v>
      </c>
      <c r="D8521" s="500" t="s">
        <v>759</v>
      </c>
      <c r="E8521" s="501">
        <v>-5421320837.7399998</v>
      </c>
      <c r="F8521" s="502" t="s">
        <v>878</v>
      </c>
      <c r="G8521" s="100" t="s">
        <v>677</v>
      </c>
      <c r="H8521" s="530"/>
      <c r="I8521" s="422"/>
      <c r="K8521" s="548"/>
      <c r="L8521" s="548"/>
      <c r="M8521" s="548"/>
      <c r="N8521" s="552"/>
    </row>
    <row r="8522" spans="1:25">
      <c r="A8522" s="499">
        <v>45796</v>
      </c>
      <c r="B8522" s="499">
        <v>45796</v>
      </c>
      <c r="C8522" s="500" t="s">
        <v>173</v>
      </c>
      <c r="D8522" s="500" t="s">
        <v>759</v>
      </c>
      <c r="E8522" s="501">
        <v>-870280227</v>
      </c>
      <c r="F8522" s="502" t="s">
        <v>878</v>
      </c>
      <c r="G8522" s="100" t="s">
        <v>678</v>
      </c>
      <c r="H8522" s="530"/>
      <c r="I8522" s="422"/>
      <c r="K8522" s="548"/>
      <c r="L8522" s="548"/>
      <c r="M8522" s="548"/>
      <c r="N8522" s="552"/>
    </row>
    <row r="8523" spans="1:25">
      <c r="A8523" s="499">
        <v>45796</v>
      </c>
      <c r="B8523" s="499">
        <v>45796</v>
      </c>
      <c r="C8523" s="500" t="s">
        <v>173</v>
      </c>
      <c r="D8523" s="500" t="s">
        <v>759</v>
      </c>
      <c r="E8523" s="501">
        <v>-2000727637.5999999</v>
      </c>
      <c r="F8523" s="502" t="s">
        <v>878</v>
      </c>
      <c r="G8523" s="100" t="s">
        <v>633</v>
      </c>
      <c r="H8523" s="530"/>
      <c r="I8523" s="422"/>
      <c r="K8523" s="548"/>
      <c r="L8523" s="548"/>
      <c r="M8523" s="548"/>
      <c r="N8523" s="552"/>
    </row>
    <row r="8524" spans="1:25">
      <c r="A8524" s="499">
        <v>45796</v>
      </c>
      <c r="B8524" s="499">
        <v>45796</v>
      </c>
      <c r="C8524" s="500" t="s">
        <v>173</v>
      </c>
      <c r="D8524" s="500" t="s">
        <v>759</v>
      </c>
      <c r="E8524" s="501">
        <v>-735167321.27999997</v>
      </c>
      <c r="F8524" s="502" t="s">
        <v>878</v>
      </c>
      <c r="G8524" s="100" t="s">
        <v>680</v>
      </c>
      <c r="H8524" s="530"/>
      <c r="I8524" s="422"/>
      <c r="K8524" s="548"/>
      <c r="L8524" s="548"/>
      <c r="M8524" s="548"/>
      <c r="N8524" s="552"/>
    </row>
    <row r="8525" spans="1:25">
      <c r="A8525" s="499">
        <v>45796</v>
      </c>
      <c r="B8525" s="499">
        <v>45796</v>
      </c>
      <c r="C8525" s="500" t="s">
        <v>173</v>
      </c>
      <c r="D8525" s="500" t="s">
        <v>759</v>
      </c>
      <c r="E8525" s="501">
        <v>-5001138.24</v>
      </c>
      <c r="F8525" s="502" t="s">
        <v>878</v>
      </c>
      <c r="G8525" s="100" t="s">
        <v>2547</v>
      </c>
      <c r="H8525" s="530"/>
      <c r="I8525" s="422"/>
      <c r="K8525" s="548"/>
      <c r="L8525" s="548"/>
      <c r="M8525" s="548"/>
      <c r="N8525" s="552"/>
    </row>
    <row r="8526" spans="1:25">
      <c r="A8526" s="499">
        <v>45796</v>
      </c>
      <c r="B8526" s="499">
        <v>45803</v>
      </c>
      <c r="C8526" s="500" t="s">
        <v>173</v>
      </c>
      <c r="D8526" s="500" t="s">
        <v>759</v>
      </c>
      <c r="E8526" s="501">
        <v>712310675.03999996</v>
      </c>
      <c r="F8526" s="502" t="s">
        <v>878</v>
      </c>
      <c r="G8526" s="100" t="s">
        <v>1013</v>
      </c>
      <c r="H8526" s="100">
        <v>117080700</v>
      </c>
      <c r="I8526" s="422"/>
      <c r="K8526" s="548"/>
      <c r="L8526" s="548"/>
      <c r="M8526" s="548"/>
      <c r="N8526" s="552"/>
    </row>
    <row r="8527" spans="1:25">
      <c r="A8527" s="499">
        <v>45796</v>
      </c>
      <c r="B8527" s="499">
        <v>45803</v>
      </c>
      <c r="C8527" s="500" t="s">
        <v>173</v>
      </c>
      <c r="D8527" s="500" t="s">
        <v>759</v>
      </c>
      <c r="E8527" s="501">
        <v>5438060198.1099997</v>
      </c>
      <c r="F8527" s="502" t="s">
        <v>878</v>
      </c>
      <c r="G8527" s="100" t="s">
        <v>677</v>
      </c>
      <c r="H8527" s="100">
        <v>117080703</v>
      </c>
      <c r="I8527" s="422"/>
      <c r="K8527" s="548"/>
      <c r="L8527" s="548"/>
      <c r="M8527" s="548"/>
      <c r="N8527" s="552"/>
    </row>
    <row r="8528" spans="1:25">
      <c r="A8528" s="499">
        <v>45796</v>
      </c>
      <c r="B8528" s="499">
        <v>45803</v>
      </c>
      <c r="C8528" s="500" t="s">
        <v>173</v>
      </c>
      <c r="D8528" s="500" t="s">
        <v>759</v>
      </c>
      <c r="E8528" s="501">
        <v>872967382.90999997</v>
      </c>
      <c r="F8528" s="502" t="s">
        <v>878</v>
      </c>
      <c r="G8528" s="100" t="s">
        <v>678</v>
      </c>
      <c r="H8528" s="100">
        <v>117080706</v>
      </c>
      <c r="I8528" s="422"/>
      <c r="K8528" s="548"/>
      <c r="L8528" s="548"/>
      <c r="M8528" s="548"/>
      <c r="N8528" s="552"/>
    </row>
    <row r="8529" spans="1:14">
      <c r="A8529" s="499">
        <v>45796</v>
      </c>
      <c r="B8529" s="499">
        <v>45797</v>
      </c>
      <c r="C8529" s="500" t="s">
        <v>173</v>
      </c>
      <c r="D8529" s="500" t="s">
        <v>759</v>
      </c>
      <c r="E8529" s="501">
        <v>2001590965.28</v>
      </c>
      <c r="F8529" s="502" t="s">
        <v>878</v>
      </c>
      <c r="G8529" s="100" t="s">
        <v>633</v>
      </c>
      <c r="H8529" s="100">
        <v>117081315</v>
      </c>
      <c r="I8529" s="422"/>
      <c r="K8529" s="548"/>
      <c r="L8529" s="548"/>
      <c r="M8529" s="548"/>
      <c r="N8529" s="552"/>
    </row>
    <row r="8530" spans="1:14">
      <c r="A8530" s="499">
        <v>45796</v>
      </c>
      <c r="B8530" s="499">
        <v>45803</v>
      </c>
      <c r="C8530" s="500" t="s">
        <v>173</v>
      </c>
      <c r="D8530" s="500" t="s">
        <v>759</v>
      </c>
      <c r="E8530" s="501">
        <v>737437276.26999998</v>
      </c>
      <c r="F8530" s="502" t="s">
        <v>878</v>
      </c>
      <c r="G8530" s="100" t="s">
        <v>680</v>
      </c>
      <c r="H8530" s="100">
        <v>117081475</v>
      </c>
      <c r="I8530" s="422"/>
      <c r="K8530" s="548"/>
      <c r="L8530" s="548"/>
      <c r="M8530" s="548"/>
      <c r="N8530" s="552"/>
    </row>
    <row r="8531" spans="1:14">
      <c r="A8531" s="499">
        <v>45796</v>
      </c>
      <c r="B8531" s="499">
        <v>45803</v>
      </c>
      <c r="C8531" s="500" t="s">
        <v>173</v>
      </c>
      <c r="D8531" s="500" t="s">
        <v>759</v>
      </c>
      <c r="E8531" s="501">
        <v>5016580.1100000003</v>
      </c>
      <c r="F8531" s="502" t="s">
        <v>878</v>
      </c>
      <c r="G8531" s="100" t="s">
        <v>2547</v>
      </c>
      <c r="H8531" s="100">
        <v>117081493</v>
      </c>
      <c r="I8531" s="422"/>
      <c r="K8531" s="548"/>
      <c r="L8531" s="548"/>
      <c r="M8531" s="548"/>
      <c r="N8531" s="552"/>
    </row>
    <row r="8532" spans="1:14">
      <c r="A8532" s="499">
        <v>45796</v>
      </c>
      <c r="B8532" s="499">
        <v>45796</v>
      </c>
      <c r="C8532" s="500" t="s">
        <v>173</v>
      </c>
      <c r="D8532" s="500" t="s">
        <v>760</v>
      </c>
      <c r="E8532" s="501">
        <v>-181027038.5</v>
      </c>
      <c r="F8532" s="502" t="s">
        <v>878</v>
      </c>
      <c r="G8532" s="100" t="s">
        <v>604</v>
      </c>
      <c r="H8532" s="530"/>
      <c r="I8532" s="422"/>
      <c r="K8532" s="548"/>
      <c r="L8532" s="548"/>
      <c r="M8532" s="548"/>
      <c r="N8532" s="552"/>
    </row>
    <row r="8533" spans="1:14">
      <c r="A8533" s="499">
        <v>45796</v>
      </c>
      <c r="B8533" s="499">
        <v>45803</v>
      </c>
      <c r="C8533" s="500" t="s">
        <v>173</v>
      </c>
      <c r="D8533" s="500" t="s">
        <v>760</v>
      </c>
      <c r="E8533" s="501">
        <v>181585993.94999999</v>
      </c>
      <c r="F8533" s="502" t="s">
        <v>878</v>
      </c>
      <c r="G8533" s="100" t="s">
        <v>604</v>
      </c>
      <c r="H8533" s="530">
        <v>117078781</v>
      </c>
      <c r="I8533" s="422"/>
      <c r="K8533" s="548"/>
      <c r="L8533" s="548"/>
      <c r="M8533" s="548"/>
      <c r="N8533" s="552"/>
    </row>
    <row r="8534" spans="1:14">
      <c r="A8534" s="499">
        <v>45796</v>
      </c>
      <c r="B8534" s="499">
        <v>45796</v>
      </c>
      <c r="C8534" s="500" t="s">
        <v>173</v>
      </c>
      <c r="D8534" s="500" t="s">
        <v>764</v>
      </c>
      <c r="E8534" s="501">
        <v>-3830099142.8699999</v>
      </c>
      <c r="F8534" s="502" t="s">
        <v>878</v>
      </c>
      <c r="G8534" s="100" t="s">
        <v>588</v>
      </c>
      <c r="H8534" s="530"/>
      <c r="I8534" s="422"/>
      <c r="K8534" s="548"/>
      <c r="L8534" s="548"/>
      <c r="M8534" s="548"/>
      <c r="N8534" s="552"/>
    </row>
    <row r="8535" spans="1:14">
      <c r="A8535" s="499">
        <v>45796</v>
      </c>
      <c r="B8535" s="499">
        <v>45796</v>
      </c>
      <c r="C8535" s="500" t="s">
        <v>173</v>
      </c>
      <c r="D8535" s="500" t="s">
        <v>764</v>
      </c>
      <c r="E8535" s="501">
        <v>-792179443.44000006</v>
      </c>
      <c r="F8535" s="502" t="s">
        <v>878</v>
      </c>
      <c r="G8535" s="100" t="s">
        <v>686</v>
      </c>
      <c r="H8535" s="530"/>
      <c r="I8535" s="422"/>
      <c r="K8535" s="548"/>
      <c r="L8535" s="548"/>
      <c r="M8535" s="548"/>
      <c r="N8535" s="552"/>
    </row>
    <row r="8536" spans="1:14">
      <c r="A8536" s="499">
        <v>45796</v>
      </c>
      <c r="B8536" s="499">
        <v>45796</v>
      </c>
      <c r="C8536" s="500" t="s">
        <v>173</v>
      </c>
      <c r="D8536" s="500" t="s">
        <v>764</v>
      </c>
      <c r="E8536" s="501">
        <v>-23003435.829999998</v>
      </c>
      <c r="F8536" s="502" t="s">
        <v>878</v>
      </c>
      <c r="G8536" s="100" t="s">
        <v>604</v>
      </c>
      <c r="H8536" s="530"/>
      <c r="I8536" s="422"/>
      <c r="K8536" s="548"/>
      <c r="L8536" s="548"/>
      <c r="M8536" s="548"/>
      <c r="N8536" s="552"/>
    </row>
    <row r="8537" spans="1:14">
      <c r="A8537" s="499">
        <v>45796</v>
      </c>
      <c r="B8537" s="499">
        <v>45803</v>
      </c>
      <c r="C8537" s="500" t="s">
        <v>173</v>
      </c>
      <c r="D8537" s="500" t="s">
        <v>764</v>
      </c>
      <c r="E8537" s="501">
        <v>3841925229.8099999</v>
      </c>
      <c r="F8537" s="502" t="s">
        <v>878</v>
      </c>
      <c r="G8537" s="100" t="s">
        <v>588</v>
      </c>
      <c r="H8537" s="530">
        <v>117078761</v>
      </c>
      <c r="I8537" s="422"/>
      <c r="K8537" s="548"/>
      <c r="L8537" s="548"/>
      <c r="M8537" s="548"/>
      <c r="N8537" s="552"/>
    </row>
    <row r="8538" spans="1:14">
      <c r="A8538" s="499">
        <v>45796</v>
      </c>
      <c r="B8538" s="499">
        <v>45803</v>
      </c>
      <c r="C8538" s="500" t="s">
        <v>173</v>
      </c>
      <c r="D8538" s="500" t="s">
        <v>764</v>
      </c>
      <c r="E8538" s="501">
        <v>794625433.12</v>
      </c>
      <c r="F8538" s="502" t="s">
        <v>878</v>
      </c>
      <c r="G8538" s="100" t="s">
        <v>686</v>
      </c>
      <c r="H8538" s="530">
        <v>117078778</v>
      </c>
      <c r="I8538" s="422"/>
      <c r="K8538" s="548"/>
      <c r="L8538" s="548"/>
      <c r="M8538" s="548"/>
      <c r="N8538" s="552"/>
    </row>
    <row r="8539" spans="1:14">
      <c r="A8539" s="499">
        <v>45796</v>
      </c>
      <c r="B8539" s="499">
        <v>45803</v>
      </c>
      <c r="C8539" s="500" t="s">
        <v>173</v>
      </c>
      <c r="D8539" s="500" t="s">
        <v>764</v>
      </c>
      <c r="E8539" s="501">
        <v>23074463.32</v>
      </c>
      <c r="F8539" s="502" t="s">
        <v>878</v>
      </c>
      <c r="G8539" s="100" t="s">
        <v>604</v>
      </c>
      <c r="H8539" s="530">
        <v>117078788</v>
      </c>
      <c r="I8539" s="422"/>
      <c r="K8539" s="548"/>
      <c r="L8539" s="548"/>
      <c r="M8539" s="548"/>
      <c r="N8539" s="552"/>
    </row>
    <row r="8540" spans="1:14">
      <c r="A8540" s="499">
        <v>45796</v>
      </c>
      <c r="B8540" s="499">
        <v>45796</v>
      </c>
      <c r="C8540" s="500" t="s">
        <v>173</v>
      </c>
      <c r="D8540" s="500" t="s">
        <v>763</v>
      </c>
      <c r="E8540" s="501">
        <v>-1982721088.8599999</v>
      </c>
      <c r="F8540" s="502" t="s">
        <v>878</v>
      </c>
      <c r="G8540" s="100" t="s">
        <v>633</v>
      </c>
      <c r="H8540" s="530"/>
      <c r="I8540" s="422"/>
      <c r="K8540" s="548"/>
      <c r="L8540" s="548"/>
      <c r="M8540" s="548"/>
      <c r="N8540" s="552"/>
    </row>
    <row r="8541" spans="1:14">
      <c r="A8541" s="499">
        <v>45796</v>
      </c>
      <c r="B8541" s="499">
        <v>45796</v>
      </c>
      <c r="C8541" s="500" t="s">
        <v>173</v>
      </c>
      <c r="D8541" s="500" t="s">
        <v>763</v>
      </c>
      <c r="E8541" s="501">
        <v>-3828392334.5500002</v>
      </c>
      <c r="F8541" s="502" t="s">
        <v>878</v>
      </c>
      <c r="G8541" s="100" t="s">
        <v>2527</v>
      </c>
      <c r="H8541" s="530"/>
      <c r="I8541" s="422"/>
      <c r="K8541" s="548"/>
      <c r="L8541" s="548"/>
      <c r="M8541" s="548"/>
      <c r="N8541" s="552"/>
    </row>
    <row r="8542" spans="1:14">
      <c r="A8542" s="499">
        <v>45796</v>
      </c>
      <c r="B8542" s="499">
        <v>45796</v>
      </c>
      <c r="C8542" s="500" t="s">
        <v>173</v>
      </c>
      <c r="D8542" s="500" t="s">
        <v>763</v>
      </c>
      <c r="E8542" s="501">
        <v>-32011642.199999999</v>
      </c>
      <c r="F8542" s="502" t="s">
        <v>878</v>
      </c>
      <c r="G8542" s="100" t="s">
        <v>2528</v>
      </c>
      <c r="H8542" s="530"/>
      <c r="I8542" s="422"/>
      <c r="K8542" s="548"/>
      <c r="L8542" s="548"/>
      <c r="M8542" s="548"/>
      <c r="N8542" s="552"/>
    </row>
    <row r="8543" spans="1:14">
      <c r="A8543" s="499">
        <v>45796</v>
      </c>
      <c r="B8543" s="499">
        <v>45797</v>
      </c>
      <c r="C8543" s="500" t="s">
        <v>173</v>
      </c>
      <c r="D8543" s="500" t="s">
        <v>763</v>
      </c>
      <c r="E8543" s="501">
        <v>1983590226.8699999</v>
      </c>
      <c r="F8543" s="502" t="s">
        <v>878</v>
      </c>
      <c r="G8543" s="100" t="s">
        <v>633</v>
      </c>
      <c r="H8543" s="100">
        <v>117078770</v>
      </c>
      <c r="I8543" s="422"/>
      <c r="K8543" s="548"/>
      <c r="L8543" s="548"/>
      <c r="M8543" s="548"/>
      <c r="N8543" s="552"/>
    </row>
    <row r="8544" spans="1:14">
      <c r="A8544" s="499">
        <v>45796</v>
      </c>
      <c r="B8544" s="499">
        <v>45797</v>
      </c>
      <c r="C8544" s="500" t="s">
        <v>173</v>
      </c>
      <c r="D8544" s="500" t="s">
        <v>763</v>
      </c>
      <c r="E8544" s="501">
        <v>3830050615.8000002</v>
      </c>
      <c r="F8544" s="502" t="s">
        <v>878</v>
      </c>
      <c r="G8544" s="100" t="s">
        <v>2527</v>
      </c>
      <c r="H8544" s="100">
        <v>117078773</v>
      </c>
      <c r="I8544" s="422"/>
      <c r="K8544" s="548"/>
      <c r="L8544" s="548"/>
      <c r="M8544" s="548"/>
      <c r="N8544" s="552"/>
    </row>
    <row r="8545" spans="1:25">
      <c r="A8545" s="499">
        <v>45796</v>
      </c>
      <c r="B8545" s="499">
        <v>45797</v>
      </c>
      <c r="C8545" s="500" t="s">
        <v>173</v>
      </c>
      <c r="D8545" s="500" t="s">
        <v>763</v>
      </c>
      <c r="E8545" s="501">
        <v>32025508.149999999</v>
      </c>
      <c r="F8545" s="502" t="s">
        <v>878</v>
      </c>
      <c r="G8545" s="100" t="s">
        <v>2528</v>
      </c>
      <c r="H8545" s="100">
        <v>117078792</v>
      </c>
      <c r="I8545" s="422"/>
      <c r="K8545" s="548"/>
      <c r="L8545" s="548"/>
      <c r="M8545" s="548"/>
      <c r="N8545" s="552"/>
    </row>
    <row r="8546" spans="1:25">
      <c r="A8546" s="499">
        <v>45796</v>
      </c>
      <c r="B8546" s="499">
        <v>45796</v>
      </c>
      <c r="C8546" s="500" t="s">
        <v>173</v>
      </c>
      <c r="D8546" s="500" t="s">
        <v>761</v>
      </c>
      <c r="E8546" s="501">
        <v>1400000.0000000002</v>
      </c>
      <c r="F8546" s="502" t="s">
        <v>381</v>
      </c>
      <c r="G8546" s="100" t="s">
        <v>683</v>
      </c>
      <c r="H8546" s="530"/>
      <c r="I8546" s="422"/>
      <c r="K8546" s="548"/>
      <c r="L8546" s="548"/>
      <c r="M8546" s="548"/>
      <c r="N8546" s="552"/>
    </row>
    <row r="8547" spans="1:25">
      <c r="A8547" s="499">
        <v>45797</v>
      </c>
      <c r="B8547" s="499">
        <v>45799</v>
      </c>
      <c r="C8547" s="500" t="s">
        <v>173</v>
      </c>
      <c r="D8547" s="500" t="s">
        <v>762</v>
      </c>
      <c r="E8547" s="501">
        <v>-812416000</v>
      </c>
      <c r="F8547" s="502" t="s">
        <v>906</v>
      </c>
      <c r="G8547" s="100" t="s">
        <v>71</v>
      </c>
      <c r="H8547" s="530"/>
      <c r="I8547" s="422" t="s">
        <v>704</v>
      </c>
      <c r="J8547" s="523"/>
      <c r="K8547" s="548">
        <v>117109581</v>
      </c>
      <c r="L8547" s="549">
        <v>77.992599999999996</v>
      </c>
      <c r="M8547" s="549">
        <f>E8547*(-1)/(N8547*O8547)*100</f>
        <v>81.241600000000005</v>
      </c>
      <c r="N8547" s="549">
        <v>1000000</v>
      </c>
      <c r="O8547" s="539">
        <f>VLOOKUP(G8547,Справочник!A:J,10,0)</f>
        <v>1000</v>
      </c>
      <c r="T8547" s="538">
        <v>15.72</v>
      </c>
      <c r="U8547" s="538">
        <v>0</v>
      </c>
      <c r="V8547" s="538">
        <v>81241.600000000006</v>
      </c>
      <c r="W8547" s="550">
        <f>VLOOKUP(G8547,Справочник!A:C,3,0)</f>
        <v>7.22E-2</v>
      </c>
      <c r="X8547" s="539" t="str">
        <f>VLOOKUP(G8547,Справочник!A:G,7,0)</f>
        <v>Министерство финансов Республики Казахстан</v>
      </c>
      <c r="Y8547" s="551" t="str">
        <f>VLOOKUP(G8547,Справочник!A:B,2,0)</f>
        <v>10.12.2028</v>
      </c>
    </row>
    <row r="8548" spans="1:25">
      <c r="A8548" s="499">
        <v>45797</v>
      </c>
      <c r="B8548" s="499">
        <v>45797</v>
      </c>
      <c r="C8548" s="500" t="s">
        <v>173</v>
      </c>
      <c r="D8548" s="500" t="s">
        <v>761</v>
      </c>
      <c r="E8548" s="501">
        <v>-1134607769.5699999</v>
      </c>
      <c r="F8548" s="502" t="s">
        <v>878</v>
      </c>
      <c r="G8548" s="100" t="s">
        <v>657</v>
      </c>
      <c r="H8548" s="530"/>
      <c r="I8548" s="422"/>
      <c r="K8548" s="548"/>
      <c r="L8548" s="548"/>
      <c r="M8548" s="548"/>
      <c r="N8548" s="552"/>
      <c r="Y8548" s="551"/>
    </row>
    <row r="8549" spans="1:25">
      <c r="A8549" s="499">
        <v>45797</v>
      </c>
      <c r="B8549" s="499">
        <v>45797</v>
      </c>
      <c r="C8549" s="500" t="s">
        <v>173</v>
      </c>
      <c r="D8549" s="500" t="s">
        <v>761</v>
      </c>
      <c r="E8549" s="501">
        <v>-372123634.19999999</v>
      </c>
      <c r="F8549" s="502" t="s">
        <v>878</v>
      </c>
      <c r="G8549" s="100" t="s">
        <v>2577</v>
      </c>
      <c r="H8549" s="530"/>
      <c r="I8549" s="422"/>
      <c r="K8549" s="548"/>
      <c r="L8549" s="548"/>
      <c r="M8549" s="548"/>
      <c r="N8549" s="552"/>
      <c r="Y8549" s="551"/>
    </row>
    <row r="8550" spans="1:25">
      <c r="A8550" s="499">
        <v>45797</v>
      </c>
      <c r="B8550" s="499">
        <v>45797</v>
      </c>
      <c r="C8550" s="500" t="s">
        <v>173</v>
      </c>
      <c r="D8550" s="500" t="s">
        <v>761</v>
      </c>
      <c r="E8550" s="501">
        <v>-372123634.19999999</v>
      </c>
      <c r="F8550" s="502" t="s">
        <v>878</v>
      </c>
      <c r="G8550" s="100" t="s">
        <v>678</v>
      </c>
      <c r="H8550" s="530"/>
      <c r="I8550" s="422"/>
      <c r="K8550" s="548"/>
      <c r="L8550" s="548"/>
      <c r="M8550" s="548"/>
      <c r="N8550" s="552"/>
      <c r="Y8550" s="551"/>
    </row>
    <row r="8551" spans="1:25">
      <c r="A8551" s="499">
        <v>45797</v>
      </c>
      <c r="B8551" s="499">
        <v>45797</v>
      </c>
      <c r="C8551" s="500" t="s">
        <v>173</v>
      </c>
      <c r="D8551" s="500" t="s">
        <v>761</v>
      </c>
      <c r="E8551" s="501">
        <v>-123058147.91</v>
      </c>
      <c r="F8551" s="502" t="s">
        <v>878</v>
      </c>
      <c r="G8551" s="100" t="s">
        <v>633</v>
      </c>
      <c r="H8551" s="530"/>
      <c r="I8551" s="422"/>
      <c r="K8551" s="548"/>
      <c r="L8551" s="548"/>
      <c r="M8551" s="548"/>
      <c r="N8551" s="552"/>
      <c r="Y8551" s="551"/>
    </row>
    <row r="8552" spans="1:25">
      <c r="A8552" s="499">
        <v>45797</v>
      </c>
      <c r="B8552" s="499">
        <v>45797</v>
      </c>
      <c r="C8552" s="500" t="s">
        <v>173</v>
      </c>
      <c r="D8552" s="500" t="s">
        <v>761</v>
      </c>
      <c r="E8552" s="501">
        <v>-11000294.810000001</v>
      </c>
      <c r="F8552" s="502" t="s">
        <v>878</v>
      </c>
      <c r="G8552" s="100" t="s">
        <v>673</v>
      </c>
      <c r="H8552" s="530"/>
      <c r="I8552" s="422"/>
      <c r="K8552" s="548"/>
      <c r="L8552" s="548"/>
      <c r="M8552" s="548"/>
      <c r="N8552" s="552"/>
      <c r="Y8552" s="551"/>
    </row>
    <row r="8553" spans="1:25">
      <c r="A8553" s="499">
        <v>45797</v>
      </c>
      <c r="B8553" s="499">
        <v>45804</v>
      </c>
      <c r="C8553" s="500" t="s">
        <v>173</v>
      </c>
      <c r="D8553" s="500" t="s">
        <v>761</v>
      </c>
      <c r="E8553" s="501">
        <v>1138111065.3399999</v>
      </c>
      <c r="F8553" s="502" t="s">
        <v>878</v>
      </c>
      <c r="G8553" s="100" t="s">
        <v>657</v>
      </c>
      <c r="H8553" s="100">
        <v>117096413</v>
      </c>
      <c r="I8553" s="422"/>
      <c r="K8553" s="548"/>
      <c r="L8553" s="548"/>
      <c r="M8553" s="548"/>
      <c r="N8553" s="552"/>
      <c r="Y8553" s="551"/>
    </row>
    <row r="8554" spans="1:25">
      <c r="A8554" s="499">
        <v>45797</v>
      </c>
      <c r="B8554" s="499">
        <v>45798</v>
      </c>
      <c r="C8554" s="500" t="s">
        <v>173</v>
      </c>
      <c r="D8554" s="500" t="s">
        <v>761</v>
      </c>
      <c r="E8554" s="501">
        <v>372284209.12</v>
      </c>
      <c r="F8554" s="502" t="s">
        <v>878</v>
      </c>
      <c r="G8554" s="100" t="s">
        <v>2577</v>
      </c>
      <c r="H8554" s="100">
        <v>117096617</v>
      </c>
      <c r="I8554" s="422"/>
      <c r="K8554" s="548"/>
      <c r="L8554" s="548"/>
      <c r="M8554" s="548"/>
      <c r="N8554" s="552"/>
      <c r="Y8554" s="551"/>
    </row>
    <row r="8555" spans="1:25">
      <c r="A8555" s="499">
        <v>45797</v>
      </c>
      <c r="B8555" s="499">
        <v>45798</v>
      </c>
      <c r="C8555" s="500" t="s">
        <v>173</v>
      </c>
      <c r="D8555" s="500" t="s">
        <v>761</v>
      </c>
      <c r="E8555" s="501">
        <v>372284209.12</v>
      </c>
      <c r="F8555" s="502" t="s">
        <v>878</v>
      </c>
      <c r="G8555" s="100" t="s">
        <v>678</v>
      </c>
      <c r="H8555" s="100">
        <v>117096620</v>
      </c>
      <c r="I8555" s="422"/>
      <c r="K8555" s="548"/>
      <c r="L8555" s="548"/>
      <c r="M8555" s="548"/>
      <c r="N8555" s="552"/>
      <c r="Y8555" s="551"/>
    </row>
    <row r="8556" spans="1:25">
      <c r="A8556" s="499">
        <v>45797</v>
      </c>
      <c r="B8556" s="499">
        <v>45798</v>
      </c>
      <c r="C8556" s="500" t="s">
        <v>173</v>
      </c>
      <c r="D8556" s="500" t="s">
        <v>761</v>
      </c>
      <c r="E8556" s="501">
        <v>123111248.34</v>
      </c>
      <c r="F8556" s="502" t="s">
        <v>878</v>
      </c>
      <c r="G8556" s="100" t="s">
        <v>633</v>
      </c>
      <c r="H8556" s="100">
        <v>117096623</v>
      </c>
      <c r="I8556" s="422"/>
      <c r="K8556" s="548"/>
      <c r="L8556" s="548"/>
      <c r="M8556" s="548"/>
      <c r="N8556" s="552"/>
      <c r="Y8556" s="551"/>
    </row>
    <row r="8557" spans="1:25">
      <c r="A8557" s="499">
        <v>45797</v>
      </c>
      <c r="B8557" s="499">
        <v>45804</v>
      </c>
      <c r="C8557" s="500" t="s">
        <v>173</v>
      </c>
      <c r="D8557" s="500" t="s">
        <v>761</v>
      </c>
      <c r="E8557" s="501">
        <v>11034154.619999999</v>
      </c>
      <c r="F8557" s="502" t="s">
        <v>878</v>
      </c>
      <c r="G8557" s="100" t="s">
        <v>673</v>
      </c>
      <c r="H8557" s="100">
        <v>117096677</v>
      </c>
      <c r="I8557" s="422"/>
      <c r="K8557" s="548"/>
      <c r="L8557" s="548"/>
      <c r="M8557" s="548"/>
      <c r="N8557" s="552"/>
      <c r="Y8557" s="551"/>
    </row>
    <row r="8558" spans="1:25">
      <c r="A8558" s="499">
        <v>45797</v>
      </c>
      <c r="B8558" s="499">
        <v>45799</v>
      </c>
      <c r="C8558" s="500" t="s">
        <v>173</v>
      </c>
      <c r="D8558" s="500" t="s">
        <v>761</v>
      </c>
      <c r="E8558" s="501">
        <v>-372237166.67000002</v>
      </c>
      <c r="F8558" s="502" t="s">
        <v>906</v>
      </c>
      <c r="G8558" s="100" t="s">
        <v>92</v>
      </c>
      <c r="H8558" s="530"/>
      <c r="I8558" s="422" t="s">
        <v>692</v>
      </c>
      <c r="J8558" s="525"/>
      <c r="K8558" s="548">
        <v>117104416</v>
      </c>
      <c r="L8558" s="549">
        <v>74.1661</v>
      </c>
      <c r="M8558" s="549">
        <f>E8558*(-1)/(N8558*O8558)*100</f>
        <v>74.447433333999996</v>
      </c>
      <c r="N8558" s="549">
        <v>500000</v>
      </c>
      <c r="O8558" s="539">
        <f>VLOOKUP(G8558,Справочник!A:J,10,0)</f>
        <v>1000</v>
      </c>
      <c r="T8558" s="549">
        <v>15.35</v>
      </c>
      <c r="U8558" s="538">
        <v>0</v>
      </c>
      <c r="V8558" s="538">
        <v>37223.72</v>
      </c>
      <c r="W8558" s="550">
        <f>VLOOKUP(G8558,Справочник!A:C,3,0)</f>
        <v>8.4399999999999989E-2</v>
      </c>
      <c r="X8558" s="539" t="str">
        <f>VLOOKUP(G8558,Справочник!A:G,7,0)</f>
        <v>Министерство финансов Республики Казахстан</v>
      </c>
      <c r="Y8558" s="551" t="str">
        <f>VLOOKUP(G8558,Справочник!A:B,2,0)</f>
        <v>10.05.2031</v>
      </c>
    </row>
    <row r="8559" spans="1:25">
      <c r="A8559" s="499">
        <v>45797</v>
      </c>
      <c r="B8559" s="499">
        <v>45797</v>
      </c>
      <c r="C8559" s="500" t="s">
        <v>173</v>
      </c>
      <c r="D8559" s="500" t="s">
        <v>759</v>
      </c>
      <c r="E8559" s="501">
        <v>-1989940294.1800001</v>
      </c>
      <c r="F8559" s="502" t="s">
        <v>878</v>
      </c>
      <c r="G8559" s="100" t="s">
        <v>633</v>
      </c>
      <c r="H8559" s="530"/>
      <c r="I8559" s="422"/>
      <c r="K8559" s="548"/>
      <c r="L8559" s="548"/>
      <c r="M8559" s="548"/>
      <c r="N8559" s="552"/>
      <c r="Y8559" s="551"/>
    </row>
    <row r="8560" spans="1:25">
      <c r="A8560" s="499">
        <v>45797</v>
      </c>
      <c r="B8560" s="499">
        <v>45798</v>
      </c>
      <c r="C8560" s="500" t="s">
        <v>173</v>
      </c>
      <c r="D8560" s="500" t="s">
        <v>759</v>
      </c>
      <c r="E8560" s="501">
        <v>1990798967.05</v>
      </c>
      <c r="F8560" s="502" t="s">
        <v>878</v>
      </c>
      <c r="G8560" s="100" t="s">
        <v>633</v>
      </c>
      <c r="H8560" s="100">
        <v>117097629</v>
      </c>
      <c r="I8560" s="422"/>
      <c r="K8560" s="548"/>
      <c r="L8560" s="548"/>
      <c r="M8560" s="548"/>
      <c r="N8560" s="552"/>
      <c r="Y8560" s="551"/>
    </row>
    <row r="8561" spans="1:25">
      <c r="A8561" s="499">
        <v>45797</v>
      </c>
      <c r="B8561" s="499">
        <v>45797</v>
      </c>
      <c r="C8561" s="500" t="s">
        <v>173</v>
      </c>
      <c r="D8561" s="500" t="s">
        <v>763</v>
      </c>
      <c r="E8561" s="501">
        <v>-509000446.19</v>
      </c>
      <c r="F8561" s="502" t="s">
        <v>878</v>
      </c>
      <c r="G8561" s="100" t="s">
        <v>1048</v>
      </c>
      <c r="H8561" s="530"/>
      <c r="I8561" s="422"/>
      <c r="K8561" s="548"/>
      <c r="L8561" s="548"/>
      <c r="M8561" s="548"/>
      <c r="N8561" s="552"/>
      <c r="Y8561" s="551"/>
    </row>
    <row r="8562" spans="1:25">
      <c r="A8562" s="499">
        <v>45797</v>
      </c>
      <c r="B8562" s="499">
        <v>45797</v>
      </c>
      <c r="C8562" s="500" t="s">
        <v>173</v>
      </c>
      <c r="D8562" s="500" t="s">
        <v>763</v>
      </c>
      <c r="E8562" s="501">
        <v>-4404081033.1700001</v>
      </c>
      <c r="F8562" s="502" t="s">
        <v>878</v>
      </c>
      <c r="G8562" s="100" t="s">
        <v>2527</v>
      </c>
      <c r="H8562" s="530"/>
      <c r="I8562" s="422"/>
      <c r="K8562" s="548"/>
      <c r="L8562" s="548"/>
      <c r="M8562" s="548"/>
      <c r="N8562" s="552"/>
      <c r="Y8562" s="551"/>
    </row>
    <row r="8563" spans="1:25">
      <c r="A8563" s="499">
        <v>45797</v>
      </c>
      <c r="B8563" s="499">
        <v>45797</v>
      </c>
      <c r="C8563" s="500" t="s">
        <v>173</v>
      </c>
      <c r="D8563" s="500" t="s">
        <v>763</v>
      </c>
      <c r="E8563" s="501">
        <v>-900425472.48000002</v>
      </c>
      <c r="F8563" s="502" t="s">
        <v>878</v>
      </c>
      <c r="G8563" s="100" t="s">
        <v>2528</v>
      </c>
      <c r="H8563" s="530"/>
      <c r="I8563" s="422"/>
      <c r="K8563" s="548"/>
      <c r="L8563" s="548"/>
      <c r="M8563" s="548"/>
      <c r="N8563" s="552"/>
      <c r="Y8563" s="551"/>
    </row>
    <row r="8564" spans="1:25">
      <c r="A8564" s="499">
        <v>45797</v>
      </c>
      <c r="B8564" s="499">
        <v>45797</v>
      </c>
      <c r="C8564" s="500" t="s">
        <v>173</v>
      </c>
      <c r="D8564" s="500" t="s">
        <v>763</v>
      </c>
      <c r="E8564" s="501">
        <v>-32015127.91</v>
      </c>
      <c r="F8564" s="502" t="s">
        <v>878</v>
      </c>
      <c r="G8564" s="100" t="s">
        <v>2529</v>
      </c>
      <c r="H8564" s="530"/>
      <c r="I8564" s="422"/>
      <c r="K8564" s="548"/>
      <c r="L8564" s="548"/>
      <c r="M8564" s="548"/>
      <c r="N8564" s="552"/>
      <c r="Y8564" s="551"/>
    </row>
    <row r="8565" spans="1:25">
      <c r="A8565" s="499">
        <v>45797</v>
      </c>
      <c r="B8565" s="499">
        <v>45798</v>
      </c>
      <c r="C8565" s="500" t="s">
        <v>173</v>
      </c>
      <c r="D8565" s="500" t="s">
        <v>763</v>
      </c>
      <c r="E8565" s="501">
        <v>509220084.75999999</v>
      </c>
      <c r="F8565" s="502" t="s">
        <v>878</v>
      </c>
      <c r="G8565" s="100" t="s">
        <v>1048</v>
      </c>
      <c r="H8565" s="530">
        <v>117096047</v>
      </c>
      <c r="I8565" s="422"/>
      <c r="K8565" s="548"/>
      <c r="L8565" s="548"/>
      <c r="M8565" s="548"/>
      <c r="N8565" s="552"/>
      <c r="Y8565" s="551"/>
    </row>
    <row r="8566" spans="1:25">
      <c r="A8566" s="499">
        <v>45797</v>
      </c>
      <c r="B8566" s="499">
        <v>45798</v>
      </c>
      <c r="C8566" s="500" t="s">
        <v>173</v>
      </c>
      <c r="D8566" s="500" t="s">
        <v>763</v>
      </c>
      <c r="E8566" s="501">
        <v>4405981424.3000002</v>
      </c>
      <c r="F8566" s="502" t="s">
        <v>878</v>
      </c>
      <c r="G8566" s="100" t="s">
        <v>2527</v>
      </c>
      <c r="H8566" s="530">
        <v>117096050</v>
      </c>
      <c r="I8566" s="422"/>
      <c r="K8566" s="548"/>
      <c r="L8566" s="548"/>
      <c r="M8566" s="548"/>
      <c r="N8566" s="552"/>
      <c r="Y8566" s="551"/>
    </row>
    <row r="8567" spans="1:25">
      <c r="A8567" s="499">
        <v>45797</v>
      </c>
      <c r="B8567" s="499">
        <v>45798</v>
      </c>
      <c r="C8567" s="500" t="s">
        <v>173</v>
      </c>
      <c r="D8567" s="500" t="s">
        <v>763</v>
      </c>
      <c r="E8567" s="501">
        <v>900814012.24000001</v>
      </c>
      <c r="F8567" s="502" t="s">
        <v>878</v>
      </c>
      <c r="G8567" s="100" t="s">
        <v>2528</v>
      </c>
      <c r="H8567" s="530">
        <v>117096053</v>
      </c>
      <c r="I8567" s="422"/>
      <c r="K8567" s="548"/>
      <c r="L8567" s="548"/>
      <c r="M8567" s="548"/>
      <c r="N8567" s="552"/>
      <c r="Y8567" s="551"/>
    </row>
    <row r="8568" spans="1:25">
      <c r="A8568" s="499">
        <v>45797</v>
      </c>
      <c r="B8568" s="499">
        <v>45798</v>
      </c>
      <c r="C8568" s="500" t="s">
        <v>173</v>
      </c>
      <c r="D8568" s="500" t="s">
        <v>763</v>
      </c>
      <c r="E8568" s="501">
        <v>32028942.66</v>
      </c>
      <c r="F8568" s="502" t="s">
        <v>878</v>
      </c>
      <c r="G8568" s="100" t="s">
        <v>2529</v>
      </c>
      <c r="H8568" s="530">
        <v>117096086</v>
      </c>
      <c r="I8568" s="422"/>
      <c r="K8568" s="548"/>
      <c r="L8568" s="548"/>
      <c r="M8568" s="548"/>
      <c r="N8568" s="552"/>
      <c r="Y8568" s="551"/>
    </row>
    <row r="8569" spans="1:25">
      <c r="A8569" s="499">
        <v>45798</v>
      </c>
      <c r="B8569" s="499">
        <v>45798</v>
      </c>
      <c r="C8569" s="500" t="s">
        <v>173</v>
      </c>
      <c r="D8569" s="500" t="s">
        <v>761</v>
      </c>
      <c r="E8569" s="501">
        <v>-657319626.55999994</v>
      </c>
      <c r="F8569" s="502" t="s">
        <v>878</v>
      </c>
      <c r="G8569" s="100" t="s">
        <v>670</v>
      </c>
      <c r="H8569" s="530"/>
      <c r="I8569" s="422"/>
      <c r="K8569" s="548"/>
      <c r="L8569" s="548"/>
      <c r="M8569" s="548"/>
      <c r="N8569" s="552"/>
      <c r="Y8569" s="551"/>
    </row>
    <row r="8570" spans="1:25">
      <c r="A8570" s="499">
        <v>45798</v>
      </c>
      <c r="B8570" s="499">
        <v>45798</v>
      </c>
      <c r="C8570" s="500" t="s">
        <v>173</v>
      </c>
      <c r="D8570" s="500" t="s">
        <v>761</v>
      </c>
      <c r="E8570" s="501">
        <v>-862560690.49000001</v>
      </c>
      <c r="F8570" s="502" t="s">
        <v>878</v>
      </c>
      <c r="G8570" s="100" t="s">
        <v>678</v>
      </c>
      <c r="H8570" s="530"/>
      <c r="I8570" s="422"/>
      <c r="K8570" s="548"/>
      <c r="L8570" s="548"/>
      <c r="M8570" s="548"/>
      <c r="N8570" s="552"/>
      <c r="Y8570" s="551"/>
    </row>
    <row r="8571" spans="1:25">
      <c r="A8571" s="499">
        <v>45798</v>
      </c>
      <c r="B8571" s="499">
        <v>45798</v>
      </c>
      <c r="C8571" s="500" t="s">
        <v>173</v>
      </c>
      <c r="D8571" s="500" t="s">
        <v>761</v>
      </c>
      <c r="E8571" s="501">
        <v>-4002601.81</v>
      </c>
      <c r="F8571" s="502" t="s">
        <v>878</v>
      </c>
      <c r="G8571" s="100" t="s">
        <v>2577</v>
      </c>
      <c r="H8571" s="530"/>
      <c r="I8571" s="422"/>
      <c r="K8571" s="548"/>
      <c r="L8571" s="548"/>
      <c r="M8571" s="548"/>
      <c r="N8571" s="552"/>
      <c r="Y8571" s="551"/>
    </row>
    <row r="8572" spans="1:25">
      <c r="A8572" s="499">
        <v>45798</v>
      </c>
      <c r="B8572" s="499">
        <v>45805</v>
      </c>
      <c r="C8572" s="500" t="s">
        <v>173</v>
      </c>
      <c r="D8572" s="500" t="s">
        <v>761</v>
      </c>
      <c r="E8572" s="501">
        <v>659349213.46000004</v>
      </c>
      <c r="F8572" s="502" t="s">
        <v>878</v>
      </c>
      <c r="G8572" s="100" t="s">
        <v>670</v>
      </c>
      <c r="H8572" s="100">
        <v>117111252</v>
      </c>
      <c r="I8572" s="422"/>
      <c r="K8572" s="548"/>
      <c r="L8572" s="548"/>
      <c r="M8572" s="548"/>
      <c r="N8572" s="552"/>
      <c r="Y8572" s="551"/>
    </row>
    <row r="8573" spans="1:25">
      <c r="A8573" s="499">
        <v>45798</v>
      </c>
      <c r="B8573" s="499">
        <v>45799</v>
      </c>
      <c r="C8573" s="500" t="s">
        <v>173</v>
      </c>
      <c r="D8573" s="500" t="s">
        <v>761</v>
      </c>
      <c r="E8573" s="501">
        <v>862930530.51999998</v>
      </c>
      <c r="F8573" s="502" t="s">
        <v>878</v>
      </c>
      <c r="G8573" s="100" t="s">
        <v>678</v>
      </c>
      <c r="H8573" s="100">
        <v>117112092</v>
      </c>
      <c r="I8573" s="422"/>
      <c r="K8573" s="548"/>
      <c r="L8573" s="548"/>
      <c r="M8573" s="548"/>
      <c r="N8573" s="552"/>
      <c r="Y8573" s="551"/>
    </row>
    <row r="8574" spans="1:25">
      <c r="A8574" s="499">
        <v>45798</v>
      </c>
      <c r="B8574" s="499">
        <v>45799</v>
      </c>
      <c r="C8574" s="500" t="s">
        <v>173</v>
      </c>
      <c r="D8574" s="500" t="s">
        <v>761</v>
      </c>
      <c r="E8574" s="501">
        <v>4004318.01</v>
      </c>
      <c r="F8574" s="502" t="s">
        <v>878</v>
      </c>
      <c r="G8574" s="100" t="s">
        <v>2577</v>
      </c>
      <c r="H8574" s="100">
        <v>117112099</v>
      </c>
      <c r="I8574" s="422"/>
      <c r="K8574" s="548"/>
      <c r="L8574" s="548"/>
      <c r="M8574" s="548"/>
      <c r="N8574" s="552"/>
      <c r="Y8574" s="551"/>
    </row>
    <row r="8575" spans="1:25">
      <c r="A8575" s="499">
        <v>45798</v>
      </c>
      <c r="B8575" s="499">
        <v>45798</v>
      </c>
      <c r="C8575" s="500" t="s">
        <v>173</v>
      </c>
      <c r="D8575" s="500" t="s">
        <v>759</v>
      </c>
      <c r="E8575" s="501">
        <v>-1990582813.8900001</v>
      </c>
      <c r="F8575" s="502" t="s">
        <v>878</v>
      </c>
      <c r="G8575" s="100" t="s">
        <v>633</v>
      </c>
      <c r="H8575" s="530"/>
      <c r="I8575" s="422"/>
      <c r="K8575" s="548"/>
      <c r="L8575" s="548"/>
      <c r="M8575" s="548"/>
      <c r="N8575" s="552"/>
      <c r="Y8575" s="551"/>
    </row>
    <row r="8576" spans="1:25">
      <c r="A8576" s="499">
        <v>45798</v>
      </c>
      <c r="B8576" s="499">
        <v>45798</v>
      </c>
      <c r="C8576" s="500" t="s">
        <v>173</v>
      </c>
      <c r="D8576" s="500" t="s">
        <v>759</v>
      </c>
      <c r="E8576" s="501">
        <v>-11000553.699999999</v>
      </c>
      <c r="F8576" s="502" t="s">
        <v>878</v>
      </c>
      <c r="G8576" s="100" t="s">
        <v>706</v>
      </c>
      <c r="H8576" s="530"/>
      <c r="I8576" s="422"/>
      <c r="K8576" s="548"/>
      <c r="L8576" s="548"/>
      <c r="M8576" s="548"/>
      <c r="N8576" s="552"/>
      <c r="Y8576" s="551"/>
    </row>
    <row r="8577" spans="1:25">
      <c r="A8577" s="499">
        <v>45798</v>
      </c>
      <c r="B8577" s="499">
        <v>45799</v>
      </c>
      <c r="C8577" s="500" t="s">
        <v>173</v>
      </c>
      <c r="D8577" s="500" t="s">
        <v>759</v>
      </c>
      <c r="E8577" s="501">
        <v>1991439037.1800001</v>
      </c>
      <c r="F8577" s="502" t="s">
        <v>878</v>
      </c>
      <c r="G8577" s="100" t="s">
        <v>633</v>
      </c>
      <c r="H8577" s="100">
        <v>117112353</v>
      </c>
      <c r="I8577" s="422"/>
      <c r="K8577" s="548"/>
      <c r="L8577" s="548"/>
      <c r="M8577" s="548"/>
      <c r="N8577" s="552"/>
      <c r="Y8577" s="551"/>
    </row>
    <row r="8578" spans="1:25">
      <c r="A8578" s="499">
        <v>45798</v>
      </c>
      <c r="B8578" s="499">
        <v>45799</v>
      </c>
      <c r="C8578" s="500" t="s">
        <v>173</v>
      </c>
      <c r="D8578" s="500" t="s">
        <v>759</v>
      </c>
      <c r="E8578" s="501">
        <v>11005288.49</v>
      </c>
      <c r="F8578" s="502" t="s">
        <v>878</v>
      </c>
      <c r="G8578" s="100" t="s">
        <v>706</v>
      </c>
      <c r="H8578" s="100">
        <v>117113349</v>
      </c>
      <c r="I8578" s="422"/>
      <c r="K8578" s="548"/>
      <c r="L8578" s="548"/>
      <c r="M8578" s="548"/>
      <c r="N8578" s="552"/>
      <c r="Y8578" s="551"/>
    </row>
    <row r="8579" spans="1:25">
      <c r="A8579" s="499">
        <v>45798</v>
      </c>
      <c r="B8579" s="499">
        <v>45798</v>
      </c>
      <c r="C8579" s="500" t="s">
        <v>173</v>
      </c>
      <c r="D8579" s="500" t="s">
        <v>763</v>
      </c>
      <c r="E8579" s="501">
        <v>-1986099967.3</v>
      </c>
      <c r="F8579" s="502" t="s">
        <v>878</v>
      </c>
      <c r="G8579" s="100" t="s">
        <v>706</v>
      </c>
      <c r="H8579" s="530"/>
      <c r="I8579" s="422"/>
      <c r="K8579" s="548"/>
      <c r="L8579" s="548"/>
      <c r="M8579" s="548"/>
      <c r="N8579" s="552"/>
      <c r="Y8579" s="551"/>
    </row>
    <row r="8580" spans="1:25">
      <c r="A8580" s="499">
        <v>45798</v>
      </c>
      <c r="B8580" s="499">
        <v>45798</v>
      </c>
      <c r="C8580" s="500" t="s">
        <v>173</v>
      </c>
      <c r="D8580" s="500" t="s">
        <v>763</v>
      </c>
      <c r="E8580" s="501">
        <v>-3828041774.96</v>
      </c>
      <c r="F8580" s="502" t="s">
        <v>878</v>
      </c>
      <c r="G8580" s="100" t="s">
        <v>695</v>
      </c>
      <c r="H8580" s="530"/>
      <c r="I8580" s="422"/>
      <c r="K8580" s="548"/>
      <c r="L8580" s="548"/>
      <c r="M8580" s="548"/>
      <c r="N8580" s="552"/>
      <c r="Y8580" s="551"/>
    </row>
    <row r="8581" spans="1:25">
      <c r="A8581" s="499">
        <v>45798</v>
      </c>
      <c r="B8581" s="499">
        <v>45798</v>
      </c>
      <c r="C8581" s="500" t="s">
        <v>173</v>
      </c>
      <c r="D8581" s="500" t="s">
        <v>763</v>
      </c>
      <c r="E8581" s="501">
        <v>-34003655.990000002</v>
      </c>
      <c r="F8581" s="502" t="s">
        <v>878</v>
      </c>
      <c r="G8581" s="100" t="s">
        <v>705</v>
      </c>
      <c r="H8581" s="530"/>
      <c r="I8581" s="422"/>
      <c r="K8581" s="548"/>
      <c r="L8581" s="548"/>
      <c r="M8581" s="548"/>
      <c r="N8581" s="552"/>
      <c r="Y8581" s="551"/>
    </row>
    <row r="8582" spans="1:25">
      <c r="A8582" s="499">
        <v>45798</v>
      </c>
      <c r="B8582" s="499">
        <v>45799</v>
      </c>
      <c r="C8582" s="500" t="s">
        <v>173</v>
      </c>
      <c r="D8582" s="500" t="s">
        <v>763</v>
      </c>
      <c r="E8582" s="501">
        <v>1986956999.3599999</v>
      </c>
      <c r="F8582" s="502" t="s">
        <v>878</v>
      </c>
      <c r="G8582" s="100" t="s">
        <v>706</v>
      </c>
      <c r="H8582" s="100">
        <v>117111284</v>
      </c>
      <c r="I8582" s="422"/>
      <c r="K8582" s="548"/>
      <c r="L8582" s="548"/>
      <c r="M8582" s="548"/>
      <c r="N8582" s="552"/>
      <c r="Y8582" s="551"/>
    </row>
    <row r="8583" spans="1:25">
      <c r="A8583" s="499">
        <v>45798</v>
      </c>
      <c r="B8583" s="499">
        <v>45799</v>
      </c>
      <c r="C8583" s="500" t="s">
        <v>173</v>
      </c>
      <c r="D8583" s="500" t="s">
        <v>763</v>
      </c>
      <c r="E8583" s="501">
        <v>3829693622.1799998</v>
      </c>
      <c r="F8583" s="502" t="s">
        <v>878</v>
      </c>
      <c r="G8583" s="100" t="s">
        <v>695</v>
      </c>
      <c r="H8583" s="100">
        <v>117111287</v>
      </c>
      <c r="I8583" s="422"/>
      <c r="K8583" s="548"/>
      <c r="L8583" s="548"/>
      <c r="M8583" s="548"/>
      <c r="N8583" s="552"/>
      <c r="Y8583" s="551"/>
    </row>
    <row r="8584" spans="1:25">
      <c r="A8584" s="499">
        <v>45798</v>
      </c>
      <c r="B8584" s="499">
        <v>45799</v>
      </c>
      <c r="C8584" s="500" t="s">
        <v>173</v>
      </c>
      <c r="D8584" s="500" t="s">
        <v>763</v>
      </c>
      <c r="E8584" s="501">
        <v>34018328.890000001</v>
      </c>
      <c r="F8584" s="502" t="s">
        <v>878</v>
      </c>
      <c r="G8584" s="100" t="s">
        <v>705</v>
      </c>
      <c r="H8584" s="100">
        <v>117111314</v>
      </c>
      <c r="I8584" s="422"/>
      <c r="K8584" s="548"/>
      <c r="L8584" s="548"/>
      <c r="M8584" s="548"/>
      <c r="N8584" s="552"/>
      <c r="Y8584" s="551"/>
    </row>
    <row r="8585" spans="1:25">
      <c r="A8585" s="499">
        <v>45799</v>
      </c>
      <c r="B8585" s="499">
        <v>45799</v>
      </c>
      <c r="C8585" s="500" t="s">
        <v>173</v>
      </c>
      <c r="D8585" s="500" t="s">
        <v>762</v>
      </c>
      <c r="E8585" s="501">
        <v>-4556187115.8999996</v>
      </c>
      <c r="F8585" s="502" t="s">
        <v>878</v>
      </c>
      <c r="G8585" s="100" t="s">
        <v>633</v>
      </c>
      <c r="H8585" s="530"/>
      <c r="I8585" s="422"/>
      <c r="K8585" s="548"/>
      <c r="L8585" s="548"/>
      <c r="M8585" s="548"/>
      <c r="N8585" s="552"/>
      <c r="Y8585" s="551"/>
    </row>
    <row r="8586" spans="1:25">
      <c r="A8586" s="499">
        <v>45799</v>
      </c>
      <c r="B8586" s="499">
        <v>45799</v>
      </c>
      <c r="C8586" s="500" t="s">
        <v>173</v>
      </c>
      <c r="D8586" s="500" t="s">
        <v>762</v>
      </c>
      <c r="E8586" s="501">
        <v>-25020432.25</v>
      </c>
      <c r="F8586" s="502" t="s">
        <v>878</v>
      </c>
      <c r="G8586" s="100" t="s">
        <v>689</v>
      </c>
      <c r="H8586" s="530"/>
      <c r="I8586" s="422"/>
      <c r="K8586" s="548"/>
      <c r="L8586" s="548"/>
      <c r="M8586" s="548"/>
      <c r="N8586" s="552"/>
      <c r="Y8586" s="551"/>
    </row>
    <row r="8587" spans="1:25">
      <c r="A8587" s="499">
        <v>45799</v>
      </c>
      <c r="B8587" s="499">
        <v>45800</v>
      </c>
      <c r="C8587" s="500" t="s">
        <v>173</v>
      </c>
      <c r="D8587" s="500" t="s">
        <v>762</v>
      </c>
      <c r="E8587" s="501">
        <v>4558134417.79</v>
      </c>
      <c r="F8587" s="502" t="s">
        <v>878</v>
      </c>
      <c r="G8587" s="100" t="s">
        <v>633</v>
      </c>
      <c r="H8587" s="100">
        <v>117128786</v>
      </c>
      <c r="I8587" s="422"/>
      <c r="K8587" s="548"/>
      <c r="L8587" s="548"/>
      <c r="M8587" s="548"/>
      <c r="N8587" s="552"/>
      <c r="Y8587" s="551"/>
    </row>
    <row r="8588" spans="1:25">
      <c r="A8588" s="499">
        <v>45799</v>
      </c>
      <c r="B8588" s="499">
        <v>45800</v>
      </c>
      <c r="C8588" s="500" t="s">
        <v>173</v>
      </c>
      <c r="D8588" s="500" t="s">
        <v>762</v>
      </c>
      <c r="E8588" s="501">
        <v>25031125.98</v>
      </c>
      <c r="F8588" s="502" t="s">
        <v>878</v>
      </c>
      <c r="G8588" s="100" t="s">
        <v>689</v>
      </c>
      <c r="H8588" s="100">
        <v>117128930</v>
      </c>
      <c r="I8588" s="422"/>
      <c r="K8588" s="548"/>
      <c r="L8588" s="548"/>
      <c r="M8588" s="548"/>
      <c r="N8588" s="552"/>
      <c r="Y8588" s="551"/>
    </row>
    <row r="8589" spans="1:25">
      <c r="A8589" s="499">
        <v>45799</v>
      </c>
      <c r="B8589" s="499">
        <v>45799</v>
      </c>
      <c r="C8589" s="500" t="s">
        <v>173</v>
      </c>
      <c r="D8589" s="500" t="s">
        <v>761</v>
      </c>
      <c r="E8589" s="501">
        <v>-342042319.07999998</v>
      </c>
      <c r="F8589" s="502" t="s">
        <v>878</v>
      </c>
      <c r="G8589" s="100" t="s">
        <v>719</v>
      </c>
      <c r="H8589" s="530"/>
      <c r="I8589" s="422"/>
      <c r="K8589" s="548"/>
      <c r="L8589" s="548"/>
      <c r="M8589" s="548"/>
      <c r="N8589" s="552"/>
      <c r="Y8589" s="551"/>
    </row>
    <row r="8590" spans="1:25">
      <c r="A8590" s="499">
        <v>45799</v>
      </c>
      <c r="B8590" s="499">
        <v>45799</v>
      </c>
      <c r="C8590" s="500" t="s">
        <v>173</v>
      </c>
      <c r="D8590" s="500" t="s">
        <v>761</v>
      </c>
      <c r="E8590" s="501">
        <v>-653240258.28999996</v>
      </c>
      <c r="F8590" s="502" t="s">
        <v>878</v>
      </c>
      <c r="G8590" s="100" t="s">
        <v>657</v>
      </c>
      <c r="H8590" s="530"/>
      <c r="I8590" s="422"/>
      <c r="K8590" s="548"/>
      <c r="L8590" s="548"/>
      <c r="M8590" s="548"/>
      <c r="N8590" s="552"/>
      <c r="Y8590" s="551"/>
    </row>
    <row r="8591" spans="1:25">
      <c r="A8591" s="499">
        <v>45799</v>
      </c>
      <c r="B8591" s="499">
        <v>45799</v>
      </c>
      <c r="C8591" s="500" t="s">
        <v>173</v>
      </c>
      <c r="D8591" s="500" t="s">
        <v>761</v>
      </c>
      <c r="E8591" s="501">
        <v>-498210080.30000001</v>
      </c>
      <c r="F8591" s="502" t="s">
        <v>878</v>
      </c>
      <c r="G8591" s="100" t="s">
        <v>686</v>
      </c>
      <c r="H8591" s="530"/>
      <c r="I8591" s="422"/>
      <c r="K8591" s="548"/>
      <c r="L8591" s="548"/>
      <c r="M8591" s="548"/>
      <c r="N8591" s="552"/>
      <c r="Y8591" s="551"/>
    </row>
    <row r="8592" spans="1:25">
      <c r="A8592" s="499">
        <v>45799</v>
      </c>
      <c r="B8592" s="499">
        <v>45799</v>
      </c>
      <c r="C8592" s="500" t="s">
        <v>173</v>
      </c>
      <c r="D8592" s="500" t="s">
        <v>761</v>
      </c>
      <c r="E8592" s="501">
        <v>-7002993.2000000002</v>
      </c>
      <c r="F8592" s="502" t="s">
        <v>878</v>
      </c>
      <c r="G8592" s="100" t="s">
        <v>687</v>
      </c>
      <c r="H8592" s="530"/>
      <c r="I8592" s="422"/>
      <c r="K8592" s="548"/>
      <c r="L8592" s="548"/>
      <c r="M8592" s="548"/>
      <c r="N8592" s="552"/>
      <c r="Y8592" s="551"/>
    </row>
    <row r="8593" spans="1:25">
      <c r="A8593" s="499">
        <v>45799</v>
      </c>
      <c r="B8593" s="499">
        <v>45806</v>
      </c>
      <c r="C8593" s="500" t="s">
        <v>173</v>
      </c>
      <c r="D8593" s="500" t="s">
        <v>761</v>
      </c>
      <c r="E8593" s="501">
        <v>343098433.31</v>
      </c>
      <c r="F8593" s="502" t="s">
        <v>878</v>
      </c>
      <c r="G8593" s="100" t="s">
        <v>719</v>
      </c>
      <c r="H8593" s="100">
        <v>117126761</v>
      </c>
      <c r="I8593" s="422"/>
      <c r="K8593" s="548"/>
      <c r="L8593" s="548"/>
      <c r="M8593" s="548"/>
      <c r="N8593" s="552"/>
      <c r="Y8593" s="551"/>
    </row>
    <row r="8594" spans="1:25">
      <c r="A8594" s="499">
        <v>45799</v>
      </c>
      <c r="B8594" s="499">
        <v>45806</v>
      </c>
      <c r="C8594" s="500" t="s">
        <v>173</v>
      </c>
      <c r="D8594" s="500" t="s">
        <v>761</v>
      </c>
      <c r="E8594" s="501">
        <v>655257249.44000006</v>
      </c>
      <c r="F8594" s="502" t="s">
        <v>878</v>
      </c>
      <c r="G8594" s="100" t="s">
        <v>657</v>
      </c>
      <c r="H8594" s="100">
        <v>117126764</v>
      </c>
      <c r="I8594" s="422"/>
      <c r="K8594" s="548"/>
      <c r="L8594" s="548"/>
      <c r="M8594" s="548"/>
      <c r="N8594" s="552"/>
      <c r="Y8594" s="551"/>
    </row>
    <row r="8595" spans="1:25">
      <c r="A8595" s="499">
        <v>45799</v>
      </c>
      <c r="B8595" s="499">
        <v>45800</v>
      </c>
      <c r="C8595" s="500" t="s">
        <v>173</v>
      </c>
      <c r="D8595" s="500" t="s">
        <v>761</v>
      </c>
      <c r="E8595" s="501">
        <v>498425743.83999997</v>
      </c>
      <c r="F8595" s="502" t="s">
        <v>878</v>
      </c>
      <c r="G8595" s="100" t="s">
        <v>686</v>
      </c>
      <c r="H8595" s="100">
        <v>117129703</v>
      </c>
      <c r="I8595" s="422"/>
      <c r="K8595" s="548"/>
      <c r="L8595" s="548"/>
      <c r="M8595" s="548"/>
      <c r="N8595" s="552"/>
      <c r="Y8595" s="551"/>
    </row>
    <row r="8596" spans="1:25">
      <c r="A8596" s="499">
        <v>45799</v>
      </c>
      <c r="B8596" s="499">
        <v>45800</v>
      </c>
      <c r="C8596" s="500" t="s">
        <v>173</v>
      </c>
      <c r="D8596" s="500" t="s">
        <v>761</v>
      </c>
      <c r="E8596" s="501">
        <v>7006015.0599999996</v>
      </c>
      <c r="F8596" s="502" t="s">
        <v>878</v>
      </c>
      <c r="G8596" s="100" t="s">
        <v>687</v>
      </c>
      <c r="H8596" s="100">
        <v>117129730</v>
      </c>
      <c r="I8596" s="422"/>
      <c r="K8596" s="548"/>
      <c r="L8596" s="548"/>
      <c r="M8596" s="548"/>
      <c r="N8596" s="552"/>
      <c r="Y8596" s="551"/>
    </row>
    <row r="8597" spans="1:25">
      <c r="A8597" s="499">
        <v>45799</v>
      </c>
      <c r="B8597" s="499">
        <v>45799</v>
      </c>
      <c r="C8597" s="500" t="s">
        <v>173</v>
      </c>
      <c r="D8597" s="500" t="s">
        <v>759</v>
      </c>
      <c r="E8597" s="501">
        <v>-1990000506.26</v>
      </c>
      <c r="F8597" s="502" t="s">
        <v>878</v>
      </c>
      <c r="G8597" s="100" t="s">
        <v>2514</v>
      </c>
      <c r="H8597" s="530"/>
      <c r="I8597" s="422"/>
      <c r="K8597" s="548"/>
      <c r="L8597" s="548"/>
      <c r="M8597" s="548"/>
      <c r="N8597" s="552"/>
      <c r="Y8597" s="551"/>
    </row>
    <row r="8598" spans="1:25">
      <c r="A8598" s="499">
        <v>45799</v>
      </c>
      <c r="B8598" s="499">
        <v>45799</v>
      </c>
      <c r="C8598" s="500" t="s">
        <v>173</v>
      </c>
      <c r="D8598" s="500" t="s">
        <v>759</v>
      </c>
      <c r="E8598" s="501">
        <v>-12003127.42</v>
      </c>
      <c r="F8598" s="502" t="s">
        <v>878</v>
      </c>
      <c r="G8598" s="100" t="s">
        <v>633</v>
      </c>
      <c r="H8598" s="530"/>
      <c r="I8598" s="422"/>
      <c r="K8598" s="548"/>
      <c r="L8598" s="548"/>
      <c r="M8598" s="548"/>
      <c r="N8598" s="552"/>
      <c r="Y8598" s="551"/>
    </row>
    <row r="8599" spans="1:25">
      <c r="A8599" s="499">
        <v>45799</v>
      </c>
      <c r="B8599" s="499">
        <v>45800</v>
      </c>
      <c r="C8599" s="500" t="s">
        <v>173</v>
      </c>
      <c r="D8599" s="500" t="s">
        <v>759</v>
      </c>
      <c r="E8599" s="501">
        <v>1990845574.97</v>
      </c>
      <c r="F8599" s="502" t="s">
        <v>878</v>
      </c>
      <c r="G8599" s="100" t="s">
        <v>2514</v>
      </c>
      <c r="H8599" s="100">
        <v>117128555</v>
      </c>
      <c r="I8599" s="422"/>
      <c r="K8599" s="548"/>
      <c r="L8599" s="548"/>
      <c r="M8599" s="548"/>
      <c r="N8599" s="552"/>
      <c r="Y8599" s="551"/>
    </row>
    <row r="8600" spans="1:25">
      <c r="A8600" s="499">
        <v>45799</v>
      </c>
      <c r="B8600" s="499">
        <v>45800</v>
      </c>
      <c r="C8600" s="500" t="s">
        <v>173</v>
      </c>
      <c r="D8600" s="500" t="s">
        <v>759</v>
      </c>
      <c r="E8600" s="501">
        <v>12008257.52</v>
      </c>
      <c r="F8600" s="502" t="s">
        <v>878</v>
      </c>
      <c r="G8600" s="100" t="s">
        <v>633</v>
      </c>
      <c r="H8600" s="100">
        <v>117128609</v>
      </c>
      <c r="I8600" s="422"/>
      <c r="K8600" s="548"/>
      <c r="L8600" s="548"/>
      <c r="M8600" s="548"/>
      <c r="N8600" s="552"/>
      <c r="Y8600" s="551"/>
    </row>
    <row r="8601" spans="1:25">
      <c r="A8601" s="499">
        <v>45799</v>
      </c>
      <c r="B8601" s="499">
        <v>45799</v>
      </c>
      <c r="C8601" s="500" t="s">
        <v>173</v>
      </c>
      <c r="D8601" s="500" t="s">
        <v>760</v>
      </c>
      <c r="E8601" s="501">
        <v>-1550079471.5999999</v>
      </c>
      <c r="F8601" s="502" t="s">
        <v>878</v>
      </c>
      <c r="G8601" s="100" t="s">
        <v>696</v>
      </c>
      <c r="H8601" s="530"/>
      <c r="I8601" s="422"/>
      <c r="K8601" s="548"/>
      <c r="L8601" s="548"/>
      <c r="M8601" s="548"/>
      <c r="N8601" s="552"/>
      <c r="Y8601" s="551"/>
    </row>
    <row r="8602" spans="1:25">
      <c r="A8602" s="499">
        <v>45799</v>
      </c>
      <c r="B8602" s="499">
        <v>45799</v>
      </c>
      <c r="C8602" s="500" t="s">
        <v>173</v>
      </c>
      <c r="D8602" s="500" t="s">
        <v>760</v>
      </c>
      <c r="E8602" s="501">
        <v>-623031942.46000004</v>
      </c>
      <c r="F8602" s="502" t="s">
        <v>878</v>
      </c>
      <c r="G8602" s="100" t="s">
        <v>2587</v>
      </c>
      <c r="H8602" s="530"/>
      <c r="I8602" s="422"/>
      <c r="K8602" s="548"/>
      <c r="L8602" s="548"/>
      <c r="M8602" s="548"/>
      <c r="N8602" s="552"/>
      <c r="Y8602" s="551"/>
    </row>
    <row r="8603" spans="1:25">
      <c r="A8603" s="499">
        <v>45799</v>
      </c>
      <c r="B8603" s="499">
        <v>45799</v>
      </c>
      <c r="C8603" s="500" t="s">
        <v>173</v>
      </c>
      <c r="D8603" s="500" t="s">
        <v>760</v>
      </c>
      <c r="E8603" s="501">
        <v>-12001294.029999999</v>
      </c>
      <c r="F8603" s="502" t="s">
        <v>878</v>
      </c>
      <c r="G8603" s="100" t="s">
        <v>711</v>
      </c>
      <c r="H8603" s="530"/>
      <c r="I8603" s="422"/>
      <c r="K8603" s="548"/>
      <c r="L8603" s="548"/>
      <c r="M8603" s="548"/>
      <c r="N8603" s="552"/>
      <c r="Y8603" s="551"/>
    </row>
    <row r="8604" spans="1:25">
      <c r="A8604" s="499">
        <v>45799</v>
      </c>
      <c r="B8604" s="499">
        <v>45806</v>
      </c>
      <c r="C8604" s="500" t="s">
        <v>173</v>
      </c>
      <c r="D8604" s="500" t="s">
        <v>760</v>
      </c>
      <c r="E8604" s="501">
        <v>1554835879.8399999</v>
      </c>
      <c r="F8604" s="502" t="s">
        <v>878</v>
      </c>
      <c r="G8604" s="100" t="s">
        <v>696</v>
      </c>
      <c r="H8604" s="100">
        <v>117127173</v>
      </c>
      <c r="I8604" s="422"/>
      <c r="K8604" s="548"/>
      <c r="L8604" s="548"/>
      <c r="M8604" s="548"/>
      <c r="N8604" s="552"/>
      <c r="Y8604" s="551"/>
    </row>
    <row r="8605" spans="1:25">
      <c r="A8605" s="499">
        <v>45799</v>
      </c>
      <c r="B8605" s="499">
        <v>45806</v>
      </c>
      <c r="C8605" s="500" t="s">
        <v>173</v>
      </c>
      <c r="D8605" s="500" t="s">
        <v>760</v>
      </c>
      <c r="E8605" s="501">
        <v>624943711.71000004</v>
      </c>
      <c r="F8605" s="502" t="s">
        <v>878</v>
      </c>
      <c r="G8605" s="100" t="s">
        <v>2587</v>
      </c>
      <c r="H8605" s="100">
        <v>117127176</v>
      </c>
      <c r="I8605" s="422"/>
      <c r="K8605" s="548"/>
      <c r="L8605" s="548"/>
      <c r="M8605" s="548"/>
      <c r="N8605" s="552"/>
      <c r="Y8605" s="551"/>
    </row>
    <row r="8606" spans="1:25">
      <c r="A8606" s="499">
        <v>45799</v>
      </c>
      <c r="B8606" s="499">
        <v>45806</v>
      </c>
      <c r="C8606" s="500" t="s">
        <v>173</v>
      </c>
      <c r="D8606" s="500" t="s">
        <v>760</v>
      </c>
      <c r="E8606" s="501">
        <v>12038119.92</v>
      </c>
      <c r="F8606" s="502" t="s">
        <v>878</v>
      </c>
      <c r="G8606" s="100" t="s">
        <v>711</v>
      </c>
      <c r="H8606" s="100">
        <v>117127233</v>
      </c>
      <c r="I8606" s="422"/>
      <c r="K8606" s="548"/>
      <c r="L8606" s="548"/>
      <c r="M8606" s="548"/>
      <c r="N8606" s="552"/>
      <c r="Y8606" s="551"/>
    </row>
    <row r="8607" spans="1:25">
      <c r="A8607" s="499">
        <v>45799</v>
      </c>
      <c r="B8607" s="499">
        <v>45799</v>
      </c>
      <c r="C8607" s="500" t="s">
        <v>173</v>
      </c>
      <c r="D8607" s="500" t="s">
        <v>763</v>
      </c>
      <c r="E8607" s="501">
        <v>-971895873.73000002</v>
      </c>
      <c r="F8607" s="502" t="s">
        <v>878</v>
      </c>
      <c r="G8607" s="100" t="s">
        <v>1093</v>
      </c>
      <c r="H8607" s="530"/>
      <c r="I8607" s="422"/>
      <c r="K8607" s="548"/>
      <c r="L8607" s="548"/>
      <c r="M8607" s="548"/>
      <c r="N8607" s="552"/>
      <c r="Y8607" s="551"/>
    </row>
    <row r="8608" spans="1:25">
      <c r="A8608" s="499">
        <v>45799</v>
      </c>
      <c r="B8608" s="499">
        <v>45799</v>
      </c>
      <c r="C8608" s="500" t="s">
        <v>173</v>
      </c>
      <c r="D8608" s="500" t="s">
        <v>763</v>
      </c>
      <c r="E8608" s="501">
        <v>-4846262695.1800003</v>
      </c>
      <c r="F8608" s="502" t="s">
        <v>878</v>
      </c>
      <c r="G8608" s="100" t="s">
        <v>633</v>
      </c>
      <c r="H8608" s="530"/>
      <c r="I8608" s="422"/>
      <c r="K8608" s="548"/>
      <c r="L8608" s="548"/>
      <c r="M8608" s="548"/>
      <c r="N8608" s="552"/>
      <c r="Y8608" s="551"/>
    </row>
    <row r="8609" spans="1:25">
      <c r="A8609" s="499">
        <v>45799</v>
      </c>
      <c r="B8609" s="499">
        <v>45799</v>
      </c>
      <c r="C8609" s="500" t="s">
        <v>173</v>
      </c>
      <c r="D8609" s="500" t="s">
        <v>763</v>
      </c>
      <c r="E8609" s="501">
        <v>-32003450.75</v>
      </c>
      <c r="F8609" s="502" t="s">
        <v>878</v>
      </c>
      <c r="G8609" s="100" t="s">
        <v>2588</v>
      </c>
      <c r="H8609" s="530"/>
      <c r="I8609" s="422"/>
      <c r="K8609" s="548"/>
      <c r="L8609" s="548"/>
      <c r="M8609" s="548"/>
      <c r="N8609" s="552"/>
      <c r="Y8609" s="551"/>
    </row>
    <row r="8610" spans="1:25">
      <c r="A8610" s="499">
        <v>45799</v>
      </c>
      <c r="B8610" s="499">
        <v>45800</v>
      </c>
      <c r="C8610" s="500" t="s">
        <v>173</v>
      </c>
      <c r="D8610" s="500" t="s">
        <v>763</v>
      </c>
      <c r="E8610" s="501">
        <v>972313924.75</v>
      </c>
      <c r="F8610" s="502" t="s">
        <v>878</v>
      </c>
      <c r="G8610" s="100" t="s">
        <v>1093</v>
      </c>
      <c r="H8610" s="530">
        <v>117126702</v>
      </c>
      <c r="I8610" s="422"/>
      <c r="K8610" s="548"/>
      <c r="L8610" s="548"/>
      <c r="M8610" s="548"/>
      <c r="N8610" s="552"/>
      <c r="Y8610" s="551"/>
    </row>
    <row r="8611" spans="1:25">
      <c r="A8611" s="499">
        <v>45799</v>
      </c>
      <c r="B8611" s="499">
        <v>45800</v>
      </c>
      <c r="C8611" s="500" t="s">
        <v>173</v>
      </c>
      <c r="D8611" s="500" t="s">
        <v>763</v>
      </c>
      <c r="E8611" s="501">
        <v>4848347252.0100002</v>
      </c>
      <c r="F8611" s="502" t="s">
        <v>878</v>
      </c>
      <c r="G8611" s="100" t="s">
        <v>633</v>
      </c>
      <c r="H8611" s="530">
        <v>117126705</v>
      </c>
      <c r="I8611" s="422"/>
      <c r="K8611" s="548"/>
      <c r="L8611" s="548"/>
      <c r="M8611" s="548"/>
      <c r="N8611" s="552"/>
      <c r="Y8611" s="551"/>
    </row>
    <row r="8612" spans="1:25">
      <c r="A8612" s="499">
        <v>45799</v>
      </c>
      <c r="B8612" s="499">
        <v>45800</v>
      </c>
      <c r="C8612" s="500" t="s">
        <v>173</v>
      </c>
      <c r="D8612" s="500" t="s">
        <v>763</v>
      </c>
      <c r="E8612" s="501">
        <v>32017216.710000001</v>
      </c>
      <c r="F8612" s="502" t="s">
        <v>878</v>
      </c>
      <c r="G8612" s="100" t="s">
        <v>2588</v>
      </c>
      <c r="H8612" s="530">
        <v>117126752</v>
      </c>
      <c r="I8612" s="422"/>
      <c r="K8612" s="548"/>
      <c r="L8612" s="548"/>
      <c r="M8612" s="548"/>
      <c r="N8612" s="552"/>
      <c r="Y8612" s="551"/>
    </row>
    <row r="8613" spans="1:25">
      <c r="A8613" s="499">
        <v>45800</v>
      </c>
      <c r="B8613" s="499">
        <v>45800</v>
      </c>
      <c r="C8613" s="500" t="s">
        <v>173</v>
      </c>
      <c r="D8613" s="500" t="s">
        <v>762</v>
      </c>
      <c r="E8613" s="501">
        <v>-4560754442.8800001</v>
      </c>
      <c r="F8613" s="502" t="s">
        <v>878</v>
      </c>
      <c r="G8613" s="100" t="s">
        <v>633</v>
      </c>
      <c r="H8613" s="530"/>
      <c r="I8613" s="422"/>
      <c r="K8613" s="548"/>
      <c r="L8613" s="548"/>
      <c r="M8613" s="548"/>
      <c r="N8613" s="552">
        <v>8846400</v>
      </c>
      <c r="R8613" s="558">
        <v>515.54920000000004</v>
      </c>
      <c r="S8613" s="558">
        <v>516.22930120500996</v>
      </c>
      <c r="T8613" s="538">
        <v>16.05</v>
      </c>
      <c r="U8613" s="538">
        <v>20523.39</v>
      </c>
      <c r="V8613" s="538">
        <v>10261.700000000001</v>
      </c>
      <c r="Y8613" s="551"/>
    </row>
    <row r="8614" spans="1:25">
      <c r="A8614" s="499">
        <v>45800</v>
      </c>
      <c r="B8614" s="499">
        <v>45800</v>
      </c>
      <c r="C8614" s="500" t="s">
        <v>173</v>
      </c>
      <c r="D8614" s="500" t="s">
        <v>762</v>
      </c>
      <c r="E8614" s="501">
        <v>-25004136.199999999</v>
      </c>
      <c r="F8614" s="502" t="s">
        <v>878</v>
      </c>
      <c r="G8614" s="100" t="s">
        <v>633</v>
      </c>
      <c r="H8614" s="530"/>
      <c r="I8614" s="422"/>
      <c r="K8614" s="548"/>
      <c r="L8614" s="548"/>
      <c r="M8614" s="548"/>
      <c r="N8614" s="552">
        <v>48500</v>
      </c>
      <c r="R8614" s="558">
        <v>515.54920000000004</v>
      </c>
      <c r="S8614" s="558">
        <v>516.22930123711296</v>
      </c>
      <c r="T8614" s="538">
        <v>16.05</v>
      </c>
      <c r="U8614" s="538">
        <v>112.52</v>
      </c>
      <c r="V8614" s="538">
        <v>56.26</v>
      </c>
      <c r="Y8614" s="551"/>
    </row>
    <row r="8615" spans="1:25">
      <c r="A8615" s="499">
        <v>45800</v>
      </c>
      <c r="B8615" s="499">
        <v>45803</v>
      </c>
      <c r="C8615" s="500" t="s">
        <v>173</v>
      </c>
      <c r="D8615" s="500" t="s">
        <v>762</v>
      </c>
      <c r="E8615" s="501">
        <v>4566770890.1800003</v>
      </c>
      <c r="F8615" s="502" t="s">
        <v>878</v>
      </c>
      <c r="G8615" s="100" t="s">
        <v>633</v>
      </c>
      <c r="H8615" s="484">
        <v>117158825</v>
      </c>
      <c r="I8615" s="422"/>
      <c r="K8615" s="548"/>
      <c r="L8615" s="548"/>
      <c r="M8615" s="548"/>
      <c r="N8615" s="552">
        <v>8846400</v>
      </c>
      <c r="R8615" s="558">
        <v>515.54920000000004</v>
      </c>
      <c r="S8615" s="558">
        <v>516.22930120500996</v>
      </c>
      <c r="T8615" s="538">
        <v>16.05</v>
      </c>
      <c r="U8615" s="538">
        <v>20523.39</v>
      </c>
      <c r="V8615" s="538">
        <v>10261.700000000001</v>
      </c>
      <c r="Y8615" s="551"/>
    </row>
    <row r="8616" spans="1:25">
      <c r="A8616" s="499">
        <v>45800</v>
      </c>
      <c r="B8616" s="499">
        <v>45803</v>
      </c>
      <c r="C8616" s="500" t="s">
        <v>173</v>
      </c>
      <c r="D8616" s="500" t="s">
        <v>762</v>
      </c>
      <c r="E8616" s="501">
        <v>25037121.109999999</v>
      </c>
      <c r="F8616" s="502" t="s">
        <v>878</v>
      </c>
      <c r="G8616" s="100" t="s">
        <v>633</v>
      </c>
      <c r="H8616" s="484">
        <v>117158890</v>
      </c>
      <c r="I8616" s="422"/>
      <c r="K8616" s="548"/>
      <c r="L8616" s="548"/>
      <c r="M8616" s="548"/>
      <c r="N8616" s="552">
        <v>48500</v>
      </c>
      <c r="R8616" s="558">
        <v>515.54920000000004</v>
      </c>
      <c r="S8616" s="558">
        <v>516.22930123711296</v>
      </c>
      <c r="T8616" s="538">
        <v>16.05</v>
      </c>
      <c r="U8616" s="538">
        <v>112.52</v>
      </c>
      <c r="V8616" s="538">
        <v>56.26</v>
      </c>
      <c r="Y8616" s="551"/>
    </row>
    <row r="8617" spans="1:25">
      <c r="A8617" s="499">
        <v>45800</v>
      </c>
      <c r="B8617" s="499">
        <v>45800</v>
      </c>
      <c r="C8617" s="500" t="s">
        <v>173</v>
      </c>
      <c r="D8617" s="500" t="s">
        <v>761</v>
      </c>
      <c r="E8617" s="501">
        <v>-417077582.01999998</v>
      </c>
      <c r="F8617" s="502" t="s">
        <v>878</v>
      </c>
      <c r="G8617" s="100" t="s">
        <v>686</v>
      </c>
      <c r="H8617" s="530"/>
      <c r="I8617" s="422"/>
      <c r="K8617" s="548"/>
      <c r="L8617" s="548"/>
      <c r="M8617" s="548"/>
      <c r="N8617" s="552">
        <v>437016</v>
      </c>
      <c r="R8617" s="539">
        <v>954.3760000091529</v>
      </c>
      <c r="S8617" s="539">
        <v>955.63104627748203</v>
      </c>
      <c r="T8617" s="538">
        <v>15.999700000000001</v>
      </c>
      <c r="U8617" s="538">
        <v>1876.85</v>
      </c>
      <c r="V8617" s="538">
        <v>938.42</v>
      </c>
      <c r="Y8617" s="551"/>
    </row>
    <row r="8618" spans="1:25">
      <c r="A8618" s="499">
        <v>45800</v>
      </c>
      <c r="B8618" s="499">
        <v>45800</v>
      </c>
      <c r="C8618" s="500" t="s">
        <v>173</v>
      </c>
      <c r="D8618" s="500" t="s">
        <v>761</v>
      </c>
      <c r="E8618" s="501">
        <v>-86051376.829999998</v>
      </c>
      <c r="F8618" s="502" t="s">
        <v>878</v>
      </c>
      <c r="G8618" s="100" t="s">
        <v>716</v>
      </c>
      <c r="H8618" s="530"/>
      <c r="I8618" s="422"/>
      <c r="K8618" s="548"/>
      <c r="L8618" s="548"/>
      <c r="M8618" s="548"/>
      <c r="N8618" s="552">
        <v>119110</v>
      </c>
      <c r="R8618" s="539">
        <v>722.45299999999997</v>
      </c>
      <c r="S8618" s="539">
        <v>723.40305734195294</v>
      </c>
      <c r="T8618" s="538">
        <v>15.999700000000001</v>
      </c>
      <c r="U8618" s="538">
        <v>387.23</v>
      </c>
      <c r="V8618" s="538">
        <v>193.62</v>
      </c>
      <c r="Y8618" s="551"/>
    </row>
    <row r="8619" spans="1:25">
      <c r="A8619" s="499">
        <v>45800</v>
      </c>
      <c r="B8619" s="499">
        <v>45800</v>
      </c>
      <c r="C8619" s="500" t="s">
        <v>173</v>
      </c>
      <c r="D8619" s="500" t="s">
        <v>761</v>
      </c>
      <c r="E8619" s="501">
        <v>-3001836.65</v>
      </c>
      <c r="F8619" s="502" t="s">
        <v>878</v>
      </c>
      <c r="G8619" s="100" t="s">
        <v>699</v>
      </c>
      <c r="H8619" s="530"/>
      <c r="I8619" s="422"/>
      <c r="K8619" s="548"/>
      <c r="L8619" s="548"/>
      <c r="M8619" s="548"/>
      <c r="N8619" s="552">
        <v>3252</v>
      </c>
      <c r="R8619" s="539">
        <v>923.07400061500607</v>
      </c>
      <c r="S8619" s="539">
        <v>924.28411131611301</v>
      </c>
      <c r="T8619" s="538">
        <v>15.95</v>
      </c>
      <c r="U8619" s="538">
        <v>39.32</v>
      </c>
      <c r="V8619" s="538">
        <v>6.75</v>
      </c>
      <c r="Y8619" s="551"/>
    </row>
    <row r="8620" spans="1:25">
      <c r="A8620" s="499">
        <v>45800</v>
      </c>
      <c r="B8620" s="499">
        <v>45803</v>
      </c>
      <c r="C8620" s="500" t="s">
        <v>173</v>
      </c>
      <c r="D8620" s="500" t="s">
        <v>761</v>
      </c>
      <c r="E8620" s="501">
        <v>417626057.31999999</v>
      </c>
      <c r="F8620" s="502" t="s">
        <v>878</v>
      </c>
      <c r="G8620" s="100" t="s">
        <v>686</v>
      </c>
      <c r="H8620" s="484" t="s">
        <v>686</v>
      </c>
      <c r="I8620" s="422"/>
      <c r="K8620" s="548"/>
      <c r="L8620" s="548"/>
      <c r="M8620" s="548"/>
      <c r="N8620" s="552">
        <v>437016</v>
      </c>
      <c r="R8620" s="539">
        <v>954.3760000091529</v>
      </c>
      <c r="S8620" s="539">
        <v>955.63104627748203</v>
      </c>
      <c r="T8620" s="538">
        <v>15.999700000000001</v>
      </c>
      <c r="U8620" s="538">
        <v>1876.85</v>
      </c>
      <c r="V8620" s="538">
        <v>938.42</v>
      </c>
      <c r="Y8620" s="551"/>
    </row>
    <row r="8621" spans="1:25">
      <c r="A8621" s="499">
        <v>45800</v>
      </c>
      <c r="B8621" s="499">
        <v>45803</v>
      </c>
      <c r="C8621" s="500" t="s">
        <v>173</v>
      </c>
      <c r="D8621" s="500" t="s">
        <v>761</v>
      </c>
      <c r="E8621" s="501">
        <v>86164538.159999996</v>
      </c>
      <c r="F8621" s="502" t="s">
        <v>878</v>
      </c>
      <c r="G8621" s="100" t="s">
        <v>716</v>
      </c>
      <c r="H8621" s="484" t="s">
        <v>716</v>
      </c>
      <c r="I8621" s="422"/>
      <c r="K8621" s="548"/>
      <c r="L8621" s="548"/>
      <c r="M8621" s="548"/>
      <c r="N8621" s="552">
        <v>119110</v>
      </c>
      <c r="R8621" s="539">
        <v>722.45299999999997</v>
      </c>
      <c r="S8621" s="539">
        <v>723.40305734195294</v>
      </c>
      <c r="T8621" s="538">
        <v>15.999700000000001</v>
      </c>
      <c r="U8621" s="538">
        <v>387.23</v>
      </c>
      <c r="V8621" s="538">
        <v>193.62</v>
      </c>
      <c r="Y8621" s="551"/>
    </row>
    <row r="8622" spans="1:25">
      <c r="A8622" s="499">
        <v>45800</v>
      </c>
      <c r="B8622" s="499">
        <v>45803</v>
      </c>
      <c r="C8622" s="500" t="s">
        <v>173</v>
      </c>
      <c r="D8622" s="500" t="s">
        <v>761</v>
      </c>
      <c r="E8622" s="501">
        <v>3005771.93</v>
      </c>
      <c r="F8622" s="502" t="s">
        <v>878</v>
      </c>
      <c r="G8622" s="100" t="s">
        <v>699</v>
      </c>
      <c r="H8622" s="484" t="s">
        <v>699</v>
      </c>
      <c r="I8622" s="422"/>
      <c r="K8622" s="548"/>
      <c r="L8622" s="548"/>
      <c r="M8622" s="548"/>
      <c r="N8622" s="552">
        <v>3252</v>
      </c>
      <c r="R8622" s="539">
        <v>923.07400061500607</v>
      </c>
      <c r="S8622" s="539">
        <v>924.28411131611301</v>
      </c>
      <c r="T8622" s="538">
        <v>15.95</v>
      </c>
      <c r="U8622" s="538">
        <v>39.32</v>
      </c>
      <c r="V8622" s="538">
        <v>6.75</v>
      </c>
      <c r="Y8622" s="551"/>
    </row>
    <row r="8623" spans="1:25">
      <c r="A8623" s="499">
        <v>45800</v>
      </c>
      <c r="B8623" s="499">
        <v>45800</v>
      </c>
      <c r="C8623" s="500" t="s">
        <v>173</v>
      </c>
      <c r="D8623" s="500" t="s">
        <v>759</v>
      </c>
      <c r="E8623" s="501">
        <v>-1374255629.95</v>
      </c>
      <c r="F8623" s="502" t="s">
        <v>878</v>
      </c>
      <c r="G8623" s="100" t="s">
        <v>686</v>
      </c>
      <c r="H8623" s="530"/>
      <c r="I8623" s="422"/>
      <c r="K8623" s="548"/>
      <c r="L8623" s="548"/>
      <c r="M8623" s="548"/>
      <c r="N8623" s="552">
        <v>1439952</v>
      </c>
      <c r="R8623" s="539">
        <v>954.37599999861106</v>
      </c>
      <c r="S8623" s="539">
        <v>955.62714771047899</v>
      </c>
      <c r="T8623" s="538">
        <v>15.95</v>
      </c>
      <c r="U8623" s="538">
        <v>6184.15</v>
      </c>
      <c r="V8623" s="538">
        <v>3092.08</v>
      </c>
      <c r="Y8623" s="551"/>
    </row>
    <row r="8624" spans="1:25">
      <c r="A8624" s="499">
        <v>45800</v>
      </c>
      <c r="B8624" s="499">
        <v>45800</v>
      </c>
      <c r="C8624" s="500" t="s">
        <v>173</v>
      </c>
      <c r="D8624" s="500" t="s">
        <v>759</v>
      </c>
      <c r="E8624" s="501">
        <v>-618378349.49000001</v>
      </c>
      <c r="F8624" s="502" t="s">
        <v>878</v>
      </c>
      <c r="G8624" s="100" t="s">
        <v>699</v>
      </c>
      <c r="H8624" s="530"/>
      <c r="I8624" s="422"/>
      <c r="K8624" s="548"/>
      <c r="L8624" s="548"/>
      <c r="M8624" s="548"/>
      <c r="N8624" s="552">
        <v>669912</v>
      </c>
      <c r="R8624" s="539">
        <v>923.07400000298549</v>
      </c>
      <c r="S8624" s="539">
        <v>924.28411207740703</v>
      </c>
      <c r="T8624" s="538">
        <v>15.95</v>
      </c>
      <c r="U8624" s="538">
        <v>2782.7</v>
      </c>
      <c r="V8624" s="538">
        <v>1391.35</v>
      </c>
      <c r="Y8624" s="551"/>
    </row>
    <row r="8625" spans="1:25">
      <c r="A8625" s="499">
        <v>45800</v>
      </c>
      <c r="B8625" s="499">
        <v>45800</v>
      </c>
      <c r="C8625" s="500" t="s">
        <v>173</v>
      </c>
      <c r="D8625" s="500" t="s">
        <v>759</v>
      </c>
      <c r="E8625" s="501">
        <v>-11001819.93</v>
      </c>
      <c r="F8625" s="502" t="s">
        <v>878</v>
      </c>
      <c r="G8625" s="100" t="s">
        <v>633</v>
      </c>
      <c r="H8625" s="530"/>
      <c r="I8625" s="422"/>
      <c r="K8625" s="548"/>
      <c r="L8625" s="548"/>
      <c r="M8625" s="548"/>
      <c r="N8625" s="552">
        <v>21340</v>
      </c>
      <c r="R8625" s="539">
        <v>515.54920009372074</v>
      </c>
      <c r="S8625" s="539">
        <v>516.22506794751598</v>
      </c>
      <c r="T8625" s="538">
        <v>15.950100000000001</v>
      </c>
      <c r="U8625" s="538">
        <v>49.51</v>
      </c>
      <c r="V8625" s="538">
        <v>24.75</v>
      </c>
      <c r="Y8625" s="551"/>
    </row>
    <row r="8626" spans="1:25">
      <c r="A8626" s="499">
        <v>45800</v>
      </c>
      <c r="B8626" s="499">
        <v>45803</v>
      </c>
      <c r="C8626" s="500" t="s">
        <v>173</v>
      </c>
      <c r="D8626" s="500" t="s">
        <v>759</v>
      </c>
      <c r="E8626" s="501">
        <v>1376057222.5999999</v>
      </c>
      <c r="F8626" s="502" t="s">
        <v>878</v>
      </c>
      <c r="G8626" s="100" t="s">
        <v>686</v>
      </c>
      <c r="H8626" s="100" t="s">
        <v>686</v>
      </c>
      <c r="I8626" s="422"/>
      <c r="K8626" s="548"/>
      <c r="L8626" s="548"/>
      <c r="M8626" s="548"/>
      <c r="N8626" s="552">
        <v>1439952</v>
      </c>
      <c r="R8626" s="539">
        <v>954.37599999861106</v>
      </c>
      <c r="S8626" s="539">
        <v>955.62714771047899</v>
      </c>
      <c r="T8626" s="538">
        <v>15.95</v>
      </c>
      <c r="U8626" s="538">
        <v>6184.15</v>
      </c>
      <c r="V8626" s="538">
        <v>3092.08</v>
      </c>
      <c r="Y8626" s="551"/>
    </row>
    <row r="8627" spans="1:25">
      <c r="A8627" s="499">
        <v>45800</v>
      </c>
      <c r="B8627" s="499">
        <v>45803</v>
      </c>
      <c r="C8627" s="500" t="s">
        <v>173</v>
      </c>
      <c r="D8627" s="500" t="s">
        <v>759</v>
      </c>
      <c r="E8627" s="501">
        <v>619189018.09000003</v>
      </c>
      <c r="F8627" s="502" t="s">
        <v>878</v>
      </c>
      <c r="G8627" s="100" t="s">
        <v>699</v>
      </c>
      <c r="H8627" s="100" t="s">
        <v>699</v>
      </c>
      <c r="I8627" s="422"/>
      <c r="K8627" s="548"/>
      <c r="L8627" s="548"/>
      <c r="M8627" s="548"/>
      <c r="N8627" s="552">
        <v>669912</v>
      </c>
      <c r="R8627" s="539">
        <v>923.07400000298549</v>
      </c>
      <c r="S8627" s="539">
        <v>924.28411207740703</v>
      </c>
      <c r="T8627" s="538">
        <v>15.95</v>
      </c>
      <c r="U8627" s="538">
        <v>2782.7</v>
      </c>
      <c r="V8627" s="538">
        <v>1391.35</v>
      </c>
      <c r="Y8627" s="551"/>
    </row>
    <row r="8628" spans="1:25">
      <c r="A8628" s="499">
        <v>45800</v>
      </c>
      <c r="B8628" s="499">
        <v>45803</v>
      </c>
      <c r="C8628" s="500" t="s">
        <v>173</v>
      </c>
      <c r="D8628" s="500" t="s">
        <v>759</v>
      </c>
      <c r="E8628" s="501">
        <v>11016242.949999999</v>
      </c>
      <c r="F8628" s="502" t="s">
        <v>878</v>
      </c>
      <c r="G8628" s="100" t="s">
        <v>633</v>
      </c>
      <c r="H8628" s="100" t="s">
        <v>633</v>
      </c>
      <c r="I8628" s="422"/>
      <c r="K8628" s="548"/>
      <c r="L8628" s="548"/>
      <c r="M8628" s="548"/>
      <c r="N8628" s="552">
        <v>21340</v>
      </c>
      <c r="R8628" s="539">
        <v>515.54920009372074</v>
      </c>
      <c r="S8628" s="539">
        <v>516.22506794751598</v>
      </c>
      <c r="T8628" s="538">
        <v>15.950100000000001</v>
      </c>
      <c r="U8628" s="538">
        <v>49.51</v>
      </c>
      <c r="V8628" s="538">
        <v>24.75</v>
      </c>
      <c r="Y8628" s="551"/>
    </row>
    <row r="8629" spans="1:25">
      <c r="A8629" s="499">
        <v>45800</v>
      </c>
      <c r="B8629" s="499">
        <v>45800</v>
      </c>
      <c r="C8629" s="500" t="s">
        <v>173</v>
      </c>
      <c r="D8629" s="500" t="s">
        <v>763</v>
      </c>
      <c r="E8629" s="501">
        <v>-5819962741.9099998</v>
      </c>
      <c r="F8629" s="502" t="s">
        <v>878</v>
      </c>
      <c r="G8629" s="100" t="s">
        <v>633</v>
      </c>
      <c r="H8629" s="530"/>
      <c r="I8629" s="422"/>
      <c r="K8629" s="548"/>
      <c r="L8629" s="548"/>
      <c r="M8629" s="548"/>
      <c r="N8629" s="552">
        <v>11288860</v>
      </c>
      <c r="R8629" s="539">
        <v>515.54920000000004</v>
      </c>
      <c r="S8629" s="539">
        <v>516.22083066049197</v>
      </c>
      <c r="T8629" s="538">
        <v>15.850099999999999</v>
      </c>
      <c r="U8629" s="538">
        <v>26189.83</v>
      </c>
      <c r="V8629" s="538">
        <v>13094.92</v>
      </c>
      <c r="Y8629" s="551"/>
    </row>
    <row r="8630" spans="1:25">
      <c r="A8630" s="499">
        <v>45800</v>
      </c>
      <c r="B8630" s="499">
        <v>45800</v>
      </c>
      <c r="C8630" s="500" t="s">
        <v>173</v>
      </c>
      <c r="D8630" s="500" t="s">
        <v>763</v>
      </c>
      <c r="E8630" s="501">
        <v>-33005459.780000001</v>
      </c>
      <c r="F8630" s="502" t="s">
        <v>878</v>
      </c>
      <c r="G8630" s="100" t="s">
        <v>633</v>
      </c>
      <c r="H8630" s="530"/>
      <c r="I8630" s="422"/>
      <c r="K8630" s="548"/>
      <c r="L8630" s="548"/>
      <c r="M8630" s="548"/>
      <c r="N8630" s="552">
        <v>64020</v>
      </c>
      <c r="R8630" s="539">
        <v>515.54920000000004</v>
      </c>
      <c r="S8630" s="539">
        <v>516.22083052171195</v>
      </c>
      <c r="T8630" s="538">
        <v>15.850099999999999</v>
      </c>
      <c r="U8630" s="538">
        <v>148.52000000000001</v>
      </c>
      <c r="V8630" s="538">
        <v>74.260000000000005</v>
      </c>
      <c r="Y8630" s="551"/>
    </row>
    <row r="8631" spans="1:25">
      <c r="A8631" s="499">
        <v>45800</v>
      </c>
      <c r="B8631" s="499">
        <v>45803</v>
      </c>
      <c r="C8631" s="500" t="s">
        <v>173</v>
      </c>
      <c r="D8631" s="500" t="s">
        <v>763</v>
      </c>
      <c r="E8631" s="501">
        <v>5827544686.4099998</v>
      </c>
      <c r="F8631" s="502" t="s">
        <v>878</v>
      </c>
      <c r="G8631" s="100" t="s">
        <v>633</v>
      </c>
      <c r="H8631" s="100">
        <v>117155605</v>
      </c>
      <c r="I8631" s="422"/>
      <c r="K8631" s="548"/>
      <c r="L8631" s="548"/>
      <c r="M8631" s="548"/>
      <c r="N8631" s="552">
        <v>11288860</v>
      </c>
      <c r="R8631" s="539">
        <v>515.54920000000004</v>
      </c>
      <c r="S8631" s="539">
        <v>516.22083066049197</v>
      </c>
      <c r="T8631" s="538">
        <v>15.850099999999999</v>
      </c>
      <c r="U8631" s="538">
        <v>26189.83</v>
      </c>
      <c r="V8631" s="538">
        <v>13094.92</v>
      </c>
      <c r="Y8631" s="551"/>
    </row>
    <row r="8632" spans="1:25">
      <c r="A8632" s="499">
        <v>45800</v>
      </c>
      <c r="B8632" s="499">
        <v>45803</v>
      </c>
      <c r="C8632" s="500" t="s">
        <v>173</v>
      </c>
      <c r="D8632" s="500" t="s">
        <v>763</v>
      </c>
      <c r="E8632" s="501">
        <v>33048457.57</v>
      </c>
      <c r="F8632" s="502" t="s">
        <v>878</v>
      </c>
      <c r="G8632" s="100" t="s">
        <v>633</v>
      </c>
      <c r="H8632" s="100">
        <v>117155629</v>
      </c>
      <c r="I8632" s="422"/>
      <c r="K8632" s="548"/>
      <c r="L8632" s="548"/>
      <c r="M8632" s="548"/>
      <c r="N8632" s="552">
        <v>64020</v>
      </c>
      <c r="R8632" s="539">
        <v>515.54920000000004</v>
      </c>
      <c r="S8632" s="539">
        <v>516.22083052171195</v>
      </c>
      <c r="T8632" s="538">
        <v>15.850099999999999</v>
      </c>
      <c r="U8632" s="538">
        <v>148.52000000000001</v>
      </c>
      <c r="V8632" s="538">
        <v>74.260000000000005</v>
      </c>
      <c r="Y8632" s="551"/>
    </row>
    <row r="8633" spans="1:25">
      <c r="A8633" s="499">
        <v>45803</v>
      </c>
      <c r="B8633" s="499">
        <v>45803</v>
      </c>
      <c r="C8633" s="500" t="s">
        <v>173</v>
      </c>
      <c r="D8633" s="500" t="s">
        <v>762</v>
      </c>
      <c r="E8633" s="501">
        <f>-4602293110.58</f>
        <v>-4602293110.5799999</v>
      </c>
      <c r="F8633" s="502" t="s">
        <v>878</v>
      </c>
      <c r="G8633" s="100" t="s">
        <v>675</v>
      </c>
      <c r="H8633" s="530"/>
      <c r="I8633" s="422"/>
      <c r="K8633" s="548"/>
      <c r="L8633" s="548"/>
      <c r="M8633" s="548"/>
      <c r="N8633" s="552">
        <v>4942548</v>
      </c>
      <c r="R8633" s="558">
        <v>931.15800000000002</v>
      </c>
      <c r="S8633" s="558">
        <v>931.56619160400703</v>
      </c>
      <c r="T8633" s="538">
        <v>16.000499999999999</v>
      </c>
      <c r="U8633" s="538">
        <v>6903.44</v>
      </c>
      <c r="V8633" s="538">
        <v>3451.72</v>
      </c>
      <c r="Y8633" s="551"/>
    </row>
    <row r="8634" spans="1:25">
      <c r="A8634" s="499">
        <v>45803</v>
      </c>
      <c r="B8634" s="499">
        <v>45803</v>
      </c>
      <c r="C8634" s="500" t="s">
        <v>173</v>
      </c>
      <c r="D8634" s="500" t="s">
        <v>762</v>
      </c>
      <c r="E8634" s="501">
        <v>-27002893.859999999</v>
      </c>
      <c r="F8634" s="502" t="s">
        <v>878</v>
      </c>
      <c r="G8634" s="100" t="s">
        <v>674</v>
      </c>
      <c r="H8634" s="530"/>
      <c r="I8634" s="422"/>
      <c r="K8634" s="548"/>
      <c r="L8634" s="548"/>
      <c r="M8634" s="548"/>
      <c r="N8634" s="552">
        <v>29241</v>
      </c>
      <c r="R8634" s="558">
        <v>923.46</v>
      </c>
      <c r="S8634" s="558">
        <v>923.86481960261301</v>
      </c>
      <c r="T8634" s="538">
        <v>16.000599999999999</v>
      </c>
      <c r="U8634" s="538">
        <v>40.5</v>
      </c>
      <c r="V8634" s="538">
        <v>20.25</v>
      </c>
      <c r="Y8634" s="551"/>
    </row>
    <row r="8635" spans="1:25">
      <c r="A8635" s="499">
        <v>45803</v>
      </c>
      <c r="B8635" s="499">
        <v>45804</v>
      </c>
      <c r="C8635" s="500" t="s">
        <v>173</v>
      </c>
      <c r="D8635" s="500" t="s">
        <v>762</v>
      </c>
      <c r="E8635" s="501">
        <v>4604310617.1800003</v>
      </c>
      <c r="F8635" s="502" t="s">
        <v>878</v>
      </c>
      <c r="G8635" s="100" t="s">
        <v>675</v>
      </c>
      <c r="H8635" s="100">
        <v>117184556</v>
      </c>
      <c r="I8635" s="422"/>
      <c r="K8635" s="548"/>
      <c r="L8635" s="548"/>
      <c r="M8635" s="548"/>
      <c r="N8635" s="552">
        <v>4942548</v>
      </c>
      <c r="R8635" s="558">
        <v>931.15800000000002</v>
      </c>
      <c r="S8635" s="558">
        <v>931.56619160400703</v>
      </c>
      <c r="T8635" s="538">
        <v>16.000499999999999</v>
      </c>
      <c r="U8635" s="538">
        <v>6903.44</v>
      </c>
      <c r="V8635" s="538">
        <v>3451.72</v>
      </c>
      <c r="Y8635" s="551"/>
    </row>
    <row r="8636" spans="1:25">
      <c r="A8636" s="499">
        <v>45803</v>
      </c>
      <c r="B8636" s="499">
        <v>45804</v>
      </c>
      <c r="C8636" s="500" t="s">
        <v>173</v>
      </c>
      <c r="D8636" s="500" t="s">
        <v>762</v>
      </c>
      <c r="E8636" s="501">
        <v>27014731.190000001</v>
      </c>
      <c r="F8636" s="502" t="s">
        <v>878</v>
      </c>
      <c r="G8636" s="100" t="s">
        <v>674</v>
      </c>
      <c r="H8636" s="100">
        <v>117184633</v>
      </c>
      <c r="I8636" s="422"/>
      <c r="K8636" s="548"/>
      <c r="L8636" s="548"/>
      <c r="M8636" s="548"/>
      <c r="N8636" s="552">
        <v>29241</v>
      </c>
      <c r="R8636" s="558">
        <v>923.46</v>
      </c>
      <c r="S8636" s="558">
        <v>923.86481960261301</v>
      </c>
      <c r="T8636" s="538">
        <v>16.000599999999999</v>
      </c>
      <c r="U8636" s="538">
        <v>40.5</v>
      </c>
      <c r="V8636" s="538">
        <v>20.25</v>
      </c>
      <c r="Y8636" s="551"/>
    </row>
    <row r="8637" spans="1:25">
      <c r="A8637" s="499">
        <v>45803</v>
      </c>
      <c r="B8637" s="499">
        <v>45803</v>
      </c>
      <c r="C8637" s="500" t="s">
        <v>173</v>
      </c>
      <c r="D8637" s="500" t="s">
        <v>761</v>
      </c>
      <c r="E8637" s="501">
        <v>-496121650.94</v>
      </c>
      <c r="F8637" s="502" t="s">
        <v>878</v>
      </c>
      <c r="G8637" s="100" t="s">
        <v>716</v>
      </c>
      <c r="H8637" s="530"/>
      <c r="I8637" s="422"/>
      <c r="K8637" s="548"/>
      <c r="L8637" s="548"/>
      <c r="M8637" s="548"/>
      <c r="N8637" s="552">
        <v>690432</v>
      </c>
      <c r="R8637" s="539">
        <v>718.56699999420653</v>
      </c>
      <c r="S8637" s="539">
        <v>718.88080705992797</v>
      </c>
      <c r="T8637" s="538">
        <v>15.94</v>
      </c>
      <c r="U8637" s="538">
        <v>744.18</v>
      </c>
      <c r="V8637" s="538">
        <v>372.09</v>
      </c>
      <c r="Y8637" s="551"/>
    </row>
    <row r="8638" spans="1:25">
      <c r="A8638" s="499">
        <v>45803</v>
      </c>
      <c r="B8638" s="499">
        <v>45803</v>
      </c>
      <c r="C8638" s="500" t="s">
        <v>173</v>
      </c>
      <c r="D8638" s="500" t="s">
        <v>761</v>
      </c>
      <c r="E8638" s="501">
        <v>-577225642.76999998</v>
      </c>
      <c r="F8638" s="502" t="s">
        <v>878</v>
      </c>
      <c r="G8638" s="100" t="s">
        <v>677</v>
      </c>
      <c r="H8638" s="530"/>
      <c r="I8638" s="422"/>
      <c r="K8638" s="548"/>
      <c r="L8638" s="548"/>
      <c r="M8638" s="548"/>
      <c r="N8638" s="552">
        <v>641047</v>
      </c>
      <c r="R8638" s="539">
        <v>900.44199999376019</v>
      </c>
      <c r="S8638" s="539">
        <v>903.23090322550502</v>
      </c>
      <c r="T8638" s="538">
        <v>16.149999999999999</v>
      </c>
      <c r="U8638" s="538">
        <v>6060.87</v>
      </c>
      <c r="V8638" s="538">
        <v>3030.43</v>
      </c>
      <c r="Y8638" s="551"/>
    </row>
    <row r="8639" spans="1:25">
      <c r="A8639" s="499">
        <v>45803</v>
      </c>
      <c r="B8639" s="499">
        <v>45803</v>
      </c>
      <c r="C8639" s="500" t="s">
        <v>173</v>
      </c>
      <c r="D8639" s="500" t="s">
        <v>761</v>
      </c>
      <c r="E8639" s="501">
        <v>-6001597.6900000004</v>
      </c>
      <c r="F8639" s="502" t="s">
        <v>878</v>
      </c>
      <c r="G8639" s="100" t="s">
        <v>1013</v>
      </c>
      <c r="H8639" s="530"/>
      <c r="I8639" s="422"/>
      <c r="K8639" s="548"/>
      <c r="L8639" s="548"/>
      <c r="M8639" s="548"/>
      <c r="N8639" s="552">
        <v>12186</v>
      </c>
      <c r="R8639" s="539">
        <v>492.49940013129822</v>
      </c>
      <c r="S8639" s="539">
        <v>492.71529049729202</v>
      </c>
      <c r="T8639" s="538">
        <v>16</v>
      </c>
      <c r="U8639" s="538">
        <v>39.32</v>
      </c>
      <c r="V8639" s="538">
        <v>4.5</v>
      </c>
      <c r="Y8639" s="551"/>
    </row>
    <row r="8640" spans="1:25">
      <c r="A8640" s="499">
        <v>45803</v>
      </c>
      <c r="B8640" s="499">
        <v>45804</v>
      </c>
      <c r="C8640" s="500" t="s">
        <v>173</v>
      </c>
      <c r="D8640" s="500" t="s">
        <v>761</v>
      </c>
      <c r="E8640" s="501">
        <v>496338313.38</v>
      </c>
      <c r="F8640" s="502" t="s">
        <v>878</v>
      </c>
      <c r="G8640" s="100" t="s">
        <v>716</v>
      </c>
      <c r="H8640" s="484">
        <v>117180678</v>
      </c>
      <c r="I8640" s="422"/>
      <c r="K8640" s="548"/>
      <c r="L8640" s="548"/>
      <c r="M8640" s="548"/>
      <c r="N8640" s="552">
        <v>690432</v>
      </c>
      <c r="R8640" s="539">
        <v>718.56699999420653</v>
      </c>
      <c r="S8640" s="539">
        <v>718.88080705992797</v>
      </c>
      <c r="T8640" s="538">
        <v>15.94</v>
      </c>
      <c r="U8640" s="538">
        <v>744.18</v>
      </c>
      <c r="V8640" s="538">
        <v>372.09</v>
      </c>
      <c r="Y8640" s="551"/>
    </row>
    <row r="8641" spans="1:25">
      <c r="A8641" s="499">
        <v>45803</v>
      </c>
      <c r="B8641" s="499">
        <v>45810</v>
      </c>
      <c r="C8641" s="500" t="s">
        <v>173</v>
      </c>
      <c r="D8641" s="500" t="s">
        <v>761</v>
      </c>
      <c r="E8641" s="501">
        <v>579013460.82000005</v>
      </c>
      <c r="F8641" s="502" t="s">
        <v>878</v>
      </c>
      <c r="G8641" s="100" t="s">
        <v>677</v>
      </c>
      <c r="H8641" s="484">
        <v>117181109</v>
      </c>
      <c r="I8641" s="422"/>
      <c r="K8641" s="548"/>
      <c r="L8641" s="548"/>
      <c r="M8641" s="548"/>
      <c r="N8641" s="552">
        <v>641047</v>
      </c>
      <c r="R8641" s="539">
        <v>900.44199999376019</v>
      </c>
      <c r="S8641" s="539">
        <v>903.23090322550502</v>
      </c>
      <c r="T8641" s="538">
        <v>16.149999999999999</v>
      </c>
      <c r="U8641" s="538">
        <v>6060.87</v>
      </c>
      <c r="V8641" s="538">
        <v>3030.43</v>
      </c>
      <c r="Y8641" s="551"/>
    </row>
    <row r="8642" spans="1:25">
      <c r="A8642" s="499">
        <v>45803</v>
      </c>
      <c r="B8642" s="499">
        <v>45804</v>
      </c>
      <c r="C8642" s="500" t="s">
        <v>173</v>
      </c>
      <c r="D8642" s="500" t="s">
        <v>761</v>
      </c>
      <c r="E8642" s="501">
        <v>6004228.5300000003</v>
      </c>
      <c r="F8642" s="502" t="s">
        <v>878</v>
      </c>
      <c r="G8642" s="100" t="s">
        <v>1013</v>
      </c>
      <c r="H8642" s="484">
        <v>117181538</v>
      </c>
      <c r="I8642" s="422"/>
      <c r="K8642" s="548"/>
      <c r="L8642" s="548"/>
      <c r="M8642" s="548"/>
      <c r="N8642" s="552">
        <v>12186</v>
      </c>
      <c r="R8642" s="539">
        <v>492.49940013129822</v>
      </c>
      <c r="S8642" s="539">
        <v>492.71529049729202</v>
      </c>
      <c r="T8642" s="538">
        <v>16</v>
      </c>
      <c r="U8642" s="538">
        <v>39.32</v>
      </c>
      <c r="V8642" s="538">
        <v>4.5</v>
      </c>
      <c r="Y8642" s="551"/>
    </row>
    <row r="8643" spans="1:25">
      <c r="A8643" s="499">
        <v>45803</v>
      </c>
      <c r="B8643" s="499">
        <v>45805</v>
      </c>
      <c r="C8643" s="500" t="s">
        <v>173</v>
      </c>
      <c r="D8643" s="500" t="s">
        <v>761</v>
      </c>
      <c r="E8643" s="501">
        <v>621.77</v>
      </c>
      <c r="F8643" s="502" t="s">
        <v>912</v>
      </c>
      <c r="G8643" s="100" t="s">
        <v>61</v>
      </c>
      <c r="H8643" s="484"/>
      <c r="I8643" s="422" t="s">
        <v>717</v>
      </c>
      <c r="J8643" s="100"/>
      <c r="K8643" s="548"/>
      <c r="L8643" s="548">
        <v>61.657899999999998</v>
      </c>
      <c r="M8643" s="548">
        <f>E8643/(N8643*O8643)*100</f>
        <v>62.176999999999992</v>
      </c>
      <c r="N8643" s="552">
        <v>1</v>
      </c>
      <c r="O8643" s="539">
        <v>1000</v>
      </c>
      <c r="Q8643" s="539">
        <v>62.146900000000002</v>
      </c>
      <c r="W8643" s="550">
        <f>VLOOKUP(G8643,Справочник!A:C,3,0)</f>
        <v>5.5E-2</v>
      </c>
      <c r="X8643" s="539" t="str">
        <f>VLOOKUP(G8643,Справочник!A:G,7,0)</f>
        <v>Министерство финансов Республики Казахстан</v>
      </c>
      <c r="Y8643" s="551">
        <f>VLOOKUP(G8643,Справочник!A:B,2,0)</f>
        <v>48328</v>
      </c>
    </row>
    <row r="8644" spans="1:25">
      <c r="A8644" s="499">
        <v>45803</v>
      </c>
      <c r="B8644" s="499">
        <v>45803</v>
      </c>
      <c r="C8644" s="500" t="s">
        <v>173</v>
      </c>
      <c r="D8644" s="500" t="s">
        <v>759</v>
      </c>
      <c r="E8644" s="501">
        <v>-3853665404.5</v>
      </c>
      <c r="F8644" s="502" t="s">
        <v>878</v>
      </c>
      <c r="G8644" s="100" t="s">
        <v>672</v>
      </c>
      <c r="H8644" s="530"/>
      <c r="I8644" s="422"/>
      <c r="K8644" s="548"/>
      <c r="L8644" s="548"/>
      <c r="M8644" s="548"/>
      <c r="N8644" s="552">
        <v>4167864</v>
      </c>
      <c r="R8644" s="539">
        <v>924.61400000095978</v>
      </c>
      <c r="S8644" s="539">
        <v>927.47777021275203</v>
      </c>
      <c r="T8644" s="538">
        <v>16.149999999999999</v>
      </c>
      <c r="U8644" s="538">
        <v>40463.49</v>
      </c>
      <c r="V8644" s="538">
        <v>20231.740000000002</v>
      </c>
      <c r="Y8644" s="551"/>
    </row>
    <row r="8645" spans="1:25">
      <c r="A8645" s="499">
        <v>45803</v>
      </c>
      <c r="B8645" s="499">
        <v>45803</v>
      </c>
      <c r="C8645" s="500" t="s">
        <v>173</v>
      </c>
      <c r="D8645" s="500" t="s">
        <v>759</v>
      </c>
      <c r="E8645" s="501">
        <v>-2653132419.3299999</v>
      </c>
      <c r="F8645" s="502" t="s">
        <v>878</v>
      </c>
      <c r="G8645" s="100" t="s">
        <v>690</v>
      </c>
      <c r="H8645" s="530"/>
      <c r="I8645" s="422"/>
      <c r="K8645" s="548"/>
      <c r="L8645" s="548"/>
      <c r="M8645" s="548"/>
      <c r="N8645" s="552">
        <v>2934657</v>
      </c>
      <c r="R8645" s="539">
        <v>904.06899999897769</v>
      </c>
      <c r="S8645" s="539">
        <v>906.86913699624904</v>
      </c>
      <c r="T8645" s="538">
        <v>16.149999999999999</v>
      </c>
      <c r="U8645" s="538">
        <v>27857.89</v>
      </c>
      <c r="V8645" s="538">
        <v>13928.95</v>
      </c>
      <c r="Y8645" s="551"/>
    </row>
    <row r="8646" spans="1:25">
      <c r="A8646" s="499">
        <v>45803</v>
      </c>
      <c r="B8646" s="499">
        <v>45803</v>
      </c>
      <c r="C8646" s="500" t="s">
        <v>173</v>
      </c>
      <c r="D8646" s="500" t="s">
        <v>759</v>
      </c>
      <c r="E8646" s="501">
        <v>-1212524005.78</v>
      </c>
      <c r="F8646" s="502" t="s">
        <v>878</v>
      </c>
      <c r="G8646" s="100" t="s">
        <v>672</v>
      </c>
      <c r="H8646" s="530"/>
      <c r="I8646" s="422"/>
      <c r="K8646" s="548"/>
      <c r="L8646" s="548"/>
      <c r="M8646" s="548"/>
      <c r="N8646" s="552">
        <v>1311384</v>
      </c>
      <c r="R8646" s="539">
        <v>924.61400000305014</v>
      </c>
      <c r="S8646" s="539">
        <v>927.47777021070897</v>
      </c>
      <c r="T8646" s="538">
        <v>16.149999999999999</v>
      </c>
      <c r="U8646" s="538">
        <v>12731.5</v>
      </c>
      <c r="V8646" s="538">
        <v>6365.75</v>
      </c>
      <c r="Y8646" s="551"/>
    </row>
    <row r="8647" spans="1:25">
      <c r="A8647" s="499">
        <v>45803</v>
      </c>
      <c r="B8647" s="499">
        <v>45803</v>
      </c>
      <c r="C8647" s="500" t="s">
        <v>173</v>
      </c>
      <c r="D8647" s="500" t="s">
        <v>759</v>
      </c>
      <c r="E8647" s="501">
        <v>-295259922.44</v>
      </c>
      <c r="F8647" s="502" t="s">
        <v>878</v>
      </c>
      <c r="G8647" s="100" t="s">
        <v>816</v>
      </c>
      <c r="H8647" s="530"/>
      <c r="I8647" s="422"/>
      <c r="K8647" s="548"/>
      <c r="L8647" s="548"/>
      <c r="M8647" s="548"/>
      <c r="N8647" s="552">
        <v>271695</v>
      </c>
      <c r="R8647" s="539">
        <v>1086.7330000184029</v>
      </c>
      <c r="S8647" s="539">
        <v>1087.20788744732</v>
      </c>
      <c r="T8647" s="538">
        <v>15.95</v>
      </c>
      <c r="U8647" s="538">
        <v>442.89</v>
      </c>
      <c r="V8647" s="538">
        <v>221.44</v>
      </c>
      <c r="Y8647" s="551"/>
    </row>
    <row r="8648" spans="1:25">
      <c r="A8648" s="499">
        <v>45803</v>
      </c>
      <c r="B8648" s="499">
        <v>45803</v>
      </c>
      <c r="C8648" s="500" t="s">
        <v>173</v>
      </c>
      <c r="D8648" s="500" t="s">
        <v>759</v>
      </c>
      <c r="E8648" s="501">
        <v>-1705134096.72</v>
      </c>
      <c r="F8648" s="502" t="s">
        <v>878</v>
      </c>
      <c r="G8648" s="100" t="s">
        <v>633</v>
      </c>
      <c r="H8648" s="530"/>
      <c r="I8648" s="422"/>
      <c r="K8648" s="548"/>
      <c r="L8648" s="548"/>
      <c r="M8648" s="548"/>
      <c r="N8648" s="552">
        <v>3278715</v>
      </c>
      <c r="R8648" s="539">
        <v>520.06170000137251</v>
      </c>
      <c r="S8648" s="539">
        <v>520.28895983944903</v>
      </c>
      <c r="T8648" s="538">
        <v>15.95</v>
      </c>
      <c r="U8648" s="538">
        <v>2557.6999999999998</v>
      </c>
      <c r="V8648" s="538">
        <v>1278.8499999999999</v>
      </c>
      <c r="Y8648" s="551"/>
    </row>
    <row r="8649" spans="1:25">
      <c r="A8649" s="499">
        <v>45803</v>
      </c>
      <c r="B8649" s="499">
        <v>45803</v>
      </c>
      <c r="C8649" s="500" t="s">
        <v>173</v>
      </c>
      <c r="D8649" s="500" t="s">
        <v>759</v>
      </c>
      <c r="E8649" s="501">
        <v>-52020335.219999999</v>
      </c>
      <c r="F8649" s="502" t="s">
        <v>878</v>
      </c>
      <c r="G8649" s="100" t="s">
        <v>677</v>
      </c>
      <c r="H8649" s="530"/>
      <c r="I8649" s="422"/>
      <c r="K8649" s="548"/>
      <c r="L8649" s="548"/>
      <c r="M8649" s="548"/>
      <c r="N8649" s="552">
        <v>57772</v>
      </c>
      <c r="R8649" s="539">
        <v>900.44199993076234</v>
      </c>
      <c r="S8649" s="539">
        <v>903.23090320570498</v>
      </c>
      <c r="T8649" s="538">
        <v>16.149999999999999</v>
      </c>
      <c r="U8649" s="538">
        <v>546.21</v>
      </c>
      <c r="V8649" s="538">
        <v>273.11</v>
      </c>
      <c r="Y8649" s="551"/>
    </row>
    <row r="8650" spans="1:25">
      <c r="A8650" s="499">
        <v>45803</v>
      </c>
      <c r="B8650" s="499">
        <v>45810</v>
      </c>
      <c r="C8650" s="500" t="s">
        <v>173</v>
      </c>
      <c r="D8650" s="500" t="s">
        <v>759</v>
      </c>
      <c r="E8650" s="501">
        <v>3865601209.27</v>
      </c>
      <c r="F8650" s="502" t="s">
        <v>878</v>
      </c>
      <c r="G8650" s="100" t="s">
        <v>672</v>
      </c>
      <c r="H8650" s="100">
        <v>117180397</v>
      </c>
      <c r="I8650" s="422"/>
      <c r="K8650" s="548"/>
      <c r="L8650" s="548"/>
      <c r="M8650" s="548"/>
      <c r="N8650" s="552">
        <v>4167864</v>
      </c>
      <c r="R8650" s="539">
        <v>924.61400000095978</v>
      </c>
      <c r="S8650" s="539">
        <v>927.47777021275203</v>
      </c>
      <c r="T8650" s="538">
        <v>16.149999999999999</v>
      </c>
      <c r="U8650" s="538">
        <v>40463.49</v>
      </c>
      <c r="V8650" s="538">
        <v>20231.740000000002</v>
      </c>
      <c r="Y8650" s="551"/>
    </row>
    <row r="8651" spans="1:25">
      <c r="A8651" s="499">
        <v>45803</v>
      </c>
      <c r="B8651" s="499">
        <v>45810</v>
      </c>
      <c r="C8651" s="500" t="s">
        <v>173</v>
      </c>
      <c r="D8651" s="500" t="s">
        <v>759</v>
      </c>
      <c r="E8651" s="501">
        <v>2661349860.9699998</v>
      </c>
      <c r="F8651" s="502" t="s">
        <v>878</v>
      </c>
      <c r="G8651" s="100" t="s">
        <v>690</v>
      </c>
      <c r="H8651" s="100">
        <v>117180401</v>
      </c>
      <c r="I8651" s="422"/>
      <c r="K8651" s="548"/>
      <c r="L8651" s="548"/>
      <c r="M8651" s="548"/>
      <c r="N8651" s="552">
        <v>2934657</v>
      </c>
      <c r="R8651" s="539">
        <v>904.06899999897769</v>
      </c>
      <c r="S8651" s="539">
        <v>906.86913699624904</v>
      </c>
      <c r="T8651" s="538">
        <v>16.149999999999999</v>
      </c>
      <c r="U8651" s="538">
        <v>27857.89</v>
      </c>
      <c r="V8651" s="538">
        <v>13928.95</v>
      </c>
      <c r="Y8651" s="551"/>
    </row>
    <row r="8652" spans="1:25">
      <c r="A8652" s="499">
        <v>45803</v>
      </c>
      <c r="B8652" s="499">
        <v>45810</v>
      </c>
      <c r="C8652" s="500" t="s">
        <v>173</v>
      </c>
      <c r="D8652" s="500" t="s">
        <v>759</v>
      </c>
      <c r="E8652" s="501">
        <v>1216279508.21</v>
      </c>
      <c r="F8652" s="502" t="s">
        <v>878</v>
      </c>
      <c r="G8652" s="100" t="s">
        <v>672</v>
      </c>
      <c r="H8652" s="100">
        <v>117180430</v>
      </c>
      <c r="I8652" s="422"/>
      <c r="K8652" s="548"/>
      <c r="L8652" s="548"/>
      <c r="M8652" s="548"/>
      <c r="N8652" s="552">
        <v>1311384</v>
      </c>
      <c r="R8652" s="539">
        <v>924.61400000305014</v>
      </c>
      <c r="S8652" s="539">
        <v>927.47777021070897</v>
      </c>
      <c r="T8652" s="538">
        <v>16.149999999999999</v>
      </c>
      <c r="U8652" s="538">
        <v>12731.5</v>
      </c>
      <c r="V8652" s="538">
        <v>6365.75</v>
      </c>
      <c r="Y8652" s="551"/>
    </row>
    <row r="8653" spans="1:25">
      <c r="A8653" s="499">
        <v>45803</v>
      </c>
      <c r="B8653" s="499">
        <v>45804</v>
      </c>
      <c r="C8653" s="500" t="s">
        <v>173</v>
      </c>
      <c r="D8653" s="500" t="s">
        <v>759</v>
      </c>
      <c r="E8653" s="501">
        <v>295388946.98000002</v>
      </c>
      <c r="F8653" s="502" t="s">
        <v>878</v>
      </c>
      <c r="G8653" s="100" t="s">
        <v>816</v>
      </c>
      <c r="H8653" s="100">
        <v>117180719</v>
      </c>
      <c r="I8653" s="422"/>
      <c r="K8653" s="548"/>
      <c r="L8653" s="548"/>
      <c r="M8653" s="548"/>
      <c r="N8653" s="552">
        <v>271695</v>
      </c>
      <c r="R8653" s="539">
        <v>1086.7330000184029</v>
      </c>
      <c r="S8653" s="539">
        <v>1087.20788744732</v>
      </c>
      <c r="T8653" s="538">
        <v>15.95</v>
      </c>
      <c r="U8653" s="538">
        <v>442.89</v>
      </c>
      <c r="V8653" s="538">
        <v>221.44</v>
      </c>
      <c r="Y8653" s="551"/>
    </row>
    <row r="8654" spans="1:25">
      <c r="A8654" s="499">
        <v>45803</v>
      </c>
      <c r="B8654" s="499">
        <v>45804</v>
      </c>
      <c r="C8654" s="500" t="s">
        <v>173</v>
      </c>
      <c r="D8654" s="500" t="s">
        <v>759</v>
      </c>
      <c r="E8654" s="501">
        <v>1705879216.96</v>
      </c>
      <c r="F8654" s="502" t="s">
        <v>878</v>
      </c>
      <c r="G8654" s="100" t="s">
        <v>633</v>
      </c>
      <c r="H8654" s="100">
        <v>117180806</v>
      </c>
      <c r="I8654" s="422"/>
      <c r="K8654" s="548"/>
      <c r="L8654" s="548"/>
      <c r="M8654" s="548"/>
      <c r="N8654" s="552">
        <v>3278715</v>
      </c>
      <c r="R8654" s="539">
        <v>520.06170000137251</v>
      </c>
      <c r="S8654" s="539">
        <v>520.28895983944903</v>
      </c>
      <c r="T8654" s="538">
        <v>15.95</v>
      </c>
      <c r="U8654" s="538">
        <v>2557.6999999999998</v>
      </c>
      <c r="V8654" s="538">
        <v>1278.8499999999999</v>
      </c>
      <c r="Y8654" s="551"/>
    </row>
    <row r="8655" spans="1:25">
      <c r="A8655" s="499">
        <v>45803</v>
      </c>
      <c r="B8655" s="499">
        <v>45810</v>
      </c>
      <c r="C8655" s="500" t="s">
        <v>173</v>
      </c>
      <c r="D8655" s="500" t="s">
        <v>759</v>
      </c>
      <c r="E8655" s="501">
        <v>52181455.740000002</v>
      </c>
      <c r="F8655" s="502" t="s">
        <v>878</v>
      </c>
      <c r="G8655" s="100" t="s">
        <v>677</v>
      </c>
      <c r="H8655" s="100">
        <v>117181112</v>
      </c>
      <c r="I8655" s="422"/>
      <c r="K8655" s="548"/>
      <c r="L8655" s="548"/>
      <c r="M8655" s="548"/>
      <c r="N8655" s="552">
        <v>57772</v>
      </c>
      <c r="R8655" s="539">
        <v>900.44199993076234</v>
      </c>
      <c r="S8655" s="539">
        <v>903.23090320570498</v>
      </c>
      <c r="T8655" s="538">
        <v>16.149999999999999</v>
      </c>
      <c r="U8655" s="538">
        <v>546.21</v>
      </c>
      <c r="V8655" s="538">
        <v>273.11</v>
      </c>
      <c r="Y8655" s="551"/>
    </row>
    <row r="8656" spans="1:25">
      <c r="A8656" s="499">
        <v>45803</v>
      </c>
      <c r="B8656" s="499">
        <v>45803</v>
      </c>
      <c r="C8656" s="500" t="s">
        <v>173</v>
      </c>
      <c r="D8656" s="500" t="s">
        <v>760</v>
      </c>
      <c r="E8656" s="501">
        <v>-180051593.03999999</v>
      </c>
      <c r="F8656" s="502" t="s">
        <v>878</v>
      </c>
      <c r="G8656" s="100" t="s">
        <v>600</v>
      </c>
      <c r="H8656" s="100"/>
      <c r="I8656" s="422"/>
      <c r="K8656" s="548"/>
      <c r="L8656" s="548"/>
      <c r="M8656" s="548"/>
      <c r="N8656" s="552">
        <v>199980</v>
      </c>
      <c r="R8656" s="539">
        <v>900.34799999999996</v>
      </c>
      <c r="S8656" s="539">
        <v>903.14177492749297</v>
      </c>
      <c r="T8656" s="538">
        <v>16.1799</v>
      </c>
      <c r="U8656" s="538">
        <v>1890.54</v>
      </c>
      <c r="V8656" s="538">
        <v>945.27</v>
      </c>
      <c r="Y8656" s="551"/>
    </row>
    <row r="8657" spans="1:25">
      <c r="A8657" s="499">
        <v>45803</v>
      </c>
      <c r="B8657" s="499">
        <v>45803</v>
      </c>
      <c r="C8657" s="500" t="s">
        <v>173</v>
      </c>
      <c r="D8657" s="500" t="s">
        <v>760</v>
      </c>
      <c r="E8657" s="501">
        <v>-6000368.6299999999</v>
      </c>
      <c r="F8657" s="502" t="s">
        <v>878</v>
      </c>
      <c r="G8657" s="100" t="s">
        <v>708</v>
      </c>
      <c r="H8657" s="530"/>
      <c r="I8657" s="422"/>
      <c r="K8657" s="548"/>
      <c r="L8657" s="548"/>
      <c r="M8657" s="548"/>
      <c r="N8657" s="552">
        <v>8166</v>
      </c>
      <c r="R8657" s="539">
        <v>734.79899999999998</v>
      </c>
      <c r="S8657" s="539">
        <v>737.03963262307104</v>
      </c>
      <c r="T8657" s="538">
        <v>15.9</v>
      </c>
      <c r="U8657" s="538">
        <v>63</v>
      </c>
      <c r="V8657" s="538">
        <v>31.5</v>
      </c>
      <c r="Y8657" s="551"/>
    </row>
    <row r="8658" spans="1:25">
      <c r="A8658" s="499">
        <v>45803</v>
      </c>
      <c r="B8658" s="499">
        <v>45810</v>
      </c>
      <c r="C8658" s="500" t="s">
        <v>173</v>
      </c>
      <c r="D8658" s="500" t="s">
        <v>760</v>
      </c>
      <c r="E8658" s="501">
        <v>180610292.15000001</v>
      </c>
      <c r="F8658" s="502" t="s">
        <v>878</v>
      </c>
      <c r="G8658" s="100" t="s">
        <v>600</v>
      </c>
      <c r="H8658" s="100">
        <v>117181622</v>
      </c>
      <c r="I8658" s="422"/>
      <c r="K8658" s="548"/>
      <c r="L8658" s="548"/>
      <c r="M8658" s="548"/>
      <c r="N8658" s="552">
        <v>199980</v>
      </c>
      <c r="R8658" s="539">
        <v>900.34799999999996</v>
      </c>
      <c r="S8658" s="539">
        <v>903.14177492749297</v>
      </c>
      <c r="T8658" s="538">
        <v>16.1799</v>
      </c>
      <c r="U8658" s="538">
        <v>1890.54</v>
      </c>
      <c r="V8658" s="538">
        <v>945.27</v>
      </c>
      <c r="Y8658" s="551"/>
    </row>
    <row r="8659" spans="1:25">
      <c r="A8659" s="499">
        <v>45803</v>
      </c>
      <c r="B8659" s="499">
        <v>45810</v>
      </c>
      <c r="C8659" s="500" t="s">
        <v>173</v>
      </c>
      <c r="D8659" s="500" t="s">
        <v>760</v>
      </c>
      <c r="E8659" s="501">
        <v>6018665.6399999997</v>
      </c>
      <c r="F8659" s="502" t="s">
        <v>878</v>
      </c>
      <c r="G8659" s="100" t="s">
        <v>708</v>
      </c>
      <c r="H8659" s="100">
        <v>117200975</v>
      </c>
      <c r="I8659" s="422"/>
      <c r="K8659" s="548"/>
      <c r="L8659" s="548"/>
      <c r="M8659" s="548"/>
      <c r="N8659" s="552">
        <v>8166</v>
      </c>
      <c r="R8659" s="539">
        <v>734.79899999999998</v>
      </c>
      <c r="S8659" s="539">
        <v>737.03963262307104</v>
      </c>
      <c r="T8659" s="538">
        <v>15.9</v>
      </c>
      <c r="U8659" s="538">
        <v>63</v>
      </c>
      <c r="V8659" s="538">
        <v>31.5</v>
      </c>
      <c r="Y8659" s="551"/>
    </row>
    <row r="8660" spans="1:25">
      <c r="A8660" s="499">
        <v>45803</v>
      </c>
      <c r="B8660" s="499">
        <v>45803</v>
      </c>
      <c r="C8660" s="500" t="s">
        <v>173</v>
      </c>
      <c r="D8660" s="500" t="s">
        <v>764</v>
      </c>
      <c r="E8660" s="501">
        <v>-770220703.55999994</v>
      </c>
      <c r="F8660" s="502" t="s">
        <v>878</v>
      </c>
      <c r="G8660" s="100" t="s">
        <v>600</v>
      </c>
      <c r="H8660" s="530"/>
      <c r="I8660" s="422"/>
      <c r="K8660" s="548"/>
      <c r="L8660" s="548"/>
      <c r="M8660" s="548"/>
      <c r="N8660" s="552">
        <v>855470</v>
      </c>
      <c r="R8660" s="539">
        <v>900.34799999999996</v>
      </c>
      <c r="S8660" s="539">
        <v>903.13661209627401</v>
      </c>
      <c r="T8660" s="538">
        <v>16.149999999999999</v>
      </c>
      <c r="U8660" s="538">
        <v>8087.32</v>
      </c>
      <c r="V8660" s="538">
        <v>4043.66</v>
      </c>
      <c r="Y8660" s="551"/>
    </row>
    <row r="8661" spans="1:25">
      <c r="A8661" s="499">
        <v>45803</v>
      </c>
      <c r="B8661" s="499">
        <v>45803</v>
      </c>
      <c r="C8661" s="500" t="s">
        <v>173</v>
      </c>
      <c r="D8661" s="500" t="s">
        <v>764</v>
      </c>
      <c r="E8661" s="501">
        <v>-2715002758.4400001</v>
      </c>
      <c r="F8661" s="502" t="s">
        <v>878</v>
      </c>
      <c r="G8661" s="100" t="s">
        <v>687</v>
      </c>
      <c r="H8661" s="530"/>
      <c r="I8661" s="422"/>
      <c r="K8661" s="548"/>
      <c r="L8661" s="548"/>
      <c r="M8661" s="548"/>
      <c r="N8661" s="552">
        <v>3192840</v>
      </c>
      <c r="R8661" s="539">
        <v>850.34100000000001</v>
      </c>
      <c r="S8661" s="539">
        <v>852.974727399431</v>
      </c>
      <c r="T8661" s="538">
        <v>16.149999999999999</v>
      </c>
      <c r="U8661" s="538">
        <v>28507.53</v>
      </c>
      <c r="V8661" s="538">
        <v>14253.76</v>
      </c>
      <c r="Y8661" s="551"/>
    </row>
    <row r="8662" spans="1:25">
      <c r="A8662" s="499">
        <v>45803</v>
      </c>
      <c r="B8662" s="499">
        <v>45803</v>
      </c>
      <c r="C8662" s="500" t="s">
        <v>173</v>
      </c>
      <c r="D8662" s="500" t="s">
        <v>764</v>
      </c>
      <c r="E8662" s="501">
        <v>-1148496335.5</v>
      </c>
      <c r="F8662" s="502" t="s">
        <v>878</v>
      </c>
      <c r="G8662" s="100" t="s">
        <v>672</v>
      </c>
      <c r="H8662" s="530"/>
      <c r="I8662" s="422"/>
      <c r="K8662" s="548"/>
      <c r="L8662" s="548"/>
      <c r="M8662" s="548"/>
      <c r="N8662" s="552">
        <v>1242136</v>
      </c>
      <c r="R8662" s="539">
        <v>924.61399999677974</v>
      </c>
      <c r="S8662" s="539">
        <v>927.47777020390697</v>
      </c>
      <c r="T8662" s="538">
        <v>16.149999999999999</v>
      </c>
      <c r="U8662" s="538">
        <v>12059.21</v>
      </c>
      <c r="V8662" s="538">
        <v>6029.61</v>
      </c>
      <c r="Y8662" s="551"/>
    </row>
    <row r="8663" spans="1:25">
      <c r="A8663" s="499">
        <v>45803</v>
      </c>
      <c r="B8663" s="499">
        <v>45803</v>
      </c>
      <c r="C8663" s="500" t="s">
        <v>173</v>
      </c>
      <c r="D8663" s="500" t="s">
        <v>764</v>
      </c>
      <c r="E8663" s="501">
        <v>-26010167.609999999</v>
      </c>
      <c r="F8663" s="502" t="s">
        <v>878</v>
      </c>
      <c r="G8663" s="100" t="s">
        <v>677</v>
      </c>
      <c r="H8663" s="530"/>
      <c r="I8663" s="422"/>
      <c r="K8663" s="548"/>
      <c r="L8663" s="548"/>
      <c r="M8663" s="548"/>
      <c r="N8663" s="552">
        <v>28886</v>
      </c>
      <c r="R8663" s="539">
        <v>900.44199993076234</v>
      </c>
      <c r="S8663" s="539">
        <v>903.23090320570498</v>
      </c>
      <c r="T8663" s="538">
        <v>16.149999999999999</v>
      </c>
      <c r="U8663" s="538">
        <v>273.11</v>
      </c>
      <c r="V8663" s="538">
        <v>136.55000000000001</v>
      </c>
      <c r="Y8663" s="551"/>
    </row>
    <row r="8664" spans="1:25">
      <c r="A8664" s="499">
        <v>45803</v>
      </c>
      <c r="B8664" s="499">
        <v>45810</v>
      </c>
      <c r="C8664" s="500" t="s">
        <v>173</v>
      </c>
      <c r="D8664" s="500" t="s">
        <v>764</v>
      </c>
      <c r="E8664" s="501">
        <v>772606277.54999995</v>
      </c>
      <c r="F8664" s="502" t="s">
        <v>878</v>
      </c>
      <c r="G8664" s="100" t="s">
        <v>600</v>
      </c>
      <c r="H8664" s="100">
        <v>117180383</v>
      </c>
      <c r="I8664" s="422"/>
      <c r="K8664" s="548"/>
      <c r="L8664" s="548"/>
      <c r="M8664" s="548"/>
      <c r="N8664" s="552">
        <v>855470</v>
      </c>
      <c r="R8664" s="539">
        <v>900.34799999999996</v>
      </c>
      <c r="S8664" s="539">
        <v>903.13661209627401</v>
      </c>
      <c r="T8664" s="538">
        <v>16.149999999999999</v>
      </c>
      <c r="U8664" s="538">
        <v>8087.32</v>
      </c>
      <c r="V8664" s="538">
        <v>4043.66</v>
      </c>
      <c r="Y8664" s="551"/>
    </row>
    <row r="8665" spans="1:25">
      <c r="A8665" s="499">
        <v>45803</v>
      </c>
      <c r="B8665" s="499">
        <v>45810</v>
      </c>
      <c r="C8665" s="500" t="s">
        <v>173</v>
      </c>
      <c r="D8665" s="500" t="s">
        <v>764</v>
      </c>
      <c r="E8665" s="501">
        <v>2723411828.6300001</v>
      </c>
      <c r="F8665" s="502" t="s">
        <v>878</v>
      </c>
      <c r="G8665" s="100" t="s">
        <v>687</v>
      </c>
      <c r="H8665" s="100">
        <v>117180387</v>
      </c>
      <c r="I8665" s="422"/>
      <c r="K8665" s="548"/>
      <c r="L8665" s="548"/>
      <c r="M8665" s="548"/>
      <c r="N8665" s="552">
        <v>3192840</v>
      </c>
      <c r="R8665" s="539">
        <v>850.34100000000001</v>
      </c>
      <c r="S8665" s="539">
        <v>852.974727399431</v>
      </c>
      <c r="T8665" s="538">
        <v>16.149999999999999</v>
      </c>
      <c r="U8665" s="538">
        <v>28507.53</v>
      </c>
      <c r="V8665" s="538">
        <v>14253.76</v>
      </c>
      <c r="Y8665" s="551"/>
    </row>
    <row r="8666" spans="1:25">
      <c r="A8666" s="499">
        <v>45803</v>
      </c>
      <c r="B8666" s="499">
        <v>45810</v>
      </c>
      <c r="C8666" s="500" t="s">
        <v>173</v>
      </c>
      <c r="D8666" s="500" t="s">
        <v>764</v>
      </c>
      <c r="E8666" s="501">
        <v>1152053527.5699999</v>
      </c>
      <c r="F8666" s="502" t="s">
        <v>878</v>
      </c>
      <c r="G8666" s="100" t="s">
        <v>672</v>
      </c>
      <c r="H8666" s="100">
        <v>117180394</v>
      </c>
      <c r="I8666" s="422"/>
      <c r="K8666" s="548"/>
      <c r="L8666" s="548"/>
      <c r="M8666" s="548"/>
      <c r="N8666" s="552">
        <v>1242136</v>
      </c>
      <c r="R8666" s="539">
        <v>924.61399999677974</v>
      </c>
      <c r="S8666" s="539">
        <v>927.47777020390697</v>
      </c>
      <c r="T8666" s="538">
        <v>16.149999999999999</v>
      </c>
      <c r="U8666" s="538">
        <v>12059.21</v>
      </c>
      <c r="V8666" s="538">
        <v>6029.61</v>
      </c>
      <c r="Y8666" s="551"/>
    </row>
    <row r="8667" spans="1:25">
      <c r="A8667" s="499">
        <v>45803</v>
      </c>
      <c r="B8667" s="499">
        <v>45810</v>
      </c>
      <c r="C8667" s="500" t="s">
        <v>173</v>
      </c>
      <c r="D8667" s="500" t="s">
        <v>764</v>
      </c>
      <c r="E8667" s="501">
        <v>26090727.870000001</v>
      </c>
      <c r="F8667" s="502" t="s">
        <v>878</v>
      </c>
      <c r="G8667" s="100" t="s">
        <v>677</v>
      </c>
      <c r="H8667" s="100">
        <v>117181106</v>
      </c>
      <c r="I8667" s="422"/>
      <c r="K8667" s="548"/>
      <c r="L8667" s="548"/>
      <c r="M8667" s="548"/>
      <c r="N8667" s="552">
        <v>28886</v>
      </c>
      <c r="R8667" s="539">
        <v>900.44199993076234</v>
      </c>
      <c r="S8667" s="539">
        <v>903.23090320570498</v>
      </c>
      <c r="T8667" s="538">
        <v>16.149999999999999</v>
      </c>
      <c r="U8667" s="538">
        <v>273.11</v>
      </c>
      <c r="V8667" s="538">
        <v>136.55000000000001</v>
      </c>
      <c r="Y8667" s="551"/>
    </row>
    <row r="8668" spans="1:25">
      <c r="A8668" s="499">
        <v>45803</v>
      </c>
      <c r="B8668" s="499">
        <v>45803</v>
      </c>
      <c r="C8668" s="500" t="s">
        <v>173</v>
      </c>
      <c r="D8668" s="500" t="s">
        <v>763</v>
      </c>
      <c r="E8668" s="501">
        <v>-5826458209.6599998</v>
      </c>
      <c r="F8668" s="502" t="s">
        <v>878</v>
      </c>
      <c r="G8668" s="100" t="s">
        <v>633</v>
      </c>
      <c r="H8668" s="530"/>
      <c r="I8668" s="422"/>
      <c r="K8668" s="548"/>
      <c r="L8668" s="548"/>
      <c r="M8668" s="548"/>
      <c r="N8668" s="552">
        <v>11203398</v>
      </c>
      <c r="R8668" s="539">
        <v>520.06169999999997</v>
      </c>
      <c r="S8668" s="539">
        <v>520.28967367757502</v>
      </c>
      <c r="T8668" s="538">
        <v>16.0001</v>
      </c>
      <c r="U8668" s="538">
        <v>8739.69</v>
      </c>
      <c r="V8668" s="538">
        <v>4369.84</v>
      </c>
      <c r="Y8668" s="551"/>
    </row>
    <row r="8669" spans="1:25">
      <c r="A8669" s="499">
        <v>45803</v>
      </c>
      <c r="B8669" s="499">
        <v>45803</v>
      </c>
      <c r="C8669" s="500" t="s">
        <v>173</v>
      </c>
      <c r="D8669" s="500" t="s">
        <v>763</v>
      </c>
      <c r="E8669" s="501">
        <v>-34002674.07</v>
      </c>
      <c r="F8669" s="502" t="s">
        <v>878</v>
      </c>
      <c r="G8669" s="100" t="s">
        <v>633</v>
      </c>
      <c r="H8669" s="530"/>
      <c r="I8669" s="422"/>
      <c r="K8669" s="548"/>
      <c r="L8669" s="548"/>
      <c r="M8669" s="548"/>
      <c r="N8669" s="552">
        <v>65382</v>
      </c>
      <c r="R8669" s="539">
        <v>520.06169999999997</v>
      </c>
      <c r="S8669" s="539">
        <v>520.28967361047398</v>
      </c>
      <c r="T8669" s="538">
        <v>16.0001</v>
      </c>
      <c r="U8669" s="538">
        <v>51</v>
      </c>
      <c r="V8669" s="538">
        <v>39.32</v>
      </c>
      <c r="Y8669" s="551"/>
    </row>
    <row r="8670" spans="1:25">
      <c r="A8670" s="499">
        <v>45803</v>
      </c>
      <c r="B8670" s="499">
        <v>45804</v>
      </c>
      <c r="C8670" s="500" t="s">
        <v>173</v>
      </c>
      <c r="D8670" s="500" t="s">
        <v>763</v>
      </c>
      <c r="E8670" s="501">
        <v>5829012289.5</v>
      </c>
      <c r="F8670" s="502" t="s">
        <v>878</v>
      </c>
      <c r="G8670" s="100" t="s">
        <v>633</v>
      </c>
      <c r="H8670" s="100">
        <v>117183325</v>
      </c>
      <c r="I8670" s="422"/>
      <c r="K8670" s="548"/>
      <c r="L8670" s="548"/>
      <c r="M8670" s="548"/>
      <c r="N8670" s="552">
        <v>11203398</v>
      </c>
      <c r="R8670" s="539">
        <v>520.06169999999997</v>
      </c>
      <c r="S8670" s="539">
        <v>520.28967367757502</v>
      </c>
      <c r="T8670" s="538">
        <v>16.0001</v>
      </c>
      <c r="U8670" s="538">
        <v>8739.69</v>
      </c>
      <c r="V8670" s="538">
        <v>4369.84</v>
      </c>
      <c r="Y8670" s="551"/>
    </row>
    <row r="8671" spans="1:25">
      <c r="A8671" s="499">
        <v>45803</v>
      </c>
      <c r="B8671" s="499">
        <v>45804</v>
      </c>
      <c r="C8671" s="500" t="s">
        <v>173</v>
      </c>
      <c r="D8671" s="500" t="s">
        <v>763</v>
      </c>
      <c r="E8671" s="501">
        <v>34017579.439999998</v>
      </c>
      <c r="F8671" s="502" t="s">
        <v>878</v>
      </c>
      <c r="G8671" s="100" t="s">
        <v>633</v>
      </c>
      <c r="H8671" s="100">
        <v>117183374</v>
      </c>
      <c r="I8671" s="422"/>
      <c r="K8671" s="548"/>
      <c r="L8671" s="548"/>
      <c r="M8671" s="548"/>
      <c r="N8671" s="552">
        <v>65382</v>
      </c>
      <c r="R8671" s="539">
        <v>520.06169999999997</v>
      </c>
      <c r="S8671" s="539">
        <v>520.28967361047398</v>
      </c>
      <c r="T8671" s="538">
        <v>16.0001</v>
      </c>
      <c r="U8671" s="538">
        <v>51</v>
      </c>
      <c r="V8671" s="538">
        <v>39.32</v>
      </c>
      <c r="Y8671" s="551"/>
    </row>
    <row r="8672" spans="1:25">
      <c r="A8672" s="499">
        <v>45804</v>
      </c>
      <c r="B8672" s="499">
        <v>45804</v>
      </c>
      <c r="C8672" s="500" t="s">
        <v>173</v>
      </c>
      <c r="D8672" s="500" t="s">
        <v>762</v>
      </c>
      <c r="E8672" s="501">
        <v>-3784467278.5900002</v>
      </c>
      <c r="F8672" s="502" t="s">
        <v>878</v>
      </c>
      <c r="G8672" s="100" t="s">
        <v>713</v>
      </c>
      <c r="H8672" s="530"/>
      <c r="I8672" s="422"/>
      <c r="K8672" s="548"/>
      <c r="L8672" s="548"/>
      <c r="M8672" s="548"/>
      <c r="N8672" s="552">
        <v>4926768</v>
      </c>
      <c r="R8672" s="558">
        <v>768.14400000000001</v>
      </c>
      <c r="S8672" s="558">
        <v>768.44915309590397</v>
      </c>
      <c r="T8672" s="538">
        <v>14.5</v>
      </c>
      <c r="U8672" s="538">
        <v>5676.7</v>
      </c>
      <c r="V8672" s="538">
        <v>2838.35</v>
      </c>
      <c r="Y8672" s="551"/>
    </row>
    <row r="8673" spans="1:25">
      <c r="A8673" s="499">
        <v>45804</v>
      </c>
      <c r="B8673" s="499">
        <v>45804</v>
      </c>
      <c r="C8673" s="500" t="s">
        <v>173</v>
      </c>
      <c r="D8673" s="500" t="s">
        <v>762</v>
      </c>
      <c r="E8673" s="501">
        <v>-819101136.66999996</v>
      </c>
      <c r="F8673" s="502" t="s">
        <v>878</v>
      </c>
      <c r="G8673" s="100" t="s">
        <v>713</v>
      </c>
      <c r="H8673" s="530"/>
      <c r="I8673" s="422"/>
      <c r="K8673" s="548"/>
      <c r="L8673" s="548"/>
      <c r="M8673" s="548"/>
      <c r="N8673" s="552">
        <v>1066338</v>
      </c>
      <c r="R8673" s="558">
        <v>768.14400000000001</v>
      </c>
      <c r="S8673" s="558">
        <v>768.44915309217197</v>
      </c>
      <c r="T8673" s="538">
        <v>14.5</v>
      </c>
      <c r="U8673" s="538">
        <v>1228.6500000000001</v>
      </c>
      <c r="V8673" s="538">
        <v>614.33000000000004</v>
      </c>
      <c r="Y8673" s="551"/>
    </row>
    <row r="8674" spans="1:25">
      <c r="A8674" s="499">
        <v>45804</v>
      </c>
      <c r="B8674" s="499">
        <v>45804</v>
      </c>
      <c r="C8674" s="500" t="s">
        <v>173</v>
      </c>
      <c r="D8674" s="500" t="s">
        <v>762</v>
      </c>
      <c r="E8674" s="501">
        <v>-26007974.300000001</v>
      </c>
      <c r="F8674" s="502" t="s">
        <v>878</v>
      </c>
      <c r="G8674" s="100" t="s">
        <v>653</v>
      </c>
      <c r="H8674" s="530"/>
      <c r="I8674" s="422"/>
      <c r="K8674" s="548"/>
      <c r="L8674" s="548"/>
      <c r="M8674" s="548"/>
      <c r="N8674" s="552">
        <v>25896</v>
      </c>
      <c r="R8674" s="558">
        <v>1004.324</v>
      </c>
      <c r="S8674" s="558">
        <v>1004.71472312326</v>
      </c>
      <c r="T8674" s="538">
        <v>14.2</v>
      </c>
      <c r="U8674" s="538">
        <v>39.32</v>
      </c>
      <c r="V8674" s="538">
        <v>19.510000000000002</v>
      </c>
      <c r="Y8674" s="551"/>
    </row>
    <row r="8675" spans="1:25">
      <c r="A8675" s="499">
        <v>45804</v>
      </c>
      <c r="B8675" s="499">
        <v>45805</v>
      </c>
      <c r="C8675" s="500" t="s">
        <v>173</v>
      </c>
      <c r="D8675" s="500" t="s">
        <v>762</v>
      </c>
      <c r="E8675" s="501">
        <v>3785970697.0999999</v>
      </c>
      <c r="F8675" s="502" t="s">
        <v>878</v>
      </c>
      <c r="G8675" s="100" t="s">
        <v>713</v>
      </c>
      <c r="H8675" s="484">
        <v>117222840</v>
      </c>
      <c r="I8675" s="422"/>
      <c r="K8675" s="548"/>
      <c r="L8675" s="548"/>
      <c r="M8675" s="548"/>
      <c r="N8675" s="552">
        <v>4926768</v>
      </c>
      <c r="R8675" s="558">
        <v>768.14400000000001</v>
      </c>
      <c r="S8675" s="558">
        <v>768.44915309590397</v>
      </c>
      <c r="T8675" s="538">
        <v>14.5</v>
      </c>
      <c r="U8675" s="538">
        <v>5676.7</v>
      </c>
      <c r="V8675" s="538">
        <v>2838.35</v>
      </c>
      <c r="Y8675" s="551"/>
    </row>
    <row r="8676" spans="1:25">
      <c r="A8676" s="499">
        <v>45804</v>
      </c>
      <c r="B8676" s="499">
        <v>45805</v>
      </c>
      <c r="C8676" s="500" t="s">
        <v>173</v>
      </c>
      <c r="D8676" s="500" t="s">
        <v>762</v>
      </c>
      <c r="E8676" s="501">
        <v>819426533.00999999</v>
      </c>
      <c r="F8676" s="502" t="s">
        <v>878</v>
      </c>
      <c r="G8676" s="100" t="s">
        <v>713</v>
      </c>
      <c r="H8676" s="484">
        <v>117222845</v>
      </c>
      <c r="I8676" s="422"/>
      <c r="K8676" s="548"/>
      <c r="L8676" s="548"/>
      <c r="M8676" s="548"/>
      <c r="N8676" s="552">
        <v>1066338</v>
      </c>
      <c r="R8676" s="558">
        <v>768.14400000000001</v>
      </c>
      <c r="S8676" s="558">
        <v>768.44915309217197</v>
      </c>
      <c r="T8676" s="538">
        <v>14.5</v>
      </c>
      <c r="U8676" s="538">
        <v>1228.6500000000001</v>
      </c>
      <c r="V8676" s="538">
        <v>614.33000000000004</v>
      </c>
      <c r="Y8676" s="551"/>
    </row>
    <row r="8677" spans="1:25">
      <c r="A8677" s="499">
        <v>45804</v>
      </c>
      <c r="B8677" s="499">
        <v>45805</v>
      </c>
      <c r="C8677" s="500" t="s">
        <v>173</v>
      </c>
      <c r="D8677" s="500" t="s">
        <v>762</v>
      </c>
      <c r="E8677" s="501">
        <v>26018092.469999999</v>
      </c>
      <c r="F8677" s="502" t="s">
        <v>878</v>
      </c>
      <c r="G8677" s="100" t="s">
        <v>653</v>
      </c>
      <c r="H8677" s="484">
        <v>117223425</v>
      </c>
      <c r="I8677" s="422"/>
      <c r="K8677" s="548"/>
      <c r="L8677" s="548"/>
      <c r="M8677" s="548"/>
      <c r="N8677" s="552">
        <v>25896</v>
      </c>
      <c r="R8677" s="558">
        <v>1004.324</v>
      </c>
      <c r="S8677" s="558">
        <v>1004.71472312326</v>
      </c>
      <c r="T8677" s="538">
        <v>14.2</v>
      </c>
      <c r="U8677" s="538">
        <v>39.32</v>
      </c>
      <c r="V8677" s="538">
        <v>19.510000000000002</v>
      </c>
      <c r="Y8677" s="551"/>
    </row>
    <row r="8678" spans="1:25">
      <c r="A8678" s="499">
        <v>45804</v>
      </c>
      <c r="B8678" s="499">
        <v>45806</v>
      </c>
      <c r="C8678" s="500" t="s">
        <v>173</v>
      </c>
      <c r="D8678" s="500" t="s">
        <v>762</v>
      </c>
      <c r="E8678" s="501">
        <v>-801815888.88999999</v>
      </c>
      <c r="F8678" s="502" t="s">
        <v>906</v>
      </c>
      <c r="G8678" s="100" t="s">
        <v>71</v>
      </c>
      <c r="H8678" s="530"/>
      <c r="I8678" s="422" t="s">
        <v>704</v>
      </c>
      <c r="J8678" s="523"/>
      <c r="K8678" s="548">
        <v>117229981</v>
      </c>
      <c r="L8678" s="549">
        <v>76.792199999999994</v>
      </c>
      <c r="M8678" s="549">
        <f>E8678*(-1)/(N8678*O8678)*100</f>
        <v>80.181588888999997</v>
      </c>
      <c r="N8678" s="549">
        <v>1000000</v>
      </c>
      <c r="O8678" s="539">
        <v>1000</v>
      </c>
      <c r="P8678" s="539">
        <v>78.457800000000006</v>
      </c>
      <c r="T8678" s="538">
        <v>16.329999999999998</v>
      </c>
      <c r="U8678" s="538">
        <v>0</v>
      </c>
      <c r="V8678" s="538">
        <v>80181.59</v>
      </c>
      <c r="W8678" s="550">
        <f>VLOOKUP(G8678,Справочник!A:C,3,0)</f>
        <v>7.22E-2</v>
      </c>
      <c r="X8678" s="539" t="str">
        <f>VLOOKUP(G8678,Справочник!A:G,7,0)</f>
        <v>Министерство финансов Республики Казахстан</v>
      </c>
      <c r="Y8678" s="551" t="str">
        <f>VLOOKUP(G8678,Справочник!A:B,2,0)</f>
        <v>10.12.2028</v>
      </c>
    </row>
    <row r="8679" spans="1:25">
      <c r="A8679" s="499">
        <v>45804</v>
      </c>
      <c r="B8679" s="499">
        <v>45804</v>
      </c>
      <c r="C8679" s="500" t="s">
        <v>173</v>
      </c>
      <c r="D8679" s="500" t="s">
        <v>761</v>
      </c>
      <c r="E8679" s="501">
        <v>-277046700.12</v>
      </c>
      <c r="F8679" s="502" t="s">
        <v>878</v>
      </c>
      <c r="G8679" s="100" t="s">
        <v>633</v>
      </c>
      <c r="H8679" s="530"/>
      <c r="I8679" s="422"/>
      <c r="K8679" s="548"/>
      <c r="L8679" s="548"/>
      <c r="M8679" s="548"/>
      <c r="N8679" s="552">
        <v>533225</v>
      </c>
      <c r="R8679" s="539">
        <v>519.56809999531151</v>
      </c>
      <c r="S8679" s="539">
        <v>519.795855876975</v>
      </c>
      <c r="T8679" s="538">
        <v>16</v>
      </c>
      <c r="U8679" s="538">
        <v>415.57</v>
      </c>
      <c r="V8679" s="538">
        <v>207.79</v>
      </c>
      <c r="Y8679" s="551"/>
    </row>
    <row r="8680" spans="1:25">
      <c r="A8680" s="499">
        <v>45804</v>
      </c>
      <c r="B8680" s="499">
        <v>45804</v>
      </c>
      <c r="C8680" s="500" t="s">
        <v>173</v>
      </c>
      <c r="D8680" s="500" t="s">
        <v>761</v>
      </c>
      <c r="E8680" s="501">
        <v>-372127741.81999999</v>
      </c>
      <c r="F8680" s="502" t="s">
        <v>878</v>
      </c>
      <c r="G8680" s="100" t="s">
        <v>717</v>
      </c>
      <c r="H8680" s="530"/>
      <c r="I8680" s="422"/>
      <c r="K8680" s="548"/>
      <c r="L8680" s="548"/>
      <c r="M8680" s="548"/>
      <c r="N8680" s="552">
        <v>592968</v>
      </c>
      <c r="R8680" s="539">
        <v>627.56799999325426</v>
      </c>
      <c r="S8680" s="539">
        <v>627.84309829535505</v>
      </c>
      <c r="T8680" s="538">
        <v>16</v>
      </c>
      <c r="U8680" s="538">
        <v>558.19000000000005</v>
      </c>
      <c r="V8680" s="538">
        <v>279.10000000000002</v>
      </c>
      <c r="Y8680" s="551"/>
    </row>
    <row r="8681" spans="1:25">
      <c r="A8681" s="499">
        <v>45804</v>
      </c>
      <c r="B8681" s="499">
        <v>45804</v>
      </c>
      <c r="C8681" s="500" t="s">
        <v>173</v>
      </c>
      <c r="D8681" s="500" t="s">
        <v>761</v>
      </c>
      <c r="E8681" s="501">
        <v>-33006058.010000002</v>
      </c>
      <c r="F8681" s="502" t="s">
        <v>878</v>
      </c>
      <c r="G8681" s="100" t="s">
        <v>688</v>
      </c>
      <c r="H8681" s="530"/>
      <c r="I8681" s="422"/>
      <c r="K8681" s="548"/>
      <c r="L8681" s="548"/>
      <c r="M8681" s="548"/>
      <c r="N8681" s="552">
        <v>31416</v>
      </c>
      <c r="R8681" s="539">
        <v>1050.613000063662</v>
      </c>
      <c r="S8681" s="539">
        <v>1053.85694773364</v>
      </c>
      <c r="T8681" s="538">
        <v>16.100000000000001</v>
      </c>
      <c r="U8681" s="538">
        <v>346.56</v>
      </c>
      <c r="V8681" s="538">
        <v>173.28</v>
      </c>
      <c r="Y8681" s="551"/>
    </row>
    <row r="8682" spans="1:25">
      <c r="A8682" s="499">
        <v>45804</v>
      </c>
      <c r="B8682" s="499">
        <v>45804</v>
      </c>
      <c r="C8682" s="500" t="s">
        <v>173</v>
      </c>
      <c r="D8682" s="500" t="s">
        <v>761</v>
      </c>
      <c r="E8682" s="501">
        <v>-99031211.430000007</v>
      </c>
      <c r="F8682" s="502" t="s">
        <v>878</v>
      </c>
      <c r="G8682" s="100" t="s">
        <v>701</v>
      </c>
      <c r="H8682" s="530"/>
      <c r="I8682" s="422"/>
      <c r="K8682" s="548"/>
      <c r="L8682" s="548"/>
      <c r="M8682" s="548"/>
      <c r="N8682" s="552">
        <v>116919</v>
      </c>
      <c r="R8682" s="539">
        <v>847.00699997434128</v>
      </c>
      <c r="S8682" s="539">
        <v>849.62227909920603</v>
      </c>
      <c r="T8682" s="538">
        <v>16.100000000000001</v>
      </c>
      <c r="U8682" s="538">
        <v>1039.83</v>
      </c>
      <c r="V8682" s="538">
        <v>519.91</v>
      </c>
      <c r="Y8682" s="551"/>
    </row>
    <row r="8683" spans="1:25">
      <c r="A8683" s="499">
        <v>45804</v>
      </c>
      <c r="B8683" s="499">
        <v>45804</v>
      </c>
      <c r="C8683" s="500" t="s">
        <v>173</v>
      </c>
      <c r="D8683" s="500" t="s">
        <v>761</v>
      </c>
      <c r="E8683" s="501">
        <v>-102048258.23999999</v>
      </c>
      <c r="F8683" s="502" t="s">
        <v>878</v>
      </c>
      <c r="G8683" s="100" t="s">
        <v>699</v>
      </c>
      <c r="H8683" s="530"/>
      <c r="I8683" s="422"/>
      <c r="K8683" s="548"/>
      <c r="L8683" s="548"/>
      <c r="M8683" s="548"/>
      <c r="N8683" s="552">
        <v>110160</v>
      </c>
      <c r="R8683" s="539">
        <v>926.36399999999992</v>
      </c>
      <c r="S8683" s="539">
        <v>929.22430746187399</v>
      </c>
      <c r="T8683" s="538">
        <v>16.100000000000001</v>
      </c>
      <c r="U8683" s="538">
        <v>1071.51</v>
      </c>
      <c r="V8683" s="538">
        <v>535.75</v>
      </c>
      <c r="Y8683" s="551"/>
    </row>
    <row r="8684" spans="1:25">
      <c r="A8684" s="499">
        <v>45804</v>
      </c>
      <c r="B8684" s="499">
        <v>45804</v>
      </c>
      <c r="C8684" s="500" t="s">
        <v>173</v>
      </c>
      <c r="D8684" s="500" t="s">
        <v>761</v>
      </c>
      <c r="E8684" s="501">
        <v>-158074442.16999999</v>
      </c>
      <c r="F8684" s="502" t="s">
        <v>878</v>
      </c>
      <c r="G8684" s="100" t="s">
        <v>707</v>
      </c>
      <c r="H8684" s="530"/>
      <c r="I8684" s="422"/>
      <c r="K8684" s="548"/>
      <c r="L8684" s="548"/>
      <c r="M8684" s="548"/>
      <c r="N8684" s="552">
        <v>210614</v>
      </c>
      <c r="R8684" s="539">
        <v>750.54099998100787</v>
      </c>
      <c r="S8684" s="539">
        <v>752.85842384646799</v>
      </c>
      <c r="T8684" s="538">
        <v>16.100000000000001</v>
      </c>
      <c r="U8684" s="538">
        <v>1659.78</v>
      </c>
      <c r="V8684" s="538">
        <v>829.89</v>
      </c>
      <c r="Y8684" s="551"/>
    </row>
    <row r="8685" spans="1:25">
      <c r="A8685" s="499">
        <v>45804</v>
      </c>
      <c r="B8685" s="499">
        <v>45804</v>
      </c>
      <c r="C8685" s="500" t="s">
        <v>173</v>
      </c>
      <c r="D8685" s="500" t="s">
        <v>761</v>
      </c>
      <c r="E8685" s="501">
        <v>-426057323.41000003</v>
      </c>
      <c r="F8685" s="502" t="s">
        <v>878</v>
      </c>
      <c r="G8685" s="100" t="s">
        <v>711</v>
      </c>
      <c r="H8685" s="530"/>
      <c r="I8685" s="422"/>
      <c r="K8685" s="548"/>
      <c r="L8685" s="548"/>
      <c r="M8685" s="548"/>
      <c r="N8685" s="552">
        <v>495012</v>
      </c>
      <c r="R8685" s="539">
        <v>860.70099999595971</v>
      </c>
      <c r="S8685" s="539">
        <v>863.35856171163505</v>
      </c>
      <c r="T8685" s="538">
        <v>16.100000000000001</v>
      </c>
      <c r="U8685" s="538">
        <v>4473.6000000000004</v>
      </c>
      <c r="V8685" s="538">
        <v>2236.8000000000002</v>
      </c>
      <c r="Y8685" s="551"/>
    </row>
    <row r="8686" spans="1:25">
      <c r="A8686" s="499">
        <v>45804</v>
      </c>
      <c r="B8686" s="499">
        <v>45804</v>
      </c>
      <c r="C8686" s="500" t="s">
        <v>173</v>
      </c>
      <c r="D8686" s="500" t="s">
        <v>761</v>
      </c>
      <c r="E8686" s="501">
        <v>-179027160.74000001</v>
      </c>
      <c r="F8686" s="502" t="s">
        <v>878</v>
      </c>
      <c r="G8686" s="100" t="s">
        <v>692</v>
      </c>
      <c r="H8686" s="530"/>
      <c r="I8686" s="422"/>
      <c r="K8686" s="548"/>
      <c r="L8686" s="548"/>
      <c r="M8686" s="548"/>
      <c r="N8686" s="552">
        <v>234132</v>
      </c>
      <c r="R8686" s="539">
        <v>764.64199998291565</v>
      </c>
      <c r="S8686" s="539">
        <v>767.00296307211295</v>
      </c>
      <c r="T8686" s="538">
        <v>16.100000000000001</v>
      </c>
      <c r="U8686" s="538">
        <v>1879.79</v>
      </c>
      <c r="V8686" s="538">
        <v>939.89</v>
      </c>
      <c r="Y8686" s="551"/>
    </row>
    <row r="8687" spans="1:25">
      <c r="A8687" s="499">
        <v>45804</v>
      </c>
      <c r="B8687" s="499">
        <v>45804</v>
      </c>
      <c r="C8687" s="500" t="s">
        <v>173</v>
      </c>
      <c r="D8687" s="500" t="s">
        <v>761</v>
      </c>
      <c r="E8687" s="501">
        <v>-5001018.4000000004</v>
      </c>
      <c r="F8687" s="502" t="s">
        <v>878</v>
      </c>
      <c r="G8687" s="100" t="s">
        <v>673</v>
      </c>
      <c r="H8687" s="530"/>
      <c r="I8687" s="422"/>
      <c r="K8687" s="548"/>
      <c r="L8687" s="548"/>
      <c r="M8687" s="548"/>
      <c r="N8687" s="552">
        <v>5600</v>
      </c>
      <c r="R8687" s="539">
        <v>893.0390000000001</v>
      </c>
      <c r="S8687" s="539">
        <v>895.78784821428599</v>
      </c>
      <c r="T8687" s="538">
        <v>16.05</v>
      </c>
      <c r="U8687" s="538">
        <v>52.51</v>
      </c>
      <c r="V8687" s="538">
        <v>26.26</v>
      </c>
      <c r="Y8687" s="551"/>
    </row>
    <row r="8688" spans="1:25">
      <c r="A8688" s="499">
        <v>45804</v>
      </c>
      <c r="B8688" s="499">
        <v>45805</v>
      </c>
      <c r="C8688" s="500" t="s">
        <v>173</v>
      </c>
      <c r="D8688" s="500" t="s">
        <v>761</v>
      </c>
      <c r="E8688" s="501">
        <v>277168145.25</v>
      </c>
      <c r="F8688" s="502" t="s">
        <v>878</v>
      </c>
      <c r="G8688" s="100" t="s">
        <v>633</v>
      </c>
      <c r="H8688" s="100">
        <v>117210273</v>
      </c>
      <c r="I8688" s="422"/>
      <c r="K8688" s="548"/>
      <c r="L8688" s="548"/>
      <c r="M8688" s="548"/>
      <c r="N8688" s="552">
        <v>533225</v>
      </c>
      <c r="R8688" s="539">
        <v>519.56809999531151</v>
      </c>
      <c r="S8688" s="539">
        <v>519.795855876975</v>
      </c>
      <c r="T8688" s="538">
        <v>16</v>
      </c>
      <c r="U8688" s="538">
        <v>415.57</v>
      </c>
      <c r="V8688" s="538">
        <v>207.79</v>
      </c>
      <c r="Y8688" s="551"/>
    </row>
    <row r="8689" spans="1:25">
      <c r="A8689" s="499">
        <v>45804</v>
      </c>
      <c r="B8689" s="499">
        <v>45805</v>
      </c>
      <c r="C8689" s="500" t="s">
        <v>173</v>
      </c>
      <c r="D8689" s="500" t="s">
        <v>761</v>
      </c>
      <c r="E8689" s="501">
        <v>372290866.31</v>
      </c>
      <c r="F8689" s="502" t="s">
        <v>878</v>
      </c>
      <c r="G8689" s="100" t="s">
        <v>717</v>
      </c>
      <c r="H8689" s="100">
        <v>117210289</v>
      </c>
      <c r="I8689" s="422"/>
      <c r="K8689" s="548"/>
      <c r="L8689" s="548"/>
      <c r="M8689" s="548"/>
      <c r="N8689" s="552">
        <v>592968</v>
      </c>
      <c r="R8689" s="539">
        <v>627.56799999325426</v>
      </c>
      <c r="S8689" s="539">
        <v>627.84309829535505</v>
      </c>
      <c r="T8689" s="538">
        <v>16</v>
      </c>
      <c r="U8689" s="538">
        <v>558.19000000000005</v>
      </c>
      <c r="V8689" s="538">
        <v>279.10000000000002</v>
      </c>
      <c r="Y8689" s="551"/>
    </row>
    <row r="8690" spans="1:25">
      <c r="A8690" s="499">
        <v>45804</v>
      </c>
      <c r="B8690" s="499">
        <v>45811</v>
      </c>
      <c r="C8690" s="500" t="s">
        <v>173</v>
      </c>
      <c r="D8690" s="500" t="s">
        <v>761</v>
      </c>
      <c r="E8690" s="501">
        <v>33107969.870000001</v>
      </c>
      <c r="F8690" s="502" t="s">
        <v>878</v>
      </c>
      <c r="G8690" s="100" t="s">
        <v>688</v>
      </c>
      <c r="H8690" s="100">
        <v>117210597</v>
      </c>
      <c r="I8690" s="422"/>
      <c r="K8690" s="548"/>
      <c r="L8690" s="548"/>
      <c r="M8690" s="548"/>
      <c r="N8690" s="552">
        <v>31416</v>
      </c>
      <c r="R8690" s="539">
        <v>1050.613000063662</v>
      </c>
      <c r="S8690" s="539">
        <v>1053.85694773364</v>
      </c>
      <c r="T8690" s="538">
        <v>16.100000000000001</v>
      </c>
      <c r="U8690" s="538">
        <v>346.56</v>
      </c>
      <c r="V8690" s="538">
        <v>173.28</v>
      </c>
      <c r="Y8690" s="551"/>
    </row>
    <row r="8691" spans="1:25">
      <c r="A8691" s="499">
        <v>45804</v>
      </c>
      <c r="B8691" s="499">
        <v>45811</v>
      </c>
      <c r="C8691" s="500" t="s">
        <v>173</v>
      </c>
      <c r="D8691" s="500" t="s">
        <v>761</v>
      </c>
      <c r="E8691" s="501">
        <v>99336987.25</v>
      </c>
      <c r="F8691" s="502" t="s">
        <v>878</v>
      </c>
      <c r="G8691" s="100" t="s">
        <v>701</v>
      </c>
      <c r="H8691" s="100">
        <v>117210600</v>
      </c>
      <c r="I8691" s="422"/>
      <c r="K8691" s="548"/>
      <c r="L8691" s="548"/>
      <c r="M8691" s="548"/>
      <c r="N8691" s="552">
        <v>116919</v>
      </c>
      <c r="R8691" s="539">
        <v>847.00699997434128</v>
      </c>
      <c r="S8691" s="539">
        <v>849.62227909920603</v>
      </c>
      <c r="T8691" s="538">
        <v>16.100000000000001</v>
      </c>
      <c r="U8691" s="538">
        <v>1039.83</v>
      </c>
      <c r="V8691" s="538">
        <v>519.91</v>
      </c>
      <c r="Y8691" s="551"/>
    </row>
    <row r="8692" spans="1:25">
      <c r="A8692" s="499">
        <v>45804</v>
      </c>
      <c r="B8692" s="499">
        <v>45811</v>
      </c>
      <c r="C8692" s="500" t="s">
        <v>173</v>
      </c>
      <c r="D8692" s="500" t="s">
        <v>761</v>
      </c>
      <c r="E8692" s="501">
        <v>102363349.70999999</v>
      </c>
      <c r="F8692" s="502" t="s">
        <v>878</v>
      </c>
      <c r="G8692" s="100" t="s">
        <v>699</v>
      </c>
      <c r="H8692" s="100">
        <v>117210603</v>
      </c>
      <c r="I8692" s="422"/>
      <c r="K8692" s="548"/>
      <c r="L8692" s="548"/>
      <c r="M8692" s="548"/>
      <c r="N8692" s="552">
        <v>110160</v>
      </c>
      <c r="R8692" s="539">
        <v>926.36399999999992</v>
      </c>
      <c r="S8692" s="539">
        <v>929.22430746187399</v>
      </c>
      <c r="T8692" s="538">
        <v>16.100000000000001</v>
      </c>
      <c r="U8692" s="538">
        <v>1071.51</v>
      </c>
      <c r="V8692" s="538">
        <v>535.75</v>
      </c>
      <c r="Y8692" s="551"/>
    </row>
    <row r="8693" spans="1:25">
      <c r="A8693" s="499">
        <v>45804</v>
      </c>
      <c r="B8693" s="499">
        <v>45811</v>
      </c>
      <c r="C8693" s="500" t="s">
        <v>173</v>
      </c>
      <c r="D8693" s="500" t="s">
        <v>761</v>
      </c>
      <c r="E8693" s="501">
        <v>158562524.08000001</v>
      </c>
      <c r="F8693" s="502" t="s">
        <v>878</v>
      </c>
      <c r="G8693" s="100" t="s">
        <v>707</v>
      </c>
      <c r="H8693" s="100">
        <v>117210606</v>
      </c>
      <c r="I8693" s="422"/>
      <c r="K8693" s="548"/>
      <c r="L8693" s="548"/>
      <c r="M8693" s="548"/>
      <c r="N8693" s="552">
        <v>210614</v>
      </c>
      <c r="R8693" s="539">
        <v>750.54099998100787</v>
      </c>
      <c r="S8693" s="539">
        <v>752.85842384646799</v>
      </c>
      <c r="T8693" s="538">
        <v>16.100000000000001</v>
      </c>
      <c r="U8693" s="538">
        <v>1659.78</v>
      </c>
      <c r="V8693" s="538">
        <v>829.89</v>
      </c>
      <c r="Y8693" s="551"/>
    </row>
    <row r="8694" spans="1:25">
      <c r="A8694" s="499">
        <v>45804</v>
      </c>
      <c r="B8694" s="499">
        <v>45811</v>
      </c>
      <c r="C8694" s="500" t="s">
        <v>173</v>
      </c>
      <c r="D8694" s="500" t="s">
        <v>761</v>
      </c>
      <c r="E8694" s="501">
        <v>427372848.35000002</v>
      </c>
      <c r="F8694" s="502" t="s">
        <v>878</v>
      </c>
      <c r="G8694" s="100" t="s">
        <v>711</v>
      </c>
      <c r="H8694" s="100">
        <v>117210609</v>
      </c>
      <c r="I8694" s="422"/>
      <c r="K8694" s="548"/>
      <c r="L8694" s="548"/>
      <c r="M8694" s="548"/>
      <c r="N8694" s="552">
        <v>495012</v>
      </c>
      <c r="R8694" s="539">
        <v>860.70099999595971</v>
      </c>
      <c r="S8694" s="539">
        <v>863.35856171163505</v>
      </c>
      <c r="T8694" s="538">
        <v>16.100000000000001</v>
      </c>
      <c r="U8694" s="538">
        <v>4473.6000000000004</v>
      </c>
      <c r="V8694" s="538">
        <v>2236.8000000000002</v>
      </c>
      <c r="Y8694" s="551"/>
    </row>
    <row r="8695" spans="1:25">
      <c r="A8695" s="499">
        <v>45804</v>
      </c>
      <c r="B8695" s="499">
        <v>45811</v>
      </c>
      <c r="C8695" s="500" t="s">
        <v>173</v>
      </c>
      <c r="D8695" s="500" t="s">
        <v>761</v>
      </c>
      <c r="E8695" s="501">
        <v>179579937.75</v>
      </c>
      <c r="F8695" s="502" t="s">
        <v>878</v>
      </c>
      <c r="G8695" s="100" t="s">
        <v>692</v>
      </c>
      <c r="H8695" s="100">
        <v>117210612</v>
      </c>
      <c r="I8695" s="422"/>
      <c r="K8695" s="548"/>
      <c r="L8695" s="548"/>
      <c r="M8695" s="548"/>
      <c r="N8695" s="552">
        <v>234132</v>
      </c>
      <c r="R8695" s="539">
        <v>764.64199998291565</v>
      </c>
      <c r="S8695" s="539">
        <v>767.00296307211295</v>
      </c>
      <c r="T8695" s="538">
        <v>16.100000000000001</v>
      </c>
      <c r="U8695" s="538">
        <v>1879.79</v>
      </c>
      <c r="V8695" s="538">
        <v>939.89</v>
      </c>
      <c r="Y8695" s="551"/>
    </row>
    <row r="8696" spans="1:25">
      <c r="A8696" s="499">
        <v>45804</v>
      </c>
      <c r="B8696" s="499">
        <v>45811</v>
      </c>
      <c r="C8696" s="500" t="s">
        <v>173</v>
      </c>
      <c r="D8696" s="500" t="s">
        <v>761</v>
      </c>
      <c r="E8696" s="501">
        <v>5016411.95</v>
      </c>
      <c r="F8696" s="502" t="s">
        <v>878</v>
      </c>
      <c r="G8696" s="100" t="s">
        <v>673</v>
      </c>
      <c r="H8696" s="100">
        <v>117213095</v>
      </c>
      <c r="I8696" s="422"/>
      <c r="K8696" s="548"/>
      <c r="L8696" s="548"/>
      <c r="M8696" s="548"/>
      <c r="N8696" s="552">
        <v>5600</v>
      </c>
      <c r="R8696" s="539">
        <v>893.0390000000001</v>
      </c>
      <c r="S8696" s="539">
        <v>895.78784821428599</v>
      </c>
      <c r="T8696" s="538">
        <v>16.05</v>
      </c>
      <c r="U8696" s="538">
        <v>52.51</v>
      </c>
      <c r="V8696" s="538">
        <v>26.26</v>
      </c>
      <c r="Y8696" s="551"/>
    </row>
    <row r="8697" spans="1:25">
      <c r="A8697" s="499">
        <v>45804</v>
      </c>
      <c r="B8697" s="499">
        <v>45804</v>
      </c>
      <c r="C8697" s="500" t="s">
        <v>173</v>
      </c>
      <c r="D8697" s="500" t="s">
        <v>759</v>
      </c>
      <c r="E8697" s="501">
        <v>-1989301059.02</v>
      </c>
      <c r="F8697" s="502" t="s">
        <v>878</v>
      </c>
      <c r="G8697" s="100" t="s">
        <v>1051</v>
      </c>
      <c r="H8697" s="530"/>
      <c r="I8697" s="422"/>
      <c r="K8697" s="548"/>
      <c r="L8697" s="548"/>
      <c r="M8697" s="548"/>
      <c r="N8697" s="552">
        <v>1931319</v>
      </c>
      <c r="R8697" s="539">
        <v>1030.0220000010356</v>
      </c>
      <c r="S8697" s="539">
        <v>1030.46646719159</v>
      </c>
      <c r="T8697" s="538">
        <v>15.7502</v>
      </c>
      <c r="U8697" s="538">
        <v>2983.95</v>
      </c>
      <c r="V8697" s="538">
        <v>1491.98</v>
      </c>
      <c r="Y8697" s="551"/>
    </row>
    <row r="8698" spans="1:25">
      <c r="A8698" s="499">
        <v>45804</v>
      </c>
      <c r="B8698" s="499">
        <v>45804</v>
      </c>
      <c r="C8698" s="500" t="s">
        <v>173</v>
      </c>
      <c r="D8698" s="500" t="s">
        <v>759</v>
      </c>
      <c r="E8698" s="501">
        <v>-11001664.98</v>
      </c>
      <c r="F8698" s="502" t="s">
        <v>878</v>
      </c>
      <c r="G8698" s="100" t="s">
        <v>1051</v>
      </c>
      <c r="H8698" s="530"/>
      <c r="I8698" s="422"/>
      <c r="K8698" s="548"/>
      <c r="L8698" s="548"/>
      <c r="M8698" s="548"/>
      <c r="N8698" s="552">
        <v>10681</v>
      </c>
      <c r="R8698" s="539">
        <v>1030.0219998127516</v>
      </c>
      <c r="S8698" s="539">
        <v>1030.4664666229801</v>
      </c>
      <c r="T8698" s="538">
        <v>15.7502</v>
      </c>
      <c r="U8698" s="538">
        <v>39.32</v>
      </c>
      <c r="V8698" s="538">
        <v>8.25</v>
      </c>
      <c r="Y8698" s="551"/>
    </row>
    <row r="8699" spans="1:25">
      <c r="A8699" s="499">
        <v>45804</v>
      </c>
      <c r="B8699" s="499">
        <v>45805</v>
      </c>
      <c r="C8699" s="500" t="s">
        <v>173</v>
      </c>
      <c r="D8699" s="500" t="s">
        <v>759</v>
      </c>
      <c r="E8699" s="501">
        <v>1990159466.95</v>
      </c>
      <c r="F8699" s="502" t="s">
        <v>878</v>
      </c>
      <c r="G8699" s="100" t="s">
        <v>1051</v>
      </c>
      <c r="H8699" s="100">
        <v>117212782</v>
      </c>
      <c r="I8699" s="422"/>
      <c r="K8699" s="548"/>
      <c r="L8699" s="548"/>
      <c r="M8699" s="548"/>
      <c r="N8699" s="552">
        <v>1931319</v>
      </c>
      <c r="R8699" s="539">
        <v>1030.0220000010356</v>
      </c>
      <c r="S8699" s="539">
        <v>1030.46646719159</v>
      </c>
      <c r="T8699" s="538">
        <v>15.7502</v>
      </c>
      <c r="U8699" s="538">
        <v>2983.95</v>
      </c>
      <c r="V8699" s="538">
        <v>1491.98</v>
      </c>
      <c r="Y8699" s="551"/>
    </row>
    <row r="8700" spans="1:25">
      <c r="A8700" s="499">
        <v>45804</v>
      </c>
      <c r="B8700" s="499">
        <v>45805</v>
      </c>
      <c r="C8700" s="500" t="s">
        <v>173</v>
      </c>
      <c r="D8700" s="500" t="s">
        <v>759</v>
      </c>
      <c r="E8700" s="501">
        <v>11006412.33</v>
      </c>
      <c r="F8700" s="502" t="s">
        <v>878</v>
      </c>
      <c r="G8700" s="100" t="s">
        <v>1051</v>
      </c>
      <c r="H8700" s="100">
        <v>117212821</v>
      </c>
      <c r="I8700" s="422"/>
      <c r="K8700" s="548"/>
      <c r="L8700" s="548"/>
      <c r="M8700" s="548"/>
      <c r="N8700" s="552">
        <v>10681</v>
      </c>
      <c r="R8700" s="539">
        <v>1030.0219998127516</v>
      </c>
      <c r="S8700" s="539">
        <v>1030.4664666229801</v>
      </c>
      <c r="T8700" s="538">
        <v>15.7502</v>
      </c>
      <c r="U8700" s="538">
        <v>39.32</v>
      </c>
      <c r="V8700" s="538">
        <v>8.25</v>
      </c>
      <c r="Y8700" s="551"/>
    </row>
    <row r="8701" spans="1:25">
      <c r="A8701" s="499">
        <v>45804</v>
      </c>
      <c r="B8701" s="499">
        <v>45804</v>
      </c>
      <c r="C8701" s="500" t="s">
        <v>173</v>
      </c>
      <c r="D8701" s="500" t="s">
        <v>763</v>
      </c>
      <c r="E8701" s="501">
        <v>-709659137.45000005</v>
      </c>
      <c r="F8701" s="502" t="s">
        <v>878</v>
      </c>
      <c r="G8701" s="100" t="s">
        <v>604</v>
      </c>
      <c r="H8701" s="530"/>
      <c r="I8701" s="422"/>
      <c r="K8701" s="548"/>
      <c r="L8701" s="548"/>
      <c r="M8701" s="548"/>
      <c r="N8701" s="552">
        <v>720344</v>
      </c>
      <c r="R8701" s="539">
        <v>985.16700000000003</v>
      </c>
      <c r="S8701" s="539">
        <v>985.59211171329298</v>
      </c>
      <c r="T8701" s="538">
        <v>15.7502</v>
      </c>
      <c r="U8701" s="538">
        <v>1064.49</v>
      </c>
      <c r="V8701" s="538">
        <v>532.24</v>
      </c>
      <c r="Y8701" s="551"/>
    </row>
    <row r="8702" spans="1:25">
      <c r="A8702" s="499">
        <v>45804</v>
      </c>
      <c r="B8702" s="499">
        <v>45804</v>
      </c>
      <c r="C8702" s="500" t="s">
        <v>173</v>
      </c>
      <c r="D8702" s="500" t="s">
        <v>763</v>
      </c>
      <c r="E8702" s="501">
        <v>-499219061</v>
      </c>
      <c r="F8702" s="502" t="s">
        <v>878</v>
      </c>
      <c r="G8702" s="100" t="s">
        <v>658</v>
      </c>
      <c r="H8702" s="530"/>
      <c r="I8702" s="422"/>
      <c r="K8702" s="548"/>
      <c r="L8702" s="548"/>
      <c r="M8702" s="548"/>
      <c r="N8702" s="552">
        <v>499000</v>
      </c>
      <c r="R8702" s="539">
        <v>1000.439</v>
      </c>
      <c r="S8702" s="539">
        <v>1000.87070176353</v>
      </c>
      <c r="T8702" s="538">
        <v>15.7502</v>
      </c>
      <c r="U8702" s="538">
        <v>748.83</v>
      </c>
      <c r="V8702" s="538">
        <v>374.41</v>
      </c>
      <c r="Y8702" s="551"/>
    </row>
    <row r="8703" spans="1:25">
      <c r="A8703" s="499">
        <v>45804</v>
      </c>
      <c r="B8703" s="499">
        <v>45804</v>
      </c>
      <c r="C8703" s="500" t="s">
        <v>173</v>
      </c>
      <c r="D8703" s="500" t="s">
        <v>763</v>
      </c>
      <c r="E8703" s="501">
        <v>-247037478.78999999</v>
      </c>
      <c r="F8703" s="502" t="s">
        <v>878</v>
      </c>
      <c r="G8703" s="100" t="s">
        <v>692</v>
      </c>
      <c r="H8703" s="530"/>
      <c r="I8703" s="422"/>
      <c r="K8703" s="548"/>
      <c r="L8703" s="548"/>
      <c r="M8703" s="548"/>
      <c r="N8703" s="552">
        <v>323076</v>
      </c>
      <c r="R8703" s="539">
        <v>764.64200000000005</v>
      </c>
      <c r="S8703" s="539">
        <v>764.97195245081696</v>
      </c>
      <c r="T8703" s="538">
        <v>15.7502</v>
      </c>
      <c r="U8703" s="538">
        <v>370.56</v>
      </c>
      <c r="V8703" s="538">
        <v>185.28</v>
      </c>
      <c r="Y8703" s="551"/>
    </row>
    <row r="8704" spans="1:25">
      <c r="A8704" s="499">
        <v>45804</v>
      </c>
      <c r="B8704" s="499">
        <v>45804</v>
      </c>
      <c r="C8704" s="500" t="s">
        <v>173</v>
      </c>
      <c r="D8704" s="500" t="s">
        <v>763</v>
      </c>
      <c r="E8704" s="501">
        <v>-188032149.5</v>
      </c>
      <c r="F8704" s="502" t="s">
        <v>878</v>
      </c>
      <c r="G8704" s="100" t="s">
        <v>690</v>
      </c>
      <c r="H8704" s="530"/>
      <c r="I8704" s="422"/>
      <c r="K8704" s="548"/>
      <c r="L8704" s="548"/>
      <c r="M8704" s="548"/>
      <c r="N8704" s="552">
        <v>207552</v>
      </c>
      <c r="R8704" s="539">
        <v>905.952</v>
      </c>
      <c r="S8704" s="539">
        <v>906.34292943455102</v>
      </c>
      <c r="T8704" s="538">
        <v>15.7502</v>
      </c>
      <c r="U8704" s="538">
        <v>282.05</v>
      </c>
      <c r="V8704" s="538">
        <v>141.02000000000001</v>
      </c>
      <c r="Y8704" s="551"/>
    </row>
    <row r="8705" spans="1:25">
      <c r="A8705" s="499">
        <v>45804</v>
      </c>
      <c r="B8705" s="499">
        <v>45804</v>
      </c>
      <c r="C8705" s="500" t="s">
        <v>173</v>
      </c>
      <c r="D8705" s="500" t="s">
        <v>763</v>
      </c>
      <c r="E8705" s="501">
        <v>-132096198.95999999</v>
      </c>
      <c r="F8705" s="502" t="s">
        <v>878</v>
      </c>
      <c r="G8705" s="100" t="s">
        <v>598</v>
      </c>
      <c r="H8705" s="530"/>
      <c r="I8705" s="422"/>
      <c r="K8705" s="548"/>
      <c r="L8705" s="548"/>
      <c r="M8705" s="548"/>
      <c r="N8705" s="552">
        <v>131604</v>
      </c>
      <c r="R8705" s="539">
        <v>1003.74</v>
      </c>
      <c r="S8705" s="539">
        <v>1004.17312619677</v>
      </c>
      <c r="T8705" s="538">
        <v>15.7502</v>
      </c>
      <c r="U8705" s="538">
        <v>198.14</v>
      </c>
      <c r="V8705" s="538">
        <v>99.07</v>
      </c>
      <c r="Y8705" s="551"/>
    </row>
    <row r="8706" spans="1:25">
      <c r="A8706" s="499">
        <v>45804</v>
      </c>
      <c r="B8706" s="499">
        <v>45804</v>
      </c>
      <c r="C8706" s="500" t="s">
        <v>173</v>
      </c>
      <c r="D8706" s="500" t="s">
        <v>763</v>
      </c>
      <c r="E8706" s="501">
        <v>-95063377.920000002</v>
      </c>
      <c r="F8706" s="502" t="s">
        <v>878</v>
      </c>
      <c r="G8706" s="100" t="s">
        <v>715</v>
      </c>
      <c r="H8706" s="530"/>
      <c r="I8706" s="422"/>
      <c r="K8706" s="548"/>
      <c r="L8706" s="548"/>
      <c r="M8706" s="548"/>
      <c r="N8706" s="552">
        <v>125115</v>
      </c>
      <c r="R8706" s="539">
        <v>759.80799999999999</v>
      </c>
      <c r="S8706" s="539">
        <v>760.13586652279901</v>
      </c>
      <c r="T8706" s="538">
        <v>15.7502</v>
      </c>
      <c r="U8706" s="538">
        <v>142.6</v>
      </c>
      <c r="V8706" s="538">
        <v>71.3</v>
      </c>
      <c r="Y8706" s="551"/>
    </row>
    <row r="8707" spans="1:25">
      <c r="A8707" s="499">
        <v>45804</v>
      </c>
      <c r="B8707" s="499">
        <v>45804</v>
      </c>
      <c r="C8707" s="500" t="s">
        <v>173</v>
      </c>
      <c r="D8707" s="500" t="s">
        <v>763</v>
      </c>
      <c r="E8707" s="501">
        <v>-42018519.270000003</v>
      </c>
      <c r="F8707" s="502" t="s">
        <v>878</v>
      </c>
      <c r="G8707" s="100" t="s">
        <v>693</v>
      </c>
      <c r="H8707" s="530"/>
      <c r="I8707" s="422"/>
      <c r="K8707" s="548"/>
      <c r="L8707" s="548"/>
      <c r="M8707" s="548"/>
      <c r="N8707" s="552">
        <v>51114</v>
      </c>
      <c r="R8707" s="539">
        <v>822.05499999999995</v>
      </c>
      <c r="S8707" s="539">
        <v>822.40972688500199</v>
      </c>
      <c r="T8707" s="538">
        <v>15.7502</v>
      </c>
      <c r="U8707" s="538">
        <v>63.03</v>
      </c>
      <c r="V8707" s="538">
        <v>39.32</v>
      </c>
      <c r="Y8707" s="551"/>
    </row>
    <row r="8708" spans="1:25">
      <c r="A8708" s="499">
        <v>45804</v>
      </c>
      <c r="B8708" s="499">
        <v>45804</v>
      </c>
      <c r="C8708" s="500" t="s">
        <v>173</v>
      </c>
      <c r="D8708" s="500" t="s">
        <v>763</v>
      </c>
      <c r="E8708" s="501">
        <v>-38033655.229999997</v>
      </c>
      <c r="F8708" s="502" t="s">
        <v>878</v>
      </c>
      <c r="G8708" s="100" t="s">
        <v>590</v>
      </c>
      <c r="H8708" s="530"/>
      <c r="I8708" s="422"/>
      <c r="K8708" s="548"/>
      <c r="L8708" s="548"/>
      <c r="M8708" s="548"/>
      <c r="N8708" s="552">
        <v>40736</v>
      </c>
      <c r="R8708" s="539">
        <v>933.66200000000003</v>
      </c>
      <c r="S8708" s="539">
        <v>934.06488658680303</v>
      </c>
      <c r="T8708" s="538">
        <v>15.7502</v>
      </c>
      <c r="U8708" s="538">
        <v>57.05</v>
      </c>
      <c r="V8708" s="538">
        <v>39.32</v>
      </c>
      <c r="Y8708" s="551"/>
    </row>
    <row r="8709" spans="1:25">
      <c r="A8709" s="499">
        <v>45804</v>
      </c>
      <c r="B8709" s="499">
        <v>45804</v>
      </c>
      <c r="C8709" s="500" t="s">
        <v>173</v>
      </c>
      <c r="D8709" s="500" t="s">
        <v>763</v>
      </c>
      <c r="E8709" s="501">
        <v>-31021832.059999999</v>
      </c>
      <c r="F8709" s="502" t="s">
        <v>878</v>
      </c>
      <c r="G8709" s="100" t="s">
        <v>823</v>
      </c>
      <c r="H8709" s="530"/>
      <c r="I8709" s="422"/>
      <c r="K8709" s="548"/>
      <c r="L8709" s="548"/>
      <c r="M8709" s="548"/>
      <c r="N8709" s="552">
        <v>29140</v>
      </c>
      <c r="R8709" s="539">
        <v>1064.579</v>
      </c>
      <c r="S8709" s="539">
        <v>1065.03837886067</v>
      </c>
      <c r="T8709" s="538">
        <v>15.7502</v>
      </c>
      <c r="U8709" s="538">
        <v>46.53</v>
      </c>
      <c r="V8709" s="538">
        <v>39.32</v>
      </c>
      <c r="Y8709" s="551"/>
    </row>
    <row r="8710" spans="1:25">
      <c r="A8710" s="499">
        <v>45804</v>
      </c>
      <c r="B8710" s="499">
        <v>45804</v>
      </c>
      <c r="C8710" s="500" t="s">
        <v>173</v>
      </c>
      <c r="D8710" s="500" t="s">
        <v>763</v>
      </c>
      <c r="E8710" s="501">
        <v>-29001450.579999998</v>
      </c>
      <c r="F8710" s="502" t="s">
        <v>878</v>
      </c>
      <c r="G8710" s="100" t="s">
        <v>821</v>
      </c>
      <c r="H8710" s="530"/>
      <c r="I8710" s="422"/>
      <c r="K8710" s="548"/>
      <c r="L8710" s="548"/>
      <c r="M8710" s="548"/>
      <c r="N8710" s="552">
        <v>27260</v>
      </c>
      <c r="R8710" s="539">
        <v>1063.883</v>
      </c>
      <c r="S8710" s="539">
        <v>1064.3420785032999</v>
      </c>
      <c r="T8710" s="538">
        <v>15.7502</v>
      </c>
      <c r="U8710" s="538">
        <v>43.5</v>
      </c>
      <c r="V8710" s="538">
        <v>39.32</v>
      </c>
      <c r="Y8710" s="551"/>
    </row>
    <row r="8711" spans="1:25">
      <c r="A8711" s="499">
        <v>45804</v>
      </c>
      <c r="B8711" s="499">
        <v>45804</v>
      </c>
      <c r="C8711" s="500" t="s">
        <v>173</v>
      </c>
      <c r="D8711" s="500" t="s">
        <v>763</v>
      </c>
      <c r="E8711" s="501">
        <v>-29009236.91</v>
      </c>
      <c r="F8711" s="502" t="s">
        <v>878</v>
      </c>
      <c r="G8711" s="100" t="s">
        <v>550</v>
      </c>
      <c r="H8711" s="530"/>
      <c r="I8711" s="422"/>
      <c r="K8711" s="548"/>
      <c r="L8711" s="548"/>
      <c r="M8711" s="548"/>
      <c r="N8711" s="552">
        <v>56260</v>
      </c>
      <c r="R8711" s="539">
        <v>515.62810000000002</v>
      </c>
      <c r="S8711" s="539">
        <v>515.85059989335195</v>
      </c>
      <c r="T8711" s="538">
        <v>15.7502</v>
      </c>
      <c r="U8711" s="538">
        <v>43.51</v>
      </c>
      <c r="V8711" s="538">
        <v>39.32</v>
      </c>
      <c r="Y8711" s="551"/>
    </row>
    <row r="8712" spans="1:25">
      <c r="A8712" s="499">
        <v>45804</v>
      </c>
      <c r="B8712" s="499">
        <v>45804</v>
      </c>
      <c r="C8712" s="500" t="s">
        <v>173</v>
      </c>
      <c r="D8712" s="500" t="s">
        <v>763</v>
      </c>
      <c r="E8712" s="501">
        <v>-28023983.120000001</v>
      </c>
      <c r="F8712" s="502" t="s">
        <v>878</v>
      </c>
      <c r="G8712" s="100" t="s">
        <v>588</v>
      </c>
      <c r="H8712" s="530"/>
      <c r="I8712" s="422"/>
      <c r="K8712" s="548"/>
      <c r="L8712" s="548"/>
      <c r="M8712" s="548"/>
      <c r="N8712" s="552">
        <v>26320</v>
      </c>
      <c r="R8712" s="539">
        <v>1064.741</v>
      </c>
      <c r="S8712" s="539">
        <v>1065.2004487082099</v>
      </c>
      <c r="T8712" s="538">
        <v>15.7502</v>
      </c>
      <c r="U8712" s="538">
        <v>42.04</v>
      </c>
      <c r="V8712" s="538">
        <v>39.32</v>
      </c>
      <c r="Y8712" s="551"/>
    </row>
    <row r="8713" spans="1:25">
      <c r="A8713" s="499">
        <v>45804</v>
      </c>
      <c r="B8713" s="499">
        <v>45804</v>
      </c>
      <c r="C8713" s="500" t="s">
        <v>173</v>
      </c>
      <c r="D8713" s="500" t="s">
        <v>763</v>
      </c>
      <c r="E8713" s="501">
        <v>-26017345.539999999</v>
      </c>
      <c r="F8713" s="502" t="s">
        <v>878</v>
      </c>
      <c r="G8713" s="100" t="s">
        <v>715</v>
      </c>
      <c r="H8713" s="530"/>
      <c r="I8713" s="422"/>
      <c r="K8713" s="548"/>
      <c r="L8713" s="548"/>
      <c r="M8713" s="548"/>
      <c r="N8713" s="552">
        <v>34242</v>
      </c>
      <c r="R8713" s="539">
        <v>759.80799999999999</v>
      </c>
      <c r="S8713" s="539">
        <v>760.13586677180103</v>
      </c>
      <c r="T8713" s="538">
        <v>15.7502</v>
      </c>
      <c r="U8713" s="538">
        <v>39.32</v>
      </c>
      <c r="V8713" s="538">
        <v>39.32</v>
      </c>
      <c r="Y8713" s="551"/>
    </row>
    <row r="8714" spans="1:25">
      <c r="A8714" s="499">
        <v>45804</v>
      </c>
      <c r="B8714" s="499">
        <v>45804</v>
      </c>
      <c r="C8714" s="500" t="s">
        <v>173</v>
      </c>
      <c r="D8714" s="500" t="s">
        <v>763</v>
      </c>
      <c r="E8714" s="501">
        <v>-25016678.399999999</v>
      </c>
      <c r="F8714" s="502" t="s">
        <v>878</v>
      </c>
      <c r="G8714" s="100" t="s">
        <v>715</v>
      </c>
      <c r="H8714" s="530"/>
      <c r="I8714" s="422"/>
      <c r="K8714" s="548"/>
      <c r="L8714" s="548"/>
      <c r="M8714" s="548"/>
      <c r="N8714" s="552">
        <v>32925</v>
      </c>
      <c r="R8714" s="539">
        <v>759.80799999999999</v>
      </c>
      <c r="S8714" s="539">
        <v>760.13586666666697</v>
      </c>
      <c r="T8714" s="538">
        <v>15.7502</v>
      </c>
      <c r="U8714" s="538">
        <v>39.32</v>
      </c>
      <c r="V8714" s="538">
        <v>39.32</v>
      </c>
      <c r="Y8714" s="551"/>
    </row>
    <row r="8715" spans="1:25">
      <c r="A8715" s="499">
        <v>45804</v>
      </c>
      <c r="B8715" s="499">
        <v>45804</v>
      </c>
      <c r="C8715" s="500" t="s">
        <v>173</v>
      </c>
      <c r="D8715" s="500" t="s">
        <v>763</v>
      </c>
      <c r="E8715" s="501">
        <v>-18005733.25</v>
      </c>
      <c r="F8715" s="502" t="s">
        <v>878</v>
      </c>
      <c r="G8715" s="100" t="s">
        <v>550</v>
      </c>
      <c r="H8715" s="530"/>
      <c r="I8715" s="422"/>
      <c r="K8715" s="548"/>
      <c r="L8715" s="548"/>
      <c r="M8715" s="548"/>
      <c r="N8715" s="552">
        <v>34920</v>
      </c>
      <c r="R8715" s="539">
        <v>515.62810000000002</v>
      </c>
      <c r="S8715" s="539">
        <v>515.85059994272603</v>
      </c>
      <c r="T8715" s="538">
        <v>15.7502</v>
      </c>
      <c r="U8715" s="538">
        <v>39.32</v>
      </c>
      <c r="V8715" s="538">
        <v>39.32</v>
      </c>
      <c r="Y8715" s="551"/>
    </row>
    <row r="8716" spans="1:25">
      <c r="A8716" s="499">
        <v>45804</v>
      </c>
      <c r="B8716" s="499">
        <v>45804</v>
      </c>
      <c r="C8716" s="500" t="s">
        <v>173</v>
      </c>
      <c r="D8716" s="500" t="s">
        <v>763</v>
      </c>
      <c r="E8716" s="501">
        <v>-8003512</v>
      </c>
      <c r="F8716" s="502" t="s">
        <v>878</v>
      </c>
      <c r="G8716" s="100" t="s">
        <v>658</v>
      </c>
      <c r="H8716" s="530"/>
      <c r="I8716" s="422"/>
      <c r="K8716" s="548"/>
      <c r="L8716" s="548"/>
      <c r="M8716" s="548"/>
      <c r="N8716" s="552">
        <v>8000</v>
      </c>
      <c r="R8716" s="539">
        <v>1000.439</v>
      </c>
      <c r="S8716" s="539">
        <v>1000.87070125</v>
      </c>
      <c r="T8716" s="538">
        <v>15.7502</v>
      </c>
      <c r="U8716" s="538">
        <v>39.32</v>
      </c>
      <c r="V8716" s="538">
        <v>39.32</v>
      </c>
      <c r="Y8716" s="551"/>
    </row>
    <row r="8717" spans="1:25">
      <c r="A8717" s="499">
        <v>45804</v>
      </c>
      <c r="B8717" s="499">
        <v>45804</v>
      </c>
      <c r="C8717" s="500" t="s">
        <v>173</v>
      </c>
      <c r="D8717" s="500" t="s">
        <v>763</v>
      </c>
      <c r="E8717" s="501">
        <v>-4000814.72</v>
      </c>
      <c r="F8717" s="502" t="s">
        <v>878</v>
      </c>
      <c r="G8717" s="100" t="s">
        <v>673</v>
      </c>
      <c r="H8717" s="530"/>
      <c r="I8717" s="422"/>
      <c r="K8717" s="548"/>
      <c r="L8717" s="548"/>
      <c r="M8717" s="548"/>
      <c r="N8717" s="552">
        <v>4480</v>
      </c>
      <c r="R8717" s="539">
        <v>893.03899999999999</v>
      </c>
      <c r="S8717" s="539">
        <v>893.42435714285705</v>
      </c>
      <c r="T8717" s="538">
        <v>15.7502</v>
      </c>
      <c r="U8717" s="538">
        <v>39.32</v>
      </c>
      <c r="V8717" s="538">
        <v>39.32</v>
      </c>
      <c r="Y8717" s="551"/>
    </row>
    <row r="8718" spans="1:25">
      <c r="A8718" s="499">
        <v>45804</v>
      </c>
      <c r="B8718" s="499">
        <v>45804</v>
      </c>
      <c r="C8718" s="500" t="s">
        <v>173</v>
      </c>
      <c r="D8718" s="500" t="s">
        <v>763</v>
      </c>
      <c r="E8718" s="501">
        <v>-17004876.420000002</v>
      </c>
      <c r="F8718" s="502" t="s">
        <v>878</v>
      </c>
      <c r="G8718" s="100" t="s">
        <v>833</v>
      </c>
      <c r="H8718" s="530"/>
      <c r="I8718" s="422"/>
      <c r="K8718" s="548"/>
      <c r="L8718" s="548"/>
      <c r="M8718" s="548"/>
      <c r="N8718" s="552">
        <v>29920</v>
      </c>
      <c r="R8718" s="539">
        <v>568.34479999999996</v>
      </c>
      <c r="S8718" s="539">
        <v>568.59004779411805</v>
      </c>
      <c r="T8718" s="538">
        <v>15.7502</v>
      </c>
      <c r="U8718" s="538">
        <v>39.32</v>
      </c>
      <c r="V8718" s="538">
        <v>39.32</v>
      </c>
      <c r="Y8718" s="551"/>
    </row>
    <row r="8719" spans="1:25">
      <c r="A8719" s="499">
        <v>45804</v>
      </c>
      <c r="B8719" s="499">
        <v>45804</v>
      </c>
      <c r="C8719" s="500" t="s">
        <v>173</v>
      </c>
      <c r="D8719" s="500" t="s">
        <v>763</v>
      </c>
      <c r="E8719" s="501">
        <v>-110031553.28</v>
      </c>
      <c r="F8719" s="502" t="s">
        <v>878</v>
      </c>
      <c r="G8719" s="100" t="s">
        <v>833</v>
      </c>
      <c r="H8719" s="530"/>
      <c r="I8719" s="422"/>
      <c r="K8719" s="548"/>
      <c r="L8719" s="548"/>
      <c r="M8719" s="548"/>
      <c r="N8719" s="552">
        <v>193600</v>
      </c>
      <c r="R8719" s="539">
        <v>568.34479999999996</v>
      </c>
      <c r="S8719" s="539">
        <v>568.59004777892596</v>
      </c>
      <c r="T8719" s="538">
        <v>15.7502</v>
      </c>
      <c r="U8719" s="538">
        <v>165.05</v>
      </c>
      <c r="V8719" s="538">
        <v>82.52</v>
      </c>
      <c r="Y8719" s="551"/>
    </row>
    <row r="8720" spans="1:25">
      <c r="A8720" s="499">
        <v>45804</v>
      </c>
      <c r="B8720" s="499">
        <v>45804</v>
      </c>
      <c r="C8720" s="500" t="s">
        <v>173</v>
      </c>
      <c r="D8720" s="500" t="s">
        <v>763</v>
      </c>
      <c r="E8720" s="501">
        <v>-181051919.49000001</v>
      </c>
      <c r="F8720" s="502" t="s">
        <v>878</v>
      </c>
      <c r="G8720" s="100" t="s">
        <v>833</v>
      </c>
      <c r="H8720" s="530"/>
      <c r="I8720" s="422"/>
      <c r="K8720" s="548"/>
      <c r="L8720" s="548"/>
      <c r="M8720" s="548"/>
      <c r="N8720" s="552">
        <v>318560</v>
      </c>
      <c r="R8720" s="539">
        <v>568.34479999999996</v>
      </c>
      <c r="S8720" s="539">
        <v>568.59004780888995</v>
      </c>
      <c r="T8720" s="538">
        <v>15.7502</v>
      </c>
      <c r="U8720" s="538">
        <v>271.58</v>
      </c>
      <c r="V8720" s="538">
        <v>135.79</v>
      </c>
      <c r="Y8720" s="551"/>
    </row>
    <row r="8721" spans="1:25">
      <c r="A8721" s="499">
        <v>45804</v>
      </c>
      <c r="B8721" s="499">
        <v>45804</v>
      </c>
      <c r="C8721" s="500" t="s">
        <v>173</v>
      </c>
      <c r="D8721" s="500" t="s">
        <v>763</v>
      </c>
      <c r="E8721" s="501">
        <v>-90039510</v>
      </c>
      <c r="F8721" s="502" t="s">
        <v>878</v>
      </c>
      <c r="G8721" s="100" t="s">
        <v>658</v>
      </c>
      <c r="H8721" s="530"/>
      <c r="I8721" s="422"/>
      <c r="K8721" s="548"/>
      <c r="L8721" s="548"/>
      <c r="M8721" s="548"/>
      <c r="N8721" s="552">
        <v>90000</v>
      </c>
      <c r="R8721" s="539">
        <v>1000.439</v>
      </c>
      <c r="S8721" s="539">
        <v>1000.87070177778</v>
      </c>
      <c r="T8721" s="538">
        <v>15.7502</v>
      </c>
      <c r="U8721" s="538">
        <v>135.06</v>
      </c>
      <c r="V8721" s="538">
        <v>67.53</v>
      </c>
      <c r="Y8721" s="551"/>
    </row>
    <row r="8722" spans="1:25">
      <c r="A8722" s="499">
        <v>45804</v>
      </c>
      <c r="B8722" s="499">
        <v>45804</v>
      </c>
      <c r="C8722" s="500" t="s">
        <v>173</v>
      </c>
      <c r="D8722" s="500" t="s">
        <v>763</v>
      </c>
      <c r="E8722" s="501">
        <v>-16006786.27</v>
      </c>
      <c r="F8722" s="502" t="s">
        <v>878</v>
      </c>
      <c r="G8722" s="100" t="s">
        <v>656</v>
      </c>
      <c r="H8722" s="530"/>
      <c r="I8722" s="422"/>
      <c r="K8722" s="548"/>
      <c r="L8722" s="548"/>
      <c r="M8722" s="548"/>
      <c r="N8722" s="552">
        <v>15968</v>
      </c>
      <c r="R8722" s="539">
        <v>1002.429</v>
      </c>
      <c r="S8722" s="539">
        <v>1002.86156062124</v>
      </c>
      <c r="T8722" s="538">
        <v>15.7502</v>
      </c>
      <c r="U8722" s="538">
        <v>39.32</v>
      </c>
      <c r="V8722" s="538">
        <v>39.32</v>
      </c>
      <c r="Y8722" s="551"/>
    </row>
    <row r="8723" spans="1:25">
      <c r="A8723" s="499">
        <v>45804</v>
      </c>
      <c r="B8723" s="499">
        <v>45804</v>
      </c>
      <c r="C8723" s="500" t="s">
        <v>173</v>
      </c>
      <c r="D8723" s="500" t="s">
        <v>763</v>
      </c>
      <c r="E8723" s="501">
        <v>-30012724.260000002</v>
      </c>
      <c r="F8723" s="502" t="s">
        <v>878</v>
      </c>
      <c r="G8723" s="100" t="s">
        <v>656</v>
      </c>
      <c r="H8723" s="530"/>
      <c r="I8723" s="422"/>
      <c r="K8723" s="548"/>
      <c r="L8723" s="548"/>
      <c r="M8723" s="548"/>
      <c r="N8723" s="552">
        <v>29940</v>
      </c>
      <c r="R8723" s="539">
        <v>1002.429</v>
      </c>
      <c r="S8723" s="539">
        <v>1002.86156045424</v>
      </c>
      <c r="T8723" s="538">
        <v>15.7502</v>
      </c>
      <c r="U8723" s="538">
        <v>45.02</v>
      </c>
      <c r="V8723" s="538">
        <v>39.32</v>
      </c>
      <c r="Y8723" s="551"/>
    </row>
    <row r="8724" spans="1:25">
      <c r="A8724" s="499">
        <v>45804</v>
      </c>
      <c r="B8724" s="499">
        <v>45804</v>
      </c>
      <c r="C8724" s="500" t="s">
        <v>173</v>
      </c>
      <c r="D8724" s="500" t="s">
        <v>763</v>
      </c>
      <c r="E8724" s="501">
        <v>-96085023.739999995</v>
      </c>
      <c r="F8724" s="502" t="s">
        <v>878</v>
      </c>
      <c r="G8724" s="100" t="s">
        <v>590</v>
      </c>
      <c r="H8724" s="530"/>
      <c r="I8724" s="422"/>
      <c r="K8724" s="548"/>
      <c r="L8724" s="548"/>
      <c r="M8724" s="548"/>
      <c r="N8724" s="552">
        <v>102912</v>
      </c>
      <c r="R8724" s="539">
        <v>933.66200000000003</v>
      </c>
      <c r="S8724" s="539">
        <v>934.06488660214598</v>
      </c>
      <c r="T8724" s="538">
        <v>15.7502</v>
      </c>
      <c r="U8724" s="538">
        <v>144.13</v>
      </c>
      <c r="V8724" s="538">
        <v>72.06</v>
      </c>
      <c r="Y8724" s="551"/>
    </row>
    <row r="8725" spans="1:25">
      <c r="A8725" s="499">
        <v>45804</v>
      </c>
      <c r="B8725" s="499">
        <v>45804</v>
      </c>
      <c r="C8725" s="500" t="s">
        <v>173</v>
      </c>
      <c r="D8725" s="500" t="s">
        <v>763</v>
      </c>
      <c r="E8725" s="501">
        <v>-34030112.579999998</v>
      </c>
      <c r="F8725" s="502" t="s">
        <v>878</v>
      </c>
      <c r="G8725" s="100" t="s">
        <v>590</v>
      </c>
      <c r="H8725" s="530"/>
      <c r="I8725" s="422"/>
      <c r="K8725" s="548"/>
      <c r="L8725" s="548"/>
      <c r="M8725" s="548"/>
      <c r="N8725" s="552">
        <v>36448</v>
      </c>
      <c r="R8725" s="539">
        <v>933.66200000000003</v>
      </c>
      <c r="S8725" s="539">
        <v>934.06488668788404</v>
      </c>
      <c r="T8725" s="538">
        <v>15.7502</v>
      </c>
      <c r="U8725" s="538">
        <v>51.05</v>
      </c>
      <c r="V8725" s="538">
        <v>39.32</v>
      </c>
      <c r="Y8725" s="551"/>
    </row>
    <row r="8726" spans="1:25">
      <c r="A8726" s="499">
        <v>45804</v>
      </c>
      <c r="B8726" s="499">
        <v>45804</v>
      </c>
      <c r="C8726" s="500" t="s">
        <v>173</v>
      </c>
      <c r="D8726" s="500" t="s">
        <v>763</v>
      </c>
      <c r="E8726" s="501">
        <v>-136095140.16</v>
      </c>
      <c r="F8726" s="502" t="s">
        <v>878</v>
      </c>
      <c r="G8726" s="100" t="s">
        <v>687</v>
      </c>
      <c r="H8726" s="530"/>
      <c r="I8726" s="422"/>
      <c r="K8726" s="548"/>
      <c r="L8726" s="548"/>
      <c r="M8726" s="548"/>
      <c r="N8726" s="552">
        <v>159936</v>
      </c>
      <c r="R8726" s="539">
        <v>850.93499999999995</v>
      </c>
      <c r="S8726" s="539">
        <v>851.30218893807501</v>
      </c>
      <c r="T8726" s="538">
        <v>15.7502</v>
      </c>
      <c r="U8726" s="538">
        <v>204.14</v>
      </c>
      <c r="V8726" s="538">
        <v>102.07</v>
      </c>
      <c r="Y8726" s="551"/>
    </row>
    <row r="8727" spans="1:25">
      <c r="A8727" s="499">
        <v>45804</v>
      </c>
      <c r="B8727" s="499">
        <v>45804</v>
      </c>
      <c r="C8727" s="500" t="s">
        <v>173</v>
      </c>
      <c r="D8727" s="500" t="s">
        <v>763</v>
      </c>
      <c r="E8727" s="501">
        <v>-371055132.07999998</v>
      </c>
      <c r="F8727" s="502" t="s">
        <v>878</v>
      </c>
      <c r="G8727" s="100" t="s">
        <v>631</v>
      </c>
      <c r="H8727" s="530"/>
      <c r="I8727" s="422"/>
      <c r="K8727" s="548"/>
      <c r="L8727" s="548"/>
      <c r="M8727" s="548"/>
      <c r="N8727" s="552">
        <v>810264</v>
      </c>
      <c r="R8727" s="539">
        <v>457.94349999999997</v>
      </c>
      <c r="S8727" s="539">
        <v>458.14110825607497</v>
      </c>
      <c r="T8727" s="538">
        <v>15.7502</v>
      </c>
      <c r="U8727" s="538">
        <v>556.58000000000004</v>
      </c>
      <c r="V8727" s="538">
        <v>278.29000000000002</v>
      </c>
      <c r="Y8727" s="551"/>
    </row>
    <row r="8728" spans="1:25">
      <c r="A8728" s="499">
        <v>45804</v>
      </c>
      <c r="B8728" s="499">
        <v>45804</v>
      </c>
      <c r="C8728" s="500" t="s">
        <v>173</v>
      </c>
      <c r="D8728" s="500" t="s">
        <v>763</v>
      </c>
      <c r="E8728" s="501">
        <v>-39009245.689999998</v>
      </c>
      <c r="F8728" s="502" t="s">
        <v>878</v>
      </c>
      <c r="G8728" s="100" t="s">
        <v>1013</v>
      </c>
      <c r="H8728" s="530"/>
      <c r="I8728" s="422"/>
      <c r="K8728" s="548"/>
      <c r="L8728" s="548"/>
      <c r="M8728" s="548"/>
      <c r="N8728" s="552">
        <v>79677</v>
      </c>
      <c r="R8728" s="539">
        <v>489.59230000000002</v>
      </c>
      <c r="S8728" s="539">
        <v>489.80356514427001</v>
      </c>
      <c r="T8728" s="538">
        <v>15.7502</v>
      </c>
      <c r="U8728" s="538">
        <v>58.51</v>
      </c>
      <c r="V8728" s="538">
        <v>39.32</v>
      </c>
      <c r="Y8728" s="551"/>
    </row>
    <row r="8729" spans="1:25">
      <c r="A8729" s="499">
        <v>45804</v>
      </c>
      <c r="B8729" s="499">
        <v>45804</v>
      </c>
      <c r="C8729" s="500" t="s">
        <v>173</v>
      </c>
      <c r="D8729" s="500" t="s">
        <v>763</v>
      </c>
      <c r="E8729" s="501">
        <v>-27004552</v>
      </c>
      <c r="F8729" s="502" t="s">
        <v>878</v>
      </c>
      <c r="G8729" s="100" t="s">
        <v>633</v>
      </c>
      <c r="H8729" s="530"/>
      <c r="I8729" s="422"/>
      <c r="K8729" s="548"/>
      <c r="L8729" s="548"/>
      <c r="M8729" s="548"/>
      <c r="N8729" s="552">
        <v>51975</v>
      </c>
      <c r="R8729" s="539">
        <v>519.56809999999996</v>
      </c>
      <c r="S8729" s="539">
        <v>519.79230014430004</v>
      </c>
      <c r="T8729" s="538">
        <v>15.7502</v>
      </c>
      <c r="U8729" s="538">
        <v>40.51</v>
      </c>
      <c r="V8729" s="538">
        <v>39.32</v>
      </c>
      <c r="Y8729" s="551"/>
    </row>
    <row r="8730" spans="1:25">
      <c r="A8730" s="499">
        <v>45804</v>
      </c>
      <c r="B8730" s="499">
        <v>45804</v>
      </c>
      <c r="C8730" s="500" t="s">
        <v>173</v>
      </c>
      <c r="D8730" s="500" t="s">
        <v>763</v>
      </c>
      <c r="E8730" s="501">
        <v>-2534383551.3099999</v>
      </c>
      <c r="F8730" s="502" t="s">
        <v>878</v>
      </c>
      <c r="G8730" s="100" t="s">
        <v>1051</v>
      </c>
      <c r="H8730" s="530"/>
      <c r="I8730" s="422"/>
      <c r="K8730" s="548"/>
      <c r="L8730" s="548"/>
      <c r="M8730" s="548"/>
      <c r="N8730" s="552">
        <v>2460514</v>
      </c>
      <c r="R8730" s="539">
        <v>1030.0219999999999</v>
      </c>
      <c r="S8730" s="539">
        <v>1030.4664671934399</v>
      </c>
      <c r="T8730" s="538">
        <v>15.7502</v>
      </c>
      <c r="U8730" s="538">
        <v>3801.58</v>
      </c>
      <c r="V8730" s="538">
        <v>1900.79</v>
      </c>
      <c r="Y8730" s="551"/>
    </row>
    <row r="8731" spans="1:25">
      <c r="A8731" s="499">
        <v>45804</v>
      </c>
      <c r="B8731" s="499">
        <v>45804</v>
      </c>
      <c r="C8731" s="500" t="s">
        <v>173</v>
      </c>
      <c r="D8731" s="500" t="s">
        <v>763</v>
      </c>
      <c r="E8731" s="501">
        <v>-32005394.960000001</v>
      </c>
      <c r="F8731" s="502" t="s">
        <v>878</v>
      </c>
      <c r="G8731" s="100" t="s">
        <v>633</v>
      </c>
      <c r="H8731" s="530"/>
      <c r="I8731" s="422"/>
      <c r="K8731" s="548"/>
      <c r="L8731" s="548"/>
      <c r="M8731" s="548"/>
      <c r="N8731" s="552">
        <v>61600</v>
      </c>
      <c r="R8731" s="539">
        <v>519.56809999999996</v>
      </c>
      <c r="S8731" s="539">
        <v>519.79372061688298</v>
      </c>
      <c r="T8731" s="538">
        <v>15.85</v>
      </c>
      <c r="U8731" s="538">
        <v>48.01</v>
      </c>
      <c r="V8731" s="538">
        <v>39.32</v>
      </c>
      <c r="Y8731" s="551"/>
    </row>
    <row r="8732" spans="1:25">
      <c r="A8732" s="499">
        <v>45804</v>
      </c>
      <c r="B8732" s="499">
        <v>45805</v>
      </c>
      <c r="C8732" s="500" t="s">
        <v>173</v>
      </c>
      <c r="D8732" s="500" t="s">
        <v>763</v>
      </c>
      <c r="E8732" s="501">
        <v>709965364.12</v>
      </c>
      <c r="F8732" s="502" t="s">
        <v>878</v>
      </c>
      <c r="G8732" s="100" t="s">
        <v>604</v>
      </c>
      <c r="H8732" s="100">
        <v>117212203</v>
      </c>
      <c r="I8732" s="422"/>
      <c r="K8732" s="548"/>
      <c r="L8732" s="548"/>
      <c r="M8732" s="548"/>
      <c r="N8732" s="552">
        <v>720344</v>
      </c>
      <c r="R8732" s="539">
        <v>985.16700000000003</v>
      </c>
      <c r="S8732" s="539">
        <v>985.59211171329298</v>
      </c>
      <c r="T8732" s="538">
        <v>15.7502</v>
      </c>
      <c r="U8732" s="538">
        <v>1064.49</v>
      </c>
      <c r="V8732" s="538">
        <v>532.24</v>
      </c>
      <c r="Y8732" s="551"/>
    </row>
    <row r="8733" spans="1:25">
      <c r="A8733" s="499">
        <v>45804</v>
      </c>
      <c r="B8733" s="499">
        <v>45805</v>
      </c>
      <c r="C8733" s="500" t="s">
        <v>173</v>
      </c>
      <c r="D8733" s="500" t="s">
        <v>763</v>
      </c>
      <c r="E8733" s="501">
        <v>499434480.18000001</v>
      </c>
      <c r="F8733" s="502" t="s">
        <v>878</v>
      </c>
      <c r="G8733" s="100" t="s">
        <v>658</v>
      </c>
      <c r="H8733" s="100">
        <v>117212206</v>
      </c>
      <c r="I8733" s="422"/>
      <c r="K8733" s="548"/>
      <c r="L8733" s="548"/>
      <c r="M8733" s="548"/>
      <c r="N8733" s="552">
        <v>499000</v>
      </c>
      <c r="R8733" s="539">
        <v>1000.439</v>
      </c>
      <c r="S8733" s="539">
        <v>1000.87070176353</v>
      </c>
      <c r="T8733" s="538">
        <v>15.7502</v>
      </c>
      <c r="U8733" s="538">
        <v>748.83</v>
      </c>
      <c r="V8733" s="538">
        <v>374.41</v>
      </c>
      <c r="Y8733" s="551"/>
    </row>
    <row r="8734" spans="1:25">
      <c r="A8734" s="499">
        <v>45804</v>
      </c>
      <c r="B8734" s="499">
        <v>45805</v>
      </c>
      <c r="C8734" s="500" t="s">
        <v>173</v>
      </c>
      <c r="D8734" s="500" t="s">
        <v>763</v>
      </c>
      <c r="E8734" s="501">
        <v>247144078.50999999</v>
      </c>
      <c r="F8734" s="502" t="s">
        <v>878</v>
      </c>
      <c r="G8734" s="100" t="s">
        <v>692</v>
      </c>
      <c r="H8734" s="100">
        <v>117212209</v>
      </c>
      <c r="I8734" s="422"/>
      <c r="K8734" s="548"/>
      <c r="L8734" s="548"/>
      <c r="M8734" s="548"/>
      <c r="N8734" s="552">
        <v>323076</v>
      </c>
      <c r="R8734" s="539">
        <v>764.64200000000005</v>
      </c>
      <c r="S8734" s="539">
        <v>764.97195245081696</v>
      </c>
      <c r="T8734" s="538">
        <v>15.7502</v>
      </c>
      <c r="U8734" s="538">
        <v>370.56</v>
      </c>
      <c r="V8734" s="538">
        <v>185.28</v>
      </c>
      <c r="Y8734" s="551"/>
    </row>
    <row r="8735" spans="1:25">
      <c r="A8735" s="499">
        <v>45804</v>
      </c>
      <c r="B8735" s="499">
        <v>45805</v>
      </c>
      <c r="C8735" s="500" t="s">
        <v>173</v>
      </c>
      <c r="D8735" s="500" t="s">
        <v>763</v>
      </c>
      <c r="E8735" s="501">
        <v>188113287.69</v>
      </c>
      <c r="F8735" s="502" t="s">
        <v>878</v>
      </c>
      <c r="G8735" s="100" t="s">
        <v>690</v>
      </c>
      <c r="H8735" s="100">
        <v>117212212</v>
      </c>
      <c r="I8735" s="422"/>
      <c r="K8735" s="548"/>
      <c r="L8735" s="548"/>
      <c r="M8735" s="548"/>
      <c r="N8735" s="552">
        <v>207552</v>
      </c>
      <c r="R8735" s="539">
        <v>905.952</v>
      </c>
      <c r="S8735" s="539">
        <v>906.34292943455102</v>
      </c>
      <c r="T8735" s="538">
        <v>15.7502</v>
      </c>
      <c r="U8735" s="538">
        <v>282.05</v>
      </c>
      <c r="V8735" s="538">
        <v>141.02000000000001</v>
      </c>
      <c r="Y8735" s="551"/>
    </row>
    <row r="8736" spans="1:25">
      <c r="A8736" s="499">
        <v>45804</v>
      </c>
      <c r="B8736" s="499">
        <v>45805</v>
      </c>
      <c r="C8736" s="500" t="s">
        <v>173</v>
      </c>
      <c r="D8736" s="500" t="s">
        <v>763</v>
      </c>
      <c r="E8736" s="501">
        <v>132153200.09999999</v>
      </c>
      <c r="F8736" s="502" t="s">
        <v>878</v>
      </c>
      <c r="G8736" s="100" t="s">
        <v>598</v>
      </c>
      <c r="H8736" s="100">
        <v>117212215</v>
      </c>
      <c r="I8736" s="422"/>
      <c r="K8736" s="548"/>
      <c r="L8736" s="548"/>
      <c r="M8736" s="548"/>
      <c r="N8736" s="552">
        <v>131604</v>
      </c>
      <c r="R8736" s="539">
        <v>1003.74</v>
      </c>
      <c r="S8736" s="539">
        <v>1004.17312619677</v>
      </c>
      <c r="T8736" s="538">
        <v>15.7502</v>
      </c>
      <c r="U8736" s="538">
        <v>198.14</v>
      </c>
      <c r="V8736" s="538">
        <v>99.07</v>
      </c>
      <c r="Y8736" s="551"/>
    </row>
    <row r="8737" spans="1:25">
      <c r="A8737" s="499">
        <v>45804</v>
      </c>
      <c r="B8737" s="499">
        <v>45805</v>
      </c>
      <c r="C8737" s="500" t="s">
        <v>173</v>
      </c>
      <c r="D8737" s="500" t="s">
        <v>763</v>
      </c>
      <c r="E8737" s="501">
        <v>95104398.939999998</v>
      </c>
      <c r="F8737" s="502" t="s">
        <v>878</v>
      </c>
      <c r="G8737" s="100" t="s">
        <v>715</v>
      </c>
      <c r="H8737" s="100">
        <v>117212218</v>
      </c>
      <c r="I8737" s="422"/>
      <c r="K8737" s="548"/>
      <c r="L8737" s="548"/>
      <c r="M8737" s="548"/>
      <c r="N8737" s="552">
        <v>125115</v>
      </c>
      <c r="R8737" s="539">
        <v>759.80799999999999</v>
      </c>
      <c r="S8737" s="539">
        <v>760.13586652279901</v>
      </c>
      <c r="T8737" s="538">
        <v>15.7502</v>
      </c>
      <c r="U8737" s="538">
        <v>142.6</v>
      </c>
      <c r="V8737" s="538">
        <v>71.3</v>
      </c>
      <c r="Y8737" s="551"/>
    </row>
    <row r="8738" spans="1:25">
      <c r="A8738" s="499">
        <v>45804</v>
      </c>
      <c r="B8738" s="499">
        <v>45805</v>
      </c>
      <c r="C8738" s="500" t="s">
        <v>173</v>
      </c>
      <c r="D8738" s="500" t="s">
        <v>763</v>
      </c>
      <c r="E8738" s="501">
        <v>42036650.780000001</v>
      </c>
      <c r="F8738" s="502" t="s">
        <v>878</v>
      </c>
      <c r="G8738" s="100" t="s">
        <v>693</v>
      </c>
      <c r="H8738" s="100">
        <v>117212221</v>
      </c>
      <c r="I8738" s="422"/>
      <c r="K8738" s="548"/>
      <c r="L8738" s="548"/>
      <c r="M8738" s="548"/>
      <c r="N8738" s="552">
        <v>51114</v>
      </c>
      <c r="R8738" s="539">
        <v>822.05499999999995</v>
      </c>
      <c r="S8738" s="539">
        <v>822.40972688500199</v>
      </c>
      <c r="T8738" s="538">
        <v>15.7502</v>
      </c>
      <c r="U8738" s="538">
        <v>63.03</v>
      </c>
      <c r="V8738" s="538">
        <v>39.32</v>
      </c>
      <c r="Y8738" s="551"/>
    </row>
    <row r="8739" spans="1:25">
      <c r="A8739" s="499">
        <v>45804</v>
      </c>
      <c r="B8739" s="499">
        <v>45805</v>
      </c>
      <c r="C8739" s="500" t="s">
        <v>173</v>
      </c>
      <c r="D8739" s="500" t="s">
        <v>763</v>
      </c>
      <c r="E8739" s="501">
        <v>38050067.219999999</v>
      </c>
      <c r="F8739" s="502" t="s">
        <v>878</v>
      </c>
      <c r="G8739" s="100" t="s">
        <v>590</v>
      </c>
      <c r="H8739" s="100">
        <v>117212224</v>
      </c>
      <c r="I8739" s="422"/>
      <c r="K8739" s="548"/>
      <c r="L8739" s="548"/>
      <c r="M8739" s="548"/>
      <c r="N8739" s="552">
        <v>40736</v>
      </c>
      <c r="R8739" s="539">
        <v>933.66200000000003</v>
      </c>
      <c r="S8739" s="539">
        <v>934.06488658680303</v>
      </c>
      <c r="T8739" s="538">
        <v>15.7502</v>
      </c>
      <c r="U8739" s="538">
        <v>57.05</v>
      </c>
      <c r="V8739" s="538">
        <v>39.32</v>
      </c>
      <c r="Y8739" s="551"/>
    </row>
    <row r="8740" spans="1:25">
      <c r="A8740" s="499">
        <v>45804</v>
      </c>
      <c r="B8740" s="499">
        <v>45805</v>
      </c>
      <c r="C8740" s="500" t="s">
        <v>173</v>
      </c>
      <c r="D8740" s="500" t="s">
        <v>763</v>
      </c>
      <c r="E8740" s="501">
        <v>31035218.359999999</v>
      </c>
      <c r="F8740" s="502" t="s">
        <v>878</v>
      </c>
      <c r="G8740" s="100" t="s">
        <v>823</v>
      </c>
      <c r="H8740" s="100">
        <v>117212227</v>
      </c>
      <c r="I8740" s="422"/>
      <c r="K8740" s="548"/>
      <c r="L8740" s="548"/>
      <c r="M8740" s="548"/>
      <c r="N8740" s="552">
        <v>29140</v>
      </c>
      <c r="R8740" s="539">
        <v>1064.579</v>
      </c>
      <c r="S8740" s="539">
        <v>1065.03837886067</v>
      </c>
      <c r="T8740" s="538">
        <v>15.7502</v>
      </c>
      <c r="U8740" s="538">
        <v>46.53</v>
      </c>
      <c r="V8740" s="538">
        <v>39.32</v>
      </c>
      <c r="Y8740" s="551"/>
    </row>
    <row r="8741" spans="1:25">
      <c r="A8741" s="499">
        <v>45804</v>
      </c>
      <c r="B8741" s="499">
        <v>45805</v>
      </c>
      <c r="C8741" s="500" t="s">
        <v>173</v>
      </c>
      <c r="D8741" s="500" t="s">
        <v>763</v>
      </c>
      <c r="E8741" s="501">
        <v>29013965.059999999</v>
      </c>
      <c r="F8741" s="502" t="s">
        <v>878</v>
      </c>
      <c r="G8741" s="100" t="s">
        <v>821</v>
      </c>
      <c r="H8741" s="100">
        <v>117212230</v>
      </c>
      <c r="I8741" s="422"/>
      <c r="K8741" s="548"/>
      <c r="L8741" s="548"/>
      <c r="M8741" s="548"/>
      <c r="N8741" s="552">
        <v>27260</v>
      </c>
      <c r="R8741" s="539">
        <v>1063.883</v>
      </c>
      <c r="S8741" s="539">
        <v>1064.3420785032999</v>
      </c>
      <c r="T8741" s="538">
        <v>15.7502</v>
      </c>
      <c r="U8741" s="538">
        <v>43.5</v>
      </c>
      <c r="V8741" s="538">
        <v>39.32</v>
      </c>
      <c r="Y8741" s="551"/>
    </row>
    <row r="8742" spans="1:25">
      <c r="A8742" s="499">
        <v>45804</v>
      </c>
      <c r="B8742" s="499">
        <v>45805</v>
      </c>
      <c r="C8742" s="500" t="s">
        <v>173</v>
      </c>
      <c r="D8742" s="500" t="s">
        <v>763</v>
      </c>
      <c r="E8742" s="501">
        <v>29021754.75</v>
      </c>
      <c r="F8742" s="502" t="s">
        <v>878</v>
      </c>
      <c r="G8742" s="100" t="s">
        <v>550</v>
      </c>
      <c r="H8742" s="100">
        <v>117212233</v>
      </c>
      <c r="I8742" s="422"/>
      <c r="K8742" s="548"/>
      <c r="L8742" s="548"/>
      <c r="M8742" s="548"/>
      <c r="N8742" s="552">
        <v>56260</v>
      </c>
      <c r="R8742" s="539">
        <v>515.62810000000002</v>
      </c>
      <c r="S8742" s="539">
        <v>515.85059989335195</v>
      </c>
      <c r="T8742" s="538">
        <v>15.7502</v>
      </c>
      <c r="U8742" s="538">
        <v>43.51</v>
      </c>
      <c r="V8742" s="538">
        <v>39.32</v>
      </c>
      <c r="Y8742" s="551"/>
    </row>
    <row r="8743" spans="1:25">
      <c r="A8743" s="499">
        <v>45804</v>
      </c>
      <c r="B8743" s="499">
        <v>45805</v>
      </c>
      <c r="C8743" s="500" t="s">
        <v>173</v>
      </c>
      <c r="D8743" s="500" t="s">
        <v>763</v>
      </c>
      <c r="E8743" s="501">
        <v>28036075.809999999</v>
      </c>
      <c r="F8743" s="502" t="s">
        <v>878</v>
      </c>
      <c r="G8743" s="100" t="s">
        <v>588</v>
      </c>
      <c r="H8743" s="100">
        <v>117212236</v>
      </c>
      <c r="I8743" s="422"/>
      <c r="K8743" s="548"/>
      <c r="L8743" s="548"/>
      <c r="M8743" s="548"/>
      <c r="N8743" s="552">
        <v>26320</v>
      </c>
      <c r="R8743" s="539">
        <v>1064.741</v>
      </c>
      <c r="S8743" s="539">
        <v>1065.2004487082099</v>
      </c>
      <c r="T8743" s="538">
        <v>15.7502</v>
      </c>
      <c r="U8743" s="538">
        <v>42.04</v>
      </c>
      <c r="V8743" s="538">
        <v>39.32</v>
      </c>
      <c r="Y8743" s="551"/>
    </row>
    <row r="8744" spans="1:25">
      <c r="A8744" s="499">
        <v>45804</v>
      </c>
      <c r="B8744" s="499">
        <v>45805</v>
      </c>
      <c r="C8744" s="500" t="s">
        <v>173</v>
      </c>
      <c r="D8744" s="500" t="s">
        <v>763</v>
      </c>
      <c r="E8744" s="501">
        <v>26028572.350000001</v>
      </c>
      <c r="F8744" s="502" t="s">
        <v>878</v>
      </c>
      <c r="G8744" s="100" t="s">
        <v>715</v>
      </c>
      <c r="H8744" s="100">
        <v>117212239</v>
      </c>
      <c r="I8744" s="422"/>
      <c r="K8744" s="548"/>
      <c r="L8744" s="548"/>
      <c r="M8744" s="548"/>
      <c r="N8744" s="552">
        <v>34242</v>
      </c>
      <c r="R8744" s="539">
        <v>759.80799999999999</v>
      </c>
      <c r="S8744" s="539">
        <v>760.13586677180103</v>
      </c>
      <c r="T8744" s="538">
        <v>15.7502</v>
      </c>
      <c r="U8744" s="538">
        <v>39.32</v>
      </c>
      <c r="V8744" s="538">
        <v>39.32</v>
      </c>
      <c r="Y8744" s="551"/>
    </row>
    <row r="8745" spans="1:25">
      <c r="A8745" s="499">
        <v>45804</v>
      </c>
      <c r="B8745" s="499">
        <v>45805</v>
      </c>
      <c r="C8745" s="500" t="s">
        <v>173</v>
      </c>
      <c r="D8745" s="500" t="s">
        <v>763</v>
      </c>
      <c r="E8745" s="501">
        <v>25027473.41</v>
      </c>
      <c r="F8745" s="502" t="s">
        <v>878</v>
      </c>
      <c r="G8745" s="100" t="s">
        <v>715</v>
      </c>
      <c r="H8745" s="100">
        <v>117212242</v>
      </c>
      <c r="I8745" s="422"/>
      <c r="K8745" s="548"/>
      <c r="L8745" s="548"/>
      <c r="M8745" s="548"/>
      <c r="N8745" s="552">
        <v>32925</v>
      </c>
      <c r="R8745" s="539">
        <v>759.80799999999999</v>
      </c>
      <c r="S8745" s="539">
        <v>760.13586666666697</v>
      </c>
      <c r="T8745" s="538">
        <v>15.7502</v>
      </c>
      <c r="U8745" s="538">
        <v>39.32</v>
      </c>
      <c r="V8745" s="538">
        <v>39.32</v>
      </c>
      <c r="Y8745" s="551"/>
    </row>
    <row r="8746" spans="1:25">
      <c r="A8746" s="499">
        <v>45804</v>
      </c>
      <c r="B8746" s="499">
        <v>45805</v>
      </c>
      <c r="C8746" s="500" t="s">
        <v>173</v>
      </c>
      <c r="D8746" s="500" t="s">
        <v>763</v>
      </c>
      <c r="E8746" s="501">
        <v>18013502.949999999</v>
      </c>
      <c r="F8746" s="502" t="s">
        <v>878</v>
      </c>
      <c r="G8746" s="100" t="s">
        <v>550</v>
      </c>
      <c r="H8746" s="100">
        <v>117212245</v>
      </c>
      <c r="I8746" s="422"/>
      <c r="K8746" s="548"/>
      <c r="L8746" s="548"/>
      <c r="M8746" s="548"/>
      <c r="N8746" s="552">
        <v>34920</v>
      </c>
      <c r="R8746" s="539">
        <v>515.62810000000002</v>
      </c>
      <c r="S8746" s="539">
        <v>515.85059994272603</v>
      </c>
      <c r="T8746" s="538">
        <v>15.7502</v>
      </c>
      <c r="U8746" s="538">
        <v>39.32</v>
      </c>
      <c r="V8746" s="538">
        <v>39.32</v>
      </c>
      <c r="Y8746" s="551"/>
    </row>
    <row r="8747" spans="1:25">
      <c r="A8747" s="499">
        <v>45804</v>
      </c>
      <c r="B8747" s="499">
        <v>45805</v>
      </c>
      <c r="C8747" s="500" t="s">
        <v>173</v>
      </c>
      <c r="D8747" s="500" t="s">
        <v>763</v>
      </c>
      <c r="E8747" s="501">
        <v>8006965.6100000003</v>
      </c>
      <c r="F8747" s="502" t="s">
        <v>878</v>
      </c>
      <c r="G8747" s="100" t="s">
        <v>658</v>
      </c>
      <c r="H8747" s="100">
        <v>117212248</v>
      </c>
      <c r="I8747" s="422"/>
      <c r="K8747" s="548"/>
      <c r="L8747" s="548"/>
      <c r="M8747" s="548"/>
      <c r="N8747" s="552">
        <v>8000</v>
      </c>
      <c r="R8747" s="539">
        <v>1000.439</v>
      </c>
      <c r="S8747" s="539">
        <v>1000.87070125</v>
      </c>
      <c r="T8747" s="538">
        <v>15.7502</v>
      </c>
      <c r="U8747" s="538">
        <v>39.32</v>
      </c>
      <c r="V8747" s="538">
        <v>39.32</v>
      </c>
      <c r="Y8747" s="551"/>
    </row>
    <row r="8748" spans="1:25">
      <c r="A8748" s="499">
        <v>45804</v>
      </c>
      <c r="B8748" s="499">
        <v>45805</v>
      </c>
      <c r="C8748" s="500" t="s">
        <v>173</v>
      </c>
      <c r="D8748" s="500" t="s">
        <v>763</v>
      </c>
      <c r="E8748" s="501">
        <v>4002541.12</v>
      </c>
      <c r="F8748" s="502" t="s">
        <v>878</v>
      </c>
      <c r="G8748" s="100" t="s">
        <v>673</v>
      </c>
      <c r="H8748" s="100">
        <v>117212251</v>
      </c>
      <c r="I8748" s="422"/>
      <c r="K8748" s="548"/>
      <c r="L8748" s="548"/>
      <c r="M8748" s="548"/>
      <c r="N8748" s="552">
        <v>4480</v>
      </c>
      <c r="R8748" s="539">
        <v>893.03899999999999</v>
      </c>
      <c r="S8748" s="539">
        <v>893.42435714285705</v>
      </c>
      <c r="T8748" s="538">
        <v>15.7502</v>
      </c>
      <c r="U8748" s="538">
        <v>39.32</v>
      </c>
      <c r="V8748" s="538">
        <v>39.32</v>
      </c>
      <c r="Y8748" s="551"/>
    </row>
    <row r="8749" spans="1:25">
      <c r="A8749" s="499">
        <v>45804</v>
      </c>
      <c r="B8749" s="499">
        <v>45805</v>
      </c>
      <c r="C8749" s="500" t="s">
        <v>173</v>
      </c>
      <c r="D8749" s="500" t="s">
        <v>763</v>
      </c>
      <c r="E8749" s="501">
        <v>17012214.23</v>
      </c>
      <c r="F8749" s="502" t="s">
        <v>878</v>
      </c>
      <c r="G8749" s="100" t="s">
        <v>833</v>
      </c>
      <c r="H8749" s="100">
        <v>117212254</v>
      </c>
      <c r="I8749" s="422"/>
      <c r="K8749" s="548"/>
      <c r="L8749" s="548"/>
      <c r="M8749" s="548"/>
      <c r="N8749" s="552">
        <v>29920</v>
      </c>
      <c r="R8749" s="539">
        <v>568.34479999999996</v>
      </c>
      <c r="S8749" s="539">
        <v>568.59004779411805</v>
      </c>
      <c r="T8749" s="538">
        <v>15.7502</v>
      </c>
      <c r="U8749" s="538">
        <v>39.32</v>
      </c>
      <c r="V8749" s="538">
        <v>39.32</v>
      </c>
      <c r="Y8749" s="551"/>
    </row>
    <row r="8750" spans="1:25">
      <c r="A8750" s="499">
        <v>45804</v>
      </c>
      <c r="B8750" s="499">
        <v>45805</v>
      </c>
      <c r="C8750" s="500" t="s">
        <v>173</v>
      </c>
      <c r="D8750" s="500" t="s">
        <v>763</v>
      </c>
      <c r="E8750" s="501">
        <v>110079033.25</v>
      </c>
      <c r="F8750" s="502" t="s">
        <v>878</v>
      </c>
      <c r="G8750" s="100" t="s">
        <v>833</v>
      </c>
      <c r="H8750" s="100">
        <v>117212257</v>
      </c>
      <c r="I8750" s="422"/>
      <c r="K8750" s="548"/>
      <c r="L8750" s="548"/>
      <c r="M8750" s="548"/>
      <c r="N8750" s="552">
        <v>193600</v>
      </c>
      <c r="R8750" s="539">
        <v>568.34479999999996</v>
      </c>
      <c r="S8750" s="539">
        <v>568.59004777892596</v>
      </c>
      <c r="T8750" s="538">
        <v>15.7502</v>
      </c>
      <c r="U8750" s="538">
        <v>165.05</v>
      </c>
      <c r="V8750" s="538">
        <v>82.52</v>
      </c>
      <c r="Y8750" s="551"/>
    </row>
    <row r="8751" spans="1:25">
      <c r="A8751" s="499">
        <v>45804</v>
      </c>
      <c r="B8751" s="499">
        <v>45805</v>
      </c>
      <c r="C8751" s="500" t="s">
        <v>173</v>
      </c>
      <c r="D8751" s="500" t="s">
        <v>763</v>
      </c>
      <c r="E8751" s="501">
        <v>181130045.63</v>
      </c>
      <c r="F8751" s="502" t="s">
        <v>878</v>
      </c>
      <c r="G8751" s="100" t="s">
        <v>833</v>
      </c>
      <c r="H8751" s="100">
        <v>117212260</v>
      </c>
      <c r="I8751" s="422"/>
      <c r="K8751" s="548"/>
      <c r="L8751" s="548"/>
      <c r="M8751" s="548"/>
      <c r="N8751" s="552">
        <v>318560</v>
      </c>
      <c r="R8751" s="539">
        <v>568.34479999999996</v>
      </c>
      <c r="S8751" s="539">
        <v>568.59004780888995</v>
      </c>
      <c r="T8751" s="538">
        <v>15.7502</v>
      </c>
      <c r="U8751" s="538">
        <v>271.58</v>
      </c>
      <c r="V8751" s="538">
        <v>135.79</v>
      </c>
      <c r="Y8751" s="551"/>
    </row>
    <row r="8752" spans="1:25">
      <c r="A8752" s="499">
        <v>45804</v>
      </c>
      <c r="B8752" s="499">
        <v>45805</v>
      </c>
      <c r="C8752" s="500" t="s">
        <v>173</v>
      </c>
      <c r="D8752" s="500" t="s">
        <v>763</v>
      </c>
      <c r="E8752" s="501">
        <v>90078363.159999996</v>
      </c>
      <c r="F8752" s="502" t="s">
        <v>878</v>
      </c>
      <c r="G8752" s="100" t="s">
        <v>658</v>
      </c>
      <c r="H8752" s="100">
        <v>117212263</v>
      </c>
      <c r="I8752" s="422"/>
      <c r="K8752" s="548"/>
      <c r="L8752" s="548"/>
      <c r="M8752" s="548"/>
      <c r="N8752" s="552">
        <v>90000</v>
      </c>
      <c r="R8752" s="539">
        <v>1000.439</v>
      </c>
      <c r="S8752" s="539">
        <v>1000.87070177778</v>
      </c>
      <c r="T8752" s="538">
        <v>15.7502</v>
      </c>
      <c r="U8752" s="538">
        <v>135.06</v>
      </c>
      <c r="V8752" s="538">
        <v>67.53</v>
      </c>
      <c r="Y8752" s="551"/>
    </row>
    <row r="8753" spans="1:25">
      <c r="A8753" s="499">
        <v>45804</v>
      </c>
      <c r="B8753" s="499">
        <v>45805</v>
      </c>
      <c r="C8753" s="500" t="s">
        <v>173</v>
      </c>
      <c r="D8753" s="500" t="s">
        <v>763</v>
      </c>
      <c r="E8753" s="501">
        <v>16013693.4</v>
      </c>
      <c r="F8753" s="502" t="s">
        <v>878</v>
      </c>
      <c r="G8753" s="100" t="s">
        <v>656</v>
      </c>
      <c r="H8753" s="100">
        <v>117212266</v>
      </c>
      <c r="I8753" s="422"/>
      <c r="K8753" s="548"/>
      <c r="L8753" s="548"/>
      <c r="M8753" s="548"/>
      <c r="N8753" s="552">
        <v>15968</v>
      </c>
      <c r="R8753" s="539">
        <v>1002.429</v>
      </c>
      <c r="S8753" s="539">
        <v>1002.86156062124</v>
      </c>
      <c r="T8753" s="538">
        <v>15.7502</v>
      </c>
      <c r="U8753" s="538">
        <v>39.32</v>
      </c>
      <c r="V8753" s="538">
        <v>39.32</v>
      </c>
      <c r="Y8753" s="551"/>
    </row>
    <row r="8754" spans="1:25">
      <c r="A8754" s="499">
        <v>45804</v>
      </c>
      <c r="B8754" s="499">
        <v>45805</v>
      </c>
      <c r="C8754" s="500" t="s">
        <v>173</v>
      </c>
      <c r="D8754" s="500" t="s">
        <v>763</v>
      </c>
      <c r="E8754" s="501">
        <v>30025675.120000001</v>
      </c>
      <c r="F8754" s="502" t="s">
        <v>878</v>
      </c>
      <c r="G8754" s="100" t="s">
        <v>656</v>
      </c>
      <c r="H8754" s="100">
        <v>117212269</v>
      </c>
      <c r="I8754" s="422"/>
      <c r="K8754" s="548"/>
      <c r="L8754" s="548"/>
      <c r="M8754" s="548"/>
      <c r="N8754" s="552">
        <v>29940</v>
      </c>
      <c r="R8754" s="539">
        <v>1002.429</v>
      </c>
      <c r="S8754" s="539">
        <v>1002.86156045424</v>
      </c>
      <c r="T8754" s="538">
        <v>15.7502</v>
      </c>
      <c r="U8754" s="538">
        <v>45.02</v>
      </c>
      <c r="V8754" s="538">
        <v>39.32</v>
      </c>
      <c r="Y8754" s="551"/>
    </row>
    <row r="8755" spans="1:25">
      <c r="A8755" s="499">
        <v>45804</v>
      </c>
      <c r="B8755" s="499">
        <v>45805</v>
      </c>
      <c r="C8755" s="500" t="s">
        <v>173</v>
      </c>
      <c r="D8755" s="500" t="s">
        <v>763</v>
      </c>
      <c r="E8755" s="501">
        <v>96126485.609999999</v>
      </c>
      <c r="F8755" s="502" t="s">
        <v>878</v>
      </c>
      <c r="G8755" s="100" t="s">
        <v>590</v>
      </c>
      <c r="H8755" s="100">
        <v>117212272</v>
      </c>
      <c r="I8755" s="422"/>
      <c r="K8755" s="548"/>
      <c r="L8755" s="548"/>
      <c r="M8755" s="548"/>
      <c r="N8755" s="552">
        <v>102912</v>
      </c>
      <c r="R8755" s="539">
        <v>933.66200000000003</v>
      </c>
      <c r="S8755" s="539">
        <v>934.06488660214598</v>
      </c>
      <c r="T8755" s="538">
        <v>15.7502</v>
      </c>
      <c r="U8755" s="538">
        <v>144.13</v>
      </c>
      <c r="V8755" s="538">
        <v>72.06</v>
      </c>
      <c r="Y8755" s="551"/>
    </row>
    <row r="8756" spans="1:25">
      <c r="A8756" s="499">
        <v>45804</v>
      </c>
      <c r="B8756" s="499">
        <v>45805</v>
      </c>
      <c r="C8756" s="500" t="s">
        <v>173</v>
      </c>
      <c r="D8756" s="500" t="s">
        <v>763</v>
      </c>
      <c r="E8756" s="501">
        <v>34044796.990000002</v>
      </c>
      <c r="F8756" s="502" t="s">
        <v>878</v>
      </c>
      <c r="G8756" s="100" t="s">
        <v>590</v>
      </c>
      <c r="H8756" s="100">
        <v>117212275</v>
      </c>
      <c r="I8756" s="422"/>
      <c r="K8756" s="548"/>
      <c r="L8756" s="548"/>
      <c r="M8756" s="548"/>
      <c r="N8756" s="552">
        <v>36448</v>
      </c>
      <c r="R8756" s="539">
        <v>933.66200000000003</v>
      </c>
      <c r="S8756" s="539">
        <v>934.06488668788404</v>
      </c>
      <c r="T8756" s="538">
        <v>15.7502</v>
      </c>
      <c r="U8756" s="538">
        <v>51.05</v>
      </c>
      <c r="V8756" s="538">
        <v>39.32</v>
      </c>
      <c r="Y8756" s="551"/>
    </row>
    <row r="8757" spans="1:25">
      <c r="A8757" s="499">
        <v>45804</v>
      </c>
      <c r="B8757" s="499">
        <v>45805</v>
      </c>
      <c r="C8757" s="500" t="s">
        <v>173</v>
      </c>
      <c r="D8757" s="500" t="s">
        <v>763</v>
      </c>
      <c r="E8757" s="501">
        <v>136153866.88999999</v>
      </c>
      <c r="F8757" s="502" t="s">
        <v>878</v>
      </c>
      <c r="G8757" s="100" t="s">
        <v>687</v>
      </c>
      <c r="H8757" s="100">
        <v>117212278</v>
      </c>
      <c r="I8757" s="422"/>
      <c r="K8757" s="548"/>
      <c r="L8757" s="548"/>
      <c r="M8757" s="548"/>
      <c r="N8757" s="552">
        <v>159936</v>
      </c>
      <c r="R8757" s="539">
        <v>850.93499999999995</v>
      </c>
      <c r="S8757" s="539">
        <v>851.30218893807501</v>
      </c>
      <c r="T8757" s="538">
        <v>15.7502</v>
      </c>
      <c r="U8757" s="538">
        <v>204.14</v>
      </c>
      <c r="V8757" s="538">
        <v>102.07</v>
      </c>
      <c r="Y8757" s="551"/>
    </row>
    <row r="8758" spans="1:25">
      <c r="A8758" s="499">
        <v>45804</v>
      </c>
      <c r="B8758" s="499">
        <v>45805</v>
      </c>
      <c r="C8758" s="500" t="s">
        <v>173</v>
      </c>
      <c r="D8758" s="500" t="s">
        <v>763</v>
      </c>
      <c r="E8758" s="501">
        <v>371215246.94</v>
      </c>
      <c r="F8758" s="502" t="s">
        <v>878</v>
      </c>
      <c r="G8758" s="100" t="s">
        <v>631</v>
      </c>
      <c r="H8758" s="100">
        <v>117212281</v>
      </c>
      <c r="I8758" s="422"/>
      <c r="K8758" s="548"/>
      <c r="L8758" s="548"/>
      <c r="M8758" s="548"/>
      <c r="N8758" s="552">
        <v>810264</v>
      </c>
      <c r="R8758" s="539">
        <v>457.94349999999997</v>
      </c>
      <c r="S8758" s="539">
        <v>458.14110825607497</v>
      </c>
      <c r="T8758" s="538">
        <v>15.7502</v>
      </c>
      <c r="U8758" s="538">
        <v>556.58000000000004</v>
      </c>
      <c r="V8758" s="538">
        <v>278.29000000000002</v>
      </c>
      <c r="Y8758" s="551"/>
    </row>
    <row r="8759" spans="1:25">
      <c r="A8759" s="499">
        <v>45804</v>
      </c>
      <c r="B8759" s="499">
        <v>45805</v>
      </c>
      <c r="C8759" s="500" t="s">
        <v>173</v>
      </c>
      <c r="D8759" s="500" t="s">
        <v>763</v>
      </c>
      <c r="E8759" s="501">
        <v>39026078.659999996</v>
      </c>
      <c r="F8759" s="502" t="s">
        <v>878</v>
      </c>
      <c r="G8759" s="100" t="s">
        <v>1013</v>
      </c>
      <c r="H8759" s="100">
        <v>117212284</v>
      </c>
      <c r="I8759" s="422"/>
      <c r="K8759" s="548"/>
      <c r="L8759" s="548"/>
      <c r="M8759" s="548"/>
      <c r="N8759" s="552">
        <v>79677</v>
      </c>
      <c r="R8759" s="539">
        <v>489.59230000000002</v>
      </c>
      <c r="S8759" s="539">
        <v>489.80356514427001</v>
      </c>
      <c r="T8759" s="538">
        <v>15.7502</v>
      </c>
      <c r="U8759" s="538">
        <v>58.51</v>
      </c>
      <c r="V8759" s="538">
        <v>39.32</v>
      </c>
      <c r="Y8759" s="551"/>
    </row>
    <row r="8760" spans="1:25">
      <c r="A8760" s="499">
        <v>45804</v>
      </c>
      <c r="B8760" s="499">
        <v>45805</v>
      </c>
      <c r="C8760" s="500" t="s">
        <v>173</v>
      </c>
      <c r="D8760" s="500" t="s">
        <v>763</v>
      </c>
      <c r="E8760" s="501">
        <v>27016204.800000001</v>
      </c>
      <c r="F8760" s="502" t="s">
        <v>878</v>
      </c>
      <c r="G8760" s="100" t="s">
        <v>633</v>
      </c>
      <c r="H8760" s="100">
        <v>117212287</v>
      </c>
      <c r="I8760" s="422"/>
      <c r="K8760" s="548"/>
      <c r="L8760" s="548"/>
      <c r="M8760" s="548"/>
      <c r="N8760" s="552">
        <v>51975</v>
      </c>
      <c r="R8760" s="539">
        <v>519.56809999999996</v>
      </c>
      <c r="S8760" s="539">
        <v>519.79230014430004</v>
      </c>
      <c r="T8760" s="538">
        <v>15.7502</v>
      </c>
      <c r="U8760" s="538">
        <v>40.51</v>
      </c>
      <c r="V8760" s="538">
        <v>39.32</v>
      </c>
      <c r="Y8760" s="551"/>
    </row>
    <row r="8761" spans="1:25">
      <c r="A8761" s="499">
        <v>45804</v>
      </c>
      <c r="B8761" s="499">
        <v>45805</v>
      </c>
      <c r="C8761" s="500" t="s">
        <v>173</v>
      </c>
      <c r="D8761" s="500" t="s">
        <v>763</v>
      </c>
      <c r="E8761" s="501">
        <v>2535477169.0599999</v>
      </c>
      <c r="F8761" s="502" t="s">
        <v>878</v>
      </c>
      <c r="G8761" s="100" t="s">
        <v>1051</v>
      </c>
      <c r="H8761" s="100">
        <v>117212290</v>
      </c>
      <c r="I8761" s="422"/>
      <c r="K8761" s="548"/>
      <c r="L8761" s="548"/>
      <c r="M8761" s="548"/>
      <c r="N8761" s="552">
        <v>2460514</v>
      </c>
      <c r="R8761" s="539">
        <v>1030.0219999999999</v>
      </c>
      <c r="S8761" s="539">
        <v>1030.4664671934399</v>
      </c>
      <c r="T8761" s="538">
        <v>15.7502</v>
      </c>
      <c r="U8761" s="538">
        <v>3801.58</v>
      </c>
      <c r="V8761" s="538">
        <v>1900.79</v>
      </c>
      <c r="Y8761" s="551"/>
    </row>
    <row r="8762" spans="1:25">
      <c r="A8762" s="499">
        <v>45804</v>
      </c>
      <c r="B8762" s="499">
        <v>45805</v>
      </c>
      <c r="C8762" s="500" t="s">
        <v>173</v>
      </c>
      <c r="D8762" s="500" t="s">
        <v>763</v>
      </c>
      <c r="E8762" s="501">
        <v>32019293.190000001</v>
      </c>
      <c r="F8762" s="502" t="s">
        <v>878</v>
      </c>
      <c r="G8762" s="100" t="s">
        <v>633</v>
      </c>
      <c r="H8762" s="100">
        <v>117212425</v>
      </c>
      <c r="I8762" s="422"/>
      <c r="K8762" s="548"/>
      <c r="L8762" s="548"/>
      <c r="M8762" s="548"/>
      <c r="N8762" s="552">
        <v>61600</v>
      </c>
      <c r="R8762" s="539">
        <v>519.56809999999996</v>
      </c>
      <c r="S8762" s="539">
        <v>519.79372061688298</v>
      </c>
      <c r="T8762" s="538">
        <v>15.85</v>
      </c>
      <c r="U8762" s="538">
        <v>48.01</v>
      </c>
      <c r="V8762" s="538">
        <v>39.32</v>
      </c>
      <c r="Y8762" s="551"/>
    </row>
    <row r="8763" spans="1:25">
      <c r="A8763" s="499">
        <v>45805</v>
      </c>
      <c r="B8763" s="499">
        <v>45805</v>
      </c>
      <c r="C8763" s="500" t="s">
        <v>173</v>
      </c>
      <c r="D8763" s="500" t="s">
        <v>762</v>
      </c>
      <c r="E8763" s="501">
        <v>-4607418216.5500002</v>
      </c>
      <c r="F8763" s="502" t="s">
        <v>878</v>
      </c>
      <c r="G8763" s="100" t="s">
        <v>1013</v>
      </c>
      <c r="H8763" s="530"/>
      <c r="I8763" s="422"/>
      <c r="K8763" s="548"/>
      <c r="L8763" s="548"/>
      <c r="M8763" s="548"/>
      <c r="N8763" s="552">
        <v>9375245</v>
      </c>
      <c r="R8763" s="558">
        <v>491.44510000000002</v>
      </c>
      <c r="S8763" s="558">
        <v>491.65514228908199</v>
      </c>
      <c r="T8763" s="538">
        <v>15.6</v>
      </c>
      <c r="U8763" s="538">
        <v>6911.13</v>
      </c>
      <c r="V8763" s="538">
        <v>3455.56</v>
      </c>
      <c r="Y8763" s="551"/>
    </row>
    <row r="8764" spans="1:25">
      <c r="A8764" s="499">
        <v>45805</v>
      </c>
      <c r="B8764" s="499">
        <v>45805</v>
      </c>
      <c r="C8764" s="500" t="s">
        <v>173</v>
      </c>
      <c r="D8764" s="500" t="s">
        <v>762</v>
      </c>
      <c r="E8764" s="501">
        <v>-27023767.100000001</v>
      </c>
      <c r="F8764" s="502" t="s">
        <v>878</v>
      </c>
      <c r="G8764" s="100" t="s">
        <v>602</v>
      </c>
      <c r="H8764" s="530"/>
      <c r="I8764" s="422"/>
      <c r="K8764" s="548"/>
      <c r="L8764" s="548"/>
      <c r="M8764" s="548"/>
      <c r="N8764" s="552">
        <v>29943</v>
      </c>
      <c r="R8764" s="558">
        <v>902.50699999999995</v>
      </c>
      <c r="S8764" s="558">
        <v>902.89297632167802</v>
      </c>
      <c r="T8764" s="538">
        <v>15.61</v>
      </c>
      <c r="U8764" s="538">
        <v>40.54</v>
      </c>
      <c r="V8764" s="538">
        <v>20.27</v>
      </c>
      <c r="Y8764" s="551"/>
    </row>
    <row r="8765" spans="1:25">
      <c r="A8765" s="499">
        <v>45805</v>
      </c>
      <c r="B8765" s="499">
        <v>45806</v>
      </c>
      <c r="C8765" s="500" t="s">
        <v>173</v>
      </c>
      <c r="D8765" s="500" t="s">
        <v>762</v>
      </c>
      <c r="E8765" s="501">
        <v>4609387414.4700003</v>
      </c>
      <c r="F8765" s="502" t="s">
        <v>878</v>
      </c>
      <c r="G8765" s="100" t="s">
        <v>1013</v>
      </c>
      <c r="H8765" s="484">
        <v>117236028</v>
      </c>
      <c r="I8765" s="422"/>
      <c r="K8765" s="548"/>
      <c r="L8765" s="548"/>
      <c r="M8765" s="548"/>
      <c r="N8765" s="552">
        <v>9375245</v>
      </c>
      <c r="R8765" s="558">
        <v>491.44510000000002</v>
      </c>
      <c r="S8765" s="558">
        <v>491.65514228908199</v>
      </c>
      <c r="T8765" s="538">
        <v>15.6</v>
      </c>
      <c r="U8765" s="538">
        <v>6911.13</v>
      </c>
      <c r="V8765" s="538">
        <v>3455.56</v>
      </c>
      <c r="Y8765" s="551"/>
    </row>
    <row r="8766" spans="1:25">
      <c r="A8766" s="499">
        <v>45805</v>
      </c>
      <c r="B8766" s="499">
        <v>45806</v>
      </c>
      <c r="C8766" s="500" t="s">
        <v>173</v>
      </c>
      <c r="D8766" s="500" t="s">
        <v>762</v>
      </c>
      <c r="E8766" s="501">
        <v>27035324.390000001</v>
      </c>
      <c r="F8766" s="502" t="s">
        <v>878</v>
      </c>
      <c r="G8766" s="100" t="s">
        <v>602</v>
      </c>
      <c r="H8766" s="484">
        <v>117236192</v>
      </c>
      <c r="I8766" s="422"/>
      <c r="K8766" s="548"/>
      <c r="L8766" s="548"/>
      <c r="M8766" s="548"/>
      <c r="N8766" s="552">
        <v>29943</v>
      </c>
      <c r="R8766" s="558">
        <v>902.50699999999995</v>
      </c>
      <c r="S8766" s="558">
        <v>902.89297632167802</v>
      </c>
      <c r="T8766" s="538">
        <v>15.61</v>
      </c>
      <c r="U8766" s="538">
        <v>40.54</v>
      </c>
      <c r="V8766" s="538">
        <v>20.27</v>
      </c>
      <c r="Y8766" s="551"/>
    </row>
    <row r="8767" spans="1:25">
      <c r="A8767" s="499">
        <v>45805</v>
      </c>
      <c r="B8767" s="499">
        <v>45805</v>
      </c>
      <c r="C8767" s="500" t="s">
        <v>173</v>
      </c>
      <c r="D8767" s="500" t="s">
        <v>761</v>
      </c>
      <c r="E8767" s="501">
        <v>-1302946686.8</v>
      </c>
      <c r="F8767" s="502" t="s">
        <v>878</v>
      </c>
      <c r="G8767" s="100" t="s">
        <v>674</v>
      </c>
      <c r="H8767" s="530"/>
      <c r="I8767" s="422"/>
      <c r="K8767" s="548"/>
      <c r="L8767" s="548"/>
      <c r="M8767" s="548"/>
      <c r="N8767" s="552">
        <v>1407462</v>
      </c>
      <c r="R8767" s="539">
        <v>925.74199999715802</v>
      </c>
      <c r="S8767" s="539">
        <v>926.12244191317404</v>
      </c>
      <c r="T8767" s="538">
        <v>15</v>
      </c>
      <c r="U8767" s="538">
        <v>1954.42</v>
      </c>
      <c r="V8767" s="538">
        <v>977.21</v>
      </c>
      <c r="Y8767" s="551"/>
    </row>
    <row r="8768" spans="1:25">
      <c r="A8768" s="499">
        <v>45805</v>
      </c>
      <c r="B8768" s="499">
        <v>45805</v>
      </c>
      <c r="C8768" s="500" t="s">
        <v>173</v>
      </c>
      <c r="D8768" s="500" t="s">
        <v>761</v>
      </c>
      <c r="E8768" s="501">
        <v>-6004362.6100000003</v>
      </c>
      <c r="F8768" s="502" t="s">
        <v>878</v>
      </c>
      <c r="G8768" s="100" t="s">
        <v>674</v>
      </c>
      <c r="H8768" s="530"/>
      <c r="I8768" s="422"/>
      <c r="K8768" s="548"/>
      <c r="L8768" s="548"/>
      <c r="M8768" s="548"/>
      <c r="N8768" s="552">
        <v>6486</v>
      </c>
      <c r="R8768" s="539">
        <v>925.74199969164363</v>
      </c>
      <c r="S8768" s="539">
        <v>926.12244218316403</v>
      </c>
      <c r="T8768" s="538">
        <v>15</v>
      </c>
      <c r="U8768" s="538">
        <v>39.32</v>
      </c>
      <c r="V8768" s="538">
        <v>4.5</v>
      </c>
      <c r="Y8768" s="551"/>
    </row>
    <row r="8769" spans="1:25">
      <c r="A8769" s="499">
        <v>45805</v>
      </c>
      <c r="B8769" s="499">
        <v>45806</v>
      </c>
      <c r="C8769" s="500" t="s">
        <v>173</v>
      </c>
      <c r="D8769" s="500" t="s">
        <v>761</v>
      </c>
      <c r="E8769" s="501">
        <v>1303482144.3399999</v>
      </c>
      <c r="F8769" s="502" t="s">
        <v>878</v>
      </c>
      <c r="G8769" s="100" t="s">
        <v>674</v>
      </c>
      <c r="H8769" s="100">
        <v>117242505</v>
      </c>
      <c r="I8769" s="422"/>
      <c r="K8769" s="548"/>
      <c r="L8769" s="548"/>
      <c r="M8769" s="548"/>
      <c r="N8769" s="552">
        <v>1407462</v>
      </c>
      <c r="R8769" s="539">
        <v>925.74199999715802</v>
      </c>
      <c r="S8769" s="539">
        <v>926.12244191317404</v>
      </c>
      <c r="T8769" s="538">
        <v>15</v>
      </c>
      <c r="U8769" s="538">
        <v>1954.42</v>
      </c>
      <c r="V8769" s="538">
        <v>977.21</v>
      </c>
      <c r="Y8769" s="551"/>
    </row>
    <row r="8770" spans="1:25">
      <c r="A8770" s="499">
        <v>45805</v>
      </c>
      <c r="B8770" s="499">
        <v>45806</v>
      </c>
      <c r="C8770" s="500" t="s">
        <v>173</v>
      </c>
      <c r="D8770" s="500" t="s">
        <v>761</v>
      </c>
      <c r="E8770" s="501">
        <v>6006830.1600000001</v>
      </c>
      <c r="F8770" s="502" t="s">
        <v>878</v>
      </c>
      <c r="G8770" s="100" t="s">
        <v>674</v>
      </c>
      <c r="H8770" s="100">
        <v>117242519</v>
      </c>
      <c r="I8770" s="422"/>
      <c r="K8770" s="548"/>
      <c r="L8770" s="548"/>
      <c r="M8770" s="548"/>
      <c r="N8770" s="552">
        <v>6486</v>
      </c>
      <c r="R8770" s="539">
        <v>925.74199969164363</v>
      </c>
      <c r="S8770" s="539">
        <v>926.12244218316403</v>
      </c>
      <c r="T8770" s="538">
        <v>15</v>
      </c>
      <c r="U8770" s="538">
        <v>39.32</v>
      </c>
      <c r="V8770" s="538">
        <v>4.5</v>
      </c>
      <c r="Y8770" s="551"/>
    </row>
    <row r="8771" spans="1:25">
      <c r="A8771" s="499">
        <v>45805</v>
      </c>
      <c r="B8771" s="499">
        <v>45805</v>
      </c>
      <c r="C8771" s="500" t="s">
        <v>173</v>
      </c>
      <c r="D8771" s="500" t="s">
        <v>759</v>
      </c>
      <c r="E8771" s="501">
        <v>-1991333596.03</v>
      </c>
      <c r="F8771" s="502" t="s">
        <v>878</v>
      </c>
      <c r="G8771" s="100" t="s">
        <v>633</v>
      </c>
      <c r="H8771" s="530"/>
      <c r="I8771" s="422"/>
      <c r="K8771" s="548"/>
      <c r="L8771" s="548"/>
      <c r="M8771" s="548"/>
      <c r="N8771" s="552">
        <v>3822720</v>
      </c>
      <c r="R8771" s="539">
        <v>520.92059999947685</v>
      </c>
      <c r="S8771" s="539">
        <v>521.14538080738305</v>
      </c>
      <c r="T8771" s="538">
        <v>15.75</v>
      </c>
      <c r="U8771" s="538">
        <v>2987</v>
      </c>
      <c r="V8771" s="538">
        <v>1493.5</v>
      </c>
      <c r="Y8771" s="551"/>
    </row>
    <row r="8772" spans="1:25">
      <c r="A8772" s="499">
        <v>45805</v>
      </c>
      <c r="B8772" s="499">
        <v>45805</v>
      </c>
      <c r="C8772" s="500" t="s">
        <v>173</v>
      </c>
      <c r="D8772" s="500" t="s">
        <v>759</v>
      </c>
      <c r="E8772" s="501">
        <v>-11001843.07</v>
      </c>
      <c r="F8772" s="502" t="s">
        <v>878</v>
      </c>
      <c r="G8772" s="100" t="s">
        <v>633</v>
      </c>
      <c r="H8772" s="530"/>
      <c r="I8772" s="422"/>
      <c r="K8772" s="548"/>
      <c r="L8772" s="548"/>
      <c r="M8772" s="548"/>
      <c r="N8772" s="552">
        <v>21120</v>
      </c>
      <c r="R8772" s="539">
        <v>520.92059990530299</v>
      </c>
      <c r="S8772" s="539">
        <v>521.14538068181798</v>
      </c>
      <c r="T8772" s="538">
        <v>15.75</v>
      </c>
      <c r="U8772" s="538">
        <v>39.32</v>
      </c>
      <c r="V8772" s="538">
        <v>8.25</v>
      </c>
      <c r="Y8772" s="551"/>
    </row>
    <row r="8773" spans="1:25">
      <c r="A8773" s="499">
        <v>45805</v>
      </c>
      <c r="B8773" s="499">
        <v>45806</v>
      </c>
      <c r="C8773" s="500" t="s">
        <v>173</v>
      </c>
      <c r="D8773" s="500" t="s">
        <v>759</v>
      </c>
      <c r="E8773" s="501">
        <v>1992192870.1199999</v>
      </c>
      <c r="F8773" s="502" t="s">
        <v>878</v>
      </c>
      <c r="G8773" s="100" t="s">
        <v>633</v>
      </c>
      <c r="H8773" s="100">
        <v>117234541</v>
      </c>
      <c r="I8773" s="422"/>
      <c r="K8773" s="548"/>
      <c r="L8773" s="548"/>
      <c r="M8773" s="548"/>
      <c r="N8773" s="552">
        <v>3822720</v>
      </c>
      <c r="R8773" s="539">
        <v>520.92059999947685</v>
      </c>
      <c r="S8773" s="539">
        <v>521.14538080738305</v>
      </c>
      <c r="T8773" s="538">
        <v>15.75</v>
      </c>
      <c r="U8773" s="538">
        <v>2987</v>
      </c>
      <c r="V8773" s="538">
        <v>1493.5</v>
      </c>
      <c r="Y8773" s="551"/>
    </row>
    <row r="8774" spans="1:25">
      <c r="A8774" s="499">
        <v>45805</v>
      </c>
      <c r="B8774" s="499">
        <v>45806</v>
      </c>
      <c r="C8774" s="500" t="s">
        <v>173</v>
      </c>
      <c r="D8774" s="500" t="s">
        <v>759</v>
      </c>
      <c r="E8774" s="501">
        <v>11006590.439999999</v>
      </c>
      <c r="F8774" s="502" t="s">
        <v>878</v>
      </c>
      <c r="G8774" s="100" t="s">
        <v>633</v>
      </c>
      <c r="H8774" s="100">
        <v>117234792</v>
      </c>
      <c r="I8774" s="422"/>
      <c r="K8774" s="548"/>
      <c r="L8774" s="548"/>
      <c r="M8774" s="548"/>
      <c r="N8774" s="552">
        <v>21120</v>
      </c>
      <c r="R8774" s="539">
        <v>520.92059990530299</v>
      </c>
      <c r="S8774" s="539">
        <v>521.14538068181798</v>
      </c>
      <c r="T8774" s="538">
        <v>15.75</v>
      </c>
      <c r="U8774" s="538">
        <v>39.32</v>
      </c>
      <c r="V8774" s="538">
        <v>8.25</v>
      </c>
      <c r="Y8774" s="551"/>
    </row>
    <row r="8775" spans="1:25">
      <c r="A8775" s="499">
        <v>45805</v>
      </c>
      <c r="B8775" s="499">
        <v>45805</v>
      </c>
      <c r="C8775" s="500" t="s">
        <v>173</v>
      </c>
      <c r="D8775" s="500" t="s">
        <v>763</v>
      </c>
      <c r="E8775" s="501">
        <v>-3703620445.0599999</v>
      </c>
      <c r="F8775" s="502" t="s">
        <v>878</v>
      </c>
      <c r="G8775" s="100" t="s">
        <v>633</v>
      </c>
      <c r="H8775" s="530"/>
      <c r="I8775" s="422"/>
      <c r="K8775" s="548"/>
      <c r="L8775" s="548"/>
      <c r="M8775" s="548"/>
      <c r="N8775" s="552">
        <v>7109760</v>
      </c>
      <c r="R8775" s="539">
        <v>520.92060000000004</v>
      </c>
      <c r="S8775" s="539">
        <v>521.145382235125</v>
      </c>
      <c r="T8775" s="538">
        <v>15.7501</v>
      </c>
      <c r="U8775" s="538">
        <v>5555.43</v>
      </c>
      <c r="V8775" s="538">
        <v>2777.72</v>
      </c>
      <c r="Y8775" s="551"/>
    </row>
    <row r="8776" spans="1:25">
      <c r="A8776" s="499">
        <v>45805</v>
      </c>
      <c r="B8776" s="499">
        <v>45805</v>
      </c>
      <c r="C8776" s="500" t="s">
        <v>173</v>
      </c>
      <c r="D8776" s="500" t="s">
        <v>763</v>
      </c>
      <c r="E8776" s="501">
        <v>-2128968142.3199999</v>
      </c>
      <c r="F8776" s="502" t="s">
        <v>878</v>
      </c>
      <c r="G8776" s="100" t="s">
        <v>805</v>
      </c>
      <c r="H8776" s="530"/>
      <c r="I8776" s="422"/>
      <c r="K8776" s="548"/>
      <c r="L8776" s="548"/>
      <c r="M8776" s="548"/>
      <c r="N8776" s="552">
        <v>3977232</v>
      </c>
      <c r="R8776" s="539">
        <v>535.28890000000001</v>
      </c>
      <c r="S8776" s="539">
        <v>535.51988082666503</v>
      </c>
      <c r="T8776" s="538">
        <v>15.75</v>
      </c>
      <c r="U8776" s="538">
        <v>3193.45</v>
      </c>
      <c r="V8776" s="538">
        <v>1596.73</v>
      </c>
      <c r="Y8776" s="551"/>
    </row>
    <row r="8777" spans="1:25">
      <c r="A8777" s="499">
        <v>45805</v>
      </c>
      <c r="B8777" s="499">
        <v>45805</v>
      </c>
      <c r="C8777" s="500" t="s">
        <v>173</v>
      </c>
      <c r="D8777" s="500" t="s">
        <v>763</v>
      </c>
      <c r="E8777" s="501">
        <v>-33015013.489999998</v>
      </c>
      <c r="F8777" s="502" t="s">
        <v>878</v>
      </c>
      <c r="G8777" s="100" t="s">
        <v>805</v>
      </c>
      <c r="H8777" s="530"/>
      <c r="I8777" s="422"/>
      <c r="K8777" s="548"/>
      <c r="L8777" s="548"/>
      <c r="M8777" s="548"/>
      <c r="N8777" s="552">
        <v>61677</v>
      </c>
      <c r="R8777" s="539">
        <v>535.28890000000001</v>
      </c>
      <c r="S8777" s="539">
        <v>535.51914765633899</v>
      </c>
      <c r="T8777" s="538">
        <v>15.7</v>
      </c>
      <c r="U8777" s="538">
        <v>49.52</v>
      </c>
      <c r="V8777" s="538">
        <v>39.32</v>
      </c>
      <c r="Y8777" s="551"/>
    </row>
    <row r="8778" spans="1:25">
      <c r="A8778" s="499">
        <v>45805</v>
      </c>
      <c r="B8778" s="499">
        <v>45806</v>
      </c>
      <c r="C8778" s="500" t="s">
        <v>173</v>
      </c>
      <c r="D8778" s="500" t="s">
        <v>763</v>
      </c>
      <c r="E8778" s="501">
        <v>3705218592.8000002</v>
      </c>
      <c r="F8778" s="502" t="s">
        <v>878</v>
      </c>
      <c r="G8778" s="100" t="s">
        <v>633</v>
      </c>
      <c r="H8778" s="100">
        <v>117235528</v>
      </c>
      <c r="I8778" s="422"/>
      <c r="K8778" s="548"/>
      <c r="L8778" s="548"/>
      <c r="M8778" s="548"/>
      <c r="N8778" s="552">
        <v>7109760</v>
      </c>
      <c r="R8778" s="539">
        <v>520.92060000000004</v>
      </c>
      <c r="S8778" s="539">
        <v>521.145382235125</v>
      </c>
      <c r="T8778" s="538">
        <v>15.7501</v>
      </c>
      <c r="U8778" s="538">
        <v>5555.43</v>
      </c>
      <c r="V8778" s="538">
        <v>2777.72</v>
      </c>
      <c r="Y8778" s="551"/>
    </row>
    <row r="8779" spans="1:25">
      <c r="A8779" s="499">
        <v>45805</v>
      </c>
      <c r="B8779" s="499">
        <v>45806</v>
      </c>
      <c r="C8779" s="500" t="s">
        <v>173</v>
      </c>
      <c r="D8779" s="500" t="s">
        <v>763</v>
      </c>
      <c r="E8779" s="501">
        <v>2129886806.6600001</v>
      </c>
      <c r="F8779" s="502" t="s">
        <v>878</v>
      </c>
      <c r="G8779" s="100" t="s">
        <v>805</v>
      </c>
      <c r="H8779" s="100">
        <v>117235531</v>
      </c>
      <c r="I8779" s="422"/>
      <c r="K8779" s="548"/>
      <c r="L8779" s="548"/>
      <c r="M8779" s="548"/>
      <c r="N8779" s="552">
        <v>3977232</v>
      </c>
      <c r="R8779" s="539">
        <v>535.28890000000001</v>
      </c>
      <c r="S8779" s="539">
        <v>535.51988082666503</v>
      </c>
      <c r="T8779" s="538">
        <v>15.75</v>
      </c>
      <c r="U8779" s="538">
        <v>3193.45</v>
      </c>
      <c r="V8779" s="538">
        <v>1596.73</v>
      </c>
      <c r="Y8779" s="551"/>
    </row>
    <row r="8780" spans="1:25">
      <c r="A8780" s="499">
        <v>45805</v>
      </c>
      <c r="B8780" s="499">
        <v>45806</v>
      </c>
      <c r="C8780" s="500" t="s">
        <v>173</v>
      </c>
      <c r="D8780" s="500" t="s">
        <v>763</v>
      </c>
      <c r="E8780" s="501">
        <v>33029214.469999999</v>
      </c>
      <c r="F8780" s="502" t="s">
        <v>878</v>
      </c>
      <c r="G8780" s="100" t="s">
        <v>805</v>
      </c>
      <c r="H8780" s="100">
        <v>117235619</v>
      </c>
      <c r="I8780" s="422"/>
      <c r="K8780" s="548"/>
      <c r="L8780" s="548"/>
      <c r="M8780" s="548"/>
      <c r="N8780" s="552">
        <v>61677</v>
      </c>
      <c r="R8780" s="539">
        <v>535.28890000000001</v>
      </c>
      <c r="S8780" s="539">
        <v>535.51914765633899</v>
      </c>
      <c r="T8780" s="538">
        <v>15.7</v>
      </c>
      <c r="U8780" s="538">
        <v>49.52</v>
      </c>
      <c r="V8780" s="538">
        <v>39.32</v>
      </c>
      <c r="Y8780" s="551"/>
    </row>
    <row r="8781" spans="1:25">
      <c r="A8781" s="499">
        <v>45805</v>
      </c>
      <c r="B8781" s="499">
        <v>45819</v>
      </c>
      <c r="C8781" s="500" t="s">
        <v>173</v>
      </c>
      <c r="D8781" s="500" t="s">
        <v>762</v>
      </c>
      <c r="E8781" s="501">
        <v>121537500</v>
      </c>
      <c r="F8781" s="502" t="s">
        <v>381</v>
      </c>
      <c r="G8781" s="100" t="s">
        <v>1027</v>
      </c>
      <c r="H8781" s="530"/>
      <c r="I8781" s="422"/>
      <c r="K8781" s="548"/>
      <c r="L8781" s="548"/>
      <c r="M8781" s="548"/>
      <c r="N8781" s="552"/>
      <c r="Y8781" s="551"/>
    </row>
    <row r="8782" spans="1:25">
      <c r="A8782" s="499">
        <v>45805</v>
      </c>
      <c r="B8782" s="499">
        <v>45819</v>
      </c>
      <c r="C8782" s="500" t="s">
        <v>173</v>
      </c>
      <c r="D8782" s="500" t="s">
        <v>761</v>
      </c>
      <c r="E8782" s="501">
        <v>20835000</v>
      </c>
      <c r="F8782" s="502" t="s">
        <v>381</v>
      </c>
      <c r="G8782" s="100" t="s">
        <v>1027</v>
      </c>
      <c r="H8782" s="530"/>
      <c r="I8782" s="422"/>
      <c r="K8782" s="548"/>
      <c r="L8782" s="548"/>
      <c r="M8782" s="548"/>
      <c r="N8782" s="552"/>
      <c r="Y8782" s="551"/>
    </row>
    <row r="8783" spans="1:25">
      <c r="A8783" s="499">
        <v>45805</v>
      </c>
      <c r="B8783" s="499">
        <v>45819</v>
      </c>
      <c r="C8783" s="500" t="s">
        <v>173</v>
      </c>
      <c r="D8783" s="500" t="s">
        <v>760</v>
      </c>
      <c r="E8783" s="501">
        <v>69450000</v>
      </c>
      <c r="F8783" s="502" t="s">
        <v>381</v>
      </c>
      <c r="G8783" s="100" t="s">
        <v>1027</v>
      </c>
      <c r="H8783" s="530"/>
      <c r="I8783" s="422"/>
      <c r="K8783" s="548"/>
      <c r="L8783" s="548"/>
      <c r="M8783" s="548"/>
      <c r="N8783" s="552"/>
      <c r="Y8783" s="551"/>
    </row>
    <row r="8784" spans="1:25">
      <c r="A8784" s="499">
        <v>45805</v>
      </c>
      <c r="B8784" s="499">
        <v>45819</v>
      </c>
      <c r="C8784" s="500" t="s">
        <v>173</v>
      </c>
      <c r="D8784" s="500" t="s">
        <v>764</v>
      </c>
      <c r="E8784" s="501">
        <v>69450000</v>
      </c>
      <c r="F8784" s="502" t="s">
        <v>381</v>
      </c>
      <c r="G8784" s="100" t="s">
        <v>1027</v>
      </c>
      <c r="H8784" s="530"/>
      <c r="I8784" s="422"/>
      <c r="K8784" s="548"/>
      <c r="L8784" s="548"/>
      <c r="M8784" s="548"/>
      <c r="N8784" s="552"/>
      <c r="Y8784" s="551"/>
    </row>
    <row r="8785" spans="1:25">
      <c r="A8785" s="499">
        <v>45806</v>
      </c>
      <c r="B8785" s="499">
        <v>45806</v>
      </c>
      <c r="C8785" s="500" t="s">
        <v>173</v>
      </c>
      <c r="D8785" s="500" t="s">
        <v>762</v>
      </c>
      <c r="E8785" s="501">
        <v>-3811830318.96</v>
      </c>
      <c r="F8785" s="502" t="s">
        <v>878</v>
      </c>
      <c r="G8785" s="100" t="s">
        <v>633</v>
      </c>
      <c r="H8785" s="530"/>
      <c r="I8785" s="422"/>
      <c r="K8785" s="548"/>
      <c r="L8785" s="548"/>
      <c r="M8785" s="548"/>
      <c r="N8785" s="552">
        <v>7328553</v>
      </c>
      <c r="R8785" s="558">
        <v>520.13409999999999</v>
      </c>
      <c r="S8785" s="558">
        <v>520.355698502829</v>
      </c>
      <c r="T8785" s="538">
        <v>15.5505</v>
      </c>
      <c r="U8785" s="538">
        <v>5717.75</v>
      </c>
      <c r="V8785" s="538">
        <v>2858.87</v>
      </c>
      <c r="Y8785" s="551"/>
    </row>
    <row r="8786" spans="1:25">
      <c r="A8786" s="499">
        <v>45806</v>
      </c>
      <c r="B8786" s="499">
        <v>45806</v>
      </c>
      <c r="C8786" s="500" t="s">
        <v>173</v>
      </c>
      <c r="D8786" s="500" t="s">
        <v>762</v>
      </c>
      <c r="E8786" s="501">
        <v>-21004375.43</v>
      </c>
      <c r="F8786" s="502" t="s">
        <v>878</v>
      </c>
      <c r="G8786" s="100" t="s">
        <v>816</v>
      </c>
      <c r="H8786" s="530"/>
      <c r="I8786" s="422"/>
      <c r="K8786" s="548"/>
      <c r="L8786" s="548"/>
      <c r="M8786" s="548"/>
      <c r="N8786" s="552">
        <v>19299</v>
      </c>
      <c r="R8786" s="558">
        <v>1088.366</v>
      </c>
      <c r="S8786" s="558">
        <v>1088.8281828074</v>
      </c>
      <c r="T8786" s="538">
        <v>15.5</v>
      </c>
      <c r="U8786" s="538">
        <v>39.32</v>
      </c>
      <c r="V8786" s="538">
        <v>15.75</v>
      </c>
      <c r="Y8786" s="551"/>
    </row>
    <row r="8787" spans="1:25">
      <c r="A8787" s="499">
        <v>45806</v>
      </c>
      <c r="B8787" s="499">
        <v>45807</v>
      </c>
      <c r="C8787" s="500" t="s">
        <v>173</v>
      </c>
      <c r="D8787" s="500" t="s">
        <v>762</v>
      </c>
      <c r="E8787" s="501">
        <v>3813454315.3299999</v>
      </c>
      <c r="F8787" s="502" t="s">
        <v>878</v>
      </c>
      <c r="G8787" s="100" t="s">
        <v>633</v>
      </c>
      <c r="H8787" s="484">
        <v>117258286</v>
      </c>
      <c r="I8787" s="422"/>
      <c r="K8787" s="548"/>
      <c r="L8787" s="548"/>
      <c r="M8787" s="548"/>
      <c r="N8787" s="552">
        <v>7328553</v>
      </c>
      <c r="R8787" s="558">
        <v>520.13409999999999</v>
      </c>
      <c r="S8787" s="558">
        <v>520.355698502829</v>
      </c>
      <c r="T8787" s="538">
        <v>15.5505</v>
      </c>
      <c r="U8787" s="538">
        <v>5717.75</v>
      </c>
      <c r="V8787" s="538">
        <v>2858.87</v>
      </c>
      <c r="Y8787" s="551"/>
    </row>
    <row r="8788" spans="1:25">
      <c r="A8788" s="499">
        <v>45806</v>
      </c>
      <c r="B8788" s="499">
        <v>45807</v>
      </c>
      <c r="C8788" s="500" t="s">
        <v>173</v>
      </c>
      <c r="D8788" s="500" t="s">
        <v>762</v>
      </c>
      <c r="E8788" s="501">
        <v>21013295.100000001</v>
      </c>
      <c r="F8788" s="502" t="s">
        <v>878</v>
      </c>
      <c r="G8788" s="100" t="s">
        <v>816</v>
      </c>
      <c r="H8788" s="484">
        <v>117258455</v>
      </c>
      <c r="I8788" s="422"/>
      <c r="K8788" s="548"/>
      <c r="L8788" s="548"/>
      <c r="M8788" s="548"/>
      <c r="N8788" s="552">
        <v>19299</v>
      </c>
      <c r="R8788" s="558">
        <v>1088.366</v>
      </c>
      <c r="S8788" s="558">
        <v>1088.8281828074</v>
      </c>
      <c r="T8788" s="538">
        <v>15.5</v>
      </c>
      <c r="U8788" s="538">
        <v>39.32</v>
      </c>
      <c r="V8788" s="538">
        <v>15.75</v>
      </c>
      <c r="Y8788" s="551"/>
    </row>
    <row r="8789" spans="1:25">
      <c r="A8789" s="499">
        <v>45806</v>
      </c>
      <c r="B8789" s="499">
        <v>45806</v>
      </c>
      <c r="C8789" s="500" t="s">
        <v>173</v>
      </c>
      <c r="D8789" s="500" t="s">
        <v>759</v>
      </c>
      <c r="E8789" s="501">
        <v>-1993203466.8</v>
      </c>
      <c r="F8789" s="502" t="s">
        <v>878</v>
      </c>
      <c r="G8789" s="100" t="s">
        <v>696</v>
      </c>
      <c r="H8789" s="530"/>
      <c r="I8789" s="422"/>
      <c r="K8789" s="548"/>
      <c r="L8789" s="548"/>
      <c r="M8789" s="548"/>
      <c r="N8789" s="552">
        <v>2434224</v>
      </c>
      <c r="R8789" s="539">
        <v>818.82499999999993</v>
      </c>
      <c r="S8789" s="539">
        <v>819.17092551876897</v>
      </c>
      <c r="T8789" s="538">
        <v>15.42</v>
      </c>
      <c r="U8789" s="538">
        <v>2989.81</v>
      </c>
      <c r="V8789" s="538">
        <v>1494.9</v>
      </c>
      <c r="Y8789" s="551"/>
    </row>
    <row r="8790" spans="1:25">
      <c r="A8790" s="499">
        <v>45806</v>
      </c>
      <c r="B8790" s="499">
        <v>45806</v>
      </c>
      <c r="C8790" s="500" t="s">
        <v>173</v>
      </c>
      <c r="D8790" s="500" t="s">
        <v>759</v>
      </c>
      <c r="E8790" s="501">
        <v>-10006041.5</v>
      </c>
      <c r="F8790" s="502" t="s">
        <v>878</v>
      </c>
      <c r="G8790" s="100" t="s">
        <v>696</v>
      </c>
      <c r="H8790" s="530"/>
      <c r="I8790" s="422"/>
      <c r="K8790" s="548"/>
      <c r="L8790" s="548"/>
      <c r="M8790" s="548"/>
      <c r="N8790" s="552">
        <v>12220</v>
      </c>
      <c r="R8790" s="539">
        <v>818.82500000000005</v>
      </c>
      <c r="S8790" s="539">
        <v>819.17092553191503</v>
      </c>
      <c r="T8790" s="538">
        <v>15.42</v>
      </c>
      <c r="U8790" s="538">
        <v>39.32</v>
      </c>
      <c r="V8790" s="538">
        <v>7.5</v>
      </c>
      <c r="Y8790" s="551"/>
    </row>
    <row r="8791" spans="1:25">
      <c r="A8791" s="499">
        <v>45806</v>
      </c>
      <c r="B8791" s="499">
        <v>45807</v>
      </c>
      <c r="C8791" s="500" t="s">
        <v>173</v>
      </c>
      <c r="D8791" s="500" t="s">
        <v>759</v>
      </c>
      <c r="E8791" s="501">
        <v>1994045527</v>
      </c>
      <c r="F8791" s="502" t="s">
        <v>878</v>
      </c>
      <c r="G8791" s="100" t="s">
        <v>696</v>
      </c>
      <c r="H8791" s="100">
        <v>117260596</v>
      </c>
      <c r="I8791" s="422"/>
      <c r="K8791" s="548"/>
      <c r="L8791" s="548"/>
      <c r="M8791" s="548"/>
      <c r="N8791" s="552">
        <v>2434224</v>
      </c>
      <c r="R8791" s="539">
        <v>818.82499999999993</v>
      </c>
      <c r="S8791" s="539">
        <v>819.17092551876897</v>
      </c>
      <c r="T8791" s="538">
        <v>15.42</v>
      </c>
      <c r="U8791" s="538">
        <v>2989.81</v>
      </c>
      <c r="V8791" s="538">
        <v>1494.9</v>
      </c>
      <c r="Y8791" s="551"/>
    </row>
    <row r="8792" spans="1:25">
      <c r="A8792" s="499">
        <v>45806</v>
      </c>
      <c r="B8792" s="499">
        <v>45807</v>
      </c>
      <c r="C8792" s="500" t="s">
        <v>173</v>
      </c>
      <c r="D8792" s="500" t="s">
        <v>759</v>
      </c>
      <c r="E8792" s="501">
        <v>10010268.710000001</v>
      </c>
      <c r="F8792" s="502" t="s">
        <v>878</v>
      </c>
      <c r="G8792" s="100" t="s">
        <v>696</v>
      </c>
      <c r="H8792" s="100">
        <v>117260635</v>
      </c>
      <c r="I8792" s="422"/>
      <c r="K8792" s="548"/>
      <c r="L8792" s="548"/>
      <c r="M8792" s="548"/>
      <c r="N8792" s="552">
        <v>12220</v>
      </c>
      <c r="R8792" s="539">
        <v>818.82500000000005</v>
      </c>
      <c r="S8792" s="539">
        <v>819.17092553191503</v>
      </c>
      <c r="T8792" s="538">
        <v>15.42</v>
      </c>
      <c r="U8792" s="538">
        <v>39.32</v>
      </c>
      <c r="V8792" s="538">
        <v>7.5</v>
      </c>
      <c r="Y8792" s="551"/>
    </row>
    <row r="8793" spans="1:25">
      <c r="A8793" s="499">
        <v>45806</v>
      </c>
      <c r="B8793" s="499">
        <v>45806</v>
      </c>
      <c r="C8793" s="500" t="s">
        <v>173</v>
      </c>
      <c r="D8793" s="500" t="s">
        <v>760</v>
      </c>
      <c r="E8793" s="501">
        <v>-1550052263.99</v>
      </c>
      <c r="F8793" s="502" t="s">
        <v>878</v>
      </c>
      <c r="G8793" s="100" t="s">
        <v>1018</v>
      </c>
      <c r="H8793" s="530"/>
      <c r="I8793" s="422"/>
      <c r="K8793" s="548"/>
      <c r="L8793" s="548"/>
      <c r="M8793" s="548"/>
      <c r="N8793" s="552">
        <v>16478050</v>
      </c>
      <c r="R8793" s="539">
        <v>94.067700000000002</v>
      </c>
      <c r="S8793" s="539">
        <v>94.353156554325295</v>
      </c>
      <c r="T8793" s="538">
        <v>15.8232</v>
      </c>
      <c r="U8793" s="538">
        <v>16275.55</v>
      </c>
      <c r="V8793" s="538">
        <v>8137.77</v>
      </c>
      <c r="Y8793" s="551"/>
    </row>
    <row r="8794" spans="1:25">
      <c r="A8794" s="499">
        <v>45806</v>
      </c>
      <c r="B8794" s="499">
        <v>45806</v>
      </c>
      <c r="C8794" s="500" t="s">
        <v>173</v>
      </c>
      <c r="D8794" s="500" t="s">
        <v>760</v>
      </c>
      <c r="E8794" s="501">
        <v>-637138785.92999995</v>
      </c>
      <c r="F8794" s="502" t="s">
        <v>878</v>
      </c>
      <c r="G8794" s="100" t="s">
        <v>633</v>
      </c>
      <c r="H8794" s="530"/>
      <c r="I8794" s="422"/>
      <c r="K8794" s="548"/>
      <c r="L8794" s="548"/>
      <c r="M8794" s="548"/>
      <c r="N8794" s="552">
        <v>1224951</v>
      </c>
      <c r="R8794" s="539">
        <v>520.13409999999999</v>
      </c>
      <c r="S8794" s="539">
        <v>521.71252174168603</v>
      </c>
      <c r="T8794" s="538">
        <v>15.823499999999999</v>
      </c>
      <c r="U8794" s="538">
        <v>6689.96</v>
      </c>
      <c r="V8794" s="538">
        <v>3344.98</v>
      </c>
      <c r="Y8794" s="551"/>
    </row>
    <row r="8795" spans="1:25">
      <c r="A8795" s="499">
        <v>45806</v>
      </c>
      <c r="B8795" s="499">
        <v>45806</v>
      </c>
      <c r="C8795" s="500" t="s">
        <v>173</v>
      </c>
      <c r="D8795" s="500" t="s">
        <v>760</v>
      </c>
      <c r="E8795" s="501">
        <v>-4000134.87</v>
      </c>
      <c r="F8795" s="502" t="s">
        <v>878</v>
      </c>
      <c r="G8795" s="100" t="s">
        <v>1018</v>
      </c>
      <c r="H8795" s="530"/>
      <c r="I8795" s="422"/>
      <c r="K8795" s="548"/>
      <c r="L8795" s="548"/>
      <c r="M8795" s="548"/>
      <c r="N8795" s="552">
        <v>42524</v>
      </c>
      <c r="R8795" s="539">
        <v>94.067700000000002</v>
      </c>
      <c r="S8795" s="539">
        <v>94.353163625246907</v>
      </c>
      <c r="T8795" s="538">
        <v>15.823600000000001</v>
      </c>
      <c r="U8795" s="538">
        <v>42</v>
      </c>
      <c r="V8795" s="538">
        <v>21</v>
      </c>
      <c r="Y8795" s="551"/>
    </row>
    <row r="8796" spans="1:25">
      <c r="A8796" s="499">
        <v>45806</v>
      </c>
      <c r="B8796" s="499">
        <v>45813</v>
      </c>
      <c r="C8796" s="500" t="s">
        <v>173</v>
      </c>
      <c r="D8796" s="500" t="s">
        <v>760</v>
      </c>
      <c r="E8796" s="501">
        <v>1554756031.3599999</v>
      </c>
      <c r="F8796" s="502" t="s">
        <v>878</v>
      </c>
      <c r="G8796" s="100" t="s">
        <v>1018</v>
      </c>
      <c r="H8796" s="484">
        <v>117259598</v>
      </c>
      <c r="I8796" s="422"/>
      <c r="K8796" s="548"/>
      <c r="L8796" s="548"/>
      <c r="M8796" s="548"/>
      <c r="N8796" s="552">
        <v>16478050</v>
      </c>
      <c r="R8796" s="539">
        <v>94.067700000000002</v>
      </c>
      <c r="S8796" s="539">
        <v>94.353156554325295</v>
      </c>
      <c r="T8796" s="538">
        <v>15.8232</v>
      </c>
      <c r="U8796" s="538">
        <v>16275.55</v>
      </c>
      <c r="V8796" s="538">
        <v>8137.77</v>
      </c>
      <c r="Y8796" s="551"/>
    </row>
    <row r="8797" spans="1:25">
      <c r="A8797" s="499">
        <v>45806</v>
      </c>
      <c r="B8797" s="499">
        <v>45813</v>
      </c>
      <c r="C8797" s="500" t="s">
        <v>173</v>
      </c>
      <c r="D8797" s="500" t="s">
        <v>760</v>
      </c>
      <c r="E8797" s="501">
        <v>639072275.22000003</v>
      </c>
      <c r="F8797" s="502" t="s">
        <v>878</v>
      </c>
      <c r="G8797" s="100" t="s">
        <v>633</v>
      </c>
      <c r="H8797" s="484">
        <v>117259631</v>
      </c>
      <c r="I8797" s="422"/>
      <c r="K8797" s="548"/>
      <c r="L8797" s="548"/>
      <c r="M8797" s="548"/>
      <c r="N8797" s="552">
        <v>1224951</v>
      </c>
      <c r="R8797" s="539">
        <v>520.13409999999999</v>
      </c>
      <c r="S8797" s="539">
        <v>521.71252174168603</v>
      </c>
      <c r="T8797" s="538">
        <v>15.823499999999999</v>
      </c>
      <c r="U8797" s="538">
        <v>6689.96</v>
      </c>
      <c r="V8797" s="538">
        <v>3344.98</v>
      </c>
      <c r="Y8797" s="551"/>
    </row>
    <row r="8798" spans="1:25">
      <c r="A8798" s="499">
        <v>45806</v>
      </c>
      <c r="B8798" s="499">
        <v>45813</v>
      </c>
      <c r="C8798" s="500" t="s">
        <v>173</v>
      </c>
      <c r="D8798" s="500" t="s">
        <v>760</v>
      </c>
      <c r="E8798" s="501">
        <v>4012273.93</v>
      </c>
      <c r="F8798" s="502" t="s">
        <v>878</v>
      </c>
      <c r="G8798" s="100" t="s">
        <v>1018</v>
      </c>
      <c r="H8798" s="484">
        <v>117259661</v>
      </c>
      <c r="I8798" s="422"/>
      <c r="K8798" s="548"/>
      <c r="L8798" s="548"/>
      <c r="M8798" s="548"/>
      <c r="N8798" s="552">
        <v>42524</v>
      </c>
      <c r="R8798" s="539">
        <v>94.067700000000002</v>
      </c>
      <c r="S8798" s="539">
        <v>94.353163625246907</v>
      </c>
      <c r="T8798" s="538">
        <v>15.823600000000001</v>
      </c>
      <c r="U8798" s="538">
        <v>42</v>
      </c>
      <c r="V8798" s="538">
        <v>21</v>
      </c>
      <c r="Y8798" s="551"/>
    </row>
    <row r="8799" spans="1:25">
      <c r="A8799" s="499">
        <v>45806</v>
      </c>
      <c r="B8799" s="499">
        <v>45806</v>
      </c>
      <c r="C8799" s="500" t="s">
        <v>173</v>
      </c>
      <c r="D8799" s="500" t="s">
        <v>763</v>
      </c>
      <c r="E8799" s="501">
        <v>-5685238397.5200005</v>
      </c>
      <c r="F8799" s="502" t="s">
        <v>878</v>
      </c>
      <c r="G8799" s="100" t="s">
        <v>633</v>
      </c>
      <c r="H8799" s="530"/>
      <c r="I8799" s="422"/>
      <c r="K8799" s="548"/>
      <c r="L8799" s="548"/>
      <c r="M8799" s="548"/>
      <c r="N8799" s="552">
        <v>10930332</v>
      </c>
      <c r="R8799" s="539">
        <v>520.13409999999999</v>
      </c>
      <c r="S8799" s="539">
        <v>520.355698502113</v>
      </c>
      <c r="T8799" s="538">
        <v>15.5505</v>
      </c>
      <c r="U8799" s="538">
        <v>8527.86</v>
      </c>
      <c r="V8799" s="538">
        <v>4263.93</v>
      </c>
      <c r="Y8799" s="551"/>
    </row>
    <row r="8800" spans="1:25">
      <c r="A8800" s="499">
        <v>45806</v>
      </c>
      <c r="B8800" s="499">
        <v>45806</v>
      </c>
      <c r="C8800" s="500" t="s">
        <v>173</v>
      </c>
      <c r="D8800" s="500" t="s">
        <v>763</v>
      </c>
      <c r="E8800" s="501">
        <v>-150032681.15000001</v>
      </c>
      <c r="F8800" s="502" t="s">
        <v>878</v>
      </c>
      <c r="G8800" s="100" t="s">
        <v>633</v>
      </c>
      <c r="H8800" s="530"/>
      <c r="I8800" s="422"/>
      <c r="K8800" s="548"/>
      <c r="L8800" s="548"/>
      <c r="M8800" s="548"/>
      <c r="N8800" s="552">
        <v>288450</v>
      </c>
      <c r="R8800" s="539">
        <v>520.13409999999999</v>
      </c>
      <c r="S8800" s="539">
        <v>520.35569138498897</v>
      </c>
      <c r="T8800" s="538">
        <v>15.55</v>
      </c>
      <c r="U8800" s="538">
        <v>225.05</v>
      </c>
      <c r="V8800" s="538">
        <v>112.52</v>
      </c>
      <c r="Y8800" s="551"/>
    </row>
    <row r="8801" spans="1:25">
      <c r="A8801" s="499">
        <v>45806</v>
      </c>
      <c r="B8801" s="499">
        <v>45806</v>
      </c>
      <c r="C8801" s="500" t="s">
        <v>173</v>
      </c>
      <c r="D8801" s="500" t="s">
        <v>763</v>
      </c>
      <c r="E8801" s="501">
        <v>-33007189.850000001</v>
      </c>
      <c r="F8801" s="502" t="s">
        <v>878</v>
      </c>
      <c r="G8801" s="100" t="s">
        <v>633</v>
      </c>
      <c r="H8801" s="530"/>
      <c r="I8801" s="422"/>
      <c r="K8801" s="548"/>
      <c r="L8801" s="548"/>
      <c r="M8801" s="548"/>
      <c r="N8801" s="552">
        <v>63459</v>
      </c>
      <c r="R8801" s="539">
        <v>520.13409999999999</v>
      </c>
      <c r="S8801" s="539">
        <v>520.355691391292</v>
      </c>
      <c r="T8801" s="538">
        <v>15.55</v>
      </c>
      <c r="U8801" s="538">
        <v>49.51</v>
      </c>
      <c r="V8801" s="538">
        <v>39.32</v>
      </c>
      <c r="Y8801" s="551"/>
    </row>
    <row r="8802" spans="1:25">
      <c r="A8802" s="499">
        <v>45806</v>
      </c>
      <c r="B8802" s="499">
        <v>45807</v>
      </c>
      <c r="C8802" s="500" t="s">
        <v>173</v>
      </c>
      <c r="D8802" s="500" t="s">
        <v>763</v>
      </c>
      <c r="E8802" s="501">
        <v>5687660542.7200003</v>
      </c>
      <c r="F8802" s="502" t="s">
        <v>878</v>
      </c>
      <c r="G8802" s="100" t="s">
        <v>633</v>
      </c>
      <c r="H8802" s="484">
        <v>117258317</v>
      </c>
      <c r="I8802" s="422"/>
      <c r="K8802" s="548"/>
      <c r="L8802" s="548"/>
      <c r="M8802" s="548"/>
      <c r="N8802" s="552">
        <v>10930332</v>
      </c>
      <c r="R8802" s="539">
        <v>520.13409999999999</v>
      </c>
      <c r="S8802" s="539">
        <v>520.355698502113</v>
      </c>
      <c r="T8802" s="538">
        <v>15.5505</v>
      </c>
      <c r="U8802" s="538">
        <v>8527.86</v>
      </c>
      <c r="V8802" s="538">
        <v>4263.93</v>
      </c>
      <c r="Y8802" s="551"/>
    </row>
    <row r="8803" spans="1:25">
      <c r="A8803" s="499">
        <v>45806</v>
      </c>
      <c r="B8803" s="499">
        <v>45807</v>
      </c>
      <c r="C8803" s="500" t="s">
        <v>173</v>
      </c>
      <c r="D8803" s="500" t="s">
        <v>763</v>
      </c>
      <c r="E8803" s="501">
        <v>150096599.18000001</v>
      </c>
      <c r="F8803" s="502" t="s">
        <v>878</v>
      </c>
      <c r="G8803" s="100" t="s">
        <v>633</v>
      </c>
      <c r="H8803" s="484">
        <v>117258320</v>
      </c>
      <c r="I8803" s="422"/>
      <c r="K8803" s="548"/>
      <c r="L8803" s="548"/>
      <c r="M8803" s="548"/>
      <c r="N8803" s="552">
        <v>288450</v>
      </c>
      <c r="R8803" s="539">
        <v>520.13409999999999</v>
      </c>
      <c r="S8803" s="539">
        <v>520.35569138498897</v>
      </c>
      <c r="T8803" s="538">
        <v>15.55</v>
      </c>
      <c r="U8803" s="538">
        <v>225.05</v>
      </c>
      <c r="V8803" s="538">
        <v>112.52</v>
      </c>
      <c r="Y8803" s="551"/>
    </row>
    <row r="8804" spans="1:25">
      <c r="A8804" s="499">
        <v>45806</v>
      </c>
      <c r="B8804" s="499">
        <v>45807</v>
      </c>
      <c r="C8804" s="500" t="s">
        <v>173</v>
      </c>
      <c r="D8804" s="500" t="s">
        <v>763</v>
      </c>
      <c r="E8804" s="501">
        <v>33021251.82</v>
      </c>
      <c r="F8804" s="502" t="s">
        <v>878</v>
      </c>
      <c r="G8804" s="100" t="s">
        <v>633</v>
      </c>
      <c r="H8804" s="484">
        <v>117258354</v>
      </c>
      <c r="I8804" s="422"/>
      <c r="K8804" s="548"/>
      <c r="L8804" s="548"/>
      <c r="M8804" s="548"/>
      <c r="N8804" s="552">
        <v>63459</v>
      </c>
      <c r="R8804" s="539">
        <v>520.13409999999999</v>
      </c>
      <c r="S8804" s="539">
        <v>520.355691391292</v>
      </c>
      <c r="T8804" s="538">
        <v>15.55</v>
      </c>
      <c r="U8804" s="538">
        <v>49.51</v>
      </c>
      <c r="V8804" s="538">
        <v>39.32</v>
      </c>
      <c r="Y8804" s="551"/>
    </row>
    <row r="8805" spans="1:25">
      <c r="A8805" s="499">
        <v>45806</v>
      </c>
      <c r="B8805" s="499">
        <v>45806</v>
      </c>
      <c r="C8805" s="500" t="s">
        <v>173</v>
      </c>
      <c r="D8805" s="500" t="s">
        <v>761</v>
      </c>
      <c r="E8805" s="501">
        <v>-505110026.51999998</v>
      </c>
      <c r="F8805" s="502" t="s">
        <v>878</v>
      </c>
      <c r="G8805" s="100" t="s">
        <v>633</v>
      </c>
      <c r="H8805" s="530"/>
      <c r="I8805" s="422"/>
      <c r="K8805" s="548"/>
      <c r="L8805" s="548"/>
      <c r="M8805" s="548"/>
      <c r="N8805" s="552">
        <v>971115</v>
      </c>
      <c r="R8805" s="539">
        <v>520.13409999845533</v>
      </c>
      <c r="S8805" s="539">
        <v>520.35569850120703</v>
      </c>
      <c r="T8805" s="538">
        <v>15.5505</v>
      </c>
      <c r="U8805" s="538">
        <v>757.67</v>
      </c>
      <c r="V8805" s="538">
        <v>378.83</v>
      </c>
      <c r="Y8805" s="551"/>
    </row>
    <row r="8806" spans="1:25">
      <c r="A8806" s="499">
        <v>45806</v>
      </c>
      <c r="B8806" s="499">
        <v>45806</v>
      </c>
      <c r="C8806" s="500" t="s">
        <v>173</v>
      </c>
      <c r="D8806" s="500" t="s">
        <v>761</v>
      </c>
      <c r="E8806" s="501">
        <v>-1792915955.71</v>
      </c>
      <c r="F8806" s="502" t="s">
        <v>878</v>
      </c>
      <c r="G8806" s="100" t="s">
        <v>686</v>
      </c>
      <c r="H8806" s="530"/>
      <c r="I8806" s="422"/>
      <c r="K8806" s="548"/>
      <c r="L8806" s="548"/>
      <c r="M8806" s="548"/>
      <c r="N8806" s="552">
        <v>1870848</v>
      </c>
      <c r="R8806" s="539">
        <v>958.34399999893094</v>
      </c>
      <c r="S8806" s="539">
        <v>961.23872400109497</v>
      </c>
      <c r="T8806" s="538">
        <v>15.75</v>
      </c>
      <c r="U8806" s="538">
        <v>18825.62</v>
      </c>
      <c r="V8806" s="538">
        <v>9412.81</v>
      </c>
      <c r="Y8806" s="551"/>
    </row>
    <row r="8807" spans="1:25">
      <c r="A8807" s="499">
        <v>45806</v>
      </c>
      <c r="B8807" s="499">
        <v>45806</v>
      </c>
      <c r="C8807" s="500" t="s">
        <v>173</v>
      </c>
      <c r="D8807" s="500" t="s">
        <v>761</v>
      </c>
      <c r="E8807" s="501">
        <v>-10005111.359999999</v>
      </c>
      <c r="F8807" s="502" t="s">
        <v>878</v>
      </c>
      <c r="G8807" s="100" t="s">
        <v>686</v>
      </c>
      <c r="H8807" s="530"/>
      <c r="I8807" s="422"/>
      <c r="K8807" s="548"/>
      <c r="L8807" s="548"/>
      <c r="M8807" s="548"/>
      <c r="N8807" s="552">
        <v>10440</v>
      </c>
      <c r="R8807" s="539">
        <v>958.34399999999994</v>
      </c>
      <c r="S8807" s="539">
        <v>961.23872413793094</v>
      </c>
      <c r="T8807" s="538">
        <v>15.75</v>
      </c>
      <c r="U8807" s="538">
        <v>105.05</v>
      </c>
      <c r="V8807" s="538">
        <v>52.53</v>
      </c>
      <c r="Y8807" s="551"/>
    </row>
    <row r="8808" spans="1:25">
      <c r="A8808" s="499">
        <v>45806</v>
      </c>
      <c r="B8808" s="499">
        <v>45807</v>
      </c>
      <c r="C8808" s="500" t="s">
        <v>173</v>
      </c>
      <c r="D8808" s="500" t="s">
        <v>761</v>
      </c>
      <c r="E8808" s="501">
        <v>505325224.14999998</v>
      </c>
      <c r="F8808" s="502" t="s">
        <v>878</v>
      </c>
      <c r="G8808" s="100" t="s">
        <v>633</v>
      </c>
      <c r="H8808" s="484">
        <v>117258255</v>
      </c>
      <c r="I8808" s="422"/>
      <c r="K8808" s="548"/>
      <c r="L8808" s="548"/>
      <c r="M8808" s="548"/>
      <c r="N8808" s="552">
        <v>971115</v>
      </c>
      <c r="R8808" s="539">
        <v>520.13409999845533</v>
      </c>
      <c r="S8808" s="539">
        <v>520.35569850120703</v>
      </c>
      <c r="T8808" s="538">
        <v>15.5505</v>
      </c>
      <c r="U8808" s="538">
        <v>757.67</v>
      </c>
      <c r="V8808" s="538">
        <v>378.83</v>
      </c>
      <c r="Y8808" s="551"/>
    </row>
    <row r="8809" spans="1:25">
      <c r="A8809" s="499">
        <v>45806</v>
      </c>
      <c r="B8809" s="499">
        <v>45813</v>
      </c>
      <c r="C8809" s="500" t="s">
        <v>173</v>
      </c>
      <c r="D8809" s="500" t="s">
        <v>761</v>
      </c>
      <c r="E8809" s="501">
        <v>1798331544.3199999</v>
      </c>
      <c r="F8809" s="502" t="s">
        <v>878</v>
      </c>
      <c r="G8809" s="100" t="s">
        <v>686</v>
      </c>
      <c r="H8809" s="484">
        <v>117262665</v>
      </c>
      <c r="I8809" s="422"/>
      <c r="K8809" s="548"/>
      <c r="L8809" s="548"/>
      <c r="M8809" s="548"/>
      <c r="N8809" s="552">
        <v>1870848</v>
      </c>
      <c r="R8809" s="539">
        <v>958.34399999893094</v>
      </c>
      <c r="S8809" s="539">
        <v>961.23872400109497</v>
      </c>
      <c r="T8809" s="538">
        <v>15.75</v>
      </c>
      <c r="U8809" s="538">
        <v>18825.62</v>
      </c>
      <c r="V8809" s="538">
        <v>9412.81</v>
      </c>
      <c r="Y8809" s="551"/>
    </row>
    <row r="8810" spans="1:25">
      <c r="A8810" s="499">
        <v>45806</v>
      </c>
      <c r="B8810" s="499">
        <v>45813</v>
      </c>
      <c r="C8810" s="500" t="s">
        <v>173</v>
      </c>
      <c r="D8810" s="500" t="s">
        <v>761</v>
      </c>
      <c r="E8810" s="501">
        <v>10035332.279999999</v>
      </c>
      <c r="F8810" s="502" t="s">
        <v>878</v>
      </c>
      <c r="G8810" s="100" t="s">
        <v>686</v>
      </c>
      <c r="H8810" s="484">
        <v>117262692</v>
      </c>
      <c r="I8810" s="422"/>
      <c r="K8810" s="548"/>
      <c r="L8810" s="548"/>
      <c r="M8810" s="548"/>
      <c r="N8810" s="552">
        <v>10440</v>
      </c>
      <c r="R8810" s="539">
        <v>958.34399999999994</v>
      </c>
      <c r="S8810" s="539">
        <v>961.23872413793094</v>
      </c>
      <c r="T8810" s="538">
        <v>15.75</v>
      </c>
      <c r="U8810" s="538">
        <v>105.05</v>
      </c>
      <c r="V8810" s="538">
        <v>52.53</v>
      </c>
      <c r="Y8810" s="551"/>
    </row>
    <row r="8811" spans="1:25">
      <c r="A8811" s="499">
        <v>45807</v>
      </c>
      <c r="B8811" s="499">
        <v>45807</v>
      </c>
      <c r="C8811" s="500" t="s">
        <v>173</v>
      </c>
      <c r="D8811" s="500" t="s">
        <v>762</v>
      </c>
      <c r="E8811" s="501">
        <v>-3812396839.73</v>
      </c>
      <c r="F8811" s="502" t="s">
        <v>878</v>
      </c>
      <c r="G8811" s="100" t="s">
        <v>633</v>
      </c>
      <c r="H8811" s="530"/>
      <c r="I8811" s="422"/>
      <c r="K8811" s="548"/>
      <c r="L8811" s="548"/>
      <c r="M8811" s="548"/>
      <c r="N8811" s="552">
        <v>7370474</v>
      </c>
      <c r="R8811" s="558">
        <v>517.25260000000003</v>
      </c>
      <c r="S8811" s="558">
        <v>517.909444197212</v>
      </c>
      <c r="T8811" s="538">
        <v>15.450100000000001</v>
      </c>
      <c r="U8811" s="538">
        <v>17155.79</v>
      </c>
      <c r="V8811" s="538">
        <v>8577.89</v>
      </c>
      <c r="Y8811" s="551"/>
    </row>
    <row r="8812" spans="1:25">
      <c r="A8812" s="499">
        <v>45807</v>
      </c>
      <c r="B8812" s="499">
        <v>45807</v>
      </c>
      <c r="C8812" s="500" t="s">
        <v>173</v>
      </c>
      <c r="D8812" s="500" t="s">
        <v>762</v>
      </c>
      <c r="E8812" s="501">
        <v>-20007330.57</v>
      </c>
      <c r="F8812" s="502" t="s">
        <v>878</v>
      </c>
      <c r="G8812" s="100" t="s">
        <v>633</v>
      </c>
      <c r="H8812" s="530"/>
      <c r="I8812" s="422"/>
      <c r="K8812" s="548"/>
      <c r="L8812" s="548"/>
      <c r="M8812" s="548"/>
      <c r="N8812" s="552">
        <v>38680</v>
      </c>
      <c r="R8812" s="558">
        <v>517.25260000000003</v>
      </c>
      <c r="S8812" s="558">
        <v>517.90944415718695</v>
      </c>
      <c r="T8812" s="538">
        <v>15.450100000000001</v>
      </c>
      <c r="U8812" s="538">
        <v>90.03</v>
      </c>
      <c r="V8812" s="538">
        <v>45.02</v>
      </c>
      <c r="Y8812" s="551"/>
    </row>
    <row r="8813" spans="1:25">
      <c r="A8813" s="499">
        <v>45807</v>
      </c>
      <c r="B8813" s="499">
        <v>45810</v>
      </c>
      <c r="C8813" s="500" t="s">
        <v>173</v>
      </c>
      <c r="D8813" s="500" t="s">
        <v>762</v>
      </c>
      <c r="E8813" s="501">
        <v>3817238092.8099999</v>
      </c>
      <c r="F8813" s="502" t="s">
        <v>878</v>
      </c>
      <c r="G8813" s="100" t="s">
        <v>633</v>
      </c>
      <c r="H8813" s="484">
        <v>117286772</v>
      </c>
      <c r="I8813" s="422"/>
      <c r="K8813" s="548"/>
      <c r="L8813" s="548"/>
      <c r="M8813" s="548"/>
      <c r="N8813" s="552">
        <v>7370474</v>
      </c>
      <c r="R8813" s="558">
        <v>517.25260000000003</v>
      </c>
      <c r="S8813" s="558">
        <v>517.909444197212</v>
      </c>
      <c r="T8813" s="538">
        <v>15.450100000000001</v>
      </c>
      <c r="U8813" s="538">
        <v>17155.79</v>
      </c>
      <c r="V8813" s="538">
        <v>8577.89</v>
      </c>
      <c r="Y8813" s="551"/>
    </row>
    <row r="8814" spans="1:25">
      <c r="A8814" s="499">
        <v>45807</v>
      </c>
      <c r="B8814" s="499">
        <v>45810</v>
      </c>
      <c r="C8814" s="500" t="s">
        <v>173</v>
      </c>
      <c r="D8814" s="500" t="s">
        <v>762</v>
      </c>
      <c r="E8814" s="501">
        <v>20032737.300000001</v>
      </c>
      <c r="F8814" s="502" t="s">
        <v>878</v>
      </c>
      <c r="G8814" s="100" t="s">
        <v>633</v>
      </c>
      <c r="H8814" s="484">
        <v>117286804</v>
      </c>
      <c r="I8814" s="422"/>
      <c r="K8814" s="548"/>
      <c r="L8814" s="548"/>
      <c r="M8814" s="548"/>
      <c r="N8814" s="552">
        <v>38680</v>
      </c>
      <c r="R8814" s="558">
        <v>517.25260000000003</v>
      </c>
      <c r="S8814" s="558">
        <v>517.90944415718695</v>
      </c>
      <c r="T8814" s="538">
        <v>15.450100000000001</v>
      </c>
      <c r="U8814" s="538">
        <v>90.03</v>
      </c>
      <c r="V8814" s="538">
        <v>45.02</v>
      </c>
      <c r="Y8814" s="551"/>
    </row>
    <row r="8815" spans="1:25">
      <c r="A8815" s="499">
        <v>45807</v>
      </c>
      <c r="B8815" s="499">
        <v>45807</v>
      </c>
      <c r="C8815" s="500" t="s">
        <v>173</v>
      </c>
      <c r="D8815" s="500" t="s">
        <v>761</v>
      </c>
      <c r="E8815" s="501">
        <v>-138050580.91999999</v>
      </c>
      <c r="F8815" s="502" t="s">
        <v>878</v>
      </c>
      <c r="G8815" s="100" t="s">
        <v>633</v>
      </c>
      <c r="H8815" s="530"/>
      <c r="I8815" s="422"/>
      <c r="K8815" s="548"/>
      <c r="L8815" s="548"/>
      <c r="M8815" s="548"/>
      <c r="N8815" s="552">
        <v>266892</v>
      </c>
      <c r="R8815" s="539">
        <v>517.25260000299738</v>
      </c>
      <c r="S8815" s="539">
        <v>517.91794272589698</v>
      </c>
      <c r="T8815" s="538">
        <v>15.65</v>
      </c>
      <c r="U8815" s="538">
        <v>621.23</v>
      </c>
      <c r="V8815" s="538">
        <v>310.61</v>
      </c>
      <c r="Y8815" s="551"/>
    </row>
    <row r="8816" spans="1:25">
      <c r="A8816" s="499">
        <v>45807</v>
      </c>
      <c r="B8816" s="499">
        <v>45807</v>
      </c>
      <c r="C8816" s="500" t="s">
        <v>173</v>
      </c>
      <c r="D8816" s="500" t="s">
        <v>761</v>
      </c>
      <c r="E8816" s="501">
        <v>-365279538.89999998</v>
      </c>
      <c r="F8816" s="502" t="s">
        <v>878</v>
      </c>
      <c r="G8816" s="100" t="s">
        <v>653</v>
      </c>
      <c r="H8816" s="530"/>
      <c r="I8816" s="422"/>
      <c r="K8816" s="548"/>
      <c r="L8816" s="548"/>
      <c r="M8816" s="548"/>
      <c r="N8816" s="552">
        <v>363540</v>
      </c>
      <c r="R8816" s="539">
        <v>1004.785</v>
      </c>
      <c r="S8816" s="539">
        <v>1005.95770798262</v>
      </c>
      <c r="T8816" s="538">
        <v>14.2</v>
      </c>
      <c r="U8816" s="538">
        <v>1643.76</v>
      </c>
      <c r="V8816" s="538">
        <v>821.88</v>
      </c>
      <c r="Y8816" s="551"/>
    </row>
    <row r="8817" spans="1:25">
      <c r="A8817" s="499">
        <v>45807</v>
      </c>
      <c r="B8817" s="499">
        <v>45807</v>
      </c>
      <c r="C8817" s="500" t="s">
        <v>173</v>
      </c>
      <c r="D8817" s="500" t="s">
        <v>761</v>
      </c>
      <c r="E8817" s="501">
        <v>-2001531.72</v>
      </c>
      <c r="F8817" s="502" t="s">
        <v>878</v>
      </c>
      <c r="G8817" s="100" t="s">
        <v>653</v>
      </c>
      <c r="H8817" s="530"/>
      <c r="I8817" s="422"/>
      <c r="K8817" s="548"/>
      <c r="L8817" s="548"/>
      <c r="M8817" s="548"/>
      <c r="N8817" s="552">
        <v>1992</v>
      </c>
      <c r="R8817" s="539">
        <v>1004.785</v>
      </c>
      <c r="S8817" s="539">
        <v>1005.95770582329</v>
      </c>
      <c r="T8817" s="538">
        <v>14.2</v>
      </c>
      <c r="U8817" s="538">
        <v>39.32</v>
      </c>
      <c r="V8817" s="538">
        <v>4.5</v>
      </c>
      <c r="Y8817" s="551"/>
    </row>
    <row r="8818" spans="1:25">
      <c r="A8818" s="499">
        <v>45807</v>
      </c>
      <c r="B8818" s="499">
        <v>45810</v>
      </c>
      <c r="C8818" s="500" t="s">
        <v>173</v>
      </c>
      <c r="D8818" s="500" t="s">
        <v>761</v>
      </c>
      <c r="E8818" s="501">
        <v>138228155.56999999</v>
      </c>
      <c r="F8818" s="502" t="s">
        <v>878</v>
      </c>
      <c r="G8818" s="100" t="s">
        <v>633</v>
      </c>
      <c r="H8818" s="484">
        <v>117283793</v>
      </c>
      <c r="I8818" s="422"/>
      <c r="K8818" s="548"/>
      <c r="L8818" s="548"/>
      <c r="M8818" s="548"/>
      <c r="N8818" s="552">
        <v>266892</v>
      </c>
      <c r="R8818" s="539">
        <v>517.25260000299738</v>
      </c>
      <c r="S8818" s="539">
        <v>517.91794272589698</v>
      </c>
      <c r="T8818" s="538">
        <v>15.65</v>
      </c>
      <c r="U8818" s="538">
        <v>621.23</v>
      </c>
      <c r="V8818" s="538">
        <v>310.61</v>
      </c>
      <c r="Y8818" s="551"/>
    </row>
    <row r="8819" spans="1:25">
      <c r="A8819" s="499">
        <v>45807</v>
      </c>
      <c r="B8819" s="499">
        <v>45810</v>
      </c>
      <c r="C8819" s="500" t="s">
        <v>173</v>
      </c>
      <c r="D8819" s="500" t="s">
        <v>761</v>
      </c>
      <c r="E8819" s="501">
        <v>365705865.16000003</v>
      </c>
      <c r="F8819" s="502" t="s">
        <v>878</v>
      </c>
      <c r="G8819" s="100" t="s">
        <v>653</v>
      </c>
      <c r="H8819" s="484">
        <v>117302365</v>
      </c>
      <c r="I8819" s="422"/>
      <c r="K8819" s="548"/>
      <c r="L8819" s="548"/>
      <c r="M8819" s="548"/>
      <c r="N8819" s="552">
        <v>363540</v>
      </c>
      <c r="R8819" s="539">
        <v>1004.785</v>
      </c>
      <c r="S8819" s="539">
        <v>1005.95770798262</v>
      </c>
      <c r="T8819" s="538">
        <v>14.2</v>
      </c>
      <c r="U8819" s="538">
        <v>1643.76</v>
      </c>
      <c r="V8819" s="538">
        <v>821.88</v>
      </c>
      <c r="Y8819" s="551"/>
    </row>
    <row r="8820" spans="1:25">
      <c r="A8820" s="499">
        <v>45807</v>
      </c>
      <c r="B8820" s="499">
        <v>45810</v>
      </c>
      <c r="C8820" s="500" t="s">
        <v>173</v>
      </c>
      <c r="D8820" s="500" t="s">
        <v>761</v>
      </c>
      <c r="E8820" s="501">
        <v>2003867.75</v>
      </c>
      <c r="F8820" s="502" t="s">
        <v>878</v>
      </c>
      <c r="G8820" s="100" t="s">
        <v>653</v>
      </c>
      <c r="H8820" s="484">
        <v>117302371</v>
      </c>
      <c r="I8820" s="422"/>
      <c r="K8820" s="548"/>
      <c r="L8820" s="548"/>
      <c r="M8820" s="548"/>
      <c r="N8820" s="552">
        <v>1992</v>
      </c>
      <c r="R8820" s="539">
        <v>1004.785</v>
      </c>
      <c r="S8820" s="539">
        <v>1005.95770582329</v>
      </c>
      <c r="T8820" s="538">
        <v>14.2</v>
      </c>
      <c r="U8820" s="538">
        <v>39.32</v>
      </c>
      <c r="V8820" s="538">
        <v>4.5</v>
      </c>
      <c r="Y8820" s="551"/>
    </row>
    <row r="8821" spans="1:25">
      <c r="A8821" s="499">
        <v>45807</v>
      </c>
      <c r="B8821" s="499">
        <v>45807</v>
      </c>
      <c r="C8821" s="500" t="s">
        <v>173</v>
      </c>
      <c r="D8821" s="500" t="s">
        <v>759</v>
      </c>
      <c r="E8821" s="501">
        <v>-1992648099.1900001</v>
      </c>
      <c r="F8821" s="502" t="s">
        <v>878</v>
      </c>
      <c r="G8821" s="100" t="s">
        <v>686</v>
      </c>
      <c r="H8821" s="530"/>
      <c r="I8821" s="422"/>
      <c r="K8821" s="548"/>
      <c r="L8821" s="548"/>
      <c r="M8821" s="548"/>
      <c r="N8821" s="552">
        <v>2089608</v>
      </c>
      <c r="R8821" s="539">
        <v>953.59899999904292</v>
      </c>
      <c r="S8821" s="539">
        <v>954.80994793760397</v>
      </c>
      <c r="T8821" s="538">
        <v>15.450100000000001</v>
      </c>
      <c r="U8821" s="538">
        <v>8966.92</v>
      </c>
      <c r="V8821" s="538">
        <v>4483.46</v>
      </c>
      <c r="Y8821" s="551"/>
    </row>
    <row r="8822" spans="1:25">
      <c r="A8822" s="499">
        <v>45807</v>
      </c>
      <c r="B8822" s="499">
        <v>45807</v>
      </c>
      <c r="C8822" s="500" t="s">
        <v>173</v>
      </c>
      <c r="D8822" s="500" t="s">
        <v>759</v>
      </c>
      <c r="E8822" s="501">
        <v>-12009895.92</v>
      </c>
      <c r="F8822" s="502" t="s">
        <v>878</v>
      </c>
      <c r="G8822" s="100" t="s">
        <v>829</v>
      </c>
      <c r="H8822" s="530"/>
      <c r="I8822" s="422"/>
      <c r="K8822" s="548"/>
      <c r="L8822" s="548"/>
      <c r="M8822" s="548"/>
      <c r="N8822" s="552">
        <v>11664</v>
      </c>
      <c r="R8822" s="539">
        <v>1029.655</v>
      </c>
      <c r="S8822" s="539">
        <v>1030.9582981824401</v>
      </c>
      <c r="T8822" s="538">
        <v>15.4001</v>
      </c>
      <c r="U8822" s="538">
        <v>54.04</v>
      </c>
      <c r="V8822" s="538">
        <v>27.02</v>
      </c>
      <c r="Y8822" s="551"/>
    </row>
    <row r="8823" spans="1:25">
      <c r="A8823" s="499">
        <v>45807</v>
      </c>
      <c r="B8823" s="499">
        <v>45810</v>
      </c>
      <c r="C8823" s="500" t="s">
        <v>173</v>
      </c>
      <c r="D8823" s="500" t="s">
        <v>759</v>
      </c>
      <c r="E8823" s="501">
        <v>1995178505.6900001</v>
      </c>
      <c r="F8823" s="502" t="s">
        <v>878</v>
      </c>
      <c r="G8823" s="100" t="s">
        <v>686</v>
      </c>
      <c r="H8823" s="100">
        <v>117285605</v>
      </c>
      <c r="I8823" s="422"/>
      <c r="K8823" s="548"/>
      <c r="L8823" s="548"/>
      <c r="M8823" s="548"/>
      <c r="N8823" s="552">
        <v>2089608</v>
      </c>
      <c r="R8823" s="539">
        <v>953.59899999904292</v>
      </c>
      <c r="S8823" s="539">
        <v>954.80994793760397</v>
      </c>
      <c r="T8823" s="538">
        <v>15.450100000000001</v>
      </c>
      <c r="U8823" s="538">
        <v>8966.92</v>
      </c>
      <c r="V8823" s="538">
        <v>4483.46</v>
      </c>
      <c r="Y8823" s="551"/>
    </row>
    <row r="8824" spans="1:25">
      <c r="A8824" s="499">
        <v>45807</v>
      </c>
      <c r="B8824" s="499">
        <v>45810</v>
      </c>
      <c r="C8824" s="500" t="s">
        <v>173</v>
      </c>
      <c r="D8824" s="500" t="s">
        <v>759</v>
      </c>
      <c r="E8824" s="501">
        <v>12025097.59</v>
      </c>
      <c r="F8824" s="502" t="s">
        <v>878</v>
      </c>
      <c r="G8824" s="100" t="s">
        <v>829</v>
      </c>
      <c r="H8824" s="100">
        <v>117285648</v>
      </c>
      <c r="I8824" s="422"/>
      <c r="K8824" s="548"/>
      <c r="L8824" s="548"/>
      <c r="M8824" s="548"/>
      <c r="N8824" s="552">
        <v>11664</v>
      </c>
      <c r="R8824" s="539">
        <v>1029.655</v>
      </c>
      <c r="S8824" s="539">
        <v>1030.9582981824401</v>
      </c>
      <c r="T8824" s="538">
        <v>15.4001</v>
      </c>
      <c r="U8824" s="538">
        <v>54.04</v>
      </c>
      <c r="V8824" s="538">
        <v>27.02</v>
      </c>
      <c r="Y8824" s="551"/>
    </row>
    <row r="8825" spans="1:25">
      <c r="A8825" s="499">
        <v>45807</v>
      </c>
      <c r="B8825" s="499">
        <v>45807</v>
      </c>
      <c r="C8825" s="500" t="s">
        <v>173</v>
      </c>
      <c r="D8825" s="500" t="s">
        <v>763</v>
      </c>
      <c r="E8825" s="501">
        <v>-73029130.400000006</v>
      </c>
      <c r="F8825" s="502" t="s">
        <v>878</v>
      </c>
      <c r="G8825" s="100" t="s">
        <v>1013</v>
      </c>
      <c r="H8825" s="530"/>
      <c r="I8825" s="422"/>
      <c r="K8825" s="548"/>
      <c r="L8825" s="548"/>
      <c r="M8825" s="548"/>
      <c r="N8825" s="552">
        <v>148409</v>
      </c>
      <c r="R8825" s="539">
        <v>492.08019999999999</v>
      </c>
      <c r="S8825" s="539">
        <v>492.70628775882898</v>
      </c>
      <c r="T8825" s="538">
        <v>15.48</v>
      </c>
      <c r="U8825" s="538">
        <v>328.63</v>
      </c>
      <c r="V8825" s="538">
        <v>164.32</v>
      </c>
      <c r="Y8825" s="551"/>
    </row>
    <row r="8826" spans="1:25">
      <c r="A8826" s="499">
        <v>45807</v>
      </c>
      <c r="B8826" s="499">
        <v>45807</v>
      </c>
      <c r="C8826" s="500" t="s">
        <v>173</v>
      </c>
      <c r="D8826" s="500" t="s">
        <v>763</v>
      </c>
      <c r="E8826" s="501">
        <v>-2131693322.98</v>
      </c>
      <c r="F8826" s="502" t="s">
        <v>878</v>
      </c>
      <c r="G8826" s="100" t="s">
        <v>686</v>
      </c>
      <c r="H8826" s="530"/>
      <c r="I8826" s="422"/>
      <c r="K8826" s="548"/>
      <c r="L8826" s="548"/>
      <c r="M8826" s="548"/>
      <c r="N8826" s="552">
        <v>2235419</v>
      </c>
      <c r="R8826" s="539">
        <v>953.59900000000005</v>
      </c>
      <c r="S8826" s="539">
        <v>954.81150765919097</v>
      </c>
      <c r="T8826" s="538">
        <v>15.47</v>
      </c>
      <c r="U8826" s="538">
        <v>9592.6200000000008</v>
      </c>
      <c r="V8826" s="538">
        <v>4796.3100000000004</v>
      </c>
      <c r="Y8826" s="551"/>
    </row>
    <row r="8827" spans="1:25">
      <c r="A8827" s="499">
        <v>45807</v>
      </c>
      <c r="B8827" s="499">
        <v>45807</v>
      </c>
      <c r="C8827" s="500" t="s">
        <v>173</v>
      </c>
      <c r="D8827" s="500" t="s">
        <v>763</v>
      </c>
      <c r="E8827" s="501">
        <v>-3633181674.8299999</v>
      </c>
      <c r="F8827" s="502" t="s">
        <v>878</v>
      </c>
      <c r="G8827" s="100" t="s">
        <v>686</v>
      </c>
      <c r="H8827" s="530"/>
      <c r="I8827" s="422"/>
      <c r="K8827" s="548"/>
      <c r="L8827" s="548"/>
      <c r="M8827" s="548"/>
      <c r="N8827" s="552">
        <v>3809968</v>
      </c>
      <c r="R8827" s="539">
        <v>953.59900000000005</v>
      </c>
      <c r="S8827" s="539">
        <v>954.81072388009602</v>
      </c>
      <c r="T8827" s="538">
        <v>15.46</v>
      </c>
      <c r="U8827" s="538">
        <v>16349.32</v>
      </c>
      <c r="V8827" s="538">
        <v>8174.66</v>
      </c>
      <c r="Y8827" s="551"/>
    </row>
    <row r="8828" spans="1:25">
      <c r="A8828" s="499">
        <v>45807</v>
      </c>
      <c r="B8828" s="499">
        <v>45807</v>
      </c>
      <c r="C8828" s="500" t="s">
        <v>173</v>
      </c>
      <c r="D8828" s="500" t="s">
        <v>763</v>
      </c>
      <c r="E8828" s="501">
        <v>-33010736.579999998</v>
      </c>
      <c r="F8828" s="502" t="s">
        <v>878</v>
      </c>
      <c r="G8828" s="100" t="s">
        <v>686</v>
      </c>
      <c r="H8828" s="530"/>
      <c r="I8828" s="422"/>
      <c r="K8828" s="548"/>
      <c r="L8828" s="548"/>
      <c r="M8828" s="548"/>
      <c r="N8828" s="552">
        <v>34617</v>
      </c>
      <c r="R8828" s="539">
        <v>953.59900000000005</v>
      </c>
      <c r="S8828" s="539">
        <v>954.81072392177202</v>
      </c>
      <c r="T8828" s="538">
        <v>15.46</v>
      </c>
      <c r="U8828" s="538">
        <v>148.55000000000001</v>
      </c>
      <c r="V8828" s="538">
        <v>74.27</v>
      </c>
      <c r="Y8828" s="551"/>
    </row>
    <row r="8829" spans="1:25">
      <c r="A8829" s="499">
        <v>45807</v>
      </c>
      <c r="B8829" s="499">
        <v>45810</v>
      </c>
      <c r="C8829" s="500" t="s">
        <v>173</v>
      </c>
      <c r="D8829" s="500" t="s">
        <v>763</v>
      </c>
      <c r="E8829" s="501">
        <v>73122047.459999993</v>
      </c>
      <c r="F8829" s="502" t="s">
        <v>878</v>
      </c>
      <c r="G8829" s="100" t="s">
        <v>1013</v>
      </c>
      <c r="H8829" s="100">
        <v>117284810</v>
      </c>
      <c r="I8829" s="422"/>
      <c r="K8829" s="548"/>
      <c r="L8829" s="548"/>
      <c r="M8829" s="548"/>
      <c r="N8829" s="552">
        <v>148409</v>
      </c>
      <c r="R8829" s="539">
        <v>492.08019999999999</v>
      </c>
      <c r="S8829" s="539">
        <v>492.70628775882898</v>
      </c>
      <c r="T8829" s="538">
        <v>15.48</v>
      </c>
      <c r="U8829" s="538">
        <v>328.63</v>
      </c>
      <c r="V8829" s="538">
        <v>164.32</v>
      </c>
      <c r="Y8829" s="551"/>
    </row>
    <row r="8830" spans="1:25">
      <c r="A8830" s="499">
        <v>45807</v>
      </c>
      <c r="B8830" s="499">
        <v>45810</v>
      </c>
      <c r="C8830" s="500" t="s">
        <v>173</v>
      </c>
      <c r="D8830" s="500" t="s">
        <v>763</v>
      </c>
      <c r="E8830" s="501">
        <v>2134403785.6400001</v>
      </c>
      <c r="F8830" s="502" t="s">
        <v>878</v>
      </c>
      <c r="G8830" s="100" t="s">
        <v>686</v>
      </c>
      <c r="H8830" s="100">
        <v>117284813</v>
      </c>
      <c r="I8830" s="422"/>
      <c r="K8830" s="548"/>
      <c r="L8830" s="548"/>
      <c r="M8830" s="548"/>
      <c r="N8830" s="552">
        <v>2235419</v>
      </c>
      <c r="R8830" s="539">
        <v>953.59900000000005</v>
      </c>
      <c r="S8830" s="539">
        <v>954.81150765919097</v>
      </c>
      <c r="T8830" s="538">
        <v>15.47</v>
      </c>
      <c r="U8830" s="538">
        <v>9592.6200000000008</v>
      </c>
      <c r="V8830" s="538">
        <v>4796.3100000000004</v>
      </c>
      <c r="Y8830" s="551"/>
    </row>
    <row r="8831" spans="1:25">
      <c r="A8831" s="499">
        <v>45807</v>
      </c>
      <c r="B8831" s="499">
        <v>45810</v>
      </c>
      <c r="C8831" s="500" t="s">
        <v>173</v>
      </c>
      <c r="D8831" s="500" t="s">
        <v>763</v>
      </c>
      <c r="E8831" s="501">
        <v>3637798304.04</v>
      </c>
      <c r="F8831" s="502" t="s">
        <v>878</v>
      </c>
      <c r="G8831" s="100" t="s">
        <v>686</v>
      </c>
      <c r="H8831" s="100">
        <v>117284816</v>
      </c>
      <c r="I8831" s="422"/>
      <c r="K8831" s="548"/>
      <c r="L8831" s="548"/>
      <c r="M8831" s="548"/>
      <c r="N8831" s="552">
        <v>3809968</v>
      </c>
      <c r="R8831" s="539">
        <v>953.59900000000005</v>
      </c>
      <c r="S8831" s="539">
        <v>954.81072388009602</v>
      </c>
      <c r="T8831" s="538">
        <v>15.46</v>
      </c>
      <c r="U8831" s="538">
        <v>16349.32</v>
      </c>
      <c r="V8831" s="538">
        <v>8174.66</v>
      </c>
      <c r="Y8831" s="551"/>
    </row>
    <row r="8832" spans="1:25">
      <c r="A8832" s="499">
        <v>45807</v>
      </c>
      <c r="B8832" s="499">
        <v>45810</v>
      </c>
      <c r="C8832" s="500" t="s">
        <v>173</v>
      </c>
      <c r="D8832" s="500" t="s">
        <v>763</v>
      </c>
      <c r="E8832" s="501">
        <v>33052682.829999998</v>
      </c>
      <c r="F8832" s="502" t="s">
        <v>878</v>
      </c>
      <c r="G8832" s="100" t="s">
        <v>686</v>
      </c>
      <c r="H8832" s="100">
        <v>117284837</v>
      </c>
      <c r="I8832" s="422"/>
      <c r="K8832" s="548"/>
      <c r="L8832" s="548"/>
      <c r="M8832" s="548"/>
      <c r="N8832" s="552">
        <v>34617</v>
      </c>
      <c r="R8832" s="539">
        <v>953.59900000000005</v>
      </c>
      <c r="S8832" s="539">
        <v>954.81072392177202</v>
      </c>
      <c r="T8832" s="538">
        <v>15.46</v>
      </c>
      <c r="U8832" s="538">
        <v>148.55000000000001</v>
      </c>
      <c r="V8832" s="538">
        <v>74.27</v>
      </c>
      <c r="Y8832" s="551"/>
    </row>
    <row r="8833" spans="1:25">
      <c r="A8833" s="499">
        <v>45810</v>
      </c>
      <c r="B8833" s="499">
        <v>45810</v>
      </c>
      <c r="C8833" s="500" t="s">
        <v>173</v>
      </c>
      <c r="D8833" s="500" t="s">
        <v>762</v>
      </c>
      <c r="E8833" s="501">
        <v>-200045836.59999999</v>
      </c>
      <c r="F8833" s="502" t="s">
        <v>878</v>
      </c>
      <c r="G8833" s="100" t="s">
        <v>680</v>
      </c>
      <c r="H8833" s="530"/>
      <c r="I8833" s="422"/>
      <c r="K8833" s="548"/>
      <c r="L8833" s="548"/>
      <c r="M8833" s="548"/>
      <c r="N8833" s="552">
        <v>198200</v>
      </c>
      <c r="R8833" s="558">
        <v>1009.313</v>
      </c>
      <c r="S8833" s="558">
        <v>1009.74023249243</v>
      </c>
      <c r="T8833" s="538">
        <v>15.450100000000001</v>
      </c>
      <c r="U8833" s="538">
        <v>300.07</v>
      </c>
      <c r="V8833" s="538">
        <v>150.03</v>
      </c>
      <c r="Y8833" s="551"/>
    </row>
    <row r="8834" spans="1:25">
      <c r="A8834" s="499">
        <v>45810</v>
      </c>
      <c r="B8834" s="499">
        <v>45810</v>
      </c>
      <c r="C8834" s="500" t="s">
        <v>173</v>
      </c>
      <c r="D8834" s="500" t="s">
        <v>762</v>
      </c>
      <c r="E8834" s="501">
        <v>-3617245519.0700002</v>
      </c>
      <c r="F8834" s="502" t="s">
        <v>878</v>
      </c>
      <c r="G8834" s="100" t="s">
        <v>633</v>
      </c>
      <c r="H8834" s="530"/>
      <c r="I8834" s="422"/>
      <c r="K8834" s="548"/>
      <c r="L8834" s="548"/>
      <c r="M8834" s="548"/>
      <c r="N8834" s="552">
        <v>6959108</v>
      </c>
      <c r="R8834" s="558">
        <v>519.78579999999999</v>
      </c>
      <c r="S8834" s="558">
        <v>520.00582034507897</v>
      </c>
      <c r="T8834" s="538">
        <v>15.450100000000001</v>
      </c>
      <c r="U8834" s="538">
        <v>5425.87</v>
      </c>
      <c r="V8834" s="538">
        <v>2712.93</v>
      </c>
      <c r="Y8834" s="551"/>
    </row>
    <row r="8835" spans="1:25">
      <c r="A8835" s="499">
        <v>45810</v>
      </c>
      <c r="B8835" s="499">
        <v>45810</v>
      </c>
      <c r="C8835" s="500" t="s">
        <v>173</v>
      </c>
      <c r="D8835" s="500" t="s">
        <v>762</v>
      </c>
      <c r="E8835" s="501">
        <v>-24001629.100000001</v>
      </c>
      <c r="F8835" s="502" t="s">
        <v>878</v>
      </c>
      <c r="G8835" s="100" t="s">
        <v>633</v>
      </c>
      <c r="H8835" s="530"/>
      <c r="I8835" s="422"/>
      <c r="K8835" s="548"/>
      <c r="L8835" s="548"/>
      <c r="M8835" s="548"/>
      <c r="N8835" s="552">
        <v>46176</v>
      </c>
      <c r="R8835" s="558">
        <v>519.78579999999999</v>
      </c>
      <c r="S8835" s="558">
        <v>520.00581882363099</v>
      </c>
      <c r="T8835" s="538">
        <v>15.45</v>
      </c>
      <c r="U8835" s="538">
        <v>39.32</v>
      </c>
      <c r="V8835" s="538">
        <v>18</v>
      </c>
      <c r="Y8835" s="551"/>
    </row>
    <row r="8836" spans="1:25">
      <c r="A8836" s="499">
        <v>45810</v>
      </c>
      <c r="B8836" s="499">
        <v>45811</v>
      </c>
      <c r="C8836" s="500" t="s">
        <v>173</v>
      </c>
      <c r="D8836" s="500" t="s">
        <v>762</v>
      </c>
      <c r="E8836" s="501">
        <v>200130514.08000001</v>
      </c>
      <c r="F8836" s="502" t="s">
        <v>878</v>
      </c>
      <c r="G8836" s="100" t="s">
        <v>680</v>
      </c>
      <c r="H8836" s="484">
        <v>117308963</v>
      </c>
      <c r="I8836" s="422"/>
      <c r="K8836" s="548"/>
      <c r="L8836" s="548"/>
      <c r="M8836" s="548"/>
      <c r="N8836" s="552">
        <v>198200</v>
      </c>
      <c r="R8836" s="558">
        <v>1009.313</v>
      </c>
      <c r="S8836" s="558">
        <v>1009.74023249243</v>
      </c>
      <c r="T8836" s="538">
        <v>15.450100000000001</v>
      </c>
      <c r="U8836" s="538">
        <v>300.07</v>
      </c>
      <c r="V8836" s="538">
        <v>150.03</v>
      </c>
      <c r="Y8836" s="551"/>
    </row>
    <row r="8837" spans="1:25">
      <c r="A8837" s="499">
        <v>45810</v>
      </c>
      <c r="B8837" s="499">
        <v>45811</v>
      </c>
      <c r="C8837" s="500" t="s">
        <v>173</v>
      </c>
      <c r="D8837" s="500" t="s">
        <v>762</v>
      </c>
      <c r="E8837" s="501">
        <v>3618776664.4099998</v>
      </c>
      <c r="F8837" s="502" t="s">
        <v>878</v>
      </c>
      <c r="G8837" s="100" t="s">
        <v>633</v>
      </c>
      <c r="H8837" s="484">
        <v>117308966</v>
      </c>
      <c r="I8837" s="422"/>
      <c r="K8837" s="548"/>
      <c r="L8837" s="548"/>
      <c r="M8837" s="548"/>
      <c r="N8837" s="552">
        <v>6959108</v>
      </c>
      <c r="R8837" s="558">
        <v>519.78579999999999</v>
      </c>
      <c r="S8837" s="558">
        <v>520.00582034507897</v>
      </c>
      <c r="T8837" s="538">
        <v>15.450100000000001</v>
      </c>
      <c r="U8837" s="538">
        <v>5425.87</v>
      </c>
      <c r="V8837" s="538">
        <v>2712.93</v>
      </c>
      <c r="Y8837" s="551"/>
    </row>
    <row r="8838" spans="1:25">
      <c r="A8838" s="499">
        <v>45810</v>
      </c>
      <c r="B8838" s="499">
        <v>45811</v>
      </c>
      <c r="C8838" s="500" t="s">
        <v>173</v>
      </c>
      <c r="D8838" s="500" t="s">
        <v>762</v>
      </c>
      <c r="E8838" s="501">
        <v>24011788.690000001</v>
      </c>
      <c r="F8838" s="502" t="s">
        <v>878</v>
      </c>
      <c r="G8838" s="100" t="s">
        <v>633</v>
      </c>
      <c r="H8838" s="484">
        <v>117309043</v>
      </c>
      <c r="I8838" s="422"/>
      <c r="K8838" s="548"/>
      <c r="L8838" s="548"/>
      <c r="M8838" s="548"/>
      <c r="N8838" s="552">
        <v>46176</v>
      </c>
      <c r="R8838" s="558">
        <v>519.78579999999999</v>
      </c>
      <c r="S8838" s="558">
        <v>520.00581882363099</v>
      </c>
      <c r="T8838" s="538">
        <v>15.45</v>
      </c>
      <c r="U8838" s="538">
        <v>39.32</v>
      </c>
      <c r="V8838" s="538">
        <v>18</v>
      </c>
      <c r="Y8838" s="551"/>
    </row>
    <row r="8839" spans="1:25">
      <c r="A8839" s="499">
        <v>45810</v>
      </c>
      <c r="B8839" s="499">
        <v>45810</v>
      </c>
      <c r="C8839" s="500" t="s">
        <v>173</v>
      </c>
      <c r="D8839" s="500" t="s">
        <v>761</v>
      </c>
      <c r="E8839" s="501">
        <v>-1079076358.6700001</v>
      </c>
      <c r="F8839" s="502" t="s">
        <v>878</v>
      </c>
      <c r="G8839" s="100" t="s">
        <v>686</v>
      </c>
      <c r="H8839" s="530"/>
      <c r="I8839" s="422"/>
      <c r="K8839" s="548"/>
      <c r="L8839" s="548"/>
      <c r="M8839" s="548"/>
      <c r="N8839" s="552">
        <v>1130792</v>
      </c>
      <c r="R8839" s="539">
        <v>954.26599999823145</v>
      </c>
      <c r="S8839" s="539">
        <v>954.67045191334898</v>
      </c>
      <c r="T8839" s="538">
        <v>15.47</v>
      </c>
      <c r="U8839" s="538">
        <v>1618.61</v>
      </c>
      <c r="V8839" s="538">
        <v>809.31</v>
      </c>
      <c r="Y8839" s="551"/>
    </row>
    <row r="8840" spans="1:25">
      <c r="A8840" s="499">
        <v>45810</v>
      </c>
      <c r="B8840" s="499">
        <v>45810</v>
      </c>
      <c r="C8840" s="500" t="s">
        <v>173</v>
      </c>
      <c r="D8840" s="500" t="s">
        <v>761</v>
      </c>
      <c r="E8840" s="501">
        <v>-6000424.6100000003</v>
      </c>
      <c r="F8840" s="502" t="s">
        <v>878</v>
      </c>
      <c r="G8840" s="100" t="s">
        <v>686</v>
      </c>
      <c r="H8840" s="530"/>
      <c r="I8840" s="422"/>
      <c r="K8840" s="548"/>
      <c r="L8840" s="548"/>
      <c r="M8840" s="548"/>
      <c r="N8840" s="552">
        <v>6288</v>
      </c>
      <c r="R8840" s="539">
        <v>954.26600031806618</v>
      </c>
      <c r="S8840" s="539">
        <v>954.67045165394404</v>
      </c>
      <c r="T8840" s="538">
        <v>15.47</v>
      </c>
      <c r="U8840" s="538">
        <v>39.32</v>
      </c>
      <c r="V8840" s="538">
        <v>4.5</v>
      </c>
      <c r="Y8840" s="551"/>
    </row>
    <row r="8841" spans="1:25">
      <c r="A8841" s="499">
        <v>45810</v>
      </c>
      <c r="B8841" s="499">
        <v>45811</v>
      </c>
      <c r="C8841" s="500" t="s">
        <v>173</v>
      </c>
      <c r="D8841" s="500" t="s">
        <v>761</v>
      </c>
      <c r="E8841" s="501">
        <v>1079533709.6600001</v>
      </c>
      <c r="F8841" s="502" t="s">
        <v>878</v>
      </c>
      <c r="G8841" s="100" t="s">
        <v>686</v>
      </c>
      <c r="H8841" s="100">
        <v>117308366</v>
      </c>
      <c r="I8841" s="422"/>
      <c r="K8841" s="548"/>
      <c r="L8841" s="548"/>
      <c r="M8841" s="548"/>
      <c r="N8841" s="552">
        <v>1130792</v>
      </c>
      <c r="R8841" s="539">
        <v>954.26599999823145</v>
      </c>
      <c r="S8841" s="539">
        <v>954.67045191334898</v>
      </c>
      <c r="T8841" s="538">
        <v>15.47</v>
      </c>
      <c r="U8841" s="538">
        <v>1618.61</v>
      </c>
      <c r="V8841" s="538">
        <v>809.31</v>
      </c>
      <c r="Y8841" s="551"/>
    </row>
    <row r="8842" spans="1:25">
      <c r="A8842" s="499">
        <v>45810</v>
      </c>
      <c r="B8842" s="499">
        <v>45811</v>
      </c>
      <c r="C8842" s="500" t="s">
        <v>173</v>
      </c>
      <c r="D8842" s="500" t="s">
        <v>761</v>
      </c>
      <c r="E8842" s="501">
        <v>6002967.7999999998</v>
      </c>
      <c r="F8842" s="502" t="s">
        <v>878</v>
      </c>
      <c r="G8842" s="100" t="s">
        <v>686</v>
      </c>
      <c r="H8842" s="100">
        <v>117308391</v>
      </c>
      <c r="I8842" s="422"/>
      <c r="K8842" s="548"/>
      <c r="L8842" s="548"/>
      <c r="M8842" s="548"/>
      <c r="N8842" s="552">
        <v>6288</v>
      </c>
      <c r="R8842" s="539">
        <v>954.26600031806618</v>
      </c>
      <c r="S8842" s="539">
        <v>954.67045165394404</v>
      </c>
      <c r="T8842" s="538">
        <v>15.47</v>
      </c>
      <c r="U8842" s="538">
        <v>39.32</v>
      </c>
      <c r="V8842" s="538">
        <v>4.5</v>
      </c>
      <c r="Y8842" s="551"/>
    </row>
    <row r="8843" spans="1:25">
      <c r="A8843" s="499">
        <v>45810</v>
      </c>
      <c r="B8843" s="499">
        <v>45810</v>
      </c>
      <c r="C8843" s="500" t="s">
        <v>173</v>
      </c>
      <c r="D8843" s="500" t="s">
        <v>759</v>
      </c>
      <c r="E8843" s="501">
        <v>-7215151038.1899996</v>
      </c>
      <c r="F8843" s="502" t="s">
        <v>878</v>
      </c>
      <c r="G8843" s="100" t="s">
        <v>693</v>
      </c>
      <c r="H8843" s="530"/>
      <c r="I8843" s="422"/>
      <c r="K8843" s="548"/>
      <c r="L8843" s="548"/>
      <c r="M8843" s="548"/>
      <c r="N8843" s="552">
        <v>8740944</v>
      </c>
      <c r="R8843" s="539">
        <v>825.44299999977113</v>
      </c>
      <c r="S8843" s="539">
        <v>827.95213640197198</v>
      </c>
      <c r="T8843" s="538">
        <v>15.850099999999999</v>
      </c>
      <c r="U8843" s="538">
        <v>75759.09</v>
      </c>
      <c r="V8843" s="538">
        <v>37879.54</v>
      </c>
      <c r="Y8843" s="551"/>
    </row>
    <row r="8844" spans="1:25">
      <c r="A8844" s="499">
        <v>45810</v>
      </c>
      <c r="B8844" s="499">
        <v>45810</v>
      </c>
      <c r="C8844" s="500" t="s">
        <v>173</v>
      </c>
      <c r="D8844" s="500" t="s">
        <v>759</v>
      </c>
      <c r="E8844" s="501">
        <v>-2000000265.5999999</v>
      </c>
      <c r="F8844" s="502" t="s">
        <v>878</v>
      </c>
      <c r="G8844" s="100" t="s">
        <v>2591</v>
      </c>
      <c r="H8844" s="530"/>
      <c r="I8844" s="422"/>
      <c r="K8844" s="548"/>
      <c r="L8844" s="548"/>
      <c r="M8844" s="548"/>
      <c r="N8844" s="552">
        <v>20184000</v>
      </c>
      <c r="R8844" s="539">
        <v>99.088399999999993</v>
      </c>
      <c r="S8844" s="539">
        <v>99.130750110483504</v>
      </c>
      <c r="T8844" s="538">
        <v>15.6</v>
      </c>
      <c r="U8844" s="538">
        <v>3000</v>
      </c>
      <c r="V8844" s="538">
        <v>1500</v>
      </c>
      <c r="Y8844" s="551"/>
    </row>
    <row r="8845" spans="1:25">
      <c r="A8845" s="499">
        <v>45810</v>
      </c>
      <c r="B8845" s="499">
        <v>45810</v>
      </c>
      <c r="C8845" s="500" t="s">
        <v>173</v>
      </c>
      <c r="D8845" s="500" t="s">
        <v>759</v>
      </c>
      <c r="E8845" s="501">
        <v>-583029384.37</v>
      </c>
      <c r="F8845" s="502" t="s">
        <v>878</v>
      </c>
      <c r="G8845" s="100" t="s">
        <v>592</v>
      </c>
      <c r="H8845" s="530"/>
      <c r="I8845" s="422"/>
      <c r="K8845" s="548"/>
      <c r="L8845" s="548"/>
      <c r="M8845" s="548"/>
      <c r="N8845" s="552">
        <v>630806</v>
      </c>
      <c r="R8845" s="539">
        <v>924.26100000634108</v>
      </c>
      <c r="S8845" s="539">
        <v>927.05277467240296</v>
      </c>
      <c r="T8845" s="538">
        <v>15.75</v>
      </c>
      <c r="U8845" s="538">
        <v>6121.81</v>
      </c>
      <c r="V8845" s="538">
        <v>3060.9</v>
      </c>
      <c r="Y8845" s="551"/>
    </row>
    <row r="8846" spans="1:25">
      <c r="A8846" s="499">
        <v>45810</v>
      </c>
      <c r="B8846" s="499">
        <v>45810</v>
      </c>
      <c r="C8846" s="500" t="s">
        <v>173</v>
      </c>
      <c r="D8846" s="500" t="s">
        <v>759</v>
      </c>
      <c r="E8846" s="501">
        <v>-4001806.37</v>
      </c>
      <c r="F8846" s="502" t="s">
        <v>878</v>
      </c>
      <c r="G8846" s="100" t="s">
        <v>677</v>
      </c>
      <c r="H8846" s="530"/>
      <c r="I8846" s="422"/>
      <c r="K8846" s="548"/>
      <c r="L8846" s="548"/>
      <c r="M8846" s="548"/>
      <c r="N8846" s="552">
        <v>4464</v>
      </c>
      <c r="R8846" s="539">
        <v>896.46200044802868</v>
      </c>
      <c r="S8846" s="539">
        <v>899.17152553763401</v>
      </c>
      <c r="T8846" s="538">
        <v>15.76</v>
      </c>
      <c r="U8846" s="538">
        <v>42.02</v>
      </c>
      <c r="V8846" s="538">
        <v>21.01</v>
      </c>
      <c r="Y8846" s="551"/>
    </row>
    <row r="8847" spans="1:25">
      <c r="A8847" s="499">
        <v>45810</v>
      </c>
      <c r="B8847" s="499">
        <v>45817</v>
      </c>
      <c r="C8847" s="500" t="s">
        <v>173</v>
      </c>
      <c r="D8847" s="500" t="s">
        <v>759</v>
      </c>
      <c r="E8847" s="501">
        <v>7237083258.9700003</v>
      </c>
      <c r="F8847" s="502" t="s">
        <v>878</v>
      </c>
      <c r="G8847" s="100" t="s">
        <v>693</v>
      </c>
      <c r="H8847" s="484">
        <v>117305839</v>
      </c>
      <c r="I8847" s="422"/>
      <c r="K8847" s="548"/>
      <c r="L8847" s="548"/>
      <c r="M8847" s="548"/>
      <c r="N8847" s="552">
        <v>8740944</v>
      </c>
      <c r="R8847" s="539">
        <v>825.44299999977113</v>
      </c>
      <c r="S8847" s="539">
        <v>827.95213640197198</v>
      </c>
      <c r="T8847" s="538">
        <v>15.850099999999999</v>
      </c>
      <c r="U8847" s="538">
        <v>75759.09</v>
      </c>
      <c r="V8847" s="538">
        <v>37879.54</v>
      </c>
      <c r="Y8847" s="551"/>
    </row>
    <row r="8848" spans="1:25">
      <c r="A8848" s="499">
        <v>45810</v>
      </c>
      <c r="B8848" s="499">
        <v>45811</v>
      </c>
      <c r="C8848" s="500" t="s">
        <v>173</v>
      </c>
      <c r="D8848" s="500" t="s">
        <v>759</v>
      </c>
      <c r="E8848" s="501">
        <v>2000855060.23</v>
      </c>
      <c r="F8848" s="502" t="s">
        <v>878</v>
      </c>
      <c r="G8848" s="100" t="s">
        <v>2591</v>
      </c>
      <c r="H8848" s="484">
        <v>117306049</v>
      </c>
      <c r="I8848" s="422"/>
      <c r="K8848" s="548"/>
      <c r="L8848" s="548"/>
      <c r="M8848" s="548"/>
      <c r="N8848" s="552">
        <v>20184000</v>
      </c>
      <c r="R8848" s="539">
        <v>99.088399999999993</v>
      </c>
      <c r="S8848" s="539">
        <v>99.130750110483504</v>
      </c>
      <c r="T8848" s="538">
        <v>15.6</v>
      </c>
      <c r="U8848" s="538">
        <v>3000</v>
      </c>
      <c r="V8848" s="538">
        <v>1500</v>
      </c>
      <c r="Y8848" s="551"/>
    </row>
    <row r="8849" spans="1:25">
      <c r="A8849" s="499">
        <v>45810</v>
      </c>
      <c r="B8849" s="499">
        <v>45817</v>
      </c>
      <c r="C8849" s="500" t="s">
        <v>173</v>
      </c>
      <c r="D8849" s="500" t="s">
        <v>759</v>
      </c>
      <c r="E8849" s="501">
        <v>584790452.58000004</v>
      </c>
      <c r="F8849" s="502" t="s">
        <v>878</v>
      </c>
      <c r="G8849" s="100" t="s">
        <v>592</v>
      </c>
      <c r="H8849" s="484">
        <v>117306824</v>
      </c>
      <c r="I8849" s="422"/>
      <c r="K8849" s="548"/>
      <c r="L8849" s="548"/>
      <c r="M8849" s="548"/>
      <c r="N8849" s="552">
        <v>630806</v>
      </c>
      <c r="R8849" s="539">
        <v>924.26100000634108</v>
      </c>
      <c r="S8849" s="539">
        <v>927.05277467240296</v>
      </c>
      <c r="T8849" s="538">
        <v>15.75</v>
      </c>
      <c r="U8849" s="538">
        <v>6121.81</v>
      </c>
      <c r="V8849" s="538">
        <v>3060.9</v>
      </c>
      <c r="Y8849" s="551"/>
    </row>
    <row r="8850" spans="1:25">
      <c r="A8850" s="499">
        <v>45810</v>
      </c>
      <c r="B8850" s="499">
        <v>45817</v>
      </c>
      <c r="C8850" s="500" t="s">
        <v>173</v>
      </c>
      <c r="D8850" s="500" t="s">
        <v>759</v>
      </c>
      <c r="E8850" s="501">
        <v>4013901.69</v>
      </c>
      <c r="F8850" s="502" t="s">
        <v>878</v>
      </c>
      <c r="G8850" s="100" t="s">
        <v>677</v>
      </c>
      <c r="H8850" s="484">
        <v>117306883</v>
      </c>
      <c r="I8850" s="422"/>
      <c r="K8850" s="548"/>
      <c r="L8850" s="548"/>
      <c r="M8850" s="548"/>
      <c r="N8850" s="552">
        <v>4464</v>
      </c>
      <c r="R8850" s="539">
        <v>896.46200044802868</v>
      </c>
      <c r="S8850" s="539">
        <v>899.17152553763401</v>
      </c>
      <c r="T8850" s="538">
        <v>15.76</v>
      </c>
      <c r="U8850" s="538">
        <v>42.02</v>
      </c>
      <c r="V8850" s="538">
        <v>21.01</v>
      </c>
      <c r="Y8850" s="551"/>
    </row>
    <row r="8851" spans="1:25">
      <c r="A8851" s="499">
        <v>45810</v>
      </c>
      <c r="B8851" s="499">
        <v>45810</v>
      </c>
      <c r="C8851" s="500" t="s">
        <v>173</v>
      </c>
      <c r="D8851" s="500" t="s">
        <v>760</v>
      </c>
      <c r="E8851" s="501">
        <v>-185074323.75</v>
      </c>
      <c r="F8851" s="502" t="s">
        <v>878</v>
      </c>
      <c r="G8851" s="100" t="s">
        <v>681</v>
      </c>
      <c r="H8851" s="530"/>
      <c r="I8851" s="422"/>
      <c r="K8851" s="548"/>
      <c r="L8851" s="548"/>
      <c r="M8851" s="548"/>
      <c r="N8851" s="552">
        <v>208125</v>
      </c>
      <c r="R8851" s="539">
        <v>889.24599999999998</v>
      </c>
      <c r="S8851" s="539">
        <v>891.95760826426397</v>
      </c>
      <c r="T8851" s="538">
        <v>15.9001</v>
      </c>
      <c r="U8851" s="538">
        <v>1943.28</v>
      </c>
      <c r="V8851" s="538">
        <v>971.64</v>
      </c>
      <c r="Y8851" s="551"/>
    </row>
    <row r="8852" spans="1:25">
      <c r="A8852" s="499">
        <v>45810</v>
      </c>
      <c r="B8852" s="499">
        <v>45817</v>
      </c>
      <c r="C8852" s="500" t="s">
        <v>173</v>
      </c>
      <c r="D8852" s="500" t="s">
        <v>760</v>
      </c>
      <c r="E8852" s="501">
        <v>185638677.22</v>
      </c>
      <c r="F8852" s="502" t="s">
        <v>878</v>
      </c>
      <c r="G8852" s="100" t="s">
        <v>681</v>
      </c>
      <c r="H8852" s="100">
        <v>117305318</v>
      </c>
      <c r="I8852" s="422"/>
      <c r="K8852" s="548"/>
      <c r="L8852" s="548"/>
      <c r="M8852" s="548"/>
      <c r="N8852" s="552">
        <v>208125</v>
      </c>
      <c r="R8852" s="539">
        <v>889.24599999999998</v>
      </c>
      <c r="S8852" s="539">
        <v>891.95760826426397</v>
      </c>
      <c r="T8852" s="538">
        <v>15.9001</v>
      </c>
      <c r="U8852" s="538">
        <v>1943.28</v>
      </c>
      <c r="V8852" s="538">
        <v>971.64</v>
      </c>
      <c r="Y8852" s="551"/>
    </row>
    <row r="8853" spans="1:25">
      <c r="A8853" s="499">
        <v>45810</v>
      </c>
      <c r="B8853" s="499">
        <v>45810</v>
      </c>
      <c r="C8853" s="500" t="s">
        <v>173</v>
      </c>
      <c r="D8853" s="500" t="s">
        <v>764</v>
      </c>
      <c r="E8853" s="501">
        <v>-4649510225.75</v>
      </c>
      <c r="F8853" s="502" t="s">
        <v>878</v>
      </c>
      <c r="G8853" s="100" t="s">
        <v>588</v>
      </c>
      <c r="H8853" s="530"/>
      <c r="I8853" s="422"/>
      <c r="K8853" s="548"/>
      <c r="L8853" s="548"/>
      <c r="M8853" s="548"/>
      <c r="N8853" s="552">
        <v>4363533</v>
      </c>
      <c r="R8853" s="539">
        <v>1065.5379999990832</v>
      </c>
      <c r="S8853" s="539">
        <v>1068.7565086158399</v>
      </c>
      <c r="T8853" s="538">
        <v>15.75</v>
      </c>
      <c r="U8853" s="538">
        <v>48819.86</v>
      </c>
      <c r="V8853" s="538">
        <v>24409.93</v>
      </c>
      <c r="Y8853" s="551"/>
    </row>
    <row r="8854" spans="1:25">
      <c r="A8854" s="499">
        <v>45810</v>
      </c>
      <c r="B8854" s="499">
        <v>45810</v>
      </c>
      <c r="C8854" s="500" t="s">
        <v>173</v>
      </c>
      <c r="D8854" s="500" t="s">
        <v>764</v>
      </c>
      <c r="E8854" s="501">
        <v>-25013504.550000001</v>
      </c>
      <c r="F8854" s="502" t="s">
        <v>878</v>
      </c>
      <c r="G8854" s="100" t="s">
        <v>588</v>
      </c>
      <c r="H8854" s="530"/>
      <c r="I8854" s="422"/>
      <c r="K8854" s="548"/>
      <c r="L8854" s="548"/>
      <c r="M8854" s="548"/>
      <c r="N8854" s="552">
        <v>23475</v>
      </c>
      <c r="R8854" s="539">
        <v>1065.538</v>
      </c>
      <c r="S8854" s="539">
        <v>1068.7565086262</v>
      </c>
      <c r="T8854" s="538">
        <v>15.75</v>
      </c>
      <c r="U8854" s="538">
        <v>262.64</v>
      </c>
      <c r="V8854" s="538">
        <v>131.32</v>
      </c>
      <c r="Y8854" s="551"/>
    </row>
    <row r="8855" spans="1:25">
      <c r="A8855" s="499">
        <v>45810</v>
      </c>
      <c r="B8855" s="499">
        <v>45817</v>
      </c>
      <c r="C8855" s="500" t="s">
        <v>173</v>
      </c>
      <c r="D8855" s="500" t="s">
        <v>764</v>
      </c>
      <c r="E8855" s="501">
        <v>4663554294.3100004</v>
      </c>
      <c r="F8855" s="502" t="s">
        <v>878</v>
      </c>
      <c r="G8855" s="100" t="s">
        <v>588</v>
      </c>
      <c r="H8855" s="100">
        <v>117308502</v>
      </c>
      <c r="I8855" s="422"/>
      <c r="K8855" s="548"/>
      <c r="L8855" s="548"/>
      <c r="M8855" s="548"/>
      <c r="N8855" s="552">
        <v>4363533</v>
      </c>
      <c r="R8855" s="539">
        <v>1065.5379999990832</v>
      </c>
      <c r="S8855" s="539">
        <v>1068.7565086158399</v>
      </c>
      <c r="T8855" s="538">
        <v>15.75</v>
      </c>
      <c r="U8855" s="538">
        <v>48819.86</v>
      </c>
      <c r="V8855" s="538">
        <v>24409.93</v>
      </c>
      <c r="Y8855" s="551"/>
    </row>
    <row r="8856" spans="1:25">
      <c r="A8856" s="499">
        <v>45810</v>
      </c>
      <c r="B8856" s="499">
        <v>45817</v>
      </c>
      <c r="C8856" s="500" t="s">
        <v>173</v>
      </c>
      <c r="D8856" s="500" t="s">
        <v>764</v>
      </c>
      <c r="E8856" s="501">
        <v>25089059.039999999</v>
      </c>
      <c r="F8856" s="502" t="s">
        <v>878</v>
      </c>
      <c r="G8856" s="100" t="s">
        <v>588</v>
      </c>
      <c r="H8856" s="100">
        <v>117308529</v>
      </c>
      <c r="I8856" s="422"/>
      <c r="K8856" s="548"/>
      <c r="L8856" s="548"/>
      <c r="M8856" s="548"/>
      <c r="N8856" s="552">
        <v>23475</v>
      </c>
      <c r="R8856" s="539">
        <v>1065.538</v>
      </c>
      <c r="S8856" s="539">
        <v>1068.7565086262</v>
      </c>
      <c r="T8856" s="538">
        <v>15.75</v>
      </c>
      <c r="U8856" s="538">
        <v>262.64</v>
      </c>
      <c r="V8856" s="538">
        <v>131.32</v>
      </c>
      <c r="Y8856" s="551"/>
    </row>
    <row r="8857" spans="1:25">
      <c r="A8857" s="499">
        <v>45810</v>
      </c>
      <c r="B8857" s="499">
        <v>45810</v>
      </c>
      <c r="C8857" s="500" t="s">
        <v>173</v>
      </c>
      <c r="D8857" s="500" t="s">
        <v>763</v>
      </c>
      <c r="E8857" s="501">
        <v>-1000070.77</v>
      </c>
      <c r="F8857" s="502" t="s">
        <v>878</v>
      </c>
      <c r="G8857" s="100" t="s">
        <v>686</v>
      </c>
      <c r="H8857" s="530"/>
      <c r="I8857" s="422"/>
      <c r="K8857" s="548"/>
      <c r="L8857" s="548"/>
      <c r="M8857" s="548"/>
      <c r="N8857" s="552">
        <v>1048</v>
      </c>
      <c r="R8857" s="559">
        <v>954.26600190839713</v>
      </c>
      <c r="S8857" s="559">
        <v>954.6714980916031</v>
      </c>
      <c r="T8857" s="538">
        <v>15.51</v>
      </c>
      <c r="U8857" s="538">
        <v>39.32</v>
      </c>
      <c r="V8857" s="538">
        <v>39.32</v>
      </c>
      <c r="Y8857" s="551"/>
    </row>
    <row r="8858" spans="1:25">
      <c r="A8858" s="499">
        <v>45810</v>
      </c>
      <c r="B8858" s="499">
        <v>45810</v>
      </c>
      <c r="C8858" s="500" t="s">
        <v>173</v>
      </c>
      <c r="D8858" s="500" t="s">
        <v>763</v>
      </c>
      <c r="E8858" s="501">
        <v>-5001145915</v>
      </c>
      <c r="F8858" s="502" t="s">
        <v>878</v>
      </c>
      <c r="G8858" s="100" t="s">
        <v>680</v>
      </c>
      <c r="H8858" s="530"/>
      <c r="I8858" s="422"/>
      <c r="K8858" s="548"/>
      <c r="L8858" s="548"/>
      <c r="M8858" s="548"/>
      <c r="N8858" s="552">
        <v>4955000</v>
      </c>
      <c r="R8858" s="559">
        <v>1009.3130000000001</v>
      </c>
      <c r="S8858" s="559">
        <v>1009.7419027204841</v>
      </c>
      <c r="T8858" s="538">
        <v>15.5105</v>
      </c>
      <c r="U8858" s="538">
        <v>7501.72</v>
      </c>
      <c r="V8858" s="538">
        <v>3750.86</v>
      </c>
      <c r="Y8858" s="551"/>
    </row>
    <row r="8859" spans="1:25">
      <c r="A8859" s="499">
        <v>45810</v>
      </c>
      <c r="B8859" s="499">
        <v>45810</v>
      </c>
      <c r="C8859" s="500" t="s">
        <v>173</v>
      </c>
      <c r="D8859" s="500" t="s">
        <v>763</v>
      </c>
      <c r="E8859" s="501">
        <v>-843538701.45000005</v>
      </c>
      <c r="F8859" s="502" t="s">
        <v>878</v>
      </c>
      <c r="G8859" s="100" t="s">
        <v>1047</v>
      </c>
      <c r="H8859" s="530"/>
      <c r="I8859" s="422"/>
      <c r="K8859" s="548"/>
      <c r="L8859" s="548"/>
      <c r="M8859" s="548"/>
      <c r="N8859" s="552">
        <v>815181</v>
      </c>
      <c r="R8859" s="559">
        <v>1034.7870000036801</v>
      </c>
      <c r="S8859" s="559">
        <v>1035.2267164347538</v>
      </c>
      <c r="T8859" s="538">
        <v>15.5101</v>
      </c>
      <c r="U8859" s="538">
        <v>1265.31</v>
      </c>
      <c r="V8859" s="538">
        <v>632.65</v>
      </c>
      <c r="Y8859" s="551"/>
    </row>
    <row r="8860" spans="1:25">
      <c r="A8860" s="499">
        <v>45810</v>
      </c>
      <c r="B8860" s="499">
        <v>45810</v>
      </c>
      <c r="C8860" s="500" t="s">
        <v>173</v>
      </c>
      <c r="D8860" s="500" t="s">
        <v>763</v>
      </c>
      <c r="E8860" s="501">
        <v>-33021087.960000001</v>
      </c>
      <c r="F8860" s="502" t="s">
        <v>878</v>
      </c>
      <c r="G8860" s="100" t="s">
        <v>1047</v>
      </c>
      <c r="H8860" s="530"/>
      <c r="I8860" s="422"/>
      <c r="K8860" s="548"/>
      <c r="L8860" s="548"/>
      <c r="M8860" s="548"/>
      <c r="N8860" s="552">
        <v>31911</v>
      </c>
      <c r="R8860" s="559">
        <v>1034.7870000940111</v>
      </c>
      <c r="S8860" s="559">
        <v>1035.226716492745</v>
      </c>
      <c r="T8860" s="538">
        <v>15.5101</v>
      </c>
      <c r="U8860" s="538">
        <v>49.53</v>
      </c>
      <c r="V8860" s="538">
        <v>39.32</v>
      </c>
      <c r="Y8860" s="551"/>
    </row>
    <row r="8861" spans="1:25">
      <c r="A8861" s="499">
        <v>45810</v>
      </c>
      <c r="B8861" s="499">
        <v>45811</v>
      </c>
      <c r="C8861" s="500" t="s">
        <v>173</v>
      </c>
      <c r="D8861" s="500" t="s">
        <v>763</v>
      </c>
      <c r="E8861" s="501">
        <v>1000495.73</v>
      </c>
      <c r="F8861" s="502" t="s">
        <v>878</v>
      </c>
      <c r="G8861" s="100" t="s">
        <v>686</v>
      </c>
      <c r="H8861" s="484" t="s">
        <v>686</v>
      </c>
      <c r="I8861" s="422"/>
      <c r="K8861" s="548"/>
      <c r="L8861" s="548"/>
      <c r="M8861" s="548"/>
      <c r="N8861" s="552">
        <v>1048</v>
      </c>
      <c r="R8861" s="559">
        <v>954.26600190839713</v>
      </c>
      <c r="S8861" s="559">
        <v>954.6714980916031</v>
      </c>
      <c r="T8861" s="538">
        <v>15.51</v>
      </c>
      <c r="U8861" s="538">
        <v>39.32</v>
      </c>
      <c r="V8861" s="538">
        <v>39.32</v>
      </c>
      <c r="Y8861" s="551"/>
    </row>
    <row r="8862" spans="1:25">
      <c r="A8862" s="499">
        <v>45810</v>
      </c>
      <c r="B8862" s="499">
        <v>45811</v>
      </c>
      <c r="C8862" s="500" t="s">
        <v>173</v>
      </c>
      <c r="D8862" s="500" t="s">
        <v>763</v>
      </c>
      <c r="E8862" s="501">
        <v>5003271127.9799995</v>
      </c>
      <c r="F8862" s="502" t="s">
        <v>878</v>
      </c>
      <c r="G8862" s="100" t="s">
        <v>680</v>
      </c>
      <c r="H8862" s="484" t="s">
        <v>2601</v>
      </c>
      <c r="I8862" s="422"/>
      <c r="K8862" s="548"/>
      <c r="L8862" s="548"/>
      <c r="M8862" s="548"/>
      <c r="N8862" s="552">
        <v>4955000</v>
      </c>
      <c r="R8862" s="559">
        <v>1009.3130000000001</v>
      </c>
      <c r="S8862" s="559">
        <v>1009.7419027204841</v>
      </c>
      <c r="T8862" s="538">
        <v>15.5105</v>
      </c>
      <c r="U8862" s="538">
        <v>7501.72</v>
      </c>
      <c r="V8862" s="538">
        <v>3750.86</v>
      </c>
      <c r="Y8862" s="551"/>
    </row>
    <row r="8863" spans="1:25">
      <c r="A8863" s="499">
        <v>45810</v>
      </c>
      <c r="B8863" s="499">
        <v>45811</v>
      </c>
      <c r="C8863" s="500" t="s">
        <v>173</v>
      </c>
      <c r="D8863" s="500" t="s">
        <v>763</v>
      </c>
      <c r="E8863" s="501">
        <v>843897149.92999995</v>
      </c>
      <c r="F8863" s="502" t="s">
        <v>878</v>
      </c>
      <c r="G8863" s="100" t="s">
        <v>1047</v>
      </c>
      <c r="H8863" s="484" t="s">
        <v>1047</v>
      </c>
      <c r="I8863" s="422"/>
      <c r="K8863" s="548"/>
      <c r="L8863" s="548"/>
      <c r="M8863" s="548"/>
      <c r="N8863" s="552">
        <v>815181</v>
      </c>
      <c r="R8863" s="559">
        <v>1034.7870000036801</v>
      </c>
      <c r="S8863" s="559">
        <v>1035.2267164347538</v>
      </c>
      <c r="T8863" s="538">
        <v>15.5101</v>
      </c>
      <c r="U8863" s="538">
        <v>1265.31</v>
      </c>
      <c r="V8863" s="538">
        <v>632.65</v>
      </c>
      <c r="Y8863" s="551"/>
    </row>
    <row r="8864" spans="1:25">
      <c r="A8864" s="499">
        <v>45810</v>
      </c>
      <c r="B8864" s="499">
        <v>45811</v>
      </c>
      <c r="C8864" s="500" t="s">
        <v>173</v>
      </c>
      <c r="D8864" s="500" t="s">
        <v>763</v>
      </c>
      <c r="E8864" s="501">
        <v>33035119.75</v>
      </c>
      <c r="F8864" s="502" t="s">
        <v>878</v>
      </c>
      <c r="G8864" s="100" t="s">
        <v>1047</v>
      </c>
      <c r="H8864" s="484" t="s">
        <v>2602</v>
      </c>
      <c r="I8864" s="422"/>
      <c r="K8864" s="548"/>
      <c r="L8864" s="548"/>
      <c r="M8864" s="548"/>
      <c r="N8864" s="552">
        <v>31911</v>
      </c>
      <c r="R8864" s="559">
        <v>1034.7870000940111</v>
      </c>
      <c r="S8864" s="559">
        <v>1035.226716492745</v>
      </c>
      <c r="T8864" s="538">
        <v>15.5101</v>
      </c>
      <c r="U8864" s="538">
        <v>49.53</v>
      </c>
      <c r="V8864" s="538">
        <v>39.32</v>
      </c>
      <c r="Y8864" s="551"/>
    </row>
    <row r="8865" spans="1:25">
      <c r="A8865" s="499">
        <v>45811</v>
      </c>
      <c r="B8865" s="499">
        <v>45811</v>
      </c>
      <c r="C8865" s="500" t="s">
        <v>173</v>
      </c>
      <c r="D8865" s="500" t="s">
        <v>762</v>
      </c>
      <c r="E8865" s="501">
        <v>-3819734310.8299999</v>
      </c>
      <c r="F8865" s="502" t="s">
        <v>878</v>
      </c>
      <c r="G8865" s="100" t="s">
        <v>633</v>
      </c>
      <c r="H8865" s="530"/>
      <c r="I8865" s="422"/>
      <c r="K8865" s="548"/>
      <c r="L8865" s="548"/>
      <c r="M8865" s="548"/>
      <c r="N8865" s="552">
        <v>7336299</v>
      </c>
      <c r="R8865" s="558">
        <v>520.66229999999996</v>
      </c>
      <c r="S8865" s="558">
        <v>520.88140753396203</v>
      </c>
      <c r="T8865" s="538">
        <v>15.360099999999999</v>
      </c>
      <c r="U8865" s="538">
        <v>5729.6</v>
      </c>
      <c r="V8865" s="538">
        <v>2864.8</v>
      </c>
      <c r="Y8865" s="551"/>
    </row>
    <row r="8866" spans="1:25">
      <c r="A8866" s="499">
        <v>45811</v>
      </c>
      <c r="B8866" s="499">
        <v>45811</v>
      </c>
      <c r="C8866" s="500" t="s">
        <v>173</v>
      </c>
      <c r="D8866" s="500" t="s">
        <v>762</v>
      </c>
      <c r="E8866" s="501">
        <v>-23004422.399999999</v>
      </c>
      <c r="F8866" s="502" t="s">
        <v>878</v>
      </c>
      <c r="G8866" s="100" t="s">
        <v>633</v>
      </c>
      <c r="H8866" s="530"/>
      <c r="I8866" s="422"/>
      <c r="K8866" s="548"/>
      <c r="L8866" s="548"/>
      <c r="M8866" s="548"/>
      <c r="N8866" s="552">
        <v>44183</v>
      </c>
      <c r="R8866" s="558">
        <v>520.66229999999996</v>
      </c>
      <c r="S8866" s="558">
        <v>520.88140755494203</v>
      </c>
      <c r="T8866" s="538">
        <v>15.360099999999999</v>
      </c>
      <c r="U8866" s="538">
        <v>39.32</v>
      </c>
      <c r="V8866" s="538">
        <v>17.25</v>
      </c>
      <c r="Y8866" s="551"/>
    </row>
    <row r="8867" spans="1:25">
      <c r="A8867" s="499">
        <v>45811</v>
      </c>
      <c r="B8867" s="499">
        <v>45812</v>
      </c>
      <c r="C8867" s="500" t="s">
        <v>173</v>
      </c>
      <c r="D8867" s="500" t="s">
        <v>762</v>
      </c>
      <c r="E8867" s="501">
        <v>3821341749.21</v>
      </c>
      <c r="F8867" s="502" t="s">
        <v>878</v>
      </c>
      <c r="G8867" s="100" t="s">
        <v>633</v>
      </c>
      <c r="H8867" s="484">
        <v>117329496</v>
      </c>
      <c r="I8867" s="422"/>
      <c r="K8867" s="548"/>
      <c r="L8867" s="548"/>
      <c r="M8867" s="548"/>
      <c r="N8867" s="552">
        <v>7336299</v>
      </c>
      <c r="R8867" s="558">
        <v>520.66229999999996</v>
      </c>
      <c r="S8867" s="558">
        <v>520.88140753396203</v>
      </c>
      <c r="T8867" s="538">
        <v>15.360099999999999</v>
      </c>
      <c r="U8867" s="538">
        <v>5729.6</v>
      </c>
      <c r="V8867" s="538">
        <v>2864.8</v>
      </c>
      <c r="Y8867" s="551"/>
    </row>
    <row r="8868" spans="1:25">
      <c r="A8868" s="499">
        <v>45811</v>
      </c>
      <c r="B8868" s="499">
        <v>45812</v>
      </c>
      <c r="C8868" s="500" t="s">
        <v>173</v>
      </c>
      <c r="D8868" s="500" t="s">
        <v>762</v>
      </c>
      <c r="E8868" s="501">
        <v>23014103.23</v>
      </c>
      <c r="F8868" s="502" t="s">
        <v>878</v>
      </c>
      <c r="G8868" s="100" t="s">
        <v>633</v>
      </c>
      <c r="H8868" s="484">
        <v>117329535</v>
      </c>
      <c r="I8868" s="422"/>
      <c r="K8868" s="548"/>
      <c r="L8868" s="548"/>
      <c r="M8868" s="548"/>
      <c r="N8868" s="552">
        <v>44183</v>
      </c>
      <c r="R8868" s="558">
        <v>520.66229999999996</v>
      </c>
      <c r="S8868" s="558">
        <v>520.88140755494203</v>
      </c>
      <c r="T8868" s="538">
        <v>15.360099999999999</v>
      </c>
      <c r="U8868" s="538">
        <v>39.32</v>
      </c>
      <c r="V8868" s="538">
        <v>17.25</v>
      </c>
      <c r="Y8868" s="551"/>
    </row>
    <row r="8869" spans="1:25">
      <c r="A8869" s="499">
        <v>45811</v>
      </c>
      <c r="B8869" s="499">
        <v>45813</v>
      </c>
      <c r="C8869" s="500" t="s">
        <v>173</v>
      </c>
      <c r="D8869" s="500" t="s">
        <v>762</v>
      </c>
      <c r="E8869" s="501">
        <v>-379970888.88999999</v>
      </c>
      <c r="F8869" s="502" t="s">
        <v>906</v>
      </c>
      <c r="G8869" s="100" t="s">
        <v>60</v>
      </c>
      <c r="H8869" s="530"/>
      <c r="I8869" s="422" t="s">
        <v>713</v>
      </c>
      <c r="J8869" s="523"/>
      <c r="K8869" s="548">
        <v>117344402</v>
      </c>
      <c r="L8869" s="549">
        <v>75.341399999999993</v>
      </c>
      <c r="M8869" s="549">
        <f>E8869*(-1)/(N8869*O8869)*100</f>
        <v>75.994177777999994</v>
      </c>
      <c r="N8869" s="549">
        <v>500000</v>
      </c>
      <c r="O8869" s="539">
        <v>1000</v>
      </c>
      <c r="P8869" s="539">
        <v>75.382499999999993</v>
      </c>
      <c r="T8869" s="538">
        <v>16.440000000000001</v>
      </c>
      <c r="U8869" s="538">
        <v>0</v>
      </c>
      <c r="V8869" s="538">
        <v>37997.089999999997</v>
      </c>
      <c r="W8869" s="550">
        <f>VLOOKUP(G8869,Справочник!A:C,3,0)</f>
        <v>0.05</v>
      </c>
      <c r="X8869" s="539" t="str">
        <f>VLOOKUP(G8869,Справочник!A:G,7,0)</f>
        <v>Министерство финансов Республики Казахстан</v>
      </c>
      <c r="Y8869" s="551" t="str">
        <f>VLOOKUP(G8869,Справочник!A:B,2,0)</f>
        <v>18.04.2028</v>
      </c>
    </row>
    <row r="8870" spans="1:25">
      <c r="A8870" s="499">
        <v>45811</v>
      </c>
      <c r="B8870" s="499">
        <v>45811</v>
      </c>
      <c r="C8870" s="500" t="s">
        <v>173</v>
      </c>
      <c r="D8870" s="500" t="s">
        <v>761</v>
      </c>
      <c r="E8870" s="501">
        <v>-498095754.58999997</v>
      </c>
      <c r="F8870" s="502" t="s">
        <v>878</v>
      </c>
      <c r="G8870" s="100" t="s">
        <v>633</v>
      </c>
      <c r="H8870" s="530"/>
      <c r="I8870" s="422"/>
      <c r="K8870" s="548"/>
      <c r="L8870" s="548"/>
      <c r="M8870" s="548"/>
      <c r="N8870" s="552">
        <v>956658</v>
      </c>
      <c r="R8870" s="539">
        <v>520.66229999644588</v>
      </c>
      <c r="S8870" s="539">
        <v>520.88340315974995</v>
      </c>
      <c r="T8870" s="538">
        <v>15.5</v>
      </c>
      <c r="U8870" s="538">
        <v>747.14</v>
      </c>
      <c r="V8870" s="538">
        <v>373.57</v>
      </c>
      <c r="Y8870" s="551"/>
    </row>
    <row r="8871" spans="1:25">
      <c r="A8871" s="499">
        <v>45811</v>
      </c>
      <c r="B8871" s="499">
        <v>45811</v>
      </c>
      <c r="C8871" s="500" t="s">
        <v>173</v>
      </c>
      <c r="D8871" s="500" t="s">
        <v>761</v>
      </c>
      <c r="E8871" s="501">
        <v>-1583786220.7</v>
      </c>
      <c r="F8871" s="502" t="s">
        <v>878</v>
      </c>
      <c r="G8871" s="100" t="s">
        <v>604</v>
      </c>
      <c r="H8871" s="530"/>
      <c r="I8871" s="422"/>
      <c r="K8871" s="548"/>
      <c r="L8871" s="548"/>
      <c r="M8871" s="548"/>
      <c r="N8871" s="552">
        <v>1606745</v>
      </c>
      <c r="R8871" s="539">
        <v>985.71100000311196</v>
      </c>
      <c r="S8871" s="539">
        <v>988.66003126818498</v>
      </c>
      <c r="T8871" s="538">
        <v>15.6</v>
      </c>
      <c r="U8871" s="538">
        <v>16629.759999999998</v>
      </c>
      <c r="V8871" s="538">
        <v>8314.8799999999992</v>
      </c>
      <c r="Y8871" s="551"/>
    </row>
    <row r="8872" spans="1:25">
      <c r="A8872" s="499">
        <v>45811</v>
      </c>
      <c r="B8872" s="499">
        <v>45811</v>
      </c>
      <c r="C8872" s="500" t="s">
        <v>173</v>
      </c>
      <c r="D8872" s="500" t="s">
        <v>761</v>
      </c>
      <c r="E8872" s="501">
        <v>-9004469.9900000002</v>
      </c>
      <c r="F8872" s="502" t="s">
        <v>878</v>
      </c>
      <c r="G8872" s="100" t="s">
        <v>604</v>
      </c>
      <c r="H8872" s="530"/>
      <c r="I8872" s="422"/>
      <c r="K8872" s="548"/>
      <c r="L8872" s="548"/>
      <c r="M8872" s="548"/>
      <c r="N8872" s="552">
        <v>9135</v>
      </c>
      <c r="R8872" s="539">
        <v>985.71100054734541</v>
      </c>
      <c r="S8872" s="539">
        <v>988.66005035577405</v>
      </c>
      <c r="T8872" s="538">
        <v>15.600099999999999</v>
      </c>
      <c r="U8872" s="538">
        <v>94.55</v>
      </c>
      <c r="V8872" s="538">
        <v>47.27</v>
      </c>
      <c r="Y8872" s="551"/>
    </row>
    <row r="8873" spans="1:25">
      <c r="A8873" s="499">
        <v>45811</v>
      </c>
      <c r="B8873" s="499">
        <v>45812</v>
      </c>
      <c r="C8873" s="500" t="s">
        <v>173</v>
      </c>
      <c r="D8873" s="500" t="s">
        <v>761</v>
      </c>
      <c r="E8873" s="501">
        <v>498307274.69999999</v>
      </c>
      <c r="F8873" s="502" t="s">
        <v>878</v>
      </c>
      <c r="G8873" s="100" t="s">
        <v>633</v>
      </c>
      <c r="H8873" s="100">
        <v>117327753</v>
      </c>
      <c r="I8873" s="422"/>
      <c r="K8873" s="548"/>
      <c r="L8873" s="548"/>
      <c r="M8873" s="548"/>
      <c r="N8873" s="552">
        <v>956658</v>
      </c>
      <c r="R8873" s="539">
        <v>520.66229999644588</v>
      </c>
      <c r="S8873" s="539">
        <v>520.88340315974995</v>
      </c>
      <c r="T8873" s="538">
        <v>15.5</v>
      </c>
      <c r="U8873" s="538">
        <v>747.14</v>
      </c>
      <c r="V8873" s="538">
        <v>373.57</v>
      </c>
      <c r="Y8873" s="551"/>
    </row>
    <row r="8874" spans="1:25">
      <c r="A8874" s="499">
        <v>45811</v>
      </c>
      <c r="B8874" s="499">
        <v>45818</v>
      </c>
      <c r="C8874" s="500" t="s">
        <v>173</v>
      </c>
      <c r="D8874" s="500" t="s">
        <v>761</v>
      </c>
      <c r="E8874" s="501">
        <v>1588524561.9400001</v>
      </c>
      <c r="F8874" s="502" t="s">
        <v>878</v>
      </c>
      <c r="G8874" s="100" t="s">
        <v>604</v>
      </c>
      <c r="H8874" s="100">
        <v>117329201</v>
      </c>
      <c r="I8874" s="422"/>
      <c r="K8874" s="548"/>
      <c r="L8874" s="548"/>
      <c r="M8874" s="548"/>
      <c r="N8874" s="552">
        <v>1606745</v>
      </c>
      <c r="R8874" s="539">
        <v>985.71100000311196</v>
      </c>
      <c r="S8874" s="539">
        <v>988.66003126818498</v>
      </c>
      <c r="T8874" s="538">
        <v>15.6</v>
      </c>
      <c r="U8874" s="538">
        <v>16629.759999999998</v>
      </c>
      <c r="V8874" s="538">
        <v>8314.8799999999992</v>
      </c>
      <c r="Y8874" s="551"/>
    </row>
    <row r="8875" spans="1:25">
      <c r="A8875" s="499">
        <v>45811</v>
      </c>
      <c r="B8875" s="499">
        <v>45818</v>
      </c>
      <c r="C8875" s="500" t="s">
        <v>173</v>
      </c>
      <c r="D8875" s="500" t="s">
        <v>761</v>
      </c>
      <c r="E8875" s="501">
        <v>9031409.5600000005</v>
      </c>
      <c r="F8875" s="502" t="s">
        <v>878</v>
      </c>
      <c r="G8875" s="100" t="s">
        <v>604</v>
      </c>
      <c r="H8875" s="100">
        <v>117329555</v>
      </c>
      <c r="I8875" s="422"/>
      <c r="K8875" s="548"/>
      <c r="L8875" s="548"/>
      <c r="M8875" s="548"/>
      <c r="N8875" s="552">
        <v>9135</v>
      </c>
      <c r="R8875" s="539">
        <v>985.71100054734541</v>
      </c>
      <c r="S8875" s="539">
        <v>988.66005035577405</v>
      </c>
      <c r="T8875" s="538">
        <v>15.600099999999999</v>
      </c>
      <c r="U8875" s="538">
        <v>94.55</v>
      </c>
      <c r="V8875" s="538">
        <v>47.27</v>
      </c>
      <c r="Y8875" s="551"/>
    </row>
    <row r="8876" spans="1:25">
      <c r="A8876" s="499">
        <v>45811</v>
      </c>
      <c r="B8876" s="499">
        <v>45813</v>
      </c>
      <c r="C8876" s="500" t="s">
        <v>173</v>
      </c>
      <c r="D8876" s="500" t="s">
        <v>761</v>
      </c>
      <c r="E8876" s="501">
        <v>199745712</v>
      </c>
      <c r="F8876" s="502" t="s">
        <v>912</v>
      </c>
      <c r="G8876" s="100" t="s">
        <v>390</v>
      </c>
      <c r="H8876" s="530"/>
      <c r="I8876" s="422" t="s">
        <v>675</v>
      </c>
      <c r="J8876" s="100"/>
      <c r="K8876" s="548">
        <v>117337387</v>
      </c>
      <c r="L8876" s="548">
        <v>86.134699999999995</v>
      </c>
      <c r="M8876" s="548">
        <f>E8876/(N8876*O8876)*100</f>
        <v>92.474866666666671</v>
      </c>
      <c r="N8876" s="552">
        <v>216000</v>
      </c>
      <c r="O8876" s="539">
        <v>1000</v>
      </c>
      <c r="Q8876" s="539">
        <v>85.915800000000004</v>
      </c>
      <c r="U8876" s="538">
        <v>9987.2900000000009</v>
      </c>
      <c r="V8876" s="538">
        <v>19974.57</v>
      </c>
      <c r="W8876" s="550">
        <f>VLOOKUP(G8876,Справочник!A:C,3,0)</f>
        <v>0.1047</v>
      </c>
      <c r="X8876" s="539" t="str">
        <f>VLOOKUP(G8876,Справочник!A:G,7,0)</f>
        <v>Министерство финансов Республики Казахстан</v>
      </c>
      <c r="Y8876" s="551">
        <f>VLOOKUP(G8876,Справочник!A:B,2,0)</f>
        <v>47053</v>
      </c>
    </row>
    <row r="8877" spans="1:25">
      <c r="A8877" s="499">
        <v>45811</v>
      </c>
      <c r="B8877" s="499">
        <v>45813</v>
      </c>
      <c r="C8877" s="500" t="s">
        <v>173</v>
      </c>
      <c r="D8877" s="500" t="s">
        <v>761</v>
      </c>
      <c r="E8877" s="501">
        <v>208815312.5</v>
      </c>
      <c r="F8877" s="502" t="s">
        <v>912</v>
      </c>
      <c r="G8877" s="100" t="s">
        <v>448</v>
      </c>
      <c r="H8877" s="530"/>
      <c r="I8877" s="422" t="s">
        <v>676</v>
      </c>
      <c r="J8877" s="100"/>
      <c r="K8877" s="548">
        <v>117337665</v>
      </c>
      <c r="L8877" s="548">
        <v>83.81</v>
      </c>
      <c r="M8877" s="548">
        <f>E8877/(N8877*O8877)*100</f>
        <v>92.806805555555556</v>
      </c>
      <c r="N8877" s="552">
        <v>225000</v>
      </c>
      <c r="O8877" s="539">
        <v>1000</v>
      </c>
      <c r="Q8877" s="539">
        <v>85.118200000000002</v>
      </c>
      <c r="U8877" s="538">
        <v>10440.77</v>
      </c>
      <c r="V8877" s="538">
        <v>20881.53</v>
      </c>
      <c r="W8877" s="550">
        <f>VLOOKUP(G8877,Справочник!A:C,3,0)</f>
        <v>0.1055</v>
      </c>
      <c r="X8877" s="539" t="str">
        <f>VLOOKUP(G8877,Справочник!A:G,7,0)</f>
        <v>Министерство финансов Республики Казахстан</v>
      </c>
      <c r="Y8877" s="551">
        <f>VLOOKUP(G8877,Справочник!A:B,2,0)</f>
        <v>47327</v>
      </c>
    </row>
    <row r="8878" spans="1:25">
      <c r="A8878" s="499">
        <v>45811</v>
      </c>
      <c r="B8878" s="499">
        <v>45813</v>
      </c>
      <c r="C8878" s="500" t="s">
        <v>173</v>
      </c>
      <c r="D8878" s="500" t="s">
        <v>761</v>
      </c>
      <c r="E8878" s="501">
        <v>-379402388.88999999</v>
      </c>
      <c r="F8878" s="502" t="s">
        <v>906</v>
      </c>
      <c r="G8878" s="100" t="s">
        <v>60</v>
      </c>
      <c r="H8878" s="530"/>
      <c r="I8878" s="422" t="s">
        <v>713</v>
      </c>
      <c r="J8878" s="525"/>
      <c r="K8878" s="548">
        <v>117337354</v>
      </c>
      <c r="L8878" s="549">
        <v>75.227699999999999</v>
      </c>
      <c r="M8878" s="549">
        <f>E8878*(-1)/(N8878*O8878)*100</f>
        <v>75.880477777999999</v>
      </c>
      <c r="N8878" s="549">
        <v>500000</v>
      </c>
      <c r="O8878" s="539">
        <v>1000</v>
      </c>
      <c r="P8878" s="539">
        <v>75.382499999999993</v>
      </c>
      <c r="T8878" s="538">
        <v>16.5</v>
      </c>
      <c r="U8878" s="538">
        <v>0</v>
      </c>
      <c r="V8878" s="538">
        <v>37940.239999999998</v>
      </c>
      <c r="W8878" s="550">
        <f>VLOOKUP(G8878,Справочник!A:C,3,0)</f>
        <v>0.05</v>
      </c>
      <c r="X8878" s="539" t="str">
        <f>VLOOKUP(G8878,Справочник!A:G,7,0)</f>
        <v>Министерство финансов Республики Казахстан</v>
      </c>
      <c r="Y8878" s="551" t="str">
        <f>VLOOKUP(G8878,Справочник!A:B,2,0)</f>
        <v>18.04.2028</v>
      </c>
    </row>
    <row r="8879" spans="1:25">
      <c r="A8879" s="499">
        <v>45811</v>
      </c>
      <c r="B8879" s="499">
        <v>45813</v>
      </c>
      <c r="C8879" s="500" t="s">
        <v>173</v>
      </c>
      <c r="D8879" s="500" t="s">
        <v>761</v>
      </c>
      <c r="E8879" s="501">
        <v>-403604166.67000002</v>
      </c>
      <c r="F8879" s="502" t="s">
        <v>906</v>
      </c>
      <c r="G8879" s="100" t="s">
        <v>78</v>
      </c>
      <c r="H8879" s="530"/>
      <c r="I8879" s="422" t="s">
        <v>705</v>
      </c>
      <c r="J8879" s="525"/>
      <c r="K8879" s="548">
        <v>117344987</v>
      </c>
      <c r="L8879" s="549">
        <v>74.491500000000002</v>
      </c>
      <c r="M8879" s="549">
        <f>E8879*(-1)/(N8879*O8879)*100</f>
        <v>80.720833334000005</v>
      </c>
      <c r="N8879" s="549">
        <v>500000</v>
      </c>
      <c r="O8879" s="539">
        <v>1000</v>
      </c>
      <c r="P8879" s="539">
        <v>76.78</v>
      </c>
      <c r="T8879" s="538">
        <v>16.57</v>
      </c>
      <c r="U8879" s="538">
        <v>0</v>
      </c>
      <c r="V8879" s="538">
        <v>40360.42</v>
      </c>
      <c r="W8879" s="550">
        <f>VLOOKUP(G8879,Справочник!A:C,3,0)</f>
        <v>7.6799999999999993E-2</v>
      </c>
      <c r="X8879" s="539" t="str">
        <f>VLOOKUP(G8879,Справочник!A:G,7,0)</f>
        <v>Министерство финансов Республики Казахстан</v>
      </c>
      <c r="Y8879" s="551" t="str">
        <f>VLOOKUP(G8879,Справочник!A:B,2,0)</f>
        <v>13.08.2029</v>
      </c>
    </row>
    <row r="8880" spans="1:25">
      <c r="A8880" s="499">
        <v>45811</v>
      </c>
      <c r="B8880" s="499">
        <v>45811</v>
      </c>
      <c r="C8880" s="500" t="s">
        <v>173</v>
      </c>
      <c r="D8880" s="500" t="s">
        <v>759</v>
      </c>
      <c r="E8880" s="501">
        <v>-1989111349.3900001</v>
      </c>
      <c r="F8880" s="502" t="s">
        <v>878</v>
      </c>
      <c r="G8880" s="100" t="s">
        <v>2591</v>
      </c>
      <c r="H8880" s="530"/>
      <c r="I8880" s="422"/>
      <c r="K8880" s="548"/>
      <c r="L8880" s="548"/>
      <c r="M8880" s="548"/>
      <c r="N8880" s="552">
        <v>20067021</v>
      </c>
      <c r="R8880" s="539">
        <v>99.123399999930243</v>
      </c>
      <c r="S8880" s="539">
        <v>99.165357441445806</v>
      </c>
      <c r="T8880" s="538">
        <v>15.4499</v>
      </c>
      <c r="U8880" s="538">
        <v>2983.67</v>
      </c>
      <c r="V8880" s="538">
        <v>1491.83</v>
      </c>
    </row>
    <row r="8881" spans="1:22">
      <c r="A8881" s="499">
        <v>45811</v>
      </c>
      <c r="B8881" s="499">
        <v>45811</v>
      </c>
      <c r="C8881" s="500" t="s">
        <v>173</v>
      </c>
      <c r="D8881" s="500" t="s">
        <v>759</v>
      </c>
      <c r="E8881" s="501">
        <v>-12002307.34</v>
      </c>
      <c r="F8881" s="502" t="s">
        <v>878</v>
      </c>
      <c r="G8881" s="100" t="s">
        <v>633</v>
      </c>
      <c r="H8881" s="530"/>
      <c r="I8881" s="422"/>
      <c r="K8881" s="548"/>
      <c r="L8881" s="548"/>
      <c r="M8881" s="548"/>
      <c r="N8881" s="552">
        <v>23052</v>
      </c>
      <c r="R8881" s="539">
        <v>520.66230001735209</v>
      </c>
      <c r="S8881" s="539">
        <v>520.88140768696906</v>
      </c>
      <c r="T8881" s="538">
        <v>15.360099999999999</v>
      </c>
      <c r="U8881" s="538">
        <v>39.32</v>
      </c>
      <c r="V8881" s="538">
        <v>9</v>
      </c>
    </row>
    <row r="8882" spans="1:22">
      <c r="A8882" s="499">
        <v>45811</v>
      </c>
      <c r="B8882" s="499">
        <v>45812</v>
      </c>
      <c r="C8882" s="500" t="s">
        <v>173</v>
      </c>
      <c r="D8882" s="500" t="s">
        <v>759</v>
      </c>
      <c r="E8882" s="501">
        <v>1989953310.25</v>
      </c>
      <c r="F8882" s="502" t="s">
        <v>878</v>
      </c>
      <c r="G8882" s="100" t="s">
        <v>2591</v>
      </c>
      <c r="H8882" s="100">
        <v>117329136</v>
      </c>
      <c r="I8882" s="422"/>
      <c r="K8882" s="548"/>
      <c r="L8882" s="548"/>
      <c r="M8882" s="548"/>
      <c r="N8882" s="552">
        <v>20067021</v>
      </c>
      <c r="R8882" s="539">
        <v>99.123399999930243</v>
      </c>
      <c r="S8882" s="539">
        <v>99.165357441445806</v>
      </c>
      <c r="T8882" s="538">
        <v>15.4499</v>
      </c>
      <c r="U8882" s="538">
        <v>2983.67</v>
      </c>
      <c r="V8882" s="538">
        <v>1491.83</v>
      </c>
    </row>
    <row r="8883" spans="1:22">
      <c r="A8883" s="499">
        <v>45811</v>
      </c>
      <c r="B8883" s="499">
        <v>45812</v>
      </c>
      <c r="C8883" s="500" t="s">
        <v>173</v>
      </c>
      <c r="D8883" s="500" t="s">
        <v>759</v>
      </c>
      <c r="E8883" s="501">
        <v>12007358.210000001</v>
      </c>
      <c r="F8883" s="502" t="s">
        <v>878</v>
      </c>
      <c r="G8883" s="100" t="s">
        <v>633</v>
      </c>
      <c r="H8883" s="100">
        <v>117329834</v>
      </c>
      <c r="I8883" s="422"/>
      <c r="K8883" s="548"/>
      <c r="L8883" s="548"/>
      <c r="M8883" s="548"/>
      <c r="N8883" s="552">
        <v>23052</v>
      </c>
      <c r="R8883" s="539">
        <v>520.66230001735209</v>
      </c>
      <c r="S8883" s="539">
        <v>520.88140768696906</v>
      </c>
      <c r="T8883" s="538">
        <v>15.360099999999999</v>
      </c>
      <c r="U8883" s="538">
        <v>39.32</v>
      </c>
      <c r="V8883" s="538">
        <v>9</v>
      </c>
    </row>
    <row r="8884" spans="1:22">
      <c r="A8884" s="499">
        <v>45811</v>
      </c>
      <c r="B8884" s="499">
        <v>45811</v>
      </c>
      <c r="C8884" s="500" t="s">
        <v>173</v>
      </c>
      <c r="D8884" s="500" t="s">
        <v>763</v>
      </c>
      <c r="E8884" s="501">
        <v>-5335897389.6800003</v>
      </c>
      <c r="F8884" s="502" t="s">
        <v>878</v>
      </c>
      <c r="G8884" s="100" t="s">
        <v>631</v>
      </c>
      <c r="H8884" s="530"/>
      <c r="I8884" s="422"/>
      <c r="K8884" s="548"/>
      <c r="L8884" s="548"/>
      <c r="M8884" s="548"/>
      <c r="N8884" s="552">
        <v>11790350</v>
      </c>
      <c r="R8884" s="539">
        <v>452.56479999999999</v>
      </c>
      <c r="S8884" s="539">
        <v>452.75624110989099</v>
      </c>
      <c r="T8884" s="538">
        <v>15.44</v>
      </c>
      <c r="U8884" s="538">
        <v>8003.85</v>
      </c>
      <c r="V8884" s="538">
        <v>4001.92</v>
      </c>
    </row>
    <row r="8885" spans="1:22">
      <c r="A8885" s="499">
        <v>45811</v>
      </c>
      <c r="B8885" s="499">
        <v>45811</v>
      </c>
      <c r="C8885" s="500" t="s">
        <v>173</v>
      </c>
      <c r="D8885" s="500" t="s">
        <v>763</v>
      </c>
      <c r="E8885" s="501">
        <v>-511098254.20999998</v>
      </c>
      <c r="F8885" s="502" t="s">
        <v>878</v>
      </c>
      <c r="G8885" s="100" t="s">
        <v>633</v>
      </c>
      <c r="H8885" s="530"/>
      <c r="I8885" s="422"/>
      <c r="K8885" s="548"/>
      <c r="L8885" s="548"/>
      <c r="M8885" s="548"/>
      <c r="N8885" s="552">
        <v>981631</v>
      </c>
      <c r="R8885" s="539">
        <v>520.66229999999996</v>
      </c>
      <c r="S8885" s="539">
        <v>520.88254728100503</v>
      </c>
      <c r="T8885" s="538">
        <v>15.44</v>
      </c>
      <c r="U8885" s="538">
        <v>766.65</v>
      </c>
      <c r="V8885" s="538">
        <v>383.32</v>
      </c>
    </row>
    <row r="8886" spans="1:22">
      <c r="A8886" s="499">
        <v>45811</v>
      </c>
      <c r="B8886" s="499">
        <v>45811</v>
      </c>
      <c r="C8886" s="500" t="s">
        <v>173</v>
      </c>
      <c r="D8886" s="500" t="s">
        <v>763</v>
      </c>
      <c r="E8886" s="501">
        <v>-34019998.579999998</v>
      </c>
      <c r="F8886" s="502" t="s">
        <v>878</v>
      </c>
      <c r="G8886" s="100" t="s">
        <v>805</v>
      </c>
      <c r="H8886" s="530"/>
      <c r="I8886" s="422"/>
      <c r="K8886" s="548"/>
      <c r="L8886" s="548"/>
      <c r="M8886" s="548"/>
      <c r="N8886" s="552">
        <v>55930</v>
      </c>
      <c r="R8886" s="539">
        <v>608.26030000000003</v>
      </c>
      <c r="S8886" s="539">
        <v>608.51693581262305</v>
      </c>
      <c r="T8886" s="538">
        <v>15.4</v>
      </c>
      <c r="U8886" s="538">
        <v>51.03</v>
      </c>
      <c r="V8886" s="538">
        <v>39.32</v>
      </c>
    </row>
    <row r="8887" spans="1:22">
      <c r="A8887" s="499">
        <v>45811</v>
      </c>
      <c r="B8887" s="499">
        <v>45812</v>
      </c>
      <c r="C8887" s="500" t="s">
        <v>173</v>
      </c>
      <c r="D8887" s="500" t="s">
        <v>763</v>
      </c>
      <c r="E8887" s="501">
        <v>5338154547.3699999</v>
      </c>
      <c r="F8887" s="502" t="s">
        <v>878</v>
      </c>
      <c r="G8887" s="100" t="s">
        <v>631</v>
      </c>
      <c r="H8887" s="484">
        <v>117329612</v>
      </c>
      <c r="I8887" s="422"/>
      <c r="K8887" s="548"/>
      <c r="L8887" s="548"/>
      <c r="M8887" s="548"/>
      <c r="N8887" s="552">
        <v>11790350</v>
      </c>
      <c r="R8887" s="539">
        <v>452.56479999999999</v>
      </c>
      <c r="S8887" s="539">
        <v>452.75624110989099</v>
      </c>
      <c r="T8887" s="538">
        <v>15.44</v>
      </c>
      <c r="U8887" s="538">
        <v>8003.85</v>
      </c>
      <c r="V8887" s="538">
        <v>4001.92</v>
      </c>
    </row>
    <row r="8888" spans="1:22">
      <c r="A8888" s="499">
        <v>45811</v>
      </c>
      <c r="B8888" s="499">
        <v>45812</v>
      </c>
      <c r="C8888" s="500" t="s">
        <v>173</v>
      </c>
      <c r="D8888" s="500" t="s">
        <v>763</v>
      </c>
      <c r="E8888" s="501">
        <v>511314455.76999998</v>
      </c>
      <c r="F8888" s="502" t="s">
        <v>878</v>
      </c>
      <c r="G8888" s="100" t="s">
        <v>633</v>
      </c>
      <c r="H8888" s="484">
        <v>117329619</v>
      </c>
      <c r="I8888" s="422"/>
      <c r="K8888" s="548"/>
      <c r="L8888" s="548"/>
      <c r="M8888" s="548"/>
      <c r="N8888" s="552">
        <v>981631</v>
      </c>
      <c r="R8888" s="539">
        <v>520.66229999999996</v>
      </c>
      <c r="S8888" s="539">
        <v>520.88254728100503</v>
      </c>
      <c r="T8888" s="538">
        <v>15.44</v>
      </c>
      <c r="U8888" s="538">
        <v>766.65</v>
      </c>
      <c r="V8888" s="538">
        <v>383.32</v>
      </c>
    </row>
    <row r="8889" spans="1:22">
      <c r="A8889" s="499">
        <v>45811</v>
      </c>
      <c r="B8889" s="499">
        <v>45812</v>
      </c>
      <c r="C8889" s="500" t="s">
        <v>173</v>
      </c>
      <c r="D8889" s="500" t="s">
        <v>763</v>
      </c>
      <c r="E8889" s="501">
        <v>34034352.219999999</v>
      </c>
      <c r="F8889" s="502" t="s">
        <v>878</v>
      </c>
      <c r="G8889" s="100" t="s">
        <v>805</v>
      </c>
      <c r="H8889" s="484">
        <v>117330049</v>
      </c>
      <c r="I8889" s="422"/>
      <c r="K8889" s="548"/>
      <c r="L8889" s="548"/>
      <c r="M8889" s="548"/>
      <c r="N8889" s="552">
        <v>55930</v>
      </c>
      <c r="R8889" s="539">
        <v>608.26030000000003</v>
      </c>
      <c r="S8889" s="539">
        <v>608.51693581262305</v>
      </c>
      <c r="T8889" s="538">
        <v>15.4</v>
      </c>
      <c r="U8889" s="538">
        <v>51.03</v>
      </c>
      <c r="V8889" s="538">
        <v>39.32</v>
      </c>
    </row>
    <row r="8890" spans="1:22">
      <c r="A8890" s="499">
        <v>45812</v>
      </c>
      <c r="B8890" s="499">
        <v>45812</v>
      </c>
      <c r="C8890" s="500" t="s">
        <v>173</v>
      </c>
      <c r="D8890" s="500" t="s">
        <v>762</v>
      </c>
      <c r="E8890" s="501">
        <v>-3820110752.5</v>
      </c>
      <c r="F8890" s="502" t="s">
        <v>878</v>
      </c>
      <c r="G8890" s="100" t="s">
        <v>633</v>
      </c>
      <c r="H8890" s="530"/>
      <c r="I8890" s="422"/>
      <c r="K8890" s="548"/>
      <c r="L8890" s="548"/>
      <c r="M8890" s="548"/>
      <c r="N8890" s="552">
        <v>7319120</v>
      </c>
      <c r="R8890" s="558">
        <v>521.93579999999997</v>
      </c>
      <c r="S8890" s="558">
        <v>522.15744397004005</v>
      </c>
      <c r="T8890" s="538">
        <v>15.5</v>
      </c>
      <c r="U8890" s="538">
        <v>5730.17</v>
      </c>
      <c r="V8890" s="538">
        <v>2865.08</v>
      </c>
    </row>
    <row r="8891" spans="1:22">
      <c r="A8891" s="499">
        <v>45812</v>
      </c>
      <c r="B8891" s="499">
        <v>45812</v>
      </c>
      <c r="C8891" s="500" t="s">
        <v>173</v>
      </c>
      <c r="D8891" s="500" t="s">
        <v>762</v>
      </c>
      <c r="E8891" s="501">
        <v>-24001959.460000001</v>
      </c>
      <c r="F8891" s="502" t="s">
        <v>878</v>
      </c>
      <c r="G8891" s="100" t="s">
        <v>1047</v>
      </c>
      <c r="H8891" s="530"/>
      <c r="I8891" s="422"/>
      <c r="K8891" s="548"/>
      <c r="L8891" s="548"/>
      <c r="M8891" s="548"/>
      <c r="N8891" s="552">
        <v>23256</v>
      </c>
      <c r="R8891" s="558">
        <v>1032.076</v>
      </c>
      <c r="S8891" s="558">
        <v>1032.5142819057401</v>
      </c>
      <c r="T8891" s="538">
        <v>15.5001</v>
      </c>
      <c r="U8891" s="538">
        <v>39.32</v>
      </c>
      <c r="V8891" s="538">
        <v>18</v>
      </c>
    </row>
    <row r="8892" spans="1:22">
      <c r="A8892" s="499">
        <v>45812</v>
      </c>
      <c r="B8892" s="499">
        <v>45813</v>
      </c>
      <c r="C8892" s="500" t="s">
        <v>173</v>
      </c>
      <c r="D8892" s="500" t="s">
        <v>762</v>
      </c>
      <c r="E8892" s="501">
        <v>3821732991.3099999</v>
      </c>
      <c r="F8892" s="502" t="s">
        <v>878</v>
      </c>
      <c r="G8892" s="100" t="s">
        <v>633</v>
      </c>
      <c r="H8892" s="484">
        <v>117347020</v>
      </c>
      <c r="I8892" s="422"/>
      <c r="K8892" s="548"/>
      <c r="L8892" s="548"/>
      <c r="M8892" s="548"/>
      <c r="N8892" s="552">
        <v>7319120</v>
      </c>
      <c r="R8892" s="558">
        <v>521.93579999999997</v>
      </c>
      <c r="S8892" s="558">
        <v>522.15744397004005</v>
      </c>
      <c r="T8892" s="538">
        <v>15.5</v>
      </c>
      <c r="U8892" s="538">
        <v>5730.17</v>
      </c>
      <c r="V8892" s="538">
        <v>2865.08</v>
      </c>
    </row>
    <row r="8893" spans="1:22">
      <c r="A8893" s="499">
        <v>45812</v>
      </c>
      <c r="B8893" s="499">
        <v>45813</v>
      </c>
      <c r="C8893" s="500" t="s">
        <v>173</v>
      </c>
      <c r="D8893" s="500" t="s">
        <v>762</v>
      </c>
      <c r="E8893" s="501">
        <v>24012152.140000001</v>
      </c>
      <c r="F8893" s="502" t="s">
        <v>878</v>
      </c>
      <c r="G8893" s="100" t="s">
        <v>1047</v>
      </c>
      <c r="H8893" s="484">
        <v>117347076</v>
      </c>
      <c r="I8893" s="422"/>
      <c r="K8893" s="548"/>
      <c r="L8893" s="548"/>
      <c r="M8893" s="548"/>
      <c r="N8893" s="552">
        <v>23256</v>
      </c>
      <c r="R8893" s="558">
        <v>1032.076</v>
      </c>
      <c r="S8893" s="558">
        <v>1032.5142819057401</v>
      </c>
      <c r="T8893" s="538">
        <v>15.5001</v>
      </c>
      <c r="U8893" s="538">
        <v>39.32</v>
      </c>
      <c r="V8893" s="538">
        <v>18</v>
      </c>
    </row>
    <row r="8894" spans="1:22">
      <c r="A8894" s="499">
        <v>45812</v>
      </c>
      <c r="B8894" s="499">
        <v>45812</v>
      </c>
      <c r="C8894" s="500" t="s">
        <v>173</v>
      </c>
      <c r="D8894" s="500" t="s">
        <v>759</v>
      </c>
      <c r="E8894" s="501">
        <v>-1989057666.6800001</v>
      </c>
      <c r="F8894" s="502" t="s">
        <v>878</v>
      </c>
      <c r="G8894" s="100" t="s">
        <v>633</v>
      </c>
      <c r="H8894" s="530"/>
      <c r="I8894" s="422"/>
      <c r="K8894" s="548"/>
      <c r="L8894" s="548"/>
      <c r="M8894" s="548"/>
      <c r="N8894" s="552">
        <v>3810924</v>
      </c>
      <c r="R8894" s="539">
        <v>521.93580000020995</v>
      </c>
      <c r="S8894" s="539">
        <v>522.15386906692402</v>
      </c>
      <c r="T8894" s="538">
        <v>15.25</v>
      </c>
      <c r="U8894" s="538">
        <v>2983.59</v>
      </c>
      <c r="V8894" s="538">
        <v>1491.79</v>
      </c>
    </row>
    <row r="8895" spans="1:22">
      <c r="A8895" s="499">
        <v>45812</v>
      </c>
      <c r="B8895" s="499">
        <v>45812</v>
      </c>
      <c r="C8895" s="500" t="s">
        <v>173</v>
      </c>
      <c r="D8895" s="500" t="s">
        <v>759</v>
      </c>
      <c r="E8895" s="501">
        <v>-12000050.050000001</v>
      </c>
      <c r="F8895" s="502" t="s">
        <v>878</v>
      </c>
      <c r="G8895" s="100" t="s">
        <v>1018</v>
      </c>
      <c r="H8895" s="530"/>
      <c r="I8895" s="422"/>
      <c r="K8895" s="548"/>
      <c r="L8895" s="548"/>
      <c r="M8895" s="548"/>
      <c r="N8895" s="552">
        <v>127320</v>
      </c>
      <c r="R8895" s="539">
        <v>94.251099984291557</v>
      </c>
      <c r="S8895" s="539">
        <v>94.289575636192296</v>
      </c>
      <c r="T8895" s="538">
        <v>14.9002</v>
      </c>
      <c r="U8895" s="538">
        <v>39.32</v>
      </c>
      <c r="V8895" s="538">
        <v>9</v>
      </c>
    </row>
    <row r="8896" spans="1:22">
      <c r="A8896" s="499">
        <v>45812</v>
      </c>
      <c r="B8896" s="499">
        <v>45813</v>
      </c>
      <c r="C8896" s="500" t="s">
        <v>173</v>
      </c>
      <c r="D8896" s="500" t="s">
        <v>759</v>
      </c>
      <c r="E8896" s="501">
        <v>1989888711.3199999</v>
      </c>
      <c r="F8896" s="502" t="s">
        <v>878</v>
      </c>
      <c r="G8896" s="100" t="s">
        <v>633</v>
      </c>
      <c r="H8896" s="100">
        <v>117347928</v>
      </c>
      <c r="I8896" s="422"/>
      <c r="K8896" s="548"/>
      <c r="L8896" s="548"/>
      <c r="M8896" s="548"/>
      <c r="N8896" s="552">
        <v>3810924</v>
      </c>
      <c r="R8896" s="539">
        <v>521.93580000020995</v>
      </c>
      <c r="S8896" s="539">
        <v>522.15386906692402</v>
      </c>
      <c r="T8896" s="538">
        <v>15.25</v>
      </c>
      <c r="U8896" s="538">
        <v>2983.59</v>
      </c>
      <c r="V8896" s="538">
        <v>1491.79</v>
      </c>
    </row>
    <row r="8897" spans="1:22">
      <c r="A8897" s="499">
        <v>45812</v>
      </c>
      <c r="B8897" s="499">
        <v>45813</v>
      </c>
      <c r="C8897" s="500" t="s">
        <v>173</v>
      </c>
      <c r="D8897" s="500" t="s">
        <v>759</v>
      </c>
      <c r="E8897" s="501">
        <v>12004948.77</v>
      </c>
      <c r="F8897" s="502" t="s">
        <v>878</v>
      </c>
      <c r="G8897" s="100" t="s">
        <v>1018</v>
      </c>
      <c r="H8897" s="100">
        <v>117350373</v>
      </c>
      <c r="I8897" s="422"/>
      <c r="K8897" s="548"/>
      <c r="L8897" s="548"/>
      <c r="M8897" s="548"/>
      <c r="N8897" s="552">
        <v>127320</v>
      </c>
      <c r="R8897" s="539">
        <v>94.251099984291557</v>
      </c>
      <c r="S8897" s="539">
        <v>94.289575636192296</v>
      </c>
      <c r="T8897" s="538">
        <v>14.9002</v>
      </c>
      <c r="U8897" s="538">
        <v>39.32</v>
      </c>
      <c r="V8897" s="538">
        <v>9</v>
      </c>
    </row>
    <row r="8898" spans="1:22">
      <c r="A8898" s="499">
        <v>45812</v>
      </c>
      <c r="B8898" s="499">
        <v>45812</v>
      </c>
      <c r="C8898" s="500" t="s">
        <v>173</v>
      </c>
      <c r="D8898" s="500" t="s">
        <v>761</v>
      </c>
      <c r="E8898" s="501">
        <v>-378250155.86000001</v>
      </c>
      <c r="F8898" s="502" t="s">
        <v>878</v>
      </c>
      <c r="G8898" s="100" t="s">
        <v>653</v>
      </c>
      <c r="H8898" s="530"/>
      <c r="I8898" s="422"/>
      <c r="K8898" s="548"/>
      <c r="L8898" s="548"/>
      <c r="M8898" s="548"/>
      <c r="N8898" s="552">
        <v>375732</v>
      </c>
      <c r="R8898" s="539">
        <v>1006.7019999893541</v>
      </c>
      <c r="S8898" s="539">
        <v>1007.13088539172</v>
      </c>
      <c r="T8898" s="538">
        <v>15.5501</v>
      </c>
      <c r="U8898" s="538">
        <v>567.38</v>
      </c>
      <c r="V8898" s="538">
        <v>283.69</v>
      </c>
    </row>
    <row r="8899" spans="1:22">
      <c r="A8899" s="499">
        <v>45812</v>
      </c>
      <c r="B8899" s="499">
        <v>45812</v>
      </c>
      <c r="C8899" s="500" t="s">
        <v>173</v>
      </c>
      <c r="D8899" s="500" t="s">
        <v>761</v>
      </c>
      <c r="E8899" s="501">
        <v>-99004501.409999996</v>
      </c>
      <c r="F8899" s="502" t="s">
        <v>878</v>
      </c>
      <c r="G8899" s="100" t="s">
        <v>1013</v>
      </c>
      <c r="H8899" s="530"/>
      <c r="I8899" s="422"/>
      <c r="K8899" s="548"/>
      <c r="L8899" s="548"/>
      <c r="M8899" s="548"/>
      <c r="N8899" s="552">
        <v>199584</v>
      </c>
      <c r="R8899" s="539">
        <v>496.05429999398746</v>
      </c>
      <c r="S8899" s="539">
        <v>496.257546346401</v>
      </c>
      <c r="T8899" s="538">
        <v>14.955</v>
      </c>
      <c r="U8899" s="538">
        <v>148.51</v>
      </c>
      <c r="V8899" s="538">
        <v>74.25</v>
      </c>
    </row>
    <row r="8900" spans="1:22">
      <c r="A8900" s="499">
        <v>45812</v>
      </c>
      <c r="B8900" s="499">
        <v>45812</v>
      </c>
      <c r="C8900" s="500" t="s">
        <v>173</v>
      </c>
      <c r="D8900" s="500" t="s">
        <v>761</v>
      </c>
      <c r="E8900" s="501">
        <v>-18000001.27</v>
      </c>
      <c r="F8900" s="502" t="s">
        <v>878</v>
      </c>
      <c r="G8900" s="100" t="s">
        <v>1048</v>
      </c>
      <c r="H8900" s="530"/>
      <c r="I8900" s="422"/>
      <c r="K8900" s="548"/>
      <c r="L8900" s="548"/>
      <c r="M8900" s="548"/>
      <c r="N8900" s="552">
        <v>17914014</v>
      </c>
      <c r="R8900" s="539">
        <v>1.0048000001563022</v>
      </c>
      <c r="S8900" s="539">
        <v>1.00521169292376</v>
      </c>
      <c r="T8900" s="538">
        <v>14.955</v>
      </c>
      <c r="U8900" s="538">
        <v>39.32</v>
      </c>
      <c r="V8900" s="538">
        <v>13.5</v>
      </c>
    </row>
    <row r="8901" spans="1:22">
      <c r="A8901" s="499">
        <v>45812</v>
      </c>
      <c r="B8901" s="499">
        <v>45812</v>
      </c>
      <c r="C8901" s="500" t="s">
        <v>173</v>
      </c>
      <c r="D8901" s="500" t="s">
        <v>761</v>
      </c>
      <c r="E8901" s="501">
        <v>-2000000.14</v>
      </c>
      <c r="F8901" s="502" t="s">
        <v>878</v>
      </c>
      <c r="G8901" s="100" t="s">
        <v>1048</v>
      </c>
      <c r="H8901" s="530"/>
      <c r="I8901" s="422"/>
      <c r="K8901" s="548"/>
      <c r="L8901" s="548"/>
      <c r="M8901" s="548"/>
      <c r="N8901" s="552">
        <v>1990446</v>
      </c>
      <c r="R8901" s="539">
        <v>1.0047999995980801</v>
      </c>
      <c r="S8901" s="539">
        <v>1.0052116912491</v>
      </c>
      <c r="T8901" s="538">
        <v>14.955</v>
      </c>
      <c r="U8901" s="538">
        <v>39.32</v>
      </c>
      <c r="V8901" s="538">
        <v>1.5</v>
      </c>
    </row>
    <row r="8902" spans="1:22">
      <c r="A8902" s="499">
        <v>45812</v>
      </c>
      <c r="B8902" s="499">
        <v>45812</v>
      </c>
      <c r="C8902" s="500" t="s">
        <v>173</v>
      </c>
      <c r="D8902" s="500" t="s">
        <v>761</v>
      </c>
      <c r="E8902" s="501">
        <v>-1000000.07</v>
      </c>
      <c r="F8902" s="502" t="s">
        <v>878</v>
      </c>
      <c r="G8902" s="100" t="s">
        <v>1048</v>
      </c>
      <c r="H8902" s="530"/>
      <c r="I8902" s="422"/>
      <c r="K8902" s="548"/>
      <c r="L8902" s="548"/>
      <c r="M8902" s="548"/>
      <c r="N8902" s="552">
        <v>995223</v>
      </c>
      <c r="R8902" s="539">
        <v>1.0047999995980801</v>
      </c>
      <c r="S8902" s="539">
        <v>1.0052116962730999</v>
      </c>
      <c r="T8902" s="538">
        <v>14.955</v>
      </c>
      <c r="U8902" s="538">
        <v>39.32</v>
      </c>
      <c r="V8902" s="538">
        <v>0.75</v>
      </c>
    </row>
    <row r="8903" spans="1:22">
      <c r="A8903" s="499">
        <v>45812</v>
      </c>
      <c r="B8903" s="499">
        <v>45813</v>
      </c>
      <c r="C8903" s="500" t="s">
        <v>173</v>
      </c>
      <c r="D8903" s="500" t="s">
        <v>761</v>
      </c>
      <c r="E8903" s="501">
        <v>378411301.82999998</v>
      </c>
      <c r="F8903" s="502" t="s">
        <v>878</v>
      </c>
      <c r="G8903" s="100" t="s">
        <v>653</v>
      </c>
      <c r="H8903" s="100">
        <v>117346771</v>
      </c>
      <c r="I8903" s="422"/>
      <c r="K8903" s="548"/>
      <c r="L8903" s="548"/>
      <c r="M8903" s="548"/>
      <c r="N8903" s="552">
        <v>375732</v>
      </c>
      <c r="R8903" s="539">
        <v>1006.7019999893541</v>
      </c>
      <c r="S8903" s="539">
        <v>1007.13088539172</v>
      </c>
      <c r="T8903" s="538">
        <v>15.5501</v>
      </c>
      <c r="U8903" s="538">
        <v>567.38</v>
      </c>
      <c r="V8903" s="538">
        <v>283.69</v>
      </c>
    </row>
    <row r="8904" spans="1:22">
      <c r="A8904" s="499">
        <v>45812</v>
      </c>
      <c r="B8904" s="499">
        <v>45813</v>
      </c>
      <c r="C8904" s="500" t="s">
        <v>173</v>
      </c>
      <c r="D8904" s="500" t="s">
        <v>761</v>
      </c>
      <c r="E8904" s="501">
        <v>99045066.129999995</v>
      </c>
      <c r="F8904" s="502" t="s">
        <v>878</v>
      </c>
      <c r="G8904" s="100" t="s">
        <v>1013</v>
      </c>
      <c r="H8904" s="100">
        <v>117349376</v>
      </c>
      <c r="I8904" s="422"/>
      <c r="K8904" s="548"/>
      <c r="L8904" s="548"/>
      <c r="M8904" s="548"/>
      <c r="N8904" s="552">
        <v>199584</v>
      </c>
      <c r="R8904" s="539">
        <v>496.05429999398746</v>
      </c>
      <c r="S8904" s="539">
        <v>496.257546346401</v>
      </c>
      <c r="T8904" s="538">
        <v>14.955</v>
      </c>
      <c r="U8904" s="538">
        <v>148.51</v>
      </c>
      <c r="V8904" s="538">
        <v>74.25</v>
      </c>
    </row>
    <row r="8905" spans="1:22">
      <c r="A8905" s="499">
        <v>45812</v>
      </c>
      <c r="B8905" s="499">
        <v>45813</v>
      </c>
      <c r="C8905" s="500" t="s">
        <v>173</v>
      </c>
      <c r="D8905" s="500" t="s">
        <v>761</v>
      </c>
      <c r="E8905" s="501">
        <v>18007376.34</v>
      </c>
      <c r="F8905" s="502" t="s">
        <v>878</v>
      </c>
      <c r="G8905" s="100" t="s">
        <v>1048</v>
      </c>
      <c r="H8905" s="100">
        <v>117349379</v>
      </c>
      <c r="I8905" s="422"/>
      <c r="K8905" s="548"/>
      <c r="L8905" s="548"/>
      <c r="M8905" s="548"/>
      <c r="N8905" s="552">
        <v>17914014</v>
      </c>
      <c r="R8905" s="539">
        <v>1.0048000001563022</v>
      </c>
      <c r="S8905" s="539">
        <v>1.00521169292376</v>
      </c>
      <c r="T8905" s="538">
        <v>14.955</v>
      </c>
      <c r="U8905" s="538">
        <v>39.32</v>
      </c>
      <c r="V8905" s="538">
        <v>13.5</v>
      </c>
    </row>
    <row r="8906" spans="1:22">
      <c r="A8906" s="499">
        <v>45812</v>
      </c>
      <c r="B8906" s="499">
        <v>45813</v>
      </c>
      <c r="C8906" s="500" t="s">
        <v>173</v>
      </c>
      <c r="D8906" s="500" t="s">
        <v>761</v>
      </c>
      <c r="E8906" s="501">
        <v>2000819.59</v>
      </c>
      <c r="F8906" s="502" t="s">
        <v>878</v>
      </c>
      <c r="G8906" s="100" t="s">
        <v>1048</v>
      </c>
      <c r="H8906" s="100">
        <v>117349387</v>
      </c>
      <c r="I8906" s="422"/>
      <c r="K8906" s="548"/>
      <c r="L8906" s="548"/>
      <c r="M8906" s="548"/>
      <c r="N8906" s="552">
        <v>1990446</v>
      </c>
      <c r="R8906" s="539">
        <v>1.0047999995980801</v>
      </c>
      <c r="S8906" s="539">
        <v>1.0052116912491</v>
      </c>
      <c r="T8906" s="538">
        <v>14.955</v>
      </c>
      <c r="U8906" s="538">
        <v>39.32</v>
      </c>
      <c r="V8906" s="538">
        <v>1.5</v>
      </c>
    </row>
    <row r="8907" spans="1:22">
      <c r="A8907" s="499">
        <v>45812</v>
      </c>
      <c r="B8907" s="499">
        <v>45813</v>
      </c>
      <c r="C8907" s="500" t="s">
        <v>173</v>
      </c>
      <c r="D8907" s="500" t="s">
        <v>761</v>
      </c>
      <c r="E8907" s="501">
        <v>1000409.8</v>
      </c>
      <c r="F8907" s="502" t="s">
        <v>878</v>
      </c>
      <c r="G8907" s="100" t="s">
        <v>1048</v>
      </c>
      <c r="H8907" s="100">
        <v>117349425</v>
      </c>
      <c r="I8907" s="422"/>
      <c r="K8907" s="548"/>
      <c r="L8907" s="548"/>
      <c r="M8907" s="548"/>
      <c r="N8907" s="552">
        <v>995223</v>
      </c>
      <c r="R8907" s="539">
        <v>1.0047999995980801</v>
      </c>
      <c r="S8907" s="539">
        <v>1.0052116962730999</v>
      </c>
      <c r="T8907" s="538">
        <v>14.955</v>
      </c>
      <c r="U8907" s="538">
        <v>39.32</v>
      </c>
      <c r="V8907" s="538">
        <v>0.75</v>
      </c>
    </row>
    <row r="8908" spans="1:22">
      <c r="A8908" s="499">
        <v>45812</v>
      </c>
      <c r="B8908" s="499">
        <v>45812</v>
      </c>
      <c r="C8908" s="500" t="s">
        <v>173</v>
      </c>
      <c r="D8908" s="500" t="s">
        <v>763</v>
      </c>
      <c r="E8908" s="501">
        <v>-1000389.43</v>
      </c>
      <c r="F8908" s="502" t="s">
        <v>878</v>
      </c>
      <c r="G8908" s="100">
        <v>117347943</v>
      </c>
      <c r="H8908" s="530"/>
      <c r="I8908" s="422"/>
      <c r="K8908" s="548"/>
      <c r="L8908" s="548"/>
      <c r="M8908" s="548"/>
      <c r="N8908" s="552">
        <v>994</v>
      </c>
      <c r="R8908" s="539">
        <v>1006.428</v>
      </c>
      <c r="S8908" s="539">
        <v>1006.8484909456701</v>
      </c>
      <c r="T8908" s="538">
        <v>15.25</v>
      </c>
      <c r="U8908" s="538">
        <v>39.32</v>
      </c>
      <c r="V8908" s="538">
        <v>39.32</v>
      </c>
    </row>
    <row r="8909" spans="1:22">
      <c r="A8909" s="499">
        <v>45812</v>
      </c>
      <c r="B8909" s="499">
        <v>45812</v>
      </c>
      <c r="C8909" s="500" t="s">
        <v>173</v>
      </c>
      <c r="D8909" s="500" t="s">
        <v>763</v>
      </c>
      <c r="E8909" s="501">
        <v>-1000093.5</v>
      </c>
      <c r="F8909" s="502" t="s">
        <v>878</v>
      </c>
      <c r="G8909" s="100">
        <v>117347946</v>
      </c>
      <c r="H8909" s="530"/>
      <c r="I8909" s="422"/>
      <c r="K8909" s="548"/>
      <c r="L8909" s="548"/>
      <c r="M8909" s="548"/>
      <c r="N8909" s="552">
        <v>1260</v>
      </c>
      <c r="R8909" s="539">
        <v>793.72500000000002</v>
      </c>
      <c r="S8909" s="539">
        <v>794.05662698412698</v>
      </c>
      <c r="T8909" s="538">
        <v>15.25</v>
      </c>
      <c r="U8909" s="538">
        <v>39.32</v>
      </c>
      <c r="V8909" s="538">
        <v>39.32</v>
      </c>
    </row>
    <row r="8910" spans="1:22">
      <c r="A8910" s="499">
        <v>45812</v>
      </c>
      <c r="B8910" s="499">
        <v>45812</v>
      </c>
      <c r="C8910" s="500" t="s">
        <v>173</v>
      </c>
      <c r="D8910" s="500" t="s">
        <v>763</v>
      </c>
      <c r="E8910" s="501">
        <v>-1000237.64</v>
      </c>
      <c r="F8910" s="502" t="s">
        <v>878</v>
      </c>
      <c r="G8910" s="100">
        <v>117347949</v>
      </c>
      <c r="H8910" s="530"/>
      <c r="I8910" s="422"/>
      <c r="K8910" s="548"/>
      <c r="L8910" s="548"/>
      <c r="M8910" s="548"/>
      <c r="N8910" s="552">
        <v>1316</v>
      </c>
      <c r="R8910" s="539">
        <v>760.05899999999997</v>
      </c>
      <c r="S8910" s="539">
        <v>760.37655775075996</v>
      </c>
      <c r="T8910" s="538">
        <v>15.25</v>
      </c>
      <c r="U8910" s="538">
        <v>39.32</v>
      </c>
      <c r="V8910" s="538">
        <v>39.32</v>
      </c>
    </row>
    <row r="8911" spans="1:22">
      <c r="A8911" s="499">
        <v>45812</v>
      </c>
      <c r="B8911" s="499">
        <v>45812</v>
      </c>
      <c r="C8911" s="500" t="s">
        <v>173</v>
      </c>
      <c r="D8911" s="500" t="s">
        <v>763</v>
      </c>
      <c r="E8911" s="501">
        <v>-1000214.64</v>
      </c>
      <c r="F8911" s="502" t="s">
        <v>878</v>
      </c>
      <c r="G8911" s="100">
        <v>117347952</v>
      </c>
      <c r="H8911" s="530"/>
      <c r="I8911" s="422"/>
      <c r="K8911" s="548"/>
      <c r="L8911" s="548"/>
      <c r="M8911" s="548"/>
      <c r="N8911" s="552">
        <v>1305</v>
      </c>
      <c r="R8911" s="539">
        <v>766.44799999999998</v>
      </c>
      <c r="S8911" s="539">
        <v>766.76822988505796</v>
      </c>
      <c r="T8911" s="538">
        <v>15.25</v>
      </c>
      <c r="U8911" s="538">
        <v>39.32</v>
      </c>
      <c r="V8911" s="538">
        <v>39.32</v>
      </c>
    </row>
    <row r="8912" spans="1:22">
      <c r="A8912" s="499">
        <v>45812</v>
      </c>
      <c r="B8912" s="499">
        <v>45812</v>
      </c>
      <c r="C8912" s="500" t="s">
        <v>173</v>
      </c>
      <c r="D8912" s="500" t="s">
        <v>763</v>
      </c>
      <c r="E8912" s="501">
        <v>-2000460.92</v>
      </c>
      <c r="F8912" s="502" t="s">
        <v>878</v>
      </c>
      <c r="G8912" s="100">
        <v>117347955</v>
      </c>
      <c r="H8912" s="530"/>
      <c r="I8912" s="422"/>
      <c r="K8912" s="548"/>
      <c r="L8912" s="548"/>
      <c r="M8912" s="548"/>
      <c r="N8912" s="552">
        <v>2238</v>
      </c>
      <c r="R8912" s="539">
        <v>893.86099999999999</v>
      </c>
      <c r="S8912" s="539">
        <v>894.23446380696998</v>
      </c>
      <c r="T8912" s="538">
        <v>15.25</v>
      </c>
      <c r="U8912" s="538">
        <v>39.32</v>
      </c>
      <c r="V8912" s="538">
        <v>39.32</v>
      </c>
    </row>
    <row r="8913" spans="1:22">
      <c r="A8913" s="499">
        <v>45812</v>
      </c>
      <c r="B8913" s="499">
        <v>45812</v>
      </c>
      <c r="C8913" s="500" t="s">
        <v>173</v>
      </c>
      <c r="D8913" s="500" t="s">
        <v>763</v>
      </c>
      <c r="E8913" s="501">
        <v>-2000144.51</v>
      </c>
      <c r="F8913" s="502" t="s">
        <v>878</v>
      </c>
      <c r="G8913" s="100">
        <v>117347958</v>
      </c>
      <c r="H8913" s="530"/>
      <c r="I8913" s="422"/>
      <c r="K8913" s="548"/>
      <c r="L8913" s="548"/>
      <c r="M8913" s="548"/>
      <c r="N8913" s="552">
        <v>2248</v>
      </c>
      <c r="R8913" s="539">
        <v>889.74400000000003</v>
      </c>
      <c r="S8913" s="539">
        <v>890.11574288256202</v>
      </c>
      <c r="T8913" s="538">
        <v>15.25</v>
      </c>
      <c r="U8913" s="538">
        <v>39.32</v>
      </c>
      <c r="V8913" s="538">
        <v>39.32</v>
      </c>
    </row>
    <row r="8914" spans="1:22">
      <c r="A8914" s="499">
        <v>45812</v>
      </c>
      <c r="B8914" s="499">
        <v>45812</v>
      </c>
      <c r="C8914" s="500" t="s">
        <v>173</v>
      </c>
      <c r="D8914" s="500" t="s">
        <v>763</v>
      </c>
      <c r="E8914" s="501">
        <v>-2000163.46</v>
      </c>
      <c r="F8914" s="502" t="s">
        <v>878</v>
      </c>
      <c r="G8914" s="100">
        <v>117347961</v>
      </c>
      <c r="H8914" s="530"/>
      <c r="I8914" s="422"/>
      <c r="K8914" s="548"/>
      <c r="L8914" s="548"/>
      <c r="M8914" s="548"/>
      <c r="N8914" s="552">
        <v>1924</v>
      </c>
      <c r="R8914" s="539">
        <v>1039.586</v>
      </c>
      <c r="S8914" s="539">
        <v>1040.0203430353399</v>
      </c>
      <c r="T8914" s="538">
        <v>15.25</v>
      </c>
      <c r="U8914" s="538">
        <v>39.32</v>
      </c>
      <c r="V8914" s="538">
        <v>39.32</v>
      </c>
    </row>
    <row r="8915" spans="1:22">
      <c r="A8915" s="499">
        <v>45812</v>
      </c>
      <c r="B8915" s="499">
        <v>45812</v>
      </c>
      <c r="C8915" s="500" t="s">
        <v>173</v>
      </c>
      <c r="D8915" s="500" t="s">
        <v>763</v>
      </c>
      <c r="E8915" s="501">
        <v>-2000840.83</v>
      </c>
      <c r="F8915" s="502" t="s">
        <v>878</v>
      </c>
      <c r="G8915" s="100">
        <v>117347964</v>
      </c>
      <c r="H8915" s="530"/>
      <c r="I8915" s="422"/>
      <c r="K8915" s="548"/>
      <c r="L8915" s="548"/>
      <c r="M8915" s="548"/>
      <c r="N8915" s="552">
        <v>2412</v>
      </c>
      <c r="R8915" s="539">
        <v>829.53599999999994</v>
      </c>
      <c r="S8915" s="539">
        <v>829.88258706467695</v>
      </c>
      <c r="T8915" s="538">
        <v>15.25</v>
      </c>
      <c r="U8915" s="538">
        <v>39.32</v>
      </c>
      <c r="V8915" s="538">
        <v>39.32</v>
      </c>
    </row>
    <row r="8916" spans="1:22">
      <c r="A8916" s="499">
        <v>45812</v>
      </c>
      <c r="B8916" s="499">
        <v>45812</v>
      </c>
      <c r="C8916" s="500" t="s">
        <v>173</v>
      </c>
      <c r="D8916" s="500" t="s">
        <v>763</v>
      </c>
      <c r="E8916" s="501">
        <v>-3002730.06</v>
      </c>
      <c r="F8916" s="502" t="s">
        <v>878</v>
      </c>
      <c r="G8916" s="100">
        <v>117347967</v>
      </c>
      <c r="H8916" s="530"/>
      <c r="I8916" s="422"/>
      <c r="K8916" s="548"/>
      <c r="L8916" s="548"/>
      <c r="M8916" s="548"/>
      <c r="N8916" s="552">
        <v>2910</v>
      </c>
      <c r="R8916" s="539">
        <v>1031.866</v>
      </c>
      <c r="S8916" s="539">
        <v>1032.29712371134</v>
      </c>
      <c r="T8916" s="538">
        <v>15.25</v>
      </c>
      <c r="U8916" s="538">
        <v>39.32</v>
      </c>
      <c r="V8916" s="538">
        <v>39.32</v>
      </c>
    </row>
    <row r="8917" spans="1:22">
      <c r="A8917" s="499">
        <v>45812</v>
      </c>
      <c r="B8917" s="499">
        <v>45812</v>
      </c>
      <c r="C8917" s="500" t="s">
        <v>173</v>
      </c>
      <c r="D8917" s="500" t="s">
        <v>763</v>
      </c>
      <c r="E8917" s="501">
        <v>-4002971.86</v>
      </c>
      <c r="F8917" s="502" t="s">
        <v>878</v>
      </c>
      <c r="G8917" s="100">
        <v>117347970</v>
      </c>
      <c r="H8917" s="530"/>
      <c r="I8917" s="422"/>
      <c r="K8917" s="548"/>
      <c r="L8917" s="548"/>
      <c r="M8917" s="548"/>
      <c r="N8917" s="552">
        <v>4056</v>
      </c>
      <c r="R8917" s="539">
        <v>986.92600000000004</v>
      </c>
      <c r="S8917" s="539">
        <v>987.33834566074904</v>
      </c>
      <c r="T8917" s="538">
        <v>15.25</v>
      </c>
      <c r="U8917" s="538">
        <v>39.32</v>
      </c>
      <c r="V8917" s="538">
        <v>39.32</v>
      </c>
    </row>
    <row r="8918" spans="1:22">
      <c r="A8918" s="499">
        <v>45812</v>
      </c>
      <c r="B8918" s="499">
        <v>45812</v>
      </c>
      <c r="C8918" s="500" t="s">
        <v>173</v>
      </c>
      <c r="D8918" s="500" t="s">
        <v>763</v>
      </c>
      <c r="E8918" s="501">
        <v>-5003321.68</v>
      </c>
      <c r="F8918" s="502" t="s">
        <v>878</v>
      </c>
      <c r="G8918" s="100">
        <v>117347973</v>
      </c>
      <c r="H8918" s="530"/>
      <c r="I8918" s="422"/>
      <c r="K8918" s="548"/>
      <c r="L8918" s="548"/>
      <c r="M8918" s="548"/>
      <c r="N8918" s="552">
        <v>5320</v>
      </c>
      <c r="R8918" s="539">
        <v>940.47400000000005</v>
      </c>
      <c r="S8918" s="539">
        <v>940.86693796992495</v>
      </c>
      <c r="T8918" s="538">
        <v>15.25</v>
      </c>
      <c r="U8918" s="538">
        <v>39.32</v>
      </c>
      <c r="V8918" s="538">
        <v>39.32</v>
      </c>
    </row>
    <row r="8919" spans="1:22">
      <c r="A8919" s="499">
        <v>45812</v>
      </c>
      <c r="B8919" s="499">
        <v>45812</v>
      </c>
      <c r="C8919" s="500" t="s">
        <v>173</v>
      </c>
      <c r="D8919" s="500" t="s">
        <v>763</v>
      </c>
      <c r="E8919" s="501">
        <v>-5000361.28</v>
      </c>
      <c r="F8919" s="502" t="s">
        <v>878</v>
      </c>
      <c r="G8919" s="100">
        <v>117347976</v>
      </c>
      <c r="H8919" s="530"/>
      <c r="I8919" s="422"/>
      <c r="K8919" s="548"/>
      <c r="L8919" s="548"/>
      <c r="M8919" s="548"/>
      <c r="N8919" s="552">
        <v>5620</v>
      </c>
      <c r="R8919" s="539">
        <v>889.74400000000003</v>
      </c>
      <c r="S8919" s="539">
        <v>890.11574199288202</v>
      </c>
      <c r="T8919" s="538">
        <v>15.25</v>
      </c>
      <c r="U8919" s="538">
        <v>39.32</v>
      </c>
      <c r="V8919" s="538">
        <v>39.32</v>
      </c>
    </row>
    <row r="8920" spans="1:22">
      <c r="A8920" s="499">
        <v>45812</v>
      </c>
      <c r="B8920" s="499">
        <v>45812</v>
      </c>
      <c r="C8920" s="500" t="s">
        <v>173</v>
      </c>
      <c r="D8920" s="500" t="s">
        <v>763</v>
      </c>
      <c r="E8920" s="501">
        <v>-6003986.0199999996</v>
      </c>
      <c r="F8920" s="502" t="s">
        <v>878</v>
      </c>
      <c r="G8920" s="100">
        <v>117347979</v>
      </c>
      <c r="H8920" s="530"/>
      <c r="I8920" s="422"/>
      <c r="K8920" s="548"/>
      <c r="L8920" s="548"/>
      <c r="M8920" s="548"/>
      <c r="N8920" s="552">
        <v>6384</v>
      </c>
      <c r="R8920" s="539">
        <v>940.47400000000005</v>
      </c>
      <c r="S8920" s="539">
        <v>940.86693765664199</v>
      </c>
      <c r="T8920" s="538">
        <v>15.25</v>
      </c>
      <c r="U8920" s="538">
        <v>39.32</v>
      </c>
      <c r="V8920" s="538">
        <v>39.32</v>
      </c>
    </row>
    <row r="8921" spans="1:22">
      <c r="A8921" s="499">
        <v>45812</v>
      </c>
      <c r="B8921" s="499">
        <v>45812</v>
      </c>
      <c r="C8921" s="500" t="s">
        <v>173</v>
      </c>
      <c r="D8921" s="500" t="s">
        <v>763</v>
      </c>
      <c r="E8921" s="501">
        <v>-7003822.0599999996</v>
      </c>
      <c r="F8921" s="502" t="s">
        <v>878</v>
      </c>
      <c r="G8921" s="100">
        <v>117347982</v>
      </c>
      <c r="H8921" s="530"/>
      <c r="I8921" s="422"/>
      <c r="K8921" s="548"/>
      <c r="L8921" s="548"/>
      <c r="M8921" s="548"/>
      <c r="N8921" s="552">
        <v>8547</v>
      </c>
      <c r="R8921" s="539">
        <v>819.44799999999998</v>
      </c>
      <c r="S8921" s="539">
        <v>819.79037206037196</v>
      </c>
      <c r="T8921" s="538">
        <v>15.25</v>
      </c>
      <c r="U8921" s="538">
        <v>39.32</v>
      </c>
      <c r="V8921" s="538">
        <v>39.32</v>
      </c>
    </row>
    <row r="8922" spans="1:22">
      <c r="A8922" s="499">
        <v>45812</v>
      </c>
      <c r="B8922" s="499">
        <v>45812</v>
      </c>
      <c r="C8922" s="500" t="s">
        <v>173</v>
      </c>
      <c r="D8922" s="500" t="s">
        <v>763</v>
      </c>
      <c r="E8922" s="501">
        <v>-7004610.3700000001</v>
      </c>
      <c r="F8922" s="502" t="s">
        <v>878</v>
      </c>
      <c r="G8922" s="100">
        <v>117347985</v>
      </c>
      <c r="H8922" s="530"/>
      <c r="I8922" s="422"/>
      <c r="K8922" s="548"/>
      <c r="L8922" s="548"/>
      <c r="M8922" s="548"/>
      <c r="N8922" s="552">
        <v>7616</v>
      </c>
      <c r="R8922" s="539">
        <v>919.72299999999996</v>
      </c>
      <c r="S8922" s="539">
        <v>920.10726759453803</v>
      </c>
      <c r="T8922" s="538">
        <v>15.25</v>
      </c>
      <c r="U8922" s="538">
        <v>39.32</v>
      </c>
      <c r="V8922" s="538">
        <v>39.32</v>
      </c>
    </row>
    <row r="8923" spans="1:22">
      <c r="A8923" s="499">
        <v>45812</v>
      </c>
      <c r="B8923" s="499">
        <v>45812</v>
      </c>
      <c r="C8923" s="500" t="s">
        <v>173</v>
      </c>
      <c r="D8923" s="500" t="s">
        <v>763</v>
      </c>
      <c r="E8923" s="501">
        <v>-9006686.6799999997</v>
      </c>
      <c r="F8923" s="502" t="s">
        <v>878</v>
      </c>
      <c r="G8923" s="100">
        <v>117347988</v>
      </c>
      <c r="H8923" s="530"/>
      <c r="I8923" s="422"/>
      <c r="K8923" s="548"/>
      <c r="L8923" s="548"/>
      <c r="M8923" s="548"/>
      <c r="N8923" s="552">
        <v>9126</v>
      </c>
      <c r="R8923" s="539">
        <v>986.92600000000004</v>
      </c>
      <c r="S8923" s="539">
        <v>987.33834648257698</v>
      </c>
      <c r="T8923" s="538">
        <v>15.25</v>
      </c>
      <c r="U8923" s="538">
        <v>39.32</v>
      </c>
      <c r="V8923" s="538">
        <v>39.32</v>
      </c>
    </row>
    <row r="8924" spans="1:22">
      <c r="A8924" s="499">
        <v>45812</v>
      </c>
      <c r="B8924" s="499">
        <v>45812</v>
      </c>
      <c r="C8924" s="500" t="s">
        <v>173</v>
      </c>
      <c r="D8924" s="500" t="s">
        <v>763</v>
      </c>
      <c r="E8924" s="501">
        <v>-10009870</v>
      </c>
      <c r="F8924" s="502" t="s">
        <v>878</v>
      </c>
      <c r="G8924" s="100">
        <v>117347991</v>
      </c>
      <c r="H8924" s="530"/>
      <c r="I8924" s="422"/>
      <c r="K8924" s="548"/>
      <c r="L8924" s="548"/>
      <c r="M8924" s="548"/>
      <c r="N8924" s="552">
        <v>10000</v>
      </c>
      <c r="R8924" s="539">
        <v>1000.987</v>
      </c>
      <c r="S8924" s="539">
        <v>1001.405221</v>
      </c>
      <c r="T8924" s="538">
        <v>15.25</v>
      </c>
      <c r="U8924" s="538">
        <v>39.32</v>
      </c>
      <c r="V8924" s="538">
        <v>39.32</v>
      </c>
    </row>
    <row r="8925" spans="1:22">
      <c r="A8925" s="499">
        <v>45812</v>
      </c>
      <c r="B8925" s="499">
        <v>45812</v>
      </c>
      <c r="C8925" s="500" t="s">
        <v>173</v>
      </c>
      <c r="D8925" s="500" t="s">
        <v>763</v>
      </c>
      <c r="E8925" s="501">
        <v>-14013818</v>
      </c>
      <c r="F8925" s="502" t="s">
        <v>878</v>
      </c>
      <c r="G8925" s="100">
        <v>117347994</v>
      </c>
      <c r="H8925" s="530"/>
      <c r="I8925" s="422"/>
      <c r="K8925" s="548"/>
      <c r="L8925" s="548"/>
      <c r="M8925" s="548"/>
      <c r="N8925" s="552">
        <v>14000</v>
      </c>
      <c r="R8925" s="539">
        <v>1000.987</v>
      </c>
      <c r="S8925" s="539">
        <v>1001.40522071429</v>
      </c>
      <c r="T8925" s="538">
        <v>15.25</v>
      </c>
      <c r="U8925" s="538">
        <v>39.32</v>
      </c>
      <c r="V8925" s="538">
        <v>39.32</v>
      </c>
    </row>
    <row r="8926" spans="1:22">
      <c r="A8926" s="499">
        <v>45812</v>
      </c>
      <c r="B8926" s="499">
        <v>45812</v>
      </c>
      <c r="C8926" s="500" t="s">
        <v>173</v>
      </c>
      <c r="D8926" s="500" t="s">
        <v>763</v>
      </c>
      <c r="E8926" s="501">
        <v>-15014655.18</v>
      </c>
      <c r="F8926" s="502" t="s">
        <v>878</v>
      </c>
      <c r="G8926" s="100">
        <v>117347997</v>
      </c>
      <c r="H8926" s="530"/>
      <c r="I8926" s="422"/>
      <c r="K8926" s="548"/>
      <c r="L8926" s="548"/>
      <c r="M8926" s="548"/>
      <c r="N8926" s="552">
        <v>14940</v>
      </c>
      <c r="R8926" s="539">
        <v>1004.997</v>
      </c>
      <c r="S8926" s="539">
        <v>1005.41689625167</v>
      </c>
      <c r="T8926" s="538">
        <v>15.25</v>
      </c>
      <c r="U8926" s="538">
        <v>39.32</v>
      </c>
      <c r="V8926" s="538">
        <v>39.32</v>
      </c>
    </row>
    <row r="8927" spans="1:22">
      <c r="A8927" s="499">
        <v>45812</v>
      </c>
      <c r="B8927" s="499">
        <v>45812</v>
      </c>
      <c r="C8927" s="500" t="s">
        <v>173</v>
      </c>
      <c r="D8927" s="500" t="s">
        <v>763</v>
      </c>
      <c r="E8927" s="501">
        <v>-16015792</v>
      </c>
      <c r="F8927" s="502" t="s">
        <v>878</v>
      </c>
      <c r="G8927" s="100">
        <v>117348000</v>
      </c>
      <c r="H8927" s="530"/>
      <c r="I8927" s="422"/>
      <c r="K8927" s="548"/>
      <c r="L8927" s="548"/>
      <c r="M8927" s="548"/>
      <c r="N8927" s="552">
        <v>16000</v>
      </c>
      <c r="R8927" s="539">
        <v>1000.987</v>
      </c>
      <c r="S8927" s="539">
        <v>1001.405220625</v>
      </c>
      <c r="T8927" s="538">
        <v>15.25</v>
      </c>
      <c r="U8927" s="538">
        <v>39.32</v>
      </c>
      <c r="V8927" s="538">
        <v>39.32</v>
      </c>
    </row>
    <row r="8928" spans="1:22">
      <c r="A8928" s="499">
        <v>45812</v>
      </c>
      <c r="B8928" s="499">
        <v>45812</v>
      </c>
      <c r="C8928" s="500" t="s">
        <v>173</v>
      </c>
      <c r="D8928" s="500" t="s">
        <v>763</v>
      </c>
      <c r="E8928" s="501">
        <v>-17011196.609999999</v>
      </c>
      <c r="F8928" s="502" t="s">
        <v>878</v>
      </c>
      <c r="G8928" s="100">
        <v>117348003</v>
      </c>
      <c r="H8928" s="530"/>
      <c r="I8928" s="422"/>
      <c r="K8928" s="548"/>
      <c r="L8928" s="548"/>
      <c r="M8928" s="548"/>
      <c r="N8928" s="552">
        <v>18496</v>
      </c>
      <c r="R8928" s="539">
        <v>919.72299999999996</v>
      </c>
      <c r="S8928" s="539">
        <v>920.107268057959</v>
      </c>
      <c r="T8928" s="538">
        <v>15.25</v>
      </c>
      <c r="U8928" s="538">
        <v>39.32</v>
      </c>
      <c r="V8928" s="538">
        <v>39.32</v>
      </c>
    </row>
    <row r="8929" spans="1:22">
      <c r="A8929" s="499">
        <v>45812</v>
      </c>
      <c r="B8929" s="499">
        <v>45812</v>
      </c>
      <c r="C8929" s="500" t="s">
        <v>173</v>
      </c>
      <c r="D8929" s="500" t="s">
        <v>763</v>
      </c>
      <c r="E8929" s="501">
        <v>-18011958.050000001</v>
      </c>
      <c r="F8929" s="502" t="s">
        <v>878</v>
      </c>
      <c r="G8929" s="100">
        <v>117348006</v>
      </c>
      <c r="H8929" s="530"/>
      <c r="I8929" s="422"/>
      <c r="K8929" s="548"/>
      <c r="L8929" s="548"/>
      <c r="M8929" s="548"/>
      <c r="N8929" s="552">
        <v>19152</v>
      </c>
      <c r="R8929" s="539">
        <v>940.47400000000005</v>
      </c>
      <c r="S8929" s="539">
        <v>940.86693765664199</v>
      </c>
      <c r="T8929" s="538">
        <v>15.25</v>
      </c>
      <c r="U8929" s="538">
        <v>39.32</v>
      </c>
      <c r="V8929" s="538">
        <v>39.32</v>
      </c>
    </row>
    <row r="8930" spans="1:22">
      <c r="A8930" s="499">
        <v>45812</v>
      </c>
      <c r="B8930" s="499">
        <v>45812</v>
      </c>
      <c r="C8930" s="500" t="s">
        <v>173</v>
      </c>
      <c r="D8930" s="500" t="s">
        <v>763</v>
      </c>
      <c r="E8930" s="501">
        <v>-18013684.5</v>
      </c>
      <c r="F8930" s="502" t="s">
        <v>878</v>
      </c>
      <c r="G8930" s="100">
        <v>117348009</v>
      </c>
      <c r="H8930" s="530"/>
      <c r="I8930" s="422"/>
      <c r="K8930" s="548"/>
      <c r="L8930" s="548"/>
      <c r="M8930" s="548"/>
      <c r="N8930" s="552">
        <v>21420</v>
      </c>
      <c r="R8930" s="539">
        <v>840.97500000000002</v>
      </c>
      <c r="S8930" s="539">
        <v>841.32636647992501</v>
      </c>
      <c r="T8930" s="538">
        <v>15.25</v>
      </c>
      <c r="U8930" s="538">
        <v>39.32</v>
      </c>
      <c r="V8930" s="538">
        <v>39.32</v>
      </c>
    </row>
    <row r="8931" spans="1:22">
      <c r="A8931" s="499">
        <v>45812</v>
      </c>
      <c r="B8931" s="499">
        <v>45812</v>
      </c>
      <c r="C8931" s="500" t="s">
        <v>173</v>
      </c>
      <c r="D8931" s="500" t="s">
        <v>763</v>
      </c>
      <c r="E8931" s="501">
        <v>-20003800.120000001</v>
      </c>
      <c r="F8931" s="502" t="s">
        <v>878</v>
      </c>
      <c r="G8931" s="100">
        <v>117348012</v>
      </c>
      <c r="H8931" s="530"/>
      <c r="I8931" s="422"/>
      <c r="K8931" s="548"/>
      <c r="L8931" s="548"/>
      <c r="M8931" s="548"/>
      <c r="N8931" s="552">
        <v>21740</v>
      </c>
      <c r="R8931" s="539">
        <v>920.13800000000003</v>
      </c>
      <c r="S8931" s="539">
        <v>920.52244112235496</v>
      </c>
      <c r="T8931" s="538">
        <v>15.25</v>
      </c>
      <c r="U8931" s="538">
        <v>39.32</v>
      </c>
      <c r="V8931" s="538">
        <v>39.32</v>
      </c>
    </row>
    <row r="8932" spans="1:22">
      <c r="A8932" s="499">
        <v>45812</v>
      </c>
      <c r="B8932" s="499">
        <v>45812</v>
      </c>
      <c r="C8932" s="500" t="s">
        <v>173</v>
      </c>
      <c r="D8932" s="500" t="s">
        <v>763</v>
      </c>
      <c r="E8932" s="501">
        <v>-20016910.620000001</v>
      </c>
      <c r="F8932" s="502" t="s">
        <v>878</v>
      </c>
      <c r="G8932" s="100">
        <v>117348015</v>
      </c>
      <c r="H8932" s="530"/>
      <c r="I8932" s="422"/>
      <c r="K8932" s="548"/>
      <c r="L8932" s="548"/>
      <c r="M8932" s="548"/>
      <c r="N8932" s="552">
        <v>20580</v>
      </c>
      <c r="R8932" s="539">
        <v>972.63900000000001</v>
      </c>
      <c r="S8932" s="539">
        <v>973.04537657920298</v>
      </c>
      <c r="T8932" s="538">
        <v>15.25</v>
      </c>
      <c r="U8932" s="538">
        <v>39.32</v>
      </c>
      <c r="V8932" s="538">
        <v>39.32</v>
      </c>
    </row>
    <row r="8933" spans="1:22">
      <c r="A8933" s="499">
        <v>45812</v>
      </c>
      <c r="B8933" s="499">
        <v>45812</v>
      </c>
      <c r="C8933" s="500" t="s">
        <v>173</v>
      </c>
      <c r="D8933" s="500" t="s">
        <v>763</v>
      </c>
      <c r="E8933" s="501">
        <v>-20012369.039999999</v>
      </c>
      <c r="F8933" s="502" t="s">
        <v>878</v>
      </c>
      <c r="G8933" s="100">
        <v>117348018</v>
      </c>
      <c r="H8933" s="530"/>
      <c r="I8933" s="422"/>
      <c r="K8933" s="548"/>
      <c r="L8933" s="548"/>
      <c r="M8933" s="548"/>
      <c r="N8933" s="552">
        <v>21640</v>
      </c>
      <c r="R8933" s="539">
        <v>924.78599999999994</v>
      </c>
      <c r="S8933" s="539">
        <v>925.17238308687604</v>
      </c>
      <c r="T8933" s="538">
        <v>15.25</v>
      </c>
      <c r="U8933" s="538">
        <v>39.32</v>
      </c>
      <c r="V8933" s="538">
        <v>39.32</v>
      </c>
    </row>
    <row r="8934" spans="1:22">
      <c r="A8934" s="499">
        <v>45812</v>
      </c>
      <c r="B8934" s="499">
        <v>45812</v>
      </c>
      <c r="C8934" s="500" t="s">
        <v>173</v>
      </c>
      <c r="D8934" s="500" t="s">
        <v>763</v>
      </c>
      <c r="E8934" s="501">
        <v>-20012369.039999999</v>
      </c>
      <c r="F8934" s="502" t="s">
        <v>878</v>
      </c>
      <c r="G8934" s="100">
        <v>117348021</v>
      </c>
      <c r="H8934" s="530"/>
      <c r="I8934" s="422"/>
      <c r="K8934" s="548"/>
      <c r="L8934" s="548"/>
      <c r="M8934" s="548"/>
      <c r="N8934" s="552">
        <v>21640</v>
      </c>
      <c r="R8934" s="539">
        <v>924.78599999999994</v>
      </c>
      <c r="S8934" s="539">
        <v>925.17238308687604</v>
      </c>
      <c r="T8934" s="538">
        <v>15.25</v>
      </c>
      <c r="U8934" s="538">
        <v>39.32</v>
      </c>
      <c r="V8934" s="538">
        <v>39.32</v>
      </c>
    </row>
    <row r="8935" spans="1:22">
      <c r="A8935" s="499">
        <v>45812</v>
      </c>
      <c r="B8935" s="499">
        <v>45812</v>
      </c>
      <c r="C8935" s="500" t="s">
        <v>173</v>
      </c>
      <c r="D8935" s="500" t="s">
        <v>763</v>
      </c>
      <c r="E8935" s="501">
        <v>-22008070.66</v>
      </c>
      <c r="F8935" s="502" t="s">
        <v>878</v>
      </c>
      <c r="G8935" s="100">
        <v>117348024</v>
      </c>
      <c r="H8935" s="530"/>
      <c r="I8935" s="422"/>
      <c r="K8935" s="548"/>
      <c r="L8935" s="548"/>
      <c r="M8935" s="548"/>
      <c r="N8935" s="552">
        <v>25344</v>
      </c>
      <c r="R8935" s="539">
        <v>868.37400000000002</v>
      </c>
      <c r="S8935" s="539">
        <v>868.73681384153997</v>
      </c>
      <c r="T8935" s="538">
        <v>15.25</v>
      </c>
      <c r="U8935" s="538">
        <v>39.32</v>
      </c>
      <c r="V8935" s="538">
        <v>39.32</v>
      </c>
    </row>
    <row r="8936" spans="1:22">
      <c r="A8936" s="499">
        <v>45812</v>
      </c>
      <c r="B8936" s="499">
        <v>45812</v>
      </c>
      <c r="C8936" s="500" t="s">
        <v>173</v>
      </c>
      <c r="D8936" s="500" t="s">
        <v>763</v>
      </c>
      <c r="E8936" s="501">
        <v>-22003907.550000001</v>
      </c>
      <c r="F8936" s="502" t="s">
        <v>878</v>
      </c>
      <c r="G8936" s="100">
        <v>117348027</v>
      </c>
      <c r="H8936" s="530"/>
      <c r="I8936" s="422"/>
      <c r="K8936" s="548"/>
      <c r="L8936" s="548"/>
      <c r="M8936" s="548"/>
      <c r="N8936" s="552">
        <v>35068</v>
      </c>
      <c r="R8936" s="539">
        <v>627.46400000000006</v>
      </c>
      <c r="S8936" s="539">
        <v>627.72615946161795</v>
      </c>
      <c r="T8936" s="538">
        <v>15.25</v>
      </c>
      <c r="U8936" s="538">
        <v>39.32</v>
      </c>
      <c r="V8936" s="538">
        <v>39.32</v>
      </c>
    </row>
    <row r="8937" spans="1:22">
      <c r="A8937" s="499">
        <v>45812</v>
      </c>
      <c r="B8937" s="499">
        <v>45812</v>
      </c>
      <c r="C8937" s="500" t="s">
        <v>173</v>
      </c>
      <c r="D8937" s="500" t="s">
        <v>763</v>
      </c>
      <c r="E8937" s="501">
        <v>-23023112.699999999</v>
      </c>
      <c r="F8937" s="502" t="s">
        <v>878</v>
      </c>
      <c r="G8937" s="100">
        <v>117348030</v>
      </c>
      <c r="H8937" s="530"/>
      <c r="I8937" s="422"/>
      <c r="K8937" s="548"/>
      <c r="L8937" s="548"/>
      <c r="M8937" s="548"/>
      <c r="N8937" s="552">
        <v>22908</v>
      </c>
      <c r="R8937" s="539">
        <v>1005.025</v>
      </c>
      <c r="S8937" s="539">
        <v>1005.44490789244</v>
      </c>
      <c r="T8937" s="538">
        <v>15.25</v>
      </c>
      <c r="U8937" s="538">
        <v>39.32</v>
      </c>
      <c r="V8937" s="538">
        <v>39.32</v>
      </c>
    </row>
    <row r="8938" spans="1:22">
      <c r="A8938" s="499">
        <v>45812</v>
      </c>
      <c r="B8938" s="499">
        <v>45812</v>
      </c>
      <c r="C8938" s="500" t="s">
        <v>173</v>
      </c>
      <c r="D8938" s="500" t="s">
        <v>763</v>
      </c>
      <c r="E8938" s="501">
        <v>-24001961.57</v>
      </c>
      <c r="F8938" s="502" t="s">
        <v>878</v>
      </c>
      <c r="G8938" s="100">
        <v>117348033</v>
      </c>
      <c r="H8938" s="530"/>
      <c r="I8938" s="422"/>
      <c r="K8938" s="548"/>
      <c r="L8938" s="548"/>
      <c r="M8938" s="548"/>
      <c r="N8938" s="552">
        <v>23088</v>
      </c>
      <c r="R8938" s="539">
        <v>1039.586</v>
      </c>
      <c r="S8938" s="539">
        <v>1040.02034779972</v>
      </c>
      <c r="T8938" s="538">
        <v>15.25</v>
      </c>
      <c r="U8938" s="538">
        <v>39.32</v>
      </c>
      <c r="V8938" s="538">
        <v>39.32</v>
      </c>
    </row>
    <row r="8939" spans="1:22">
      <c r="A8939" s="499">
        <v>45812</v>
      </c>
      <c r="B8939" s="499">
        <v>45812</v>
      </c>
      <c r="C8939" s="500" t="s">
        <v>173</v>
      </c>
      <c r="D8939" s="500" t="s">
        <v>763</v>
      </c>
      <c r="E8939" s="501">
        <v>-24006492.5</v>
      </c>
      <c r="F8939" s="502" t="s">
        <v>878</v>
      </c>
      <c r="G8939" s="100">
        <v>117348036</v>
      </c>
      <c r="H8939" s="530"/>
      <c r="I8939" s="422"/>
      <c r="K8939" s="548"/>
      <c r="L8939" s="548"/>
      <c r="M8939" s="548"/>
      <c r="N8939" s="552">
        <v>31896</v>
      </c>
      <c r="R8939" s="539">
        <v>752.649</v>
      </c>
      <c r="S8939" s="539">
        <v>752.96346281665399</v>
      </c>
      <c r="T8939" s="538">
        <v>15.25</v>
      </c>
      <c r="U8939" s="538">
        <v>39.32</v>
      </c>
      <c r="V8939" s="538">
        <v>39.32</v>
      </c>
    </row>
    <row r="8940" spans="1:22">
      <c r="A8940" s="499">
        <v>45812</v>
      </c>
      <c r="B8940" s="499">
        <v>45812</v>
      </c>
      <c r="C8940" s="500" t="s">
        <v>173</v>
      </c>
      <c r="D8940" s="500" t="s">
        <v>763</v>
      </c>
      <c r="E8940" s="501">
        <v>-26020857.300000001</v>
      </c>
      <c r="F8940" s="502" t="s">
        <v>878</v>
      </c>
      <c r="G8940" s="100">
        <v>117348039</v>
      </c>
      <c r="H8940" s="530"/>
      <c r="I8940" s="422"/>
      <c r="K8940" s="548"/>
      <c r="L8940" s="548"/>
      <c r="M8940" s="548"/>
      <c r="N8940" s="552">
        <v>24362</v>
      </c>
      <c r="R8940" s="539">
        <v>1068.0920000000001</v>
      </c>
      <c r="S8940" s="539">
        <v>1068.5382575322201</v>
      </c>
      <c r="T8940" s="538">
        <v>15.25</v>
      </c>
      <c r="U8940" s="538">
        <v>39.32</v>
      </c>
      <c r="V8940" s="538">
        <v>39.32</v>
      </c>
    </row>
    <row r="8941" spans="1:22">
      <c r="A8941" s="499">
        <v>45812</v>
      </c>
      <c r="B8941" s="499">
        <v>45812</v>
      </c>
      <c r="C8941" s="500" t="s">
        <v>173</v>
      </c>
      <c r="D8941" s="500" t="s">
        <v>763</v>
      </c>
      <c r="E8941" s="501">
        <v>-26010125.23</v>
      </c>
      <c r="F8941" s="502" t="s">
        <v>878</v>
      </c>
      <c r="G8941" s="100">
        <v>117348042</v>
      </c>
      <c r="H8941" s="530"/>
      <c r="I8941" s="422"/>
      <c r="K8941" s="548"/>
      <c r="L8941" s="548"/>
      <c r="M8941" s="548"/>
      <c r="N8941" s="552">
        <v>25844</v>
      </c>
      <c r="R8941" s="539">
        <v>1006.428</v>
      </c>
      <c r="S8941" s="539">
        <v>1006.84849365423</v>
      </c>
      <c r="T8941" s="538">
        <v>15.25</v>
      </c>
      <c r="U8941" s="538">
        <v>39.32</v>
      </c>
      <c r="V8941" s="538">
        <v>39.32</v>
      </c>
    </row>
    <row r="8942" spans="1:22">
      <c r="A8942" s="499">
        <v>45812</v>
      </c>
      <c r="B8942" s="499">
        <v>45812</v>
      </c>
      <c r="C8942" s="500" t="s">
        <v>173</v>
      </c>
      <c r="D8942" s="500" t="s">
        <v>763</v>
      </c>
      <c r="E8942" s="501">
        <v>-26002431</v>
      </c>
      <c r="F8942" s="502" t="s">
        <v>878</v>
      </c>
      <c r="G8942" s="100">
        <v>117348045</v>
      </c>
      <c r="H8942" s="530"/>
      <c r="I8942" s="422"/>
      <c r="K8942" s="548"/>
      <c r="L8942" s="548"/>
      <c r="M8942" s="548"/>
      <c r="N8942" s="552">
        <v>32760</v>
      </c>
      <c r="R8942" s="539">
        <v>793.72500000000002</v>
      </c>
      <c r="S8942" s="539">
        <v>794.05662484737502</v>
      </c>
      <c r="T8942" s="538">
        <v>15.25</v>
      </c>
      <c r="U8942" s="538">
        <v>39.32</v>
      </c>
      <c r="V8942" s="538">
        <v>39.32</v>
      </c>
    </row>
    <row r="8943" spans="1:22">
      <c r="A8943" s="499">
        <v>45812</v>
      </c>
      <c r="B8943" s="499">
        <v>45812</v>
      </c>
      <c r="C8943" s="500" t="s">
        <v>173</v>
      </c>
      <c r="D8943" s="500" t="s">
        <v>763</v>
      </c>
      <c r="E8943" s="501">
        <v>-27014742.219999999</v>
      </c>
      <c r="F8943" s="502" t="s">
        <v>878</v>
      </c>
      <c r="G8943" s="100">
        <v>117348048</v>
      </c>
      <c r="H8943" s="530"/>
      <c r="I8943" s="422"/>
      <c r="K8943" s="548"/>
      <c r="L8943" s="548"/>
      <c r="M8943" s="548"/>
      <c r="N8943" s="552">
        <v>32967</v>
      </c>
      <c r="R8943" s="539">
        <v>819.44799999999998</v>
      </c>
      <c r="S8943" s="539">
        <v>819.79037219037195</v>
      </c>
      <c r="T8943" s="538">
        <v>15.25</v>
      </c>
      <c r="U8943" s="538">
        <v>40.520000000000003</v>
      </c>
      <c r="V8943" s="538">
        <v>39.32</v>
      </c>
    </row>
    <row r="8944" spans="1:22">
      <c r="A8944" s="499">
        <v>45812</v>
      </c>
      <c r="B8944" s="499">
        <v>45812</v>
      </c>
      <c r="C8944" s="500" t="s">
        <v>173</v>
      </c>
      <c r="D8944" s="500" t="s">
        <v>763</v>
      </c>
      <c r="E8944" s="501">
        <v>-28006009.920000002</v>
      </c>
      <c r="F8944" s="502" t="s">
        <v>878</v>
      </c>
      <c r="G8944" s="100">
        <v>117348051</v>
      </c>
      <c r="H8944" s="530"/>
      <c r="I8944" s="422"/>
      <c r="K8944" s="548"/>
      <c r="L8944" s="548"/>
      <c r="M8944" s="548"/>
      <c r="N8944" s="552">
        <v>36540</v>
      </c>
      <c r="R8944" s="539">
        <v>766.44799999999998</v>
      </c>
      <c r="S8944" s="539">
        <v>766.76822824302099</v>
      </c>
      <c r="T8944" s="538">
        <v>15.25</v>
      </c>
      <c r="U8944" s="538">
        <v>42.01</v>
      </c>
      <c r="V8944" s="538">
        <v>39.32</v>
      </c>
    </row>
    <row r="8945" spans="1:22">
      <c r="A8945" s="499">
        <v>45812</v>
      </c>
      <c r="B8945" s="499">
        <v>45812</v>
      </c>
      <c r="C8945" s="500" t="s">
        <v>173</v>
      </c>
      <c r="D8945" s="500" t="s">
        <v>763</v>
      </c>
      <c r="E8945" s="501">
        <v>-28009205.559999999</v>
      </c>
      <c r="F8945" s="502" t="s">
        <v>878</v>
      </c>
      <c r="G8945" s="100">
        <v>117348054</v>
      </c>
      <c r="H8945" s="530"/>
      <c r="I8945" s="422"/>
      <c r="K8945" s="548"/>
      <c r="L8945" s="548"/>
      <c r="M8945" s="548"/>
      <c r="N8945" s="552">
        <v>30380</v>
      </c>
      <c r="R8945" s="539">
        <v>921.96199999999999</v>
      </c>
      <c r="S8945" s="539">
        <v>922.34720342330502</v>
      </c>
      <c r="T8945" s="538">
        <v>15.25</v>
      </c>
      <c r="U8945" s="538">
        <v>42.01</v>
      </c>
      <c r="V8945" s="538">
        <v>39.32</v>
      </c>
    </row>
    <row r="8946" spans="1:22">
      <c r="A8946" s="499">
        <v>45812</v>
      </c>
      <c r="B8946" s="499">
        <v>45812</v>
      </c>
      <c r="C8946" s="500" t="s">
        <v>173</v>
      </c>
      <c r="D8946" s="500" t="s">
        <v>763</v>
      </c>
      <c r="E8946" s="501">
        <v>-30019758.719999999</v>
      </c>
      <c r="F8946" s="502" t="s">
        <v>878</v>
      </c>
      <c r="G8946" s="100">
        <v>117348057</v>
      </c>
      <c r="H8946" s="530"/>
      <c r="I8946" s="422"/>
      <c r="K8946" s="548"/>
      <c r="L8946" s="548"/>
      <c r="M8946" s="548"/>
      <c r="N8946" s="552">
        <v>32640</v>
      </c>
      <c r="R8946" s="539">
        <v>919.72299999999996</v>
      </c>
      <c r="S8946" s="539">
        <v>920.10726776960803</v>
      </c>
      <c r="T8946" s="538">
        <v>15.25</v>
      </c>
      <c r="U8946" s="538">
        <v>45.03</v>
      </c>
      <c r="V8946" s="538">
        <v>39.32</v>
      </c>
    </row>
    <row r="8947" spans="1:22">
      <c r="A8947" s="499">
        <v>45812</v>
      </c>
      <c r="B8947" s="499">
        <v>45812</v>
      </c>
      <c r="C8947" s="500" t="s">
        <v>173</v>
      </c>
      <c r="D8947" s="500" t="s">
        <v>763</v>
      </c>
      <c r="E8947" s="501">
        <v>-33001136.219999999</v>
      </c>
      <c r="F8947" s="502" t="s">
        <v>878</v>
      </c>
      <c r="G8947" s="100">
        <v>117348060</v>
      </c>
      <c r="H8947" s="530"/>
      <c r="I8947" s="422"/>
      <c r="K8947" s="548"/>
      <c r="L8947" s="548"/>
      <c r="M8947" s="548"/>
      <c r="N8947" s="552">
        <v>36663</v>
      </c>
      <c r="R8947" s="539">
        <v>900.12099999999998</v>
      </c>
      <c r="S8947" s="539">
        <v>900.49707798052498</v>
      </c>
      <c r="T8947" s="538">
        <v>15.25</v>
      </c>
      <c r="U8947" s="538">
        <v>49.5</v>
      </c>
      <c r="V8947" s="538">
        <v>39.32</v>
      </c>
    </row>
    <row r="8948" spans="1:22">
      <c r="A8948" s="499">
        <v>45812</v>
      </c>
      <c r="B8948" s="499">
        <v>45812</v>
      </c>
      <c r="C8948" s="500" t="s">
        <v>173</v>
      </c>
      <c r="D8948" s="500" t="s">
        <v>763</v>
      </c>
      <c r="E8948" s="501">
        <v>-33011676.129999999</v>
      </c>
      <c r="F8948" s="502" t="s">
        <v>878</v>
      </c>
      <c r="G8948" s="100">
        <v>117348063</v>
      </c>
      <c r="H8948" s="530"/>
      <c r="I8948" s="422"/>
      <c r="K8948" s="548"/>
      <c r="L8948" s="548"/>
      <c r="M8948" s="548"/>
      <c r="N8948" s="552">
        <v>40029</v>
      </c>
      <c r="R8948" s="539">
        <v>824.69399999999996</v>
      </c>
      <c r="S8948" s="539">
        <v>825.03856404107</v>
      </c>
      <c r="T8948" s="538">
        <v>15.25</v>
      </c>
      <c r="U8948" s="538">
        <v>49.52</v>
      </c>
      <c r="V8948" s="538">
        <v>39.32</v>
      </c>
    </row>
    <row r="8949" spans="1:22">
      <c r="A8949" s="499">
        <v>45812</v>
      </c>
      <c r="B8949" s="499">
        <v>45812</v>
      </c>
      <c r="C8949" s="500" t="s">
        <v>173</v>
      </c>
      <c r="D8949" s="500" t="s">
        <v>763</v>
      </c>
      <c r="E8949" s="501">
        <v>-34008437.950000003</v>
      </c>
      <c r="F8949" s="502" t="s">
        <v>878</v>
      </c>
      <c r="G8949" s="100">
        <v>117348066</v>
      </c>
      <c r="H8949" s="530"/>
      <c r="I8949" s="422"/>
      <c r="K8949" s="548"/>
      <c r="L8949" s="548"/>
      <c r="M8949" s="548"/>
      <c r="N8949" s="552">
        <v>34714</v>
      </c>
      <c r="R8949" s="539">
        <v>979.67499999999995</v>
      </c>
      <c r="S8949" s="539">
        <v>980.08431612605898</v>
      </c>
      <c r="T8949" s="538">
        <v>15.25</v>
      </c>
      <c r="U8949" s="538">
        <v>51.01</v>
      </c>
      <c r="V8949" s="538">
        <v>39.32</v>
      </c>
    </row>
    <row r="8950" spans="1:22">
      <c r="A8950" s="499">
        <v>45812</v>
      </c>
      <c r="B8950" s="499">
        <v>45812</v>
      </c>
      <c r="C8950" s="500" t="s">
        <v>173</v>
      </c>
      <c r="D8950" s="500" t="s">
        <v>763</v>
      </c>
      <c r="E8950" s="501">
        <v>-35012839.68</v>
      </c>
      <c r="F8950" s="502" t="s">
        <v>878</v>
      </c>
      <c r="G8950" s="100">
        <v>117348069</v>
      </c>
      <c r="H8950" s="530"/>
      <c r="I8950" s="422"/>
      <c r="K8950" s="548"/>
      <c r="L8950" s="548"/>
      <c r="M8950" s="548"/>
      <c r="N8950" s="552">
        <v>40320</v>
      </c>
      <c r="R8950" s="539">
        <v>868.37400000000002</v>
      </c>
      <c r="S8950" s="539">
        <v>868.73681374007901</v>
      </c>
      <c r="T8950" s="538">
        <v>15.25</v>
      </c>
      <c r="U8950" s="538">
        <v>52.52</v>
      </c>
      <c r="V8950" s="538">
        <v>39.32</v>
      </c>
    </row>
    <row r="8951" spans="1:22">
      <c r="A8951" s="499">
        <v>45812</v>
      </c>
      <c r="B8951" s="499">
        <v>45812</v>
      </c>
      <c r="C8951" s="500" t="s">
        <v>173</v>
      </c>
      <c r="D8951" s="500" t="s">
        <v>763</v>
      </c>
      <c r="E8951" s="501">
        <v>-39035490.780000001</v>
      </c>
      <c r="F8951" s="502" t="s">
        <v>878</v>
      </c>
      <c r="G8951" s="100">
        <v>117348072</v>
      </c>
      <c r="H8951" s="530"/>
      <c r="I8951" s="422"/>
      <c r="K8951" s="548"/>
      <c r="L8951" s="548"/>
      <c r="M8951" s="548"/>
      <c r="N8951" s="552">
        <v>37830</v>
      </c>
      <c r="R8951" s="539">
        <v>1031.866</v>
      </c>
      <c r="S8951" s="539">
        <v>1032.2971221252999</v>
      </c>
      <c r="T8951" s="538">
        <v>15.25</v>
      </c>
      <c r="U8951" s="538">
        <v>58.55</v>
      </c>
      <c r="V8951" s="538">
        <v>39.32</v>
      </c>
    </row>
    <row r="8952" spans="1:22">
      <c r="A8952" s="499">
        <v>45812</v>
      </c>
      <c r="B8952" s="499">
        <v>45812</v>
      </c>
      <c r="C8952" s="500" t="s">
        <v>173</v>
      </c>
      <c r="D8952" s="500" t="s">
        <v>763</v>
      </c>
      <c r="E8952" s="501">
        <v>-42012203.520000003</v>
      </c>
      <c r="F8952" s="502" t="s">
        <v>878</v>
      </c>
      <c r="G8952" s="100">
        <v>117348075</v>
      </c>
      <c r="H8952" s="530"/>
      <c r="I8952" s="422"/>
      <c r="K8952" s="548"/>
      <c r="L8952" s="548"/>
      <c r="M8952" s="548"/>
      <c r="N8952" s="552">
        <v>53760</v>
      </c>
      <c r="R8952" s="539">
        <v>781.47699999999998</v>
      </c>
      <c r="S8952" s="539">
        <v>781.80350744047598</v>
      </c>
      <c r="T8952" s="538">
        <v>15.25</v>
      </c>
      <c r="U8952" s="538">
        <v>63.02</v>
      </c>
      <c r="V8952" s="538">
        <v>39.32</v>
      </c>
    </row>
    <row r="8953" spans="1:22">
      <c r="A8953" s="499">
        <v>45812</v>
      </c>
      <c r="B8953" s="499">
        <v>45812</v>
      </c>
      <c r="C8953" s="500" t="s">
        <v>173</v>
      </c>
      <c r="D8953" s="500" t="s">
        <v>763</v>
      </c>
      <c r="E8953" s="501">
        <v>-42009638.799999997</v>
      </c>
      <c r="F8953" s="502" t="s">
        <v>878</v>
      </c>
      <c r="G8953" s="100">
        <v>117348078</v>
      </c>
      <c r="H8953" s="530"/>
      <c r="I8953" s="422"/>
      <c r="K8953" s="548"/>
      <c r="L8953" s="548"/>
      <c r="M8953" s="548"/>
      <c r="N8953" s="552">
        <v>80808</v>
      </c>
      <c r="R8953" s="539">
        <v>519.86980000000005</v>
      </c>
      <c r="S8953" s="539">
        <v>520.08700586575605</v>
      </c>
      <c r="T8953" s="538">
        <v>15.25</v>
      </c>
      <c r="U8953" s="538">
        <v>63.01</v>
      </c>
      <c r="V8953" s="538">
        <v>39.32</v>
      </c>
    </row>
    <row r="8954" spans="1:22">
      <c r="A8954" s="499">
        <v>45812</v>
      </c>
      <c r="B8954" s="499">
        <v>45812</v>
      </c>
      <c r="C8954" s="500" t="s">
        <v>173</v>
      </c>
      <c r="D8954" s="500" t="s">
        <v>763</v>
      </c>
      <c r="E8954" s="501">
        <v>-43024431.399999999</v>
      </c>
      <c r="F8954" s="502" t="s">
        <v>878</v>
      </c>
      <c r="G8954" s="100">
        <v>117348081</v>
      </c>
      <c r="H8954" s="530"/>
      <c r="I8954" s="422"/>
      <c r="K8954" s="548"/>
      <c r="L8954" s="548"/>
      <c r="M8954" s="548"/>
      <c r="N8954" s="552">
        <v>60114</v>
      </c>
      <c r="R8954" s="539">
        <v>715.71400000000006</v>
      </c>
      <c r="S8954" s="539">
        <v>716.01303124064304</v>
      </c>
      <c r="T8954" s="538">
        <v>15.25</v>
      </c>
      <c r="U8954" s="538">
        <v>64.540000000000006</v>
      </c>
      <c r="V8954" s="538">
        <v>39.32</v>
      </c>
    </row>
    <row r="8955" spans="1:22">
      <c r="A8955" s="499">
        <v>45812</v>
      </c>
      <c r="B8955" s="499">
        <v>45812</v>
      </c>
      <c r="C8955" s="500" t="s">
        <v>173</v>
      </c>
      <c r="D8955" s="500" t="s">
        <v>763</v>
      </c>
      <c r="E8955" s="501">
        <v>-46028448.789999999</v>
      </c>
      <c r="F8955" s="502" t="s">
        <v>878</v>
      </c>
      <c r="G8955" s="100">
        <v>117348084</v>
      </c>
      <c r="H8955" s="530"/>
      <c r="I8955" s="422"/>
      <c r="K8955" s="548"/>
      <c r="L8955" s="548"/>
      <c r="M8955" s="548"/>
      <c r="N8955" s="552">
        <v>49772</v>
      </c>
      <c r="R8955" s="539">
        <v>924.78599999999994</v>
      </c>
      <c r="S8955" s="539">
        <v>925.17238306678496</v>
      </c>
      <c r="T8955" s="538">
        <v>15.25</v>
      </c>
      <c r="U8955" s="538">
        <v>69.040000000000006</v>
      </c>
      <c r="V8955" s="538">
        <v>39.32</v>
      </c>
    </row>
    <row r="8956" spans="1:22">
      <c r="A8956" s="499">
        <v>45812</v>
      </c>
      <c r="B8956" s="499">
        <v>45812</v>
      </c>
      <c r="C8956" s="500" t="s">
        <v>173</v>
      </c>
      <c r="D8956" s="500" t="s">
        <v>763</v>
      </c>
      <c r="E8956" s="501">
        <v>-46034971.5</v>
      </c>
      <c r="F8956" s="502" t="s">
        <v>878</v>
      </c>
      <c r="G8956" s="100">
        <v>117348087</v>
      </c>
      <c r="H8956" s="530"/>
      <c r="I8956" s="422"/>
      <c r="K8956" s="548"/>
      <c r="L8956" s="548"/>
      <c r="M8956" s="548"/>
      <c r="N8956" s="552">
        <v>54740</v>
      </c>
      <c r="R8956" s="539">
        <v>840.97500000000002</v>
      </c>
      <c r="S8956" s="539">
        <v>841.32636627694603</v>
      </c>
      <c r="T8956" s="538">
        <v>15.25</v>
      </c>
      <c r="U8956" s="538">
        <v>69.05</v>
      </c>
      <c r="V8956" s="538">
        <v>39.32</v>
      </c>
    </row>
    <row r="8957" spans="1:22">
      <c r="A8957" s="499">
        <v>45812</v>
      </c>
      <c r="B8957" s="499">
        <v>45812</v>
      </c>
      <c r="C8957" s="500" t="s">
        <v>173</v>
      </c>
      <c r="D8957" s="500" t="s">
        <v>763</v>
      </c>
      <c r="E8957" s="501">
        <v>-51020400.409999996</v>
      </c>
      <c r="F8957" s="502" t="s">
        <v>878</v>
      </c>
      <c r="G8957" s="100">
        <v>117348090</v>
      </c>
      <c r="H8957" s="530"/>
      <c r="I8957" s="422"/>
      <c r="K8957" s="548"/>
      <c r="L8957" s="548"/>
      <c r="M8957" s="548"/>
      <c r="N8957" s="552">
        <v>56202</v>
      </c>
      <c r="R8957" s="539">
        <v>907.80399999999997</v>
      </c>
      <c r="S8957" s="539">
        <v>908.18328796128299</v>
      </c>
      <c r="T8957" s="538">
        <v>15.25</v>
      </c>
      <c r="U8957" s="538">
        <v>76.53</v>
      </c>
      <c r="V8957" s="538">
        <v>39.32</v>
      </c>
    </row>
    <row r="8958" spans="1:22">
      <c r="A8958" s="499">
        <v>45812</v>
      </c>
      <c r="B8958" s="499">
        <v>45812</v>
      </c>
      <c r="C8958" s="500" t="s">
        <v>173</v>
      </c>
      <c r="D8958" s="500" t="s">
        <v>763</v>
      </c>
      <c r="E8958" s="501">
        <v>-59053691.18</v>
      </c>
      <c r="F8958" s="502" t="s">
        <v>878</v>
      </c>
      <c r="G8958" s="100">
        <v>117348093</v>
      </c>
      <c r="H8958" s="530"/>
      <c r="I8958" s="422"/>
      <c r="K8958" s="548"/>
      <c r="L8958" s="548"/>
      <c r="M8958" s="548"/>
      <c r="N8958" s="552">
        <v>57230</v>
      </c>
      <c r="R8958" s="539">
        <v>1031.866</v>
      </c>
      <c r="S8958" s="539">
        <v>1032.29712213874</v>
      </c>
      <c r="T8958" s="538">
        <v>15.25</v>
      </c>
      <c r="U8958" s="538">
        <v>88.58</v>
      </c>
      <c r="V8958" s="538">
        <v>44.29</v>
      </c>
    </row>
    <row r="8959" spans="1:22">
      <c r="A8959" s="499">
        <v>45812</v>
      </c>
      <c r="B8959" s="499">
        <v>45812</v>
      </c>
      <c r="C8959" s="500" t="s">
        <v>173</v>
      </c>
      <c r="D8959" s="500" t="s">
        <v>763</v>
      </c>
      <c r="E8959" s="501">
        <v>-63050538.850000001</v>
      </c>
      <c r="F8959" s="502" t="s">
        <v>878</v>
      </c>
      <c r="G8959" s="100">
        <v>117348096</v>
      </c>
      <c r="H8959" s="530"/>
      <c r="I8959" s="422"/>
      <c r="K8959" s="548"/>
      <c r="L8959" s="548"/>
      <c r="M8959" s="548"/>
      <c r="N8959" s="552">
        <v>59031</v>
      </c>
      <c r="R8959" s="539">
        <v>1068.0920000000001</v>
      </c>
      <c r="S8959" s="539">
        <v>1068.5382575257099</v>
      </c>
      <c r="T8959" s="538">
        <v>15.25</v>
      </c>
      <c r="U8959" s="538">
        <v>94.58</v>
      </c>
      <c r="V8959" s="538">
        <v>47.29</v>
      </c>
    </row>
    <row r="8960" spans="1:22">
      <c r="A8960" s="499">
        <v>45812</v>
      </c>
      <c r="B8960" s="499">
        <v>45812</v>
      </c>
      <c r="C8960" s="500" t="s">
        <v>173</v>
      </c>
      <c r="D8960" s="500" t="s">
        <v>763</v>
      </c>
      <c r="E8960" s="501">
        <v>-65038545.07</v>
      </c>
      <c r="F8960" s="502" t="s">
        <v>878</v>
      </c>
      <c r="G8960" s="100">
        <v>117348099</v>
      </c>
      <c r="H8960" s="530"/>
      <c r="I8960" s="422"/>
      <c r="K8960" s="548"/>
      <c r="L8960" s="548"/>
      <c r="M8960" s="548"/>
      <c r="N8960" s="552">
        <v>74945</v>
      </c>
      <c r="R8960" s="539">
        <v>867.81700000000001</v>
      </c>
      <c r="S8960" s="539">
        <v>868.17958115951706</v>
      </c>
      <c r="T8960" s="538">
        <v>15.25</v>
      </c>
      <c r="U8960" s="538">
        <v>97.56</v>
      </c>
      <c r="V8960" s="538">
        <v>48.78</v>
      </c>
    </row>
    <row r="8961" spans="1:22">
      <c r="A8961" s="499">
        <v>45812</v>
      </c>
      <c r="B8961" s="499">
        <v>45812</v>
      </c>
      <c r="C8961" s="500" t="s">
        <v>173</v>
      </c>
      <c r="D8961" s="500" t="s">
        <v>763</v>
      </c>
      <c r="E8961" s="501">
        <v>-67006873.130000003</v>
      </c>
      <c r="F8961" s="502" t="s">
        <v>878</v>
      </c>
      <c r="G8961" s="100">
        <v>117348102</v>
      </c>
      <c r="H8961" s="530"/>
      <c r="I8961" s="422"/>
      <c r="K8961" s="548"/>
      <c r="L8961" s="548"/>
      <c r="M8961" s="548"/>
      <c r="N8961" s="552">
        <v>75777</v>
      </c>
      <c r="R8961" s="539">
        <v>884.26400000000001</v>
      </c>
      <c r="S8961" s="539">
        <v>884.63345276271195</v>
      </c>
      <c r="T8961" s="538">
        <v>15.25</v>
      </c>
      <c r="U8961" s="538">
        <v>100.51</v>
      </c>
      <c r="V8961" s="538">
        <v>50.26</v>
      </c>
    </row>
    <row r="8962" spans="1:22">
      <c r="A8962" s="499">
        <v>45812</v>
      </c>
      <c r="B8962" s="499">
        <v>45812</v>
      </c>
      <c r="C8962" s="500" t="s">
        <v>173</v>
      </c>
      <c r="D8962" s="500" t="s">
        <v>763</v>
      </c>
      <c r="E8962" s="501">
        <v>-69067779.670000002</v>
      </c>
      <c r="F8962" s="502" t="s">
        <v>878</v>
      </c>
      <c r="G8962" s="100">
        <v>117348105</v>
      </c>
      <c r="H8962" s="530"/>
      <c r="I8962" s="422"/>
      <c r="K8962" s="548"/>
      <c r="L8962" s="548"/>
      <c r="M8962" s="548"/>
      <c r="N8962" s="552">
        <v>66723</v>
      </c>
      <c r="R8962" s="539">
        <v>1035.1420000000001</v>
      </c>
      <c r="S8962" s="539">
        <v>1035.5744909551399</v>
      </c>
      <c r="T8962" s="538">
        <v>15.25</v>
      </c>
      <c r="U8962" s="538">
        <v>103.6</v>
      </c>
      <c r="V8962" s="538">
        <v>51.8</v>
      </c>
    </row>
    <row r="8963" spans="1:22">
      <c r="A8963" s="499">
        <v>45812</v>
      </c>
      <c r="B8963" s="499">
        <v>45812</v>
      </c>
      <c r="C8963" s="500" t="s">
        <v>173</v>
      </c>
      <c r="D8963" s="500" t="s">
        <v>763</v>
      </c>
      <c r="E8963" s="501">
        <v>-70038220.560000002</v>
      </c>
      <c r="F8963" s="502" t="s">
        <v>878</v>
      </c>
      <c r="G8963" s="100">
        <v>117348108</v>
      </c>
      <c r="H8963" s="530"/>
      <c r="I8963" s="422"/>
      <c r="K8963" s="548"/>
      <c r="L8963" s="548"/>
      <c r="M8963" s="548"/>
      <c r="N8963" s="552">
        <v>85470</v>
      </c>
      <c r="R8963" s="539">
        <v>819.44799999999998</v>
      </c>
      <c r="S8963" s="539">
        <v>819.79037206037196</v>
      </c>
      <c r="T8963" s="538">
        <v>15.25</v>
      </c>
      <c r="U8963" s="538">
        <v>105.06</v>
      </c>
      <c r="V8963" s="538">
        <v>52.53</v>
      </c>
    </row>
    <row r="8964" spans="1:22">
      <c r="A8964" s="499">
        <v>45812</v>
      </c>
      <c r="B8964" s="499">
        <v>45812</v>
      </c>
      <c r="C8964" s="500" t="s">
        <v>173</v>
      </c>
      <c r="D8964" s="500" t="s">
        <v>763</v>
      </c>
      <c r="E8964" s="501">
        <v>-72028039.099999994</v>
      </c>
      <c r="F8964" s="502" t="s">
        <v>878</v>
      </c>
      <c r="G8964" s="100">
        <v>117348111</v>
      </c>
      <c r="H8964" s="530"/>
      <c r="I8964" s="422"/>
      <c r="K8964" s="548"/>
      <c r="L8964" s="548"/>
      <c r="M8964" s="548"/>
      <c r="N8964" s="552">
        <v>71568</v>
      </c>
      <c r="R8964" s="539">
        <v>1006.428</v>
      </c>
      <c r="S8964" s="539">
        <v>1006.84849387995</v>
      </c>
      <c r="T8964" s="538">
        <v>15.25</v>
      </c>
      <c r="U8964" s="538">
        <v>108.04</v>
      </c>
      <c r="V8964" s="538">
        <v>54.02</v>
      </c>
    </row>
    <row r="8965" spans="1:22">
      <c r="A8965" s="499">
        <v>45812</v>
      </c>
      <c r="B8965" s="499">
        <v>45812</v>
      </c>
      <c r="C8965" s="500" t="s">
        <v>173</v>
      </c>
      <c r="D8965" s="500" t="s">
        <v>763</v>
      </c>
      <c r="E8965" s="501">
        <v>-72004026.599999994</v>
      </c>
      <c r="F8965" s="502" t="s">
        <v>878</v>
      </c>
      <c r="G8965" s="100">
        <v>117348114</v>
      </c>
      <c r="H8965" s="530"/>
      <c r="I8965" s="422"/>
      <c r="K8965" s="548"/>
      <c r="L8965" s="548"/>
      <c r="M8965" s="548"/>
      <c r="N8965" s="552">
        <v>70632</v>
      </c>
      <c r="R8965" s="539">
        <v>1019.425</v>
      </c>
      <c r="S8965" s="539">
        <v>1019.8509240854</v>
      </c>
      <c r="T8965" s="538">
        <v>15.25</v>
      </c>
      <c r="U8965" s="538">
        <v>108.01</v>
      </c>
      <c r="V8965" s="538">
        <v>54</v>
      </c>
    </row>
    <row r="8966" spans="1:22">
      <c r="A8966" s="499">
        <v>45812</v>
      </c>
      <c r="B8966" s="499">
        <v>45812</v>
      </c>
      <c r="C8966" s="500" t="s">
        <v>173</v>
      </c>
      <c r="D8966" s="500" t="s">
        <v>763</v>
      </c>
      <c r="E8966" s="501">
        <v>-82080549.75</v>
      </c>
      <c r="F8966" s="502" t="s">
        <v>878</v>
      </c>
      <c r="G8966" s="100">
        <v>117348117</v>
      </c>
      <c r="H8966" s="530"/>
      <c r="I8966" s="422"/>
      <c r="K8966" s="548"/>
      <c r="L8966" s="548"/>
      <c r="M8966" s="548"/>
      <c r="N8966" s="552">
        <v>79294</v>
      </c>
      <c r="R8966" s="539">
        <v>1035.1420000000001</v>
      </c>
      <c r="S8966" s="539">
        <v>1035.57449088203</v>
      </c>
      <c r="T8966" s="538">
        <v>15.25</v>
      </c>
      <c r="U8966" s="538">
        <v>123.12</v>
      </c>
      <c r="V8966" s="538">
        <v>61.56</v>
      </c>
    </row>
    <row r="8967" spans="1:22">
      <c r="A8967" s="499">
        <v>45812</v>
      </c>
      <c r="B8967" s="499">
        <v>45812</v>
      </c>
      <c r="C8967" s="500" t="s">
        <v>173</v>
      </c>
      <c r="D8967" s="500" t="s">
        <v>763</v>
      </c>
      <c r="E8967" s="501">
        <v>-84082069.010000005</v>
      </c>
      <c r="F8967" s="502" t="s">
        <v>878</v>
      </c>
      <c r="G8967" s="100">
        <v>117348120</v>
      </c>
      <c r="H8967" s="530"/>
      <c r="I8967" s="422"/>
      <c r="K8967" s="548"/>
      <c r="L8967" s="548"/>
      <c r="M8967" s="548"/>
      <c r="N8967" s="552">
        <v>83664</v>
      </c>
      <c r="R8967" s="539">
        <v>1004.997</v>
      </c>
      <c r="S8967" s="539">
        <v>1005.41689603653</v>
      </c>
      <c r="T8967" s="538">
        <v>15.25</v>
      </c>
      <c r="U8967" s="538">
        <v>126.12</v>
      </c>
      <c r="V8967" s="538">
        <v>63.06</v>
      </c>
    </row>
    <row r="8968" spans="1:22">
      <c r="A8968" s="499">
        <v>45812</v>
      </c>
      <c r="B8968" s="499">
        <v>45812</v>
      </c>
      <c r="C8968" s="500" t="s">
        <v>173</v>
      </c>
      <c r="D8968" s="500" t="s">
        <v>763</v>
      </c>
      <c r="E8968" s="501">
        <v>-86050998.090000004</v>
      </c>
      <c r="F8968" s="502" t="s">
        <v>878</v>
      </c>
      <c r="G8968" s="100">
        <v>117348123</v>
      </c>
      <c r="H8968" s="530"/>
      <c r="I8968" s="422"/>
      <c r="K8968" s="548"/>
      <c r="L8968" s="548"/>
      <c r="M8968" s="548"/>
      <c r="N8968" s="552">
        <v>99158</v>
      </c>
      <c r="R8968" s="539">
        <v>867.81700000000001</v>
      </c>
      <c r="S8968" s="539">
        <v>868.179581072632</v>
      </c>
      <c r="T8968" s="538">
        <v>15.25</v>
      </c>
      <c r="U8968" s="538">
        <v>129.08000000000001</v>
      </c>
      <c r="V8968" s="538">
        <v>64.540000000000006</v>
      </c>
    </row>
    <row r="8969" spans="1:22">
      <c r="A8969" s="499">
        <v>45812</v>
      </c>
      <c r="B8969" s="499">
        <v>45812</v>
      </c>
      <c r="C8969" s="500" t="s">
        <v>173</v>
      </c>
      <c r="D8969" s="500" t="s">
        <v>763</v>
      </c>
      <c r="E8969" s="501">
        <v>-86050998.090000004</v>
      </c>
      <c r="F8969" s="502" t="s">
        <v>878</v>
      </c>
      <c r="G8969" s="100">
        <v>117348126</v>
      </c>
      <c r="H8969" s="530"/>
      <c r="I8969" s="422"/>
      <c r="K8969" s="548"/>
      <c r="L8969" s="548"/>
      <c r="M8969" s="548"/>
      <c r="N8969" s="552">
        <v>99158</v>
      </c>
      <c r="R8969" s="539">
        <v>867.81700000000001</v>
      </c>
      <c r="S8969" s="539">
        <v>868.179581072632</v>
      </c>
      <c r="T8969" s="538">
        <v>15.25</v>
      </c>
      <c r="U8969" s="538">
        <v>129.08000000000001</v>
      </c>
      <c r="V8969" s="538">
        <v>64.540000000000006</v>
      </c>
    </row>
    <row r="8970" spans="1:22">
      <c r="A8970" s="499">
        <v>45812</v>
      </c>
      <c r="B8970" s="499">
        <v>45812</v>
      </c>
      <c r="C8970" s="500" t="s">
        <v>173</v>
      </c>
      <c r="D8970" s="500" t="s">
        <v>763</v>
      </c>
      <c r="E8970" s="501">
        <v>-86086421.400000006</v>
      </c>
      <c r="F8970" s="502" t="s">
        <v>878</v>
      </c>
      <c r="G8970" s="100">
        <v>117348129</v>
      </c>
      <c r="H8970" s="530"/>
      <c r="I8970" s="422"/>
      <c r="K8970" s="548"/>
      <c r="L8970" s="548"/>
      <c r="M8970" s="548"/>
      <c r="N8970" s="552">
        <v>85656</v>
      </c>
      <c r="R8970" s="539">
        <v>1005.025</v>
      </c>
      <c r="S8970" s="539">
        <v>1005.44490765387</v>
      </c>
      <c r="T8970" s="538">
        <v>15.25</v>
      </c>
      <c r="U8970" s="538">
        <v>129.13</v>
      </c>
      <c r="V8970" s="538">
        <v>64.56</v>
      </c>
    </row>
    <row r="8971" spans="1:22">
      <c r="A8971" s="499">
        <v>45812</v>
      </c>
      <c r="B8971" s="499">
        <v>45812</v>
      </c>
      <c r="C8971" s="500" t="s">
        <v>173</v>
      </c>
      <c r="D8971" s="500" t="s">
        <v>763</v>
      </c>
      <c r="E8971" s="501">
        <v>-90029589.299999997</v>
      </c>
      <c r="F8971" s="502" t="s">
        <v>878</v>
      </c>
      <c r="G8971" s="100">
        <v>117348132</v>
      </c>
      <c r="H8971" s="530"/>
      <c r="I8971" s="422"/>
      <c r="K8971" s="548"/>
      <c r="L8971" s="548"/>
      <c r="M8971" s="548"/>
      <c r="N8971" s="552">
        <v>97650</v>
      </c>
      <c r="R8971" s="539">
        <v>921.96199999999999</v>
      </c>
      <c r="S8971" s="539">
        <v>922.34720327700995</v>
      </c>
      <c r="T8971" s="538">
        <v>15.25</v>
      </c>
      <c r="U8971" s="538">
        <v>135.04</v>
      </c>
      <c r="V8971" s="538">
        <v>67.52</v>
      </c>
    </row>
    <row r="8972" spans="1:22">
      <c r="A8972" s="499">
        <v>45812</v>
      </c>
      <c r="B8972" s="499">
        <v>45812</v>
      </c>
      <c r="C8972" s="500" t="s">
        <v>173</v>
      </c>
      <c r="D8972" s="500" t="s">
        <v>763</v>
      </c>
      <c r="E8972" s="501">
        <v>-94007682.810000002</v>
      </c>
      <c r="F8972" s="502" t="s">
        <v>878</v>
      </c>
      <c r="G8972" s="100">
        <v>117348135</v>
      </c>
      <c r="H8972" s="530"/>
      <c r="I8972" s="422"/>
      <c r="K8972" s="548"/>
      <c r="L8972" s="548"/>
      <c r="M8972" s="548"/>
      <c r="N8972" s="552">
        <v>90428</v>
      </c>
      <c r="R8972" s="539">
        <v>1039.586</v>
      </c>
      <c r="S8972" s="539">
        <v>1040.0203475693399</v>
      </c>
      <c r="T8972" s="538">
        <v>15.25</v>
      </c>
      <c r="U8972" s="538">
        <v>141.01</v>
      </c>
      <c r="V8972" s="538">
        <v>70.510000000000005</v>
      </c>
    </row>
    <row r="8973" spans="1:22">
      <c r="A8973" s="499">
        <v>45812</v>
      </c>
      <c r="B8973" s="499">
        <v>45812</v>
      </c>
      <c r="C8973" s="500" t="s">
        <v>173</v>
      </c>
      <c r="D8973" s="500" t="s">
        <v>763</v>
      </c>
      <c r="E8973" s="501">
        <v>-94092778</v>
      </c>
      <c r="F8973" s="502" t="s">
        <v>878</v>
      </c>
      <c r="G8973" s="100">
        <v>117348138</v>
      </c>
      <c r="H8973" s="530"/>
      <c r="I8973" s="422"/>
      <c r="K8973" s="548"/>
      <c r="L8973" s="548"/>
      <c r="M8973" s="548"/>
      <c r="N8973" s="552">
        <v>94000</v>
      </c>
      <c r="R8973" s="539">
        <v>1000.987</v>
      </c>
      <c r="S8973" s="539">
        <v>1001.4052206383</v>
      </c>
      <c r="T8973" s="538">
        <v>15.25</v>
      </c>
      <c r="U8973" s="538">
        <v>141.13999999999999</v>
      </c>
      <c r="V8973" s="538">
        <v>70.569999999999993</v>
      </c>
    </row>
    <row r="8974" spans="1:22">
      <c r="A8974" s="499">
        <v>45812</v>
      </c>
      <c r="B8974" s="499">
        <v>45812</v>
      </c>
      <c r="C8974" s="500" t="s">
        <v>173</v>
      </c>
      <c r="D8974" s="500" t="s">
        <v>763</v>
      </c>
      <c r="E8974" s="501">
        <v>-96040968.189999998</v>
      </c>
      <c r="F8974" s="502" t="s">
        <v>878</v>
      </c>
      <c r="G8974" s="100">
        <v>117348141</v>
      </c>
      <c r="H8974" s="530"/>
      <c r="I8974" s="422"/>
      <c r="K8974" s="548"/>
      <c r="L8974" s="548"/>
      <c r="M8974" s="548"/>
      <c r="N8974" s="552">
        <v>89856</v>
      </c>
      <c r="R8974" s="539">
        <v>1068.8320000000001</v>
      </c>
      <c r="S8974" s="539">
        <v>1069.27856681802</v>
      </c>
      <c r="T8974" s="538">
        <v>15.25</v>
      </c>
      <c r="U8974" s="538">
        <v>144.06</v>
      </c>
      <c r="V8974" s="538">
        <v>72.03</v>
      </c>
    </row>
    <row r="8975" spans="1:22">
      <c r="A8975" s="499">
        <v>45812</v>
      </c>
      <c r="B8975" s="499">
        <v>45812</v>
      </c>
      <c r="C8975" s="500" t="s">
        <v>173</v>
      </c>
      <c r="D8975" s="500" t="s">
        <v>763</v>
      </c>
      <c r="E8975" s="501">
        <v>-104007514.62</v>
      </c>
      <c r="F8975" s="502" t="s">
        <v>878</v>
      </c>
      <c r="G8975" s="100">
        <v>117348144</v>
      </c>
      <c r="H8975" s="530"/>
      <c r="I8975" s="422"/>
      <c r="K8975" s="548"/>
      <c r="L8975" s="548"/>
      <c r="M8975" s="548"/>
      <c r="N8975" s="552">
        <v>116896</v>
      </c>
      <c r="R8975" s="539">
        <v>889.74400000000003</v>
      </c>
      <c r="S8975" s="539">
        <v>890.115742283739</v>
      </c>
      <c r="T8975" s="538">
        <v>15.25</v>
      </c>
      <c r="U8975" s="538">
        <v>156.01</v>
      </c>
      <c r="V8975" s="538">
        <v>78.010000000000005</v>
      </c>
    </row>
    <row r="8976" spans="1:22">
      <c r="A8976" s="499">
        <v>45812</v>
      </c>
      <c r="B8976" s="499">
        <v>45812</v>
      </c>
      <c r="C8976" s="500" t="s">
        <v>173</v>
      </c>
      <c r="D8976" s="500" t="s">
        <v>763</v>
      </c>
      <c r="E8976" s="501">
        <v>-113003890.7</v>
      </c>
      <c r="F8976" s="502" t="s">
        <v>878</v>
      </c>
      <c r="G8976" s="100">
        <v>117348147</v>
      </c>
      <c r="H8976" s="530"/>
      <c r="I8976" s="422"/>
      <c r="K8976" s="548"/>
      <c r="L8976" s="548"/>
      <c r="M8976" s="548"/>
      <c r="N8976" s="552">
        <v>125543</v>
      </c>
      <c r="R8976" s="539">
        <v>900.12099999999998</v>
      </c>
      <c r="S8976" s="539">
        <v>900.49707789363003</v>
      </c>
      <c r="T8976" s="538">
        <v>15.25</v>
      </c>
      <c r="U8976" s="538">
        <v>169.51</v>
      </c>
      <c r="V8976" s="538">
        <v>84.75</v>
      </c>
    </row>
    <row r="8977" spans="1:22">
      <c r="A8977" s="499">
        <v>45812</v>
      </c>
      <c r="B8977" s="499">
        <v>45812</v>
      </c>
      <c r="C8977" s="500" t="s">
        <v>173</v>
      </c>
      <c r="D8977" s="500" t="s">
        <v>763</v>
      </c>
      <c r="E8977" s="501">
        <v>-117106472.34</v>
      </c>
      <c r="F8977" s="502" t="s">
        <v>878</v>
      </c>
      <c r="G8977" s="100">
        <v>117348150</v>
      </c>
      <c r="H8977" s="530"/>
      <c r="I8977" s="422"/>
      <c r="K8977" s="548"/>
      <c r="L8977" s="548"/>
      <c r="M8977" s="548"/>
      <c r="N8977" s="552">
        <v>113490</v>
      </c>
      <c r="R8977" s="539">
        <v>1031.866</v>
      </c>
      <c r="S8977" s="539">
        <v>1032.2971221252999</v>
      </c>
      <c r="T8977" s="538">
        <v>15.25</v>
      </c>
      <c r="U8977" s="538">
        <v>175.66</v>
      </c>
      <c r="V8977" s="538">
        <v>87.83</v>
      </c>
    </row>
    <row r="8978" spans="1:22">
      <c r="A8978" s="499">
        <v>45812</v>
      </c>
      <c r="B8978" s="499">
        <v>45812</v>
      </c>
      <c r="C8978" s="500" t="s">
        <v>173</v>
      </c>
      <c r="D8978" s="500" t="s">
        <v>763</v>
      </c>
      <c r="E8978" s="501">
        <v>-120008670.72</v>
      </c>
      <c r="F8978" s="502" t="s">
        <v>878</v>
      </c>
      <c r="G8978" s="100">
        <v>117348153</v>
      </c>
      <c r="H8978" s="530"/>
      <c r="I8978" s="422"/>
      <c r="K8978" s="548"/>
      <c r="L8978" s="548"/>
      <c r="M8978" s="548"/>
      <c r="N8978" s="552">
        <v>134880</v>
      </c>
      <c r="R8978" s="539">
        <v>889.74400000000003</v>
      </c>
      <c r="S8978" s="539">
        <v>890.11574236358194</v>
      </c>
      <c r="T8978" s="538">
        <v>15.25</v>
      </c>
      <c r="U8978" s="538">
        <v>180.01</v>
      </c>
      <c r="V8978" s="538">
        <v>90.01</v>
      </c>
    </row>
    <row r="8979" spans="1:22">
      <c r="A8979" s="499">
        <v>45812</v>
      </c>
      <c r="B8979" s="499">
        <v>45812</v>
      </c>
      <c r="C8979" s="500" t="s">
        <v>173</v>
      </c>
      <c r="D8979" s="500" t="s">
        <v>763</v>
      </c>
      <c r="E8979" s="501">
        <v>-122026186.08</v>
      </c>
      <c r="F8979" s="502" t="s">
        <v>878</v>
      </c>
      <c r="G8979" s="100">
        <v>117348156</v>
      </c>
      <c r="H8979" s="530"/>
      <c r="I8979" s="422"/>
      <c r="K8979" s="548"/>
      <c r="L8979" s="548"/>
      <c r="M8979" s="548"/>
      <c r="N8979" s="552">
        <v>159210</v>
      </c>
      <c r="R8979" s="539">
        <v>766.44799999999998</v>
      </c>
      <c r="S8979" s="539">
        <v>766.76822825199395</v>
      </c>
      <c r="T8979" s="538">
        <v>15.25</v>
      </c>
      <c r="U8979" s="538">
        <v>183.04</v>
      </c>
      <c r="V8979" s="538">
        <v>91.52</v>
      </c>
    </row>
    <row r="8980" spans="1:22">
      <c r="A8980" s="499">
        <v>45812</v>
      </c>
      <c r="B8980" s="499">
        <v>45812</v>
      </c>
      <c r="C8980" s="500" t="s">
        <v>173</v>
      </c>
      <c r="D8980" s="500" t="s">
        <v>763</v>
      </c>
      <c r="E8980" s="501">
        <v>-131099592.75</v>
      </c>
      <c r="F8980" s="502" t="s">
        <v>878</v>
      </c>
      <c r="G8980" s="100">
        <v>117348159</v>
      </c>
      <c r="H8980" s="530"/>
      <c r="I8980" s="422"/>
      <c r="K8980" s="548"/>
      <c r="L8980" s="548"/>
      <c r="M8980" s="548"/>
      <c r="N8980" s="552">
        <v>155890</v>
      </c>
      <c r="R8980" s="539">
        <v>840.97500000000002</v>
      </c>
      <c r="S8980" s="539">
        <v>841.32636628391799</v>
      </c>
      <c r="T8980" s="538">
        <v>15.25</v>
      </c>
      <c r="U8980" s="538">
        <v>196.65</v>
      </c>
      <c r="V8980" s="538">
        <v>98.32</v>
      </c>
    </row>
    <row r="8981" spans="1:22">
      <c r="A8981" s="499">
        <v>45812</v>
      </c>
      <c r="B8981" s="499">
        <v>45812</v>
      </c>
      <c r="C8981" s="500" t="s">
        <v>173</v>
      </c>
      <c r="D8981" s="500" t="s">
        <v>763</v>
      </c>
      <c r="E8981" s="501">
        <v>-136031211.34999999</v>
      </c>
      <c r="F8981" s="502" t="s">
        <v>878</v>
      </c>
      <c r="G8981" s="100">
        <v>117348162</v>
      </c>
      <c r="H8981" s="530"/>
      <c r="I8981" s="422"/>
      <c r="K8981" s="548"/>
      <c r="L8981" s="548"/>
      <c r="M8981" s="548"/>
      <c r="N8981" s="552">
        <v>261664</v>
      </c>
      <c r="R8981" s="539">
        <v>519.86980000000005</v>
      </c>
      <c r="S8981" s="539">
        <v>520.08700589305397</v>
      </c>
      <c r="T8981" s="538">
        <v>15.25</v>
      </c>
      <c r="U8981" s="538">
        <v>204.05</v>
      </c>
      <c r="V8981" s="538">
        <v>102.02</v>
      </c>
    </row>
    <row r="8982" spans="1:22">
      <c r="A8982" s="499">
        <v>45812</v>
      </c>
      <c r="B8982" s="499">
        <v>45812</v>
      </c>
      <c r="C8982" s="500" t="s">
        <v>173</v>
      </c>
      <c r="D8982" s="500" t="s">
        <v>763</v>
      </c>
      <c r="E8982" s="501">
        <v>-147061767.63999999</v>
      </c>
      <c r="F8982" s="502" t="s">
        <v>878</v>
      </c>
      <c r="G8982" s="100">
        <v>117348165</v>
      </c>
      <c r="H8982" s="530"/>
      <c r="I8982" s="422"/>
      <c r="K8982" s="548"/>
      <c r="L8982" s="548"/>
      <c r="M8982" s="548"/>
      <c r="N8982" s="552">
        <v>199332</v>
      </c>
      <c r="R8982" s="539">
        <v>737.77300000000002</v>
      </c>
      <c r="S8982" s="539">
        <v>738.081247667208</v>
      </c>
      <c r="T8982" s="538">
        <v>15.25</v>
      </c>
      <c r="U8982" s="538">
        <v>220.59</v>
      </c>
      <c r="V8982" s="538">
        <v>110.3</v>
      </c>
    </row>
    <row r="8983" spans="1:22">
      <c r="A8983" s="499">
        <v>45812</v>
      </c>
      <c r="B8983" s="499">
        <v>45812</v>
      </c>
      <c r="C8983" s="500" t="s">
        <v>173</v>
      </c>
      <c r="D8983" s="500" t="s">
        <v>763</v>
      </c>
      <c r="E8983" s="501">
        <v>-152055760.90000001</v>
      </c>
      <c r="F8983" s="502" t="s">
        <v>878</v>
      </c>
      <c r="G8983" s="100">
        <v>117348168</v>
      </c>
      <c r="H8983" s="530"/>
      <c r="I8983" s="422"/>
      <c r="K8983" s="548"/>
      <c r="L8983" s="548"/>
      <c r="M8983" s="548"/>
      <c r="N8983" s="552">
        <v>175104</v>
      </c>
      <c r="R8983" s="539">
        <v>868.37400000000002</v>
      </c>
      <c r="S8983" s="539">
        <v>868.73681383634903</v>
      </c>
      <c r="T8983" s="538">
        <v>15.25</v>
      </c>
      <c r="U8983" s="538">
        <v>228.08</v>
      </c>
      <c r="V8983" s="538">
        <v>114.04</v>
      </c>
    </row>
    <row r="8984" spans="1:22">
      <c r="A8984" s="499">
        <v>45812</v>
      </c>
      <c r="B8984" s="499">
        <v>45812</v>
      </c>
      <c r="C8984" s="500" t="s">
        <v>173</v>
      </c>
      <c r="D8984" s="500" t="s">
        <v>763</v>
      </c>
      <c r="E8984" s="501">
        <v>-164069987.33000001</v>
      </c>
      <c r="F8984" s="502" t="s">
        <v>878</v>
      </c>
      <c r="G8984" s="100">
        <v>117348171</v>
      </c>
      <c r="H8984" s="530"/>
      <c r="I8984" s="422"/>
      <c r="K8984" s="548"/>
      <c r="L8984" s="548"/>
      <c r="M8984" s="548"/>
      <c r="N8984" s="552">
        <v>153504</v>
      </c>
      <c r="R8984" s="539">
        <v>1068.8320000000001</v>
      </c>
      <c r="S8984" s="539">
        <v>1069.27856681259</v>
      </c>
      <c r="T8984" s="538">
        <v>15.25</v>
      </c>
      <c r="U8984" s="538">
        <v>246.1</v>
      </c>
      <c r="V8984" s="538">
        <v>123.05</v>
      </c>
    </row>
    <row r="8985" spans="1:22">
      <c r="A8985" s="499">
        <v>45812</v>
      </c>
      <c r="B8985" s="499">
        <v>45812</v>
      </c>
      <c r="C8985" s="500" t="s">
        <v>173</v>
      </c>
      <c r="D8985" s="500" t="s">
        <v>763</v>
      </c>
      <c r="E8985" s="501">
        <v>-182182891.80000001</v>
      </c>
      <c r="F8985" s="502" t="s">
        <v>878</v>
      </c>
      <c r="G8985" s="100">
        <v>117348174</v>
      </c>
      <c r="H8985" s="530"/>
      <c r="I8985" s="422"/>
      <c r="K8985" s="548"/>
      <c r="L8985" s="548"/>
      <c r="M8985" s="548"/>
      <c r="N8985" s="552">
        <v>181272</v>
      </c>
      <c r="R8985" s="539">
        <v>1005.025</v>
      </c>
      <c r="S8985" s="539">
        <v>1005.44490770775</v>
      </c>
      <c r="T8985" s="538">
        <v>15.25</v>
      </c>
      <c r="U8985" s="538">
        <v>273.27</v>
      </c>
      <c r="V8985" s="538">
        <v>136.63999999999999</v>
      </c>
    </row>
    <row r="8986" spans="1:22">
      <c r="A8986" s="499">
        <v>45812</v>
      </c>
      <c r="B8986" s="499">
        <v>45812</v>
      </c>
      <c r="C8986" s="500" t="s">
        <v>173</v>
      </c>
      <c r="D8986" s="500" t="s">
        <v>763</v>
      </c>
      <c r="E8986" s="501">
        <v>-195100857.50999999</v>
      </c>
      <c r="F8986" s="502" t="s">
        <v>878</v>
      </c>
      <c r="G8986" s="100">
        <v>117348177</v>
      </c>
      <c r="H8986" s="530"/>
      <c r="I8986" s="422"/>
      <c r="K8986" s="548"/>
      <c r="L8986" s="548"/>
      <c r="M8986" s="548"/>
      <c r="N8986" s="552">
        <v>230295</v>
      </c>
      <c r="R8986" s="539">
        <v>847.178</v>
      </c>
      <c r="S8986" s="539">
        <v>847.53195792353301</v>
      </c>
      <c r="T8986" s="538">
        <v>15.25</v>
      </c>
      <c r="U8986" s="538">
        <v>292.64999999999998</v>
      </c>
      <c r="V8986" s="538">
        <v>146.33000000000001</v>
      </c>
    </row>
    <row r="8987" spans="1:22">
      <c r="A8987" s="499">
        <v>45812</v>
      </c>
      <c r="B8987" s="499">
        <v>45812</v>
      </c>
      <c r="C8987" s="500" t="s">
        <v>173</v>
      </c>
      <c r="D8987" s="500" t="s">
        <v>763</v>
      </c>
      <c r="E8987" s="501">
        <v>-199152985.03</v>
      </c>
      <c r="F8987" s="502" t="s">
        <v>878</v>
      </c>
      <c r="G8987" s="100">
        <v>117348180</v>
      </c>
      <c r="H8987" s="530"/>
      <c r="I8987" s="422"/>
      <c r="K8987" s="548"/>
      <c r="L8987" s="548"/>
      <c r="M8987" s="548"/>
      <c r="N8987" s="552">
        <v>199199</v>
      </c>
      <c r="R8987" s="539">
        <v>999.76900000000001</v>
      </c>
      <c r="S8987" s="539">
        <v>1000.18671168028</v>
      </c>
      <c r="T8987" s="538">
        <v>15.25</v>
      </c>
      <c r="U8987" s="538">
        <v>298.73</v>
      </c>
      <c r="V8987" s="538">
        <v>149.36000000000001</v>
      </c>
    </row>
    <row r="8988" spans="1:22">
      <c r="A8988" s="499">
        <v>45812</v>
      </c>
      <c r="B8988" s="499">
        <v>45812</v>
      </c>
      <c r="C8988" s="500" t="s">
        <v>173</v>
      </c>
      <c r="D8988" s="500" t="s">
        <v>763</v>
      </c>
      <c r="E8988" s="501">
        <v>-206158366.41</v>
      </c>
      <c r="F8988" s="502" t="s">
        <v>878</v>
      </c>
      <c r="G8988" s="100">
        <v>117348183</v>
      </c>
      <c r="H8988" s="530"/>
      <c r="I8988" s="422"/>
      <c r="K8988" s="548"/>
      <c r="L8988" s="548"/>
      <c r="M8988" s="548"/>
      <c r="N8988" s="552">
        <v>206206</v>
      </c>
      <c r="R8988" s="539">
        <v>999.76900000000001</v>
      </c>
      <c r="S8988" s="539">
        <v>1000.18671168637</v>
      </c>
      <c r="T8988" s="538">
        <v>15.25</v>
      </c>
      <c r="U8988" s="538">
        <v>309.24</v>
      </c>
      <c r="V8988" s="538">
        <v>154.62</v>
      </c>
    </row>
    <row r="8989" spans="1:22">
      <c r="A8989" s="499">
        <v>45812</v>
      </c>
      <c r="B8989" s="499">
        <v>45812</v>
      </c>
      <c r="C8989" s="500" t="s">
        <v>173</v>
      </c>
      <c r="D8989" s="500" t="s">
        <v>763</v>
      </c>
      <c r="E8989" s="501">
        <v>-207203339</v>
      </c>
      <c r="F8989" s="502" t="s">
        <v>878</v>
      </c>
      <c r="G8989" s="100">
        <v>117348186</v>
      </c>
      <c r="H8989" s="530"/>
      <c r="I8989" s="422"/>
      <c r="K8989" s="548"/>
      <c r="L8989" s="548"/>
      <c r="M8989" s="548"/>
      <c r="N8989" s="552">
        <v>200169</v>
      </c>
      <c r="R8989" s="539">
        <v>1035.1420000000001</v>
      </c>
      <c r="S8989" s="539">
        <v>1035.5744908552299</v>
      </c>
      <c r="T8989" s="538">
        <v>15.25</v>
      </c>
      <c r="U8989" s="538">
        <v>310.81</v>
      </c>
      <c r="V8989" s="538">
        <v>155.4</v>
      </c>
    </row>
    <row r="8990" spans="1:22">
      <c r="A8990" s="499">
        <v>45812</v>
      </c>
      <c r="B8990" s="499">
        <v>45812</v>
      </c>
      <c r="C8990" s="500" t="s">
        <v>173</v>
      </c>
      <c r="D8990" s="500" t="s">
        <v>763</v>
      </c>
      <c r="E8990" s="501">
        <v>-216128088.22</v>
      </c>
      <c r="F8990" s="502" t="s">
        <v>878</v>
      </c>
      <c r="G8990" s="100">
        <v>117348189</v>
      </c>
      <c r="H8990" s="530"/>
      <c r="I8990" s="422"/>
      <c r="K8990" s="548"/>
      <c r="L8990" s="548"/>
      <c r="M8990" s="548"/>
      <c r="N8990" s="552">
        <v>249048</v>
      </c>
      <c r="R8990" s="539">
        <v>867.81700000000001</v>
      </c>
      <c r="S8990" s="539">
        <v>868.17958108477103</v>
      </c>
      <c r="T8990" s="538">
        <v>15.25</v>
      </c>
      <c r="U8990" s="538">
        <v>324.19</v>
      </c>
      <c r="V8990" s="538">
        <v>162.1</v>
      </c>
    </row>
    <row r="8991" spans="1:22">
      <c r="A8991" s="499">
        <v>45812</v>
      </c>
      <c r="B8991" s="499">
        <v>45812</v>
      </c>
      <c r="C8991" s="500" t="s">
        <v>173</v>
      </c>
      <c r="D8991" s="500" t="s">
        <v>763</v>
      </c>
      <c r="E8991" s="501">
        <v>-221086064.47</v>
      </c>
      <c r="F8991" s="502" t="s">
        <v>878</v>
      </c>
      <c r="G8991" s="100">
        <v>117348192</v>
      </c>
      <c r="H8991" s="530"/>
      <c r="I8991" s="422"/>
      <c r="K8991" s="548"/>
      <c r="L8991" s="548"/>
      <c r="M8991" s="548"/>
      <c r="N8991" s="552">
        <v>219674</v>
      </c>
      <c r="R8991" s="539">
        <v>1006.428</v>
      </c>
      <c r="S8991" s="539">
        <v>1006.84849385908</v>
      </c>
      <c r="T8991" s="538">
        <v>15.25</v>
      </c>
      <c r="U8991" s="538">
        <v>331.63</v>
      </c>
      <c r="V8991" s="538">
        <v>165.81</v>
      </c>
    </row>
    <row r="8992" spans="1:22">
      <c r="A8992" s="499">
        <v>45812</v>
      </c>
      <c r="B8992" s="499">
        <v>45812</v>
      </c>
      <c r="C8992" s="500" t="s">
        <v>173</v>
      </c>
      <c r="D8992" s="500" t="s">
        <v>763</v>
      </c>
      <c r="E8992" s="501">
        <v>-228074959.56</v>
      </c>
      <c r="F8992" s="502" t="s">
        <v>878</v>
      </c>
      <c r="G8992" s="100">
        <v>117348195</v>
      </c>
      <c r="H8992" s="530"/>
      <c r="I8992" s="422"/>
      <c r="K8992" s="548"/>
      <c r="L8992" s="548"/>
      <c r="M8992" s="548"/>
      <c r="N8992" s="552">
        <v>247380</v>
      </c>
      <c r="R8992" s="539">
        <v>921.96199999999999</v>
      </c>
      <c r="S8992" s="539">
        <v>922.347203290484</v>
      </c>
      <c r="T8992" s="538">
        <v>15.25</v>
      </c>
      <c r="U8992" s="538">
        <v>342.11</v>
      </c>
      <c r="V8992" s="538">
        <v>171.06</v>
      </c>
    </row>
    <row r="8993" spans="1:22">
      <c r="A8993" s="499">
        <v>45812</v>
      </c>
      <c r="B8993" s="499">
        <v>45812</v>
      </c>
      <c r="C8993" s="500" t="s">
        <v>173</v>
      </c>
      <c r="D8993" s="500" t="s">
        <v>763</v>
      </c>
      <c r="E8993" s="501">
        <v>-264024684</v>
      </c>
      <c r="F8993" s="502" t="s">
        <v>878</v>
      </c>
      <c r="G8993" s="100">
        <v>117348198</v>
      </c>
      <c r="H8993" s="530"/>
      <c r="I8993" s="422"/>
      <c r="K8993" s="548"/>
      <c r="L8993" s="548"/>
      <c r="M8993" s="548"/>
      <c r="N8993" s="552">
        <v>332640</v>
      </c>
      <c r="R8993" s="539">
        <v>793.72500000000002</v>
      </c>
      <c r="S8993" s="539">
        <v>794.05662481962497</v>
      </c>
      <c r="T8993" s="538">
        <v>15.25</v>
      </c>
      <c r="U8993" s="538">
        <v>396.04</v>
      </c>
      <c r="V8993" s="538">
        <v>198.02</v>
      </c>
    </row>
    <row r="8994" spans="1:22">
      <c r="A8994" s="499">
        <v>45812</v>
      </c>
      <c r="B8994" s="499">
        <v>45812</v>
      </c>
      <c r="C8994" s="500" t="s">
        <v>173</v>
      </c>
      <c r="D8994" s="500" t="s">
        <v>763</v>
      </c>
      <c r="E8994" s="501">
        <v>-268199114.34999999</v>
      </c>
      <c r="F8994" s="502" t="s">
        <v>878</v>
      </c>
      <c r="G8994" s="100">
        <v>117348201</v>
      </c>
      <c r="H8994" s="530"/>
      <c r="I8994" s="422"/>
      <c r="K8994" s="548"/>
      <c r="L8994" s="548"/>
      <c r="M8994" s="548"/>
      <c r="N8994" s="552">
        <v>271752</v>
      </c>
      <c r="R8994" s="539">
        <v>986.92600000000004</v>
      </c>
      <c r="S8994" s="539">
        <v>987.33834577114396</v>
      </c>
      <c r="T8994" s="538">
        <v>15.25</v>
      </c>
      <c r="U8994" s="538">
        <v>402.3</v>
      </c>
      <c r="V8994" s="538">
        <v>201.15</v>
      </c>
    </row>
    <row r="8995" spans="1:22">
      <c r="A8995" s="499">
        <v>45812</v>
      </c>
      <c r="B8995" s="499">
        <v>45812</v>
      </c>
      <c r="C8995" s="500" t="s">
        <v>173</v>
      </c>
      <c r="D8995" s="500" t="s">
        <v>763</v>
      </c>
      <c r="E8995" s="501">
        <v>-25005761.48</v>
      </c>
      <c r="F8995" s="502" t="s">
        <v>878</v>
      </c>
      <c r="G8995" s="100">
        <v>117348204</v>
      </c>
      <c r="H8995" s="530"/>
      <c r="I8995" s="422"/>
      <c r="K8995" s="548"/>
      <c r="L8995" s="548"/>
      <c r="M8995" s="548"/>
      <c r="N8995" s="552">
        <v>27975</v>
      </c>
      <c r="R8995" s="539">
        <v>893.86099999999999</v>
      </c>
      <c r="S8995" s="539">
        <v>894.23446255585304</v>
      </c>
      <c r="T8995" s="538">
        <v>15.25</v>
      </c>
      <c r="U8995" s="538">
        <v>39.32</v>
      </c>
      <c r="V8995" s="538">
        <v>39.32</v>
      </c>
    </row>
    <row r="8996" spans="1:22">
      <c r="A8996" s="499">
        <v>45812</v>
      </c>
      <c r="B8996" s="499">
        <v>45812</v>
      </c>
      <c r="C8996" s="500" t="s">
        <v>173</v>
      </c>
      <c r="D8996" s="500" t="s">
        <v>763</v>
      </c>
      <c r="E8996" s="501">
        <v>-32000602.629999999</v>
      </c>
      <c r="F8996" s="502" t="s">
        <v>878</v>
      </c>
      <c r="G8996" s="100">
        <v>117348412</v>
      </c>
      <c r="H8996" s="530"/>
      <c r="I8996" s="422"/>
      <c r="K8996" s="548"/>
      <c r="L8996" s="548"/>
      <c r="M8996" s="548"/>
      <c r="N8996" s="552">
        <v>322656</v>
      </c>
      <c r="R8996" s="539">
        <v>99.178700000000006</v>
      </c>
      <c r="S8996" s="539">
        <v>99.2199746479222</v>
      </c>
      <c r="T8996" s="538">
        <v>15.19</v>
      </c>
      <c r="U8996" s="538">
        <v>48</v>
      </c>
      <c r="V8996" s="538">
        <v>39.32</v>
      </c>
    </row>
    <row r="8997" spans="1:22">
      <c r="A8997" s="499">
        <v>45812</v>
      </c>
      <c r="B8997" s="499">
        <v>45813</v>
      </c>
      <c r="C8997" s="500" t="s">
        <v>173</v>
      </c>
      <c r="D8997" s="500" t="s">
        <v>763</v>
      </c>
      <c r="E8997" s="501">
        <v>1000807.4</v>
      </c>
      <c r="F8997" s="502" t="s">
        <v>878</v>
      </c>
      <c r="G8997" s="100">
        <v>117347943</v>
      </c>
      <c r="H8997" s="100">
        <v>117347943</v>
      </c>
      <c r="I8997" s="422"/>
      <c r="K8997" s="548"/>
      <c r="L8997" s="548"/>
      <c r="M8997" s="548"/>
      <c r="N8997" s="552">
        <v>994</v>
      </c>
      <c r="R8997" s="539">
        <v>1006.428</v>
      </c>
      <c r="S8997" s="539">
        <v>1006.8484909456701</v>
      </c>
      <c r="T8997" s="538">
        <v>15.25</v>
      </c>
      <c r="U8997" s="538">
        <v>39.32</v>
      </c>
      <c r="V8997" s="538">
        <v>39.32</v>
      </c>
    </row>
    <row r="8998" spans="1:22">
      <c r="A8998" s="499">
        <v>45812</v>
      </c>
      <c r="B8998" s="499">
        <v>45813</v>
      </c>
      <c r="C8998" s="500" t="s">
        <v>173</v>
      </c>
      <c r="D8998" s="500" t="s">
        <v>763</v>
      </c>
      <c r="E8998" s="501">
        <v>1000511.35</v>
      </c>
      <c r="F8998" s="502" t="s">
        <v>878</v>
      </c>
      <c r="G8998" s="100">
        <v>117347946</v>
      </c>
      <c r="H8998" s="100">
        <v>117347946</v>
      </c>
      <c r="I8998" s="422"/>
      <c r="K8998" s="548"/>
      <c r="L8998" s="548"/>
      <c r="M8998" s="548"/>
      <c r="N8998" s="552">
        <v>1260</v>
      </c>
      <c r="R8998" s="539">
        <v>793.72500000000002</v>
      </c>
      <c r="S8998" s="539">
        <v>794.05662698412698</v>
      </c>
      <c r="T8998" s="538">
        <v>15.25</v>
      </c>
      <c r="U8998" s="538">
        <v>39.32</v>
      </c>
      <c r="V8998" s="538">
        <v>39.32</v>
      </c>
    </row>
    <row r="8999" spans="1:22">
      <c r="A8999" s="499">
        <v>45812</v>
      </c>
      <c r="B8999" s="499">
        <v>45813</v>
      </c>
      <c r="C8999" s="500" t="s">
        <v>173</v>
      </c>
      <c r="D8999" s="500" t="s">
        <v>763</v>
      </c>
      <c r="E8999" s="501">
        <v>1000655.55</v>
      </c>
      <c r="F8999" s="502" t="s">
        <v>878</v>
      </c>
      <c r="G8999" s="100">
        <v>117347949</v>
      </c>
      <c r="H8999" s="100">
        <v>117347949</v>
      </c>
      <c r="I8999" s="422"/>
      <c r="K8999" s="548"/>
      <c r="L8999" s="548"/>
      <c r="M8999" s="548"/>
      <c r="N8999" s="552">
        <v>1316</v>
      </c>
      <c r="R8999" s="539">
        <v>760.05899999999997</v>
      </c>
      <c r="S8999" s="539">
        <v>760.37655775075996</v>
      </c>
      <c r="T8999" s="538">
        <v>15.25</v>
      </c>
      <c r="U8999" s="538">
        <v>39.32</v>
      </c>
      <c r="V8999" s="538">
        <v>39.32</v>
      </c>
    </row>
    <row r="9000" spans="1:22">
      <c r="A9000" s="499">
        <v>45812</v>
      </c>
      <c r="B9000" s="499">
        <v>45813</v>
      </c>
      <c r="C9000" s="500" t="s">
        <v>173</v>
      </c>
      <c r="D9000" s="500" t="s">
        <v>763</v>
      </c>
      <c r="E9000" s="501">
        <v>1000632.54</v>
      </c>
      <c r="F9000" s="502" t="s">
        <v>878</v>
      </c>
      <c r="G9000" s="100">
        <v>117347952</v>
      </c>
      <c r="H9000" s="100">
        <v>117347952</v>
      </c>
      <c r="I9000" s="422"/>
      <c r="K9000" s="548"/>
      <c r="L9000" s="548"/>
      <c r="M9000" s="548"/>
      <c r="N9000" s="552">
        <v>1305</v>
      </c>
      <c r="R9000" s="539">
        <v>766.44799999999998</v>
      </c>
      <c r="S9000" s="539">
        <v>766.76822988505796</v>
      </c>
      <c r="T9000" s="538">
        <v>15.25</v>
      </c>
      <c r="U9000" s="538">
        <v>39.32</v>
      </c>
      <c r="V9000" s="538">
        <v>39.32</v>
      </c>
    </row>
    <row r="9001" spans="1:22">
      <c r="A9001" s="499">
        <v>45812</v>
      </c>
      <c r="B9001" s="499">
        <v>45813</v>
      </c>
      <c r="C9001" s="500" t="s">
        <v>173</v>
      </c>
      <c r="D9001" s="500" t="s">
        <v>763</v>
      </c>
      <c r="E9001" s="501">
        <v>2001296.73</v>
      </c>
      <c r="F9001" s="502" t="s">
        <v>878</v>
      </c>
      <c r="G9001" s="100">
        <v>117347955</v>
      </c>
      <c r="H9001" s="100">
        <v>117347955</v>
      </c>
      <c r="I9001" s="422"/>
      <c r="K9001" s="548"/>
      <c r="L9001" s="548"/>
      <c r="M9001" s="548"/>
      <c r="N9001" s="552">
        <v>2238</v>
      </c>
      <c r="R9001" s="539">
        <v>893.86099999999999</v>
      </c>
      <c r="S9001" s="539">
        <v>894.23446380696998</v>
      </c>
      <c r="T9001" s="538">
        <v>15.25</v>
      </c>
      <c r="U9001" s="538">
        <v>39.32</v>
      </c>
      <c r="V9001" s="538">
        <v>39.32</v>
      </c>
    </row>
    <row r="9002" spans="1:22">
      <c r="A9002" s="499">
        <v>45812</v>
      </c>
      <c r="B9002" s="499">
        <v>45813</v>
      </c>
      <c r="C9002" s="500" t="s">
        <v>173</v>
      </c>
      <c r="D9002" s="500" t="s">
        <v>763</v>
      </c>
      <c r="E9002" s="501">
        <v>2000980.19</v>
      </c>
      <c r="F9002" s="502" t="s">
        <v>878</v>
      </c>
      <c r="G9002" s="100">
        <v>117347958</v>
      </c>
      <c r="H9002" s="100">
        <v>117347958</v>
      </c>
      <c r="I9002" s="422"/>
      <c r="K9002" s="548"/>
      <c r="L9002" s="548"/>
      <c r="M9002" s="548"/>
      <c r="N9002" s="552">
        <v>2248</v>
      </c>
      <c r="R9002" s="539">
        <v>889.74400000000003</v>
      </c>
      <c r="S9002" s="539">
        <v>890.11574288256202</v>
      </c>
      <c r="T9002" s="538">
        <v>15.25</v>
      </c>
      <c r="U9002" s="538">
        <v>39.32</v>
      </c>
      <c r="V9002" s="538">
        <v>39.32</v>
      </c>
    </row>
    <row r="9003" spans="1:22">
      <c r="A9003" s="499">
        <v>45812</v>
      </c>
      <c r="B9003" s="499">
        <v>45813</v>
      </c>
      <c r="C9003" s="500" t="s">
        <v>173</v>
      </c>
      <c r="D9003" s="500" t="s">
        <v>763</v>
      </c>
      <c r="E9003" s="501">
        <v>2000999.14</v>
      </c>
      <c r="F9003" s="502" t="s">
        <v>878</v>
      </c>
      <c r="G9003" s="100">
        <v>117347961</v>
      </c>
      <c r="H9003" s="100">
        <v>117347961</v>
      </c>
      <c r="I9003" s="422"/>
      <c r="K9003" s="548"/>
      <c r="L9003" s="548"/>
      <c r="M9003" s="548"/>
      <c r="N9003" s="552">
        <v>1924</v>
      </c>
      <c r="R9003" s="539">
        <v>1039.586</v>
      </c>
      <c r="S9003" s="539">
        <v>1040.0203430353399</v>
      </c>
      <c r="T9003" s="538">
        <v>15.25</v>
      </c>
      <c r="U9003" s="538">
        <v>39.32</v>
      </c>
      <c r="V9003" s="538">
        <v>39.32</v>
      </c>
    </row>
    <row r="9004" spans="1:22">
      <c r="A9004" s="499">
        <v>45812</v>
      </c>
      <c r="B9004" s="499">
        <v>45813</v>
      </c>
      <c r="C9004" s="500" t="s">
        <v>173</v>
      </c>
      <c r="D9004" s="500" t="s">
        <v>763</v>
      </c>
      <c r="E9004" s="501">
        <v>2001676.8</v>
      </c>
      <c r="F9004" s="502" t="s">
        <v>878</v>
      </c>
      <c r="G9004" s="100">
        <v>117347964</v>
      </c>
      <c r="H9004" s="100">
        <v>117347964</v>
      </c>
      <c r="I9004" s="422"/>
      <c r="K9004" s="548"/>
      <c r="L9004" s="548"/>
      <c r="M9004" s="548"/>
      <c r="N9004" s="552">
        <v>2412</v>
      </c>
      <c r="R9004" s="539">
        <v>829.53599999999994</v>
      </c>
      <c r="S9004" s="539">
        <v>829.88258706467695</v>
      </c>
      <c r="T9004" s="538">
        <v>15.25</v>
      </c>
      <c r="U9004" s="538">
        <v>39.32</v>
      </c>
      <c r="V9004" s="538">
        <v>39.32</v>
      </c>
    </row>
    <row r="9005" spans="1:22">
      <c r="A9005" s="499">
        <v>45812</v>
      </c>
      <c r="B9005" s="499">
        <v>45813</v>
      </c>
      <c r="C9005" s="500" t="s">
        <v>173</v>
      </c>
      <c r="D9005" s="500" t="s">
        <v>763</v>
      </c>
      <c r="E9005" s="501">
        <v>3003984.63</v>
      </c>
      <c r="F9005" s="502" t="s">
        <v>878</v>
      </c>
      <c r="G9005" s="100">
        <v>117347967</v>
      </c>
      <c r="H9005" s="100">
        <v>117347967</v>
      </c>
      <c r="I9005" s="422"/>
      <c r="K9005" s="548"/>
      <c r="L9005" s="548"/>
      <c r="M9005" s="548"/>
      <c r="N9005" s="552">
        <v>2910</v>
      </c>
      <c r="R9005" s="539">
        <v>1031.866</v>
      </c>
      <c r="S9005" s="539">
        <v>1032.29712371134</v>
      </c>
      <c r="T9005" s="538">
        <v>15.25</v>
      </c>
      <c r="U9005" s="538">
        <v>39.32</v>
      </c>
      <c r="V9005" s="538">
        <v>39.32</v>
      </c>
    </row>
    <row r="9006" spans="1:22">
      <c r="A9006" s="499">
        <v>45812</v>
      </c>
      <c r="B9006" s="499">
        <v>45813</v>
      </c>
      <c r="C9006" s="500" t="s">
        <v>173</v>
      </c>
      <c r="D9006" s="500" t="s">
        <v>763</v>
      </c>
      <c r="E9006" s="501">
        <v>4004644.33</v>
      </c>
      <c r="F9006" s="502" t="s">
        <v>878</v>
      </c>
      <c r="G9006" s="100">
        <v>117347970</v>
      </c>
      <c r="H9006" s="100">
        <v>117347970</v>
      </c>
      <c r="I9006" s="422"/>
      <c r="K9006" s="548"/>
      <c r="L9006" s="548"/>
      <c r="M9006" s="548"/>
      <c r="N9006" s="552">
        <v>4056</v>
      </c>
      <c r="R9006" s="539">
        <v>986.92600000000004</v>
      </c>
      <c r="S9006" s="539">
        <v>987.33834566074904</v>
      </c>
      <c r="T9006" s="538">
        <v>15.25</v>
      </c>
      <c r="U9006" s="538">
        <v>39.32</v>
      </c>
      <c r="V9006" s="538">
        <v>39.32</v>
      </c>
    </row>
    <row r="9007" spans="1:22">
      <c r="A9007" s="499">
        <v>45812</v>
      </c>
      <c r="B9007" s="499">
        <v>45813</v>
      </c>
      <c r="C9007" s="500" t="s">
        <v>173</v>
      </c>
      <c r="D9007" s="500" t="s">
        <v>763</v>
      </c>
      <c r="E9007" s="501">
        <v>5005412.1100000003</v>
      </c>
      <c r="F9007" s="502" t="s">
        <v>878</v>
      </c>
      <c r="G9007" s="100">
        <v>117347973</v>
      </c>
      <c r="H9007" s="100">
        <v>117347973</v>
      </c>
      <c r="I9007" s="422"/>
      <c r="K9007" s="548"/>
      <c r="L9007" s="548"/>
      <c r="M9007" s="548"/>
      <c r="N9007" s="552">
        <v>5320</v>
      </c>
      <c r="R9007" s="539">
        <v>940.47400000000005</v>
      </c>
      <c r="S9007" s="539">
        <v>940.86693796992495</v>
      </c>
      <c r="T9007" s="538">
        <v>15.25</v>
      </c>
      <c r="U9007" s="538">
        <v>39.32</v>
      </c>
      <c r="V9007" s="538">
        <v>39.32</v>
      </c>
    </row>
    <row r="9008" spans="1:22">
      <c r="A9008" s="499">
        <v>45812</v>
      </c>
      <c r="B9008" s="499">
        <v>45813</v>
      </c>
      <c r="C9008" s="500" t="s">
        <v>173</v>
      </c>
      <c r="D9008" s="500" t="s">
        <v>763</v>
      </c>
      <c r="E9008" s="501">
        <v>5002450.47</v>
      </c>
      <c r="F9008" s="502" t="s">
        <v>878</v>
      </c>
      <c r="G9008" s="100">
        <v>117347976</v>
      </c>
      <c r="H9008" s="100">
        <v>117347976</v>
      </c>
      <c r="I9008" s="422"/>
      <c r="K9008" s="548"/>
      <c r="L9008" s="548"/>
      <c r="M9008" s="548"/>
      <c r="N9008" s="552">
        <v>5620</v>
      </c>
      <c r="R9008" s="539">
        <v>889.74400000000003</v>
      </c>
      <c r="S9008" s="539">
        <v>890.11574199288202</v>
      </c>
      <c r="T9008" s="538">
        <v>15.25</v>
      </c>
      <c r="U9008" s="538">
        <v>39.32</v>
      </c>
      <c r="V9008" s="538">
        <v>39.32</v>
      </c>
    </row>
    <row r="9009" spans="1:22">
      <c r="A9009" s="499">
        <v>45812</v>
      </c>
      <c r="B9009" s="499">
        <v>45813</v>
      </c>
      <c r="C9009" s="500" t="s">
        <v>173</v>
      </c>
      <c r="D9009" s="500" t="s">
        <v>763</v>
      </c>
      <c r="E9009" s="501">
        <v>6006494.5300000003</v>
      </c>
      <c r="F9009" s="502" t="s">
        <v>878</v>
      </c>
      <c r="G9009" s="100">
        <v>117347979</v>
      </c>
      <c r="H9009" s="100">
        <v>117347979</v>
      </c>
      <c r="I9009" s="422"/>
      <c r="K9009" s="548"/>
      <c r="L9009" s="548"/>
      <c r="M9009" s="548"/>
      <c r="N9009" s="552">
        <v>6384</v>
      </c>
      <c r="R9009" s="539">
        <v>940.47400000000005</v>
      </c>
      <c r="S9009" s="539">
        <v>940.86693765664199</v>
      </c>
      <c r="T9009" s="538">
        <v>15.25</v>
      </c>
      <c r="U9009" s="538">
        <v>39.32</v>
      </c>
      <c r="V9009" s="538">
        <v>39.32</v>
      </c>
    </row>
    <row r="9010" spans="1:22">
      <c r="A9010" s="499">
        <v>45812</v>
      </c>
      <c r="B9010" s="499">
        <v>45813</v>
      </c>
      <c r="C9010" s="500" t="s">
        <v>173</v>
      </c>
      <c r="D9010" s="500" t="s">
        <v>763</v>
      </c>
      <c r="E9010" s="501">
        <v>7006748.3099999996</v>
      </c>
      <c r="F9010" s="502" t="s">
        <v>878</v>
      </c>
      <c r="G9010" s="100">
        <v>117347982</v>
      </c>
      <c r="H9010" s="100">
        <v>117347982</v>
      </c>
      <c r="I9010" s="422"/>
      <c r="K9010" s="548"/>
      <c r="L9010" s="548"/>
      <c r="M9010" s="548"/>
      <c r="N9010" s="552">
        <v>8547</v>
      </c>
      <c r="R9010" s="539">
        <v>819.44799999999998</v>
      </c>
      <c r="S9010" s="539">
        <v>819.79037206037196</v>
      </c>
      <c r="T9010" s="538">
        <v>15.25</v>
      </c>
      <c r="U9010" s="538">
        <v>39.32</v>
      </c>
      <c r="V9010" s="538">
        <v>39.32</v>
      </c>
    </row>
    <row r="9011" spans="1:22">
      <c r="A9011" s="499">
        <v>45812</v>
      </c>
      <c r="B9011" s="499">
        <v>45813</v>
      </c>
      <c r="C9011" s="500" t="s">
        <v>173</v>
      </c>
      <c r="D9011" s="500" t="s">
        <v>763</v>
      </c>
      <c r="E9011" s="501">
        <v>7007536.9500000002</v>
      </c>
      <c r="F9011" s="502" t="s">
        <v>878</v>
      </c>
      <c r="G9011" s="100">
        <v>117347985</v>
      </c>
      <c r="H9011" s="100">
        <v>117347985</v>
      </c>
      <c r="I9011" s="422"/>
      <c r="K9011" s="548"/>
      <c r="L9011" s="548"/>
      <c r="M9011" s="548"/>
      <c r="N9011" s="552">
        <v>7616</v>
      </c>
      <c r="R9011" s="539">
        <v>919.72299999999996</v>
      </c>
      <c r="S9011" s="539">
        <v>920.10726759453803</v>
      </c>
      <c r="T9011" s="538">
        <v>15.25</v>
      </c>
      <c r="U9011" s="538">
        <v>39.32</v>
      </c>
      <c r="V9011" s="538">
        <v>39.32</v>
      </c>
    </row>
    <row r="9012" spans="1:22">
      <c r="A9012" s="499">
        <v>45812</v>
      </c>
      <c r="B9012" s="499">
        <v>45813</v>
      </c>
      <c r="C9012" s="500" t="s">
        <v>173</v>
      </c>
      <c r="D9012" s="500" t="s">
        <v>763</v>
      </c>
      <c r="E9012" s="501">
        <v>9010449.75</v>
      </c>
      <c r="F9012" s="502" t="s">
        <v>878</v>
      </c>
      <c r="G9012" s="100">
        <v>117347988</v>
      </c>
      <c r="H9012" s="100">
        <v>117347988</v>
      </c>
      <c r="I9012" s="422"/>
      <c r="K9012" s="548"/>
      <c r="L9012" s="548"/>
      <c r="M9012" s="548"/>
      <c r="N9012" s="552">
        <v>9126</v>
      </c>
      <c r="R9012" s="539">
        <v>986.92600000000004</v>
      </c>
      <c r="S9012" s="539">
        <v>987.33834648257698</v>
      </c>
      <c r="T9012" s="538">
        <v>15.25</v>
      </c>
      <c r="U9012" s="538">
        <v>39.32</v>
      </c>
      <c r="V9012" s="538">
        <v>39.32</v>
      </c>
    </row>
    <row r="9013" spans="1:22">
      <c r="A9013" s="499">
        <v>45812</v>
      </c>
      <c r="B9013" s="499">
        <v>45813</v>
      </c>
      <c r="C9013" s="500" t="s">
        <v>173</v>
      </c>
      <c r="D9013" s="500" t="s">
        <v>763</v>
      </c>
      <c r="E9013" s="501">
        <v>10014052.210000001</v>
      </c>
      <c r="F9013" s="502" t="s">
        <v>878</v>
      </c>
      <c r="G9013" s="100">
        <v>117347991</v>
      </c>
      <c r="H9013" s="100">
        <v>117347991</v>
      </c>
      <c r="I9013" s="422"/>
      <c r="K9013" s="548"/>
      <c r="L9013" s="548"/>
      <c r="M9013" s="548"/>
      <c r="N9013" s="552">
        <v>10000</v>
      </c>
      <c r="R9013" s="539">
        <v>1000.987</v>
      </c>
      <c r="S9013" s="539">
        <v>1001.405221</v>
      </c>
      <c r="T9013" s="538">
        <v>15.25</v>
      </c>
      <c r="U9013" s="538">
        <v>39.32</v>
      </c>
      <c r="V9013" s="538">
        <v>39.32</v>
      </c>
    </row>
    <row r="9014" spans="1:22">
      <c r="A9014" s="499">
        <v>45812</v>
      </c>
      <c r="B9014" s="499">
        <v>45813</v>
      </c>
      <c r="C9014" s="500" t="s">
        <v>173</v>
      </c>
      <c r="D9014" s="500" t="s">
        <v>763</v>
      </c>
      <c r="E9014" s="501">
        <v>14019673.09</v>
      </c>
      <c r="F9014" s="502" t="s">
        <v>878</v>
      </c>
      <c r="G9014" s="100">
        <v>117347994</v>
      </c>
      <c r="H9014" s="100">
        <v>117347994</v>
      </c>
      <c r="I9014" s="422"/>
      <c r="K9014" s="548"/>
      <c r="L9014" s="548"/>
      <c r="M9014" s="548"/>
      <c r="N9014" s="552">
        <v>14000</v>
      </c>
      <c r="R9014" s="539">
        <v>1000.987</v>
      </c>
      <c r="S9014" s="539">
        <v>1001.40522071429</v>
      </c>
      <c r="T9014" s="538">
        <v>15.25</v>
      </c>
      <c r="U9014" s="538">
        <v>39.32</v>
      </c>
      <c r="V9014" s="538">
        <v>39.32</v>
      </c>
    </row>
    <row r="9015" spans="1:22">
      <c r="A9015" s="499">
        <v>45812</v>
      </c>
      <c r="B9015" s="499">
        <v>45813</v>
      </c>
      <c r="C9015" s="500" t="s">
        <v>173</v>
      </c>
      <c r="D9015" s="500" t="s">
        <v>763</v>
      </c>
      <c r="E9015" s="501">
        <v>15020928.43</v>
      </c>
      <c r="F9015" s="502" t="s">
        <v>878</v>
      </c>
      <c r="G9015" s="100">
        <v>117347997</v>
      </c>
      <c r="H9015" s="100">
        <v>117347997</v>
      </c>
      <c r="I9015" s="422"/>
      <c r="K9015" s="548"/>
      <c r="L9015" s="548"/>
      <c r="M9015" s="548"/>
      <c r="N9015" s="552">
        <v>14940</v>
      </c>
      <c r="R9015" s="539">
        <v>1004.997</v>
      </c>
      <c r="S9015" s="539">
        <v>1005.41689625167</v>
      </c>
      <c r="T9015" s="538">
        <v>15.25</v>
      </c>
      <c r="U9015" s="538">
        <v>39.32</v>
      </c>
      <c r="V9015" s="538">
        <v>39.32</v>
      </c>
    </row>
    <row r="9016" spans="1:22">
      <c r="A9016" s="499">
        <v>45812</v>
      </c>
      <c r="B9016" s="499">
        <v>45813</v>
      </c>
      <c r="C9016" s="500" t="s">
        <v>173</v>
      </c>
      <c r="D9016" s="500" t="s">
        <v>763</v>
      </c>
      <c r="E9016" s="501">
        <v>16022483.529999999</v>
      </c>
      <c r="F9016" s="502" t="s">
        <v>878</v>
      </c>
      <c r="G9016" s="100">
        <v>117348000</v>
      </c>
      <c r="H9016" s="100">
        <v>117348000</v>
      </c>
      <c r="I9016" s="422"/>
      <c r="K9016" s="548"/>
      <c r="L9016" s="548"/>
      <c r="M9016" s="548"/>
      <c r="N9016" s="552">
        <v>16000</v>
      </c>
      <c r="R9016" s="539">
        <v>1000.987</v>
      </c>
      <c r="S9016" s="539">
        <v>1001.405220625</v>
      </c>
      <c r="T9016" s="538">
        <v>15.25</v>
      </c>
      <c r="U9016" s="538">
        <v>39.32</v>
      </c>
      <c r="V9016" s="538">
        <v>39.32</v>
      </c>
    </row>
    <row r="9017" spans="1:22">
      <c r="A9017" s="499">
        <v>45812</v>
      </c>
      <c r="B9017" s="499">
        <v>45813</v>
      </c>
      <c r="C9017" s="500" t="s">
        <v>173</v>
      </c>
      <c r="D9017" s="500" t="s">
        <v>763</v>
      </c>
      <c r="E9017" s="501">
        <v>17018304.030000001</v>
      </c>
      <c r="F9017" s="502" t="s">
        <v>878</v>
      </c>
      <c r="G9017" s="100">
        <v>117348003</v>
      </c>
      <c r="H9017" s="100">
        <v>117348003</v>
      </c>
      <c r="I9017" s="422"/>
      <c r="K9017" s="548"/>
      <c r="L9017" s="548"/>
      <c r="M9017" s="548"/>
      <c r="N9017" s="552">
        <v>18496</v>
      </c>
      <c r="R9017" s="539">
        <v>919.72299999999996</v>
      </c>
      <c r="S9017" s="539">
        <v>920.107268057959</v>
      </c>
      <c r="T9017" s="538">
        <v>15.25</v>
      </c>
      <c r="U9017" s="538">
        <v>39.32</v>
      </c>
      <c r="V9017" s="538">
        <v>39.32</v>
      </c>
    </row>
    <row r="9018" spans="1:22">
      <c r="A9018" s="499">
        <v>45812</v>
      </c>
      <c r="B9018" s="499">
        <v>45813</v>
      </c>
      <c r="C9018" s="500" t="s">
        <v>173</v>
      </c>
      <c r="D9018" s="500" t="s">
        <v>763</v>
      </c>
      <c r="E9018" s="501">
        <v>18019483.59</v>
      </c>
      <c r="F9018" s="502" t="s">
        <v>878</v>
      </c>
      <c r="G9018" s="100">
        <v>117348006</v>
      </c>
      <c r="H9018" s="100">
        <v>117348006</v>
      </c>
      <c r="I9018" s="422"/>
      <c r="K9018" s="548"/>
      <c r="L9018" s="548"/>
      <c r="M9018" s="548"/>
      <c r="N9018" s="552">
        <v>19152</v>
      </c>
      <c r="R9018" s="539">
        <v>940.47400000000005</v>
      </c>
      <c r="S9018" s="539">
        <v>940.86693765664199</v>
      </c>
      <c r="T9018" s="538">
        <v>15.25</v>
      </c>
      <c r="U9018" s="538">
        <v>39.32</v>
      </c>
      <c r="V9018" s="538">
        <v>39.32</v>
      </c>
    </row>
    <row r="9019" spans="1:22">
      <c r="A9019" s="499">
        <v>45812</v>
      </c>
      <c r="B9019" s="499">
        <v>45813</v>
      </c>
      <c r="C9019" s="500" t="s">
        <v>173</v>
      </c>
      <c r="D9019" s="500" t="s">
        <v>763</v>
      </c>
      <c r="E9019" s="501">
        <v>18021210.77</v>
      </c>
      <c r="F9019" s="502" t="s">
        <v>878</v>
      </c>
      <c r="G9019" s="100">
        <v>117348009</v>
      </c>
      <c r="H9019" s="100">
        <v>117348009</v>
      </c>
      <c r="I9019" s="422"/>
      <c r="K9019" s="548"/>
      <c r="L9019" s="548"/>
      <c r="M9019" s="548"/>
      <c r="N9019" s="552">
        <v>21420</v>
      </c>
      <c r="R9019" s="539">
        <v>840.97500000000002</v>
      </c>
      <c r="S9019" s="539">
        <v>841.32636647992501</v>
      </c>
      <c r="T9019" s="538">
        <v>15.25</v>
      </c>
      <c r="U9019" s="538">
        <v>39.32</v>
      </c>
      <c r="V9019" s="538">
        <v>39.32</v>
      </c>
    </row>
    <row r="9020" spans="1:22">
      <c r="A9020" s="499">
        <v>45812</v>
      </c>
      <c r="B9020" s="499">
        <v>45813</v>
      </c>
      <c r="C9020" s="500" t="s">
        <v>173</v>
      </c>
      <c r="D9020" s="500" t="s">
        <v>763</v>
      </c>
      <c r="E9020" s="501">
        <v>20012157.870000001</v>
      </c>
      <c r="F9020" s="502" t="s">
        <v>878</v>
      </c>
      <c r="G9020" s="100">
        <v>117348012</v>
      </c>
      <c r="H9020" s="100">
        <v>117348012</v>
      </c>
      <c r="I9020" s="422"/>
      <c r="K9020" s="548"/>
      <c r="L9020" s="548"/>
      <c r="M9020" s="548"/>
      <c r="N9020" s="552">
        <v>21740</v>
      </c>
      <c r="R9020" s="539">
        <v>920.13800000000003</v>
      </c>
      <c r="S9020" s="539">
        <v>920.52244112235496</v>
      </c>
      <c r="T9020" s="538">
        <v>15.25</v>
      </c>
      <c r="U9020" s="538">
        <v>39.32</v>
      </c>
      <c r="V9020" s="538">
        <v>39.32</v>
      </c>
    </row>
    <row r="9021" spans="1:22">
      <c r="A9021" s="499">
        <v>45812</v>
      </c>
      <c r="B9021" s="499">
        <v>45813</v>
      </c>
      <c r="C9021" s="500" t="s">
        <v>173</v>
      </c>
      <c r="D9021" s="500" t="s">
        <v>763</v>
      </c>
      <c r="E9021" s="501">
        <v>20025273.850000001</v>
      </c>
      <c r="F9021" s="502" t="s">
        <v>878</v>
      </c>
      <c r="G9021" s="100">
        <v>117348015</v>
      </c>
      <c r="H9021" s="100">
        <v>117348015</v>
      </c>
      <c r="I9021" s="422"/>
      <c r="K9021" s="548"/>
      <c r="L9021" s="548"/>
      <c r="M9021" s="548"/>
      <c r="N9021" s="552">
        <v>20580</v>
      </c>
      <c r="R9021" s="539">
        <v>972.63900000000001</v>
      </c>
      <c r="S9021" s="539">
        <v>973.04537657920298</v>
      </c>
      <c r="T9021" s="538">
        <v>15.25</v>
      </c>
      <c r="U9021" s="538">
        <v>39.32</v>
      </c>
      <c r="V9021" s="538">
        <v>39.32</v>
      </c>
    </row>
    <row r="9022" spans="1:22">
      <c r="A9022" s="499">
        <v>45812</v>
      </c>
      <c r="B9022" s="499">
        <v>45813</v>
      </c>
      <c r="C9022" s="500" t="s">
        <v>173</v>
      </c>
      <c r="D9022" s="500" t="s">
        <v>763</v>
      </c>
      <c r="E9022" s="501">
        <v>20020730.370000001</v>
      </c>
      <c r="F9022" s="502" t="s">
        <v>878</v>
      </c>
      <c r="G9022" s="100">
        <v>117348018</v>
      </c>
      <c r="H9022" s="100">
        <v>117348018</v>
      </c>
      <c r="I9022" s="422"/>
      <c r="K9022" s="548"/>
      <c r="L9022" s="548"/>
      <c r="M9022" s="548"/>
      <c r="N9022" s="552">
        <v>21640</v>
      </c>
      <c r="R9022" s="539">
        <v>924.78599999999994</v>
      </c>
      <c r="S9022" s="539">
        <v>925.17238308687604</v>
      </c>
      <c r="T9022" s="538">
        <v>15.25</v>
      </c>
      <c r="U9022" s="538">
        <v>39.32</v>
      </c>
      <c r="V9022" s="538">
        <v>39.32</v>
      </c>
    </row>
    <row r="9023" spans="1:22">
      <c r="A9023" s="499">
        <v>45812</v>
      </c>
      <c r="B9023" s="499">
        <v>45813</v>
      </c>
      <c r="C9023" s="500" t="s">
        <v>173</v>
      </c>
      <c r="D9023" s="500" t="s">
        <v>763</v>
      </c>
      <c r="E9023" s="501">
        <v>20020730.370000001</v>
      </c>
      <c r="F9023" s="502" t="s">
        <v>878</v>
      </c>
      <c r="G9023" s="100">
        <v>117348021</v>
      </c>
      <c r="H9023" s="100">
        <v>117348021</v>
      </c>
      <c r="I9023" s="422"/>
      <c r="K9023" s="548"/>
      <c r="L9023" s="548"/>
      <c r="M9023" s="548"/>
      <c r="N9023" s="552">
        <v>21640</v>
      </c>
      <c r="R9023" s="539">
        <v>924.78599999999994</v>
      </c>
      <c r="S9023" s="539">
        <v>925.17238308687604</v>
      </c>
      <c r="T9023" s="538">
        <v>15.25</v>
      </c>
      <c r="U9023" s="538">
        <v>39.32</v>
      </c>
      <c r="V9023" s="538">
        <v>39.32</v>
      </c>
    </row>
    <row r="9024" spans="1:22">
      <c r="A9024" s="499">
        <v>45812</v>
      </c>
      <c r="B9024" s="499">
        <v>45813</v>
      </c>
      <c r="C9024" s="500" t="s">
        <v>173</v>
      </c>
      <c r="D9024" s="500" t="s">
        <v>763</v>
      </c>
      <c r="E9024" s="501">
        <v>22017265.809999999</v>
      </c>
      <c r="F9024" s="502" t="s">
        <v>878</v>
      </c>
      <c r="G9024" s="100">
        <v>117348024</v>
      </c>
      <c r="H9024" s="100">
        <v>117348024</v>
      </c>
      <c r="I9024" s="422"/>
      <c r="K9024" s="548"/>
      <c r="L9024" s="548"/>
      <c r="M9024" s="548"/>
      <c r="N9024" s="552">
        <v>25344</v>
      </c>
      <c r="R9024" s="539">
        <v>868.37400000000002</v>
      </c>
      <c r="S9024" s="539">
        <v>868.73681384153997</v>
      </c>
      <c r="T9024" s="538">
        <v>15.25</v>
      </c>
      <c r="U9024" s="538">
        <v>39.32</v>
      </c>
      <c r="V9024" s="538">
        <v>39.32</v>
      </c>
    </row>
    <row r="9025" spans="1:22">
      <c r="A9025" s="499">
        <v>45812</v>
      </c>
      <c r="B9025" s="499">
        <v>45813</v>
      </c>
      <c r="C9025" s="500" t="s">
        <v>173</v>
      </c>
      <c r="D9025" s="500" t="s">
        <v>763</v>
      </c>
      <c r="E9025" s="501">
        <v>22013100.960000001</v>
      </c>
      <c r="F9025" s="502" t="s">
        <v>878</v>
      </c>
      <c r="G9025" s="100">
        <v>117348027</v>
      </c>
      <c r="H9025" s="100">
        <v>117348027</v>
      </c>
      <c r="I9025" s="422"/>
      <c r="K9025" s="548"/>
      <c r="L9025" s="548"/>
      <c r="M9025" s="548"/>
      <c r="N9025" s="552">
        <v>35068</v>
      </c>
      <c r="R9025" s="539">
        <v>627.46400000000006</v>
      </c>
      <c r="S9025" s="539">
        <v>627.72615946161795</v>
      </c>
      <c r="T9025" s="538">
        <v>15.25</v>
      </c>
      <c r="U9025" s="538">
        <v>39.32</v>
      </c>
      <c r="V9025" s="538">
        <v>39.32</v>
      </c>
    </row>
    <row r="9026" spans="1:22">
      <c r="A9026" s="499">
        <v>45812</v>
      </c>
      <c r="B9026" s="499">
        <v>45813</v>
      </c>
      <c r="C9026" s="500" t="s">
        <v>173</v>
      </c>
      <c r="D9026" s="500" t="s">
        <v>763</v>
      </c>
      <c r="E9026" s="501">
        <v>23032731.949999999</v>
      </c>
      <c r="F9026" s="502" t="s">
        <v>878</v>
      </c>
      <c r="G9026" s="100">
        <v>117348030</v>
      </c>
      <c r="H9026" s="100">
        <v>117348030</v>
      </c>
      <c r="I9026" s="422"/>
      <c r="K9026" s="548"/>
      <c r="L9026" s="548"/>
      <c r="M9026" s="548"/>
      <c r="N9026" s="552">
        <v>22908</v>
      </c>
      <c r="R9026" s="539">
        <v>1005.025</v>
      </c>
      <c r="S9026" s="539">
        <v>1005.44490789244</v>
      </c>
      <c r="T9026" s="538">
        <v>15.25</v>
      </c>
      <c r="U9026" s="538">
        <v>39.32</v>
      </c>
      <c r="V9026" s="538">
        <v>39.32</v>
      </c>
    </row>
    <row r="9027" spans="1:22">
      <c r="A9027" s="499">
        <v>45812</v>
      </c>
      <c r="B9027" s="499">
        <v>45813</v>
      </c>
      <c r="C9027" s="500" t="s">
        <v>173</v>
      </c>
      <c r="D9027" s="500" t="s">
        <v>763</v>
      </c>
      <c r="E9027" s="501">
        <v>24011989.789999999</v>
      </c>
      <c r="F9027" s="502" t="s">
        <v>878</v>
      </c>
      <c r="G9027" s="100">
        <v>117348033</v>
      </c>
      <c r="H9027" s="100">
        <v>117348033</v>
      </c>
      <c r="I9027" s="422"/>
      <c r="K9027" s="548"/>
      <c r="L9027" s="548"/>
      <c r="M9027" s="548"/>
      <c r="N9027" s="552">
        <v>23088</v>
      </c>
      <c r="R9027" s="539">
        <v>1039.586</v>
      </c>
      <c r="S9027" s="539">
        <v>1040.02034779972</v>
      </c>
      <c r="T9027" s="538">
        <v>15.25</v>
      </c>
      <c r="U9027" s="538">
        <v>39.32</v>
      </c>
      <c r="V9027" s="538">
        <v>39.32</v>
      </c>
    </row>
    <row r="9028" spans="1:22">
      <c r="A9028" s="499">
        <v>45812</v>
      </c>
      <c r="B9028" s="499">
        <v>45813</v>
      </c>
      <c r="C9028" s="500" t="s">
        <v>173</v>
      </c>
      <c r="D9028" s="500" t="s">
        <v>763</v>
      </c>
      <c r="E9028" s="501">
        <v>24016522.609999999</v>
      </c>
      <c r="F9028" s="502" t="s">
        <v>878</v>
      </c>
      <c r="G9028" s="100">
        <v>117348036</v>
      </c>
      <c r="H9028" s="100">
        <v>117348036</v>
      </c>
      <c r="I9028" s="422"/>
      <c r="K9028" s="548"/>
      <c r="L9028" s="548"/>
      <c r="M9028" s="548"/>
      <c r="N9028" s="552">
        <v>31896</v>
      </c>
      <c r="R9028" s="539">
        <v>752.649</v>
      </c>
      <c r="S9028" s="539">
        <v>752.96346281665399</v>
      </c>
      <c r="T9028" s="538">
        <v>15.25</v>
      </c>
      <c r="U9028" s="538">
        <v>39.32</v>
      </c>
      <c r="V9028" s="538">
        <v>39.32</v>
      </c>
    </row>
    <row r="9029" spans="1:22">
      <c r="A9029" s="499">
        <v>45812</v>
      </c>
      <c r="B9029" s="499">
        <v>45813</v>
      </c>
      <c r="C9029" s="500" t="s">
        <v>173</v>
      </c>
      <c r="D9029" s="500" t="s">
        <v>763</v>
      </c>
      <c r="E9029" s="501">
        <v>26031729.030000001</v>
      </c>
      <c r="F9029" s="502" t="s">
        <v>878</v>
      </c>
      <c r="G9029" s="100">
        <v>117348039</v>
      </c>
      <c r="H9029" s="100">
        <v>117348039</v>
      </c>
      <c r="I9029" s="422"/>
      <c r="K9029" s="548"/>
      <c r="L9029" s="548"/>
      <c r="M9029" s="548"/>
      <c r="N9029" s="552">
        <v>24362</v>
      </c>
      <c r="R9029" s="539">
        <v>1068.0920000000001</v>
      </c>
      <c r="S9029" s="539">
        <v>1068.5382575322201</v>
      </c>
      <c r="T9029" s="538">
        <v>15.25</v>
      </c>
      <c r="U9029" s="538">
        <v>39.32</v>
      </c>
      <c r="V9029" s="538">
        <v>39.32</v>
      </c>
    </row>
    <row r="9030" spans="1:22">
      <c r="A9030" s="499">
        <v>45812</v>
      </c>
      <c r="B9030" s="499">
        <v>45813</v>
      </c>
      <c r="C9030" s="500" t="s">
        <v>173</v>
      </c>
      <c r="D9030" s="500" t="s">
        <v>763</v>
      </c>
      <c r="E9030" s="501">
        <v>26020992.469999999</v>
      </c>
      <c r="F9030" s="502" t="s">
        <v>878</v>
      </c>
      <c r="G9030" s="100">
        <v>117348042</v>
      </c>
      <c r="H9030" s="100">
        <v>117348042</v>
      </c>
      <c r="I9030" s="422"/>
      <c r="K9030" s="548"/>
      <c r="L9030" s="548"/>
      <c r="M9030" s="548"/>
      <c r="N9030" s="552">
        <v>25844</v>
      </c>
      <c r="R9030" s="539">
        <v>1006.428</v>
      </c>
      <c r="S9030" s="539">
        <v>1006.84849365423</v>
      </c>
      <c r="T9030" s="538">
        <v>15.25</v>
      </c>
      <c r="U9030" s="538">
        <v>39.32</v>
      </c>
      <c r="V9030" s="538">
        <v>39.32</v>
      </c>
    </row>
    <row r="9031" spans="1:22">
      <c r="A9031" s="499">
        <v>45812</v>
      </c>
      <c r="B9031" s="499">
        <v>45813</v>
      </c>
      <c r="C9031" s="500" t="s">
        <v>173</v>
      </c>
      <c r="D9031" s="500" t="s">
        <v>763</v>
      </c>
      <c r="E9031" s="501">
        <v>26013295.030000001</v>
      </c>
      <c r="F9031" s="502" t="s">
        <v>878</v>
      </c>
      <c r="G9031" s="100">
        <v>117348045</v>
      </c>
      <c r="H9031" s="100">
        <v>117348045</v>
      </c>
      <c r="I9031" s="422"/>
      <c r="K9031" s="548"/>
      <c r="L9031" s="548"/>
      <c r="M9031" s="548"/>
      <c r="N9031" s="552">
        <v>32760</v>
      </c>
      <c r="R9031" s="539">
        <v>793.72500000000002</v>
      </c>
      <c r="S9031" s="539">
        <v>794.05662484737502</v>
      </c>
      <c r="T9031" s="538">
        <v>15.25</v>
      </c>
      <c r="U9031" s="538">
        <v>39.32</v>
      </c>
      <c r="V9031" s="538">
        <v>39.32</v>
      </c>
    </row>
    <row r="9032" spans="1:22">
      <c r="A9032" s="499">
        <v>45812</v>
      </c>
      <c r="B9032" s="499">
        <v>45813</v>
      </c>
      <c r="C9032" s="500" t="s">
        <v>173</v>
      </c>
      <c r="D9032" s="500" t="s">
        <v>763</v>
      </c>
      <c r="E9032" s="501">
        <v>27026029.199999999</v>
      </c>
      <c r="F9032" s="502" t="s">
        <v>878</v>
      </c>
      <c r="G9032" s="100">
        <v>117348048</v>
      </c>
      <c r="H9032" s="100">
        <v>117348048</v>
      </c>
      <c r="I9032" s="422"/>
      <c r="K9032" s="548"/>
      <c r="L9032" s="548"/>
      <c r="M9032" s="548"/>
      <c r="N9032" s="552">
        <v>32967</v>
      </c>
      <c r="R9032" s="539">
        <v>819.44799999999998</v>
      </c>
      <c r="S9032" s="539">
        <v>819.79037219037195</v>
      </c>
      <c r="T9032" s="538">
        <v>15.25</v>
      </c>
      <c r="U9032" s="538">
        <v>40.520000000000003</v>
      </c>
      <c r="V9032" s="538">
        <v>39.32</v>
      </c>
    </row>
    <row r="9033" spans="1:22">
      <c r="A9033" s="499">
        <v>45812</v>
      </c>
      <c r="B9033" s="499">
        <v>45813</v>
      </c>
      <c r="C9033" s="500" t="s">
        <v>173</v>
      </c>
      <c r="D9033" s="500" t="s">
        <v>763</v>
      </c>
      <c r="E9033" s="501">
        <v>28017711.059999999</v>
      </c>
      <c r="F9033" s="502" t="s">
        <v>878</v>
      </c>
      <c r="G9033" s="100">
        <v>117348051</v>
      </c>
      <c r="H9033" s="100">
        <v>117348051</v>
      </c>
      <c r="I9033" s="422"/>
      <c r="K9033" s="548"/>
      <c r="L9033" s="548"/>
      <c r="M9033" s="548"/>
      <c r="N9033" s="552">
        <v>36540</v>
      </c>
      <c r="R9033" s="539">
        <v>766.44799999999998</v>
      </c>
      <c r="S9033" s="539">
        <v>766.76822824302099</v>
      </c>
      <c r="T9033" s="538">
        <v>15.25</v>
      </c>
      <c r="U9033" s="538">
        <v>42.01</v>
      </c>
      <c r="V9033" s="538">
        <v>39.32</v>
      </c>
    </row>
    <row r="9034" spans="1:22">
      <c r="A9034" s="499">
        <v>45812</v>
      </c>
      <c r="B9034" s="499">
        <v>45813</v>
      </c>
      <c r="C9034" s="500" t="s">
        <v>173</v>
      </c>
      <c r="D9034" s="500" t="s">
        <v>763</v>
      </c>
      <c r="E9034" s="501">
        <v>28020908.039999999</v>
      </c>
      <c r="F9034" s="502" t="s">
        <v>878</v>
      </c>
      <c r="G9034" s="100">
        <v>117348054</v>
      </c>
      <c r="H9034" s="100">
        <v>117348054</v>
      </c>
      <c r="I9034" s="422"/>
      <c r="K9034" s="548"/>
      <c r="L9034" s="548"/>
      <c r="M9034" s="548"/>
      <c r="N9034" s="552">
        <v>30380</v>
      </c>
      <c r="R9034" s="539">
        <v>921.96199999999999</v>
      </c>
      <c r="S9034" s="539">
        <v>922.34720342330502</v>
      </c>
      <c r="T9034" s="538">
        <v>15.25</v>
      </c>
      <c r="U9034" s="538">
        <v>42.01</v>
      </c>
      <c r="V9034" s="538">
        <v>39.32</v>
      </c>
    </row>
    <row r="9035" spans="1:22">
      <c r="A9035" s="499">
        <v>45812</v>
      </c>
      <c r="B9035" s="499">
        <v>45813</v>
      </c>
      <c r="C9035" s="500" t="s">
        <v>173</v>
      </c>
      <c r="D9035" s="500" t="s">
        <v>763</v>
      </c>
      <c r="E9035" s="501">
        <v>30032301.219999999</v>
      </c>
      <c r="F9035" s="502" t="s">
        <v>878</v>
      </c>
      <c r="G9035" s="100">
        <v>117348057</v>
      </c>
      <c r="H9035" s="100">
        <v>117348057</v>
      </c>
      <c r="I9035" s="422"/>
      <c r="K9035" s="548"/>
      <c r="L9035" s="548"/>
      <c r="M9035" s="548"/>
      <c r="N9035" s="552">
        <v>32640</v>
      </c>
      <c r="R9035" s="539">
        <v>919.72299999999996</v>
      </c>
      <c r="S9035" s="539">
        <v>920.10726776960803</v>
      </c>
      <c r="T9035" s="538">
        <v>15.25</v>
      </c>
      <c r="U9035" s="538">
        <v>45.03</v>
      </c>
      <c r="V9035" s="538">
        <v>39.32</v>
      </c>
    </row>
    <row r="9036" spans="1:22">
      <c r="A9036" s="499">
        <v>45812</v>
      </c>
      <c r="B9036" s="499">
        <v>45813</v>
      </c>
      <c r="C9036" s="500" t="s">
        <v>173</v>
      </c>
      <c r="D9036" s="500" t="s">
        <v>763</v>
      </c>
      <c r="E9036" s="501">
        <v>33014924.370000001</v>
      </c>
      <c r="F9036" s="502" t="s">
        <v>878</v>
      </c>
      <c r="G9036" s="100">
        <v>117348060</v>
      </c>
      <c r="H9036" s="100">
        <v>117348060</v>
      </c>
      <c r="I9036" s="422"/>
      <c r="K9036" s="548"/>
      <c r="L9036" s="548"/>
      <c r="M9036" s="548"/>
      <c r="N9036" s="552">
        <v>36663</v>
      </c>
      <c r="R9036" s="539">
        <v>900.12099999999998</v>
      </c>
      <c r="S9036" s="539">
        <v>900.49707798052498</v>
      </c>
      <c r="T9036" s="538">
        <v>15.25</v>
      </c>
      <c r="U9036" s="538">
        <v>49.5</v>
      </c>
      <c r="V9036" s="538">
        <v>39.32</v>
      </c>
    </row>
    <row r="9037" spans="1:22">
      <c r="A9037" s="499">
        <v>45812</v>
      </c>
      <c r="B9037" s="499">
        <v>45813</v>
      </c>
      <c r="C9037" s="500" t="s">
        <v>173</v>
      </c>
      <c r="D9037" s="500" t="s">
        <v>763</v>
      </c>
      <c r="E9037" s="501">
        <v>33025468.68</v>
      </c>
      <c r="F9037" s="502" t="s">
        <v>878</v>
      </c>
      <c r="G9037" s="100">
        <v>117348063</v>
      </c>
      <c r="H9037" s="100">
        <v>117348063</v>
      </c>
      <c r="I9037" s="422"/>
      <c r="K9037" s="548"/>
      <c r="L9037" s="548"/>
      <c r="M9037" s="548"/>
      <c r="N9037" s="552">
        <v>40029</v>
      </c>
      <c r="R9037" s="539">
        <v>824.69399999999996</v>
      </c>
      <c r="S9037" s="539">
        <v>825.03856404107</v>
      </c>
      <c r="T9037" s="538">
        <v>15.25</v>
      </c>
      <c r="U9037" s="538">
        <v>49.52</v>
      </c>
      <c r="V9037" s="538">
        <v>39.32</v>
      </c>
    </row>
    <row r="9038" spans="1:22">
      <c r="A9038" s="499">
        <v>45812</v>
      </c>
      <c r="B9038" s="499">
        <v>45813</v>
      </c>
      <c r="C9038" s="500" t="s">
        <v>173</v>
      </c>
      <c r="D9038" s="500" t="s">
        <v>763</v>
      </c>
      <c r="E9038" s="501">
        <v>34022646.950000003</v>
      </c>
      <c r="F9038" s="502" t="s">
        <v>878</v>
      </c>
      <c r="G9038" s="100">
        <v>117348066</v>
      </c>
      <c r="H9038" s="100">
        <v>117348066</v>
      </c>
      <c r="I9038" s="422"/>
      <c r="K9038" s="548"/>
      <c r="L9038" s="548"/>
      <c r="M9038" s="548"/>
      <c r="N9038" s="552">
        <v>34714</v>
      </c>
      <c r="R9038" s="539">
        <v>979.67499999999995</v>
      </c>
      <c r="S9038" s="539">
        <v>980.08431612605898</v>
      </c>
      <c r="T9038" s="538">
        <v>15.25</v>
      </c>
      <c r="U9038" s="538">
        <v>51.01</v>
      </c>
      <c r="V9038" s="538">
        <v>39.32</v>
      </c>
    </row>
    <row r="9039" spans="1:22">
      <c r="A9039" s="499">
        <v>45812</v>
      </c>
      <c r="B9039" s="499">
        <v>45813</v>
      </c>
      <c r="C9039" s="500" t="s">
        <v>173</v>
      </c>
      <c r="D9039" s="500" t="s">
        <v>763</v>
      </c>
      <c r="E9039" s="501">
        <v>35027468.329999998</v>
      </c>
      <c r="F9039" s="502" t="s">
        <v>878</v>
      </c>
      <c r="G9039" s="100">
        <v>117348069</v>
      </c>
      <c r="H9039" s="100">
        <v>117348069</v>
      </c>
      <c r="I9039" s="422"/>
      <c r="K9039" s="548"/>
      <c r="L9039" s="548"/>
      <c r="M9039" s="548"/>
      <c r="N9039" s="552">
        <v>40320</v>
      </c>
      <c r="R9039" s="539">
        <v>868.37400000000002</v>
      </c>
      <c r="S9039" s="539">
        <v>868.73681374007901</v>
      </c>
      <c r="T9039" s="538">
        <v>15.25</v>
      </c>
      <c r="U9039" s="538">
        <v>52.52</v>
      </c>
      <c r="V9039" s="538">
        <v>39.32</v>
      </c>
    </row>
    <row r="9040" spans="1:22">
      <c r="A9040" s="499">
        <v>45812</v>
      </c>
      <c r="B9040" s="499">
        <v>45813</v>
      </c>
      <c r="C9040" s="500" t="s">
        <v>173</v>
      </c>
      <c r="D9040" s="500" t="s">
        <v>763</v>
      </c>
      <c r="E9040" s="501">
        <v>39051800.130000003</v>
      </c>
      <c r="F9040" s="502" t="s">
        <v>878</v>
      </c>
      <c r="G9040" s="100">
        <v>117348072</v>
      </c>
      <c r="H9040" s="100">
        <v>117348072</v>
      </c>
      <c r="I9040" s="422"/>
      <c r="K9040" s="548"/>
      <c r="L9040" s="548"/>
      <c r="M9040" s="548"/>
      <c r="N9040" s="552">
        <v>37830</v>
      </c>
      <c r="R9040" s="539">
        <v>1031.866</v>
      </c>
      <c r="S9040" s="539">
        <v>1032.2971221252999</v>
      </c>
      <c r="T9040" s="538">
        <v>15.25</v>
      </c>
      <c r="U9040" s="538">
        <v>58.55</v>
      </c>
      <c r="V9040" s="538">
        <v>39.32</v>
      </c>
    </row>
    <row r="9041" spans="1:22">
      <c r="A9041" s="499">
        <v>45812</v>
      </c>
      <c r="B9041" s="499">
        <v>45813</v>
      </c>
      <c r="C9041" s="500" t="s">
        <v>173</v>
      </c>
      <c r="D9041" s="500" t="s">
        <v>763</v>
      </c>
      <c r="E9041" s="501">
        <v>42029756.560000002</v>
      </c>
      <c r="F9041" s="502" t="s">
        <v>878</v>
      </c>
      <c r="G9041" s="100">
        <v>117348075</v>
      </c>
      <c r="H9041" s="100">
        <v>117348075</v>
      </c>
      <c r="I9041" s="422"/>
      <c r="K9041" s="548"/>
      <c r="L9041" s="548"/>
      <c r="M9041" s="548"/>
      <c r="N9041" s="552">
        <v>53760</v>
      </c>
      <c r="R9041" s="539">
        <v>781.47699999999998</v>
      </c>
      <c r="S9041" s="539">
        <v>781.80350744047598</v>
      </c>
      <c r="T9041" s="538">
        <v>15.25</v>
      </c>
      <c r="U9041" s="538">
        <v>63.02</v>
      </c>
      <c r="V9041" s="538">
        <v>39.32</v>
      </c>
    </row>
    <row r="9042" spans="1:22">
      <c r="A9042" s="499">
        <v>45812</v>
      </c>
      <c r="B9042" s="499">
        <v>45813</v>
      </c>
      <c r="C9042" s="500" t="s">
        <v>173</v>
      </c>
      <c r="D9042" s="500" t="s">
        <v>763</v>
      </c>
      <c r="E9042" s="501">
        <v>42027190.770000003</v>
      </c>
      <c r="F9042" s="502" t="s">
        <v>878</v>
      </c>
      <c r="G9042" s="100">
        <v>117348078</v>
      </c>
      <c r="H9042" s="100">
        <v>117348078</v>
      </c>
      <c r="I9042" s="422"/>
      <c r="K9042" s="548"/>
      <c r="L9042" s="548"/>
      <c r="M9042" s="548"/>
      <c r="N9042" s="552">
        <v>80808</v>
      </c>
      <c r="R9042" s="539">
        <v>519.86980000000005</v>
      </c>
      <c r="S9042" s="539">
        <v>520.08700586575605</v>
      </c>
      <c r="T9042" s="538">
        <v>15.25</v>
      </c>
      <c r="U9042" s="538">
        <v>63.01</v>
      </c>
      <c r="V9042" s="538">
        <v>39.32</v>
      </c>
    </row>
    <row r="9043" spans="1:22">
      <c r="A9043" s="499">
        <v>45812</v>
      </c>
      <c r="B9043" s="499">
        <v>45813</v>
      </c>
      <c r="C9043" s="500" t="s">
        <v>173</v>
      </c>
      <c r="D9043" s="500" t="s">
        <v>763</v>
      </c>
      <c r="E9043" s="501">
        <v>43042407.359999999</v>
      </c>
      <c r="F9043" s="502" t="s">
        <v>878</v>
      </c>
      <c r="G9043" s="100">
        <v>117348081</v>
      </c>
      <c r="H9043" s="100">
        <v>117348081</v>
      </c>
      <c r="I9043" s="422"/>
      <c r="K9043" s="548"/>
      <c r="L9043" s="548"/>
      <c r="M9043" s="548"/>
      <c r="N9043" s="552">
        <v>60114</v>
      </c>
      <c r="R9043" s="539">
        <v>715.71400000000006</v>
      </c>
      <c r="S9043" s="539">
        <v>716.01303124064304</v>
      </c>
      <c r="T9043" s="538">
        <v>15.25</v>
      </c>
      <c r="U9043" s="538">
        <v>64.540000000000006</v>
      </c>
      <c r="V9043" s="538">
        <v>39.32</v>
      </c>
    </row>
    <row r="9044" spans="1:22">
      <c r="A9044" s="499">
        <v>45812</v>
      </c>
      <c r="B9044" s="499">
        <v>45813</v>
      </c>
      <c r="C9044" s="500" t="s">
        <v>173</v>
      </c>
      <c r="D9044" s="500" t="s">
        <v>763</v>
      </c>
      <c r="E9044" s="501">
        <v>46047679.850000001</v>
      </c>
      <c r="F9044" s="502" t="s">
        <v>878</v>
      </c>
      <c r="G9044" s="100">
        <v>117348084</v>
      </c>
      <c r="H9044" s="100">
        <v>117348084</v>
      </c>
      <c r="I9044" s="422"/>
      <c r="K9044" s="548"/>
      <c r="L9044" s="548"/>
      <c r="M9044" s="548"/>
      <c r="N9044" s="552">
        <v>49772</v>
      </c>
      <c r="R9044" s="539">
        <v>924.78599999999994</v>
      </c>
      <c r="S9044" s="539">
        <v>925.17238306678496</v>
      </c>
      <c r="T9044" s="538">
        <v>15.25</v>
      </c>
      <c r="U9044" s="538">
        <v>69.040000000000006</v>
      </c>
      <c r="V9044" s="538">
        <v>39.32</v>
      </c>
    </row>
    <row r="9045" spans="1:22">
      <c r="A9045" s="499">
        <v>45812</v>
      </c>
      <c r="B9045" s="499">
        <v>45813</v>
      </c>
      <c r="C9045" s="500" t="s">
        <v>173</v>
      </c>
      <c r="D9045" s="500" t="s">
        <v>763</v>
      </c>
      <c r="E9045" s="501">
        <v>46054205.289999999</v>
      </c>
      <c r="F9045" s="502" t="s">
        <v>878</v>
      </c>
      <c r="G9045" s="100">
        <v>117348087</v>
      </c>
      <c r="H9045" s="100">
        <v>117348087</v>
      </c>
      <c r="I9045" s="422"/>
      <c r="K9045" s="548"/>
      <c r="L9045" s="548"/>
      <c r="M9045" s="548"/>
      <c r="N9045" s="552">
        <v>54740</v>
      </c>
      <c r="R9045" s="539">
        <v>840.97500000000002</v>
      </c>
      <c r="S9045" s="539">
        <v>841.32636627694603</v>
      </c>
      <c r="T9045" s="538">
        <v>15.25</v>
      </c>
      <c r="U9045" s="538">
        <v>69.05</v>
      </c>
      <c r="V9045" s="538">
        <v>39.32</v>
      </c>
    </row>
    <row r="9046" spans="1:22">
      <c r="A9046" s="499">
        <v>45812</v>
      </c>
      <c r="B9046" s="499">
        <v>45813</v>
      </c>
      <c r="C9046" s="500" t="s">
        <v>173</v>
      </c>
      <c r="D9046" s="500" t="s">
        <v>763</v>
      </c>
      <c r="E9046" s="501">
        <v>51041717.149999999</v>
      </c>
      <c r="F9046" s="502" t="s">
        <v>878</v>
      </c>
      <c r="G9046" s="100">
        <v>117348090</v>
      </c>
      <c r="H9046" s="100">
        <v>117348090</v>
      </c>
      <c r="I9046" s="422"/>
      <c r="K9046" s="548"/>
      <c r="L9046" s="548"/>
      <c r="M9046" s="548"/>
      <c r="N9046" s="552">
        <v>56202</v>
      </c>
      <c r="R9046" s="539">
        <v>907.80399999999997</v>
      </c>
      <c r="S9046" s="539">
        <v>908.18328796128299</v>
      </c>
      <c r="T9046" s="538">
        <v>15.25</v>
      </c>
      <c r="U9046" s="538">
        <v>76.53</v>
      </c>
      <c r="V9046" s="538">
        <v>39.32</v>
      </c>
    </row>
    <row r="9047" spans="1:22">
      <c r="A9047" s="499">
        <v>45812</v>
      </c>
      <c r="B9047" s="499">
        <v>45813</v>
      </c>
      <c r="C9047" s="500" t="s">
        <v>173</v>
      </c>
      <c r="D9047" s="500" t="s">
        <v>763</v>
      </c>
      <c r="E9047" s="501">
        <v>59078364.299999997</v>
      </c>
      <c r="F9047" s="502" t="s">
        <v>878</v>
      </c>
      <c r="G9047" s="100">
        <v>117348093</v>
      </c>
      <c r="H9047" s="100">
        <v>117348093</v>
      </c>
      <c r="I9047" s="422"/>
      <c r="K9047" s="548"/>
      <c r="L9047" s="548"/>
      <c r="M9047" s="548"/>
      <c r="N9047" s="552">
        <v>57230</v>
      </c>
      <c r="R9047" s="539">
        <v>1031.866</v>
      </c>
      <c r="S9047" s="539">
        <v>1032.29712213874</v>
      </c>
      <c r="T9047" s="538">
        <v>15.25</v>
      </c>
      <c r="U9047" s="538">
        <v>88.58</v>
      </c>
      <c r="V9047" s="538">
        <v>44.29</v>
      </c>
    </row>
    <row r="9048" spans="1:22">
      <c r="A9048" s="499">
        <v>45812</v>
      </c>
      <c r="B9048" s="499">
        <v>45813</v>
      </c>
      <c r="C9048" s="500" t="s">
        <v>173</v>
      </c>
      <c r="D9048" s="500" t="s">
        <v>763</v>
      </c>
      <c r="E9048" s="501">
        <v>63076881.880000003</v>
      </c>
      <c r="F9048" s="502" t="s">
        <v>878</v>
      </c>
      <c r="G9048" s="100">
        <v>117348096</v>
      </c>
      <c r="H9048" s="100">
        <v>117348096</v>
      </c>
      <c r="I9048" s="422"/>
      <c r="K9048" s="548"/>
      <c r="L9048" s="548"/>
      <c r="M9048" s="548"/>
      <c r="N9048" s="552">
        <v>59031</v>
      </c>
      <c r="R9048" s="539">
        <v>1068.0920000000001</v>
      </c>
      <c r="S9048" s="539">
        <v>1068.5382575257099</v>
      </c>
      <c r="T9048" s="538">
        <v>15.25</v>
      </c>
      <c r="U9048" s="538">
        <v>94.58</v>
      </c>
      <c r="V9048" s="538">
        <v>47.29</v>
      </c>
    </row>
    <row r="9049" spans="1:22">
      <c r="A9049" s="499">
        <v>45812</v>
      </c>
      <c r="B9049" s="499">
        <v>45813</v>
      </c>
      <c r="C9049" s="500" t="s">
        <v>173</v>
      </c>
      <c r="D9049" s="500" t="s">
        <v>763</v>
      </c>
      <c r="E9049" s="501">
        <v>65065718.710000001</v>
      </c>
      <c r="F9049" s="502" t="s">
        <v>878</v>
      </c>
      <c r="G9049" s="100">
        <v>117348099</v>
      </c>
      <c r="H9049" s="100">
        <v>117348099</v>
      </c>
      <c r="I9049" s="422"/>
      <c r="K9049" s="548"/>
      <c r="L9049" s="548"/>
      <c r="M9049" s="548"/>
      <c r="N9049" s="552">
        <v>74945</v>
      </c>
      <c r="R9049" s="539">
        <v>867.81700000000001</v>
      </c>
      <c r="S9049" s="539">
        <v>868.17958115951706</v>
      </c>
      <c r="T9049" s="538">
        <v>15.25</v>
      </c>
      <c r="U9049" s="538">
        <v>97.56</v>
      </c>
      <c r="V9049" s="538">
        <v>48.78</v>
      </c>
    </row>
    <row r="9050" spans="1:22">
      <c r="A9050" s="499">
        <v>45812</v>
      </c>
      <c r="B9050" s="499">
        <v>45813</v>
      </c>
      <c r="C9050" s="500" t="s">
        <v>173</v>
      </c>
      <c r="D9050" s="500" t="s">
        <v>763</v>
      </c>
      <c r="E9050" s="501">
        <v>67034869.149999999</v>
      </c>
      <c r="F9050" s="502" t="s">
        <v>878</v>
      </c>
      <c r="G9050" s="100">
        <v>117348102</v>
      </c>
      <c r="H9050" s="100">
        <v>117348102</v>
      </c>
      <c r="I9050" s="422"/>
      <c r="K9050" s="548"/>
      <c r="L9050" s="548"/>
      <c r="M9050" s="548"/>
      <c r="N9050" s="552">
        <v>75777</v>
      </c>
      <c r="R9050" s="539">
        <v>884.26400000000001</v>
      </c>
      <c r="S9050" s="539">
        <v>884.63345276271195</v>
      </c>
      <c r="T9050" s="538">
        <v>15.25</v>
      </c>
      <c r="U9050" s="538">
        <v>100.51</v>
      </c>
      <c r="V9050" s="538">
        <v>50.26</v>
      </c>
    </row>
    <row r="9051" spans="1:22">
      <c r="A9051" s="499">
        <v>45812</v>
      </c>
      <c r="B9051" s="499">
        <v>45813</v>
      </c>
      <c r="C9051" s="500" t="s">
        <v>173</v>
      </c>
      <c r="D9051" s="500" t="s">
        <v>763</v>
      </c>
      <c r="E9051" s="501">
        <v>69096636.760000005</v>
      </c>
      <c r="F9051" s="502" t="s">
        <v>878</v>
      </c>
      <c r="G9051" s="100">
        <v>117348105</v>
      </c>
      <c r="H9051" s="100">
        <v>117348105</v>
      </c>
      <c r="I9051" s="422"/>
      <c r="K9051" s="548"/>
      <c r="L9051" s="548"/>
      <c r="M9051" s="548"/>
      <c r="N9051" s="552">
        <v>66723</v>
      </c>
      <c r="R9051" s="539">
        <v>1035.1420000000001</v>
      </c>
      <c r="S9051" s="539">
        <v>1035.5744909551399</v>
      </c>
      <c r="T9051" s="538">
        <v>15.25</v>
      </c>
      <c r="U9051" s="538">
        <v>103.6</v>
      </c>
      <c r="V9051" s="538">
        <v>51.8</v>
      </c>
    </row>
    <row r="9052" spans="1:22">
      <c r="A9052" s="499">
        <v>45812</v>
      </c>
      <c r="B9052" s="499">
        <v>45813</v>
      </c>
      <c r="C9052" s="500" t="s">
        <v>173</v>
      </c>
      <c r="D9052" s="500" t="s">
        <v>763</v>
      </c>
      <c r="E9052" s="501">
        <v>70067483.099999994</v>
      </c>
      <c r="F9052" s="502" t="s">
        <v>878</v>
      </c>
      <c r="G9052" s="100">
        <v>117348108</v>
      </c>
      <c r="H9052" s="100">
        <v>117348108</v>
      </c>
      <c r="I9052" s="422"/>
      <c r="K9052" s="548"/>
      <c r="L9052" s="548"/>
      <c r="M9052" s="548"/>
      <c r="N9052" s="552">
        <v>85470</v>
      </c>
      <c r="R9052" s="539">
        <v>819.44799999999998</v>
      </c>
      <c r="S9052" s="539">
        <v>819.79037206037196</v>
      </c>
      <c r="T9052" s="538">
        <v>15.25</v>
      </c>
      <c r="U9052" s="538">
        <v>105.06</v>
      </c>
      <c r="V9052" s="538">
        <v>52.53</v>
      </c>
    </row>
    <row r="9053" spans="1:22">
      <c r="A9053" s="499">
        <v>45812</v>
      </c>
      <c r="B9053" s="499">
        <v>45813</v>
      </c>
      <c r="C9053" s="500" t="s">
        <v>173</v>
      </c>
      <c r="D9053" s="500" t="s">
        <v>763</v>
      </c>
      <c r="E9053" s="501">
        <v>72058133.010000005</v>
      </c>
      <c r="F9053" s="502" t="s">
        <v>878</v>
      </c>
      <c r="G9053" s="100">
        <v>117348111</v>
      </c>
      <c r="H9053" s="100">
        <v>117348111</v>
      </c>
      <c r="I9053" s="422"/>
      <c r="K9053" s="548"/>
      <c r="L9053" s="548"/>
      <c r="M9053" s="548"/>
      <c r="N9053" s="552">
        <v>71568</v>
      </c>
      <c r="R9053" s="539">
        <v>1006.428</v>
      </c>
      <c r="S9053" s="539">
        <v>1006.84849387995</v>
      </c>
      <c r="T9053" s="538">
        <v>15.25</v>
      </c>
      <c r="U9053" s="538">
        <v>108.04</v>
      </c>
      <c r="V9053" s="538">
        <v>54.02</v>
      </c>
    </row>
    <row r="9054" spans="1:22">
      <c r="A9054" s="499">
        <v>45812</v>
      </c>
      <c r="B9054" s="499">
        <v>45813</v>
      </c>
      <c r="C9054" s="500" t="s">
        <v>173</v>
      </c>
      <c r="D9054" s="500" t="s">
        <v>763</v>
      </c>
      <c r="E9054" s="501">
        <v>72034110.469999999</v>
      </c>
      <c r="F9054" s="502" t="s">
        <v>878</v>
      </c>
      <c r="G9054" s="100">
        <v>117348114</v>
      </c>
      <c r="H9054" s="100">
        <v>117348114</v>
      </c>
      <c r="I9054" s="422"/>
      <c r="K9054" s="548"/>
      <c r="L9054" s="548"/>
      <c r="M9054" s="548"/>
      <c r="N9054" s="552">
        <v>70632</v>
      </c>
      <c r="R9054" s="539">
        <v>1019.425</v>
      </c>
      <c r="S9054" s="539">
        <v>1019.8509240854</v>
      </c>
      <c r="T9054" s="538">
        <v>15.25</v>
      </c>
      <c r="U9054" s="538">
        <v>108.01</v>
      </c>
      <c r="V9054" s="538">
        <v>54</v>
      </c>
    </row>
    <row r="9055" spans="1:22">
      <c r="A9055" s="499">
        <v>45812</v>
      </c>
      <c r="B9055" s="499">
        <v>45813</v>
      </c>
      <c r="C9055" s="500" t="s">
        <v>173</v>
      </c>
      <c r="D9055" s="500" t="s">
        <v>763</v>
      </c>
      <c r="E9055" s="501">
        <v>82114843.680000007</v>
      </c>
      <c r="F9055" s="502" t="s">
        <v>878</v>
      </c>
      <c r="G9055" s="100">
        <v>117348117</v>
      </c>
      <c r="H9055" s="100">
        <v>117348117</v>
      </c>
      <c r="I9055" s="422"/>
      <c r="K9055" s="548"/>
      <c r="L9055" s="548"/>
      <c r="M9055" s="548"/>
      <c r="N9055" s="552">
        <v>79294</v>
      </c>
      <c r="R9055" s="539">
        <v>1035.1420000000001</v>
      </c>
      <c r="S9055" s="539">
        <v>1035.57449088203</v>
      </c>
      <c r="T9055" s="538">
        <v>15.25</v>
      </c>
      <c r="U9055" s="538">
        <v>123.12</v>
      </c>
      <c r="V9055" s="538">
        <v>61.56</v>
      </c>
    </row>
    <row r="9056" spans="1:22">
      <c r="A9056" s="499">
        <v>45812</v>
      </c>
      <c r="B9056" s="499">
        <v>45813</v>
      </c>
      <c r="C9056" s="500" t="s">
        <v>173</v>
      </c>
      <c r="D9056" s="500" t="s">
        <v>763</v>
      </c>
      <c r="E9056" s="501">
        <v>84117199.189999998</v>
      </c>
      <c r="F9056" s="502" t="s">
        <v>878</v>
      </c>
      <c r="G9056" s="100">
        <v>117348120</v>
      </c>
      <c r="H9056" s="100">
        <v>117348120</v>
      </c>
      <c r="I9056" s="422"/>
      <c r="K9056" s="548"/>
      <c r="L9056" s="548"/>
      <c r="M9056" s="548"/>
      <c r="N9056" s="552">
        <v>83664</v>
      </c>
      <c r="R9056" s="539">
        <v>1004.997</v>
      </c>
      <c r="S9056" s="539">
        <v>1005.41689603653</v>
      </c>
      <c r="T9056" s="538">
        <v>15.25</v>
      </c>
      <c r="U9056" s="538">
        <v>126.12</v>
      </c>
      <c r="V9056" s="538">
        <v>63.06</v>
      </c>
    </row>
    <row r="9057" spans="1:22">
      <c r="A9057" s="499">
        <v>45812</v>
      </c>
      <c r="B9057" s="499">
        <v>45813</v>
      </c>
      <c r="C9057" s="500" t="s">
        <v>173</v>
      </c>
      <c r="D9057" s="500" t="s">
        <v>763</v>
      </c>
      <c r="E9057" s="501">
        <v>86086950.900000006</v>
      </c>
      <c r="F9057" s="502" t="s">
        <v>878</v>
      </c>
      <c r="G9057" s="100">
        <v>117348123</v>
      </c>
      <c r="H9057" s="100">
        <v>117348123</v>
      </c>
      <c r="I9057" s="422"/>
      <c r="K9057" s="548"/>
      <c r="L9057" s="548"/>
      <c r="M9057" s="548"/>
      <c r="N9057" s="552">
        <v>99158</v>
      </c>
      <c r="R9057" s="539">
        <v>867.81700000000001</v>
      </c>
      <c r="S9057" s="539">
        <v>868.179581072632</v>
      </c>
      <c r="T9057" s="538">
        <v>15.25</v>
      </c>
      <c r="U9057" s="538">
        <v>129.08000000000001</v>
      </c>
      <c r="V9057" s="538">
        <v>64.540000000000006</v>
      </c>
    </row>
    <row r="9058" spans="1:22">
      <c r="A9058" s="499">
        <v>45812</v>
      </c>
      <c r="B9058" s="499">
        <v>45813</v>
      </c>
      <c r="C9058" s="500" t="s">
        <v>173</v>
      </c>
      <c r="D9058" s="500" t="s">
        <v>763</v>
      </c>
      <c r="E9058" s="501">
        <v>86086950.900000006</v>
      </c>
      <c r="F9058" s="502" t="s">
        <v>878</v>
      </c>
      <c r="G9058" s="100">
        <v>117348126</v>
      </c>
      <c r="H9058" s="100">
        <v>117348126</v>
      </c>
      <c r="I9058" s="422"/>
      <c r="K9058" s="548"/>
      <c r="L9058" s="548"/>
      <c r="M9058" s="548"/>
      <c r="N9058" s="552">
        <v>99158</v>
      </c>
      <c r="R9058" s="539">
        <v>867.81700000000001</v>
      </c>
      <c r="S9058" s="539">
        <v>868.179581072632</v>
      </c>
      <c r="T9058" s="538">
        <v>15.25</v>
      </c>
      <c r="U9058" s="538">
        <v>129.08000000000001</v>
      </c>
      <c r="V9058" s="538">
        <v>64.540000000000006</v>
      </c>
    </row>
    <row r="9059" spans="1:22">
      <c r="A9059" s="499">
        <v>45812</v>
      </c>
      <c r="B9059" s="499">
        <v>45813</v>
      </c>
      <c r="C9059" s="500" t="s">
        <v>173</v>
      </c>
      <c r="D9059" s="500" t="s">
        <v>763</v>
      </c>
      <c r="E9059" s="501">
        <v>86122389.010000005</v>
      </c>
      <c r="F9059" s="502" t="s">
        <v>878</v>
      </c>
      <c r="G9059" s="100">
        <v>117348129</v>
      </c>
      <c r="H9059" s="100">
        <v>117348129</v>
      </c>
      <c r="I9059" s="422"/>
      <c r="K9059" s="548"/>
      <c r="L9059" s="548"/>
      <c r="M9059" s="548"/>
      <c r="N9059" s="552">
        <v>85656</v>
      </c>
      <c r="R9059" s="539">
        <v>1005.025</v>
      </c>
      <c r="S9059" s="539">
        <v>1005.44490765387</v>
      </c>
      <c r="T9059" s="538">
        <v>15.25</v>
      </c>
      <c r="U9059" s="538">
        <v>129.13</v>
      </c>
      <c r="V9059" s="538">
        <v>64.56</v>
      </c>
    </row>
    <row r="9060" spans="1:22">
      <c r="A9060" s="499">
        <v>45812</v>
      </c>
      <c r="B9060" s="499">
        <v>45813</v>
      </c>
      <c r="C9060" s="500" t="s">
        <v>173</v>
      </c>
      <c r="D9060" s="500" t="s">
        <v>763</v>
      </c>
      <c r="E9060" s="501">
        <v>90067204.400000006</v>
      </c>
      <c r="F9060" s="502" t="s">
        <v>878</v>
      </c>
      <c r="G9060" s="100">
        <v>117348132</v>
      </c>
      <c r="H9060" s="100">
        <v>117348132</v>
      </c>
      <c r="I9060" s="422"/>
      <c r="K9060" s="548"/>
      <c r="L9060" s="548"/>
      <c r="M9060" s="548"/>
      <c r="N9060" s="552">
        <v>97650</v>
      </c>
      <c r="R9060" s="539">
        <v>921.96199999999999</v>
      </c>
      <c r="S9060" s="539">
        <v>922.34720327700995</v>
      </c>
      <c r="T9060" s="538">
        <v>15.25</v>
      </c>
      <c r="U9060" s="538">
        <v>135.04</v>
      </c>
      <c r="V9060" s="538">
        <v>67.52</v>
      </c>
    </row>
    <row r="9061" spans="1:22">
      <c r="A9061" s="499">
        <v>45812</v>
      </c>
      <c r="B9061" s="499">
        <v>45813</v>
      </c>
      <c r="C9061" s="500" t="s">
        <v>173</v>
      </c>
      <c r="D9061" s="500" t="s">
        <v>763</v>
      </c>
      <c r="E9061" s="501">
        <v>94046959.989999995</v>
      </c>
      <c r="F9061" s="502" t="s">
        <v>878</v>
      </c>
      <c r="G9061" s="100">
        <v>117348135</v>
      </c>
      <c r="H9061" s="100">
        <v>117348135</v>
      </c>
      <c r="I9061" s="422"/>
      <c r="K9061" s="548"/>
      <c r="L9061" s="548"/>
      <c r="M9061" s="548"/>
      <c r="N9061" s="552">
        <v>90428</v>
      </c>
      <c r="R9061" s="539">
        <v>1039.586</v>
      </c>
      <c r="S9061" s="539">
        <v>1040.0203475693399</v>
      </c>
      <c r="T9061" s="538">
        <v>15.25</v>
      </c>
      <c r="U9061" s="538">
        <v>141.01</v>
      </c>
      <c r="V9061" s="538">
        <v>70.510000000000005</v>
      </c>
    </row>
    <row r="9062" spans="1:22">
      <c r="A9062" s="499">
        <v>45812</v>
      </c>
      <c r="B9062" s="499">
        <v>45813</v>
      </c>
      <c r="C9062" s="500" t="s">
        <v>173</v>
      </c>
      <c r="D9062" s="500" t="s">
        <v>763</v>
      </c>
      <c r="E9062" s="501">
        <v>94132090.739999995</v>
      </c>
      <c r="F9062" s="502" t="s">
        <v>878</v>
      </c>
      <c r="G9062" s="100">
        <v>117348138</v>
      </c>
      <c r="H9062" s="100">
        <v>117348138</v>
      </c>
      <c r="I9062" s="422"/>
      <c r="K9062" s="548"/>
      <c r="L9062" s="548"/>
      <c r="M9062" s="548"/>
      <c r="N9062" s="552">
        <v>94000</v>
      </c>
      <c r="R9062" s="539">
        <v>1000.987</v>
      </c>
      <c r="S9062" s="539">
        <v>1001.4052206383</v>
      </c>
      <c r="T9062" s="538">
        <v>15.25</v>
      </c>
      <c r="U9062" s="538">
        <v>141.13999999999999</v>
      </c>
      <c r="V9062" s="538">
        <v>70.569999999999993</v>
      </c>
    </row>
    <row r="9063" spans="1:22">
      <c r="A9063" s="499">
        <v>45812</v>
      </c>
      <c r="B9063" s="499">
        <v>45813</v>
      </c>
      <c r="C9063" s="500" t="s">
        <v>173</v>
      </c>
      <c r="D9063" s="500" t="s">
        <v>763</v>
      </c>
      <c r="E9063" s="501">
        <v>96081094.900000006</v>
      </c>
      <c r="F9063" s="502" t="s">
        <v>878</v>
      </c>
      <c r="G9063" s="100">
        <v>117348141</v>
      </c>
      <c r="H9063" s="100">
        <v>117348141</v>
      </c>
      <c r="I9063" s="422"/>
      <c r="K9063" s="548"/>
      <c r="L9063" s="548"/>
      <c r="M9063" s="548"/>
      <c r="N9063" s="552">
        <v>89856</v>
      </c>
      <c r="R9063" s="539">
        <v>1068.8320000000001</v>
      </c>
      <c r="S9063" s="539">
        <v>1069.27856681802</v>
      </c>
      <c r="T9063" s="538">
        <v>15.25</v>
      </c>
      <c r="U9063" s="538">
        <v>144.06</v>
      </c>
      <c r="V9063" s="538">
        <v>72.03</v>
      </c>
    </row>
    <row r="9064" spans="1:22">
      <c r="A9064" s="499">
        <v>45812</v>
      </c>
      <c r="B9064" s="499">
        <v>45813</v>
      </c>
      <c r="C9064" s="500" t="s">
        <v>173</v>
      </c>
      <c r="D9064" s="500" t="s">
        <v>763</v>
      </c>
      <c r="E9064" s="501">
        <v>104050969.81</v>
      </c>
      <c r="F9064" s="502" t="s">
        <v>878</v>
      </c>
      <c r="G9064" s="100">
        <v>117348144</v>
      </c>
      <c r="H9064" s="100">
        <v>117348144</v>
      </c>
      <c r="I9064" s="422"/>
      <c r="K9064" s="548"/>
      <c r="L9064" s="548"/>
      <c r="M9064" s="548"/>
      <c r="N9064" s="552">
        <v>116896</v>
      </c>
      <c r="R9064" s="539">
        <v>889.74400000000003</v>
      </c>
      <c r="S9064" s="539">
        <v>890.115742283739</v>
      </c>
      <c r="T9064" s="538">
        <v>15.25</v>
      </c>
      <c r="U9064" s="538">
        <v>156.01</v>
      </c>
      <c r="V9064" s="538">
        <v>78.010000000000005</v>
      </c>
    </row>
    <row r="9065" spans="1:22">
      <c r="A9065" s="499">
        <v>45812</v>
      </c>
      <c r="B9065" s="499">
        <v>45813</v>
      </c>
      <c r="C9065" s="500" t="s">
        <v>173</v>
      </c>
      <c r="D9065" s="500" t="s">
        <v>763</v>
      </c>
      <c r="E9065" s="501">
        <v>113051104.65000001</v>
      </c>
      <c r="F9065" s="502" t="s">
        <v>878</v>
      </c>
      <c r="G9065" s="100">
        <v>117348147</v>
      </c>
      <c r="H9065" s="100">
        <v>117348147</v>
      </c>
      <c r="I9065" s="422"/>
      <c r="K9065" s="548"/>
      <c r="L9065" s="548"/>
      <c r="M9065" s="548"/>
      <c r="N9065" s="552">
        <v>125543</v>
      </c>
      <c r="R9065" s="539">
        <v>900.12099999999998</v>
      </c>
      <c r="S9065" s="539">
        <v>900.49707789363003</v>
      </c>
      <c r="T9065" s="538">
        <v>15.25</v>
      </c>
      <c r="U9065" s="538">
        <v>169.51</v>
      </c>
      <c r="V9065" s="538">
        <v>84.75</v>
      </c>
    </row>
    <row r="9066" spans="1:22">
      <c r="A9066" s="499">
        <v>45812</v>
      </c>
      <c r="B9066" s="499">
        <v>45813</v>
      </c>
      <c r="C9066" s="500" t="s">
        <v>173</v>
      </c>
      <c r="D9066" s="500" t="s">
        <v>763</v>
      </c>
      <c r="E9066" s="501">
        <v>117155400.39</v>
      </c>
      <c r="F9066" s="502" t="s">
        <v>878</v>
      </c>
      <c r="G9066" s="100">
        <v>117348150</v>
      </c>
      <c r="H9066" s="100">
        <v>117348150</v>
      </c>
      <c r="I9066" s="422"/>
      <c r="K9066" s="548"/>
      <c r="L9066" s="548"/>
      <c r="M9066" s="548"/>
      <c r="N9066" s="552">
        <v>113490</v>
      </c>
      <c r="R9066" s="539">
        <v>1031.866</v>
      </c>
      <c r="S9066" s="539">
        <v>1032.2971221252999</v>
      </c>
      <c r="T9066" s="538">
        <v>15.25</v>
      </c>
      <c r="U9066" s="538">
        <v>175.66</v>
      </c>
      <c r="V9066" s="538">
        <v>87.83</v>
      </c>
    </row>
    <row r="9067" spans="1:22">
      <c r="A9067" s="499">
        <v>45812</v>
      </c>
      <c r="B9067" s="499">
        <v>45813</v>
      </c>
      <c r="C9067" s="500" t="s">
        <v>173</v>
      </c>
      <c r="D9067" s="500" t="s">
        <v>763</v>
      </c>
      <c r="E9067" s="501">
        <v>120058811.33</v>
      </c>
      <c r="F9067" s="502" t="s">
        <v>878</v>
      </c>
      <c r="G9067" s="100">
        <v>117348153</v>
      </c>
      <c r="H9067" s="100">
        <v>117348153</v>
      </c>
      <c r="I9067" s="422"/>
      <c r="K9067" s="548"/>
      <c r="L9067" s="548"/>
      <c r="M9067" s="548"/>
      <c r="N9067" s="552">
        <v>134880</v>
      </c>
      <c r="R9067" s="539">
        <v>889.74400000000003</v>
      </c>
      <c r="S9067" s="539">
        <v>890.11574236358194</v>
      </c>
      <c r="T9067" s="538">
        <v>15.25</v>
      </c>
      <c r="U9067" s="538">
        <v>180.01</v>
      </c>
      <c r="V9067" s="538">
        <v>90.01</v>
      </c>
    </row>
    <row r="9068" spans="1:22">
      <c r="A9068" s="499">
        <v>45812</v>
      </c>
      <c r="B9068" s="499">
        <v>45813</v>
      </c>
      <c r="C9068" s="500" t="s">
        <v>173</v>
      </c>
      <c r="D9068" s="500" t="s">
        <v>763</v>
      </c>
      <c r="E9068" s="501">
        <v>122077169.62</v>
      </c>
      <c r="F9068" s="502" t="s">
        <v>878</v>
      </c>
      <c r="G9068" s="100">
        <v>117348156</v>
      </c>
      <c r="H9068" s="100">
        <v>117348156</v>
      </c>
      <c r="I9068" s="422"/>
      <c r="K9068" s="548"/>
      <c r="L9068" s="548"/>
      <c r="M9068" s="548"/>
      <c r="N9068" s="552">
        <v>159210</v>
      </c>
      <c r="R9068" s="539">
        <v>766.44799999999998</v>
      </c>
      <c r="S9068" s="539">
        <v>766.76822825199395</v>
      </c>
      <c r="T9068" s="538">
        <v>15.25</v>
      </c>
      <c r="U9068" s="538">
        <v>183.04</v>
      </c>
      <c r="V9068" s="538">
        <v>91.52</v>
      </c>
    </row>
    <row r="9069" spans="1:22">
      <c r="A9069" s="499">
        <v>45812</v>
      </c>
      <c r="B9069" s="499">
        <v>45813</v>
      </c>
      <c r="C9069" s="500" t="s">
        <v>173</v>
      </c>
      <c r="D9069" s="500" t="s">
        <v>763</v>
      </c>
      <c r="E9069" s="501">
        <v>131154367.23999999</v>
      </c>
      <c r="F9069" s="502" t="s">
        <v>878</v>
      </c>
      <c r="G9069" s="100">
        <v>117348159</v>
      </c>
      <c r="H9069" s="100">
        <v>117348159</v>
      </c>
      <c r="I9069" s="422"/>
      <c r="K9069" s="548"/>
      <c r="L9069" s="548"/>
      <c r="M9069" s="548"/>
      <c r="N9069" s="552">
        <v>155890</v>
      </c>
      <c r="R9069" s="539">
        <v>840.97500000000002</v>
      </c>
      <c r="S9069" s="539">
        <v>841.32636628391799</v>
      </c>
      <c r="T9069" s="538">
        <v>15.25</v>
      </c>
      <c r="U9069" s="538">
        <v>196.65</v>
      </c>
      <c r="V9069" s="538">
        <v>98.32</v>
      </c>
    </row>
    <row r="9070" spans="1:22">
      <c r="A9070" s="499">
        <v>45812</v>
      </c>
      <c r="B9070" s="499">
        <v>45813</v>
      </c>
      <c r="C9070" s="500" t="s">
        <v>173</v>
      </c>
      <c r="D9070" s="500" t="s">
        <v>763</v>
      </c>
      <c r="E9070" s="501">
        <v>136088046.31</v>
      </c>
      <c r="F9070" s="502" t="s">
        <v>878</v>
      </c>
      <c r="G9070" s="100">
        <v>117348162</v>
      </c>
      <c r="H9070" s="100">
        <v>117348162</v>
      </c>
      <c r="I9070" s="422"/>
      <c r="K9070" s="548"/>
      <c r="L9070" s="548"/>
      <c r="M9070" s="548"/>
      <c r="N9070" s="552">
        <v>261664</v>
      </c>
      <c r="R9070" s="539">
        <v>519.86980000000005</v>
      </c>
      <c r="S9070" s="539">
        <v>520.08700589305397</v>
      </c>
      <c r="T9070" s="538">
        <v>15.25</v>
      </c>
      <c r="U9070" s="538">
        <v>204.05</v>
      </c>
      <c r="V9070" s="538">
        <v>102.02</v>
      </c>
    </row>
    <row r="9071" spans="1:22">
      <c r="A9071" s="499">
        <v>45812</v>
      </c>
      <c r="B9071" s="499">
        <v>45813</v>
      </c>
      <c r="C9071" s="500" t="s">
        <v>173</v>
      </c>
      <c r="D9071" s="500" t="s">
        <v>763</v>
      </c>
      <c r="E9071" s="501">
        <v>147123211.25999999</v>
      </c>
      <c r="F9071" s="502" t="s">
        <v>878</v>
      </c>
      <c r="G9071" s="100">
        <v>117348165</v>
      </c>
      <c r="H9071" s="100">
        <v>117348165</v>
      </c>
      <c r="I9071" s="422"/>
      <c r="K9071" s="548"/>
      <c r="L9071" s="548"/>
      <c r="M9071" s="548"/>
      <c r="N9071" s="552">
        <v>199332</v>
      </c>
      <c r="R9071" s="539">
        <v>737.77300000000002</v>
      </c>
      <c r="S9071" s="539">
        <v>738.081247667208</v>
      </c>
      <c r="T9071" s="538">
        <v>15.25</v>
      </c>
      <c r="U9071" s="538">
        <v>220.59</v>
      </c>
      <c r="V9071" s="538">
        <v>110.3</v>
      </c>
    </row>
    <row r="9072" spans="1:22">
      <c r="A9072" s="499">
        <v>45812</v>
      </c>
      <c r="B9072" s="499">
        <v>45813</v>
      </c>
      <c r="C9072" s="500" t="s">
        <v>173</v>
      </c>
      <c r="D9072" s="500" t="s">
        <v>763</v>
      </c>
      <c r="E9072" s="501">
        <v>152119291.05000001</v>
      </c>
      <c r="F9072" s="502" t="s">
        <v>878</v>
      </c>
      <c r="G9072" s="100">
        <v>117348168</v>
      </c>
      <c r="H9072" s="100">
        <v>117348168</v>
      </c>
      <c r="I9072" s="422"/>
      <c r="K9072" s="548"/>
      <c r="L9072" s="548"/>
      <c r="M9072" s="548"/>
      <c r="N9072" s="552">
        <v>175104</v>
      </c>
      <c r="R9072" s="539">
        <v>868.37400000000002</v>
      </c>
      <c r="S9072" s="539">
        <v>868.73681383634903</v>
      </c>
      <c r="T9072" s="538">
        <v>15.25</v>
      </c>
      <c r="U9072" s="538">
        <v>228.08</v>
      </c>
      <c r="V9072" s="538">
        <v>114.04</v>
      </c>
    </row>
    <row r="9073" spans="1:22">
      <c r="A9073" s="499">
        <v>45812</v>
      </c>
      <c r="B9073" s="499">
        <v>45813</v>
      </c>
      <c r="C9073" s="500" t="s">
        <v>173</v>
      </c>
      <c r="D9073" s="500" t="s">
        <v>763</v>
      </c>
      <c r="E9073" s="501">
        <v>164138537.12</v>
      </c>
      <c r="F9073" s="502" t="s">
        <v>878</v>
      </c>
      <c r="G9073" s="100">
        <v>117348171</v>
      </c>
      <c r="H9073" s="100">
        <v>117348171</v>
      </c>
      <c r="I9073" s="422"/>
      <c r="K9073" s="548"/>
      <c r="L9073" s="548"/>
      <c r="M9073" s="548"/>
      <c r="N9073" s="552">
        <v>153504</v>
      </c>
      <c r="R9073" s="539">
        <v>1068.8320000000001</v>
      </c>
      <c r="S9073" s="539">
        <v>1069.27856681259</v>
      </c>
      <c r="T9073" s="538">
        <v>15.25</v>
      </c>
      <c r="U9073" s="538">
        <v>246.1</v>
      </c>
      <c r="V9073" s="538">
        <v>123.05</v>
      </c>
    </row>
    <row r="9074" spans="1:22">
      <c r="A9074" s="499">
        <v>45812</v>
      </c>
      <c r="B9074" s="499">
        <v>45813</v>
      </c>
      <c r="C9074" s="500" t="s">
        <v>173</v>
      </c>
      <c r="D9074" s="500" t="s">
        <v>763</v>
      </c>
      <c r="E9074" s="501">
        <v>182259009.31</v>
      </c>
      <c r="F9074" s="502" t="s">
        <v>878</v>
      </c>
      <c r="G9074" s="100">
        <v>117348174</v>
      </c>
      <c r="H9074" s="100">
        <v>117348174</v>
      </c>
      <c r="I9074" s="422"/>
      <c r="K9074" s="548"/>
      <c r="L9074" s="548"/>
      <c r="M9074" s="548"/>
      <c r="N9074" s="552">
        <v>181272</v>
      </c>
      <c r="R9074" s="539">
        <v>1005.025</v>
      </c>
      <c r="S9074" s="539">
        <v>1005.44490770775</v>
      </c>
      <c r="T9074" s="538">
        <v>15.25</v>
      </c>
      <c r="U9074" s="538">
        <v>273.27</v>
      </c>
      <c r="V9074" s="538">
        <v>136.63999999999999</v>
      </c>
    </row>
    <row r="9075" spans="1:22">
      <c r="A9075" s="499">
        <v>45812</v>
      </c>
      <c r="B9075" s="499">
        <v>45813</v>
      </c>
      <c r="C9075" s="500" t="s">
        <v>173</v>
      </c>
      <c r="D9075" s="500" t="s">
        <v>763</v>
      </c>
      <c r="E9075" s="501">
        <v>195182372.25</v>
      </c>
      <c r="F9075" s="502" t="s">
        <v>878</v>
      </c>
      <c r="G9075" s="100">
        <v>117348177</v>
      </c>
      <c r="H9075" s="100">
        <v>117348177</v>
      </c>
      <c r="I9075" s="422"/>
      <c r="K9075" s="548"/>
      <c r="L9075" s="548"/>
      <c r="M9075" s="548"/>
      <c r="N9075" s="552">
        <v>230295</v>
      </c>
      <c r="R9075" s="539">
        <v>847.178</v>
      </c>
      <c r="S9075" s="539">
        <v>847.53195792353301</v>
      </c>
      <c r="T9075" s="538">
        <v>15.25</v>
      </c>
      <c r="U9075" s="538">
        <v>292.64999999999998</v>
      </c>
      <c r="V9075" s="538">
        <v>146.33000000000001</v>
      </c>
    </row>
    <row r="9076" spans="1:22">
      <c r="A9076" s="499">
        <v>45812</v>
      </c>
      <c r="B9076" s="499">
        <v>45813</v>
      </c>
      <c r="C9076" s="500" t="s">
        <v>173</v>
      </c>
      <c r="D9076" s="500" t="s">
        <v>763</v>
      </c>
      <c r="E9076" s="501">
        <v>199236192.78</v>
      </c>
      <c r="F9076" s="502" t="s">
        <v>878</v>
      </c>
      <c r="G9076" s="100">
        <v>117348180</v>
      </c>
      <c r="H9076" s="100">
        <v>117348180</v>
      </c>
      <c r="I9076" s="422"/>
      <c r="K9076" s="548"/>
      <c r="L9076" s="548"/>
      <c r="M9076" s="548"/>
      <c r="N9076" s="552">
        <v>199199</v>
      </c>
      <c r="R9076" s="539">
        <v>999.76900000000001</v>
      </c>
      <c r="S9076" s="539">
        <v>1000.18671168028</v>
      </c>
      <c r="T9076" s="538">
        <v>15.25</v>
      </c>
      <c r="U9076" s="538">
        <v>298.73</v>
      </c>
      <c r="V9076" s="538">
        <v>149.36000000000001</v>
      </c>
    </row>
    <row r="9077" spans="1:22">
      <c r="A9077" s="499">
        <v>45812</v>
      </c>
      <c r="B9077" s="499">
        <v>45813</v>
      </c>
      <c r="C9077" s="500" t="s">
        <v>173</v>
      </c>
      <c r="D9077" s="500" t="s">
        <v>763</v>
      </c>
      <c r="E9077" s="501">
        <v>206244501.06999999</v>
      </c>
      <c r="F9077" s="502" t="s">
        <v>878</v>
      </c>
      <c r="G9077" s="100">
        <v>117348183</v>
      </c>
      <c r="H9077" s="100">
        <v>117348183</v>
      </c>
      <c r="I9077" s="422"/>
      <c r="K9077" s="548"/>
      <c r="L9077" s="548"/>
      <c r="M9077" s="548"/>
      <c r="N9077" s="552">
        <v>206206</v>
      </c>
      <c r="R9077" s="539">
        <v>999.76900000000001</v>
      </c>
      <c r="S9077" s="539">
        <v>1000.18671168637</v>
      </c>
      <c r="T9077" s="538">
        <v>15.25</v>
      </c>
      <c r="U9077" s="538">
        <v>309.24</v>
      </c>
      <c r="V9077" s="538">
        <v>154.62</v>
      </c>
    </row>
    <row r="9078" spans="1:22">
      <c r="A9078" s="499">
        <v>45812</v>
      </c>
      <c r="B9078" s="499">
        <v>45813</v>
      </c>
      <c r="C9078" s="500" t="s">
        <v>173</v>
      </c>
      <c r="D9078" s="500" t="s">
        <v>763</v>
      </c>
      <c r="E9078" s="501">
        <v>207289910.25999999</v>
      </c>
      <c r="F9078" s="502" t="s">
        <v>878</v>
      </c>
      <c r="G9078" s="100">
        <v>117348186</v>
      </c>
      <c r="H9078" s="100">
        <v>117348186</v>
      </c>
      <c r="I9078" s="422"/>
      <c r="K9078" s="548"/>
      <c r="L9078" s="548"/>
      <c r="M9078" s="548"/>
      <c r="N9078" s="552">
        <v>200169</v>
      </c>
      <c r="R9078" s="539">
        <v>1035.1420000000001</v>
      </c>
      <c r="S9078" s="539">
        <v>1035.5744908552299</v>
      </c>
      <c r="T9078" s="538">
        <v>15.25</v>
      </c>
      <c r="U9078" s="538">
        <v>310.81</v>
      </c>
      <c r="V9078" s="538">
        <v>155.4</v>
      </c>
    </row>
    <row r="9079" spans="1:22">
      <c r="A9079" s="499">
        <v>45812</v>
      </c>
      <c r="B9079" s="499">
        <v>45813</v>
      </c>
      <c r="C9079" s="500" t="s">
        <v>173</v>
      </c>
      <c r="D9079" s="500" t="s">
        <v>763</v>
      </c>
      <c r="E9079" s="501">
        <v>216218388.31</v>
      </c>
      <c r="F9079" s="502" t="s">
        <v>878</v>
      </c>
      <c r="G9079" s="100">
        <v>117348189</v>
      </c>
      <c r="H9079" s="100">
        <v>117348189</v>
      </c>
      <c r="I9079" s="422"/>
      <c r="K9079" s="548"/>
      <c r="L9079" s="548"/>
      <c r="M9079" s="548"/>
      <c r="N9079" s="552">
        <v>249048</v>
      </c>
      <c r="R9079" s="539">
        <v>867.81700000000001</v>
      </c>
      <c r="S9079" s="539">
        <v>868.17958108477103</v>
      </c>
      <c r="T9079" s="538">
        <v>15.25</v>
      </c>
      <c r="U9079" s="538">
        <v>324.19</v>
      </c>
      <c r="V9079" s="538">
        <v>162.1</v>
      </c>
    </row>
    <row r="9080" spans="1:22">
      <c r="A9080" s="499">
        <v>45812</v>
      </c>
      <c r="B9080" s="499">
        <v>45813</v>
      </c>
      <c r="C9080" s="500" t="s">
        <v>173</v>
      </c>
      <c r="D9080" s="500" t="s">
        <v>763</v>
      </c>
      <c r="E9080" s="501">
        <v>221178436.03999999</v>
      </c>
      <c r="F9080" s="502" t="s">
        <v>878</v>
      </c>
      <c r="G9080" s="100">
        <v>117348192</v>
      </c>
      <c r="H9080" s="100">
        <v>117348192</v>
      </c>
      <c r="I9080" s="422"/>
      <c r="K9080" s="548"/>
      <c r="L9080" s="548"/>
      <c r="M9080" s="548"/>
      <c r="N9080" s="552">
        <v>219674</v>
      </c>
      <c r="R9080" s="539">
        <v>1006.428</v>
      </c>
      <c r="S9080" s="539">
        <v>1006.84849385908</v>
      </c>
      <c r="T9080" s="538">
        <v>15.25</v>
      </c>
      <c r="U9080" s="538">
        <v>331.63</v>
      </c>
      <c r="V9080" s="538">
        <v>165.81</v>
      </c>
    </row>
    <row r="9081" spans="1:22">
      <c r="A9081" s="499">
        <v>45812</v>
      </c>
      <c r="B9081" s="499">
        <v>45813</v>
      </c>
      <c r="C9081" s="500" t="s">
        <v>173</v>
      </c>
      <c r="D9081" s="500" t="s">
        <v>763</v>
      </c>
      <c r="E9081" s="501">
        <v>228170251.15000001</v>
      </c>
      <c r="F9081" s="502" t="s">
        <v>878</v>
      </c>
      <c r="G9081" s="100">
        <v>117348195</v>
      </c>
      <c r="H9081" s="100">
        <v>117348195</v>
      </c>
      <c r="I9081" s="422"/>
      <c r="K9081" s="548"/>
      <c r="L9081" s="548"/>
      <c r="M9081" s="548"/>
      <c r="N9081" s="552">
        <v>247380</v>
      </c>
      <c r="R9081" s="539">
        <v>921.96199999999999</v>
      </c>
      <c r="S9081" s="539">
        <v>922.347203290484</v>
      </c>
      <c r="T9081" s="538">
        <v>15.25</v>
      </c>
      <c r="U9081" s="538">
        <v>342.11</v>
      </c>
      <c r="V9081" s="538">
        <v>171.06</v>
      </c>
    </row>
    <row r="9082" spans="1:22">
      <c r="A9082" s="499">
        <v>45812</v>
      </c>
      <c r="B9082" s="499">
        <v>45813</v>
      </c>
      <c r="C9082" s="500" t="s">
        <v>173</v>
      </c>
      <c r="D9082" s="500" t="s">
        <v>763</v>
      </c>
      <c r="E9082" s="501">
        <v>264134995.68000001</v>
      </c>
      <c r="F9082" s="502" t="s">
        <v>878</v>
      </c>
      <c r="G9082" s="100">
        <v>117348198</v>
      </c>
      <c r="H9082" s="100">
        <v>117348198</v>
      </c>
      <c r="I9082" s="422"/>
      <c r="K9082" s="548"/>
      <c r="L9082" s="548"/>
      <c r="M9082" s="548"/>
      <c r="N9082" s="552">
        <v>332640</v>
      </c>
      <c r="R9082" s="539">
        <v>793.72500000000002</v>
      </c>
      <c r="S9082" s="539">
        <v>794.05662481962497</v>
      </c>
      <c r="T9082" s="538">
        <v>15.25</v>
      </c>
      <c r="U9082" s="538">
        <v>396.04</v>
      </c>
      <c r="V9082" s="538">
        <v>198.02</v>
      </c>
    </row>
    <row r="9083" spans="1:22">
      <c r="A9083" s="499">
        <v>45812</v>
      </c>
      <c r="B9083" s="499">
        <v>45813</v>
      </c>
      <c r="C9083" s="500" t="s">
        <v>173</v>
      </c>
      <c r="D9083" s="500" t="s">
        <v>763</v>
      </c>
      <c r="E9083" s="501">
        <v>268311170.13999999</v>
      </c>
      <c r="F9083" s="502" t="s">
        <v>878</v>
      </c>
      <c r="G9083" s="100">
        <v>117348201</v>
      </c>
      <c r="H9083" s="100">
        <v>117348201</v>
      </c>
      <c r="I9083" s="422"/>
      <c r="K9083" s="548"/>
      <c r="L9083" s="548"/>
      <c r="M9083" s="548"/>
      <c r="N9083" s="552">
        <v>271752</v>
      </c>
      <c r="R9083" s="539">
        <v>986.92600000000004</v>
      </c>
      <c r="S9083" s="539">
        <v>987.33834577114396</v>
      </c>
      <c r="T9083" s="538">
        <v>15.25</v>
      </c>
      <c r="U9083" s="538">
        <v>402.3</v>
      </c>
      <c r="V9083" s="538">
        <v>201.15</v>
      </c>
    </row>
    <row r="9084" spans="1:22">
      <c r="A9084" s="499">
        <v>45812</v>
      </c>
      <c r="B9084" s="499">
        <v>45813</v>
      </c>
      <c r="C9084" s="500" t="s">
        <v>173</v>
      </c>
      <c r="D9084" s="500" t="s">
        <v>763</v>
      </c>
      <c r="E9084" s="501">
        <v>25016209.09</v>
      </c>
      <c r="F9084" s="502" t="s">
        <v>878</v>
      </c>
      <c r="G9084" s="100">
        <v>117348204</v>
      </c>
      <c r="H9084" s="100">
        <v>117348204</v>
      </c>
      <c r="I9084" s="422"/>
      <c r="K9084" s="548"/>
      <c r="L9084" s="548"/>
      <c r="M9084" s="548"/>
      <c r="N9084" s="552">
        <v>27975</v>
      </c>
      <c r="R9084" s="539">
        <v>893.86099999999999</v>
      </c>
      <c r="S9084" s="539">
        <v>894.23446255585304</v>
      </c>
      <c r="T9084" s="538">
        <v>15.25</v>
      </c>
      <c r="U9084" s="538">
        <v>39.32</v>
      </c>
      <c r="V9084" s="538">
        <v>39.32</v>
      </c>
    </row>
    <row r="9085" spans="1:22">
      <c r="A9085" s="499">
        <v>45812</v>
      </c>
      <c r="B9085" s="499">
        <v>45813</v>
      </c>
      <c r="C9085" s="500" t="s">
        <v>173</v>
      </c>
      <c r="D9085" s="500" t="s">
        <v>763</v>
      </c>
      <c r="E9085" s="501">
        <v>32013920.140000001</v>
      </c>
      <c r="F9085" s="502" t="s">
        <v>878</v>
      </c>
      <c r="G9085" s="100">
        <v>117348412</v>
      </c>
      <c r="H9085" s="100">
        <v>117348412</v>
      </c>
      <c r="I9085" s="422"/>
      <c r="K9085" s="548"/>
      <c r="L9085" s="548"/>
      <c r="M9085" s="548"/>
      <c r="N9085" s="552">
        <v>322656</v>
      </c>
      <c r="R9085" s="539">
        <v>99.178700000000006</v>
      </c>
      <c r="S9085" s="539">
        <v>99.2199746479222</v>
      </c>
      <c r="T9085" s="538">
        <v>15.19</v>
      </c>
      <c r="U9085" s="538">
        <v>48</v>
      </c>
      <c r="V9085" s="538">
        <v>39.32</v>
      </c>
    </row>
    <row r="9086" spans="1:22">
      <c r="A9086" s="499">
        <v>45813</v>
      </c>
      <c r="B9086" s="499">
        <v>45813</v>
      </c>
      <c r="C9086" s="500" t="s">
        <v>173</v>
      </c>
      <c r="D9086" s="500" t="s">
        <v>762</v>
      </c>
      <c r="E9086" s="501">
        <v>-3444485046.0700002</v>
      </c>
      <c r="F9086" s="502" t="s">
        <v>878</v>
      </c>
      <c r="G9086" s="100">
        <v>117369731</v>
      </c>
      <c r="H9086" s="530"/>
      <c r="I9086" s="422" t="s">
        <v>690</v>
      </c>
      <c r="J9086" s="484"/>
      <c r="K9086" s="548"/>
      <c r="L9086" s="548"/>
      <c r="M9086" s="548"/>
      <c r="N9086" s="552">
        <v>3798732</v>
      </c>
      <c r="R9086" s="558">
        <v>906.74599999999998</v>
      </c>
      <c r="S9086" s="558">
        <v>908.23666061201504</v>
      </c>
      <c r="T9086" s="538">
        <v>15.001200000000001</v>
      </c>
      <c r="U9086" s="538">
        <v>20666.91</v>
      </c>
      <c r="V9086" s="538">
        <v>10333.459999999999</v>
      </c>
    </row>
    <row r="9087" spans="1:22">
      <c r="A9087" s="499">
        <v>45813</v>
      </c>
      <c r="B9087" s="499">
        <v>45813</v>
      </c>
      <c r="C9087" s="500" t="s">
        <v>173</v>
      </c>
      <c r="D9087" s="500" t="s">
        <v>762</v>
      </c>
      <c r="E9087" s="501">
        <v>-20004021.359999999</v>
      </c>
      <c r="F9087" s="502" t="s">
        <v>878</v>
      </c>
      <c r="G9087" s="100">
        <v>117369814</v>
      </c>
      <c r="H9087" s="530"/>
      <c r="I9087" s="422" t="s">
        <v>685</v>
      </c>
      <c r="J9087" s="484"/>
      <c r="K9087" s="548"/>
      <c r="L9087" s="548"/>
      <c r="M9087" s="548"/>
      <c r="N9087" s="552">
        <v>22140</v>
      </c>
      <c r="R9087" s="558">
        <v>903.524</v>
      </c>
      <c r="S9087" s="558">
        <v>905.01419557362203</v>
      </c>
      <c r="T9087" s="538">
        <v>15.05</v>
      </c>
      <c r="U9087" s="538">
        <v>120.02</v>
      </c>
      <c r="V9087" s="538">
        <v>60.01</v>
      </c>
    </row>
    <row r="9088" spans="1:22">
      <c r="A9088" s="499">
        <v>45813</v>
      </c>
      <c r="B9088" s="499">
        <v>45817</v>
      </c>
      <c r="C9088" s="500" t="s">
        <v>173</v>
      </c>
      <c r="D9088" s="500" t="s">
        <v>762</v>
      </c>
      <c r="E9088" s="501">
        <v>3450147666.2399998</v>
      </c>
      <c r="F9088" s="502" t="s">
        <v>878</v>
      </c>
      <c r="G9088" s="100">
        <v>117369731</v>
      </c>
      <c r="H9088" s="100">
        <v>117369731</v>
      </c>
      <c r="I9088" s="422" t="s">
        <v>690</v>
      </c>
      <c r="J9088" s="484"/>
      <c r="K9088" s="548"/>
      <c r="L9088" s="548"/>
      <c r="M9088" s="548"/>
      <c r="N9088" s="552">
        <v>3798732</v>
      </c>
      <c r="R9088" s="558">
        <v>906.74599999999998</v>
      </c>
      <c r="S9088" s="558">
        <v>908.23666061201504</v>
      </c>
      <c r="T9088" s="538">
        <v>15.001200000000001</v>
      </c>
      <c r="U9088" s="538">
        <v>20666.91</v>
      </c>
      <c r="V9088" s="538">
        <v>10333.459999999999</v>
      </c>
    </row>
    <row r="9089" spans="1:22">
      <c r="A9089" s="499">
        <v>45813</v>
      </c>
      <c r="B9089" s="499">
        <v>45817</v>
      </c>
      <c r="C9089" s="500" t="s">
        <v>173</v>
      </c>
      <c r="D9089" s="500" t="s">
        <v>762</v>
      </c>
      <c r="E9089" s="501">
        <v>20037014.289999999</v>
      </c>
      <c r="F9089" s="502" t="s">
        <v>878</v>
      </c>
      <c r="G9089" s="100">
        <v>117369814</v>
      </c>
      <c r="H9089" s="100">
        <v>117369814</v>
      </c>
      <c r="I9089" s="422" t="s">
        <v>685</v>
      </c>
      <c r="J9089" s="484"/>
      <c r="K9089" s="548"/>
      <c r="L9089" s="548"/>
      <c r="M9089" s="548"/>
      <c r="N9089" s="552">
        <v>22140</v>
      </c>
      <c r="R9089" s="558">
        <v>903.524</v>
      </c>
      <c r="S9089" s="558">
        <v>905.01419557362203</v>
      </c>
      <c r="T9089" s="538">
        <v>15.05</v>
      </c>
      <c r="U9089" s="538">
        <v>120.02</v>
      </c>
      <c r="V9089" s="538">
        <v>60.01</v>
      </c>
    </row>
    <row r="9090" spans="1:22">
      <c r="A9090" s="499">
        <v>45813</v>
      </c>
      <c r="B9090" s="499">
        <v>45813</v>
      </c>
      <c r="C9090" s="500" t="s">
        <v>173</v>
      </c>
      <c r="D9090" s="500" t="s">
        <v>761</v>
      </c>
      <c r="E9090" s="501">
        <v>-1392327451.3</v>
      </c>
      <c r="F9090" s="502" t="s">
        <v>878</v>
      </c>
      <c r="G9090" s="100">
        <v>117368587</v>
      </c>
      <c r="H9090" s="530"/>
      <c r="I9090" s="422" t="s">
        <v>693</v>
      </c>
      <c r="J9090" s="100"/>
      <c r="K9090" s="548"/>
      <c r="L9090" s="548"/>
      <c r="M9090" s="548"/>
      <c r="N9090" s="552">
        <v>1689888</v>
      </c>
      <c r="R9090" s="539">
        <v>823.91700000236699</v>
      </c>
      <c r="S9090" s="539">
        <v>826.33457564051605</v>
      </c>
      <c r="T9090" s="538">
        <v>15.3</v>
      </c>
      <c r="U9090" s="538">
        <v>14619.44</v>
      </c>
      <c r="V9090" s="538">
        <v>7309.72</v>
      </c>
    </row>
    <row r="9091" spans="1:22">
      <c r="A9091" s="499">
        <v>45813</v>
      </c>
      <c r="B9091" s="499">
        <v>45813</v>
      </c>
      <c r="C9091" s="500" t="s">
        <v>173</v>
      </c>
      <c r="D9091" s="500" t="s">
        <v>761</v>
      </c>
      <c r="E9091" s="501">
        <v>-527003615.95999998</v>
      </c>
      <c r="F9091" s="502" t="s">
        <v>878</v>
      </c>
      <c r="G9091" s="100">
        <v>117368681</v>
      </c>
      <c r="H9091" s="530"/>
      <c r="I9091" s="422" t="s">
        <v>1018</v>
      </c>
      <c r="J9091" s="100"/>
      <c r="K9091" s="548"/>
      <c r="L9091" s="548"/>
      <c r="M9091" s="548"/>
      <c r="N9091" s="552">
        <v>5589362</v>
      </c>
      <c r="R9091" s="539">
        <v>94.286900000393601</v>
      </c>
      <c r="S9091" s="539">
        <v>94.441896298718902</v>
      </c>
      <c r="T9091" s="538">
        <v>15.000400000000001</v>
      </c>
      <c r="U9091" s="538">
        <v>3162.02</v>
      </c>
      <c r="V9091" s="538">
        <v>1581.01</v>
      </c>
    </row>
    <row r="9092" spans="1:22">
      <c r="A9092" s="499">
        <v>45813</v>
      </c>
      <c r="B9092" s="499">
        <v>45813</v>
      </c>
      <c r="C9092" s="500" t="s">
        <v>173</v>
      </c>
      <c r="D9092" s="500" t="s">
        <v>761</v>
      </c>
      <c r="E9092" s="501">
        <v>-12000082.34</v>
      </c>
      <c r="F9092" s="502" t="s">
        <v>878</v>
      </c>
      <c r="G9092" s="100">
        <v>117368770</v>
      </c>
      <c r="H9092" s="530"/>
      <c r="I9092" s="422" t="s">
        <v>1018</v>
      </c>
      <c r="J9092" s="100"/>
      <c r="K9092" s="548"/>
      <c r="L9092" s="548"/>
      <c r="M9092" s="548"/>
      <c r="N9092" s="552">
        <v>127272</v>
      </c>
      <c r="R9092" s="539">
        <v>94.286900025142998</v>
      </c>
      <c r="S9092" s="539">
        <v>94.441898375133604</v>
      </c>
      <c r="T9092" s="538">
        <v>15.0006</v>
      </c>
      <c r="U9092" s="538">
        <v>72</v>
      </c>
      <c r="V9092" s="538">
        <v>36</v>
      </c>
    </row>
    <row r="9093" spans="1:22">
      <c r="A9093" s="499">
        <v>45813</v>
      </c>
      <c r="B9093" s="499">
        <v>45820</v>
      </c>
      <c r="C9093" s="500" t="s">
        <v>173</v>
      </c>
      <c r="D9093" s="500" t="s">
        <v>761</v>
      </c>
      <c r="E9093" s="501">
        <v>1396412883.3599999</v>
      </c>
      <c r="F9093" s="502" t="s">
        <v>878</v>
      </c>
      <c r="G9093" s="100">
        <v>117368587</v>
      </c>
      <c r="H9093" s="100">
        <v>117368587</v>
      </c>
      <c r="I9093" s="422" t="s">
        <v>693</v>
      </c>
      <c r="J9093" s="100"/>
      <c r="K9093" s="548"/>
      <c r="L9093" s="548"/>
      <c r="M9093" s="548"/>
      <c r="N9093" s="552">
        <v>1689888</v>
      </c>
      <c r="R9093" s="539">
        <v>823.91700000236699</v>
      </c>
      <c r="S9093" s="539">
        <v>826.33457564051605</v>
      </c>
      <c r="T9093" s="538">
        <v>15.3</v>
      </c>
      <c r="U9093" s="538">
        <v>14619.44</v>
      </c>
      <c r="V9093" s="538">
        <v>7309.72</v>
      </c>
    </row>
    <row r="9094" spans="1:22">
      <c r="A9094" s="499">
        <v>45813</v>
      </c>
      <c r="B9094" s="499">
        <v>45817</v>
      </c>
      <c r="C9094" s="500" t="s">
        <v>173</v>
      </c>
      <c r="D9094" s="500" t="s">
        <v>761</v>
      </c>
      <c r="E9094" s="501">
        <v>527869946.38</v>
      </c>
      <c r="F9094" s="502" t="s">
        <v>878</v>
      </c>
      <c r="G9094" s="100">
        <v>117368681</v>
      </c>
      <c r="H9094" s="100">
        <v>117368681</v>
      </c>
      <c r="I9094" s="422" t="s">
        <v>1018</v>
      </c>
      <c r="J9094" s="100"/>
      <c r="K9094" s="548"/>
      <c r="L9094" s="548"/>
      <c r="M9094" s="548"/>
      <c r="N9094" s="552">
        <v>5589362</v>
      </c>
      <c r="R9094" s="539">
        <v>94.286900000393601</v>
      </c>
      <c r="S9094" s="539">
        <v>94.441896298718902</v>
      </c>
      <c r="T9094" s="538">
        <v>15.000400000000001</v>
      </c>
      <c r="U9094" s="538">
        <v>3162.02</v>
      </c>
      <c r="V9094" s="538">
        <v>1581.01</v>
      </c>
    </row>
    <row r="9095" spans="1:22">
      <c r="A9095" s="499">
        <v>45813</v>
      </c>
      <c r="B9095" s="499">
        <v>45817</v>
      </c>
      <c r="C9095" s="500" t="s">
        <v>173</v>
      </c>
      <c r="D9095" s="500" t="s">
        <v>761</v>
      </c>
      <c r="E9095" s="501">
        <v>12019809.289999999</v>
      </c>
      <c r="F9095" s="502" t="s">
        <v>878</v>
      </c>
      <c r="G9095" s="100">
        <v>117368770</v>
      </c>
      <c r="H9095" s="100">
        <v>117368770</v>
      </c>
      <c r="I9095" s="422" t="s">
        <v>1018</v>
      </c>
      <c r="J9095" s="100"/>
      <c r="K9095" s="548"/>
      <c r="L9095" s="548"/>
      <c r="M9095" s="548"/>
      <c r="N9095" s="552">
        <v>127272</v>
      </c>
      <c r="R9095" s="539">
        <v>94.286900025142998</v>
      </c>
      <c r="S9095" s="539">
        <v>94.441898375133604</v>
      </c>
      <c r="T9095" s="538">
        <v>15.0006</v>
      </c>
      <c r="U9095" s="538">
        <v>72</v>
      </c>
      <c r="V9095" s="538">
        <v>36</v>
      </c>
    </row>
    <row r="9096" spans="1:22">
      <c r="A9096" s="499">
        <v>45813</v>
      </c>
      <c r="B9096" s="499">
        <v>45813</v>
      </c>
      <c r="C9096" s="500" t="s">
        <v>173</v>
      </c>
      <c r="D9096" s="500" t="s">
        <v>759</v>
      </c>
      <c r="E9096" s="501">
        <v>-493000049.5</v>
      </c>
      <c r="F9096" s="502" t="s">
        <v>878</v>
      </c>
      <c r="G9096" s="100">
        <v>117371348</v>
      </c>
      <c r="H9096" s="530"/>
      <c r="I9096" s="422" t="s">
        <v>1048</v>
      </c>
      <c r="J9096" s="100"/>
      <c r="K9096" s="548"/>
      <c r="L9096" s="548"/>
      <c r="M9096" s="548"/>
      <c r="N9096" s="552">
        <v>490449711</v>
      </c>
      <c r="R9096" s="539">
        <v>1.0052000000057091</v>
      </c>
      <c r="S9096" s="539">
        <v>1.0068661534393299</v>
      </c>
      <c r="T9096" s="538">
        <v>15.125</v>
      </c>
      <c r="U9096" s="538">
        <v>2958</v>
      </c>
      <c r="V9096" s="538">
        <v>1479</v>
      </c>
    </row>
    <row r="9097" spans="1:22">
      <c r="A9097" s="499">
        <v>45813</v>
      </c>
      <c r="B9097" s="499">
        <v>45813</v>
      </c>
      <c r="C9097" s="500" t="s">
        <v>173</v>
      </c>
      <c r="D9097" s="500" t="s">
        <v>759</v>
      </c>
      <c r="E9097" s="501">
        <v>-113037661.77</v>
      </c>
      <c r="F9097" s="502" t="s">
        <v>878</v>
      </c>
      <c r="G9097" s="100">
        <v>117371367</v>
      </c>
      <c r="H9097" s="530"/>
      <c r="I9097" s="422" t="s">
        <v>709</v>
      </c>
      <c r="J9097" s="100"/>
      <c r="K9097" s="548"/>
      <c r="L9097" s="548"/>
      <c r="M9097" s="548"/>
      <c r="N9097" s="552">
        <v>125543</v>
      </c>
      <c r="R9097" s="539">
        <v>900.39</v>
      </c>
      <c r="S9097" s="539">
        <v>901.88242729582703</v>
      </c>
      <c r="T9097" s="538">
        <v>15.125</v>
      </c>
      <c r="U9097" s="538">
        <v>678.23</v>
      </c>
      <c r="V9097" s="538">
        <v>339.11</v>
      </c>
    </row>
    <row r="9098" spans="1:22">
      <c r="A9098" s="499">
        <v>45813</v>
      </c>
      <c r="B9098" s="499">
        <v>45813</v>
      </c>
      <c r="C9098" s="500" t="s">
        <v>173</v>
      </c>
      <c r="D9098" s="500" t="s">
        <v>759</v>
      </c>
      <c r="E9098" s="501">
        <v>-199006980.52000001</v>
      </c>
      <c r="F9098" s="502" t="s">
        <v>878</v>
      </c>
      <c r="G9098" s="100">
        <v>117371383</v>
      </c>
      <c r="H9098" s="530"/>
      <c r="I9098" s="422" t="s">
        <v>656</v>
      </c>
      <c r="J9098" s="100"/>
      <c r="K9098" s="548"/>
      <c r="L9098" s="548"/>
      <c r="M9098" s="548"/>
      <c r="N9098" s="552">
        <v>199398</v>
      </c>
      <c r="R9098" s="539">
        <v>998.03899998996985</v>
      </c>
      <c r="S9098" s="539">
        <v>999.69328383434095</v>
      </c>
      <c r="T9098" s="538">
        <v>15.125</v>
      </c>
      <c r="U9098" s="538">
        <v>1194.04</v>
      </c>
      <c r="V9098" s="538">
        <v>597.02</v>
      </c>
    </row>
    <row r="9099" spans="1:22">
      <c r="A9099" s="499">
        <v>45813</v>
      </c>
      <c r="B9099" s="499">
        <v>45813</v>
      </c>
      <c r="C9099" s="500" t="s">
        <v>173</v>
      </c>
      <c r="D9099" s="500" t="s">
        <v>759</v>
      </c>
      <c r="E9099" s="501">
        <v>-182085995</v>
      </c>
      <c r="F9099" s="502" t="s">
        <v>878</v>
      </c>
      <c r="G9099" s="100">
        <v>117371386</v>
      </c>
      <c r="H9099" s="530"/>
      <c r="I9099" s="422" t="s">
        <v>824</v>
      </c>
      <c r="J9099" s="100"/>
      <c r="K9099" s="548"/>
      <c r="L9099" s="548"/>
      <c r="M9099" s="548"/>
      <c r="N9099" s="552">
        <v>181090</v>
      </c>
      <c r="R9099" s="539">
        <v>1005.5</v>
      </c>
      <c r="S9099" s="539">
        <v>1007.16665067094</v>
      </c>
      <c r="T9099" s="538">
        <v>15.125</v>
      </c>
      <c r="U9099" s="538">
        <v>1092.52</v>
      </c>
      <c r="V9099" s="538">
        <v>546.26</v>
      </c>
    </row>
    <row r="9100" spans="1:22">
      <c r="A9100" s="499">
        <v>45813</v>
      </c>
      <c r="B9100" s="499">
        <v>45813</v>
      </c>
      <c r="C9100" s="500" t="s">
        <v>173</v>
      </c>
      <c r="D9100" s="500" t="s">
        <v>759</v>
      </c>
      <c r="E9100" s="501">
        <v>-221120113.94</v>
      </c>
      <c r="F9100" s="502" t="s">
        <v>878</v>
      </c>
      <c r="G9100" s="100">
        <v>117371391</v>
      </c>
      <c r="H9100" s="530"/>
      <c r="I9100" s="422" t="s">
        <v>598</v>
      </c>
      <c r="J9100" s="100"/>
      <c r="K9100" s="548"/>
      <c r="L9100" s="548"/>
      <c r="M9100" s="548"/>
      <c r="N9100" s="552">
        <v>219674</v>
      </c>
      <c r="R9100" s="539">
        <v>1006.5829999908956</v>
      </c>
      <c r="S9100" s="539">
        <v>1008.25144577874</v>
      </c>
      <c r="T9100" s="538">
        <v>15.125</v>
      </c>
      <c r="U9100" s="538">
        <v>1326.72</v>
      </c>
      <c r="V9100" s="538">
        <v>663.36</v>
      </c>
    </row>
    <row r="9101" spans="1:22">
      <c r="A9101" s="499">
        <v>45813</v>
      </c>
      <c r="B9101" s="499">
        <v>45813</v>
      </c>
      <c r="C9101" s="500" t="s">
        <v>173</v>
      </c>
      <c r="D9101" s="500" t="s">
        <v>759</v>
      </c>
      <c r="E9101" s="501">
        <v>-122004746.29000001</v>
      </c>
      <c r="F9101" s="502" t="s">
        <v>878</v>
      </c>
      <c r="G9101" s="100">
        <v>117371399</v>
      </c>
      <c r="H9101" s="530"/>
      <c r="I9101" s="422" t="s">
        <v>715</v>
      </c>
      <c r="J9101" s="100"/>
      <c r="K9101" s="548"/>
      <c r="L9101" s="548"/>
      <c r="M9101" s="548"/>
      <c r="N9101" s="552">
        <v>159088</v>
      </c>
      <c r="R9101" s="539">
        <v>766.90100001257167</v>
      </c>
      <c r="S9101" s="539">
        <v>768.17216471386905</v>
      </c>
      <c r="T9101" s="538">
        <v>15.125</v>
      </c>
      <c r="U9101" s="538">
        <v>732.03</v>
      </c>
      <c r="V9101" s="538">
        <v>366.01</v>
      </c>
    </row>
    <row r="9102" spans="1:22">
      <c r="A9102" s="499">
        <v>45813</v>
      </c>
      <c r="B9102" s="499">
        <v>45813</v>
      </c>
      <c r="C9102" s="500" t="s">
        <v>173</v>
      </c>
      <c r="D9102" s="500" t="s">
        <v>759</v>
      </c>
      <c r="E9102" s="501">
        <v>-227002806.86000001</v>
      </c>
      <c r="F9102" s="502" t="s">
        <v>878</v>
      </c>
      <c r="G9102" s="100">
        <v>117371405</v>
      </c>
      <c r="H9102" s="530"/>
      <c r="I9102" s="422" t="s">
        <v>675</v>
      </c>
      <c r="J9102" s="100"/>
      <c r="K9102" s="548"/>
      <c r="L9102" s="548"/>
      <c r="M9102" s="548"/>
      <c r="N9102" s="552">
        <v>247203</v>
      </c>
      <c r="R9102" s="539">
        <v>918.28500002022633</v>
      </c>
      <c r="S9102" s="539">
        <v>919.80708887028095</v>
      </c>
      <c r="T9102" s="538">
        <v>15.125</v>
      </c>
      <c r="U9102" s="538">
        <v>1362.02</v>
      </c>
      <c r="V9102" s="538">
        <v>681.01</v>
      </c>
    </row>
    <row r="9103" spans="1:22">
      <c r="A9103" s="499">
        <v>45813</v>
      </c>
      <c r="B9103" s="499">
        <v>45813</v>
      </c>
      <c r="C9103" s="500" t="s">
        <v>173</v>
      </c>
      <c r="D9103" s="500" t="s">
        <v>759</v>
      </c>
      <c r="E9103" s="501">
        <v>-217031359.09999999</v>
      </c>
      <c r="F9103" s="502" t="s">
        <v>878</v>
      </c>
      <c r="G9103" s="100">
        <v>117371411</v>
      </c>
      <c r="H9103" s="530"/>
      <c r="I9103" s="422" t="s">
        <v>711</v>
      </c>
      <c r="J9103" s="100"/>
      <c r="K9103" s="548"/>
      <c r="L9103" s="548"/>
      <c r="M9103" s="548"/>
      <c r="N9103" s="552">
        <v>249984</v>
      </c>
      <c r="R9103" s="539">
        <v>868.18099998399896</v>
      </c>
      <c r="S9103" s="539">
        <v>869.62003972254195</v>
      </c>
      <c r="T9103" s="538">
        <v>15.125</v>
      </c>
      <c r="U9103" s="538">
        <v>1302.19</v>
      </c>
      <c r="V9103" s="538">
        <v>651.09</v>
      </c>
    </row>
    <row r="9104" spans="1:22">
      <c r="A9104" s="499">
        <v>45813</v>
      </c>
      <c r="B9104" s="499">
        <v>45813</v>
      </c>
      <c r="C9104" s="500" t="s">
        <v>173</v>
      </c>
      <c r="D9104" s="500" t="s">
        <v>759</v>
      </c>
      <c r="E9104" s="501">
        <v>-216034941.88999999</v>
      </c>
      <c r="F9104" s="502" t="s">
        <v>878</v>
      </c>
      <c r="G9104" s="100">
        <v>117371415</v>
      </c>
      <c r="H9104" s="530"/>
      <c r="I9104" s="422" t="s">
        <v>677</v>
      </c>
      <c r="J9104" s="100"/>
      <c r="K9104" s="548"/>
      <c r="L9104" s="548"/>
      <c r="M9104" s="548"/>
      <c r="N9104" s="552">
        <v>242568</v>
      </c>
      <c r="R9104" s="539">
        <v>890.61600000824501</v>
      </c>
      <c r="S9104" s="539">
        <v>892.09222650968002</v>
      </c>
      <c r="T9104" s="538">
        <v>15.125</v>
      </c>
      <c r="U9104" s="538">
        <v>1296.21</v>
      </c>
      <c r="V9104" s="538">
        <v>648.1</v>
      </c>
    </row>
    <row r="9105" spans="1:22">
      <c r="A9105" s="499">
        <v>45813</v>
      </c>
      <c r="B9105" s="499">
        <v>45813</v>
      </c>
      <c r="C9105" s="500" t="s">
        <v>173</v>
      </c>
      <c r="D9105" s="500" t="s">
        <v>759</v>
      </c>
      <c r="E9105" s="501">
        <v>-12001941.220000001</v>
      </c>
      <c r="F9105" s="502" t="s">
        <v>878</v>
      </c>
      <c r="G9105" s="100">
        <v>117372092</v>
      </c>
      <c r="H9105" s="530"/>
      <c r="I9105" s="422" t="s">
        <v>677</v>
      </c>
      <c r="J9105" s="100"/>
      <c r="K9105" s="548"/>
      <c r="L9105" s="548"/>
      <c r="M9105" s="548"/>
      <c r="N9105" s="552">
        <v>13476</v>
      </c>
      <c r="R9105" s="539">
        <v>890.61600029682404</v>
      </c>
      <c r="S9105" s="539">
        <v>892.06051573167099</v>
      </c>
      <c r="T9105" s="538">
        <v>14.8001</v>
      </c>
      <c r="U9105" s="538">
        <v>72.010000000000005</v>
      </c>
      <c r="V9105" s="538">
        <v>36.01</v>
      </c>
    </row>
    <row r="9106" spans="1:22">
      <c r="A9106" s="499">
        <v>45813</v>
      </c>
      <c r="B9106" s="499">
        <v>45817</v>
      </c>
      <c r="C9106" s="500" t="s">
        <v>173</v>
      </c>
      <c r="D9106" s="500" t="s">
        <v>759</v>
      </c>
      <c r="E9106" s="501">
        <v>493817213.97000003</v>
      </c>
      <c r="F9106" s="502" t="s">
        <v>878</v>
      </c>
      <c r="G9106" s="100">
        <v>117371348</v>
      </c>
      <c r="H9106" s="484">
        <v>117371348</v>
      </c>
      <c r="I9106" s="422" t="s">
        <v>1048</v>
      </c>
      <c r="J9106" s="100"/>
      <c r="K9106" s="548"/>
      <c r="L9106" s="548"/>
      <c r="M9106" s="548"/>
      <c r="N9106" s="552">
        <v>490449711</v>
      </c>
      <c r="R9106" s="539">
        <v>1.0052000000057091</v>
      </c>
      <c r="S9106" s="539">
        <v>1.0068661534393299</v>
      </c>
      <c r="T9106" s="538">
        <v>15.125</v>
      </c>
      <c r="U9106" s="538">
        <v>2958</v>
      </c>
      <c r="V9106" s="538">
        <v>1479</v>
      </c>
    </row>
    <row r="9107" spans="1:22">
      <c r="A9107" s="499">
        <v>45813</v>
      </c>
      <c r="B9107" s="499">
        <v>45817</v>
      </c>
      <c r="C9107" s="500" t="s">
        <v>173</v>
      </c>
      <c r="D9107" s="500" t="s">
        <v>759</v>
      </c>
      <c r="E9107" s="501">
        <v>113225025.56999999</v>
      </c>
      <c r="F9107" s="502" t="s">
        <v>878</v>
      </c>
      <c r="G9107" s="100">
        <v>117371367</v>
      </c>
      <c r="H9107" s="484">
        <v>117371367</v>
      </c>
      <c r="I9107" s="422" t="s">
        <v>709</v>
      </c>
      <c r="J9107" s="100"/>
      <c r="K9107" s="548"/>
      <c r="L9107" s="548"/>
      <c r="M9107" s="548"/>
      <c r="N9107" s="552">
        <v>125543</v>
      </c>
      <c r="R9107" s="539">
        <v>900.39</v>
      </c>
      <c r="S9107" s="539">
        <v>901.88242729582703</v>
      </c>
      <c r="T9107" s="538">
        <v>15.125</v>
      </c>
      <c r="U9107" s="538">
        <v>678.23</v>
      </c>
      <c r="V9107" s="538">
        <v>339.11</v>
      </c>
    </row>
    <row r="9108" spans="1:22">
      <c r="A9108" s="499">
        <v>45813</v>
      </c>
      <c r="B9108" s="499">
        <v>45817</v>
      </c>
      <c r="C9108" s="500" t="s">
        <v>173</v>
      </c>
      <c r="D9108" s="500" t="s">
        <v>759</v>
      </c>
      <c r="E9108" s="501">
        <v>199336841.41</v>
      </c>
      <c r="F9108" s="502" t="s">
        <v>878</v>
      </c>
      <c r="G9108" s="100">
        <v>117371383</v>
      </c>
      <c r="H9108" s="484">
        <v>117371383</v>
      </c>
      <c r="I9108" s="422" t="s">
        <v>656</v>
      </c>
      <c r="J9108" s="100"/>
      <c r="K9108" s="548"/>
      <c r="L9108" s="548"/>
      <c r="M9108" s="548"/>
      <c r="N9108" s="552">
        <v>199398</v>
      </c>
      <c r="R9108" s="539">
        <v>998.03899998996985</v>
      </c>
      <c r="S9108" s="539">
        <v>999.69328383434095</v>
      </c>
      <c r="T9108" s="538">
        <v>15.125</v>
      </c>
      <c r="U9108" s="538">
        <v>1194.04</v>
      </c>
      <c r="V9108" s="538">
        <v>597.02</v>
      </c>
    </row>
    <row r="9109" spans="1:22">
      <c r="A9109" s="499">
        <v>45813</v>
      </c>
      <c r="B9109" s="499">
        <v>45817</v>
      </c>
      <c r="C9109" s="500" t="s">
        <v>173</v>
      </c>
      <c r="D9109" s="500" t="s">
        <v>759</v>
      </c>
      <c r="E9109" s="501">
        <v>182387808.77000001</v>
      </c>
      <c r="F9109" s="502" t="s">
        <v>878</v>
      </c>
      <c r="G9109" s="100">
        <v>117371386</v>
      </c>
      <c r="H9109" s="484">
        <v>117371386</v>
      </c>
      <c r="I9109" s="422" t="s">
        <v>824</v>
      </c>
      <c r="J9109" s="100"/>
      <c r="K9109" s="548"/>
      <c r="L9109" s="548"/>
      <c r="M9109" s="548"/>
      <c r="N9109" s="552">
        <v>181090</v>
      </c>
      <c r="R9109" s="539">
        <v>1005.5</v>
      </c>
      <c r="S9109" s="539">
        <v>1007.16665067094</v>
      </c>
      <c r="T9109" s="538">
        <v>15.125</v>
      </c>
      <c r="U9109" s="538">
        <v>1092.52</v>
      </c>
      <c r="V9109" s="538">
        <v>546.26</v>
      </c>
    </row>
    <row r="9110" spans="1:22">
      <c r="A9110" s="499">
        <v>45813</v>
      </c>
      <c r="B9110" s="499">
        <v>45817</v>
      </c>
      <c r="C9110" s="500" t="s">
        <v>173</v>
      </c>
      <c r="D9110" s="500" t="s">
        <v>759</v>
      </c>
      <c r="E9110" s="501">
        <v>221486628.09999999</v>
      </c>
      <c r="F9110" s="502" t="s">
        <v>878</v>
      </c>
      <c r="G9110" s="100">
        <v>117371391</v>
      </c>
      <c r="H9110" s="484">
        <v>117371391</v>
      </c>
      <c r="I9110" s="422" t="s">
        <v>598</v>
      </c>
      <c r="J9110" s="100"/>
      <c r="K9110" s="548"/>
      <c r="L9110" s="548"/>
      <c r="M9110" s="548"/>
      <c r="N9110" s="552">
        <v>219674</v>
      </c>
      <c r="R9110" s="539">
        <v>1006.5829999908956</v>
      </c>
      <c r="S9110" s="539">
        <v>1008.25144577874</v>
      </c>
      <c r="T9110" s="538">
        <v>15.125</v>
      </c>
      <c r="U9110" s="538">
        <v>1326.72</v>
      </c>
      <c r="V9110" s="538">
        <v>663.36</v>
      </c>
    </row>
    <row r="9111" spans="1:22">
      <c r="A9111" s="499">
        <v>45813</v>
      </c>
      <c r="B9111" s="499">
        <v>45817</v>
      </c>
      <c r="C9111" s="500" t="s">
        <v>173</v>
      </c>
      <c r="D9111" s="500" t="s">
        <v>759</v>
      </c>
      <c r="E9111" s="501">
        <v>122206973.34</v>
      </c>
      <c r="F9111" s="502" t="s">
        <v>878</v>
      </c>
      <c r="G9111" s="100">
        <v>117371399</v>
      </c>
      <c r="H9111" s="484">
        <v>117371399</v>
      </c>
      <c r="I9111" s="422" t="s">
        <v>715</v>
      </c>
      <c r="J9111" s="100"/>
      <c r="K9111" s="548"/>
      <c r="L9111" s="548"/>
      <c r="M9111" s="548"/>
      <c r="N9111" s="552">
        <v>159088</v>
      </c>
      <c r="R9111" s="539">
        <v>766.90100001257167</v>
      </c>
      <c r="S9111" s="539">
        <v>768.17216471386905</v>
      </c>
      <c r="T9111" s="538">
        <v>15.125</v>
      </c>
      <c r="U9111" s="538">
        <v>732.03</v>
      </c>
      <c r="V9111" s="538">
        <v>366.01</v>
      </c>
    </row>
    <row r="9112" spans="1:22">
      <c r="A9112" s="499">
        <v>45813</v>
      </c>
      <c r="B9112" s="499">
        <v>45817</v>
      </c>
      <c r="C9112" s="500" t="s">
        <v>173</v>
      </c>
      <c r="D9112" s="500" t="s">
        <v>759</v>
      </c>
      <c r="E9112" s="501">
        <v>227379071.78999999</v>
      </c>
      <c r="F9112" s="502" t="s">
        <v>878</v>
      </c>
      <c r="G9112" s="100">
        <v>117371405</v>
      </c>
      <c r="H9112" s="484">
        <v>117371405</v>
      </c>
      <c r="I9112" s="422" t="s">
        <v>675</v>
      </c>
      <c r="J9112" s="100"/>
      <c r="K9112" s="548"/>
      <c r="L9112" s="548"/>
      <c r="M9112" s="548"/>
      <c r="N9112" s="552">
        <v>247203</v>
      </c>
      <c r="R9112" s="539">
        <v>918.28500002022633</v>
      </c>
      <c r="S9112" s="539">
        <v>919.80708887028095</v>
      </c>
      <c r="T9112" s="538">
        <v>15.125</v>
      </c>
      <c r="U9112" s="538">
        <v>1362.02</v>
      </c>
      <c r="V9112" s="538">
        <v>681.01</v>
      </c>
    </row>
    <row r="9113" spans="1:22">
      <c r="A9113" s="499">
        <v>45813</v>
      </c>
      <c r="B9113" s="499">
        <v>45817</v>
      </c>
      <c r="C9113" s="500" t="s">
        <v>173</v>
      </c>
      <c r="D9113" s="500" t="s">
        <v>759</v>
      </c>
      <c r="E9113" s="501">
        <v>217391096.00999999</v>
      </c>
      <c r="F9113" s="502" t="s">
        <v>878</v>
      </c>
      <c r="G9113" s="100">
        <v>117371411</v>
      </c>
      <c r="H9113" s="484">
        <v>117371411</v>
      </c>
      <c r="I9113" s="422" t="s">
        <v>711</v>
      </c>
      <c r="J9113" s="100"/>
      <c r="K9113" s="548"/>
      <c r="L9113" s="548"/>
      <c r="M9113" s="548"/>
      <c r="N9113" s="552">
        <v>249984</v>
      </c>
      <c r="R9113" s="539">
        <v>868.18099998399896</v>
      </c>
      <c r="S9113" s="539">
        <v>869.62003972254195</v>
      </c>
      <c r="T9113" s="538">
        <v>15.125</v>
      </c>
      <c r="U9113" s="538">
        <v>1302.19</v>
      </c>
      <c r="V9113" s="538">
        <v>651.09</v>
      </c>
    </row>
    <row r="9114" spans="1:22">
      <c r="A9114" s="499">
        <v>45813</v>
      </c>
      <c r="B9114" s="499">
        <v>45817</v>
      </c>
      <c r="C9114" s="500" t="s">
        <v>173</v>
      </c>
      <c r="D9114" s="500" t="s">
        <v>759</v>
      </c>
      <c r="E9114" s="501">
        <v>216393027.19999999</v>
      </c>
      <c r="F9114" s="502" t="s">
        <v>878</v>
      </c>
      <c r="G9114" s="100">
        <v>117371415</v>
      </c>
      <c r="H9114" s="484">
        <v>117371415</v>
      </c>
      <c r="I9114" s="422" t="s">
        <v>677</v>
      </c>
      <c r="J9114" s="100"/>
      <c r="K9114" s="548"/>
      <c r="L9114" s="548"/>
      <c r="M9114" s="548"/>
      <c r="N9114" s="552">
        <v>242568</v>
      </c>
      <c r="R9114" s="539">
        <v>890.61600000824501</v>
      </c>
      <c r="S9114" s="539">
        <v>892.09222650968002</v>
      </c>
      <c r="T9114" s="538">
        <v>15.125</v>
      </c>
      <c r="U9114" s="538">
        <v>1296.21</v>
      </c>
      <c r="V9114" s="538">
        <v>648.1</v>
      </c>
    </row>
    <row r="9115" spans="1:22">
      <c r="A9115" s="499">
        <v>45813</v>
      </c>
      <c r="B9115" s="499">
        <v>45817</v>
      </c>
      <c r="C9115" s="500" t="s">
        <v>173</v>
      </c>
      <c r="D9115" s="500" t="s">
        <v>759</v>
      </c>
      <c r="E9115" s="501">
        <v>12021407.51</v>
      </c>
      <c r="F9115" s="502" t="s">
        <v>878</v>
      </c>
      <c r="G9115" s="100">
        <v>117372092</v>
      </c>
      <c r="H9115" s="484">
        <v>117372092</v>
      </c>
      <c r="I9115" s="422" t="s">
        <v>677</v>
      </c>
      <c r="J9115" s="100"/>
      <c r="K9115" s="548"/>
      <c r="L9115" s="548"/>
      <c r="M9115" s="548"/>
      <c r="N9115" s="552">
        <v>13476</v>
      </c>
      <c r="R9115" s="539">
        <v>890.61600029682404</v>
      </c>
      <c r="S9115" s="539">
        <v>892.06051573167099</v>
      </c>
      <c r="T9115" s="538">
        <v>14.8001</v>
      </c>
      <c r="U9115" s="538">
        <v>72.010000000000005</v>
      </c>
      <c r="V9115" s="538">
        <v>36.01</v>
      </c>
    </row>
    <row r="9116" spans="1:22">
      <c r="A9116" s="499">
        <v>45813</v>
      </c>
      <c r="B9116" s="499">
        <v>45813</v>
      </c>
      <c r="C9116" s="500" t="s">
        <v>173</v>
      </c>
      <c r="D9116" s="500" t="s">
        <v>760</v>
      </c>
      <c r="E9116" s="501">
        <v>-32019670.82</v>
      </c>
      <c r="F9116" s="502" t="s">
        <v>878</v>
      </c>
      <c r="G9116" s="100">
        <v>117368195</v>
      </c>
      <c r="H9116" s="530"/>
      <c r="I9116" s="422" t="s">
        <v>1047</v>
      </c>
      <c r="J9116" s="100"/>
      <c r="K9116" s="548"/>
      <c r="L9116" s="548"/>
      <c r="M9116" s="548"/>
      <c r="N9116" s="552">
        <v>31136</v>
      </c>
      <c r="R9116" s="539">
        <v>1028.3810000000001</v>
      </c>
      <c r="S9116" s="539">
        <v>1030.0996756166501</v>
      </c>
      <c r="T9116" s="538">
        <v>15.2501</v>
      </c>
      <c r="U9116" s="538">
        <v>192.12</v>
      </c>
      <c r="V9116" s="538">
        <v>96.06</v>
      </c>
    </row>
    <row r="9117" spans="1:22">
      <c r="A9117" s="499">
        <v>45813</v>
      </c>
      <c r="B9117" s="499">
        <v>45813</v>
      </c>
      <c r="C9117" s="500" t="s">
        <v>173</v>
      </c>
      <c r="D9117" s="500" t="s">
        <v>760</v>
      </c>
      <c r="E9117" s="501">
        <v>-13008195.33</v>
      </c>
      <c r="F9117" s="502" t="s">
        <v>878</v>
      </c>
      <c r="G9117" s="100">
        <v>117368469</v>
      </c>
      <c r="H9117" s="530"/>
      <c r="I9117" s="422" t="s">
        <v>604</v>
      </c>
      <c r="J9117" s="100"/>
      <c r="K9117" s="548"/>
      <c r="L9117" s="548"/>
      <c r="M9117" s="548"/>
      <c r="N9117" s="552">
        <v>13182</v>
      </c>
      <c r="R9117" s="539">
        <v>986.81500000000005</v>
      </c>
      <c r="S9117" s="539">
        <v>988.43718328023101</v>
      </c>
      <c r="T9117" s="538">
        <v>15.0002</v>
      </c>
      <c r="U9117" s="538">
        <v>78.05</v>
      </c>
      <c r="V9117" s="538">
        <v>39.020000000000003</v>
      </c>
    </row>
    <row r="9118" spans="1:22">
      <c r="A9118" s="499">
        <v>45813</v>
      </c>
      <c r="B9118" s="499">
        <v>45813</v>
      </c>
      <c r="C9118" s="500" t="s">
        <v>173</v>
      </c>
      <c r="D9118" s="500" t="s">
        <v>760</v>
      </c>
      <c r="E9118" s="501">
        <v>-2152014765.73</v>
      </c>
      <c r="F9118" s="502" t="s">
        <v>878</v>
      </c>
      <c r="G9118" s="100">
        <v>117368198</v>
      </c>
      <c r="H9118" s="530"/>
      <c r="I9118" s="422" t="s">
        <v>1018</v>
      </c>
      <c r="J9118" s="100"/>
      <c r="K9118" s="548"/>
      <c r="L9118" s="548"/>
      <c r="M9118" s="548"/>
      <c r="N9118" s="552">
        <v>22824112</v>
      </c>
      <c r="R9118" s="539">
        <v>94.286900000000003</v>
      </c>
      <c r="S9118" s="539">
        <v>94.444476400221006</v>
      </c>
      <c r="T9118" s="538">
        <v>15.2501</v>
      </c>
      <c r="U9118" s="538">
        <v>12912.09</v>
      </c>
      <c r="V9118" s="538">
        <v>6456.04</v>
      </c>
    </row>
    <row r="9119" spans="1:22">
      <c r="A9119" s="499">
        <v>45813</v>
      </c>
      <c r="B9119" s="499">
        <v>45817</v>
      </c>
      <c r="C9119" s="500" t="s">
        <v>173</v>
      </c>
      <c r="D9119" s="500" t="s">
        <v>760</v>
      </c>
      <c r="E9119" s="501">
        <v>32073183.5</v>
      </c>
      <c r="F9119" s="502" t="s">
        <v>878</v>
      </c>
      <c r="G9119" s="100">
        <v>117368195</v>
      </c>
      <c r="H9119" s="100">
        <v>117368195</v>
      </c>
      <c r="I9119" s="422" t="s">
        <v>1047</v>
      </c>
      <c r="J9119" s="100"/>
      <c r="K9119" s="548"/>
      <c r="L9119" s="548"/>
      <c r="M9119" s="548"/>
      <c r="N9119" s="552">
        <v>31136</v>
      </c>
      <c r="R9119" s="539">
        <v>1028.3810000000001</v>
      </c>
      <c r="S9119" s="539">
        <v>1030.0996756166501</v>
      </c>
      <c r="T9119" s="538">
        <v>15.2501</v>
      </c>
      <c r="U9119" s="538">
        <v>192.12</v>
      </c>
      <c r="V9119" s="538">
        <v>96.06</v>
      </c>
    </row>
    <row r="9120" spans="1:22">
      <c r="A9120" s="499">
        <v>45813</v>
      </c>
      <c r="B9120" s="499">
        <v>45817</v>
      </c>
      <c r="C9120" s="500" t="s">
        <v>173</v>
      </c>
      <c r="D9120" s="500" t="s">
        <v>760</v>
      </c>
      <c r="E9120" s="501">
        <v>13029578.949999999</v>
      </c>
      <c r="F9120" s="502" t="s">
        <v>878</v>
      </c>
      <c r="G9120" s="100">
        <v>117368469</v>
      </c>
      <c r="H9120" s="100">
        <v>117368469</v>
      </c>
      <c r="I9120" s="422" t="s">
        <v>604</v>
      </c>
      <c r="J9120" s="100"/>
      <c r="K9120" s="548"/>
      <c r="L9120" s="548"/>
      <c r="M9120" s="548"/>
      <c r="N9120" s="552">
        <v>13182</v>
      </c>
      <c r="R9120" s="539">
        <v>986.81500000000005</v>
      </c>
      <c r="S9120" s="539">
        <v>988.43718328023101</v>
      </c>
      <c r="T9120" s="538">
        <v>15.0002</v>
      </c>
      <c r="U9120" s="538">
        <v>78.05</v>
      </c>
      <c r="V9120" s="538">
        <v>39.020000000000003</v>
      </c>
    </row>
    <row r="9121" spans="1:22">
      <c r="A9121" s="499">
        <v>45813</v>
      </c>
      <c r="B9121" s="499">
        <v>45817</v>
      </c>
      <c r="C9121" s="500" t="s">
        <v>173</v>
      </c>
      <c r="D9121" s="500" t="s">
        <v>760</v>
      </c>
      <c r="E9121" s="501">
        <v>2155611307.1399999</v>
      </c>
      <c r="F9121" s="502" t="s">
        <v>878</v>
      </c>
      <c r="G9121" s="100">
        <v>117368198</v>
      </c>
      <c r="H9121" s="100">
        <v>117368198</v>
      </c>
      <c r="I9121" s="422" t="s">
        <v>1018</v>
      </c>
      <c r="J9121" s="100"/>
      <c r="K9121" s="548"/>
      <c r="L9121" s="548"/>
      <c r="M9121" s="548"/>
      <c r="N9121" s="552">
        <v>22824112</v>
      </c>
      <c r="R9121" s="539">
        <v>94.286900000000003</v>
      </c>
      <c r="S9121" s="539">
        <v>94.444476400221006</v>
      </c>
      <c r="T9121" s="538">
        <v>15.2501</v>
      </c>
      <c r="U9121" s="538">
        <v>12912.09</v>
      </c>
      <c r="V9121" s="538">
        <v>6456.04</v>
      </c>
    </row>
    <row r="9122" spans="1:22">
      <c r="A9122" s="499">
        <v>45813</v>
      </c>
      <c r="B9122" s="499">
        <v>45813</v>
      </c>
      <c r="C9122" s="500" t="s">
        <v>173</v>
      </c>
      <c r="D9122" s="500" t="s">
        <v>763</v>
      </c>
      <c r="E9122" s="501">
        <v>-3904026786.9099998</v>
      </c>
      <c r="F9122" s="502" t="s">
        <v>878</v>
      </c>
      <c r="G9122" s="100">
        <v>117369408</v>
      </c>
      <c r="H9122" s="530"/>
      <c r="I9122" s="422" t="s">
        <v>1018</v>
      </c>
      <c r="J9122" s="100"/>
      <c r="K9122" s="548"/>
      <c r="L9122" s="548"/>
      <c r="M9122" s="548"/>
      <c r="N9122" s="552">
        <v>41405824</v>
      </c>
      <c r="R9122" s="539">
        <v>94.286900000000003</v>
      </c>
      <c r="S9122" s="539">
        <v>94.441898364104503</v>
      </c>
      <c r="T9122" s="538">
        <v>15.0006</v>
      </c>
      <c r="U9122" s="538">
        <v>23424.16</v>
      </c>
      <c r="V9122" s="538">
        <v>11712.08</v>
      </c>
    </row>
    <row r="9123" spans="1:22">
      <c r="A9123" s="499">
        <v>45813</v>
      </c>
      <c r="B9123" s="499">
        <v>45813</v>
      </c>
      <c r="C9123" s="500" t="s">
        <v>173</v>
      </c>
      <c r="D9123" s="500" t="s">
        <v>763</v>
      </c>
      <c r="E9123" s="501">
        <v>-1946846508.05</v>
      </c>
      <c r="F9123" s="502" t="s">
        <v>878</v>
      </c>
      <c r="G9123" s="100">
        <v>117369411</v>
      </c>
      <c r="H9123" s="530"/>
      <c r="I9123" s="422" t="s">
        <v>674</v>
      </c>
      <c r="J9123" s="100"/>
      <c r="K9123" s="548"/>
      <c r="L9123" s="548"/>
      <c r="M9123" s="548"/>
      <c r="N9123" s="552">
        <v>2123086</v>
      </c>
      <c r="R9123" s="539">
        <v>916.98900000000003</v>
      </c>
      <c r="S9123" s="539">
        <v>918.49643947065704</v>
      </c>
      <c r="T9123" s="538">
        <v>15.0006</v>
      </c>
      <c r="U9123" s="538">
        <v>11681.08</v>
      </c>
      <c r="V9123" s="538">
        <v>5840.54</v>
      </c>
    </row>
    <row r="9124" spans="1:22">
      <c r="A9124" s="499">
        <v>45813</v>
      </c>
      <c r="B9124" s="499">
        <v>45813</v>
      </c>
      <c r="C9124" s="500" t="s">
        <v>173</v>
      </c>
      <c r="D9124" s="500" t="s">
        <v>763</v>
      </c>
      <c r="E9124" s="501">
        <v>-35002555.359999999</v>
      </c>
      <c r="F9124" s="502" t="s">
        <v>878</v>
      </c>
      <c r="G9124" s="100">
        <v>117369429</v>
      </c>
      <c r="H9124" s="530"/>
      <c r="I9124" s="422" t="s">
        <v>633</v>
      </c>
      <c r="J9124" s="100"/>
      <c r="K9124" s="548"/>
      <c r="L9124" s="548"/>
      <c r="M9124" s="548"/>
      <c r="N9124" s="552">
        <v>67585</v>
      </c>
      <c r="R9124" s="539">
        <v>517.90419999999995</v>
      </c>
      <c r="S9124" s="539">
        <v>518.75560050307001</v>
      </c>
      <c r="T9124" s="538">
        <v>15.0009</v>
      </c>
      <c r="U9124" s="538">
        <v>210.02</v>
      </c>
      <c r="V9124" s="538">
        <v>105.01</v>
      </c>
    </row>
    <row r="9125" spans="1:22">
      <c r="A9125" s="499">
        <v>45813</v>
      </c>
      <c r="B9125" s="499">
        <v>45817</v>
      </c>
      <c r="C9125" s="500" t="s">
        <v>173</v>
      </c>
      <c r="D9125" s="500" t="s">
        <v>763</v>
      </c>
      <c r="E9125" s="501">
        <v>3910444621.8899999</v>
      </c>
      <c r="F9125" s="502" t="s">
        <v>878</v>
      </c>
      <c r="G9125" s="100">
        <v>117369408</v>
      </c>
      <c r="H9125" s="100">
        <v>117369408</v>
      </c>
      <c r="I9125" s="422" t="s">
        <v>1018</v>
      </c>
      <c r="J9125" s="100"/>
      <c r="K9125" s="548"/>
      <c r="L9125" s="548"/>
      <c r="M9125" s="548"/>
      <c r="N9125" s="552">
        <v>41405824</v>
      </c>
      <c r="R9125" s="539">
        <v>94.286900000000003</v>
      </c>
      <c r="S9125" s="539">
        <v>94.441898364104503</v>
      </c>
      <c r="T9125" s="538">
        <v>15.0006</v>
      </c>
      <c r="U9125" s="538">
        <v>23424.16</v>
      </c>
      <c r="V9125" s="538">
        <v>11712.08</v>
      </c>
    </row>
    <row r="9126" spans="1:22">
      <c r="A9126" s="499">
        <v>45813</v>
      </c>
      <c r="B9126" s="499">
        <v>45817</v>
      </c>
      <c r="C9126" s="500" t="s">
        <v>173</v>
      </c>
      <c r="D9126" s="500" t="s">
        <v>763</v>
      </c>
      <c r="E9126" s="501">
        <v>1950046931.6900001</v>
      </c>
      <c r="F9126" s="502" t="s">
        <v>878</v>
      </c>
      <c r="G9126" s="100">
        <v>117369411</v>
      </c>
      <c r="H9126" s="100">
        <v>117369411</v>
      </c>
      <c r="I9126" s="422" t="s">
        <v>674</v>
      </c>
      <c r="J9126" s="100"/>
      <c r="K9126" s="548"/>
      <c r="L9126" s="548"/>
      <c r="M9126" s="548"/>
      <c r="N9126" s="552">
        <v>2123086</v>
      </c>
      <c r="R9126" s="539">
        <v>916.98900000000003</v>
      </c>
      <c r="S9126" s="539">
        <v>918.49643947065704</v>
      </c>
      <c r="T9126" s="538">
        <v>15.0006</v>
      </c>
      <c r="U9126" s="538">
        <v>11681.08</v>
      </c>
      <c r="V9126" s="538">
        <v>5840.54</v>
      </c>
    </row>
    <row r="9127" spans="1:22">
      <c r="A9127" s="499">
        <v>45813</v>
      </c>
      <c r="B9127" s="499">
        <v>45817</v>
      </c>
      <c r="C9127" s="500" t="s">
        <v>173</v>
      </c>
      <c r="D9127" s="500" t="s">
        <v>763</v>
      </c>
      <c r="E9127" s="501">
        <v>35060097.259999998</v>
      </c>
      <c r="F9127" s="502" t="s">
        <v>878</v>
      </c>
      <c r="G9127" s="100">
        <v>117369429</v>
      </c>
      <c r="H9127" s="100">
        <v>117369429</v>
      </c>
      <c r="I9127" s="422" t="s">
        <v>633</v>
      </c>
      <c r="J9127" s="100"/>
      <c r="K9127" s="548"/>
      <c r="L9127" s="548"/>
      <c r="M9127" s="548"/>
      <c r="N9127" s="552">
        <v>67585</v>
      </c>
      <c r="R9127" s="539">
        <v>517.90419999999995</v>
      </c>
      <c r="S9127" s="539">
        <v>518.75560050307001</v>
      </c>
      <c r="T9127" s="538">
        <v>15.0009</v>
      </c>
      <c r="U9127" s="538">
        <v>210.02</v>
      </c>
      <c r="V9127" s="538">
        <v>105.01</v>
      </c>
    </row>
    <row r="9128" spans="1:22">
      <c r="A9128" s="499">
        <v>45817</v>
      </c>
      <c r="B9128" s="499">
        <v>45817</v>
      </c>
      <c r="C9128" s="500" t="s">
        <v>173</v>
      </c>
      <c r="D9128" s="500" t="s">
        <v>762</v>
      </c>
      <c r="E9128" s="501">
        <v>-1000257585.6</v>
      </c>
      <c r="F9128" s="502" t="s">
        <v>878</v>
      </c>
      <c r="G9128" s="100">
        <v>117392304</v>
      </c>
      <c r="H9128" s="530"/>
      <c r="I9128" s="422" t="s">
        <v>633</v>
      </c>
      <c r="J9128" s="484"/>
      <c r="K9128" s="548"/>
      <c r="L9128" s="548"/>
      <c r="M9128" s="548"/>
      <c r="N9128" s="552">
        <v>1924000</v>
      </c>
      <c r="R9128" s="558">
        <v>519.88440000000003</v>
      </c>
      <c r="S9128" s="558">
        <v>520.09876614345103</v>
      </c>
      <c r="T9128" s="538">
        <v>15.0502</v>
      </c>
      <c r="U9128" s="538">
        <v>1500.39</v>
      </c>
      <c r="V9128" s="538">
        <v>750.19</v>
      </c>
    </row>
    <row r="9129" spans="1:22">
      <c r="A9129" s="499">
        <v>45817</v>
      </c>
      <c r="B9129" s="499">
        <v>45817</v>
      </c>
      <c r="C9129" s="500" t="s">
        <v>173</v>
      </c>
      <c r="D9129" s="500" t="s">
        <v>762</v>
      </c>
      <c r="E9129" s="501">
        <v>-499000182.27999997</v>
      </c>
      <c r="F9129" s="502" t="s">
        <v>878</v>
      </c>
      <c r="G9129" s="100">
        <v>117392307</v>
      </c>
      <c r="H9129" s="530"/>
      <c r="I9129" s="422" t="s">
        <v>811</v>
      </c>
      <c r="J9129" s="484"/>
      <c r="K9129" s="548"/>
      <c r="L9129" s="548"/>
      <c r="M9129" s="548"/>
      <c r="N9129" s="552">
        <v>483386789</v>
      </c>
      <c r="R9129" s="558">
        <v>1.0323</v>
      </c>
      <c r="S9129" s="558">
        <v>1.03272565262432</v>
      </c>
      <c r="T9129" s="538">
        <v>15.0502</v>
      </c>
      <c r="U9129" s="538">
        <v>748.5</v>
      </c>
      <c r="V9129" s="538">
        <v>374.25</v>
      </c>
    </row>
    <row r="9130" spans="1:22">
      <c r="A9130" s="499">
        <v>45817</v>
      </c>
      <c r="B9130" s="499">
        <v>45817</v>
      </c>
      <c r="C9130" s="500" t="s">
        <v>173</v>
      </c>
      <c r="D9130" s="500" t="s">
        <v>762</v>
      </c>
      <c r="E9130" s="501">
        <v>-1954268422.72</v>
      </c>
      <c r="F9130" s="502" t="s">
        <v>878</v>
      </c>
      <c r="G9130" s="100">
        <v>117392310</v>
      </c>
      <c r="H9130" s="530"/>
      <c r="I9130" s="422" t="s">
        <v>711</v>
      </c>
      <c r="J9130" s="484"/>
      <c r="K9130" s="548"/>
      <c r="L9130" s="548"/>
      <c r="M9130" s="548"/>
      <c r="N9130" s="552">
        <v>2247903</v>
      </c>
      <c r="R9130" s="558">
        <v>869.37400000000002</v>
      </c>
      <c r="S9130" s="558">
        <v>869.73247028897595</v>
      </c>
      <c r="T9130" s="538">
        <v>15.0501</v>
      </c>
      <c r="U9130" s="538">
        <v>2931.4</v>
      </c>
      <c r="V9130" s="538">
        <v>1465.7</v>
      </c>
    </row>
    <row r="9131" spans="1:22">
      <c r="A9131" s="499">
        <v>45817</v>
      </c>
      <c r="B9131" s="499">
        <v>45817</v>
      </c>
      <c r="C9131" s="500" t="s">
        <v>173</v>
      </c>
      <c r="D9131" s="500" t="s">
        <v>762</v>
      </c>
      <c r="E9131" s="501">
        <v>-19012607.530000001</v>
      </c>
      <c r="F9131" s="502" t="s">
        <v>878</v>
      </c>
      <c r="G9131" s="100">
        <v>117396689</v>
      </c>
      <c r="H9131" s="530"/>
      <c r="I9131" s="422" t="s">
        <v>677</v>
      </c>
      <c r="J9131" s="484"/>
      <c r="K9131" s="548"/>
      <c r="L9131" s="548"/>
      <c r="M9131" s="548"/>
      <c r="N9131" s="552">
        <v>21318</v>
      </c>
      <c r="R9131" s="558">
        <v>891.85699999999997</v>
      </c>
      <c r="S9131" s="558">
        <v>892.21887419082498</v>
      </c>
      <c r="T9131" s="538">
        <v>14.81</v>
      </c>
      <c r="U9131" s="538">
        <v>39.32</v>
      </c>
      <c r="V9131" s="538">
        <v>14.26</v>
      </c>
    </row>
    <row r="9132" spans="1:22">
      <c r="A9132" s="499">
        <v>45817</v>
      </c>
      <c r="B9132" s="499">
        <v>45818</v>
      </c>
      <c r="C9132" s="500" t="s">
        <v>173</v>
      </c>
      <c r="D9132" s="500" t="s">
        <v>762</v>
      </c>
      <c r="E9132" s="501">
        <v>1000670026.0599999</v>
      </c>
      <c r="F9132" s="502" t="s">
        <v>878</v>
      </c>
      <c r="G9132" s="100">
        <v>117392304</v>
      </c>
      <c r="H9132" s="484">
        <v>117392304</v>
      </c>
      <c r="I9132" s="422" t="s">
        <v>633</v>
      </c>
      <c r="J9132" s="484"/>
      <c r="K9132" s="548"/>
      <c r="L9132" s="548"/>
      <c r="M9132" s="548"/>
      <c r="N9132" s="552">
        <v>1924000</v>
      </c>
      <c r="R9132" s="558">
        <v>519.88440000000003</v>
      </c>
      <c r="S9132" s="558">
        <v>520.09876614345103</v>
      </c>
      <c r="T9132" s="538">
        <v>15.0502</v>
      </c>
      <c r="U9132" s="538">
        <v>1500.39</v>
      </c>
      <c r="V9132" s="538">
        <v>750.19</v>
      </c>
    </row>
    <row r="9133" spans="1:22">
      <c r="A9133" s="499">
        <v>45817</v>
      </c>
      <c r="B9133" s="499">
        <v>45818</v>
      </c>
      <c r="C9133" s="500" t="s">
        <v>173</v>
      </c>
      <c r="D9133" s="500" t="s">
        <v>762</v>
      </c>
      <c r="E9133" s="501">
        <v>499205937.13999999</v>
      </c>
      <c r="F9133" s="502" t="s">
        <v>878</v>
      </c>
      <c r="G9133" s="100">
        <v>117392307</v>
      </c>
      <c r="H9133" s="484">
        <v>117392307</v>
      </c>
      <c r="I9133" s="422" t="s">
        <v>811</v>
      </c>
      <c r="J9133" s="484"/>
      <c r="K9133" s="548"/>
      <c r="L9133" s="548"/>
      <c r="M9133" s="548"/>
      <c r="N9133" s="552">
        <v>483386789</v>
      </c>
      <c r="R9133" s="558">
        <v>1.0323</v>
      </c>
      <c r="S9133" s="558">
        <v>1.03272565262432</v>
      </c>
      <c r="T9133" s="538">
        <v>15.0502</v>
      </c>
      <c r="U9133" s="538">
        <v>748.5</v>
      </c>
      <c r="V9133" s="538">
        <v>374.25</v>
      </c>
    </row>
    <row r="9134" spans="1:22">
      <c r="A9134" s="499">
        <v>45817</v>
      </c>
      <c r="B9134" s="499">
        <v>45818</v>
      </c>
      <c r="C9134" s="500" t="s">
        <v>173</v>
      </c>
      <c r="D9134" s="500" t="s">
        <v>762</v>
      </c>
      <c r="E9134" s="501">
        <v>1955074229.1600001</v>
      </c>
      <c r="F9134" s="502" t="s">
        <v>878</v>
      </c>
      <c r="G9134" s="100">
        <v>117392310</v>
      </c>
      <c r="H9134" s="484">
        <v>117392310</v>
      </c>
      <c r="I9134" s="422" t="s">
        <v>711</v>
      </c>
      <c r="J9134" s="484"/>
      <c r="K9134" s="548"/>
      <c r="L9134" s="548"/>
      <c r="M9134" s="548"/>
      <c r="N9134" s="552">
        <v>2247903</v>
      </c>
      <c r="R9134" s="558">
        <v>869.37400000000002</v>
      </c>
      <c r="S9134" s="558">
        <v>869.73247028897595</v>
      </c>
      <c r="T9134" s="538">
        <v>15.0501</v>
      </c>
      <c r="U9134" s="538">
        <v>2931.4</v>
      </c>
      <c r="V9134" s="538">
        <v>1465.7</v>
      </c>
    </row>
    <row r="9135" spans="1:22">
      <c r="A9135" s="499">
        <v>45817</v>
      </c>
      <c r="B9135" s="499">
        <v>45818</v>
      </c>
      <c r="C9135" s="500" t="s">
        <v>173</v>
      </c>
      <c r="D9135" s="500" t="s">
        <v>762</v>
      </c>
      <c r="E9135" s="501">
        <v>19020321.960000001</v>
      </c>
      <c r="F9135" s="502" t="s">
        <v>878</v>
      </c>
      <c r="G9135" s="100">
        <v>117396689</v>
      </c>
      <c r="H9135" s="484">
        <v>117396689</v>
      </c>
      <c r="I9135" s="422" t="s">
        <v>677</v>
      </c>
      <c r="J9135" s="484"/>
      <c r="K9135" s="548"/>
      <c r="L9135" s="548"/>
      <c r="M9135" s="548"/>
      <c r="N9135" s="552">
        <v>21318</v>
      </c>
      <c r="R9135" s="558">
        <v>891.85699999999997</v>
      </c>
      <c r="S9135" s="558">
        <v>892.21887419082498</v>
      </c>
      <c r="T9135" s="538">
        <v>14.81</v>
      </c>
      <c r="U9135" s="538">
        <v>39.32</v>
      </c>
      <c r="V9135" s="538">
        <v>14.26</v>
      </c>
    </row>
    <row r="9136" spans="1:22">
      <c r="A9136" s="499">
        <v>45817</v>
      </c>
      <c r="B9136" s="499">
        <v>45817</v>
      </c>
      <c r="C9136" s="500" t="s">
        <v>173</v>
      </c>
      <c r="D9136" s="500" t="s">
        <v>761</v>
      </c>
      <c r="E9136" s="501">
        <v>-538138581.04999995</v>
      </c>
      <c r="F9136" s="502" t="s">
        <v>878</v>
      </c>
      <c r="G9136" s="100">
        <v>117393657</v>
      </c>
      <c r="H9136" s="530"/>
      <c r="I9136" s="422" t="s">
        <v>633</v>
      </c>
      <c r="J9136" s="484"/>
      <c r="K9136" s="548"/>
      <c r="L9136" s="548"/>
      <c r="M9136" s="548"/>
      <c r="N9136" s="552">
        <v>1035112</v>
      </c>
      <c r="R9136" s="539">
        <v>519.88439999729496</v>
      </c>
      <c r="S9136" s="539">
        <v>521.429809788699</v>
      </c>
      <c r="T9136" s="538">
        <v>15.5</v>
      </c>
      <c r="U9136" s="538">
        <v>5650.46</v>
      </c>
      <c r="V9136" s="538">
        <v>2825.23</v>
      </c>
    </row>
    <row r="9137" spans="1:22">
      <c r="A9137" s="499">
        <v>45817</v>
      </c>
      <c r="B9137" s="499">
        <v>45817</v>
      </c>
      <c r="C9137" s="500" t="s">
        <v>173</v>
      </c>
      <c r="D9137" s="500" t="s">
        <v>761</v>
      </c>
      <c r="E9137" s="501">
        <v>-3000170.74</v>
      </c>
      <c r="F9137" s="502" t="s">
        <v>878</v>
      </c>
      <c r="G9137" s="100">
        <v>117400547</v>
      </c>
      <c r="H9137" s="530"/>
      <c r="I9137" s="422" t="s">
        <v>2591</v>
      </c>
      <c r="J9137" s="484"/>
      <c r="K9137" s="548"/>
      <c r="L9137" s="548"/>
      <c r="M9137" s="548"/>
      <c r="N9137" s="552">
        <v>30189</v>
      </c>
      <c r="R9137" s="539">
        <v>99.379599854251552</v>
      </c>
      <c r="S9137" s="539">
        <v>99.420440889065503</v>
      </c>
      <c r="T9137" s="538">
        <v>15</v>
      </c>
      <c r="U9137" s="538">
        <v>39.32</v>
      </c>
      <c r="V9137" s="538">
        <v>2.25</v>
      </c>
    </row>
    <row r="9138" spans="1:22">
      <c r="A9138" s="499">
        <v>45817</v>
      </c>
      <c r="B9138" s="499">
        <v>45824</v>
      </c>
      <c r="C9138" s="500" t="s">
        <v>173</v>
      </c>
      <c r="D9138" s="500" t="s">
        <v>761</v>
      </c>
      <c r="E9138" s="501">
        <v>539738253.26999998</v>
      </c>
      <c r="F9138" s="502" t="s">
        <v>878</v>
      </c>
      <c r="G9138" s="100">
        <v>117393657</v>
      </c>
      <c r="H9138" s="100">
        <v>117393657</v>
      </c>
      <c r="I9138" s="422" t="s">
        <v>633</v>
      </c>
      <c r="J9138" s="484"/>
      <c r="K9138" s="548"/>
      <c r="L9138" s="548"/>
      <c r="M9138" s="548"/>
      <c r="N9138" s="552">
        <v>1035112</v>
      </c>
      <c r="R9138" s="539">
        <v>519.88439999729496</v>
      </c>
      <c r="S9138" s="539">
        <v>521.429809788699</v>
      </c>
      <c r="T9138" s="538">
        <v>15.5</v>
      </c>
      <c r="U9138" s="538">
        <v>5650.46</v>
      </c>
      <c r="V9138" s="538">
        <v>2825.23</v>
      </c>
    </row>
    <row r="9139" spans="1:22">
      <c r="A9139" s="499">
        <v>45817</v>
      </c>
      <c r="B9139" s="499">
        <v>45818</v>
      </c>
      <c r="C9139" s="500" t="s">
        <v>173</v>
      </c>
      <c r="D9139" s="500" t="s">
        <v>761</v>
      </c>
      <c r="E9139" s="501">
        <v>3001403.69</v>
      </c>
      <c r="F9139" s="502" t="s">
        <v>878</v>
      </c>
      <c r="G9139" s="100">
        <v>117400547</v>
      </c>
      <c r="H9139" s="100">
        <v>117400547</v>
      </c>
      <c r="I9139" s="422" t="s">
        <v>2591</v>
      </c>
      <c r="J9139" s="484"/>
      <c r="K9139" s="548"/>
      <c r="L9139" s="548"/>
      <c r="M9139" s="548"/>
      <c r="N9139" s="552">
        <v>30189</v>
      </c>
      <c r="R9139" s="539">
        <v>99.379599854251552</v>
      </c>
      <c r="S9139" s="539">
        <v>99.420440889065503</v>
      </c>
      <c r="T9139" s="538">
        <v>15</v>
      </c>
      <c r="U9139" s="538">
        <v>39.32</v>
      </c>
      <c r="V9139" s="538">
        <v>2.25</v>
      </c>
    </row>
    <row r="9140" spans="1:22">
      <c r="A9140" s="499">
        <v>45817</v>
      </c>
      <c r="B9140" s="499">
        <v>45817</v>
      </c>
      <c r="C9140" s="500" t="s">
        <v>173</v>
      </c>
      <c r="D9140" s="500" t="s">
        <v>759</v>
      </c>
      <c r="E9140" s="501">
        <v>-6962224139.1800003</v>
      </c>
      <c r="F9140" s="502" t="s">
        <v>878</v>
      </c>
      <c r="G9140" s="100">
        <v>117393950</v>
      </c>
      <c r="H9140" s="530"/>
      <c r="I9140" s="422" t="s">
        <v>721</v>
      </c>
      <c r="J9140" s="484"/>
      <c r="K9140" s="548"/>
      <c r="L9140" s="548"/>
      <c r="M9140" s="548"/>
      <c r="N9140" s="552">
        <v>9414174</v>
      </c>
      <c r="R9140" s="539">
        <v>739.54700000021251</v>
      </c>
      <c r="S9140" s="539">
        <v>744.00332786817</v>
      </c>
      <c r="T9140" s="538">
        <v>15.71</v>
      </c>
      <c r="U9140" s="538">
        <v>146206.71</v>
      </c>
      <c r="V9140" s="538">
        <v>73103.350000000006</v>
      </c>
    </row>
    <row r="9141" spans="1:22">
      <c r="A9141" s="499">
        <v>45817</v>
      </c>
      <c r="B9141" s="499">
        <v>45817</v>
      </c>
      <c r="C9141" s="500" t="s">
        <v>173</v>
      </c>
      <c r="D9141" s="500" t="s">
        <v>759</v>
      </c>
      <c r="E9141" s="501">
        <v>-26007436.02</v>
      </c>
      <c r="F9141" s="502" t="s">
        <v>878</v>
      </c>
      <c r="G9141" s="100">
        <v>117394005</v>
      </c>
      <c r="H9141" s="530"/>
      <c r="I9141" s="422" t="s">
        <v>631</v>
      </c>
      <c r="J9141" s="484"/>
      <c r="K9141" s="548"/>
      <c r="L9141" s="548"/>
      <c r="M9141" s="548"/>
      <c r="N9141" s="552">
        <v>56602</v>
      </c>
      <c r="R9141" s="539">
        <v>459.47910003180101</v>
      </c>
      <c r="S9141" s="539">
        <v>459.66792710504899</v>
      </c>
      <c r="T9141" s="538">
        <v>15</v>
      </c>
      <c r="U9141" s="538">
        <v>39.32</v>
      </c>
      <c r="V9141" s="538">
        <v>19.510000000000002</v>
      </c>
    </row>
    <row r="9142" spans="1:22">
      <c r="A9142" s="499">
        <v>45817</v>
      </c>
      <c r="B9142" s="499">
        <v>45817</v>
      </c>
      <c r="C9142" s="500" t="s">
        <v>173</v>
      </c>
      <c r="D9142" s="500" t="s">
        <v>759</v>
      </c>
      <c r="E9142" s="501">
        <v>-1293713560.1500001</v>
      </c>
      <c r="F9142" s="502" t="s">
        <v>878</v>
      </c>
      <c r="G9142" s="100">
        <v>117394523</v>
      </c>
      <c r="H9142" s="530"/>
      <c r="I9142" s="422" t="s">
        <v>714</v>
      </c>
      <c r="J9142" s="484"/>
      <c r="K9142" s="548"/>
      <c r="L9142" s="548"/>
      <c r="M9142" s="548"/>
      <c r="N9142" s="552">
        <v>1660212</v>
      </c>
      <c r="R9142" s="539">
        <v>779.24599999879536</v>
      </c>
      <c r="S9142" s="539">
        <v>779.56410956552497</v>
      </c>
      <c r="T9142" s="538">
        <v>14.9003</v>
      </c>
      <c r="U9142" s="538">
        <v>1940.57</v>
      </c>
      <c r="V9142" s="538">
        <v>970.29</v>
      </c>
    </row>
    <row r="9143" spans="1:22">
      <c r="A9143" s="499">
        <v>45817</v>
      </c>
      <c r="B9143" s="499">
        <v>45817</v>
      </c>
      <c r="C9143" s="500" t="s">
        <v>173</v>
      </c>
      <c r="D9143" s="500" t="s">
        <v>759</v>
      </c>
      <c r="E9143" s="501">
        <v>-1494427285.05</v>
      </c>
      <c r="F9143" s="502" t="s">
        <v>878</v>
      </c>
      <c r="G9143" s="100">
        <v>117394526</v>
      </c>
      <c r="H9143" s="530"/>
      <c r="I9143" s="422" t="s">
        <v>631</v>
      </c>
      <c r="J9143" s="484"/>
      <c r="K9143" s="548"/>
      <c r="L9143" s="548"/>
      <c r="M9143" s="548"/>
      <c r="N9143" s="552">
        <v>3252438</v>
      </c>
      <c r="R9143" s="539">
        <v>459.47910000129133</v>
      </c>
      <c r="S9143" s="539">
        <v>459.666670700564</v>
      </c>
      <c r="T9143" s="538">
        <v>14.9002</v>
      </c>
      <c r="U9143" s="538">
        <v>2241.64</v>
      </c>
      <c r="V9143" s="538">
        <v>1120.82</v>
      </c>
    </row>
    <row r="9144" spans="1:22">
      <c r="A9144" s="499">
        <v>45817</v>
      </c>
      <c r="B9144" s="499">
        <v>45817</v>
      </c>
      <c r="C9144" s="500" t="s">
        <v>173</v>
      </c>
      <c r="D9144" s="500" t="s">
        <v>759</v>
      </c>
      <c r="E9144" s="501">
        <v>-54035831.920000002</v>
      </c>
      <c r="F9144" s="502" t="s">
        <v>878</v>
      </c>
      <c r="G9144" s="100">
        <v>117396626</v>
      </c>
      <c r="H9144" s="530"/>
      <c r="I9144" s="422" t="s">
        <v>677</v>
      </c>
      <c r="J9144" s="484"/>
      <c r="K9144" s="548"/>
      <c r="L9144" s="548"/>
      <c r="M9144" s="548"/>
      <c r="N9144" s="552">
        <v>60588</v>
      </c>
      <c r="R9144" s="539">
        <v>891.85700006601974</v>
      </c>
      <c r="S9144" s="539">
        <v>892.21887403446203</v>
      </c>
      <c r="T9144" s="538">
        <v>14.81</v>
      </c>
      <c r="U9144" s="538">
        <v>81.05</v>
      </c>
      <c r="V9144" s="538">
        <v>40.53</v>
      </c>
    </row>
    <row r="9145" spans="1:22">
      <c r="A9145" s="499">
        <v>45817</v>
      </c>
      <c r="B9145" s="499">
        <v>45831</v>
      </c>
      <c r="C9145" s="500" t="s">
        <v>173</v>
      </c>
      <c r="D9145" s="500" t="s">
        <v>759</v>
      </c>
      <c r="E9145" s="501">
        <v>7004176785.1300001</v>
      </c>
      <c r="F9145" s="502" t="s">
        <v>878</v>
      </c>
      <c r="G9145" s="100">
        <v>117393950</v>
      </c>
      <c r="H9145" s="100">
        <v>117393950</v>
      </c>
      <c r="I9145" s="422" t="s">
        <v>721</v>
      </c>
      <c r="J9145" s="484"/>
      <c r="K9145" s="548"/>
      <c r="L9145" s="548"/>
      <c r="M9145" s="548"/>
      <c r="N9145" s="552">
        <v>9414174</v>
      </c>
      <c r="R9145" s="539">
        <v>739.54700000021251</v>
      </c>
      <c r="S9145" s="539">
        <v>744.00332786817</v>
      </c>
      <c r="T9145" s="538">
        <v>15.71</v>
      </c>
      <c r="U9145" s="538">
        <v>146206.71</v>
      </c>
      <c r="V9145" s="538">
        <v>73103.350000000006</v>
      </c>
    </row>
    <row r="9146" spans="1:22">
      <c r="A9146" s="499">
        <v>45817</v>
      </c>
      <c r="B9146" s="499">
        <v>45818</v>
      </c>
      <c r="C9146" s="500" t="s">
        <v>173</v>
      </c>
      <c r="D9146" s="500" t="s">
        <v>759</v>
      </c>
      <c r="E9146" s="501">
        <v>26018124.010000002</v>
      </c>
      <c r="F9146" s="502" t="s">
        <v>878</v>
      </c>
      <c r="G9146" s="100">
        <v>117394005</v>
      </c>
      <c r="H9146" s="100">
        <v>117394005</v>
      </c>
      <c r="I9146" s="422" t="s">
        <v>631</v>
      </c>
      <c r="J9146" s="484"/>
      <c r="K9146" s="548"/>
      <c r="L9146" s="548"/>
      <c r="M9146" s="548"/>
      <c r="N9146" s="552">
        <v>56602</v>
      </c>
      <c r="R9146" s="539">
        <v>459.47910003180101</v>
      </c>
      <c r="S9146" s="539">
        <v>459.66792710504899</v>
      </c>
      <c r="T9146" s="538">
        <v>15</v>
      </c>
      <c r="U9146" s="538">
        <v>39.32</v>
      </c>
      <c r="V9146" s="538">
        <v>19.510000000000002</v>
      </c>
    </row>
    <row r="9147" spans="1:22">
      <c r="A9147" s="499">
        <v>45817</v>
      </c>
      <c r="B9147" s="499">
        <v>45818</v>
      </c>
      <c r="C9147" s="500" t="s">
        <v>173</v>
      </c>
      <c r="D9147" s="500" t="s">
        <v>759</v>
      </c>
      <c r="E9147" s="501">
        <v>1294241689.47</v>
      </c>
      <c r="F9147" s="502" t="s">
        <v>878</v>
      </c>
      <c r="G9147" s="100">
        <v>117394523</v>
      </c>
      <c r="H9147" s="100">
        <v>117394523</v>
      </c>
      <c r="I9147" s="422" t="s">
        <v>714</v>
      </c>
      <c r="J9147" s="484"/>
      <c r="K9147" s="548"/>
      <c r="L9147" s="548"/>
      <c r="M9147" s="548"/>
      <c r="N9147" s="552">
        <v>1660212</v>
      </c>
      <c r="R9147" s="539">
        <v>779.24599999879536</v>
      </c>
      <c r="S9147" s="539">
        <v>779.56410956552497</v>
      </c>
      <c r="T9147" s="538">
        <v>14.9003</v>
      </c>
      <c r="U9147" s="538">
        <v>1940.57</v>
      </c>
      <c r="V9147" s="538">
        <v>970.29</v>
      </c>
    </row>
    <row r="9148" spans="1:22">
      <c r="A9148" s="499">
        <v>45817</v>
      </c>
      <c r="B9148" s="499">
        <v>45818</v>
      </c>
      <c r="C9148" s="500" t="s">
        <v>173</v>
      </c>
      <c r="D9148" s="500" t="s">
        <v>759</v>
      </c>
      <c r="E9148" s="501">
        <v>1495037347.1199999</v>
      </c>
      <c r="F9148" s="502" t="s">
        <v>878</v>
      </c>
      <c r="G9148" s="100">
        <v>117394526</v>
      </c>
      <c r="H9148" s="100">
        <v>117394526</v>
      </c>
      <c r="I9148" s="422" t="s">
        <v>631</v>
      </c>
      <c r="J9148" s="484"/>
      <c r="K9148" s="548"/>
      <c r="L9148" s="548"/>
      <c r="M9148" s="548"/>
      <c r="N9148" s="552">
        <v>3252438</v>
      </c>
      <c r="R9148" s="539">
        <v>459.47910000129133</v>
      </c>
      <c r="S9148" s="539">
        <v>459.666670700564</v>
      </c>
      <c r="T9148" s="538">
        <v>14.9002</v>
      </c>
      <c r="U9148" s="538">
        <v>2241.64</v>
      </c>
      <c r="V9148" s="538">
        <v>1120.82</v>
      </c>
    </row>
    <row r="9149" spans="1:22">
      <c r="A9149" s="499">
        <v>45817</v>
      </c>
      <c r="B9149" s="499">
        <v>45818</v>
      </c>
      <c r="C9149" s="500" t="s">
        <v>173</v>
      </c>
      <c r="D9149" s="500" t="s">
        <v>759</v>
      </c>
      <c r="E9149" s="501">
        <v>54057757.140000001</v>
      </c>
      <c r="F9149" s="502" t="s">
        <v>878</v>
      </c>
      <c r="G9149" s="100">
        <v>117396626</v>
      </c>
      <c r="H9149" s="100">
        <v>117396626</v>
      </c>
      <c r="I9149" s="422" t="s">
        <v>677</v>
      </c>
      <c r="J9149" s="484"/>
      <c r="K9149" s="548"/>
      <c r="L9149" s="548"/>
      <c r="M9149" s="548"/>
      <c r="N9149" s="552">
        <v>60588</v>
      </c>
      <c r="R9149" s="539">
        <v>891.85700006601974</v>
      </c>
      <c r="S9149" s="539">
        <v>892.21887403446203</v>
      </c>
      <c r="T9149" s="538">
        <v>14.81</v>
      </c>
      <c r="U9149" s="538">
        <v>81.05</v>
      </c>
      <c r="V9149" s="538">
        <v>40.53</v>
      </c>
    </row>
    <row r="9150" spans="1:22">
      <c r="A9150" s="499">
        <v>45817</v>
      </c>
      <c r="B9150" s="499">
        <v>45817</v>
      </c>
      <c r="C9150" s="500" t="s">
        <v>173</v>
      </c>
      <c r="D9150" s="500" t="s">
        <v>760</v>
      </c>
      <c r="E9150" s="501">
        <v>-508145288.36000001</v>
      </c>
      <c r="F9150" s="502" t="s">
        <v>878</v>
      </c>
      <c r="G9150" s="100">
        <v>117390179</v>
      </c>
      <c r="H9150" s="530"/>
      <c r="I9150" s="422" t="s">
        <v>631</v>
      </c>
      <c r="J9150" s="100"/>
      <c r="K9150" s="548"/>
      <c r="L9150" s="548"/>
      <c r="M9150" s="548"/>
      <c r="N9150" s="552">
        <v>1105916</v>
      </c>
      <c r="R9150" s="539">
        <v>459.47910000000002</v>
      </c>
      <c r="S9150" s="539">
        <v>459.66792828750101</v>
      </c>
      <c r="T9150" s="538">
        <v>15.0001</v>
      </c>
      <c r="U9150" s="538">
        <v>762.22</v>
      </c>
      <c r="V9150" s="538">
        <v>381.11</v>
      </c>
    </row>
    <row r="9151" spans="1:22">
      <c r="A9151" s="499">
        <v>45817</v>
      </c>
      <c r="B9151" s="499">
        <v>45817</v>
      </c>
      <c r="C9151" s="500" t="s">
        <v>173</v>
      </c>
      <c r="D9151" s="500" t="s">
        <v>760</v>
      </c>
      <c r="E9151" s="501">
        <v>-834238524.58000004</v>
      </c>
      <c r="F9151" s="502" t="s">
        <v>878</v>
      </c>
      <c r="G9151" s="100">
        <v>117390396</v>
      </c>
      <c r="H9151" s="530"/>
      <c r="I9151" s="422" t="s">
        <v>631</v>
      </c>
      <c r="J9151" s="100"/>
      <c r="K9151" s="548"/>
      <c r="L9151" s="548"/>
      <c r="M9151" s="548"/>
      <c r="N9151" s="552">
        <v>1815618</v>
      </c>
      <c r="R9151" s="539">
        <v>459.47910000000002</v>
      </c>
      <c r="S9151" s="539">
        <v>459.66792828667701</v>
      </c>
      <c r="T9151" s="538">
        <v>15.0001</v>
      </c>
      <c r="U9151" s="538">
        <v>1251.3599999999999</v>
      </c>
      <c r="V9151" s="538">
        <v>625.67999999999995</v>
      </c>
    </row>
    <row r="9152" spans="1:22">
      <c r="A9152" s="499">
        <v>45817</v>
      </c>
      <c r="B9152" s="499">
        <v>45817</v>
      </c>
      <c r="C9152" s="500" t="s">
        <v>173</v>
      </c>
      <c r="D9152" s="500" t="s">
        <v>760</v>
      </c>
      <c r="E9152" s="501">
        <v>-78017725.890000001</v>
      </c>
      <c r="F9152" s="502" t="s">
        <v>878</v>
      </c>
      <c r="G9152" s="100">
        <v>117390173</v>
      </c>
      <c r="H9152" s="530"/>
      <c r="I9152" s="422" t="s">
        <v>1013</v>
      </c>
      <c r="J9152" s="100"/>
      <c r="K9152" s="548"/>
      <c r="L9152" s="548"/>
      <c r="M9152" s="548"/>
      <c r="N9152" s="552">
        <v>156780</v>
      </c>
      <c r="R9152" s="539">
        <v>497.62549999999999</v>
      </c>
      <c r="S9152" s="539">
        <v>497.83000497512398</v>
      </c>
      <c r="T9152" s="538">
        <v>15.0001</v>
      </c>
      <c r="U9152" s="538">
        <v>117.03</v>
      </c>
      <c r="V9152" s="538">
        <v>58.51</v>
      </c>
    </row>
    <row r="9153" spans="1:22">
      <c r="A9153" s="499">
        <v>45817</v>
      </c>
      <c r="B9153" s="499">
        <v>45817</v>
      </c>
      <c r="C9153" s="500" t="s">
        <v>173</v>
      </c>
      <c r="D9153" s="500" t="s">
        <v>760</v>
      </c>
      <c r="E9153" s="501">
        <v>-5000072.8600000003</v>
      </c>
      <c r="F9153" s="502" t="s">
        <v>878</v>
      </c>
      <c r="G9153" s="100">
        <v>117402696</v>
      </c>
      <c r="H9153" s="530"/>
      <c r="I9153" s="422" t="s">
        <v>1018</v>
      </c>
      <c r="J9153" s="100"/>
      <c r="K9153" s="548"/>
      <c r="L9153" s="548"/>
      <c r="M9153" s="548"/>
      <c r="N9153" s="552">
        <v>52945</v>
      </c>
      <c r="R9153" s="539">
        <v>94.438999999999993</v>
      </c>
      <c r="S9153" s="539">
        <v>94.476516951553506</v>
      </c>
      <c r="T9153" s="538">
        <v>14.5</v>
      </c>
      <c r="U9153" s="538">
        <v>39.32</v>
      </c>
      <c r="V9153" s="538">
        <v>3.75</v>
      </c>
    </row>
    <row r="9154" spans="1:22">
      <c r="A9154" s="499">
        <v>45817</v>
      </c>
      <c r="B9154" s="499">
        <v>45817</v>
      </c>
      <c r="C9154" s="500" t="s">
        <v>173</v>
      </c>
      <c r="D9154" s="500" t="s">
        <v>760</v>
      </c>
      <c r="E9154" s="501">
        <v>-964173550.85000002</v>
      </c>
      <c r="F9154" s="502" t="s">
        <v>878</v>
      </c>
      <c r="G9154" s="100">
        <v>117390176</v>
      </c>
      <c r="H9154" s="530"/>
      <c r="I9154" s="422" t="s">
        <v>653</v>
      </c>
      <c r="J9154" s="100"/>
      <c r="K9154" s="548"/>
      <c r="L9154" s="548"/>
      <c r="M9154" s="548"/>
      <c r="N9154" s="552">
        <v>956288</v>
      </c>
      <c r="R9154" s="539">
        <v>1008.246</v>
      </c>
      <c r="S9154" s="539">
        <v>1008.66035043836</v>
      </c>
      <c r="T9154" s="538">
        <v>15.0001</v>
      </c>
      <c r="U9154" s="538">
        <v>1446.26</v>
      </c>
      <c r="V9154" s="538">
        <v>723.13</v>
      </c>
    </row>
    <row r="9155" spans="1:22">
      <c r="A9155" s="499">
        <v>45817</v>
      </c>
      <c r="B9155" s="499">
        <v>45818</v>
      </c>
      <c r="C9155" s="500" t="s">
        <v>173</v>
      </c>
      <c r="D9155" s="500" t="s">
        <v>760</v>
      </c>
      <c r="E9155" s="501">
        <v>508354116.57999998</v>
      </c>
      <c r="F9155" s="502" t="s">
        <v>878</v>
      </c>
      <c r="G9155" s="100">
        <v>117390179</v>
      </c>
      <c r="H9155" s="100">
        <v>117390179</v>
      </c>
      <c r="I9155" s="422" t="s">
        <v>631</v>
      </c>
      <c r="J9155" s="100"/>
      <c r="K9155" s="548"/>
      <c r="L9155" s="548"/>
      <c r="M9155" s="548"/>
      <c r="N9155" s="552">
        <v>1105916</v>
      </c>
      <c r="R9155" s="539">
        <v>459.47910000000002</v>
      </c>
      <c r="S9155" s="539">
        <v>459.66792828750101</v>
      </c>
      <c r="T9155" s="538">
        <v>15.0001</v>
      </c>
      <c r="U9155" s="538">
        <v>762.22</v>
      </c>
      <c r="V9155" s="538">
        <v>381.11</v>
      </c>
    </row>
    <row r="9156" spans="1:22">
      <c r="A9156" s="499">
        <v>45817</v>
      </c>
      <c r="B9156" s="499">
        <v>45818</v>
      </c>
      <c r="C9156" s="500" t="s">
        <v>173</v>
      </c>
      <c r="D9156" s="500" t="s">
        <v>760</v>
      </c>
      <c r="E9156" s="501">
        <v>834581364.62</v>
      </c>
      <c r="F9156" s="502" t="s">
        <v>878</v>
      </c>
      <c r="G9156" s="100">
        <v>117390396</v>
      </c>
      <c r="H9156" s="100">
        <v>117390396</v>
      </c>
      <c r="I9156" s="422" t="s">
        <v>631</v>
      </c>
      <c r="J9156" s="100"/>
      <c r="K9156" s="548"/>
      <c r="L9156" s="548"/>
      <c r="M9156" s="548"/>
      <c r="N9156" s="552">
        <v>1815618</v>
      </c>
      <c r="R9156" s="539">
        <v>459.47910000000002</v>
      </c>
      <c r="S9156" s="539">
        <v>459.66792828667701</v>
      </c>
      <c r="T9156" s="538">
        <v>15.0001</v>
      </c>
      <c r="U9156" s="538">
        <v>1251.3599999999999</v>
      </c>
      <c r="V9156" s="538">
        <v>625.67999999999995</v>
      </c>
    </row>
    <row r="9157" spans="1:22">
      <c r="A9157" s="499">
        <v>45817</v>
      </c>
      <c r="B9157" s="499">
        <v>45818</v>
      </c>
      <c r="C9157" s="500" t="s">
        <v>173</v>
      </c>
      <c r="D9157" s="500" t="s">
        <v>760</v>
      </c>
      <c r="E9157" s="501">
        <v>78049788.180000007</v>
      </c>
      <c r="F9157" s="502" t="s">
        <v>878</v>
      </c>
      <c r="G9157" s="100">
        <v>117390173</v>
      </c>
      <c r="H9157" s="100">
        <v>117390173</v>
      </c>
      <c r="I9157" s="422" t="s">
        <v>1013</v>
      </c>
      <c r="J9157" s="100"/>
      <c r="K9157" s="548"/>
      <c r="L9157" s="548"/>
      <c r="M9157" s="548"/>
      <c r="N9157" s="552">
        <v>156780</v>
      </c>
      <c r="R9157" s="539">
        <v>497.62549999999999</v>
      </c>
      <c r="S9157" s="539">
        <v>497.83000497512398</v>
      </c>
      <c r="T9157" s="538">
        <v>15.0001</v>
      </c>
      <c r="U9157" s="538">
        <v>117.03</v>
      </c>
      <c r="V9157" s="538">
        <v>58.51</v>
      </c>
    </row>
    <row r="9158" spans="1:22">
      <c r="A9158" s="499">
        <v>45817</v>
      </c>
      <c r="B9158" s="499">
        <v>45818</v>
      </c>
      <c r="C9158" s="500" t="s">
        <v>173</v>
      </c>
      <c r="D9158" s="500" t="s">
        <v>760</v>
      </c>
      <c r="E9158" s="501">
        <v>5002059.1900000004</v>
      </c>
      <c r="F9158" s="502" t="s">
        <v>878</v>
      </c>
      <c r="G9158" s="100">
        <v>117402696</v>
      </c>
      <c r="H9158" s="100">
        <v>117402696</v>
      </c>
      <c r="I9158" s="422" t="s">
        <v>1018</v>
      </c>
      <c r="J9158" s="100"/>
      <c r="K9158" s="548"/>
      <c r="L9158" s="548"/>
      <c r="M9158" s="548"/>
      <c r="N9158" s="552">
        <v>52945</v>
      </c>
      <c r="R9158" s="539">
        <v>94.438999999999993</v>
      </c>
      <c r="S9158" s="539">
        <v>94.476516951553506</v>
      </c>
      <c r="T9158" s="538">
        <v>14.5</v>
      </c>
      <c r="U9158" s="538">
        <v>39.32</v>
      </c>
      <c r="V9158" s="538">
        <v>3.75</v>
      </c>
    </row>
    <row r="9159" spans="1:22">
      <c r="A9159" s="499">
        <v>45817</v>
      </c>
      <c r="B9159" s="499">
        <v>45818</v>
      </c>
      <c r="C9159" s="500" t="s">
        <v>173</v>
      </c>
      <c r="D9159" s="500" t="s">
        <v>760</v>
      </c>
      <c r="E9159" s="501">
        <v>964569789.20000005</v>
      </c>
      <c r="F9159" s="502" t="s">
        <v>878</v>
      </c>
      <c r="G9159" s="100">
        <v>117390176</v>
      </c>
      <c r="H9159" s="100">
        <v>117390176</v>
      </c>
      <c r="I9159" s="422" t="s">
        <v>653</v>
      </c>
      <c r="J9159" s="100"/>
      <c r="K9159" s="548"/>
      <c r="L9159" s="548"/>
      <c r="M9159" s="548"/>
      <c r="N9159" s="552">
        <v>956288</v>
      </c>
      <c r="R9159" s="539">
        <v>1008.246</v>
      </c>
      <c r="S9159" s="539">
        <v>1008.66035043836</v>
      </c>
      <c r="T9159" s="538">
        <v>15.0001</v>
      </c>
      <c r="U9159" s="538">
        <v>1446.26</v>
      </c>
      <c r="V9159" s="538">
        <v>723.13</v>
      </c>
    </row>
    <row r="9160" spans="1:22">
      <c r="A9160" s="499">
        <v>45817</v>
      </c>
      <c r="B9160" s="499">
        <v>45817</v>
      </c>
      <c r="C9160" s="500" t="s">
        <v>173</v>
      </c>
      <c r="D9160" s="500" t="s">
        <v>764</v>
      </c>
      <c r="E9160" s="501">
        <v>-2110282921.5699999</v>
      </c>
      <c r="F9160" s="502" t="s">
        <v>878</v>
      </c>
      <c r="G9160" s="100">
        <v>117391545</v>
      </c>
      <c r="H9160" s="530"/>
      <c r="I9160" s="422" t="s">
        <v>706</v>
      </c>
      <c r="J9160" s="484"/>
      <c r="K9160" s="548"/>
      <c r="L9160" s="548"/>
      <c r="M9160" s="548"/>
      <c r="N9160" s="552">
        <v>2712174</v>
      </c>
      <c r="R9160" s="539">
        <v>778.0779999992626</v>
      </c>
      <c r="S9160" s="539">
        <v>780.40583883629904</v>
      </c>
      <c r="T9160" s="538">
        <v>15.6</v>
      </c>
      <c r="U9160" s="538">
        <v>22157.97</v>
      </c>
      <c r="V9160" s="538">
        <v>11078.99</v>
      </c>
    </row>
    <row r="9161" spans="1:22">
      <c r="A9161" s="499">
        <v>45817</v>
      </c>
      <c r="B9161" s="499">
        <v>45817</v>
      </c>
      <c r="C9161" s="500" t="s">
        <v>173</v>
      </c>
      <c r="D9161" s="500" t="s">
        <v>764</v>
      </c>
      <c r="E9161" s="501">
        <v>-2553637332.5799999</v>
      </c>
      <c r="F9161" s="502" t="s">
        <v>878</v>
      </c>
      <c r="G9161" s="100">
        <v>117391991</v>
      </c>
      <c r="H9161" s="530"/>
      <c r="I9161" s="422" t="s">
        <v>681</v>
      </c>
      <c r="J9161" s="484"/>
      <c r="K9161" s="548"/>
      <c r="L9161" s="548"/>
      <c r="M9161" s="548"/>
      <c r="N9161" s="552">
        <v>2888864</v>
      </c>
      <c r="R9161" s="539">
        <v>883.95900000138465</v>
      </c>
      <c r="S9161" s="539">
        <v>886.60361158573096</v>
      </c>
      <c r="T9161" s="538">
        <v>15.6</v>
      </c>
      <c r="U9161" s="538">
        <v>26813.19</v>
      </c>
      <c r="V9161" s="538">
        <v>13406.6</v>
      </c>
    </row>
    <row r="9162" spans="1:22">
      <c r="A9162" s="499">
        <v>45817</v>
      </c>
      <c r="B9162" s="499">
        <v>45817</v>
      </c>
      <c r="C9162" s="500" t="s">
        <v>173</v>
      </c>
      <c r="D9162" s="500" t="s">
        <v>764</v>
      </c>
      <c r="E9162" s="501">
        <v>-25005028.129999999</v>
      </c>
      <c r="F9162" s="502" t="s">
        <v>878</v>
      </c>
      <c r="G9162" s="100">
        <v>117394162</v>
      </c>
      <c r="H9162" s="530"/>
      <c r="I9162" s="422" t="s">
        <v>590</v>
      </c>
      <c r="J9162" s="484"/>
      <c r="K9162" s="548"/>
      <c r="L9162" s="548"/>
      <c r="M9162" s="548"/>
      <c r="N9162" s="552">
        <v>28875</v>
      </c>
      <c r="R9162" s="539">
        <v>865.97500017316008</v>
      </c>
      <c r="S9162" s="539">
        <v>868.51600103896101</v>
      </c>
      <c r="T9162" s="538">
        <v>15.3001</v>
      </c>
      <c r="U9162" s="538">
        <v>262.55</v>
      </c>
      <c r="V9162" s="538">
        <v>131.28</v>
      </c>
    </row>
    <row r="9163" spans="1:22">
      <c r="A9163" s="499">
        <v>45817</v>
      </c>
      <c r="B9163" s="499">
        <v>45824</v>
      </c>
      <c r="C9163" s="500" t="s">
        <v>173</v>
      </c>
      <c r="D9163" s="500" t="s">
        <v>764</v>
      </c>
      <c r="E9163" s="501">
        <v>2116596425.54</v>
      </c>
      <c r="F9163" s="502" t="s">
        <v>878</v>
      </c>
      <c r="G9163" s="100">
        <v>117391545</v>
      </c>
      <c r="H9163" s="100">
        <v>117391545</v>
      </c>
      <c r="I9163" s="422" t="s">
        <v>706</v>
      </c>
      <c r="J9163" s="484"/>
      <c r="K9163" s="548"/>
      <c r="L9163" s="548"/>
      <c r="M9163" s="548"/>
      <c r="N9163" s="552">
        <v>2712174</v>
      </c>
      <c r="R9163" s="539">
        <v>778.0779999992626</v>
      </c>
      <c r="S9163" s="539">
        <v>780.40583883629904</v>
      </c>
      <c r="T9163" s="538">
        <v>15.6</v>
      </c>
      <c r="U9163" s="538">
        <v>22157.97</v>
      </c>
      <c r="V9163" s="538">
        <v>11078.99</v>
      </c>
    </row>
    <row r="9164" spans="1:22">
      <c r="A9164" s="499">
        <v>45817</v>
      </c>
      <c r="B9164" s="499">
        <v>45824</v>
      </c>
      <c r="C9164" s="500" t="s">
        <v>173</v>
      </c>
      <c r="D9164" s="500" t="s">
        <v>764</v>
      </c>
      <c r="E9164" s="501">
        <v>2561277255.7800002</v>
      </c>
      <c r="F9164" s="502" t="s">
        <v>878</v>
      </c>
      <c r="G9164" s="100">
        <v>117391991</v>
      </c>
      <c r="H9164" s="100">
        <v>117391991</v>
      </c>
      <c r="I9164" s="422" t="s">
        <v>681</v>
      </c>
      <c r="J9164" s="484"/>
      <c r="K9164" s="548"/>
      <c r="L9164" s="548"/>
      <c r="M9164" s="548"/>
      <c r="N9164" s="552">
        <v>2888864</v>
      </c>
      <c r="R9164" s="539">
        <v>883.95900000138465</v>
      </c>
      <c r="S9164" s="539">
        <v>886.60361158573096</v>
      </c>
      <c r="T9164" s="538">
        <v>15.6</v>
      </c>
      <c r="U9164" s="538">
        <v>26813.19</v>
      </c>
      <c r="V9164" s="538">
        <v>13406.6</v>
      </c>
    </row>
    <row r="9165" spans="1:22">
      <c r="A9165" s="499">
        <v>45817</v>
      </c>
      <c r="B9165" s="499">
        <v>45824</v>
      </c>
      <c r="C9165" s="500" t="s">
        <v>173</v>
      </c>
      <c r="D9165" s="500" t="s">
        <v>764</v>
      </c>
      <c r="E9165" s="501">
        <v>25078399.530000001</v>
      </c>
      <c r="F9165" s="502" t="s">
        <v>878</v>
      </c>
      <c r="G9165" s="100">
        <v>117394162</v>
      </c>
      <c r="H9165" s="100">
        <v>117394162</v>
      </c>
      <c r="I9165" s="422" t="s">
        <v>590</v>
      </c>
      <c r="J9165" s="484"/>
      <c r="K9165" s="548"/>
      <c r="L9165" s="548"/>
      <c r="M9165" s="548"/>
      <c r="N9165" s="552">
        <v>28875</v>
      </c>
      <c r="R9165" s="539">
        <v>865.97500017316008</v>
      </c>
      <c r="S9165" s="539">
        <v>868.51600103896101</v>
      </c>
      <c r="T9165" s="538">
        <v>15.3001</v>
      </c>
      <c r="U9165" s="538">
        <v>262.55</v>
      </c>
      <c r="V9165" s="538">
        <v>131.28</v>
      </c>
    </row>
    <row r="9166" spans="1:22">
      <c r="A9166" s="499">
        <v>45817</v>
      </c>
      <c r="B9166" s="499">
        <v>45817</v>
      </c>
      <c r="C9166" s="500" t="s">
        <v>173</v>
      </c>
      <c r="D9166" s="500" t="s">
        <v>763</v>
      </c>
      <c r="E9166" s="501">
        <v>-4810092869.3000002</v>
      </c>
      <c r="F9166" s="502" t="s">
        <v>878</v>
      </c>
      <c r="G9166" s="100">
        <v>117391002</v>
      </c>
      <c r="H9166" s="530"/>
      <c r="I9166" s="422" t="s">
        <v>1013</v>
      </c>
      <c r="J9166" s="484"/>
      <c r="K9166" s="548"/>
      <c r="L9166" s="548"/>
      <c r="M9166" s="548"/>
      <c r="N9166" s="552">
        <v>9666090</v>
      </c>
      <c r="R9166" s="539">
        <v>497.62549999999999</v>
      </c>
      <c r="S9166" s="539">
        <v>497.83000635727598</v>
      </c>
      <c r="T9166" s="538">
        <v>15.0002</v>
      </c>
      <c r="U9166" s="538">
        <v>7215.14</v>
      </c>
      <c r="V9166" s="538">
        <v>3607.57</v>
      </c>
    </row>
    <row r="9167" spans="1:22">
      <c r="A9167" s="499">
        <v>45817</v>
      </c>
      <c r="B9167" s="499">
        <v>45817</v>
      </c>
      <c r="C9167" s="500" t="s">
        <v>173</v>
      </c>
      <c r="D9167" s="500" t="s">
        <v>763</v>
      </c>
      <c r="E9167" s="501">
        <v>-1051012853.73</v>
      </c>
      <c r="F9167" s="502" t="s">
        <v>878</v>
      </c>
      <c r="G9167" s="100">
        <v>117391005</v>
      </c>
      <c r="H9167" s="530"/>
      <c r="I9167" s="422" t="s">
        <v>673</v>
      </c>
      <c r="J9167" s="484"/>
      <c r="K9167" s="548"/>
      <c r="L9167" s="548"/>
      <c r="M9167" s="548"/>
      <c r="N9167" s="552">
        <v>1191834</v>
      </c>
      <c r="R9167" s="539">
        <v>881.84500000000003</v>
      </c>
      <c r="S9167" s="539">
        <v>882.20740447075696</v>
      </c>
      <c r="T9167" s="538">
        <v>15.0001</v>
      </c>
      <c r="U9167" s="538">
        <v>1576.52</v>
      </c>
      <c r="V9167" s="538">
        <v>788.26</v>
      </c>
    </row>
    <row r="9168" spans="1:22">
      <c r="A9168" s="499">
        <v>45817</v>
      </c>
      <c r="B9168" s="499">
        <v>45817</v>
      </c>
      <c r="C9168" s="500" t="s">
        <v>173</v>
      </c>
      <c r="D9168" s="500" t="s">
        <v>763</v>
      </c>
      <c r="E9168" s="501">
        <v>-34016184.149999999</v>
      </c>
      <c r="F9168" s="502" t="s">
        <v>878</v>
      </c>
      <c r="G9168" s="100">
        <v>117391048</v>
      </c>
      <c r="H9168" s="530"/>
      <c r="I9168" s="422" t="s">
        <v>805</v>
      </c>
      <c r="J9168" s="484"/>
      <c r="K9168" s="548"/>
      <c r="L9168" s="548"/>
      <c r="M9168" s="548"/>
      <c r="N9168" s="552">
        <v>55930</v>
      </c>
      <c r="R9168" s="539">
        <v>608.19209999999998</v>
      </c>
      <c r="S9168" s="539">
        <v>608.442126944395</v>
      </c>
      <c r="T9168" s="538">
        <v>15.005100000000001</v>
      </c>
      <c r="U9168" s="538">
        <v>51.02</v>
      </c>
      <c r="V9168" s="538">
        <v>39.32</v>
      </c>
    </row>
    <row r="9169" spans="1:22">
      <c r="A9169" s="499">
        <v>45817</v>
      </c>
      <c r="B9169" s="499">
        <v>45818</v>
      </c>
      <c r="C9169" s="500" t="s">
        <v>173</v>
      </c>
      <c r="D9169" s="500" t="s">
        <v>763</v>
      </c>
      <c r="E9169" s="501">
        <v>4812069646.1499996</v>
      </c>
      <c r="F9169" s="502" t="s">
        <v>878</v>
      </c>
      <c r="G9169" s="100">
        <v>117391002</v>
      </c>
      <c r="H9169" s="100">
        <v>117391002</v>
      </c>
      <c r="I9169" s="422" t="s">
        <v>1013</v>
      </c>
      <c r="J9169" s="484"/>
      <c r="K9169" s="548"/>
      <c r="L9169" s="548"/>
      <c r="M9169" s="548"/>
      <c r="N9169" s="552">
        <v>9666090</v>
      </c>
      <c r="R9169" s="539">
        <v>497.62549999999999</v>
      </c>
      <c r="S9169" s="539">
        <v>497.83000635727598</v>
      </c>
      <c r="T9169" s="538">
        <v>15.0002</v>
      </c>
      <c r="U9169" s="538">
        <v>7215.14</v>
      </c>
      <c r="V9169" s="538">
        <v>3607.57</v>
      </c>
    </row>
    <row r="9170" spans="1:22">
      <c r="A9170" s="499">
        <v>45817</v>
      </c>
      <c r="B9170" s="499">
        <v>45818</v>
      </c>
      <c r="C9170" s="500" t="s">
        <v>173</v>
      </c>
      <c r="D9170" s="500" t="s">
        <v>763</v>
      </c>
      <c r="E9170" s="501">
        <v>1051444779.7</v>
      </c>
      <c r="F9170" s="502" t="s">
        <v>878</v>
      </c>
      <c r="G9170" s="100">
        <v>117391005</v>
      </c>
      <c r="H9170" s="100">
        <v>117391005</v>
      </c>
      <c r="I9170" s="422" t="s">
        <v>673</v>
      </c>
      <c r="J9170" s="484"/>
      <c r="K9170" s="548"/>
      <c r="L9170" s="548"/>
      <c r="M9170" s="548"/>
      <c r="N9170" s="552">
        <v>1191834</v>
      </c>
      <c r="R9170" s="539">
        <v>881.84500000000003</v>
      </c>
      <c r="S9170" s="539">
        <v>882.20740447075696</v>
      </c>
      <c r="T9170" s="538">
        <v>15.0001</v>
      </c>
      <c r="U9170" s="538">
        <v>1576.52</v>
      </c>
      <c r="V9170" s="538">
        <v>788.26</v>
      </c>
    </row>
    <row r="9171" spans="1:22">
      <c r="A9171" s="499">
        <v>45817</v>
      </c>
      <c r="B9171" s="499">
        <v>45818</v>
      </c>
      <c r="C9171" s="500" t="s">
        <v>173</v>
      </c>
      <c r="D9171" s="500" t="s">
        <v>763</v>
      </c>
      <c r="E9171" s="501">
        <v>34030168.159999996</v>
      </c>
      <c r="F9171" s="502" t="s">
        <v>878</v>
      </c>
      <c r="G9171" s="100">
        <v>117391048</v>
      </c>
      <c r="H9171" s="100">
        <v>117391048</v>
      </c>
      <c r="I9171" s="422" t="s">
        <v>805</v>
      </c>
      <c r="J9171" s="484"/>
      <c r="K9171" s="548"/>
      <c r="L9171" s="548"/>
      <c r="M9171" s="548"/>
      <c r="N9171" s="552">
        <v>55930</v>
      </c>
      <c r="R9171" s="539">
        <v>608.19209999999998</v>
      </c>
      <c r="S9171" s="539">
        <v>608.442126944395</v>
      </c>
      <c r="T9171" s="538">
        <v>15.005100000000001</v>
      </c>
      <c r="U9171" s="538">
        <v>51.02</v>
      </c>
      <c r="V9171" s="538">
        <v>39.32</v>
      </c>
    </row>
    <row r="9172" spans="1:22">
      <c r="A9172" s="499">
        <v>45818</v>
      </c>
      <c r="B9172" s="499">
        <v>45818</v>
      </c>
      <c r="C9172" s="500" t="s">
        <v>173</v>
      </c>
      <c r="D9172" s="500" t="s">
        <v>762</v>
      </c>
      <c r="E9172" s="501">
        <v>-3454418727.1999998</v>
      </c>
      <c r="F9172" s="502" t="s">
        <v>878</v>
      </c>
      <c r="G9172" s="100">
        <v>117420514</v>
      </c>
      <c r="H9172" s="530"/>
      <c r="I9172" s="422" t="s">
        <v>633</v>
      </c>
      <c r="J9172" s="484"/>
      <c r="K9172" s="548"/>
      <c r="L9172" s="548"/>
      <c r="M9172" s="548"/>
      <c r="N9172" s="552">
        <v>6664290</v>
      </c>
      <c r="R9172" s="539">
        <v>518.34760000000006</v>
      </c>
      <c r="S9172" s="539">
        <v>518.566301502486</v>
      </c>
      <c r="T9172" s="538">
        <v>15.4001</v>
      </c>
      <c r="U9172" s="538">
        <v>5181.63</v>
      </c>
      <c r="V9172" s="538">
        <v>2590.81</v>
      </c>
    </row>
    <row r="9173" spans="1:22">
      <c r="A9173" s="499">
        <v>45818</v>
      </c>
      <c r="B9173" s="499">
        <v>45818</v>
      </c>
      <c r="C9173" s="500" t="s">
        <v>173</v>
      </c>
      <c r="D9173" s="500" t="s">
        <v>762</v>
      </c>
      <c r="E9173" s="501">
        <v>-19004249.859999999</v>
      </c>
      <c r="F9173" s="502" t="s">
        <v>878</v>
      </c>
      <c r="G9173" s="100">
        <v>117424288</v>
      </c>
      <c r="H9173" s="530"/>
      <c r="I9173" s="422" t="s">
        <v>805</v>
      </c>
      <c r="J9173" s="484"/>
      <c r="K9173" s="548"/>
      <c r="L9173" s="548"/>
      <c r="M9173" s="548"/>
      <c r="N9173" s="552">
        <v>31578</v>
      </c>
      <c r="R9173" s="539">
        <v>601.8193</v>
      </c>
      <c r="S9173" s="539">
        <v>602.07898916967497</v>
      </c>
      <c r="T9173" s="538">
        <v>15.75</v>
      </c>
      <c r="U9173" s="538">
        <v>39.32</v>
      </c>
      <c r="V9173" s="538">
        <v>14.25</v>
      </c>
    </row>
    <row r="9174" spans="1:22">
      <c r="A9174" s="499">
        <v>45818</v>
      </c>
      <c r="B9174" s="499">
        <v>45819</v>
      </c>
      <c r="C9174" s="500" t="s">
        <v>173</v>
      </c>
      <c r="D9174" s="500" t="s">
        <v>762</v>
      </c>
      <c r="E9174" s="501">
        <v>3455876217.4400001</v>
      </c>
      <c r="F9174" s="502" t="s">
        <v>878</v>
      </c>
      <c r="G9174" s="100">
        <v>117420514</v>
      </c>
      <c r="H9174" s="100">
        <v>117420514</v>
      </c>
      <c r="I9174" s="422" t="s">
        <v>633</v>
      </c>
      <c r="J9174" s="484"/>
      <c r="K9174" s="548"/>
      <c r="L9174" s="548"/>
      <c r="M9174" s="548"/>
      <c r="N9174" s="552">
        <v>6664290</v>
      </c>
      <c r="R9174" s="539">
        <v>518.34760000000006</v>
      </c>
      <c r="S9174" s="539">
        <v>518.566301502486</v>
      </c>
      <c r="T9174" s="538">
        <v>15.4001</v>
      </c>
      <c r="U9174" s="538">
        <v>5181.63</v>
      </c>
      <c r="V9174" s="538">
        <v>2590.81</v>
      </c>
    </row>
    <row r="9175" spans="1:22">
      <c r="A9175" s="499">
        <v>45818</v>
      </c>
      <c r="B9175" s="499">
        <v>45819</v>
      </c>
      <c r="C9175" s="500" t="s">
        <v>173</v>
      </c>
      <c r="D9175" s="500" t="s">
        <v>762</v>
      </c>
      <c r="E9175" s="501">
        <v>19012450.32</v>
      </c>
      <c r="F9175" s="502" t="s">
        <v>878</v>
      </c>
      <c r="G9175" s="100">
        <v>117424288</v>
      </c>
      <c r="H9175" s="100">
        <v>117424288</v>
      </c>
      <c r="I9175" s="422" t="s">
        <v>805</v>
      </c>
      <c r="J9175" s="484"/>
      <c r="K9175" s="548"/>
      <c r="L9175" s="548"/>
      <c r="M9175" s="548"/>
      <c r="N9175" s="552">
        <v>31578</v>
      </c>
      <c r="R9175" s="539">
        <v>601.8193</v>
      </c>
      <c r="S9175" s="539">
        <v>602.07898916967497</v>
      </c>
      <c r="T9175" s="538">
        <v>15.75</v>
      </c>
      <c r="U9175" s="538">
        <v>39.32</v>
      </c>
      <c r="V9175" s="538">
        <v>14.25</v>
      </c>
    </row>
    <row r="9176" spans="1:22">
      <c r="A9176" s="499">
        <v>45818</v>
      </c>
      <c r="B9176" s="499">
        <v>45818</v>
      </c>
      <c r="C9176" s="500" t="s">
        <v>173</v>
      </c>
      <c r="D9176" s="500" t="s">
        <v>761</v>
      </c>
      <c r="E9176" s="501">
        <v>-596037045.50999999</v>
      </c>
      <c r="F9176" s="502" t="s">
        <v>878</v>
      </c>
      <c r="G9176" s="100">
        <v>117415678</v>
      </c>
      <c r="H9176" s="530"/>
      <c r="I9176" s="422" t="s">
        <v>1018</v>
      </c>
      <c r="J9176" s="484"/>
      <c r="K9176" s="548"/>
      <c r="L9176" s="548"/>
      <c r="M9176" s="548"/>
      <c r="N9176" s="552">
        <v>6306276</v>
      </c>
      <c r="R9176" s="539">
        <v>94.514899999619431</v>
      </c>
      <c r="S9176" s="539">
        <v>94.553741739181703</v>
      </c>
      <c r="T9176" s="538">
        <v>15</v>
      </c>
      <c r="U9176" s="538">
        <v>894.06</v>
      </c>
      <c r="V9176" s="538">
        <v>447.03</v>
      </c>
    </row>
    <row r="9177" spans="1:22">
      <c r="A9177" s="499">
        <v>45818</v>
      </c>
      <c r="B9177" s="499">
        <v>45818</v>
      </c>
      <c r="C9177" s="500" t="s">
        <v>173</v>
      </c>
      <c r="D9177" s="500" t="s">
        <v>761</v>
      </c>
      <c r="E9177" s="501">
        <v>-3000823.2</v>
      </c>
      <c r="F9177" s="502" t="s">
        <v>878</v>
      </c>
      <c r="G9177" s="100">
        <v>117415686</v>
      </c>
      <c r="H9177" s="530"/>
      <c r="I9177" s="422" t="s">
        <v>596</v>
      </c>
      <c r="J9177" s="484"/>
      <c r="K9177" s="548"/>
      <c r="L9177" s="548"/>
      <c r="M9177" s="548"/>
      <c r="N9177" s="552">
        <v>2877</v>
      </c>
      <c r="R9177" s="539">
        <v>1043.0389989572473</v>
      </c>
      <c r="S9177" s="539">
        <v>1043.4676468543601</v>
      </c>
      <c r="T9177" s="538">
        <v>15.0001</v>
      </c>
      <c r="U9177" s="538">
        <v>39.32</v>
      </c>
      <c r="V9177" s="538">
        <v>2.25</v>
      </c>
    </row>
    <row r="9178" spans="1:22">
      <c r="A9178" s="499">
        <v>45818</v>
      </c>
      <c r="B9178" s="499">
        <v>45818</v>
      </c>
      <c r="C9178" s="500" t="s">
        <v>173</v>
      </c>
      <c r="D9178" s="500" t="s">
        <v>761</v>
      </c>
      <c r="E9178" s="501">
        <v>-995229072.88</v>
      </c>
      <c r="F9178" s="502" t="s">
        <v>878</v>
      </c>
      <c r="G9178" s="100">
        <v>117415836</v>
      </c>
      <c r="H9178" s="530"/>
      <c r="I9178" s="422" t="s">
        <v>676</v>
      </c>
      <c r="J9178" s="484"/>
      <c r="K9178" s="548"/>
      <c r="L9178" s="548"/>
      <c r="M9178" s="548"/>
      <c r="N9178" s="552">
        <v>1058680</v>
      </c>
      <c r="R9178" s="539">
        <v>940.06600000000003</v>
      </c>
      <c r="S9178" s="539">
        <v>942.86044276835298</v>
      </c>
      <c r="T9178" s="538">
        <v>15.5</v>
      </c>
      <c r="U9178" s="538">
        <v>10449.91</v>
      </c>
      <c r="V9178" s="538">
        <v>5224.95</v>
      </c>
    </row>
    <row r="9179" spans="1:22">
      <c r="A9179" s="499">
        <v>45818</v>
      </c>
      <c r="B9179" s="499">
        <v>45818</v>
      </c>
      <c r="C9179" s="500" t="s">
        <v>173</v>
      </c>
      <c r="D9179" s="500" t="s">
        <v>761</v>
      </c>
      <c r="E9179" s="501">
        <v>-6002617.6799999997</v>
      </c>
      <c r="F9179" s="502" t="s">
        <v>878</v>
      </c>
      <c r="G9179" s="100">
        <v>117416161</v>
      </c>
      <c r="H9179" s="530"/>
      <c r="I9179" s="422" t="s">
        <v>678</v>
      </c>
      <c r="J9179" s="484"/>
      <c r="K9179" s="548"/>
      <c r="L9179" s="548"/>
      <c r="M9179" s="548"/>
      <c r="N9179" s="552">
        <v>6192</v>
      </c>
      <c r="R9179" s="539">
        <v>969.41499999999996</v>
      </c>
      <c r="S9179" s="539">
        <v>972.27813145994799</v>
      </c>
      <c r="T9179" s="538">
        <v>15.4002</v>
      </c>
      <c r="U9179" s="538">
        <v>63.03</v>
      </c>
      <c r="V9179" s="538">
        <v>31.51</v>
      </c>
    </row>
    <row r="9180" spans="1:22">
      <c r="A9180" s="499">
        <v>45818</v>
      </c>
      <c r="B9180" s="499">
        <v>45819</v>
      </c>
      <c r="C9180" s="500" t="s">
        <v>173</v>
      </c>
      <c r="D9180" s="500" t="s">
        <v>761</v>
      </c>
      <c r="E9180" s="501">
        <v>596281992.24000001</v>
      </c>
      <c r="F9180" s="502" t="s">
        <v>878</v>
      </c>
      <c r="G9180" s="100">
        <v>117415678</v>
      </c>
      <c r="H9180" s="100">
        <v>117415678</v>
      </c>
      <c r="I9180" s="422" t="s">
        <v>1018</v>
      </c>
      <c r="J9180" s="484"/>
      <c r="K9180" s="548"/>
      <c r="L9180" s="548"/>
      <c r="M9180" s="548"/>
      <c r="N9180" s="552">
        <v>6306276</v>
      </c>
      <c r="R9180" s="539">
        <v>94.514899999619431</v>
      </c>
      <c r="S9180" s="539">
        <v>94.553741739181703</v>
      </c>
      <c r="T9180" s="538">
        <v>15</v>
      </c>
      <c r="U9180" s="538">
        <v>894.06</v>
      </c>
      <c r="V9180" s="538">
        <v>447.03</v>
      </c>
    </row>
    <row r="9181" spans="1:22">
      <c r="A9181" s="499">
        <v>45818</v>
      </c>
      <c r="B9181" s="499">
        <v>45819</v>
      </c>
      <c r="C9181" s="500" t="s">
        <v>173</v>
      </c>
      <c r="D9181" s="500" t="s">
        <v>761</v>
      </c>
      <c r="E9181" s="501">
        <v>3002056.42</v>
      </c>
      <c r="F9181" s="502" t="s">
        <v>878</v>
      </c>
      <c r="G9181" s="100">
        <v>117415686</v>
      </c>
      <c r="H9181" s="100">
        <v>117415686</v>
      </c>
      <c r="I9181" s="422" t="s">
        <v>596</v>
      </c>
      <c r="J9181" s="484"/>
      <c r="K9181" s="548"/>
      <c r="L9181" s="548"/>
      <c r="M9181" s="548"/>
      <c r="N9181" s="552">
        <v>2877</v>
      </c>
      <c r="R9181" s="539">
        <v>1043.0389989572473</v>
      </c>
      <c r="S9181" s="539">
        <v>1043.4676468543601</v>
      </c>
      <c r="T9181" s="538">
        <v>15.0001</v>
      </c>
      <c r="U9181" s="538">
        <v>39.32</v>
      </c>
      <c r="V9181" s="538">
        <v>2.25</v>
      </c>
    </row>
    <row r="9182" spans="1:22">
      <c r="A9182" s="499">
        <v>45818</v>
      </c>
      <c r="B9182" s="499">
        <v>45825</v>
      </c>
      <c r="C9182" s="500" t="s">
        <v>173</v>
      </c>
      <c r="D9182" s="500" t="s">
        <v>761</v>
      </c>
      <c r="E9182" s="501">
        <v>998187493.54999995</v>
      </c>
      <c r="F9182" s="502" t="s">
        <v>878</v>
      </c>
      <c r="G9182" s="100">
        <v>117415836</v>
      </c>
      <c r="H9182" s="100">
        <v>117415836</v>
      </c>
      <c r="I9182" s="422" t="s">
        <v>676</v>
      </c>
      <c r="J9182" s="484"/>
      <c r="K9182" s="548"/>
      <c r="L9182" s="548"/>
      <c r="M9182" s="548"/>
      <c r="N9182" s="552">
        <v>1058680</v>
      </c>
      <c r="R9182" s="539">
        <v>940.06600000000003</v>
      </c>
      <c r="S9182" s="539">
        <v>942.86044276835298</v>
      </c>
      <c r="T9182" s="538">
        <v>15.5</v>
      </c>
      <c r="U9182" s="538">
        <v>10449.91</v>
      </c>
      <c r="V9182" s="538">
        <v>5224.95</v>
      </c>
    </row>
    <row r="9183" spans="1:22">
      <c r="A9183" s="499">
        <v>45818</v>
      </c>
      <c r="B9183" s="499">
        <v>45825</v>
      </c>
      <c r="C9183" s="500" t="s">
        <v>173</v>
      </c>
      <c r="D9183" s="500" t="s">
        <v>761</v>
      </c>
      <c r="E9183" s="501">
        <v>6020346.1900000004</v>
      </c>
      <c r="F9183" s="502" t="s">
        <v>878</v>
      </c>
      <c r="G9183" s="100">
        <v>117416161</v>
      </c>
      <c r="H9183" s="100">
        <v>117416161</v>
      </c>
      <c r="I9183" s="422" t="s">
        <v>678</v>
      </c>
      <c r="J9183" s="484"/>
      <c r="K9183" s="548"/>
      <c r="L9183" s="548"/>
      <c r="M9183" s="548"/>
      <c r="N9183" s="552">
        <v>6192</v>
      </c>
      <c r="R9183" s="539">
        <v>969.41499999999996</v>
      </c>
      <c r="S9183" s="539">
        <v>972.27813145994799</v>
      </c>
      <c r="T9183" s="538">
        <v>15.4002</v>
      </c>
      <c r="U9183" s="538">
        <v>63.03</v>
      </c>
      <c r="V9183" s="538">
        <v>31.51</v>
      </c>
    </row>
    <row r="9184" spans="1:22">
      <c r="A9184" s="499">
        <v>45818</v>
      </c>
      <c r="B9184" s="499">
        <v>45818</v>
      </c>
      <c r="C9184" s="500" t="s">
        <v>173</v>
      </c>
      <c r="D9184" s="500" t="s">
        <v>759</v>
      </c>
      <c r="E9184" s="501">
        <v>-1000031.67</v>
      </c>
      <c r="F9184" s="502" t="s">
        <v>878</v>
      </c>
      <c r="G9184" s="100">
        <v>117417433</v>
      </c>
      <c r="H9184" s="530"/>
      <c r="I9184" s="422" t="s">
        <v>598</v>
      </c>
      <c r="J9184" s="484"/>
      <c r="K9184" s="548"/>
      <c r="L9184" s="548"/>
      <c r="M9184" s="548"/>
      <c r="N9184" s="552">
        <v>990</v>
      </c>
      <c r="R9184" s="539">
        <v>1010.133</v>
      </c>
      <c r="S9184" s="539">
        <v>1010.55365656566</v>
      </c>
      <c r="T9184" s="538">
        <v>15.2</v>
      </c>
      <c r="U9184" s="538">
        <v>39.32</v>
      </c>
      <c r="V9184" s="538">
        <v>0.75</v>
      </c>
    </row>
    <row r="9185" spans="1:22">
      <c r="A9185" s="499">
        <v>45818</v>
      </c>
      <c r="B9185" s="499">
        <v>45818</v>
      </c>
      <c r="C9185" s="500" t="s">
        <v>173</v>
      </c>
      <c r="D9185" s="500" t="s">
        <v>759</v>
      </c>
      <c r="E9185" s="501">
        <v>-1000220.79</v>
      </c>
      <c r="F9185" s="502" t="s">
        <v>878</v>
      </c>
      <c r="G9185" s="100">
        <v>117417436</v>
      </c>
      <c r="H9185" s="530"/>
      <c r="I9185" s="422" t="s">
        <v>592</v>
      </c>
      <c r="J9185" s="484"/>
      <c r="K9185" s="548"/>
      <c r="L9185" s="548"/>
      <c r="M9185" s="548"/>
      <c r="N9185" s="552">
        <v>1251</v>
      </c>
      <c r="R9185" s="539">
        <v>799.53700239808154</v>
      </c>
      <c r="S9185" s="539">
        <v>799.86996003197396</v>
      </c>
      <c r="T9185" s="538">
        <v>15.2</v>
      </c>
      <c r="U9185" s="538">
        <v>39.32</v>
      </c>
      <c r="V9185" s="538">
        <v>0.75</v>
      </c>
    </row>
    <row r="9186" spans="1:22">
      <c r="A9186" s="499">
        <v>45818</v>
      </c>
      <c r="B9186" s="499">
        <v>45818</v>
      </c>
      <c r="C9186" s="500" t="s">
        <v>173</v>
      </c>
      <c r="D9186" s="500" t="s">
        <v>759</v>
      </c>
      <c r="E9186" s="501">
        <v>-1000293.11</v>
      </c>
      <c r="F9186" s="502" t="s">
        <v>878</v>
      </c>
      <c r="G9186" s="100">
        <v>117417439</v>
      </c>
      <c r="H9186" s="530"/>
      <c r="I9186" s="422" t="s">
        <v>713</v>
      </c>
      <c r="J9186" s="484"/>
      <c r="K9186" s="548"/>
      <c r="L9186" s="548"/>
      <c r="M9186" s="548"/>
      <c r="N9186" s="552">
        <v>1317</v>
      </c>
      <c r="R9186" s="539">
        <v>759.52400151860286</v>
      </c>
      <c r="S9186" s="539">
        <v>759.84029612756297</v>
      </c>
      <c r="T9186" s="538">
        <v>15.2</v>
      </c>
      <c r="U9186" s="538">
        <v>39.32</v>
      </c>
      <c r="V9186" s="538">
        <v>0.75</v>
      </c>
    </row>
    <row r="9187" spans="1:22">
      <c r="A9187" s="499">
        <v>45818</v>
      </c>
      <c r="B9187" s="499">
        <v>45818</v>
      </c>
      <c r="C9187" s="500" t="s">
        <v>173</v>
      </c>
      <c r="D9187" s="500" t="s">
        <v>759</v>
      </c>
      <c r="E9187" s="501">
        <v>-1000314.4</v>
      </c>
      <c r="F9187" s="502" t="s">
        <v>878</v>
      </c>
      <c r="G9187" s="100">
        <v>117417442</v>
      </c>
      <c r="H9187" s="530"/>
      <c r="I9187" s="422" t="s">
        <v>715</v>
      </c>
      <c r="J9187" s="484"/>
      <c r="K9187" s="548"/>
      <c r="L9187" s="548"/>
      <c r="M9187" s="548"/>
      <c r="N9187" s="552">
        <v>1303</v>
      </c>
      <c r="R9187" s="539">
        <v>767.70099769762089</v>
      </c>
      <c r="S9187" s="539">
        <v>768.02069838833495</v>
      </c>
      <c r="T9187" s="538">
        <v>15.2</v>
      </c>
      <c r="U9187" s="538">
        <v>39.32</v>
      </c>
      <c r="V9187" s="538">
        <v>0.75</v>
      </c>
    </row>
    <row r="9188" spans="1:22">
      <c r="A9188" s="499">
        <v>45818</v>
      </c>
      <c r="B9188" s="499">
        <v>45818</v>
      </c>
      <c r="C9188" s="500" t="s">
        <v>173</v>
      </c>
      <c r="D9188" s="500" t="s">
        <v>759</v>
      </c>
      <c r="E9188" s="501">
        <v>-2001245.12</v>
      </c>
      <c r="F9188" s="502" t="s">
        <v>878</v>
      </c>
      <c r="G9188" s="100">
        <v>117417445</v>
      </c>
      <c r="H9188" s="530"/>
      <c r="I9188" s="422" t="s">
        <v>677</v>
      </c>
      <c r="J9188" s="484"/>
      <c r="K9188" s="548"/>
      <c r="L9188" s="548"/>
      <c r="M9188" s="548"/>
      <c r="N9188" s="552">
        <v>2240</v>
      </c>
      <c r="R9188" s="539">
        <v>893.41300000000001</v>
      </c>
      <c r="S9188" s="539">
        <v>893.78505357142797</v>
      </c>
      <c r="T9188" s="538">
        <v>15.2</v>
      </c>
      <c r="U9188" s="538">
        <v>39.32</v>
      </c>
      <c r="V9188" s="538">
        <v>1.5</v>
      </c>
    </row>
    <row r="9189" spans="1:22">
      <c r="A9189" s="499">
        <v>45818</v>
      </c>
      <c r="B9189" s="499">
        <v>45818</v>
      </c>
      <c r="C9189" s="500" t="s">
        <v>173</v>
      </c>
      <c r="D9189" s="500" t="s">
        <v>759</v>
      </c>
      <c r="E9189" s="501">
        <v>-2000257.28</v>
      </c>
      <c r="F9189" s="502" t="s">
        <v>878</v>
      </c>
      <c r="G9189" s="100">
        <v>117417448</v>
      </c>
      <c r="H9189" s="530"/>
      <c r="I9189" s="422" t="s">
        <v>600</v>
      </c>
      <c r="J9189" s="484"/>
      <c r="K9189" s="548"/>
      <c r="L9189" s="548"/>
      <c r="M9189" s="548"/>
      <c r="N9189" s="552">
        <v>2240</v>
      </c>
      <c r="R9189" s="539">
        <v>892.97199999999998</v>
      </c>
      <c r="S9189" s="539">
        <v>893.34386607142903</v>
      </c>
      <c r="T9189" s="538">
        <v>15.2</v>
      </c>
      <c r="U9189" s="538">
        <v>39.32</v>
      </c>
      <c r="V9189" s="538">
        <v>1.5</v>
      </c>
    </row>
    <row r="9190" spans="1:22">
      <c r="A9190" s="499">
        <v>45818</v>
      </c>
      <c r="B9190" s="499">
        <v>45818</v>
      </c>
      <c r="C9190" s="500" t="s">
        <v>173</v>
      </c>
      <c r="D9190" s="500" t="s">
        <v>759</v>
      </c>
      <c r="E9190" s="501">
        <v>-2001113.71</v>
      </c>
      <c r="F9190" s="502" t="s">
        <v>878</v>
      </c>
      <c r="G9190" s="100">
        <v>117417451</v>
      </c>
      <c r="H9190" s="530"/>
      <c r="I9190" s="422" t="s">
        <v>671</v>
      </c>
      <c r="J9190" s="484"/>
      <c r="K9190" s="548"/>
      <c r="L9190" s="548"/>
      <c r="M9190" s="548"/>
      <c r="N9190" s="552">
        <v>1964</v>
      </c>
      <c r="R9190" s="539">
        <v>1018.8970010183299</v>
      </c>
      <c r="S9190" s="539">
        <v>1019.32130855397</v>
      </c>
      <c r="T9190" s="538">
        <v>15.2</v>
      </c>
      <c r="U9190" s="538">
        <v>39.32</v>
      </c>
      <c r="V9190" s="538">
        <v>1.5</v>
      </c>
    </row>
    <row r="9191" spans="1:22">
      <c r="A9191" s="499">
        <v>45818</v>
      </c>
      <c r="B9191" s="499">
        <v>45818</v>
      </c>
      <c r="C9191" s="500" t="s">
        <v>173</v>
      </c>
      <c r="D9191" s="500" t="s">
        <v>759</v>
      </c>
      <c r="E9191" s="501">
        <v>-3001606.68</v>
      </c>
      <c r="F9191" s="502" t="s">
        <v>878</v>
      </c>
      <c r="G9191" s="100">
        <v>117417454</v>
      </c>
      <c r="H9191" s="530"/>
      <c r="I9191" s="422" t="s">
        <v>817</v>
      </c>
      <c r="J9191" s="484"/>
      <c r="K9191" s="548"/>
      <c r="L9191" s="548"/>
      <c r="M9191" s="548"/>
      <c r="N9191" s="552">
        <v>2901</v>
      </c>
      <c r="R9191" s="539">
        <v>1034.68</v>
      </c>
      <c r="S9191" s="539">
        <v>1035.1108790072401</v>
      </c>
      <c r="T9191" s="538">
        <v>15.2</v>
      </c>
      <c r="U9191" s="538">
        <v>39.32</v>
      </c>
      <c r="V9191" s="538">
        <v>2.25</v>
      </c>
    </row>
    <row r="9192" spans="1:22">
      <c r="A9192" s="499">
        <v>45818</v>
      </c>
      <c r="B9192" s="499">
        <v>45818</v>
      </c>
      <c r="C9192" s="500" t="s">
        <v>173</v>
      </c>
      <c r="D9192" s="500" t="s">
        <v>759</v>
      </c>
      <c r="E9192" s="501">
        <v>-3000385.92</v>
      </c>
      <c r="F9192" s="502" t="s">
        <v>878</v>
      </c>
      <c r="G9192" s="100">
        <v>117417457</v>
      </c>
      <c r="H9192" s="530"/>
      <c r="I9192" s="422" t="s">
        <v>600</v>
      </c>
      <c r="J9192" s="484"/>
      <c r="K9192" s="548"/>
      <c r="L9192" s="548"/>
      <c r="M9192" s="548"/>
      <c r="N9192" s="552">
        <v>3360</v>
      </c>
      <c r="R9192" s="539">
        <v>892.97199999999998</v>
      </c>
      <c r="S9192" s="539">
        <v>893.34386904761902</v>
      </c>
      <c r="T9192" s="538">
        <v>15.2</v>
      </c>
      <c r="U9192" s="538">
        <v>39.32</v>
      </c>
      <c r="V9192" s="538">
        <v>2.25</v>
      </c>
    </row>
    <row r="9193" spans="1:22">
      <c r="A9193" s="499">
        <v>45818</v>
      </c>
      <c r="B9193" s="499">
        <v>45818</v>
      </c>
      <c r="C9193" s="500" t="s">
        <v>173</v>
      </c>
      <c r="D9193" s="500" t="s">
        <v>759</v>
      </c>
      <c r="E9193" s="501">
        <v>-3000823.2</v>
      </c>
      <c r="F9193" s="502" t="s">
        <v>878</v>
      </c>
      <c r="G9193" s="100">
        <v>117417460</v>
      </c>
      <c r="H9193" s="530"/>
      <c r="I9193" s="422" t="s">
        <v>596</v>
      </c>
      <c r="J9193" s="484"/>
      <c r="K9193" s="548"/>
      <c r="L9193" s="548"/>
      <c r="M9193" s="548"/>
      <c r="N9193" s="552">
        <v>2877</v>
      </c>
      <c r="R9193" s="539">
        <v>1043.0389989572473</v>
      </c>
      <c r="S9193" s="539">
        <v>1043.47336114008</v>
      </c>
      <c r="T9193" s="538">
        <v>15.2</v>
      </c>
      <c r="U9193" s="538">
        <v>39.32</v>
      </c>
      <c r="V9193" s="538">
        <v>2.25</v>
      </c>
    </row>
    <row r="9194" spans="1:22">
      <c r="A9194" s="499">
        <v>45818</v>
      </c>
      <c r="B9194" s="499">
        <v>45818</v>
      </c>
      <c r="C9194" s="500" t="s">
        <v>173</v>
      </c>
      <c r="D9194" s="500" t="s">
        <v>759</v>
      </c>
      <c r="E9194" s="501">
        <v>-4002116.92</v>
      </c>
      <c r="F9194" s="502" t="s">
        <v>878</v>
      </c>
      <c r="G9194" s="100">
        <v>117417463</v>
      </c>
      <c r="H9194" s="530"/>
      <c r="I9194" s="422" t="s">
        <v>604</v>
      </c>
      <c r="J9194" s="484"/>
      <c r="K9194" s="548"/>
      <c r="L9194" s="548"/>
      <c r="M9194" s="548"/>
      <c r="N9194" s="552">
        <v>4040</v>
      </c>
      <c r="R9194" s="539">
        <v>990.62299999999993</v>
      </c>
      <c r="S9194" s="539">
        <v>991.03553217821798</v>
      </c>
      <c r="T9194" s="538">
        <v>15.2</v>
      </c>
      <c r="U9194" s="538">
        <v>39.32</v>
      </c>
      <c r="V9194" s="538">
        <v>3</v>
      </c>
    </row>
    <row r="9195" spans="1:22">
      <c r="A9195" s="499">
        <v>45818</v>
      </c>
      <c r="B9195" s="499">
        <v>45818</v>
      </c>
      <c r="C9195" s="500" t="s">
        <v>173</v>
      </c>
      <c r="D9195" s="500" t="s">
        <v>759</v>
      </c>
      <c r="E9195" s="501">
        <v>-4003495.5</v>
      </c>
      <c r="F9195" s="502" t="s">
        <v>878</v>
      </c>
      <c r="G9195" s="100">
        <v>117417466</v>
      </c>
      <c r="H9195" s="530"/>
      <c r="I9195" s="422" t="s">
        <v>654</v>
      </c>
      <c r="J9195" s="484"/>
      <c r="K9195" s="548"/>
      <c r="L9195" s="548"/>
      <c r="M9195" s="548"/>
      <c r="N9195" s="552">
        <v>3860</v>
      </c>
      <c r="R9195" s="539">
        <v>1037.175</v>
      </c>
      <c r="S9195" s="539">
        <v>1037.6069196891201</v>
      </c>
      <c r="T9195" s="538">
        <v>15.2</v>
      </c>
      <c r="U9195" s="538">
        <v>39.32</v>
      </c>
      <c r="V9195" s="538">
        <v>3</v>
      </c>
    </row>
    <row r="9196" spans="1:22">
      <c r="A9196" s="499">
        <v>45818</v>
      </c>
      <c r="B9196" s="499">
        <v>45818</v>
      </c>
      <c r="C9196" s="500" t="s">
        <v>173</v>
      </c>
      <c r="D9196" s="500" t="s">
        <v>759</v>
      </c>
      <c r="E9196" s="501">
        <v>-5001151.12</v>
      </c>
      <c r="F9196" s="502" t="s">
        <v>878</v>
      </c>
      <c r="G9196" s="100">
        <v>117417469</v>
      </c>
      <c r="H9196" s="530"/>
      <c r="I9196" s="422" t="s">
        <v>676</v>
      </c>
      <c r="J9196" s="484"/>
      <c r="K9196" s="548"/>
      <c r="L9196" s="548"/>
      <c r="M9196" s="548"/>
      <c r="N9196" s="552">
        <v>5320</v>
      </c>
      <c r="R9196" s="539">
        <v>940.06600000000003</v>
      </c>
      <c r="S9196" s="539">
        <v>940.45747932330801</v>
      </c>
      <c r="T9196" s="538">
        <v>15.2</v>
      </c>
      <c r="U9196" s="538">
        <v>39.32</v>
      </c>
      <c r="V9196" s="538">
        <v>3.75</v>
      </c>
    </row>
    <row r="9197" spans="1:22">
      <c r="A9197" s="499">
        <v>45818</v>
      </c>
      <c r="B9197" s="499">
        <v>45818</v>
      </c>
      <c r="C9197" s="500" t="s">
        <v>173</v>
      </c>
      <c r="D9197" s="500" t="s">
        <v>759</v>
      </c>
      <c r="E9197" s="501">
        <v>-5003365.03</v>
      </c>
      <c r="F9197" s="502" t="s">
        <v>878</v>
      </c>
      <c r="G9197" s="100">
        <v>117417472</v>
      </c>
      <c r="H9197" s="530"/>
      <c r="I9197" s="422" t="s">
        <v>705</v>
      </c>
      <c r="J9197" s="484"/>
      <c r="K9197" s="548"/>
      <c r="L9197" s="548"/>
      <c r="M9197" s="548"/>
      <c r="N9197" s="552">
        <v>6035</v>
      </c>
      <c r="R9197" s="539">
        <v>829.05799999999999</v>
      </c>
      <c r="S9197" s="539">
        <v>829.403251035626</v>
      </c>
      <c r="T9197" s="538">
        <v>15.2</v>
      </c>
      <c r="U9197" s="538">
        <v>39.32</v>
      </c>
      <c r="V9197" s="538">
        <v>3.75</v>
      </c>
    </row>
    <row r="9198" spans="1:22">
      <c r="A9198" s="499">
        <v>45818</v>
      </c>
      <c r="B9198" s="499">
        <v>45818</v>
      </c>
      <c r="C9198" s="500" t="s">
        <v>173</v>
      </c>
      <c r="D9198" s="500" t="s">
        <v>759</v>
      </c>
      <c r="E9198" s="501">
        <v>-6001381.3399999999</v>
      </c>
      <c r="F9198" s="502" t="s">
        <v>878</v>
      </c>
      <c r="G9198" s="100">
        <v>117417475</v>
      </c>
      <c r="H9198" s="530"/>
      <c r="I9198" s="422" t="s">
        <v>676</v>
      </c>
      <c r="J9198" s="484"/>
      <c r="K9198" s="548"/>
      <c r="L9198" s="548"/>
      <c r="M9198" s="548"/>
      <c r="N9198" s="552">
        <v>6384</v>
      </c>
      <c r="R9198" s="539">
        <v>940.06599937343356</v>
      </c>
      <c r="S9198" s="539">
        <v>940.45747963659096</v>
      </c>
      <c r="T9198" s="538">
        <v>15.2</v>
      </c>
      <c r="U9198" s="538">
        <v>39.32</v>
      </c>
      <c r="V9198" s="538">
        <v>4.5</v>
      </c>
    </row>
    <row r="9199" spans="1:22">
      <c r="A9199" s="499">
        <v>45818</v>
      </c>
      <c r="B9199" s="499">
        <v>45818</v>
      </c>
      <c r="C9199" s="500" t="s">
        <v>173</v>
      </c>
      <c r="D9199" s="500" t="s">
        <v>759</v>
      </c>
      <c r="E9199" s="501">
        <v>-6002932.6100000003</v>
      </c>
      <c r="F9199" s="502" t="s">
        <v>878</v>
      </c>
      <c r="G9199" s="100">
        <v>117417478</v>
      </c>
      <c r="H9199" s="530"/>
      <c r="I9199" s="422" t="s">
        <v>673</v>
      </c>
      <c r="J9199" s="484"/>
      <c r="K9199" s="548"/>
      <c r="L9199" s="548"/>
      <c r="M9199" s="548"/>
      <c r="N9199" s="552">
        <v>6792</v>
      </c>
      <c r="R9199" s="539">
        <v>883.8240002944641</v>
      </c>
      <c r="S9199" s="539">
        <v>884.19205830388705</v>
      </c>
      <c r="T9199" s="538">
        <v>15.2</v>
      </c>
      <c r="U9199" s="538">
        <v>39.32</v>
      </c>
      <c r="V9199" s="538">
        <v>4.5</v>
      </c>
    </row>
    <row r="9200" spans="1:22">
      <c r="A9200" s="499">
        <v>45818</v>
      </c>
      <c r="B9200" s="499">
        <v>45818</v>
      </c>
      <c r="C9200" s="500" t="s">
        <v>173</v>
      </c>
      <c r="D9200" s="500" t="s">
        <v>759</v>
      </c>
      <c r="E9200" s="501">
        <v>-7000012.4199999999</v>
      </c>
      <c r="F9200" s="502" t="s">
        <v>878</v>
      </c>
      <c r="G9200" s="100">
        <v>117417481</v>
      </c>
      <c r="H9200" s="530"/>
      <c r="I9200" s="422" t="s">
        <v>696</v>
      </c>
      <c r="J9200" s="484"/>
      <c r="K9200" s="548"/>
      <c r="L9200" s="548"/>
      <c r="M9200" s="548"/>
      <c r="N9200" s="552">
        <v>8533</v>
      </c>
      <c r="R9200" s="539">
        <v>820.34600023438418</v>
      </c>
      <c r="S9200" s="539">
        <v>820.68762334466203</v>
      </c>
      <c r="T9200" s="538">
        <v>15.2</v>
      </c>
      <c r="U9200" s="538">
        <v>39.32</v>
      </c>
      <c r="V9200" s="538">
        <v>5.25</v>
      </c>
    </row>
    <row r="9201" spans="1:22">
      <c r="A9201" s="499">
        <v>45818</v>
      </c>
      <c r="B9201" s="499">
        <v>45818</v>
      </c>
      <c r="C9201" s="500" t="s">
        <v>173</v>
      </c>
      <c r="D9201" s="500" t="s">
        <v>759</v>
      </c>
      <c r="E9201" s="501">
        <v>-7003216.6399999997</v>
      </c>
      <c r="F9201" s="502" t="s">
        <v>878</v>
      </c>
      <c r="G9201" s="100">
        <v>117417484</v>
      </c>
      <c r="H9201" s="530"/>
      <c r="I9201" s="422" t="s">
        <v>674</v>
      </c>
      <c r="J9201" s="484"/>
      <c r="K9201" s="548"/>
      <c r="L9201" s="548"/>
      <c r="M9201" s="548"/>
      <c r="N9201" s="552">
        <v>7616</v>
      </c>
      <c r="R9201" s="539">
        <v>919.54</v>
      </c>
      <c r="S9201" s="539">
        <v>919.92293198529399</v>
      </c>
      <c r="T9201" s="538">
        <v>15.2</v>
      </c>
      <c r="U9201" s="538">
        <v>39.32</v>
      </c>
      <c r="V9201" s="538">
        <v>5.25</v>
      </c>
    </row>
    <row r="9202" spans="1:22">
      <c r="A9202" s="499">
        <v>45818</v>
      </c>
      <c r="B9202" s="499">
        <v>45818</v>
      </c>
      <c r="C9202" s="500" t="s">
        <v>173</v>
      </c>
      <c r="D9202" s="500" t="s">
        <v>759</v>
      </c>
      <c r="E9202" s="501">
        <v>-9004763.0700000003</v>
      </c>
      <c r="F9202" s="502" t="s">
        <v>878</v>
      </c>
      <c r="G9202" s="100">
        <v>117417487</v>
      </c>
      <c r="H9202" s="530"/>
      <c r="I9202" s="422" t="s">
        <v>604</v>
      </c>
      <c r="J9202" s="484"/>
      <c r="K9202" s="548"/>
      <c r="L9202" s="548"/>
      <c r="M9202" s="548"/>
      <c r="N9202" s="552">
        <v>9090</v>
      </c>
      <c r="R9202" s="539">
        <v>990.62300000000005</v>
      </c>
      <c r="S9202" s="539">
        <v>991.03553355335498</v>
      </c>
      <c r="T9202" s="538">
        <v>15.2</v>
      </c>
      <c r="U9202" s="538">
        <v>39.32</v>
      </c>
      <c r="V9202" s="538">
        <v>6.75</v>
      </c>
    </row>
    <row r="9203" spans="1:22">
      <c r="A9203" s="499">
        <v>45818</v>
      </c>
      <c r="B9203" s="499">
        <v>45818</v>
      </c>
      <c r="C9203" s="500" t="s">
        <v>173</v>
      </c>
      <c r="D9203" s="500" t="s">
        <v>759</v>
      </c>
      <c r="E9203" s="501">
        <v>-9006750.7699999996</v>
      </c>
      <c r="F9203" s="502" t="s">
        <v>878</v>
      </c>
      <c r="G9203" s="100">
        <v>117417490</v>
      </c>
      <c r="H9203" s="530"/>
      <c r="I9203" s="422" t="s">
        <v>675</v>
      </c>
      <c r="J9203" s="484"/>
      <c r="K9203" s="548"/>
      <c r="L9203" s="548"/>
      <c r="M9203" s="548"/>
      <c r="N9203" s="552">
        <v>9774</v>
      </c>
      <c r="R9203" s="539">
        <v>921.50099959075089</v>
      </c>
      <c r="S9203" s="539">
        <v>921.88474831184806</v>
      </c>
      <c r="T9203" s="538">
        <v>15.2</v>
      </c>
      <c r="U9203" s="538">
        <v>39.32</v>
      </c>
      <c r="V9203" s="538">
        <v>6.76</v>
      </c>
    </row>
    <row r="9204" spans="1:22">
      <c r="A9204" s="499">
        <v>45818</v>
      </c>
      <c r="B9204" s="499">
        <v>45818</v>
      </c>
      <c r="C9204" s="500" t="s">
        <v>173</v>
      </c>
      <c r="D9204" s="500" t="s">
        <v>759</v>
      </c>
      <c r="E9204" s="501">
        <v>-10008962.76</v>
      </c>
      <c r="F9204" s="502" t="s">
        <v>878</v>
      </c>
      <c r="G9204" s="100">
        <v>117417493</v>
      </c>
      <c r="H9204" s="530"/>
      <c r="I9204" s="422" t="s">
        <v>816</v>
      </c>
      <c r="J9204" s="484"/>
      <c r="K9204" s="548"/>
      <c r="L9204" s="548"/>
      <c r="M9204" s="548"/>
      <c r="N9204" s="552">
        <v>9970</v>
      </c>
      <c r="R9204" s="539">
        <v>1003.908</v>
      </c>
      <c r="S9204" s="539">
        <v>1004.3260661986</v>
      </c>
      <c r="T9204" s="538">
        <v>15.2</v>
      </c>
      <c r="U9204" s="538">
        <v>39.32</v>
      </c>
      <c r="V9204" s="538">
        <v>7.51</v>
      </c>
    </row>
    <row r="9205" spans="1:22">
      <c r="A9205" s="499">
        <v>45818</v>
      </c>
      <c r="B9205" s="499">
        <v>45818</v>
      </c>
      <c r="C9205" s="500" t="s">
        <v>173</v>
      </c>
      <c r="D9205" s="500" t="s">
        <v>759</v>
      </c>
      <c r="E9205" s="501">
        <v>-12008076.07</v>
      </c>
      <c r="F9205" s="502" t="s">
        <v>878</v>
      </c>
      <c r="G9205" s="100">
        <v>117417496</v>
      </c>
      <c r="H9205" s="530"/>
      <c r="I9205" s="422" t="s">
        <v>705</v>
      </c>
      <c r="J9205" s="484"/>
      <c r="K9205" s="548"/>
      <c r="L9205" s="548"/>
      <c r="M9205" s="548"/>
      <c r="N9205" s="552">
        <v>14484</v>
      </c>
      <c r="R9205" s="539">
        <v>829.05799986191664</v>
      </c>
      <c r="S9205" s="539">
        <v>829.40325117370901</v>
      </c>
      <c r="T9205" s="538">
        <v>15.2</v>
      </c>
      <c r="U9205" s="538">
        <v>39.32</v>
      </c>
      <c r="V9205" s="538">
        <v>9.01</v>
      </c>
    </row>
    <row r="9206" spans="1:22">
      <c r="A9206" s="499">
        <v>45818</v>
      </c>
      <c r="B9206" s="499">
        <v>45818</v>
      </c>
      <c r="C9206" s="500" t="s">
        <v>173</v>
      </c>
      <c r="D9206" s="500" t="s">
        <v>759</v>
      </c>
      <c r="E9206" s="501">
        <v>-14012547.859999999</v>
      </c>
      <c r="F9206" s="502" t="s">
        <v>878</v>
      </c>
      <c r="G9206" s="100">
        <v>117417499</v>
      </c>
      <c r="H9206" s="530"/>
      <c r="I9206" s="422" t="s">
        <v>816</v>
      </c>
      <c r="J9206" s="484"/>
      <c r="K9206" s="548"/>
      <c r="L9206" s="548"/>
      <c r="M9206" s="548"/>
      <c r="N9206" s="552">
        <v>13958</v>
      </c>
      <c r="R9206" s="539">
        <v>1003.907999713426</v>
      </c>
      <c r="S9206" s="539">
        <v>1004.32606533887</v>
      </c>
      <c r="T9206" s="538">
        <v>15.2</v>
      </c>
      <c r="U9206" s="538">
        <v>39.32</v>
      </c>
      <c r="V9206" s="538">
        <v>10.51</v>
      </c>
    </row>
    <row r="9207" spans="1:22">
      <c r="A9207" s="499">
        <v>45818</v>
      </c>
      <c r="B9207" s="499">
        <v>45818</v>
      </c>
      <c r="C9207" s="500" t="s">
        <v>173</v>
      </c>
      <c r="D9207" s="500" t="s">
        <v>759</v>
      </c>
      <c r="E9207" s="501">
        <v>-15013310.99</v>
      </c>
      <c r="F9207" s="502" t="s">
        <v>878</v>
      </c>
      <c r="G9207" s="100">
        <v>117417502</v>
      </c>
      <c r="H9207" s="530"/>
      <c r="I9207" s="422" t="s">
        <v>819</v>
      </c>
      <c r="J9207" s="484"/>
      <c r="K9207" s="548"/>
      <c r="L9207" s="548"/>
      <c r="M9207" s="548"/>
      <c r="N9207" s="552">
        <v>14895</v>
      </c>
      <c r="R9207" s="539">
        <v>1007.9430003356831</v>
      </c>
      <c r="S9207" s="539">
        <v>1008.36274655925</v>
      </c>
      <c r="T9207" s="538">
        <v>15.2</v>
      </c>
      <c r="U9207" s="538">
        <v>39.32</v>
      </c>
      <c r="V9207" s="538">
        <v>11.26</v>
      </c>
    </row>
    <row r="9208" spans="1:22">
      <c r="A9208" s="499">
        <v>45818</v>
      </c>
      <c r="B9208" s="499">
        <v>45818</v>
      </c>
      <c r="C9208" s="500" t="s">
        <v>173</v>
      </c>
      <c r="D9208" s="500" t="s">
        <v>759</v>
      </c>
      <c r="E9208" s="501">
        <v>-16014340.42</v>
      </c>
      <c r="F9208" s="502" t="s">
        <v>878</v>
      </c>
      <c r="G9208" s="100">
        <v>117417505</v>
      </c>
      <c r="H9208" s="530"/>
      <c r="I9208" s="422" t="s">
        <v>816</v>
      </c>
      <c r="J9208" s="484"/>
      <c r="K9208" s="548"/>
      <c r="L9208" s="548"/>
      <c r="M9208" s="548"/>
      <c r="N9208" s="552">
        <v>15952</v>
      </c>
      <c r="R9208" s="539">
        <v>1003.9080002507523</v>
      </c>
      <c r="S9208" s="539">
        <v>1004.3260663239701</v>
      </c>
      <c r="T9208" s="538">
        <v>15.2</v>
      </c>
      <c r="U9208" s="538">
        <v>39.32</v>
      </c>
      <c r="V9208" s="538">
        <v>12.01</v>
      </c>
    </row>
    <row r="9209" spans="1:22">
      <c r="A9209" s="499">
        <v>45818</v>
      </c>
      <c r="B9209" s="499">
        <v>45818</v>
      </c>
      <c r="C9209" s="500" t="s">
        <v>173</v>
      </c>
      <c r="D9209" s="500" t="s">
        <v>759</v>
      </c>
      <c r="E9209" s="501">
        <v>-17007811.84</v>
      </c>
      <c r="F9209" s="502" t="s">
        <v>878</v>
      </c>
      <c r="G9209" s="100">
        <v>117417508</v>
      </c>
      <c r="H9209" s="530"/>
      <c r="I9209" s="422" t="s">
        <v>674</v>
      </c>
      <c r="J9209" s="484"/>
      <c r="K9209" s="548"/>
      <c r="L9209" s="548"/>
      <c r="M9209" s="548"/>
      <c r="N9209" s="552">
        <v>18496</v>
      </c>
      <c r="R9209" s="539">
        <v>919.54</v>
      </c>
      <c r="S9209" s="539">
        <v>919.92293198529399</v>
      </c>
      <c r="T9209" s="538">
        <v>15.2</v>
      </c>
      <c r="U9209" s="538">
        <v>39.32</v>
      </c>
      <c r="V9209" s="538">
        <v>12.76</v>
      </c>
    </row>
    <row r="9210" spans="1:22">
      <c r="A9210" s="499">
        <v>45818</v>
      </c>
      <c r="B9210" s="499">
        <v>45818</v>
      </c>
      <c r="C9210" s="500" t="s">
        <v>173</v>
      </c>
      <c r="D9210" s="500" t="s">
        <v>759</v>
      </c>
      <c r="E9210" s="501">
        <v>-18004144.030000001</v>
      </c>
      <c r="F9210" s="502" t="s">
        <v>878</v>
      </c>
      <c r="G9210" s="100">
        <v>117417511</v>
      </c>
      <c r="H9210" s="530"/>
      <c r="I9210" s="422" t="s">
        <v>676</v>
      </c>
      <c r="J9210" s="484"/>
      <c r="K9210" s="548"/>
      <c r="L9210" s="548"/>
      <c r="M9210" s="548"/>
      <c r="N9210" s="552">
        <v>19152</v>
      </c>
      <c r="R9210" s="539">
        <v>940.0659998955723</v>
      </c>
      <c r="S9210" s="539">
        <v>940.45747963659096</v>
      </c>
      <c r="T9210" s="538">
        <v>15.2</v>
      </c>
      <c r="U9210" s="538">
        <v>39.32</v>
      </c>
      <c r="V9210" s="538">
        <v>13.5</v>
      </c>
    </row>
    <row r="9211" spans="1:22">
      <c r="A9211" s="499">
        <v>45818</v>
      </c>
      <c r="B9211" s="499">
        <v>45818</v>
      </c>
      <c r="C9211" s="500" t="s">
        <v>173</v>
      </c>
      <c r="D9211" s="500" t="s">
        <v>759</v>
      </c>
      <c r="E9211" s="501">
        <v>-18011260.239999998</v>
      </c>
      <c r="F9211" s="502" t="s">
        <v>878</v>
      </c>
      <c r="G9211" s="100">
        <v>117417514</v>
      </c>
      <c r="H9211" s="530"/>
      <c r="I9211" s="422" t="s">
        <v>602</v>
      </c>
      <c r="J9211" s="484"/>
      <c r="K9211" s="548"/>
      <c r="L9211" s="548"/>
      <c r="M9211" s="548"/>
      <c r="N9211" s="552">
        <v>21366</v>
      </c>
      <c r="R9211" s="539">
        <v>842.98699990639329</v>
      </c>
      <c r="S9211" s="539">
        <v>843.33805204530597</v>
      </c>
      <c r="T9211" s="538">
        <v>15.2</v>
      </c>
      <c r="U9211" s="538">
        <v>39.32</v>
      </c>
      <c r="V9211" s="538">
        <v>13.51</v>
      </c>
    </row>
    <row r="9212" spans="1:22">
      <c r="A9212" s="499">
        <v>45818</v>
      </c>
      <c r="B9212" s="499">
        <v>45818</v>
      </c>
      <c r="C9212" s="500" t="s">
        <v>173</v>
      </c>
      <c r="D9212" s="500" t="s">
        <v>759</v>
      </c>
      <c r="E9212" s="501">
        <v>-20012235.239999998</v>
      </c>
      <c r="F9212" s="502" t="s">
        <v>878</v>
      </c>
      <c r="G9212" s="100">
        <v>117417517</v>
      </c>
      <c r="H9212" s="530"/>
      <c r="I9212" s="422" t="s">
        <v>689</v>
      </c>
      <c r="J9212" s="484"/>
      <c r="K9212" s="548"/>
      <c r="L9212" s="548"/>
      <c r="M9212" s="548"/>
      <c r="N9212" s="552">
        <v>21740</v>
      </c>
      <c r="R9212" s="539">
        <v>920.52599999999995</v>
      </c>
      <c r="S9212" s="539">
        <v>920.90934222631097</v>
      </c>
      <c r="T9212" s="538">
        <v>15.2</v>
      </c>
      <c r="U9212" s="538">
        <v>39.32</v>
      </c>
      <c r="V9212" s="538">
        <v>15.01</v>
      </c>
    </row>
    <row r="9213" spans="1:22">
      <c r="A9213" s="499">
        <v>45818</v>
      </c>
      <c r="B9213" s="499">
        <v>45818</v>
      </c>
      <c r="C9213" s="500" t="s">
        <v>173</v>
      </c>
      <c r="D9213" s="500" t="s">
        <v>759</v>
      </c>
      <c r="E9213" s="501">
        <v>-20012840.899999999</v>
      </c>
      <c r="F9213" s="502" t="s">
        <v>878</v>
      </c>
      <c r="G9213" s="100">
        <v>117417520</v>
      </c>
      <c r="H9213" s="530"/>
      <c r="I9213" s="422" t="s">
        <v>657</v>
      </c>
      <c r="J9213" s="484"/>
      <c r="K9213" s="548"/>
      <c r="L9213" s="548"/>
      <c r="M9213" s="548"/>
      <c r="N9213" s="552">
        <v>20540</v>
      </c>
      <c r="R9213" s="539">
        <v>974.33499999999992</v>
      </c>
      <c r="S9213" s="539">
        <v>974.74075024342801</v>
      </c>
      <c r="T9213" s="538">
        <v>15.2</v>
      </c>
      <c r="U9213" s="538">
        <v>39.32</v>
      </c>
      <c r="V9213" s="538">
        <v>15.01</v>
      </c>
    </row>
    <row r="9214" spans="1:22">
      <c r="A9214" s="499">
        <v>45818</v>
      </c>
      <c r="B9214" s="499">
        <v>45818</v>
      </c>
      <c r="C9214" s="500" t="s">
        <v>173</v>
      </c>
      <c r="D9214" s="500" t="s">
        <v>759</v>
      </c>
      <c r="E9214" s="501">
        <v>-20017201.280000001</v>
      </c>
      <c r="F9214" s="502" t="s">
        <v>878</v>
      </c>
      <c r="G9214" s="100">
        <v>117417523</v>
      </c>
      <c r="H9214" s="530"/>
      <c r="I9214" s="422" t="s">
        <v>588</v>
      </c>
      <c r="J9214" s="484"/>
      <c r="K9214" s="548"/>
      <c r="L9214" s="548"/>
      <c r="M9214" s="548"/>
      <c r="N9214" s="552">
        <v>21460</v>
      </c>
      <c r="R9214" s="539">
        <v>932.76800000000003</v>
      </c>
      <c r="S9214" s="539">
        <v>933.15644035414698</v>
      </c>
      <c r="T9214" s="538">
        <v>15.2</v>
      </c>
      <c r="U9214" s="538">
        <v>39.32</v>
      </c>
      <c r="V9214" s="538">
        <v>15.01</v>
      </c>
    </row>
    <row r="9215" spans="1:22">
      <c r="A9215" s="499">
        <v>45818</v>
      </c>
      <c r="B9215" s="499">
        <v>45818</v>
      </c>
      <c r="C9215" s="500" t="s">
        <v>173</v>
      </c>
      <c r="D9215" s="500" t="s">
        <v>759</v>
      </c>
      <c r="E9215" s="501">
        <v>-20017201.280000001</v>
      </c>
      <c r="F9215" s="502" t="s">
        <v>878</v>
      </c>
      <c r="G9215" s="100">
        <v>117417526</v>
      </c>
      <c r="H9215" s="530"/>
      <c r="I9215" s="422" t="s">
        <v>588</v>
      </c>
      <c r="J9215" s="484"/>
      <c r="K9215" s="548"/>
      <c r="L9215" s="548"/>
      <c r="M9215" s="548"/>
      <c r="N9215" s="552">
        <v>21460</v>
      </c>
      <c r="R9215" s="539">
        <v>932.76800000000003</v>
      </c>
      <c r="S9215" s="539">
        <v>933.15644035414698</v>
      </c>
      <c r="T9215" s="538">
        <v>15.2</v>
      </c>
      <c r="U9215" s="538">
        <v>39.32</v>
      </c>
      <c r="V9215" s="538">
        <v>15.01</v>
      </c>
    </row>
    <row r="9216" spans="1:22">
      <c r="A9216" s="499">
        <v>45818</v>
      </c>
      <c r="B9216" s="499">
        <v>45818</v>
      </c>
      <c r="C9216" s="500" t="s">
        <v>173</v>
      </c>
      <c r="D9216" s="500" t="s">
        <v>759</v>
      </c>
      <c r="E9216" s="501">
        <v>-22013432.670000002</v>
      </c>
      <c r="F9216" s="502" t="s">
        <v>878</v>
      </c>
      <c r="G9216" s="100">
        <v>117417529</v>
      </c>
      <c r="H9216" s="530"/>
      <c r="I9216" s="422" t="s">
        <v>590</v>
      </c>
      <c r="J9216" s="484"/>
      <c r="K9216" s="548"/>
      <c r="L9216" s="548"/>
      <c r="M9216" s="548"/>
      <c r="N9216" s="552">
        <v>25256</v>
      </c>
      <c r="R9216" s="539">
        <v>871.61199992081094</v>
      </c>
      <c r="S9216" s="539">
        <v>871.97497267975905</v>
      </c>
      <c r="T9216" s="538">
        <v>15.2</v>
      </c>
      <c r="U9216" s="538">
        <v>39.32</v>
      </c>
      <c r="V9216" s="538">
        <v>16.510000000000002</v>
      </c>
    </row>
    <row r="9217" spans="1:22">
      <c r="A9217" s="499">
        <v>45818</v>
      </c>
      <c r="B9217" s="499">
        <v>45818</v>
      </c>
      <c r="C9217" s="500" t="s">
        <v>173</v>
      </c>
      <c r="D9217" s="500" t="s">
        <v>759</v>
      </c>
      <c r="E9217" s="501">
        <v>-22007449.420000002</v>
      </c>
      <c r="F9217" s="502" t="s">
        <v>878</v>
      </c>
      <c r="G9217" s="100">
        <v>117417532</v>
      </c>
      <c r="H9217" s="530"/>
      <c r="I9217" s="422" t="s">
        <v>717</v>
      </c>
      <c r="J9217" s="484"/>
      <c r="K9217" s="548"/>
      <c r="L9217" s="548"/>
      <c r="M9217" s="548"/>
      <c r="N9217" s="552">
        <v>35068</v>
      </c>
      <c r="R9217" s="539">
        <v>627.56500000000005</v>
      </c>
      <c r="S9217" s="539">
        <v>627.82634224934395</v>
      </c>
      <c r="T9217" s="538">
        <v>15.2</v>
      </c>
      <c r="U9217" s="538">
        <v>39.32</v>
      </c>
      <c r="V9217" s="538">
        <v>16.510000000000002</v>
      </c>
    </row>
    <row r="9218" spans="1:22">
      <c r="A9218" s="499">
        <v>45818</v>
      </c>
      <c r="B9218" s="499">
        <v>45818</v>
      </c>
      <c r="C9218" s="500" t="s">
        <v>173</v>
      </c>
      <c r="D9218" s="500" t="s">
        <v>759</v>
      </c>
      <c r="E9218" s="501">
        <v>-23021415.09</v>
      </c>
      <c r="F9218" s="502" t="s">
        <v>878</v>
      </c>
      <c r="G9218" s="100">
        <v>117417535</v>
      </c>
      <c r="H9218" s="530"/>
      <c r="I9218" s="422" t="s">
        <v>824</v>
      </c>
      <c r="J9218" s="484"/>
      <c r="K9218" s="548"/>
      <c r="L9218" s="548"/>
      <c r="M9218" s="548"/>
      <c r="N9218" s="552">
        <v>22839</v>
      </c>
      <c r="R9218" s="539">
        <v>1007.9869998686457</v>
      </c>
      <c r="S9218" s="539">
        <v>1008.40676430667</v>
      </c>
      <c r="T9218" s="538">
        <v>15.2</v>
      </c>
      <c r="U9218" s="538">
        <v>39.32</v>
      </c>
      <c r="V9218" s="538">
        <v>17.27</v>
      </c>
    </row>
    <row r="9219" spans="1:22">
      <c r="A9219" s="499">
        <v>45818</v>
      </c>
      <c r="B9219" s="499">
        <v>45818</v>
      </c>
      <c r="C9219" s="500" t="s">
        <v>173</v>
      </c>
      <c r="D9219" s="500" t="s">
        <v>759</v>
      </c>
      <c r="E9219" s="501">
        <v>-24009841.579999998</v>
      </c>
      <c r="F9219" s="502" t="s">
        <v>878</v>
      </c>
      <c r="G9219" s="100">
        <v>117417538</v>
      </c>
      <c r="H9219" s="530"/>
      <c r="I9219" s="422" t="s">
        <v>695</v>
      </c>
      <c r="J9219" s="484"/>
      <c r="K9219" s="548"/>
      <c r="L9219" s="548"/>
      <c r="M9219" s="548"/>
      <c r="N9219" s="552">
        <v>31896</v>
      </c>
      <c r="R9219" s="539">
        <v>752.75399987459241</v>
      </c>
      <c r="S9219" s="539">
        <v>753.06747554552305</v>
      </c>
      <c r="T9219" s="538">
        <v>15.2</v>
      </c>
      <c r="U9219" s="538">
        <v>39.32</v>
      </c>
      <c r="V9219" s="538">
        <v>18.010000000000002</v>
      </c>
    </row>
    <row r="9220" spans="1:22">
      <c r="A9220" s="499">
        <v>45818</v>
      </c>
      <c r="B9220" s="499">
        <v>45818</v>
      </c>
      <c r="C9220" s="500" t="s">
        <v>173</v>
      </c>
      <c r="D9220" s="500" t="s">
        <v>759</v>
      </c>
      <c r="E9220" s="501">
        <v>-25006860.030000001</v>
      </c>
      <c r="F9220" s="502" t="s">
        <v>878</v>
      </c>
      <c r="G9220" s="100">
        <v>117417541</v>
      </c>
      <c r="H9220" s="530"/>
      <c r="I9220" s="422" t="s">
        <v>596</v>
      </c>
      <c r="J9220" s="484"/>
      <c r="K9220" s="548"/>
      <c r="L9220" s="548"/>
      <c r="M9220" s="548"/>
      <c r="N9220" s="552">
        <v>23975</v>
      </c>
      <c r="R9220" s="539">
        <v>1043.0390002085505</v>
      </c>
      <c r="S9220" s="539">
        <v>1043.47336183525</v>
      </c>
      <c r="T9220" s="538">
        <v>15.2</v>
      </c>
      <c r="U9220" s="538">
        <v>39.32</v>
      </c>
      <c r="V9220" s="538">
        <v>18.760000000000002</v>
      </c>
    </row>
    <row r="9221" spans="1:22">
      <c r="A9221" s="499">
        <v>45818</v>
      </c>
      <c r="B9221" s="499">
        <v>45818</v>
      </c>
      <c r="C9221" s="500" t="s">
        <v>173</v>
      </c>
      <c r="D9221" s="500" t="s">
        <v>759</v>
      </c>
      <c r="E9221" s="501">
        <v>-26012899.379999999</v>
      </c>
      <c r="F9221" s="502" t="s">
        <v>878</v>
      </c>
      <c r="G9221" s="100">
        <v>117417544</v>
      </c>
      <c r="H9221" s="530"/>
      <c r="I9221" s="422" t="s">
        <v>821</v>
      </c>
      <c r="J9221" s="484"/>
      <c r="K9221" s="548"/>
      <c r="L9221" s="548"/>
      <c r="M9221" s="548"/>
      <c r="N9221" s="552">
        <v>24284</v>
      </c>
      <c r="R9221" s="539">
        <v>1071.1949999999999</v>
      </c>
      <c r="S9221" s="539">
        <v>1071.6410867237701</v>
      </c>
      <c r="T9221" s="538">
        <v>15.2</v>
      </c>
      <c r="U9221" s="538">
        <v>39.32</v>
      </c>
      <c r="V9221" s="538">
        <v>19.510000000000002</v>
      </c>
    </row>
    <row r="9222" spans="1:22">
      <c r="A9222" s="499">
        <v>45818</v>
      </c>
      <c r="B9222" s="499">
        <v>45818</v>
      </c>
      <c r="C9222" s="500" t="s">
        <v>173</v>
      </c>
      <c r="D9222" s="500" t="s">
        <v>759</v>
      </c>
      <c r="E9222" s="501">
        <v>-26000823.420000002</v>
      </c>
      <c r="F9222" s="502" t="s">
        <v>878</v>
      </c>
      <c r="G9222" s="100">
        <v>117417547</v>
      </c>
      <c r="H9222" s="530"/>
      <c r="I9222" s="422" t="s">
        <v>598</v>
      </c>
      <c r="J9222" s="484"/>
      <c r="K9222" s="548"/>
      <c r="L9222" s="548"/>
      <c r="M9222" s="548"/>
      <c r="N9222" s="552">
        <v>25740</v>
      </c>
      <c r="R9222" s="539">
        <v>1010.133</v>
      </c>
      <c r="S9222" s="539">
        <v>1010.55365811966</v>
      </c>
      <c r="T9222" s="538">
        <v>15.2</v>
      </c>
      <c r="U9222" s="538">
        <v>39.32</v>
      </c>
      <c r="V9222" s="538">
        <v>19.5</v>
      </c>
    </row>
    <row r="9223" spans="1:22">
      <c r="A9223" s="499">
        <v>45818</v>
      </c>
      <c r="B9223" s="499">
        <v>45818</v>
      </c>
      <c r="C9223" s="500" t="s">
        <v>173</v>
      </c>
      <c r="D9223" s="500" t="s">
        <v>759</v>
      </c>
      <c r="E9223" s="501">
        <v>-27005961.25</v>
      </c>
      <c r="F9223" s="502" t="s">
        <v>878</v>
      </c>
      <c r="G9223" s="100">
        <v>117417551</v>
      </c>
      <c r="H9223" s="530"/>
      <c r="I9223" s="422" t="s">
        <v>592</v>
      </c>
      <c r="J9223" s="484"/>
      <c r="K9223" s="548"/>
      <c r="L9223" s="548"/>
      <c r="M9223" s="548"/>
      <c r="N9223" s="552">
        <v>33777</v>
      </c>
      <c r="R9223" s="539">
        <v>799.53700002960591</v>
      </c>
      <c r="S9223" s="539">
        <v>799.86995795955795</v>
      </c>
      <c r="T9223" s="538">
        <v>15.2</v>
      </c>
      <c r="U9223" s="538">
        <v>40.51</v>
      </c>
      <c r="V9223" s="538">
        <v>20.25</v>
      </c>
    </row>
    <row r="9224" spans="1:22">
      <c r="A9224" s="499">
        <v>45818</v>
      </c>
      <c r="B9224" s="499">
        <v>45818</v>
      </c>
      <c r="C9224" s="500" t="s">
        <v>173</v>
      </c>
      <c r="D9224" s="500" t="s">
        <v>759</v>
      </c>
      <c r="E9224" s="501">
        <v>-27000047.899999999</v>
      </c>
      <c r="F9224" s="502" t="s">
        <v>878</v>
      </c>
      <c r="G9224" s="100">
        <v>117417554</v>
      </c>
      <c r="H9224" s="530"/>
      <c r="I9224" s="422" t="s">
        <v>696</v>
      </c>
      <c r="J9224" s="484"/>
      <c r="K9224" s="548"/>
      <c r="L9224" s="548"/>
      <c r="M9224" s="548"/>
      <c r="N9224" s="552">
        <v>32913</v>
      </c>
      <c r="R9224" s="539">
        <v>820.34600006076619</v>
      </c>
      <c r="S9224" s="539">
        <v>820.68762373530205</v>
      </c>
      <c r="T9224" s="538">
        <v>15.2</v>
      </c>
      <c r="U9224" s="538">
        <v>40.5</v>
      </c>
      <c r="V9224" s="538">
        <v>20.25</v>
      </c>
    </row>
    <row r="9225" spans="1:22">
      <c r="A9225" s="499">
        <v>45818</v>
      </c>
      <c r="B9225" s="499">
        <v>45818</v>
      </c>
      <c r="C9225" s="500" t="s">
        <v>173</v>
      </c>
      <c r="D9225" s="500" t="s">
        <v>759</v>
      </c>
      <c r="E9225" s="501">
        <v>-27005341.23</v>
      </c>
      <c r="F9225" s="502" t="s">
        <v>878</v>
      </c>
      <c r="G9225" s="100">
        <v>117417557</v>
      </c>
      <c r="H9225" s="530"/>
      <c r="I9225" s="422" t="s">
        <v>550</v>
      </c>
      <c r="J9225" s="484"/>
      <c r="K9225" s="548"/>
      <c r="L9225" s="548"/>
      <c r="M9225" s="548"/>
      <c r="N9225" s="552">
        <v>52245</v>
      </c>
      <c r="R9225" s="539">
        <v>516.89809991386733</v>
      </c>
      <c r="S9225" s="539">
        <v>517.11335611063305</v>
      </c>
      <c r="T9225" s="538">
        <v>15.2</v>
      </c>
      <c r="U9225" s="538">
        <v>40.51</v>
      </c>
      <c r="V9225" s="538">
        <v>20.25</v>
      </c>
    </row>
    <row r="9226" spans="1:22">
      <c r="A9226" s="499">
        <v>45818</v>
      </c>
      <c r="B9226" s="499">
        <v>45818</v>
      </c>
      <c r="C9226" s="500" t="s">
        <v>173</v>
      </c>
      <c r="D9226" s="500" t="s">
        <v>759</v>
      </c>
      <c r="E9226" s="501">
        <v>-28008803.280000001</v>
      </c>
      <c r="F9226" s="502" t="s">
        <v>878</v>
      </c>
      <c r="G9226" s="100">
        <v>117417560</v>
      </c>
      <c r="H9226" s="530"/>
      <c r="I9226" s="422" t="s">
        <v>715</v>
      </c>
      <c r="J9226" s="484"/>
      <c r="K9226" s="548"/>
      <c r="L9226" s="548"/>
      <c r="M9226" s="548"/>
      <c r="N9226" s="552">
        <v>36484</v>
      </c>
      <c r="R9226" s="539">
        <v>767.70099989036294</v>
      </c>
      <c r="S9226" s="539">
        <v>768.020700032891</v>
      </c>
      <c r="T9226" s="538">
        <v>15.2</v>
      </c>
      <c r="U9226" s="538">
        <v>42.01</v>
      </c>
      <c r="V9226" s="538">
        <v>21.01</v>
      </c>
    </row>
    <row r="9227" spans="1:22">
      <c r="A9227" s="499">
        <v>45818</v>
      </c>
      <c r="B9227" s="499">
        <v>45818</v>
      </c>
      <c r="C9227" s="500" t="s">
        <v>173</v>
      </c>
      <c r="D9227" s="500" t="s">
        <v>759</v>
      </c>
      <c r="E9227" s="501">
        <v>-28021002.41</v>
      </c>
      <c r="F9227" s="502" t="s">
        <v>878</v>
      </c>
      <c r="G9227" s="100">
        <v>117417563</v>
      </c>
      <c r="H9227" s="530"/>
      <c r="I9227" s="422" t="s">
        <v>675</v>
      </c>
      <c r="J9227" s="484"/>
      <c r="K9227" s="548"/>
      <c r="L9227" s="548"/>
      <c r="M9227" s="548"/>
      <c r="N9227" s="552">
        <v>30408</v>
      </c>
      <c r="R9227" s="539">
        <v>921.50100006577213</v>
      </c>
      <c r="S9227" s="539">
        <v>921.88474842146798</v>
      </c>
      <c r="T9227" s="538">
        <v>15.2</v>
      </c>
      <c r="U9227" s="538">
        <v>42.03</v>
      </c>
      <c r="V9227" s="538">
        <v>21.02</v>
      </c>
    </row>
    <row r="9228" spans="1:22">
      <c r="A9228" s="499">
        <v>45818</v>
      </c>
      <c r="B9228" s="499">
        <v>45818</v>
      </c>
      <c r="C9228" s="500" t="s">
        <v>173</v>
      </c>
      <c r="D9228" s="500" t="s">
        <v>759</v>
      </c>
      <c r="E9228" s="501">
        <v>-30013785.600000001</v>
      </c>
      <c r="F9228" s="502" t="s">
        <v>878</v>
      </c>
      <c r="G9228" s="100">
        <v>117417566</v>
      </c>
      <c r="H9228" s="530"/>
      <c r="I9228" s="422" t="s">
        <v>674</v>
      </c>
      <c r="J9228" s="484"/>
      <c r="K9228" s="548"/>
      <c r="L9228" s="548"/>
      <c r="M9228" s="548"/>
      <c r="N9228" s="552">
        <v>32640</v>
      </c>
      <c r="R9228" s="539">
        <v>919.54000000000008</v>
      </c>
      <c r="S9228" s="539">
        <v>919.92293167892103</v>
      </c>
      <c r="T9228" s="538">
        <v>15.2</v>
      </c>
      <c r="U9228" s="538">
        <v>45.02</v>
      </c>
      <c r="V9228" s="538">
        <v>22.51</v>
      </c>
    </row>
    <row r="9229" spans="1:22">
      <c r="A9229" s="499">
        <v>45818</v>
      </c>
      <c r="B9229" s="499">
        <v>45818</v>
      </c>
      <c r="C9229" s="500" t="s">
        <v>173</v>
      </c>
      <c r="D9229" s="500" t="s">
        <v>759</v>
      </c>
      <c r="E9229" s="501">
        <v>-33021358.920000002</v>
      </c>
      <c r="F9229" s="502" t="s">
        <v>878</v>
      </c>
      <c r="G9229" s="100">
        <v>117417569</v>
      </c>
      <c r="H9229" s="530"/>
      <c r="I9229" s="422" t="s">
        <v>709</v>
      </c>
      <c r="J9229" s="484"/>
      <c r="K9229" s="548"/>
      <c r="L9229" s="548"/>
      <c r="M9229" s="548"/>
      <c r="N9229" s="552">
        <v>36630</v>
      </c>
      <c r="R9229" s="539">
        <v>901.48400000000004</v>
      </c>
      <c r="S9229" s="539">
        <v>901.85941250341205</v>
      </c>
      <c r="T9229" s="538">
        <v>15.2</v>
      </c>
      <c r="U9229" s="538">
        <v>49.53</v>
      </c>
      <c r="V9229" s="538">
        <v>24.77</v>
      </c>
    </row>
    <row r="9230" spans="1:22">
      <c r="A9230" s="499">
        <v>45818</v>
      </c>
      <c r="B9230" s="499">
        <v>45818</v>
      </c>
      <c r="C9230" s="500" t="s">
        <v>173</v>
      </c>
      <c r="D9230" s="500" t="s">
        <v>759</v>
      </c>
      <c r="E9230" s="501">
        <v>-33011018.57</v>
      </c>
      <c r="F9230" s="502" t="s">
        <v>878</v>
      </c>
      <c r="G9230" s="100">
        <v>117417572</v>
      </c>
      <c r="H9230" s="530"/>
      <c r="I9230" s="422" t="s">
        <v>693</v>
      </c>
      <c r="J9230" s="484"/>
      <c r="K9230" s="548"/>
      <c r="L9230" s="548"/>
      <c r="M9230" s="548"/>
      <c r="N9230" s="552">
        <v>39996</v>
      </c>
      <c r="R9230" s="539">
        <v>825.35800005000499</v>
      </c>
      <c r="S9230" s="539">
        <v>825.70171067106696</v>
      </c>
      <c r="T9230" s="538">
        <v>15.2</v>
      </c>
      <c r="U9230" s="538">
        <v>49.52</v>
      </c>
      <c r="V9230" s="538">
        <v>24.76</v>
      </c>
    </row>
    <row r="9231" spans="1:22">
      <c r="A9231" s="499">
        <v>45818</v>
      </c>
      <c r="B9231" s="499">
        <v>45818</v>
      </c>
      <c r="C9231" s="500" t="s">
        <v>173</v>
      </c>
      <c r="D9231" s="500" t="s">
        <v>759</v>
      </c>
      <c r="E9231" s="501">
        <v>-34002690.350000001</v>
      </c>
      <c r="F9231" s="502" t="s">
        <v>878</v>
      </c>
      <c r="G9231" s="100">
        <v>117417575</v>
      </c>
      <c r="H9231" s="530"/>
      <c r="I9231" s="422" t="s">
        <v>694</v>
      </c>
      <c r="J9231" s="484"/>
      <c r="K9231" s="548"/>
      <c r="L9231" s="548"/>
      <c r="M9231" s="548"/>
      <c r="N9231" s="552">
        <v>34612</v>
      </c>
      <c r="R9231" s="539">
        <v>982.39599994221658</v>
      </c>
      <c r="S9231" s="539">
        <v>982.80510718825803</v>
      </c>
      <c r="T9231" s="538">
        <v>15.2</v>
      </c>
      <c r="U9231" s="538">
        <v>51</v>
      </c>
      <c r="V9231" s="538">
        <v>25.5</v>
      </c>
    </row>
    <row r="9232" spans="1:22">
      <c r="A9232" s="499">
        <v>45818</v>
      </c>
      <c r="B9232" s="499">
        <v>45818</v>
      </c>
      <c r="C9232" s="500" t="s">
        <v>173</v>
      </c>
      <c r="D9232" s="500" t="s">
        <v>759</v>
      </c>
      <c r="E9232" s="501">
        <v>-35021370.159999996</v>
      </c>
      <c r="F9232" s="502" t="s">
        <v>878</v>
      </c>
      <c r="G9232" s="100">
        <v>117417578</v>
      </c>
      <c r="H9232" s="530"/>
      <c r="I9232" s="422" t="s">
        <v>590</v>
      </c>
      <c r="J9232" s="484"/>
      <c r="K9232" s="548"/>
      <c r="L9232" s="548"/>
      <c r="M9232" s="548"/>
      <c r="N9232" s="552">
        <v>40180</v>
      </c>
      <c r="R9232" s="539">
        <v>871.61199999999997</v>
      </c>
      <c r="S9232" s="539">
        <v>871.97497262319598</v>
      </c>
      <c r="T9232" s="538">
        <v>15.2</v>
      </c>
      <c r="U9232" s="538">
        <v>52.53</v>
      </c>
      <c r="V9232" s="538">
        <v>26.27</v>
      </c>
    </row>
    <row r="9233" spans="1:22">
      <c r="A9233" s="499">
        <v>45818</v>
      </c>
      <c r="B9233" s="499">
        <v>45818</v>
      </c>
      <c r="C9233" s="500" t="s">
        <v>173</v>
      </c>
      <c r="D9233" s="500" t="s">
        <v>759</v>
      </c>
      <c r="E9233" s="501">
        <v>-39020886.840000004</v>
      </c>
      <c r="F9233" s="502" t="s">
        <v>878</v>
      </c>
      <c r="G9233" s="100">
        <v>117417581</v>
      </c>
      <c r="H9233" s="530"/>
      <c r="I9233" s="422" t="s">
        <v>817</v>
      </c>
      <c r="J9233" s="484"/>
      <c r="K9233" s="548"/>
      <c r="L9233" s="548"/>
      <c r="M9233" s="548"/>
      <c r="N9233" s="552">
        <v>37713</v>
      </c>
      <c r="R9233" s="539">
        <v>1034.68</v>
      </c>
      <c r="S9233" s="539">
        <v>1035.1108803330401</v>
      </c>
      <c r="T9233" s="538">
        <v>15.2</v>
      </c>
      <c r="U9233" s="538">
        <v>58.53</v>
      </c>
      <c r="V9233" s="538">
        <v>29.27</v>
      </c>
    </row>
    <row r="9234" spans="1:22">
      <c r="A9234" s="499">
        <v>45818</v>
      </c>
      <c r="B9234" s="499">
        <v>45818</v>
      </c>
      <c r="C9234" s="500" t="s">
        <v>173</v>
      </c>
      <c r="D9234" s="500" t="s">
        <v>759</v>
      </c>
      <c r="E9234" s="501">
        <v>-42015004.039999999</v>
      </c>
      <c r="F9234" s="502" t="s">
        <v>878</v>
      </c>
      <c r="G9234" s="100">
        <v>117417584</v>
      </c>
      <c r="H9234" s="530"/>
      <c r="I9234" s="422" t="s">
        <v>714</v>
      </c>
      <c r="J9234" s="484"/>
      <c r="K9234" s="548"/>
      <c r="L9234" s="548"/>
      <c r="M9234" s="548"/>
      <c r="N9234" s="552">
        <v>53802</v>
      </c>
      <c r="R9234" s="539">
        <v>780.9190000371733</v>
      </c>
      <c r="S9234" s="539">
        <v>781.24420467640596</v>
      </c>
      <c r="T9234" s="538">
        <v>15.2</v>
      </c>
      <c r="U9234" s="538">
        <v>63.02</v>
      </c>
      <c r="V9234" s="538">
        <v>31.51</v>
      </c>
    </row>
    <row r="9235" spans="1:22">
      <c r="A9235" s="499">
        <v>45818</v>
      </c>
      <c r="B9235" s="499">
        <v>45818</v>
      </c>
      <c r="C9235" s="500" t="s">
        <v>173</v>
      </c>
      <c r="D9235" s="500" t="s">
        <v>759</v>
      </c>
      <c r="E9235" s="501">
        <v>-43014323.990000002</v>
      </c>
      <c r="F9235" s="502" t="s">
        <v>878</v>
      </c>
      <c r="G9235" s="100">
        <v>117417587</v>
      </c>
      <c r="H9235" s="530"/>
      <c r="I9235" s="422" t="s">
        <v>719</v>
      </c>
      <c r="J9235" s="484"/>
      <c r="K9235" s="548"/>
      <c r="L9235" s="548"/>
      <c r="M9235" s="548"/>
      <c r="N9235" s="552">
        <v>60028</v>
      </c>
      <c r="R9235" s="539">
        <v>716.57100003331777</v>
      </c>
      <c r="S9235" s="539">
        <v>716.869407609782</v>
      </c>
      <c r="T9235" s="538">
        <v>15.2</v>
      </c>
      <c r="U9235" s="538">
        <v>64.52</v>
      </c>
      <c r="V9235" s="538">
        <v>32.26</v>
      </c>
    </row>
    <row r="9236" spans="1:22">
      <c r="A9236" s="499">
        <v>45818</v>
      </c>
      <c r="B9236" s="499">
        <v>45818</v>
      </c>
      <c r="C9236" s="500" t="s">
        <v>173</v>
      </c>
      <c r="D9236" s="500" t="s">
        <v>759</v>
      </c>
      <c r="E9236" s="501">
        <v>-47040423.009999998</v>
      </c>
      <c r="F9236" s="502" t="s">
        <v>878</v>
      </c>
      <c r="G9236" s="100">
        <v>117417590</v>
      </c>
      <c r="H9236" s="530"/>
      <c r="I9236" s="422" t="s">
        <v>588</v>
      </c>
      <c r="J9236" s="484"/>
      <c r="K9236" s="548"/>
      <c r="L9236" s="548"/>
      <c r="M9236" s="548"/>
      <c r="N9236" s="552">
        <v>50431</v>
      </c>
      <c r="R9236" s="539">
        <v>932.76800003965809</v>
      </c>
      <c r="S9236" s="539">
        <v>933.15644048303602</v>
      </c>
      <c r="T9236" s="538">
        <v>15.2</v>
      </c>
      <c r="U9236" s="538">
        <v>70.56</v>
      </c>
      <c r="V9236" s="538">
        <v>35.28</v>
      </c>
    </row>
    <row r="9237" spans="1:22">
      <c r="A9237" s="499">
        <v>45818</v>
      </c>
      <c r="B9237" s="499">
        <v>45818</v>
      </c>
      <c r="C9237" s="500" t="s">
        <v>173</v>
      </c>
      <c r="D9237" s="500" t="s">
        <v>759</v>
      </c>
      <c r="E9237" s="501">
        <v>-51012285.079999998</v>
      </c>
      <c r="F9237" s="502" t="s">
        <v>878</v>
      </c>
      <c r="G9237" s="100">
        <v>117417593</v>
      </c>
      <c r="H9237" s="530"/>
      <c r="I9237" s="422" t="s">
        <v>690</v>
      </c>
      <c r="J9237" s="484"/>
      <c r="K9237" s="548"/>
      <c r="L9237" s="548"/>
      <c r="M9237" s="548"/>
      <c r="N9237" s="552">
        <v>56151</v>
      </c>
      <c r="R9237" s="539">
        <v>908.48399992876352</v>
      </c>
      <c r="S9237" s="539">
        <v>908.86232747413203</v>
      </c>
      <c r="T9237" s="538">
        <v>15.2</v>
      </c>
      <c r="U9237" s="538">
        <v>76.52</v>
      </c>
      <c r="V9237" s="538">
        <v>38.26</v>
      </c>
    </row>
    <row r="9238" spans="1:22">
      <c r="A9238" s="499">
        <v>45818</v>
      </c>
      <c r="B9238" s="499">
        <v>45818</v>
      </c>
      <c r="C9238" s="500" t="s">
        <v>173</v>
      </c>
      <c r="D9238" s="500" t="s">
        <v>759</v>
      </c>
      <c r="E9238" s="501">
        <v>-59031598.039999999</v>
      </c>
      <c r="F9238" s="502" t="s">
        <v>878</v>
      </c>
      <c r="G9238" s="100">
        <v>117417596</v>
      </c>
      <c r="H9238" s="530"/>
      <c r="I9238" s="422" t="s">
        <v>817</v>
      </c>
      <c r="J9238" s="484"/>
      <c r="K9238" s="548"/>
      <c r="L9238" s="548"/>
      <c r="M9238" s="548"/>
      <c r="N9238" s="552">
        <v>57053</v>
      </c>
      <c r="R9238" s="539">
        <v>1034.68</v>
      </c>
      <c r="S9238" s="539">
        <v>1035.1108804094399</v>
      </c>
      <c r="T9238" s="538">
        <v>15.2</v>
      </c>
      <c r="U9238" s="538">
        <v>88.55</v>
      </c>
      <c r="V9238" s="538">
        <v>44.27</v>
      </c>
    </row>
    <row r="9239" spans="1:22">
      <c r="A9239" s="499">
        <v>45818</v>
      </c>
      <c r="B9239" s="499">
        <v>45818</v>
      </c>
      <c r="C9239" s="500" t="s">
        <v>173</v>
      </c>
      <c r="D9239" s="500" t="s">
        <v>759</v>
      </c>
      <c r="E9239" s="501">
        <v>-63031256.189999998</v>
      </c>
      <c r="F9239" s="502" t="s">
        <v>878</v>
      </c>
      <c r="G9239" s="100">
        <v>117417599</v>
      </c>
      <c r="H9239" s="530"/>
      <c r="I9239" s="422" t="s">
        <v>821</v>
      </c>
      <c r="J9239" s="484"/>
      <c r="K9239" s="548"/>
      <c r="L9239" s="548"/>
      <c r="M9239" s="548"/>
      <c r="N9239" s="552">
        <v>58842</v>
      </c>
      <c r="R9239" s="539">
        <v>1071.1949999999999</v>
      </c>
      <c r="S9239" s="539">
        <v>1071.6410866388001</v>
      </c>
      <c r="T9239" s="538">
        <v>15.2</v>
      </c>
      <c r="U9239" s="538">
        <v>94.55</v>
      </c>
      <c r="V9239" s="538">
        <v>47.27</v>
      </c>
    </row>
    <row r="9240" spans="1:22">
      <c r="A9240" s="499">
        <v>45818</v>
      </c>
      <c r="B9240" s="499">
        <v>45818</v>
      </c>
      <c r="C9240" s="500" t="s">
        <v>173</v>
      </c>
      <c r="D9240" s="500" t="s">
        <v>759</v>
      </c>
      <c r="E9240" s="501">
        <v>-64040036.420000002</v>
      </c>
      <c r="F9240" s="502" t="s">
        <v>878</v>
      </c>
      <c r="G9240" s="100">
        <v>117417602</v>
      </c>
      <c r="H9240" s="530"/>
      <c r="I9240" s="422" t="s">
        <v>602</v>
      </c>
      <c r="J9240" s="484"/>
      <c r="K9240" s="548"/>
      <c r="L9240" s="548"/>
      <c r="M9240" s="548"/>
      <c r="N9240" s="552">
        <v>75968</v>
      </c>
      <c r="R9240" s="539">
        <v>842.9870000526538</v>
      </c>
      <c r="S9240" s="539">
        <v>843.33805220619195</v>
      </c>
      <c r="T9240" s="538">
        <v>15.2</v>
      </c>
      <c r="U9240" s="538">
        <v>96.06</v>
      </c>
      <c r="V9240" s="538">
        <v>48.03</v>
      </c>
    </row>
    <row r="9241" spans="1:22">
      <c r="A9241" s="499">
        <v>45818</v>
      </c>
      <c r="B9241" s="499">
        <v>45818</v>
      </c>
      <c r="C9241" s="500" t="s">
        <v>173</v>
      </c>
      <c r="D9241" s="500" t="s">
        <v>759</v>
      </c>
      <c r="E9241" s="501">
        <v>-65025457.25</v>
      </c>
      <c r="F9241" s="502" t="s">
        <v>878</v>
      </c>
      <c r="G9241" s="100">
        <v>117417605</v>
      </c>
      <c r="H9241" s="530"/>
      <c r="I9241" s="422" t="s">
        <v>711</v>
      </c>
      <c r="J9241" s="484"/>
      <c r="K9241" s="548"/>
      <c r="L9241" s="548"/>
      <c r="M9241" s="548"/>
      <c r="N9241" s="552">
        <v>74815</v>
      </c>
      <c r="R9241" s="539">
        <v>869.15</v>
      </c>
      <c r="S9241" s="539">
        <v>869.51194733676402</v>
      </c>
      <c r="T9241" s="538">
        <v>15.2</v>
      </c>
      <c r="U9241" s="538">
        <v>97.54</v>
      </c>
      <c r="V9241" s="538">
        <v>48.77</v>
      </c>
    </row>
    <row r="9242" spans="1:22">
      <c r="A9242" s="499">
        <v>45818</v>
      </c>
      <c r="B9242" s="499">
        <v>45818</v>
      </c>
      <c r="C9242" s="500" t="s">
        <v>173</v>
      </c>
      <c r="D9242" s="500" t="s">
        <v>759</v>
      </c>
      <c r="E9242" s="501">
        <v>-69060297.379999995</v>
      </c>
      <c r="F9242" s="502" t="s">
        <v>878</v>
      </c>
      <c r="G9242" s="100">
        <v>117417608</v>
      </c>
      <c r="H9242" s="530"/>
      <c r="I9242" s="422" t="s">
        <v>654</v>
      </c>
      <c r="J9242" s="484"/>
      <c r="K9242" s="548"/>
      <c r="L9242" s="548"/>
      <c r="M9242" s="548"/>
      <c r="N9242" s="552">
        <v>66585</v>
      </c>
      <c r="R9242" s="539">
        <v>1037.1750000750919</v>
      </c>
      <c r="S9242" s="539">
        <v>1037.6069195764801</v>
      </c>
      <c r="T9242" s="538">
        <v>15.2</v>
      </c>
      <c r="U9242" s="538">
        <v>103.59</v>
      </c>
      <c r="V9242" s="538">
        <v>51.8</v>
      </c>
    </row>
    <row r="9243" spans="1:22">
      <c r="A9243" s="499">
        <v>45818</v>
      </c>
      <c r="B9243" s="499">
        <v>45818</v>
      </c>
      <c r="C9243" s="500" t="s">
        <v>173</v>
      </c>
      <c r="D9243" s="500" t="s">
        <v>759</v>
      </c>
      <c r="E9243" s="501">
        <v>-70000124.180000007</v>
      </c>
      <c r="F9243" s="502" t="s">
        <v>878</v>
      </c>
      <c r="G9243" s="100">
        <v>117417611</v>
      </c>
      <c r="H9243" s="530"/>
      <c r="I9243" s="422" t="s">
        <v>696</v>
      </c>
      <c r="J9243" s="484"/>
      <c r="K9243" s="548"/>
      <c r="L9243" s="548"/>
      <c r="M9243" s="548"/>
      <c r="N9243" s="552">
        <v>85330</v>
      </c>
      <c r="R9243" s="539">
        <v>820.34600000000012</v>
      </c>
      <c r="S9243" s="539">
        <v>820.68762357904598</v>
      </c>
      <c r="T9243" s="538">
        <v>15.2</v>
      </c>
      <c r="U9243" s="538">
        <v>105</v>
      </c>
      <c r="V9243" s="538">
        <v>52.5</v>
      </c>
    </row>
    <row r="9244" spans="1:22">
      <c r="A9244" s="499">
        <v>45818</v>
      </c>
      <c r="B9244" s="499">
        <v>45818</v>
      </c>
      <c r="C9244" s="500" t="s">
        <v>173</v>
      </c>
      <c r="D9244" s="500" t="s">
        <v>759</v>
      </c>
      <c r="E9244" s="501">
        <v>-72002280.239999995</v>
      </c>
      <c r="F9244" s="502" t="s">
        <v>878</v>
      </c>
      <c r="G9244" s="100">
        <v>117417614</v>
      </c>
      <c r="H9244" s="530"/>
      <c r="I9244" s="422" t="s">
        <v>598</v>
      </c>
      <c r="J9244" s="484"/>
      <c r="K9244" s="548"/>
      <c r="L9244" s="548"/>
      <c r="M9244" s="548"/>
      <c r="N9244" s="552">
        <v>71280</v>
      </c>
      <c r="R9244" s="539">
        <v>1010.1329999999999</v>
      </c>
      <c r="S9244" s="539">
        <v>1010.55365810887</v>
      </c>
      <c r="T9244" s="538">
        <v>15.2</v>
      </c>
      <c r="U9244" s="538">
        <v>108</v>
      </c>
      <c r="V9244" s="538">
        <v>54</v>
      </c>
    </row>
    <row r="9245" spans="1:22">
      <c r="A9245" s="499">
        <v>45818</v>
      </c>
      <c r="B9245" s="499">
        <v>45818</v>
      </c>
      <c r="C9245" s="500" t="s">
        <v>173</v>
      </c>
      <c r="D9245" s="500" t="s">
        <v>759</v>
      </c>
      <c r="E9245" s="501">
        <v>-84074541.519999996</v>
      </c>
      <c r="F9245" s="502" t="s">
        <v>878</v>
      </c>
      <c r="G9245" s="100">
        <v>117417617</v>
      </c>
      <c r="H9245" s="530"/>
      <c r="I9245" s="422" t="s">
        <v>819</v>
      </c>
      <c r="J9245" s="484"/>
      <c r="K9245" s="548"/>
      <c r="L9245" s="548"/>
      <c r="M9245" s="548"/>
      <c r="N9245" s="552">
        <v>83412</v>
      </c>
      <c r="R9245" s="539">
        <v>1007.9430000479547</v>
      </c>
      <c r="S9245" s="539">
        <v>1008.36274612766</v>
      </c>
      <c r="T9245" s="538">
        <v>15.2</v>
      </c>
      <c r="U9245" s="538">
        <v>126.11</v>
      </c>
      <c r="V9245" s="538">
        <v>63.06</v>
      </c>
    </row>
    <row r="9246" spans="1:22">
      <c r="A9246" s="499">
        <v>45818</v>
      </c>
      <c r="B9246" s="499">
        <v>45818</v>
      </c>
      <c r="C9246" s="500" t="s">
        <v>173</v>
      </c>
      <c r="D9246" s="500" t="s">
        <v>759</v>
      </c>
      <c r="E9246" s="501">
        <v>-85079142.739999995</v>
      </c>
      <c r="F9246" s="502" t="s">
        <v>878</v>
      </c>
      <c r="G9246" s="100">
        <v>117417620</v>
      </c>
      <c r="H9246" s="530"/>
      <c r="I9246" s="422" t="s">
        <v>824</v>
      </c>
      <c r="J9246" s="484"/>
      <c r="K9246" s="548"/>
      <c r="L9246" s="548"/>
      <c r="M9246" s="548"/>
      <c r="N9246" s="552">
        <v>84405</v>
      </c>
      <c r="R9246" s="539">
        <v>1007.9870000592381</v>
      </c>
      <c r="S9246" s="539">
        <v>1008.40676452817</v>
      </c>
      <c r="T9246" s="538">
        <v>15.2</v>
      </c>
      <c r="U9246" s="538">
        <v>127.62</v>
      </c>
      <c r="V9246" s="538">
        <v>63.81</v>
      </c>
    </row>
    <row r="9247" spans="1:22">
      <c r="A9247" s="499">
        <v>45818</v>
      </c>
      <c r="B9247" s="499">
        <v>45818</v>
      </c>
      <c r="C9247" s="500" t="s">
        <v>173</v>
      </c>
      <c r="D9247" s="500" t="s">
        <v>759</v>
      </c>
      <c r="E9247" s="501">
        <v>-86033681.900000006</v>
      </c>
      <c r="F9247" s="502" t="s">
        <v>878</v>
      </c>
      <c r="G9247" s="100">
        <v>117417623</v>
      </c>
      <c r="H9247" s="530"/>
      <c r="I9247" s="422" t="s">
        <v>711</v>
      </c>
      <c r="J9247" s="484"/>
      <c r="K9247" s="548"/>
      <c r="L9247" s="548"/>
      <c r="M9247" s="548"/>
      <c r="N9247" s="552">
        <v>98986</v>
      </c>
      <c r="R9247" s="539">
        <v>869.15000000000009</v>
      </c>
      <c r="S9247" s="539">
        <v>869.51194744711404</v>
      </c>
      <c r="T9247" s="538">
        <v>15.2</v>
      </c>
      <c r="U9247" s="538">
        <v>129.05000000000001</v>
      </c>
      <c r="V9247" s="538">
        <v>64.53</v>
      </c>
    </row>
    <row r="9248" spans="1:22">
      <c r="A9248" s="499">
        <v>45818</v>
      </c>
      <c r="B9248" s="499">
        <v>45818</v>
      </c>
      <c r="C9248" s="500" t="s">
        <v>173</v>
      </c>
      <c r="D9248" s="500" t="s">
        <v>759</v>
      </c>
      <c r="E9248" s="501">
        <v>-86033681.900000006</v>
      </c>
      <c r="F9248" s="502" t="s">
        <v>878</v>
      </c>
      <c r="G9248" s="100">
        <v>117417626</v>
      </c>
      <c r="H9248" s="530"/>
      <c r="I9248" s="422" t="s">
        <v>711</v>
      </c>
      <c r="J9248" s="484"/>
      <c r="K9248" s="548"/>
      <c r="L9248" s="548"/>
      <c r="M9248" s="548"/>
      <c r="N9248" s="552">
        <v>98986</v>
      </c>
      <c r="R9248" s="539">
        <v>869.15000000000009</v>
      </c>
      <c r="S9248" s="539">
        <v>869.51194744711404</v>
      </c>
      <c r="T9248" s="538">
        <v>15.2</v>
      </c>
      <c r="U9248" s="538">
        <v>129.05000000000001</v>
      </c>
      <c r="V9248" s="538">
        <v>64.53</v>
      </c>
    </row>
    <row r="9249" spans="1:22">
      <c r="A9249" s="499">
        <v>45818</v>
      </c>
      <c r="B9249" s="499">
        <v>45818</v>
      </c>
      <c r="C9249" s="500" t="s">
        <v>173</v>
      </c>
      <c r="D9249" s="500" t="s">
        <v>759</v>
      </c>
      <c r="E9249" s="501">
        <v>-94025793.689999998</v>
      </c>
      <c r="F9249" s="502" t="s">
        <v>878</v>
      </c>
      <c r="G9249" s="100">
        <v>117417629</v>
      </c>
      <c r="H9249" s="530"/>
      <c r="I9249" s="422" t="s">
        <v>596</v>
      </c>
      <c r="J9249" s="484"/>
      <c r="K9249" s="548"/>
      <c r="L9249" s="548"/>
      <c r="M9249" s="548"/>
      <c r="N9249" s="552">
        <v>90146</v>
      </c>
      <c r="R9249" s="539">
        <v>1043.0389999556276</v>
      </c>
      <c r="S9249" s="539">
        <v>1043.47336143589</v>
      </c>
      <c r="T9249" s="538">
        <v>15.2</v>
      </c>
      <c r="U9249" s="538">
        <v>141.04</v>
      </c>
      <c r="V9249" s="538">
        <v>70.52</v>
      </c>
    </row>
    <row r="9250" spans="1:22">
      <c r="A9250" s="499">
        <v>45818</v>
      </c>
      <c r="B9250" s="499">
        <v>45818</v>
      </c>
      <c r="C9250" s="500" t="s">
        <v>173</v>
      </c>
      <c r="D9250" s="500" t="s">
        <v>759</v>
      </c>
      <c r="E9250" s="501">
        <v>-94084249.939999998</v>
      </c>
      <c r="F9250" s="502" t="s">
        <v>878</v>
      </c>
      <c r="G9250" s="100">
        <v>117417632</v>
      </c>
      <c r="H9250" s="530"/>
      <c r="I9250" s="422" t="s">
        <v>816</v>
      </c>
      <c r="J9250" s="484"/>
      <c r="K9250" s="548"/>
      <c r="L9250" s="548"/>
      <c r="M9250" s="548"/>
      <c r="N9250" s="552">
        <v>93718</v>
      </c>
      <c r="R9250" s="539">
        <v>1003.9079999573188</v>
      </c>
      <c r="S9250" s="539">
        <v>1004.32606575044</v>
      </c>
      <c r="T9250" s="538">
        <v>15.2</v>
      </c>
      <c r="U9250" s="538">
        <v>141.13</v>
      </c>
      <c r="V9250" s="538">
        <v>70.56</v>
      </c>
    </row>
    <row r="9251" spans="1:22">
      <c r="A9251" s="499">
        <v>45818</v>
      </c>
      <c r="B9251" s="499">
        <v>45818</v>
      </c>
      <c r="C9251" s="500" t="s">
        <v>173</v>
      </c>
      <c r="D9251" s="500" t="s">
        <v>759</v>
      </c>
      <c r="E9251" s="501">
        <v>-96014029.819999993</v>
      </c>
      <c r="F9251" s="502" t="s">
        <v>878</v>
      </c>
      <c r="G9251" s="100">
        <v>117417635</v>
      </c>
      <c r="H9251" s="530"/>
      <c r="I9251" s="422" t="s">
        <v>823</v>
      </c>
      <c r="J9251" s="484"/>
      <c r="K9251" s="548"/>
      <c r="L9251" s="548"/>
      <c r="M9251" s="548"/>
      <c r="N9251" s="552">
        <v>89568</v>
      </c>
      <c r="R9251" s="539">
        <v>1071.9679999553412</v>
      </c>
      <c r="S9251" s="539">
        <v>1072.4144084940999</v>
      </c>
      <c r="T9251" s="538">
        <v>15.2</v>
      </c>
      <c r="U9251" s="538">
        <v>144.02000000000001</v>
      </c>
      <c r="V9251" s="538">
        <v>72.010000000000005</v>
      </c>
    </row>
    <row r="9252" spans="1:22">
      <c r="A9252" s="499">
        <v>45818</v>
      </c>
      <c r="B9252" s="499">
        <v>45818</v>
      </c>
      <c r="C9252" s="500" t="s">
        <v>173</v>
      </c>
      <c r="D9252" s="500" t="s">
        <v>759</v>
      </c>
      <c r="E9252" s="501">
        <v>-104013378.56</v>
      </c>
      <c r="F9252" s="502" t="s">
        <v>878</v>
      </c>
      <c r="G9252" s="100">
        <v>117417638</v>
      </c>
      <c r="H9252" s="530"/>
      <c r="I9252" s="422" t="s">
        <v>600</v>
      </c>
      <c r="J9252" s="484"/>
      <c r="K9252" s="548"/>
      <c r="L9252" s="548"/>
      <c r="M9252" s="548"/>
      <c r="N9252" s="552">
        <v>116480</v>
      </c>
      <c r="R9252" s="539">
        <v>892.97199999999998</v>
      </c>
      <c r="S9252" s="539">
        <v>893.34386778846203</v>
      </c>
      <c r="T9252" s="538">
        <v>15.2</v>
      </c>
      <c r="U9252" s="538">
        <v>156.02000000000001</v>
      </c>
      <c r="V9252" s="538">
        <v>78.010000000000005</v>
      </c>
    </row>
    <row r="9253" spans="1:22">
      <c r="A9253" s="499">
        <v>45818</v>
      </c>
      <c r="B9253" s="499">
        <v>45818</v>
      </c>
      <c r="C9253" s="500" t="s">
        <v>173</v>
      </c>
      <c r="D9253" s="500" t="s">
        <v>759</v>
      </c>
      <c r="E9253" s="501">
        <v>-113073138.12</v>
      </c>
      <c r="F9253" s="502" t="s">
        <v>878</v>
      </c>
      <c r="G9253" s="100">
        <v>117417641</v>
      </c>
      <c r="H9253" s="530"/>
      <c r="I9253" s="422" t="s">
        <v>709</v>
      </c>
      <c r="J9253" s="484"/>
      <c r="K9253" s="548"/>
      <c r="L9253" s="548"/>
      <c r="M9253" s="548"/>
      <c r="N9253" s="552">
        <v>125430</v>
      </c>
      <c r="R9253" s="539">
        <v>901.48400000000004</v>
      </c>
      <c r="S9253" s="539">
        <v>901.85941250099597</v>
      </c>
      <c r="T9253" s="538">
        <v>15.2</v>
      </c>
      <c r="U9253" s="538">
        <v>169.61</v>
      </c>
      <c r="V9253" s="538">
        <v>84.8</v>
      </c>
    </row>
    <row r="9254" spans="1:22">
      <c r="A9254" s="499">
        <v>45818</v>
      </c>
      <c r="B9254" s="499">
        <v>45818</v>
      </c>
      <c r="C9254" s="500" t="s">
        <v>173</v>
      </c>
      <c r="D9254" s="500" t="s">
        <v>759</v>
      </c>
      <c r="E9254" s="501">
        <v>-118063196.08</v>
      </c>
      <c r="F9254" s="502" t="s">
        <v>878</v>
      </c>
      <c r="G9254" s="100">
        <v>117417644</v>
      </c>
      <c r="H9254" s="530"/>
      <c r="I9254" s="422" t="s">
        <v>817</v>
      </c>
      <c r="J9254" s="484"/>
      <c r="K9254" s="548"/>
      <c r="L9254" s="548"/>
      <c r="M9254" s="548"/>
      <c r="N9254" s="552">
        <v>114106</v>
      </c>
      <c r="R9254" s="539">
        <v>1034.68</v>
      </c>
      <c r="S9254" s="539">
        <v>1035.1108804094399</v>
      </c>
      <c r="T9254" s="538">
        <v>15.2</v>
      </c>
      <c r="U9254" s="538">
        <v>177.09</v>
      </c>
      <c r="V9254" s="538">
        <v>88.55</v>
      </c>
    </row>
    <row r="9255" spans="1:22">
      <c r="A9255" s="499">
        <v>45818</v>
      </c>
      <c r="B9255" s="499">
        <v>45818</v>
      </c>
      <c r="C9255" s="500" t="s">
        <v>173</v>
      </c>
      <c r="D9255" s="500" t="s">
        <v>759</v>
      </c>
      <c r="E9255" s="501">
        <v>-120015436.8</v>
      </c>
      <c r="F9255" s="502" t="s">
        <v>878</v>
      </c>
      <c r="G9255" s="100">
        <v>117417647</v>
      </c>
      <c r="H9255" s="530"/>
      <c r="I9255" s="422" t="s">
        <v>600</v>
      </c>
      <c r="J9255" s="484"/>
      <c r="K9255" s="548"/>
      <c r="L9255" s="548"/>
      <c r="M9255" s="548"/>
      <c r="N9255" s="552">
        <v>134400</v>
      </c>
      <c r="R9255" s="539">
        <v>892.97199999999998</v>
      </c>
      <c r="S9255" s="539">
        <v>893.34386778273802</v>
      </c>
      <c r="T9255" s="538">
        <v>15.2</v>
      </c>
      <c r="U9255" s="538">
        <v>180.02</v>
      </c>
      <c r="V9255" s="538">
        <v>90.01</v>
      </c>
    </row>
    <row r="9256" spans="1:22">
      <c r="A9256" s="499">
        <v>45818</v>
      </c>
      <c r="B9256" s="499">
        <v>45818</v>
      </c>
      <c r="C9256" s="500" t="s">
        <v>173</v>
      </c>
      <c r="D9256" s="500" t="s">
        <v>759</v>
      </c>
      <c r="E9256" s="501">
        <v>-122038357.17</v>
      </c>
      <c r="F9256" s="502" t="s">
        <v>878</v>
      </c>
      <c r="G9256" s="100">
        <v>117417650</v>
      </c>
      <c r="H9256" s="530"/>
      <c r="I9256" s="422" t="s">
        <v>715</v>
      </c>
      <c r="J9256" s="484"/>
      <c r="K9256" s="548"/>
      <c r="L9256" s="548"/>
      <c r="M9256" s="548"/>
      <c r="N9256" s="552">
        <v>158966</v>
      </c>
      <c r="R9256" s="539">
        <v>767.70100002516267</v>
      </c>
      <c r="S9256" s="539">
        <v>768.02070014971798</v>
      </c>
      <c r="T9256" s="538">
        <v>15.2</v>
      </c>
      <c r="U9256" s="538">
        <v>183.06</v>
      </c>
      <c r="V9256" s="538">
        <v>91.53</v>
      </c>
    </row>
    <row r="9257" spans="1:22">
      <c r="A9257" s="499">
        <v>45818</v>
      </c>
      <c r="B9257" s="499">
        <v>45818</v>
      </c>
      <c r="C9257" s="500" t="s">
        <v>173</v>
      </c>
      <c r="D9257" s="500" t="s">
        <v>759</v>
      </c>
      <c r="E9257" s="501">
        <v>-131081949.54000001</v>
      </c>
      <c r="F9257" s="502" t="s">
        <v>878</v>
      </c>
      <c r="G9257" s="100">
        <v>117417653</v>
      </c>
      <c r="H9257" s="530"/>
      <c r="I9257" s="422" t="s">
        <v>602</v>
      </c>
      <c r="J9257" s="484"/>
      <c r="K9257" s="548"/>
      <c r="L9257" s="548"/>
      <c r="M9257" s="548"/>
      <c r="N9257" s="552">
        <v>155497</v>
      </c>
      <c r="R9257" s="539">
        <v>842.987000006431</v>
      </c>
      <c r="S9257" s="539">
        <v>843.33805211676099</v>
      </c>
      <c r="T9257" s="538">
        <v>15.2</v>
      </c>
      <c r="U9257" s="538">
        <v>196.62</v>
      </c>
      <c r="V9257" s="538">
        <v>98.31</v>
      </c>
    </row>
    <row r="9258" spans="1:22">
      <c r="A9258" s="499">
        <v>45818</v>
      </c>
      <c r="B9258" s="499">
        <v>45818</v>
      </c>
      <c r="C9258" s="500" t="s">
        <v>173</v>
      </c>
      <c r="D9258" s="500" t="s">
        <v>759</v>
      </c>
      <c r="E9258" s="501">
        <v>-86017012.819999993</v>
      </c>
      <c r="F9258" s="502" t="s">
        <v>878</v>
      </c>
      <c r="G9258" s="100">
        <v>117417656</v>
      </c>
      <c r="H9258" s="530"/>
      <c r="I9258" s="422" t="s">
        <v>550</v>
      </c>
      <c r="J9258" s="484"/>
      <c r="K9258" s="548"/>
      <c r="L9258" s="548"/>
      <c r="M9258" s="548"/>
      <c r="N9258" s="552">
        <v>166410</v>
      </c>
      <c r="R9258" s="539">
        <v>516.89809999399074</v>
      </c>
      <c r="S9258" s="539">
        <v>517.11335616849897</v>
      </c>
      <c r="T9258" s="538">
        <v>15.2</v>
      </c>
      <c r="U9258" s="538">
        <v>129.03</v>
      </c>
      <c r="V9258" s="538">
        <v>64.510000000000005</v>
      </c>
    </row>
    <row r="9259" spans="1:22">
      <c r="A9259" s="499">
        <v>45818</v>
      </c>
      <c r="B9259" s="499">
        <v>45818</v>
      </c>
      <c r="C9259" s="500" t="s">
        <v>173</v>
      </c>
      <c r="D9259" s="500" t="s">
        <v>759</v>
      </c>
      <c r="E9259" s="501">
        <v>-15006163.02</v>
      </c>
      <c r="F9259" s="502" t="s">
        <v>878</v>
      </c>
      <c r="G9259" s="100">
        <v>117420175</v>
      </c>
      <c r="H9259" s="530"/>
      <c r="I9259" s="422" t="s">
        <v>633</v>
      </c>
      <c r="J9259" s="484"/>
      <c r="K9259" s="548"/>
      <c r="L9259" s="548"/>
      <c r="M9259" s="548"/>
      <c r="N9259" s="552">
        <v>28950</v>
      </c>
      <c r="R9259" s="539">
        <v>518.34759999999994</v>
      </c>
      <c r="S9259" s="539">
        <v>518.56630155440405</v>
      </c>
      <c r="T9259" s="538">
        <v>15.4001</v>
      </c>
      <c r="U9259" s="538">
        <v>39.32</v>
      </c>
      <c r="V9259" s="538">
        <v>11.25</v>
      </c>
    </row>
    <row r="9260" spans="1:22">
      <c r="A9260" s="499">
        <v>45818</v>
      </c>
      <c r="B9260" s="499">
        <v>45819</v>
      </c>
      <c r="C9260" s="500" t="s">
        <v>173</v>
      </c>
      <c r="D9260" s="500" t="s">
        <v>759</v>
      </c>
      <c r="E9260" s="501">
        <v>1000448.12</v>
      </c>
      <c r="F9260" s="502" t="s">
        <v>878</v>
      </c>
      <c r="G9260" s="100">
        <v>117417433</v>
      </c>
      <c r="H9260" s="100">
        <v>117417433</v>
      </c>
      <c r="I9260" s="422" t="s">
        <v>598</v>
      </c>
      <c r="J9260" s="484"/>
      <c r="K9260" s="548"/>
      <c r="L9260" s="548"/>
      <c r="M9260" s="548"/>
      <c r="N9260" s="552">
        <v>990</v>
      </c>
      <c r="R9260" s="539">
        <v>1010.133</v>
      </c>
      <c r="S9260" s="539">
        <v>1010.55365656566</v>
      </c>
      <c r="T9260" s="538">
        <v>15.2</v>
      </c>
      <c r="U9260" s="538">
        <v>39.32</v>
      </c>
      <c r="V9260" s="538">
        <v>0.75</v>
      </c>
    </row>
    <row r="9261" spans="1:22">
      <c r="A9261" s="499">
        <v>45818</v>
      </c>
      <c r="B9261" s="499">
        <v>45819</v>
      </c>
      <c r="C9261" s="500" t="s">
        <v>173</v>
      </c>
      <c r="D9261" s="500" t="s">
        <v>759</v>
      </c>
      <c r="E9261" s="501">
        <v>1000637.32</v>
      </c>
      <c r="F9261" s="502" t="s">
        <v>878</v>
      </c>
      <c r="G9261" s="100">
        <v>117417436</v>
      </c>
      <c r="H9261" s="100">
        <v>117417436</v>
      </c>
      <c r="I9261" s="422" t="s">
        <v>592</v>
      </c>
      <c r="J9261" s="484"/>
      <c r="K9261" s="548"/>
      <c r="L9261" s="548"/>
      <c r="M9261" s="548"/>
      <c r="N9261" s="552">
        <v>1251</v>
      </c>
      <c r="R9261" s="539">
        <v>799.53700239808154</v>
      </c>
      <c r="S9261" s="539">
        <v>799.86996003197396</v>
      </c>
      <c r="T9261" s="538">
        <v>15.2</v>
      </c>
      <c r="U9261" s="538">
        <v>39.32</v>
      </c>
      <c r="V9261" s="538">
        <v>0.75</v>
      </c>
    </row>
    <row r="9262" spans="1:22">
      <c r="A9262" s="499">
        <v>45818</v>
      </c>
      <c r="B9262" s="499">
        <v>45819</v>
      </c>
      <c r="C9262" s="500" t="s">
        <v>173</v>
      </c>
      <c r="D9262" s="500" t="s">
        <v>759</v>
      </c>
      <c r="E9262" s="501">
        <v>1000709.67</v>
      </c>
      <c r="F9262" s="502" t="s">
        <v>878</v>
      </c>
      <c r="G9262" s="100">
        <v>117417439</v>
      </c>
      <c r="H9262" s="100">
        <v>117417439</v>
      </c>
      <c r="I9262" s="422" t="s">
        <v>713</v>
      </c>
      <c r="J9262" s="484"/>
      <c r="K9262" s="548"/>
      <c r="L9262" s="548"/>
      <c r="M9262" s="548"/>
      <c r="N9262" s="552">
        <v>1317</v>
      </c>
      <c r="R9262" s="539">
        <v>759.52400151860286</v>
      </c>
      <c r="S9262" s="539">
        <v>759.84029612756297</v>
      </c>
      <c r="T9262" s="538">
        <v>15.2</v>
      </c>
      <c r="U9262" s="538">
        <v>39.32</v>
      </c>
      <c r="V9262" s="538">
        <v>0.75</v>
      </c>
    </row>
    <row r="9263" spans="1:22">
      <c r="A9263" s="499">
        <v>45818</v>
      </c>
      <c r="B9263" s="499">
        <v>45819</v>
      </c>
      <c r="C9263" s="500" t="s">
        <v>173</v>
      </c>
      <c r="D9263" s="500" t="s">
        <v>759</v>
      </c>
      <c r="E9263" s="501">
        <v>1000730.97</v>
      </c>
      <c r="F9263" s="502" t="s">
        <v>878</v>
      </c>
      <c r="G9263" s="100">
        <v>117417442</v>
      </c>
      <c r="H9263" s="100">
        <v>117417442</v>
      </c>
      <c r="I9263" s="422" t="s">
        <v>715</v>
      </c>
      <c r="J9263" s="484"/>
      <c r="K9263" s="548"/>
      <c r="L9263" s="548"/>
      <c r="M9263" s="548"/>
      <c r="N9263" s="552">
        <v>1303</v>
      </c>
      <c r="R9263" s="539">
        <v>767.70099769762089</v>
      </c>
      <c r="S9263" s="539">
        <v>768.02069838833495</v>
      </c>
      <c r="T9263" s="538">
        <v>15.2</v>
      </c>
      <c r="U9263" s="538">
        <v>39.32</v>
      </c>
      <c r="V9263" s="538">
        <v>0.75</v>
      </c>
    </row>
    <row r="9264" spans="1:22">
      <c r="A9264" s="499">
        <v>45818</v>
      </c>
      <c r="B9264" s="499">
        <v>45819</v>
      </c>
      <c r="C9264" s="500" t="s">
        <v>173</v>
      </c>
      <c r="D9264" s="500" t="s">
        <v>759</v>
      </c>
      <c r="E9264" s="501">
        <v>2002078.52</v>
      </c>
      <c r="F9264" s="502" t="s">
        <v>878</v>
      </c>
      <c r="G9264" s="100">
        <v>117417445</v>
      </c>
      <c r="H9264" s="100">
        <v>117417445</v>
      </c>
      <c r="I9264" s="422" t="s">
        <v>677</v>
      </c>
      <c r="J9264" s="484"/>
      <c r="K9264" s="548"/>
      <c r="L9264" s="548"/>
      <c r="M9264" s="548"/>
      <c r="N9264" s="552">
        <v>2240</v>
      </c>
      <c r="R9264" s="539">
        <v>893.41300000000001</v>
      </c>
      <c r="S9264" s="539">
        <v>893.78505357142797</v>
      </c>
      <c r="T9264" s="538">
        <v>15.2</v>
      </c>
      <c r="U9264" s="538">
        <v>39.32</v>
      </c>
      <c r="V9264" s="538">
        <v>1.5</v>
      </c>
    </row>
    <row r="9265" spans="1:22">
      <c r="A9265" s="499">
        <v>45818</v>
      </c>
      <c r="B9265" s="499">
        <v>45819</v>
      </c>
      <c r="C9265" s="500" t="s">
        <v>173</v>
      </c>
      <c r="D9265" s="500" t="s">
        <v>759</v>
      </c>
      <c r="E9265" s="501">
        <v>2001090.26</v>
      </c>
      <c r="F9265" s="502" t="s">
        <v>878</v>
      </c>
      <c r="G9265" s="100">
        <v>117417448</v>
      </c>
      <c r="H9265" s="100">
        <v>117417448</v>
      </c>
      <c r="I9265" s="422" t="s">
        <v>600</v>
      </c>
      <c r="J9265" s="484"/>
      <c r="K9265" s="548"/>
      <c r="L9265" s="548"/>
      <c r="M9265" s="548"/>
      <c r="N9265" s="552">
        <v>2240</v>
      </c>
      <c r="R9265" s="539">
        <v>892.97199999999998</v>
      </c>
      <c r="S9265" s="539">
        <v>893.34386607142903</v>
      </c>
      <c r="T9265" s="538">
        <v>15.2</v>
      </c>
      <c r="U9265" s="538">
        <v>39.32</v>
      </c>
      <c r="V9265" s="538">
        <v>1.5</v>
      </c>
    </row>
    <row r="9266" spans="1:22">
      <c r="A9266" s="499">
        <v>45818</v>
      </c>
      <c r="B9266" s="499">
        <v>45819</v>
      </c>
      <c r="C9266" s="500" t="s">
        <v>173</v>
      </c>
      <c r="D9266" s="500" t="s">
        <v>759</v>
      </c>
      <c r="E9266" s="501">
        <v>2001947.05</v>
      </c>
      <c r="F9266" s="502" t="s">
        <v>878</v>
      </c>
      <c r="G9266" s="100">
        <v>117417451</v>
      </c>
      <c r="H9266" s="100">
        <v>117417451</v>
      </c>
      <c r="I9266" s="422" t="s">
        <v>671</v>
      </c>
      <c r="J9266" s="484"/>
      <c r="K9266" s="548"/>
      <c r="L9266" s="548"/>
      <c r="M9266" s="548"/>
      <c r="N9266" s="552">
        <v>1964</v>
      </c>
      <c r="R9266" s="539">
        <v>1018.8970010183299</v>
      </c>
      <c r="S9266" s="539">
        <v>1019.32130855397</v>
      </c>
      <c r="T9266" s="538">
        <v>15.2</v>
      </c>
      <c r="U9266" s="538">
        <v>39.32</v>
      </c>
      <c r="V9266" s="538">
        <v>1.5</v>
      </c>
    </row>
    <row r="9267" spans="1:22">
      <c r="A9267" s="499">
        <v>45818</v>
      </c>
      <c r="B9267" s="499">
        <v>45819</v>
      </c>
      <c r="C9267" s="500" t="s">
        <v>173</v>
      </c>
      <c r="D9267" s="500" t="s">
        <v>759</v>
      </c>
      <c r="E9267" s="501">
        <v>3002856.66</v>
      </c>
      <c r="F9267" s="502" t="s">
        <v>878</v>
      </c>
      <c r="G9267" s="100">
        <v>117417454</v>
      </c>
      <c r="H9267" s="100">
        <v>117417454</v>
      </c>
      <c r="I9267" s="422" t="s">
        <v>817</v>
      </c>
      <c r="J9267" s="484"/>
      <c r="K9267" s="548"/>
      <c r="L9267" s="548"/>
      <c r="M9267" s="548"/>
      <c r="N9267" s="552">
        <v>2901</v>
      </c>
      <c r="R9267" s="539">
        <v>1034.68</v>
      </c>
      <c r="S9267" s="539">
        <v>1035.1108790072401</v>
      </c>
      <c r="T9267" s="538">
        <v>15.2</v>
      </c>
      <c r="U9267" s="538">
        <v>39.32</v>
      </c>
      <c r="V9267" s="538">
        <v>2.25</v>
      </c>
    </row>
    <row r="9268" spans="1:22">
      <c r="A9268" s="499">
        <v>45818</v>
      </c>
      <c r="B9268" s="499">
        <v>45819</v>
      </c>
      <c r="C9268" s="500" t="s">
        <v>173</v>
      </c>
      <c r="D9268" s="500" t="s">
        <v>759</v>
      </c>
      <c r="E9268" s="501">
        <v>3001635.4</v>
      </c>
      <c r="F9268" s="502" t="s">
        <v>878</v>
      </c>
      <c r="G9268" s="100">
        <v>117417457</v>
      </c>
      <c r="H9268" s="100">
        <v>117417457</v>
      </c>
      <c r="I9268" s="422" t="s">
        <v>600</v>
      </c>
      <c r="J9268" s="484"/>
      <c r="K9268" s="548"/>
      <c r="L9268" s="548"/>
      <c r="M9268" s="548"/>
      <c r="N9268" s="552">
        <v>3360</v>
      </c>
      <c r="R9268" s="539">
        <v>892.97199999999998</v>
      </c>
      <c r="S9268" s="539">
        <v>893.34386904761902</v>
      </c>
      <c r="T9268" s="538">
        <v>15.2</v>
      </c>
      <c r="U9268" s="538">
        <v>39.32</v>
      </c>
      <c r="V9268" s="538">
        <v>2.25</v>
      </c>
    </row>
    <row r="9269" spans="1:22">
      <c r="A9269" s="499">
        <v>45818</v>
      </c>
      <c r="B9269" s="499">
        <v>45819</v>
      </c>
      <c r="C9269" s="500" t="s">
        <v>173</v>
      </c>
      <c r="D9269" s="500" t="s">
        <v>759</v>
      </c>
      <c r="E9269" s="501">
        <v>3002072.86</v>
      </c>
      <c r="F9269" s="502" t="s">
        <v>878</v>
      </c>
      <c r="G9269" s="100">
        <v>117417460</v>
      </c>
      <c r="H9269" s="100">
        <v>117417460</v>
      </c>
      <c r="I9269" s="422" t="s">
        <v>596</v>
      </c>
      <c r="J9269" s="484"/>
      <c r="K9269" s="548"/>
      <c r="L9269" s="548"/>
      <c r="M9269" s="548"/>
      <c r="N9269" s="552">
        <v>2877</v>
      </c>
      <c r="R9269" s="539">
        <v>1043.0389989572473</v>
      </c>
      <c r="S9269" s="539">
        <v>1043.47336114008</v>
      </c>
      <c r="T9269" s="538">
        <v>15.2</v>
      </c>
      <c r="U9269" s="538">
        <v>39.32</v>
      </c>
      <c r="V9269" s="538">
        <v>2.25</v>
      </c>
    </row>
    <row r="9270" spans="1:22">
      <c r="A9270" s="499">
        <v>45818</v>
      </c>
      <c r="B9270" s="499">
        <v>45819</v>
      </c>
      <c r="C9270" s="500" t="s">
        <v>173</v>
      </c>
      <c r="D9270" s="500" t="s">
        <v>759</v>
      </c>
      <c r="E9270" s="501">
        <v>4003783.55</v>
      </c>
      <c r="F9270" s="502" t="s">
        <v>878</v>
      </c>
      <c r="G9270" s="100">
        <v>117417463</v>
      </c>
      <c r="H9270" s="100">
        <v>117417463</v>
      </c>
      <c r="I9270" s="422" t="s">
        <v>604</v>
      </c>
      <c r="J9270" s="484"/>
      <c r="K9270" s="548"/>
      <c r="L9270" s="548"/>
      <c r="M9270" s="548"/>
      <c r="N9270" s="552">
        <v>4040</v>
      </c>
      <c r="R9270" s="539">
        <v>990.62299999999993</v>
      </c>
      <c r="S9270" s="539">
        <v>991.03553217821798</v>
      </c>
      <c r="T9270" s="538">
        <v>15.2</v>
      </c>
      <c r="U9270" s="538">
        <v>39.32</v>
      </c>
      <c r="V9270" s="538">
        <v>3</v>
      </c>
    </row>
    <row r="9271" spans="1:22">
      <c r="A9271" s="499">
        <v>45818</v>
      </c>
      <c r="B9271" s="499">
        <v>45819</v>
      </c>
      <c r="C9271" s="500" t="s">
        <v>173</v>
      </c>
      <c r="D9271" s="500" t="s">
        <v>759</v>
      </c>
      <c r="E9271" s="501">
        <v>4005162.71</v>
      </c>
      <c r="F9271" s="502" t="s">
        <v>878</v>
      </c>
      <c r="G9271" s="100">
        <v>117417466</v>
      </c>
      <c r="H9271" s="100">
        <v>117417466</v>
      </c>
      <c r="I9271" s="422" t="s">
        <v>654</v>
      </c>
      <c r="J9271" s="484"/>
      <c r="K9271" s="548"/>
      <c r="L9271" s="548"/>
      <c r="M9271" s="548"/>
      <c r="N9271" s="552">
        <v>3860</v>
      </c>
      <c r="R9271" s="539">
        <v>1037.175</v>
      </c>
      <c r="S9271" s="539">
        <v>1037.6069196891201</v>
      </c>
      <c r="T9271" s="538">
        <v>15.2</v>
      </c>
      <c r="U9271" s="538">
        <v>39.32</v>
      </c>
      <c r="V9271" s="538">
        <v>3</v>
      </c>
    </row>
    <row r="9272" spans="1:22">
      <c r="A9272" s="499">
        <v>45818</v>
      </c>
      <c r="B9272" s="499">
        <v>45819</v>
      </c>
      <c r="C9272" s="500" t="s">
        <v>173</v>
      </c>
      <c r="D9272" s="500" t="s">
        <v>759</v>
      </c>
      <c r="E9272" s="501">
        <v>5003233.79</v>
      </c>
      <c r="F9272" s="502" t="s">
        <v>878</v>
      </c>
      <c r="G9272" s="100">
        <v>117417469</v>
      </c>
      <c r="H9272" s="100">
        <v>117417469</v>
      </c>
      <c r="I9272" s="422" t="s">
        <v>676</v>
      </c>
      <c r="J9272" s="484"/>
      <c r="K9272" s="548"/>
      <c r="L9272" s="548"/>
      <c r="M9272" s="548"/>
      <c r="N9272" s="552">
        <v>5320</v>
      </c>
      <c r="R9272" s="539">
        <v>940.06600000000003</v>
      </c>
      <c r="S9272" s="539">
        <v>940.45747932330801</v>
      </c>
      <c r="T9272" s="538">
        <v>15.2</v>
      </c>
      <c r="U9272" s="538">
        <v>39.32</v>
      </c>
      <c r="V9272" s="538">
        <v>3.75</v>
      </c>
    </row>
    <row r="9273" spans="1:22">
      <c r="A9273" s="499">
        <v>45818</v>
      </c>
      <c r="B9273" s="499">
        <v>45819</v>
      </c>
      <c r="C9273" s="500" t="s">
        <v>173</v>
      </c>
      <c r="D9273" s="500" t="s">
        <v>759</v>
      </c>
      <c r="E9273" s="501">
        <v>5005448.62</v>
      </c>
      <c r="F9273" s="502" t="s">
        <v>878</v>
      </c>
      <c r="G9273" s="100">
        <v>117417472</v>
      </c>
      <c r="H9273" s="100">
        <v>117417472</v>
      </c>
      <c r="I9273" s="422" t="s">
        <v>705</v>
      </c>
      <c r="J9273" s="484"/>
      <c r="K9273" s="548"/>
      <c r="L9273" s="548"/>
      <c r="M9273" s="548"/>
      <c r="N9273" s="552">
        <v>6035</v>
      </c>
      <c r="R9273" s="539">
        <v>829.05799999999999</v>
      </c>
      <c r="S9273" s="539">
        <v>829.403251035626</v>
      </c>
      <c r="T9273" s="538">
        <v>15.2</v>
      </c>
      <c r="U9273" s="538">
        <v>39.32</v>
      </c>
      <c r="V9273" s="538">
        <v>3.75</v>
      </c>
    </row>
    <row r="9274" spans="1:22">
      <c r="A9274" s="499">
        <v>45818</v>
      </c>
      <c r="B9274" s="499">
        <v>45819</v>
      </c>
      <c r="C9274" s="500" t="s">
        <v>173</v>
      </c>
      <c r="D9274" s="500" t="s">
        <v>759</v>
      </c>
      <c r="E9274" s="501">
        <v>6003880.5499999998</v>
      </c>
      <c r="F9274" s="502" t="s">
        <v>878</v>
      </c>
      <c r="G9274" s="100">
        <v>117417475</v>
      </c>
      <c r="H9274" s="100">
        <v>117417475</v>
      </c>
      <c r="I9274" s="422" t="s">
        <v>676</v>
      </c>
      <c r="J9274" s="484"/>
      <c r="K9274" s="548"/>
      <c r="L9274" s="548"/>
      <c r="M9274" s="548"/>
      <c r="N9274" s="552">
        <v>6384</v>
      </c>
      <c r="R9274" s="539">
        <v>940.06599937343356</v>
      </c>
      <c r="S9274" s="539">
        <v>940.45747963659096</v>
      </c>
      <c r="T9274" s="538">
        <v>15.2</v>
      </c>
      <c r="U9274" s="538">
        <v>39.32</v>
      </c>
      <c r="V9274" s="538">
        <v>4.5</v>
      </c>
    </row>
    <row r="9275" spans="1:22">
      <c r="A9275" s="499">
        <v>45818</v>
      </c>
      <c r="B9275" s="499">
        <v>45819</v>
      </c>
      <c r="C9275" s="500" t="s">
        <v>173</v>
      </c>
      <c r="D9275" s="500" t="s">
        <v>759</v>
      </c>
      <c r="E9275" s="501">
        <v>6005432.46</v>
      </c>
      <c r="F9275" s="502" t="s">
        <v>878</v>
      </c>
      <c r="G9275" s="100">
        <v>117417478</v>
      </c>
      <c r="H9275" s="100">
        <v>117417478</v>
      </c>
      <c r="I9275" s="422" t="s">
        <v>673</v>
      </c>
      <c r="J9275" s="484"/>
      <c r="K9275" s="548"/>
      <c r="L9275" s="548"/>
      <c r="M9275" s="548"/>
      <c r="N9275" s="552">
        <v>6792</v>
      </c>
      <c r="R9275" s="539">
        <v>883.8240002944641</v>
      </c>
      <c r="S9275" s="539">
        <v>884.19205830388705</v>
      </c>
      <c r="T9275" s="538">
        <v>15.2</v>
      </c>
      <c r="U9275" s="538">
        <v>39.32</v>
      </c>
      <c r="V9275" s="538">
        <v>4.5</v>
      </c>
    </row>
    <row r="9276" spans="1:22">
      <c r="A9276" s="499">
        <v>45818</v>
      </c>
      <c r="B9276" s="499">
        <v>45819</v>
      </c>
      <c r="C9276" s="500" t="s">
        <v>173</v>
      </c>
      <c r="D9276" s="500" t="s">
        <v>759</v>
      </c>
      <c r="E9276" s="501">
        <v>7002927.4900000002</v>
      </c>
      <c r="F9276" s="502" t="s">
        <v>878</v>
      </c>
      <c r="G9276" s="100">
        <v>117417481</v>
      </c>
      <c r="H9276" s="100">
        <v>117417481</v>
      </c>
      <c r="I9276" s="422" t="s">
        <v>696</v>
      </c>
      <c r="J9276" s="484"/>
      <c r="K9276" s="548"/>
      <c r="L9276" s="548"/>
      <c r="M9276" s="548"/>
      <c r="N9276" s="552">
        <v>8533</v>
      </c>
      <c r="R9276" s="539">
        <v>820.34600023438418</v>
      </c>
      <c r="S9276" s="539">
        <v>820.68762334466203</v>
      </c>
      <c r="T9276" s="538">
        <v>15.2</v>
      </c>
      <c r="U9276" s="538">
        <v>39.32</v>
      </c>
      <c r="V9276" s="538">
        <v>5.25</v>
      </c>
    </row>
    <row r="9277" spans="1:22">
      <c r="A9277" s="499">
        <v>45818</v>
      </c>
      <c r="B9277" s="499">
        <v>45819</v>
      </c>
      <c r="C9277" s="500" t="s">
        <v>173</v>
      </c>
      <c r="D9277" s="500" t="s">
        <v>759</v>
      </c>
      <c r="E9277" s="501">
        <v>7006133.0499999998</v>
      </c>
      <c r="F9277" s="502" t="s">
        <v>878</v>
      </c>
      <c r="G9277" s="100">
        <v>117417484</v>
      </c>
      <c r="H9277" s="100">
        <v>117417484</v>
      </c>
      <c r="I9277" s="422" t="s">
        <v>674</v>
      </c>
      <c r="J9277" s="484"/>
      <c r="K9277" s="548"/>
      <c r="L9277" s="548"/>
      <c r="M9277" s="548"/>
      <c r="N9277" s="552">
        <v>7616</v>
      </c>
      <c r="R9277" s="539">
        <v>919.54</v>
      </c>
      <c r="S9277" s="539">
        <v>919.92293198529399</v>
      </c>
      <c r="T9277" s="538">
        <v>15.2</v>
      </c>
      <c r="U9277" s="538">
        <v>39.32</v>
      </c>
      <c r="V9277" s="538">
        <v>5.25</v>
      </c>
    </row>
    <row r="9278" spans="1:22">
      <c r="A9278" s="499">
        <v>45818</v>
      </c>
      <c r="B9278" s="499">
        <v>45819</v>
      </c>
      <c r="C9278" s="500" t="s">
        <v>173</v>
      </c>
      <c r="D9278" s="500" t="s">
        <v>759</v>
      </c>
      <c r="E9278" s="501">
        <v>9008513</v>
      </c>
      <c r="F9278" s="502" t="s">
        <v>878</v>
      </c>
      <c r="G9278" s="100">
        <v>117417487</v>
      </c>
      <c r="H9278" s="100">
        <v>117417487</v>
      </c>
      <c r="I9278" s="422" t="s">
        <v>604</v>
      </c>
      <c r="J9278" s="484"/>
      <c r="K9278" s="548"/>
      <c r="L9278" s="548"/>
      <c r="M9278" s="548"/>
      <c r="N9278" s="552">
        <v>9090</v>
      </c>
      <c r="R9278" s="539">
        <v>990.62300000000005</v>
      </c>
      <c r="S9278" s="539">
        <v>991.03553355335498</v>
      </c>
      <c r="T9278" s="538">
        <v>15.2</v>
      </c>
      <c r="U9278" s="538">
        <v>39.32</v>
      </c>
      <c r="V9278" s="538">
        <v>6.75</v>
      </c>
    </row>
    <row r="9279" spans="1:22">
      <c r="A9279" s="499">
        <v>45818</v>
      </c>
      <c r="B9279" s="499">
        <v>45819</v>
      </c>
      <c r="C9279" s="500" t="s">
        <v>173</v>
      </c>
      <c r="D9279" s="500" t="s">
        <v>759</v>
      </c>
      <c r="E9279" s="501">
        <v>9010501.5299999993</v>
      </c>
      <c r="F9279" s="502" t="s">
        <v>878</v>
      </c>
      <c r="G9279" s="100">
        <v>117417490</v>
      </c>
      <c r="H9279" s="100">
        <v>117417490</v>
      </c>
      <c r="I9279" s="422" t="s">
        <v>675</v>
      </c>
      <c r="J9279" s="484"/>
      <c r="K9279" s="548"/>
      <c r="L9279" s="548"/>
      <c r="M9279" s="548"/>
      <c r="N9279" s="552">
        <v>9774</v>
      </c>
      <c r="R9279" s="539">
        <v>921.50099959075089</v>
      </c>
      <c r="S9279" s="539">
        <v>921.88474831184806</v>
      </c>
      <c r="T9279" s="538">
        <v>15.2</v>
      </c>
      <c r="U9279" s="538">
        <v>39.32</v>
      </c>
      <c r="V9279" s="538">
        <v>6.76</v>
      </c>
    </row>
    <row r="9280" spans="1:22">
      <c r="A9280" s="499">
        <v>45818</v>
      </c>
      <c r="B9280" s="499">
        <v>45819</v>
      </c>
      <c r="C9280" s="500" t="s">
        <v>173</v>
      </c>
      <c r="D9280" s="500" t="s">
        <v>759</v>
      </c>
      <c r="E9280" s="501">
        <v>10013130.880000001</v>
      </c>
      <c r="F9280" s="502" t="s">
        <v>878</v>
      </c>
      <c r="G9280" s="100">
        <v>117417493</v>
      </c>
      <c r="H9280" s="100">
        <v>117417493</v>
      </c>
      <c r="I9280" s="422" t="s">
        <v>816</v>
      </c>
      <c r="J9280" s="484"/>
      <c r="K9280" s="548"/>
      <c r="L9280" s="548"/>
      <c r="M9280" s="548"/>
      <c r="N9280" s="552">
        <v>9970</v>
      </c>
      <c r="R9280" s="539">
        <v>1003.908</v>
      </c>
      <c r="S9280" s="539">
        <v>1004.3260661986</v>
      </c>
      <c r="T9280" s="538">
        <v>15.2</v>
      </c>
      <c r="U9280" s="538">
        <v>39.32</v>
      </c>
      <c r="V9280" s="538">
        <v>7.51</v>
      </c>
    </row>
    <row r="9281" spans="1:22">
      <c r="A9281" s="499">
        <v>45818</v>
      </c>
      <c r="B9281" s="499">
        <v>45819</v>
      </c>
      <c r="C9281" s="500" t="s">
        <v>173</v>
      </c>
      <c r="D9281" s="500" t="s">
        <v>759</v>
      </c>
      <c r="E9281" s="501">
        <v>12013076.689999999</v>
      </c>
      <c r="F9281" s="502" t="s">
        <v>878</v>
      </c>
      <c r="G9281" s="100">
        <v>117417496</v>
      </c>
      <c r="H9281" s="100">
        <v>117417496</v>
      </c>
      <c r="I9281" s="422" t="s">
        <v>705</v>
      </c>
      <c r="J9281" s="484"/>
      <c r="K9281" s="548"/>
      <c r="L9281" s="548"/>
      <c r="M9281" s="548"/>
      <c r="N9281" s="552">
        <v>14484</v>
      </c>
      <c r="R9281" s="539">
        <v>829.05799986191664</v>
      </c>
      <c r="S9281" s="539">
        <v>829.40325117370901</v>
      </c>
      <c r="T9281" s="538">
        <v>15.2</v>
      </c>
      <c r="U9281" s="538">
        <v>39.32</v>
      </c>
      <c r="V9281" s="538">
        <v>9.01</v>
      </c>
    </row>
    <row r="9282" spans="1:22">
      <c r="A9282" s="499">
        <v>45818</v>
      </c>
      <c r="B9282" s="499">
        <v>45819</v>
      </c>
      <c r="C9282" s="500" t="s">
        <v>173</v>
      </c>
      <c r="D9282" s="500" t="s">
        <v>759</v>
      </c>
      <c r="E9282" s="501">
        <v>14018383.220000001</v>
      </c>
      <c r="F9282" s="502" t="s">
        <v>878</v>
      </c>
      <c r="G9282" s="100">
        <v>117417499</v>
      </c>
      <c r="H9282" s="100">
        <v>117417499</v>
      </c>
      <c r="I9282" s="422" t="s">
        <v>816</v>
      </c>
      <c r="J9282" s="484"/>
      <c r="K9282" s="548"/>
      <c r="L9282" s="548"/>
      <c r="M9282" s="548"/>
      <c r="N9282" s="552">
        <v>13958</v>
      </c>
      <c r="R9282" s="539">
        <v>1003.907999713426</v>
      </c>
      <c r="S9282" s="539">
        <v>1004.32606533887</v>
      </c>
      <c r="T9282" s="538">
        <v>15.2</v>
      </c>
      <c r="U9282" s="538">
        <v>39.32</v>
      </c>
      <c r="V9282" s="538">
        <v>10.51</v>
      </c>
    </row>
    <row r="9283" spans="1:22">
      <c r="A9283" s="499">
        <v>45818</v>
      </c>
      <c r="B9283" s="499">
        <v>45819</v>
      </c>
      <c r="C9283" s="500" t="s">
        <v>173</v>
      </c>
      <c r="D9283" s="500" t="s">
        <v>759</v>
      </c>
      <c r="E9283" s="501">
        <v>15019563.109999999</v>
      </c>
      <c r="F9283" s="502" t="s">
        <v>878</v>
      </c>
      <c r="G9283" s="100">
        <v>117417502</v>
      </c>
      <c r="H9283" s="100">
        <v>117417502</v>
      </c>
      <c r="I9283" s="422" t="s">
        <v>819</v>
      </c>
      <c r="J9283" s="484"/>
      <c r="K9283" s="548"/>
      <c r="L9283" s="548"/>
      <c r="M9283" s="548"/>
      <c r="N9283" s="552">
        <v>14895</v>
      </c>
      <c r="R9283" s="539">
        <v>1007.9430003356831</v>
      </c>
      <c r="S9283" s="539">
        <v>1008.36274655925</v>
      </c>
      <c r="T9283" s="538">
        <v>15.2</v>
      </c>
      <c r="U9283" s="538">
        <v>39.32</v>
      </c>
      <c r="V9283" s="538">
        <v>11.26</v>
      </c>
    </row>
    <row r="9284" spans="1:22">
      <c r="A9284" s="499">
        <v>45818</v>
      </c>
      <c r="B9284" s="499">
        <v>45819</v>
      </c>
      <c r="C9284" s="500" t="s">
        <v>173</v>
      </c>
      <c r="D9284" s="500" t="s">
        <v>759</v>
      </c>
      <c r="E9284" s="501">
        <v>16021009.41</v>
      </c>
      <c r="F9284" s="502" t="s">
        <v>878</v>
      </c>
      <c r="G9284" s="100">
        <v>117417505</v>
      </c>
      <c r="H9284" s="100">
        <v>117417505</v>
      </c>
      <c r="I9284" s="422" t="s">
        <v>816</v>
      </c>
      <c r="J9284" s="484"/>
      <c r="K9284" s="548"/>
      <c r="L9284" s="548"/>
      <c r="M9284" s="548"/>
      <c r="N9284" s="552">
        <v>15952</v>
      </c>
      <c r="R9284" s="539">
        <v>1003.9080002507523</v>
      </c>
      <c r="S9284" s="539">
        <v>1004.3260663239701</v>
      </c>
      <c r="T9284" s="538">
        <v>15.2</v>
      </c>
      <c r="U9284" s="538">
        <v>39.32</v>
      </c>
      <c r="V9284" s="538">
        <v>12.01</v>
      </c>
    </row>
    <row r="9285" spans="1:22">
      <c r="A9285" s="499">
        <v>45818</v>
      </c>
      <c r="B9285" s="499">
        <v>45819</v>
      </c>
      <c r="C9285" s="500" t="s">
        <v>173</v>
      </c>
      <c r="D9285" s="500" t="s">
        <v>759</v>
      </c>
      <c r="E9285" s="501">
        <v>17014894.550000001</v>
      </c>
      <c r="F9285" s="502" t="s">
        <v>878</v>
      </c>
      <c r="G9285" s="100">
        <v>117417508</v>
      </c>
      <c r="H9285" s="100">
        <v>117417508</v>
      </c>
      <c r="I9285" s="422" t="s">
        <v>674</v>
      </c>
      <c r="J9285" s="484"/>
      <c r="K9285" s="548"/>
      <c r="L9285" s="548"/>
      <c r="M9285" s="548"/>
      <c r="N9285" s="552">
        <v>18496</v>
      </c>
      <c r="R9285" s="539">
        <v>919.54</v>
      </c>
      <c r="S9285" s="539">
        <v>919.92293198529399</v>
      </c>
      <c r="T9285" s="538">
        <v>15.2</v>
      </c>
      <c r="U9285" s="538">
        <v>39.32</v>
      </c>
      <c r="V9285" s="538">
        <v>12.76</v>
      </c>
    </row>
    <row r="9286" spans="1:22">
      <c r="A9286" s="499">
        <v>45818</v>
      </c>
      <c r="B9286" s="499">
        <v>45819</v>
      </c>
      <c r="C9286" s="500" t="s">
        <v>173</v>
      </c>
      <c r="D9286" s="500" t="s">
        <v>759</v>
      </c>
      <c r="E9286" s="501">
        <v>18011641.649999999</v>
      </c>
      <c r="F9286" s="502" t="s">
        <v>878</v>
      </c>
      <c r="G9286" s="100">
        <v>117417511</v>
      </c>
      <c r="H9286" s="100">
        <v>117417511</v>
      </c>
      <c r="I9286" s="422" t="s">
        <v>676</v>
      </c>
      <c r="J9286" s="484"/>
      <c r="K9286" s="548"/>
      <c r="L9286" s="548"/>
      <c r="M9286" s="548"/>
      <c r="N9286" s="552">
        <v>19152</v>
      </c>
      <c r="R9286" s="539">
        <v>940.0659998955723</v>
      </c>
      <c r="S9286" s="539">
        <v>940.45747963659096</v>
      </c>
      <c r="T9286" s="538">
        <v>15.2</v>
      </c>
      <c r="U9286" s="538">
        <v>39.32</v>
      </c>
      <c r="V9286" s="538">
        <v>13.5</v>
      </c>
    </row>
    <row r="9287" spans="1:22">
      <c r="A9287" s="499">
        <v>45818</v>
      </c>
      <c r="B9287" s="499">
        <v>45819</v>
      </c>
      <c r="C9287" s="500" t="s">
        <v>173</v>
      </c>
      <c r="D9287" s="500" t="s">
        <v>759</v>
      </c>
      <c r="E9287" s="501">
        <v>18018760.82</v>
      </c>
      <c r="F9287" s="502" t="s">
        <v>878</v>
      </c>
      <c r="G9287" s="100">
        <v>117417514</v>
      </c>
      <c r="H9287" s="100">
        <v>117417514</v>
      </c>
      <c r="I9287" s="422" t="s">
        <v>602</v>
      </c>
      <c r="J9287" s="484"/>
      <c r="K9287" s="548"/>
      <c r="L9287" s="548"/>
      <c r="M9287" s="548"/>
      <c r="N9287" s="552">
        <v>21366</v>
      </c>
      <c r="R9287" s="539">
        <v>842.98699990639329</v>
      </c>
      <c r="S9287" s="539">
        <v>843.33805204530597</v>
      </c>
      <c r="T9287" s="538">
        <v>15.2</v>
      </c>
      <c r="U9287" s="538">
        <v>39.32</v>
      </c>
      <c r="V9287" s="538">
        <v>13.51</v>
      </c>
    </row>
    <row r="9288" spans="1:22">
      <c r="A9288" s="499">
        <v>45818</v>
      </c>
      <c r="B9288" s="499">
        <v>45819</v>
      </c>
      <c r="C9288" s="500" t="s">
        <v>173</v>
      </c>
      <c r="D9288" s="500" t="s">
        <v>759</v>
      </c>
      <c r="E9288" s="501">
        <v>20020569.100000001</v>
      </c>
      <c r="F9288" s="502" t="s">
        <v>878</v>
      </c>
      <c r="G9288" s="100">
        <v>117417517</v>
      </c>
      <c r="H9288" s="100">
        <v>117417517</v>
      </c>
      <c r="I9288" s="422" t="s">
        <v>689</v>
      </c>
      <c r="J9288" s="484"/>
      <c r="K9288" s="548"/>
      <c r="L9288" s="548"/>
      <c r="M9288" s="548"/>
      <c r="N9288" s="552">
        <v>21740</v>
      </c>
      <c r="R9288" s="539">
        <v>920.52599999999995</v>
      </c>
      <c r="S9288" s="539">
        <v>920.90934222631097</v>
      </c>
      <c r="T9288" s="538">
        <v>15.2</v>
      </c>
      <c r="U9288" s="538">
        <v>39.32</v>
      </c>
      <c r="V9288" s="538">
        <v>15.01</v>
      </c>
    </row>
    <row r="9289" spans="1:22">
      <c r="A9289" s="499">
        <v>45818</v>
      </c>
      <c r="B9289" s="499">
        <v>45819</v>
      </c>
      <c r="C9289" s="500" t="s">
        <v>173</v>
      </c>
      <c r="D9289" s="500" t="s">
        <v>759</v>
      </c>
      <c r="E9289" s="501">
        <v>20021175.010000002</v>
      </c>
      <c r="F9289" s="502" t="s">
        <v>878</v>
      </c>
      <c r="G9289" s="100">
        <v>117417520</v>
      </c>
      <c r="H9289" s="100">
        <v>117417520</v>
      </c>
      <c r="I9289" s="422" t="s">
        <v>657</v>
      </c>
      <c r="J9289" s="484"/>
      <c r="K9289" s="548"/>
      <c r="L9289" s="548"/>
      <c r="M9289" s="548"/>
      <c r="N9289" s="552">
        <v>20540</v>
      </c>
      <c r="R9289" s="539">
        <v>974.33499999999992</v>
      </c>
      <c r="S9289" s="539">
        <v>974.74075024342801</v>
      </c>
      <c r="T9289" s="538">
        <v>15.2</v>
      </c>
      <c r="U9289" s="538">
        <v>39.32</v>
      </c>
      <c r="V9289" s="538">
        <v>15.01</v>
      </c>
    </row>
    <row r="9290" spans="1:22">
      <c r="A9290" s="499">
        <v>45818</v>
      </c>
      <c r="B9290" s="499">
        <v>45819</v>
      </c>
      <c r="C9290" s="500" t="s">
        <v>173</v>
      </c>
      <c r="D9290" s="500" t="s">
        <v>759</v>
      </c>
      <c r="E9290" s="501">
        <v>20025537.210000001</v>
      </c>
      <c r="F9290" s="502" t="s">
        <v>878</v>
      </c>
      <c r="G9290" s="100">
        <v>117417523</v>
      </c>
      <c r="H9290" s="100">
        <v>117417523</v>
      </c>
      <c r="I9290" s="422" t="s">
        <v>588</v>
      </c>
      <c r="J9290" s="484"/>
      <c r="K9290" s="548"/>
      <c r="L9290" s="548"/>
      <c r="M9290" s="548"/>
      <c r="N9290" s="552">
        <v>21460</v>
      </c>
      <c r="R9290" s="539">
        <v>932.76800000000003</v>
      </c>
      <c r="S9290" s="539">
        <v>933.15644035414698</v>
      </c>
      <c r="T9290" s="538">
        <v>15.2</v>
      </c>
      <c r="U9290" s="538">
        <v>39.32</v>
      </c>
      <c r="V9290" s="538">
        <v>15.01</v>
      </c>
    </row>
    <row r="9291" spans="1:22">
      <c r="A9291" s="499">
        <v>45818</v>
      </c>
      <c r="B9291" s="499">
        <v>45819</v>
      </c>
      <c r="C9291" s="500" t="s">
        <v>173</v>
      </c>
      <c r="D9291" s="500" t="s">
        <v>759</v>
      </c>
      <c r="E9291" s="501">
        <v>20025537.210000001</v>
      </c>
      <c r="F9291" s="502" t="s">
        <v>878</v>
      </c>
      <c r="G9291" s="100">
        <v>117417526</v>
      </c>
      <c r="H9291" s="100">
        <v>117417526</v>
      </c>
      <c r="I9291" s="422" t="s">
        <v>588</v>
      </c>
      <c r="J9291" s="484"/>
      <c r="K9291" s="548"/>
      <c r="L9291" s="548"/>
      <c r="M9291" s="548"/>
      <c r="N9291" s="552">
        <v>21460</v>
      </c>
      <c r="R9291" s="539">
        <v>932.76800000000003</v>
      </c>
      <c r="S9291" s="539">
        <v>933.15644035414698</v>
      </c>
      <c r="T9291" s="538">
        <v>15.2</v>
      </c>
      <c r="U9291" s="538">
        <v>39.32</v>
      </c>
      <c r="V9291" s="538">
        <v>15.01</v>
      </c>
    </row>
    <row r="9292" spans="1:22">
      <c r="A9292" s="499">
        <v>45818</v>
      </c>
      <c r="B9292" s="499">
        <v>45819</v>
      </c>
      <c r="C9292" s="500" t="s">
        <v>173</v>
      </c>
      <c r="D9292" s="500" t="s">
        <v>759</v>
      </c>
      <c r="E9292" s="501">
        <v>22022599.91</v>
      </c>
      <c r="F9292" s="502" t="s">
        <v>878</v>
      </c>
      <c r="G9292" s="100">
        <v>117417529</v>
      </c>
      <c r="H9292" s="100">
        <v>117417529</v>
      </c>
      <c r="I9292" s="422" t="s">
        <v>590</v>
      </c>
      <c r="J9292" s="484"/>
      <c r="K9292" s="548"/>
      <c r="L9292" s="548"/>
      <c r="M9292" s="548"/>
      <c r="N9292" s="552">
        <v>25256</v>
      </c>
      <c r="R9292" s="539">
        <v>871.61199992081094</v>
      </c>
      <c r="S9292" s="539">
        <v>871.97497267975905</v>
      </c>
      <c r="T9292" s="538">
        <v>15.2</v>
      </c>
      <c r="U9292" s="538">
        <v>39.32</v>
      </c>
      <c r="V9292" s="538">
        <v>16.510000000000002</v>
      </c>
    </row>
    <row r="9293" spans="1:22">
      <c r="A9293" s="499">
        <v>45818</v>
      </c>
      <c r="B9293" s="499">
        <v>45819</v>
      </c>
      <c r="C9293" s="500" t="s">
        <v>173</v>
      </c>
      <c r="D9293" s="500" t="s">
        <v>759</v>
      </c>
      <c r="E9293" s="501">
        <v>22016614.170000002</v>
      </c>
      <c r="F9293" s="502" t="s">
        <v>878</v>
      </c>
      <c r="G9293" s="100">
        <v>117417532</v>
      </c>
      <c r="H9293" s="100">
        <v>117417532</v>
      </c>
      <c r="I9293" s="422" t="s">
        <v>717</v>
      </c>
      <c r="J9293" s="484"/>
      <c r="K9293" s="548"/>
      <c r="L9293" s="548"/>
      <c r="M9293" s="548"/>
      <c r="N9293" s="552">
        <v>35068</v>
      </c>
      <c r="R9293" s="539">
        <v>627.56500000000005</v>
      </c>
      <c r="S9293" s="539">
        <v>627.82634224934395</v>
      </c>
      <c r="T9293" s="538">
        <v>15.2</v>
      </c>
      <c r="U9293" s="538">
        <v>39.32</v>
      </c>
      <c r="V9293" s="538">
        <v>16.510000000000002</v>
      </c>
    </row>
    <row r="9294" spans="1:22">
      <c r="A9294" s="499">
        <v>45818</v>
      </c>
      <c r="B9294" s="499">
        <v>45819</v>
      </c>
      <c r="C9294" s="500" t="s">
        <v>173</v>
      </c>
      <c r="D9294" s="500" t="s">
        <v>759</v>
      </c>
      <c r="E9294" s="501">
        <v>23031002.09</v>
      </c>
      <c r="F9294" s="502" t="s">
        <v>878</v>
      </c>
      <c r="G9294" s="100">
        <v>117417535</v>
      </c>
      <c r="H9294" s="100">
        <v>117417535</v>
      </c>
      <c r="I9294" s="422" t="s">
        <v>824</v>
      </c>
      <c r="J9294" s="484"/>
      <c r="K9294" s="548"/>
      <c r="L9294" s="548"/>
      <c r="M9294" s="548"/>
      <c r="N9294" s="552">
        <v>22839</v>
      </c>
      <c r="R9294" s="539">
        <v>1007.9869998686457</v>
      </c>
      <c r="S9294" s="539">
        <v>1008.40676430667</v>
      </c>
      <c r="T9294" s="538">
        <v>15.2</v>
      </c>
      <c r="U9294" s="538">
        <v>39.32</v>
      </c>
      <c r="V9294" s="538">
        <v>17.27</v>
      </c>
    </row>
    <row r="9295" spans="1:22">
      <c r="A9295" s="499">
        <v>45818</v>
      </c>
      <c r="B9295" s="499">
        <v>45819</v>
      </c>
      <c r="C9295" s="500" t="s">
        <v>173</v>
      </c>
      <c r="D9295" s="500" t="s">
        <v>759</v>
      </c>
      <c r="E9295" s="501">
        <v>24019840.199999999</v>
      </c>
      <c r="F9295" s="502" t="s">
        <v>878</v>
      </c>
      <c r="G9295" s="100">
        <v>117417538</v>
      </c>
      <c r="H9295" s="100">
        <v>117417538</v>
      </c>
      <c r="I9295" s="422" t="s">
        <v>695</v>
      </c>
      <c r="J9295" s="484"/>
      <c r="K9295" s="548"/>
      <c r="L9295" s="548"/>
      <c r="M9295" s="548"/>
      <c r="N9295" s="552">
        <v>31896</v>
      </c>
      <c r="R9295" s="539">
        <v>752.75399987459241</v>
      </c>
      <c r="S9295" s="539">
        <v>753.06747554552305</v>
      </c>
      <c r="T9295" s="538">
        <v>15.2</v>
      </c>
      <c r="U9295" s="538">
        <v>39.32</v>
      </c>
      <c r="V9295" s="538">
        <v>18.010000000000002</v>
      </c>
    </row>
    <row r="9296" spans="1:22">
      <c r="A9296" s="499">
        <v>45818</v>
      </c>
      <c r="B9296" s="499">
        <v>45819</v>
      </c>
      <c r="C9296" s="500" t="s">
        <v>173</v>
      </c>
      <c r="D9296" s="500" t="s">
        <v>759</v>
      </c>
      <c r="E9296" s="501">
        <v>25017273.850000001</v>
      </c>
      <c r="F9296" s="502" t="s">
        <v>878</v>
      </c>
      <c r="G9296" s="100">
        <v>117417541</v>
      </c>
      <c r="H9296" s="100">
        <v>117417541</v>
      </c>
      <c r="I9296" s="422" t="s">
        <v>596</v>
      </c>
      <c r="J9296" s="484"/>
      <c r="K9296" s="548"/>
      <c r="L9296" s="548"/>
      <c r="M9296" s="548"/>
      <c r="N9296" s="552">
        <v>23975</v>
      </c>
      <c r="R9296" s="539">
        <v>1043.0390002085505</v>
      </c>
      <c r="S9296" s="539">
        <v>1043.47336183525</v>
      </c>
      <c r="T9296" s="538">
        <v>15.2</v>
      </c>
      <c r="U9296" s="538">
        <v>39.32</v>
      </c>
      <c r="V9296" s="538">
        <v>18.760000000000002</v>
      </c>
    </row>
    <row r="9297" spans="1:22">
      <c r="A9297" s="499">
        <v>45818</v>
      </c>
      <c r="B9297" s="499">
        <v>45819</v>
      </c>
      <c r="C9297" s="500" t="s">
        <v>173</v>
      </c>
      <c r="D9297" s="500" t="s">
        <v>759</v>
      </c>
      <c r="E9297" s="501">
        <v>26023732.149999999</v>
      </c>
      <c r="F9297" s="502" t="s">
        <v>878</v>
      </c>
      <c r="G9297" s="100">
        <v>117417544</v>
      </c>
      <c r="H9297" s="100">
        <v>117417544</v>
      </c>
      <c r="I9297" s="422" t="s">
        <v>821</v>
      </c>
      <c r="J9297" s="484"/>
      <c r="K9297" s="548"/>
      <c r="L9297" s="548"/>
      <c r="M9297" s="548"/>
      <c r="N9297" s="552">
        <v>24284</v>
      </c>
      <c r="R9297" s="539">
        <v>1071.1949999999999</v>
      </c>
      <c r="S9297" s="539">
        <v>1071.6410867237701</v>
      </c>
      <c r="T9297" s="538">
        <v>15.2</v>
      </c>
      <c r="U9297" s="538">
        <v>39.32</v>
      </c>
      <c r="V9297" s="538">
        <v>19.510000000000002</v>
      </c>
    </row>
    <row r="9298" spans="1:22">
      <c r="A9298" s="499">
        <v>45818</v>
      </c>
      <c r="B9298" s="499">
        <v>45819</v>
      </c>
      <c r="C9298" s="500" t="s">
        <v>173</v>
      </c>
      <c r="D9298" s="500" t="s">
        <v>759</v>
      </c>
      <c r="E9298" s="501">
        <v>26011651.16</v>
      </c>
      <c r="F9298" s="502" t="s">
        <v>878</v>
      </c>
      <c r="G9298" s="100">
        <v>117417547</v>
      </c>
      <c r="H9298" s="100">
        <v>117417547</v>
      </c>
      <c r="I9298" s="422" t="s">
        <v>598</v>
      </c>
      <c r="J9298" s="484"/>
      <c r="K9298" s="548"/>
      <c r="L9298" s="548"/>
      <c r="M9298" s="548"/>
      <c r="N9298" s="552">
        <v>25740</v>
      </c>
      <c r="R9298" s="539">
        <v>1010.133</v>
      </c>
      <c r="S9298" s="539">
        <v>1010.55365811966</v>
      </c>
      <c r="T9298" s="538">
        <v>15.2</v>
      </c>
      <c r="U9298" s="538">
        <v>39.32</v>
      </c>
      <c r="V9298" s="538">
        <v>19.5</v>
      </c>
    </row>
    <row r="9299" spans="1:22">
      <c r="A9299" s="499">
        <v>45818</v>
      </c>
      <c r="B9299" s="499">
        <v>45819</v>
      </c>
      <c r="C9299" s="500" t="s">
        <v>173</v>
      </c>
      <c r="D9299" s="500" t="s">
        <v>759</v>
      </c>
      <c r="E9299" s="501">
        <v>27017207.57</v>
      </c>
      <c r="F9299" s="502" t="s">
        <v>878</v>
      </c>
      <c r="G9299" s="100">
        <v>117417551</v>
      </c>
      <c r="H9299" s="100">
        <v>117417551</v>
      </c>
      <c r="I9299" s="422" t="s">
        <v>592</v>
      </c>
      <c r="J9299" s="484"/>
      <c r="K9299" s="548"/>
      <c r="L9299" s="548"/>
      <c r="M9299" s="548"/>
      <c r="N9299" s="552">
        <v>33777</v>
      </c>
      <c r="R9299" s="539">
        <v>799.53700002960591</v>
      </c>
      <c r="S9299" s="539">
        <v>799.86995795955795</v>
      </c>
      <c r="T9299" s="538">
        <v>15.2</v>
      </c>
      <c r="U9299" s="538">
        <v>40.51</v>
      </c>
      <c r="V9299" s="538">
        <v>20.25</v>
      </c>
    </row>
    <row r="9300" spans="1:22">
      <c r="A9300" s="499">
        <v>45818</v>
      </c>
      <c r="B9300" s="499">
        <v>45819</v>
      </c>
      <c r="C9300" s="500" t="s">
        <v>173</v>
      </c>
      <c r="D9300" s="500" t="s">
        <v>759</v>
      </c>
      <c r="E9300" s="501">
        <v>27011291.760000002</v>
      </c>
      <c r="F9300" s="502" t="s">
        <v>878</v>
      </c>
      <c r="G9300" s="100">
        <v>117417554</v>
      </c>
      <c r="H9300" s="100">
        <v>117417554</v>
      </c>
      <c r="I9300" s="422" t="s">
        <v>696</v>
      </c>
      <c r="J9300" s="484"/>
      <c r="K9300" s="548"/>
      <c r="L9300" s="548"/>
      <c r="M9300" s="548"/>
      <c r="N9300" s="552">
        <v>32913</v>
      </c>
      <c r="R9300" s="539">
        <v>820.34600006076619</v>
      </c>
      <c r="S9300" s="539">
        <v>820.68762373530205</v>
      </c>
      <c r="T9300" s="538">
        <v>15.2</v>
      </c>
      <c r="U9300" s="538">
        <v>40.5</v>
      </c>
      <c r="V9300" s="538">
        <v>20.25</v>
      </c>
    </row>
    <row r="9301" spans="1:22">
      <c r="A9301" s="499">
        <v>45818</v>
      </c>
      <c r="B9301" s="499">
        <v>45819</v>
      </c>
      <c r="C9301" s="500" t="s">
        <v>173</v>
      </c>
      <c r="D9301" s="500" t="s">
        <v>759</v>
      </c>
      <c r="E9301" s="501">
        <v>27016587.289999999</v>
      </c>
      <c r="F9301" s="502" t="s">
        <v>878</v>
      </c>
      <c r="G9301" s="100">
        <v>117417557</v>
      </c>
      <c r="H9301" s="100">
        <v>117417557</v>
      </c>
      <c r="I9301" s="422" t="s">
        <v>550</v>
      </c>
      <c r="J9301" s="484"/>
      <c r="K9301" s="548"/>
      <c r="L9301" s="548"/>
      <c r="M9301" s="548"/>
      <c r="N9301" s="552">
        <v>52245</v>
      </c>
      <c r="R9301" s="539">
        <v>516.89809991386733</v>
      </c>
      <c r="S9301" s="539">
        <v>517.11335611063305</v>
      </c>
      <c r="T9301" s="538">
        <v>15.2</v>
      </c>
      <c r="U9301" s="538">
        <v>40.51</v>
      </c>
      <c r="V9301" s="538">
        <v>20.25</v>
      </c>
    </row>
    <row r="9302" spans="1:22">
      <c r="A9302" s="499">
        <v>45818</v>
      </c>
      <c r="B9302" s="499">
        <v>45819</v>
      </c>
      <c r="C9302" s="500" t="s">
        <v>173</v>
      </c>
      <c r="D9302" s="500" t="s">
        <v>759</v>
      </c>
      <c r="E9302" s="501">
        <v>28020467.219999999</v>
      </c>
      <c r="F9302" s="502" t="s">
        <v>878</v>
      </c>
      <c r="G9302" s="100">
        <v>117417560</v>
      </c>
      <c r="H9302" s="100">
        <v>117417560</v>
      </c>
      <c r="I9302" s="422" t="s">
        <v>715</v>
      </c>
      <c r="J9302" s="484"/>
      <c r="K9302" s="548"/>
      <c r="L9302" s="548"/>
      <c r="M9302" s="548"/>
      <c r="N9302" s="552">
        <v>36484</v>
      </c>
      <c r="R9302" s="539">
        <v>767.70099989036294</v>
      </c>
      <c r="S9302" s="539">
        <v>768.020700032891</v>
      </c>
      <c r="T9302" s="538">
        <v>15.2</v>
      </c>
      <c r="U9302" s="538">
        <v>42.01</v>
      </c>
      <c r="V9302" s="538">
        <v>21.01</v>
      </c>
    </row>
    <row r="9303" spans="1:22">
      <c r="A9303" s="499">
        <v>45818</v>
      </c>
      <c r="B9303" s="499">
        <v>45819</v>
      </c>
      <c r="C9303" s="500" t="s">
        <v>173</v>
      </c>
      <c r="D9303" s="500" t="s">
        <v>759</v>
      </c>
      <c r="E9303" s="501">
        <v>28032671.43</v>
      </c>
      <c r="F9303" s="502" t="s">
        <v>878</v>
      </c>
      <c r="G9303" s="100">
        <v>117417563</v>
      </c>
      <c r="H9303" s="100">
        <v>117417563</v>
      </c>
      <c r="I9303" s="422" t="s">
        <v>675</v>
      </c>
      <c r="J9303" s="484"/>
      <c r="K9303" s="548"/>
      <c r="L9303" s="548"/>
      <c r="M9303" s="548"/>
      <c r="N9303" s="552">
        <v>30408</v>
      </c>
      <c r="R9303" s="539">
        <v>921.50100006577213</v>
      </c>
      <c r="S9303" s="539">
        <v>921.88474842146798</v>
      </c>
      <c r="T9303" s="538">
        <v>15.2</v>
      </c>
      <c r="U9303" s="538">
        <v>42.03</v>
      </c>
      <c r="V9303" s="538">
        <v>21.02</v>
      </c>
    </row>
    <row r="9304" spans="1:22">
      <c r="A9304" s="499">
        <v>45818</v>
      </c>
      <c r="B9304" s="499">
        <v>45819</v>
      </c>
      <c r="C9304" s="500" t="s">
        <v>173</v>
      </c>
      <c r="D9304" s="500" t="s">
        <v>759</v>
      </c>
      <c r="E9304" s="501">
        <v>30026284.489999998</v>
      </c>
      <c r="F9304" s="502" t="s">
        <v>878</v>
      </c>
      <c r="G9304" s="100">
        <v>117417566</v>
      </c>
      <c r="H9304" s="100">
        <v>117417566</v>
      </c>
      <c r="I9304" s="422" t="s">
        <v>674</v>
      </c>
      <c r="J9304" s="484"/>
      <c r="K9304" s="548"/>
      <c r="L9304" s="548"/>
      <c r="M9304" s="548"/>
      <c r="N9304" s="552">
        <v>32640</v>
      </c>
      <c r="R9304" s="539">
        <v>919.54000000000008</v>
      </c>
      <c r="S9304" s="539">
        <v>919.92293167892103</v>
      </c>
      <c r="T9304" s="538">
        <v>15.2</v>
      </c>
      <c r="U9304" s="538">
        <v>45.02</v>
      </c>
      <c r="V9304" s="538">
        <v>22.51</v>
      </c>
    </row>
    <row r="9305" spans="1:22">
      <c r="A9305" s="499">
        <v>45818</v>
      </c>
      <c r="B9305" s="499">
        <v>45819</v>
      </c>
      <c r="C9305" s="500" t="s">
        <v>173</v>
      </c>
      <c r="D9305" s="500" t="s">
        <v>759</v>
      </c>
      <c r="E9305" s="501">
        <v>33035110.280000001</v>
      </c>
      <c r="F9305" s="502" t="s">
        <v>878</v>
      </c>
      <c r="G9305" s="100">
        <v>117417569</v>
      </c>
      <c r="H9305" s="100">
        <v>117417569</v>
      </c>
      <c r="I9305" s="422" t="s">
        <v>709</v>
      </c>
      <c r="J9305" s="484"/>
      <c r="K9305" s="548"/>
      <c r="L9305" s="548"/>
      <c r="M9305" s="548"/>
      <c r="N9305" s="552">
        <v>36630</v>
      </c>
      <c r="R9305" s="539">
        <v>901.48400000000004</v>
      </c>
      <c r="S9305" s="539">
        <v>901.85941250341205</v>
      </c>
      <c r="T9305" s="538">
        <v>15.2</v>
      </c>
      <c r="U9305" s="538">
        <v>49.53</v>
      </c>
      <c r="V9305" s="538">
        <v>24.77</v>
      </c>
    </row>
    <row r="9306" spans="1:22">
      <c r="A9306" s="499">
        <v>45818</v>
      </c>
      <c r="B9306" s="499">
        <v>45819</v>
      </c>
      <c r="C9306" s="500" t="s">
        <v>173</v>
      </c>
      <c r="D9306" s="500" t="s">
        <v>759</v>
      </c>
      <c r="E9306" s="501">
        <v>33024765.620000001</v>
      </c>
      <c r="F9306" s="502" t="s">
        <v>878</v>
      </c>
      <c r="G9306" s="100">
        <v>117417572</v>
      </c>
      <c r="H9306" s="100">
        <v>117417572</v>
      </c>
      <c r="I9306" s="422" t="s">
        <v>693</v>
      </c>
      <c r="J9306" s="484"/>
      <c r="K9306" s="548"/>
      <c r="L9306" s="548"/>
      <c r="M9306" s="548"/>
      <c r="N9306" s="552">
        <v>39996</v>
      </c>
      <c r="R9306" s="539">
        <v>825.35800005000499</v>
      </c>
      <c r="S9306" s="539">
        <v>825.70171067106696</v>
      </c>
      <c r="T9306" s="538">
        <v>15.2</v>
      </c>
      <c r="U9306" s="538">
        <v>49.52</v>
      </c>
      <c r="V9306" s="538">
        <v>24.76</v>
      </c>
    </row>
    <row r="9307" spans="1:22">
      <c r="A9307" s="499">
        <v>45818</v>
      </c>
      <c r="B9307" s="499">
        <v>45819</v>
      </c>
      <c r="C9307" s="500" t="s">
        <v>173</v>
      </c>
      <c r="D9307" s="500" t="s">
        <v>759</v>
      </c>
      <c r="E9307" s="501">
        <v>34016850.369999997</v>
      </c>
      <c r="F9307" s="502" t="s">
        <v>878</v>
      </c>
      <c r="G9307" s="100">
        <v>117417575</v>
      </c>
      <c r="H9307" s="100">
        <v>117417575</v>
      </c>
      <c r="I9307" s="422" t="s">
        <v>694</v>
      </c>
      <c r="J9307" s="484"/>
      <c r="K9307" s="548"/>
      <c r="L9307" s="548"/>
      <c r="M9307" s="548"/>
      <c r="N9307" s="552">
        <v>34612</v>
      </c>
      <c r="R9307" s="539">
        <v>982.39599994221658</v>
      </c>
      <c r="S9307" s="539">
        <v>982.80510718825803</v>
      </c>
      <c r="T9307" s="538">
        <v>15.2</v>
      </c>
      <c r="U9307" s="538">
        <v>51</v>
      </c>
      <c r="V9307" s="538">
        <v>25.5</v>
      </c>
    </row>
    <row r="9308" spans="1:22">
      <c r="A9308" s="499">
        <v>45818</v>
      </c>
      <c r="B9308" s="499">
        <v>45819</v>
      </c>
      <c r="C9308" s="500" t="s">
        <v>173</v>
      </c>
      <c r="D9308" s="500" t="s">
        <v>759</v>
      </c>
      <c r="E9308" s="501">
        <v>35035954.399999999</v>
      </c>
      <c r="F9308" s="502" t="s">
        <v>878</v>
      </c>
      <c r="G9308" s="100">
        <v>117417578</v>
      </c>
      <c r="H9308" s="100">
        <v>117417578</v>
      </c>
      <c r="I9308" s="422" t="s">
        <v>590</v>
      </c>
      <c r="J9308" s="484"/>
      <c r="K9308" s="548"/>
      <c r="L9308" s="548"/>
      <c r="M9308" s="548"/>
      <c r="N9308" s="552">
        <v>40180</v>
      </c>
      <c r="R9308" s="539">
        <v>871.61199999999997</v>
      </c>
      <c r="S9308" s="539">
        <v>871.97497262319598</v>
      </c>
      <c r="T9308" s="538">
        <v>15.2</v>
      </c>
      <c r="U9308" s="538">
        <v>52.53</v>
      </c>
      <c r="V9308" s="538">
        <v>26.27</v>
      </c>
    </row>
    <row r="9309" spans="1:22">
      <c r="A9309" s="499">
        <v>45818</v>
      </c>
      <c r="B9309" s="499">
        <v>45819</v>
      </c>
      <c r="C9309" s="500" t="s">
        <v>173</v>
      </c>
      <c r="D9309" s="500" t="s">
        <v>759</v>
      </c>
      <c r="E9309" s="501">
        <v>39037136.630000003</v>
      </c>
      <c r="F9309" s="502" t="s">
        <v>878</v>
      </c>
      <c r="G9309" s="100">
        <v>117417581</v>
      </c>
      <c r="H9309" s="100">
        <v>117417581</v>
      </c>
      <c r="I9309" s="422" t="s">
        <v>817</v>
      </c>
      <c r="J9309" s="484"/>
      <c r="K9309" s="548"/>
      <c r="L9309" s="548"/>
      <c r="M9309" s="548"/>
      <c r="N9309" s="552">
        <v>37713</v>
      </c>
      <c r="R9309" s="539">
        <v>1034.68</v>
      </c>
      <c r="S9309" s="539">
        <v>1035.1108803330401</v>
      </c>
      <c r="T9309" s="538">
        <v>15.2</v>
      </c>
      <c r="U9309" s="538">
        <v>58.53</v>
      </c>
      <c r="V9309" s="538">
        <v>29.27</v>
      </c>
    </row>
    <row r="9310" spans="1:22">
      <c r="A9310" s="499">
        <v>45818</v>
      </c>
      <c r="B9310" s="499">
        <v>45819</v>
      </c>
      <c r="C9310" s="500" t="s">
        <v>173</v>
      </c>
      <c r="D9310" s="500" t="s">
        <v>759</v>
      </c>
      <c r="E9310" s="501">
        <v>42032500.700000003</v>
      </c>
      <c r="F9310" s="502" t="s">
        <v>878</v>
      </c>
      <c r="G9310" s="100">
        <v>117417584</v>
      </c>
      <c r="H9310" s="100">
        <v>117417584</v>
      </c>
      <c r="I9310" s="422" t="s">
        <v>714</v>
      </c>
      <c r="J9310" s="484"/>
      <c r="K9310" s="548"/>
      <c r="L9310" s="548"/>
      <c r="M9310" s="548"/>
      <c r="N9310" s="552">
        <v>53802</v>
      </c>
      <c r="R9310" s="539">
        <v>780.9190000371733</v>
      </c>
      <c r="S9310" s="539">
        <v>781.24420467640596</v>
      </c>
      <c r="T9310" s="538">
        <v>15.2</v>
      </c>
      <c r="U9310" s="538">
        <v>63.02</v>
      </c>
      <c r="V9310" s="538">
        <v>31.51</v>
      </c>
    </row>
    <row r="9311" spans="1:22">
      <c r="A9311" s="499">
        <v>45818</v>
      </c>
      <c r="B9311" s="499">
        <v>45819</v>
      </c>
      <c r="C9311" s="500" t="s">
        <v>173</v>
      </c>
      <c r="D9311" s="500" t="s">
        <v>759</v>
      </c>
      <c r="E9311" s="501">
        <v>43032236.799999997</v>
      </c>
      <c r="F9311" s="502" t="s">
        <v>878</v>
      </c>
      <c r="G9311" s="100">
        <v>117417587</v>
      </c>
      <c r="H9311" s="100">
        <v>117417587</v>
      </c>
      <c r="I9311" s="422" t="s">
        <v>719</v>
      </c>
      <c r="J9311" s="484"/>
      <c r="K9311" s="548"/>
      <c r="L9311" s="548"/>
      <c r="M9311" s="548"/>
      <c r="N9311" s="552">
        <v>60028</v>
      </c>
      <c r="R9311" s="539">
        <v>716.57100003331777</v>
      </c>
      <c r="S9311" s="539">
        <v>716.869407609782</v>
      </c>
      <c r="T9311" s="538">
        <v>15.2</v>
      </c>
      <c r="U9311" s="538">
        <v>64.52</v>
      </c>
      <c r="V9311" s="538">
        <v>32.26</v>
      </c>
    </row>
    <row r="9312" spans="1:22">
      <c r="A9312" s="499">
        <v>45818</v>
      </c>
      <c r="B9312" s="499">
        <v>45819</v>
      </c>
      <c r="C9312" s="500" t="s">
        <v>173</v>
      </c>
      <c r="D9312" s="500" t="s">
        <v>759</v>
      </c>
      <c r="E9312" s="501">
        <v>47060012.450000003</v>
      </c>
      <c r="F9312" s="502" t="s">
        <v>878</v>
      </c>
      <c r="G9312" s="100">
        <v>117417590</v>
      </c>
      <c r="H9312" s="100">
        <v>117417590</v>
      </c>
      <c r="I9312" s="422" t="s">
        <v>588</v>
      </c>
      <c r="J9312" s="484"/>
      <c r="K9312" s="548"/>
      <c r="L9312" s="548"/>
      <c r="M9312" s="548"/>
      <c r="N9312" s="552">
        <v>50431</v>
      </c>
      <c r="R9312" s="539">
        <v>932.76800003965809</v>
      </c>
      <c r="S9312" s="539">
        <v>933.15644048303602</v>
      </c>
      <c r="T9312" s="538">
        <v>15.2</v>
      </c>
      <c r="U9312" s="538">
        <v>70.56</v>
      </c>
      <c r="V9312" s="538">
        <v>35.28</v>
      </c>
    </row>
    <row r="9313" spans="1:22">
      <c r="A9313" s="499">
        <v>45818</v>
      </c>
      <c r="B9313" s="499">
        <v>45819</v>
      </c>
      <c r="C9313" s="500" t="s">
        <v>173</v>
      </c>
      <c r="D9313" s="500" t="s">
        <v>759</v>
      </c>
      <c r="E9313" s="501">
        <v>51033528.549999997</v>
      </c>
      <c r="F9313" s="502" t="s">
        <v>878</v>
      </c>
      <c r="G9313" s="100">
        <v>117417593</v>
      </c>
      <c r="H9313" s="100">
        <v>117417593</v>
      </c>
      <c r="I9313" s="422" t="s">
        <v>690</v>
      </c>
      <c r="J9313" s="484"/>
      <c r="K9313" s="548"/>
      <c r="L9313" s="548"/>
      <c r="M9313" s="548"/>
      <c r="N9313" s="552">
        <v>56151</v>
      </c>
      <c r="R9313" s="539">
        <v>908.48399992876352</v>
      </c>
      <c r="S9313" s="539">
        <v>908.86232747413203</v>
      </c>
      <c r="T9313" s="538">
        <v>15.2</v>
      </c>
      <c r="U9313" s="538">
        <v>76.52</v>
      </c>
      <c r="V9313" s="538">
        <v>38.26</v>
      </c>
    </row>
    <row r="9314" spans="1:22">
      <c r="A9314" s="499">
        <v>45818</v>
      </c>
      <c r="B9314" s="499">
        <v>45819</v>
      </c>
      <c r="C9314" s="500" t="s">
        <v>173</v>
      </c>
      <c r="D9314" s="500" t="s">
        <v>759</v>
      </c>
      <c r="E9314" s="501">
        <v>59056181.060000002</v>
      </c>
      <c r="F9314" s="502" t="s">
        <v>878</v>
      </c>
      <c r="G9314" s="100">
        <v>117417596</v>
      </c>
      <c r="H9314" s="100">
        <v>117417596</v>
      </c>
      <c r="I9314" s="422" t="s">
        <v>817</v>
      </c>
      <c r="J9314" s="484"/>
      <c r="K9314" s="548"/>
      <c r="L9314" s="548"/>
      <c r="M9314" s="548"/>
      <c r="N9314" s="552">
        <v>57053</v>
      </c>
      <c r="R9314" s="539">
        <v>1034.68</v>
      </c>
      <c r="S9314" s="539">
        <v>1035.1108804094399</v>
      </c>
      <c r="T9314" s="538">
        <v>15.2</v>
      </c>
      <c r="U9314" s="538">
        <v>88.55</v>
      </c>
      <c r="V9314" s="538">
        <v>44.27</v>
      </c>
    </row>
    <row r="9315" spans="1:22">
      <c r="A9315" s="499">
        <v>45818</v>
      </c>
      <c r="B9315" s="499">
        <v>45819</v>
      </c>
      <c r="C9315" s="500" t="s">
        <v>173</v>
      </c>
      <c r="D9315" s="500" t="s">
        <v>759</v>
      </c>
      <c r="E9315" s="501">
        <v>63057504.82</v>
      </c>
      <c r="F9315" s="502" t="s">
        <v>878</v>
      </c>
      <c r="G9315" s="100">
        <v>117417599</v>
      </c>
      <c r="H9315" s="100">
        <v>117417599</v>
      </c>
      <c r="I9315" s="422" t="s">
        <v>821</v>
      </c>
      <c r="J9315" s="484"/>
      <c r="K9315" s="548"/>
      <c r="L9315" s="548"/>
      <c r="M9315" s="548"/>
      <c r="N9315" s="552">
        <v>58842</v>
      </c>
      <c r="R9315" s="539">
        <v>1071.1949999999999</v>
      </c>
      <c r="S9315" s="539">
        <v>1071.6410866388001</v>
      </c>
      <c r="T9315" s="538">
        <v>15.2</v>
      </c>
      <c r="U9315" s="538">
        <v>94.55</v>
      </c>
      <c r="V9315" s="538">
        <v>47.27</v>
      </c>
    </row>
    <row r="9316" spans="1:22">
      <c r="A9316" s="499">
        <v>45818</v>
      </c>
      <c r="B9316" s="499">
        <v>45819</v>
      </c>
      <c r="C9316" s="500" t="s">
        <v>173</v>
      </c>
      <c r="D9316" s="500" t="s">
        <v>759</v>
      </c>
      <c r="E9316" s="501">
        <v>64066705.149999999</v>
      </c>
      <c r="F9316" s="502" t="s">
        <v>878</v>
      </c>
      <c r="G9316" s="100">
        <v>117417602</v>
      </c>
      <c r="H9316" s="100">
        <v>117417602</v>
      </c>
      <c r="I9316" s="422" t="s">
        <v>602</v>
      </c>
      <c r="J9316" s="484"/>
      <c r="K9316" s="548"/>
      <c r="L9316" s="548"/>
      <c r="M9316" s="548"/>
      <c r="N9316" s="552">
        <v>75968</v>
      </c>
      <c r="R9316" s="539">
        <v>842.9870000526538</v>
      </c>
      <c r="S9316" s="539">
        <v>843.33805220619195</v>
      </c>
      <c r="T9316" s="538">
        <v>15.2</v>
      </c>
      <c r="U9316" s="538">
        <v>96.06</v>
      </c>
      <c r="V9316" s="538">
        <v>48.03</v>
      </c>
    </row>
    <row r="9317" spans="1:22">
      <c r="A9317" s="499">
        <v>45818</v>
      </c>
      <c r="B9317" s="499">
        <v>45819</v>
      </c>
      <c r="C9317" s="500" t="s">
        <v>173</v>
      </c>
      <c r="D9317" s="500" t="s">
        <v>759</v>
      </c>
      <c r="E9317" s="501">
        <v>65052536.340000004</v>
      </c>
      <c r="F9317" s="502" t="s">
        <v>878</v>
      </c>
      <c r="G9317" s="100">
        <v>117417605</v>
      </c>
      <c r="H9317" s="100">
        <v>117417605</v>
      </c>
      <c r="I9317" s="422" t="s">
        <v>711</v>
      </c>
      <c r="J9317" s="484"/>
      <c r="K9317" s="548"/>
      <c r="L9317" s="548"/>
      <c r="M9317" s="548"/>
      <c r="N9317" s="552">
        <v>74815</v>
      </c>
      <c r="R9317" s="539">
        <v>869.15</v>
      </c>
      <c r="S9317" s="539">
        <v>869.51194733676402</v>
      </c>
      <c r="T9317" s="538">
        <v>15.2</v>
      </c>
      <c r="U9317" s="538">
        <v>97.54</v>
      </c>
      <c r="V9317" s="538">
        <v>48.77</v>
      </c>
    </row>
    <row r="9318" spans="1:22">
      <c r="A9318" s="499">
        <v>45818</v>
      </c>
      <c r="B9318" s="499">
        <v>45819</v>
      </c>
      <c r="C9318" s="500" t="s">
        <v>173</v>
      </c>
      <c r="D9318" s="500" t="s">
        <v>759</v>
      </c>
      <c r="E9318" s="501">
        <v>69089056.739999995</v>
      </c>
      <c r="F9318" s="502" t="s">
        <v>878</v>
      </c>
      <c r="G9318" s="100">
        <v>117417608</v>
      </c>
      <c r="H9318" s="100">
        <v>117417608</v>
      </c>
      <c r="I9318" s="422" t="s">
        <v>654</v>
      </c>
      <c r="J9318" s="484"/>
      <c r="K9318" s="548"/>
      <c r="L9318" s="548"/>
      <c r="M9318" s="548"/>
      <c r="N9318" s="552">
        <v>66585</v>
      </c>
      <c r="R9318" s="539">
        <v>1037.1750000750919</v>
      </c>
      <c r="S9318" s="539">
        <v>1037.6069195764801</v>
      </c>
      <c r="T9318" s="538">
        <v>15.2</v>
      </c>
      <c r="U9318" s="538">
        <v>103.59</v>
      </c>
      <c r="V9318" s="538">
        <v>51.8</v>
      </c>
    </row>
    <row r="9319" spans="1:22">
      <c r="A9319" s="499">
        <v>45818</v>
      </c>
      <c r="B9319" s="499">
        <v>45819</v>
      </c>
      <c r="C9319" s="500" t="s">
        <v>173</v>
      </c>
      <c r="D9319" s="500" t="s">
        <v>759</v>
      </c>
      <c r="E9319" s="501">
        <v>70029274.920000002</v>
      </c>
      <c r="F9319" s="502" t="s">
        <v>878</v>
      </c>
      <c r="G9319" s="100">
        <v>117417611</v>
      </c>
      <c r="H9319" s="100">
        <v>117417611</v>
      </c>
      <c r="I9319" s="422" t="s">
        <v>696</v>
      </c>
      <c r="J9319" s="484"/>
      <c r="K9319" s="548"/>
      <c r="L9319" s="548"/>
      <c r="M9319" s="548"/>
      <c r="N9319" s="552">
        <v>85330</v>
      </c>
      <c r="R9319" s="539">
        <v>820.34600000000012</v>
      </c>
      <c r="S9319" s="539">
        <v>820.68762357904598</v>
      </c>
      <c r="T9319" s="538">
        <v>15.2</v>
      </c>
      <c r="U9319" s="538">
        <v>105</v>
      </c>
      <c r="V9319" s="538">
        <v>52.5</v>
      </c>
    </row>
    <row r="9320" spans="1:22">
      <c r="A9320" s="499">
        <v>45818</v>
      </c>
      <c r="B9320" s="499">
        <v>45819</v>
      </c>
      <c r="C9320" s="500" t="s">
        <v>173</v>
      </c>
      <c r="D9320" s="500" t="s">
        <v>759</v>
      </c>
      <c r="E9320" s="501">
        <v>72032264.75</v>
      </c>
      <c r="F9320" s="502" t="s">
        <v>878</v>
      </c>
      <c r="G9320" s="100">
        <v>117417614</v>
      </c>
      <c r="H9320" s="100">
        <v>117417614</v>
      </c>
      <c r="I9320" s="422" t="s">
        <v>598</v>
      </c>
      <c r="J9320" s="484"/>
      <c r="K9320" s="548"/>
      <c r="L9320" s="548"/>
      <c r="M9320" s="548"/>
      <c r="N9320" s="552">
        <v>71280</v>
      </c>
      <c r="R9320" s="539">
        <v>1010.1329999999999</v>
      </c>
      <c r="S9320" s="539">
        <v>1010.55365810887</v>
      </c>
      <c r="T9320" s="538">
        <v>15.2</v>
      </c>
      <c r="U9320" s="538">
        <v>108</v>
      </c>
      <c r="V9320" s="538">
        <v>54</v>
      </c>
    </row>
    <row r="9321" spans="1:22">
      <c r="A9321" s="499">
        <v>45818</v>
      </c>
      <c r="B9321" s="499">
        <v>45819</v>
      </c>
      <c r="C9321" s="500" t="s">
        <v>173</v>
      </c>
      <c r="D9321" s="500" t="s">
        <v>759</v>
      </c>
      <c r="E9321" s="501">
        <v>84109553.379999995</v>
      </c>
      <c r="F9321" s="502" t="s">
        <v>878</v>
      </c>
      <c r="G9321" s="100">
        <v>117417617</v>
      </c>
      <c r="H9321" s="100">
        <v>117417617</v>
      </c>
      <c r="I9321" s="422" t="s">
        <v>819</v>
      </c>
      <c r="J9321" s="484"/>
      <c r="K9321" s="548"/>
      <c r="L9321" s="548"/>
      <c r="M9321" s="548"/>
      <c r="N9321" s="552">
        <v>83412</v>
      </c>
      <c r="R9321" s="539">
        <v>1007.9430000479547</v>
      </c>
      <c r="S9321" s="539">
        <v>1008.36274612766</v>
      </c>
      <c r="T9321" s="538">
        <v>15.2</v>
      </c>
      <c r="U9321" s="538">
        <v>126.11</v>
      </c>
      <c r="V9321" s="538">
        <v>63.06</v>
      </c>
    </row>
    <row r="9322" spans="1:22">
      <c r="A9322" s="499">
        <v>45818</v>
      </c>
      <c r="B9322" s="499">
        <v>45819</v>
      </c>
      <c r="C9322" s="500" t="s">
        <v>173</v>
      </c>
      <c r="D9322" s="500" t="s">
        <v>759</v>
      </c>
      <c r="E9322" s="501">
        <v>85114572.959999993</v>
      </c>
      <c r="F9322" s="502" t="s">
        <v>878</v>
      </c>
      <c r="G9322" s="100">
        <v>117417620</v>
      </c>
      <c r="H9322" s="100">
        <v>117417620</v>
      </c>
      <c r="I9322" s="422" t="s">
        <v>824</v>
      </c>
      <c r="J9322" s="484"/>
      <c r="K9322" s="548"/>
      <c r="L9322" s="548"/>
      <c r="M9322" s="548"/>
      <c r="N9322" s="552">
        <v>84405</v>
      </c>
      <c r="R9322" s="539">
        <v>1007.9870000592381</v>
      </c>
      <c r="S9322" s="539">
        <v>1008.40676452817</v>
      </c>
      <c r="T9322" s="538">
        <v>15.2</v>
      </c>
      <c r="U9322" s="538">
        <v>127.62</v>
      </c>
      <c r="V9322" s="538">
        <v>63.81</v>
      </c>
    </row>
    <row r="9323" spans="1:22">
      <c r="A9323" s="499">
        <v>45818</v>
      </c>
      <c r="B9323" s="499">
        <v>45819</v>
      </c>
      <c r="C9323" s="500" t="s">
        <v>173</v>
      </c>
      <c r="D9323" s="500" t="s">
        <v>759</v>
      </c>
      <c r="E9323" s="501">
        <v>86069509.629999995</v>
      </c>
      <c r="F9323" s="502" t="s">
        <v>878</v>
      </c>
      <c r="G9323" s="100">
        <v>117417623</v>
      </c>
      <c r="H9323" s="100">
        <v>117417623</v>
      </c>
      <c r="I9323" s="422" t="s">
        <v>711</v>
      </c>
      <c r="J9323" s="484"/>
      <c r="K9323" s="548"/>
      <c r="L9323" s="548"/>
      <c r="M9323" s="548"/>
      <c r="N9323" s="552">
        <v>98986</v>
      </c>
      <c r="R9323" s="539">
        <v>869.15000000000009</v>
      </c>
      <c r="S9323" s="539">
        <v>869.51194744711404</v>
      </c>
      <c r="T9323" s="538">
        <v>15.2</v>
      </c>
      <c r="U9323" s="538">
        <v>129.05000000000001</v>
      </c>
      <c r="V9323" s="538">
        <v>64.53</v>
      </c>
    </row>
    <row r="9324" spans="1:22">
      <c r="A9324" s="499">
        <v>45818</v>
      </c>
      <c r="B9324" s="499">
        <v>45819</v>
      </c>
      <c r="C9324" s="500" t="s">
        <v>173</v>
      </c>
      <c r="D9324" s="500" t="s">
        <v>759</v>
      </c>
      <c r="E9324" s="501">
        <v>86069509.629999995</v>
      </c>
      <c r="F9324" s="502" t="s">
        <v>878</v>
      </c>
      <c r="G9324" s="100">
        <v>117417626</v>
      </c>
      <c r="H9324" s="100">
        <v>117417626</v>
      </c>
      <c r="I9324" s="422" t="s">
        <v>711</v>
      </c>
      <c r="J9324" s="484"/>
      <c r="K9324" s="548"/>
      <c r="L9324" s="548"/>
      <c r="M9324" s="548"/>
      <c r="N9324" s="552">
        <v>98986</v>
      </c>
      <c r="R9324" s="539">
        <v>869.15000000000009</v>
      </c>
      <c r="S9324" s="539">
        <v>869.51194744711404</v>
      </c>
      <c r="T9324" s="538">
        <v>15.2</v>
      </c>
      <c r="U9324" s="538">
        <v>129.05000000000001</v>
      </c>
      <c r="V9324" s="538">
        <v>64.53</v>
      </c>
    </row>
    <row r="9325" spans="1:22">
      <c r="A9325" s="499">
        <v>45818</v>
      </c>
      <c r="B9325" s="499">
        <v>45819</v>
      </c>
      <c r="C9325" s="500" t="s">
        <v>173</v>
      </c>
      <c r="D9325" s="500" t="s">
        <v>759</v>
      </c>
      <c r="E9325" s="501">
        <v>94064949.640000001</v>
      </c>
      <c r="F9325" s="502" t="s">
        <v>878</v>
      </c>
      <c r="G9325" s="100">
        <v>117417629</v>
      </c>
      <c r="H9325" s="100">
        <v>117417629</v>
      </c>
      <c r="I9325" s="422" t="s">
        <v>596</v>
      </c>
      <c r="J9325" s="484"/>
      <c r="K9325" s="548"/>
      <c r="L9325" s="548"/>
      <c r="M9325" s="548"/>
      <c r="N9325" s="552">
        <v>90146</v>
      </c>
      <c r="R9325" s="539">
        <v>1043.0389999556276</v>
      </c>
      <c r="S9325" s="539">
        <v>1043.47336143589</v>
      </c>
      <c r="T9325" s="538">
        <v>15.2</v>
      </c>
      <c r="U9325" s="538">
        <v>141.04</v>
      </c>
      <c r="V9325" s="538">
        <v>70.52</v>
      </c>
    </row>
    <row r="9326" spans="1:22">
      <c r="A9326" s="499">
        <v>45818</v>
      </c>
      <c r="B9326" s="499">
        <v>45819</v>
      </c>
      <c r="C9326" s="500" t="s">
        <v>173</v>
      </c>
      <c r="D9326" s="500" t="s">
        <v>759</v>
      </c>
      <c r="E9326" s="501">
        <v>94123430.230000004</v>
      </c>
      <c r="F9326" s="502" t="s">
        <v>878</v>
      </c>
      <c r="G9326" s="100">
        <v>117417632</v>
      </c>
      <c r="H9326" s="100">
        <v>117417632</v>
      </c>
      <c r="I9326" s="422" t="s">
        <v>816</v>
      </c>
      <c r="J9326" s="484"/>
      <c r="K9326" s="548"/>
      <c r="L9326" s="548"/>
      <c r="M9326" s="548"/>
      <c r="N9326" s="552">
        <v>93718</v>
      </c>
      <c r="R9326" s="539">
        <v>1003.9079999573188</v>
      </c>
      <c r="S9326" s="539">
        <v>1004.32606575044</v>
      </c>
      <c r="T9326" s="538">
        <v>15.2</v>
      </c>
      <c r="U9326" s="538">
        <v>141.13</v>
      </c>
      <c r="V9326" s="538">
        <v>70.56</v>
      </c>
    </row>
    <row r="9327" spans="1:22">
      <c r="A9327" s="499">
        <v>45818</v>
      </c>
      <c r="B9327" s="499">
        <v>45819</v>
      </c>
      <c r="C9327" s="500" t="s">
        <v>173</v>
      </c>
      <c r="D9327" s="500" t="s">
        <v>759</v>
      </c>
      <c r="E9327" s="501">
        <v>96054013.739999995</v>
      </c>
      <c r="F9327" s="502" t="s">
        <v>878</v>
      </c>
      <c r="G9327" s="100">
        <v>117417635</v>
      </c>
      <c r="H9327" s="100">
        <v>117417635</v>
      </c>
      <c r="I9327" s="422" t="s">
        <v>823</v>
      </c>
      <c r="J9327" s="484"/>
      <c r="K9327" s="548"/>
      <c r="L9327" s="548"/>
      <c r="M9327" s="548"/>
      <c r="N9327" s="552">
        <v>89568</v>
      </c>
      <c r="R9327" s="539">
        <v>1071.9679999553412</v>
      </c>
      <c r="S9327" s="539">
        <v>1072.4144084940999</v>
      </c>
      <c r="T9327" s="538">
        <v>15.2</v>
      </c>
      <c r="U9327" s="538">
        <v>144.02000000000001</v>
      </c>
      <c r="V9327" s="538">
        <v>72.010000000000005</v>
      </c>
    </row>
    <row r="9328" spans="1:22">
      <c r="A9328" s="499">
        <v>45818</v>
      </c>
      <c r="B9328" s="499">
        <v>45819</v>
      </c>
      <c r="C9328" s="500" t="s">
        <v>173</v>
      </c>
      <c r="D9328" s="500" t="s">
        <v>759</v>
      </c>
      <c r="E9328" s="501">
        <v>104056693.72</v>
      </c>
      <c r="F9328" s="502" t="s">
        <v>878</v>
      </c>
      <c r="G9328" s="100">
        <v>117417638</v>
      </c>
      <c r="H9328" s="100">
        <v>117417638</v>
      </c>
      <c r="I9328" s="422" t="s">
        <v>600</v>
      </c>
      <c r="J9328" s="484"/>
      <c r="K9328" s="548"/>
      <c r="L9328" s="548"/>
      <c r="M9328" s="548"/>
      <c r="N9328" s="552">
        <v>116480</v>
      </c>
      <c r="R9328" s="539">
        <v>892.97199999999998</v>
      </c>
      <c r="S9328" s="539">
        <v>893.34386778846203</v>
      </c>
      <c r="T9328" s="538">
        <v>15.2</v>
      </c>
      <c r="U9328" s="538">
        <v>156.02000000000001</v>
      </c>
      <c r="V9328" s="538">
        <v>78.010000000000005</v>
      </c>
    </row>
    <row r="9329" spans="1:25">
      <c r="A9329" s="499">
        <v>45818</v>
      </c>
      <c r="B9329" s="499">
        <v>45819</v>
      </c>
      <c r="C9329" s="500" t="s">
        <v>173</v>
      </c>
      <c r="D9329" s="500" t="s">
        <v>759</v>
      </c>
      <c r="E9329" s="501">
        <v>113120226.11</v>
      </c>
      <c r="F9329" s="502" t="s">
        <v>878</v>
      </c>
      <c r="G9329" s="100">
        <v>117417641</v>
      </c>
      <c r="H9329" s="100">
        <v>117417641</v>
      </c>
      <c r="I9329" s="422" t="s">
        <v>709</v>
      </c>
      <c r="J9329" s="484"/>
      <c r="K9329" s="548"/>
      <c r="L9329" s="548"/>
      <c r="M9329" s="548"/>
      <c r="N9329" s="552">
        <v>125430</v>
      </c>
      <c r="R9329" s="539">
        <v>901.48400000000004</v>
      </c>
      <c r="S9329" s="539">
        <v>901.85941250099597</v>
      </c>
      <c r="T9329" s="538">
        <v>15.2</v>
      </c>
      <c r="U9329" s="538">
        <v>169.61</v>
      </c>
      <c r="V9329" s="538">
        <v>84.8</v>
      </c>
    </row>
    <row r="9330" spans="1:25">
      <c r="A9330" s="499">
        <v>45818</v>
      </c>
      <c r="B9330" s="499">
        <v>45819</v>
      </c>
      <c r="C9330" s="500" t="s">
        <v>173</v>
      </c>
      <c r="D9330" s="500" t="s">
        <v>759</v>
      </c>
      <c r="E9330" s="501">
        <v>118112362.12</v>
      </c>
      <c r="F9330" s="502" t="s">
        <v>878</v>
      </c>
      <c r="G9330" s="100">
        <v>117417644</v>
      </c>
      <c r="H9330" s="100">
        <v>117417644</v>
      </c>
      <c r="I9330" s="422" t="s">
        <v>817</v>
      </c>
      <c r="J9330" s="484"/>
      <c r="K9330" s="548"/>
      <c r="L9330" s="548"/>
      <c r="M9330" s="548"/>
      <c r="N9330" s="552">
        <v>114106</v>
      </c>
      <c r="R9330" s="539">
        <v>1034.68</v>
      </c>
      <c r="S9330" s="539">
        <v>1035.1108804094399</v>
      </c>
      <c r="T9330" s="538">
        <v>15.2</v>
      </c>
      <c r="U9330" s="538">
        <v>177.09</v>
      </c>
      <c r="V9330" s="538">
        <v>88.55</v>
      </c>
    </row>
    <row r="9331" spans="1:25">
      <c r="A9331" s="499">
        <v>45818</v>
      </c>
      <c r="B9331" s="499">
        <v>45819</v>
      </c>
      <c r="C9331" s="500" t="s">
        <v>173</v>
      </c>
      <c r="D9331" s="500" t="s">
        <v>759</v>
      </c>
      <c r="E9331" s="501">
        <v>120065415.83</v>
      </c>
      <c r="F9331" s="502" t="s">
        <v>878</v>
      </c>
      <c r="G9331" s="100">
        <v>117417647</v>
      </c>
      <c r="H9331" s="100">
        <v>117417647</v>
      </c>
      <c r="I9331" s="422" t="s">
        <v>600</v>
      </c>
      <c r="J9331" s="484"/>
      <c r="K9331" s="548"/>
      <c r="L9331" s="548"/>
      <c r="M9331" s="548"/>
      <c r="N9331" s="552">
        <v>134400</v>
      </c>
      <c r="R9331" s="539">
        <v>892.97199999999998</v>
      </c>
      <c r="S9331" s="539">
        <v>893.34386778273802</v>
      </c>
      <c r="T9331" s="538">
        <v>15.2</v>
      </c>
      <c r="U9331" s="538">
        <v>180.02</v>
      </c>
      <c r="V9331" s="538">
        <v>90.01</v>
      </c>
    </row>
    <row r="9332" spans="1:25">
      <c r="A9332" s="499">
        <v>45818</v>
      </c>
      <c r="B9332" s="499">
        <v>45819</v>
      </c>
      <c r="C9332" s="500" t="s">
        <v>173</v>
      </c>
      <c r="D9332" s="500" t="s">
        <v>759</v>
      </c>
      <c r="E9332" s="501">
        <v>122089178.62</v>
      </c>
      <c r="F9332" s="502" t="s">
        <v>878</v>
      </c>
      <c r="G9332" s="100">
        <v>117417650</v>
      </c>
      <c r="H9332" s="100">
        <v>117417650</v>
      </c>
      <c r="I9332" s="422" t="s">
        <v>715</v>
      </c>
      <c r="J9332" s="484"/>
      <c r="K9332" s="548"/>
      <c r="L9332" s="548"/>
      <c r="M9332" s="548"/>
      <c r="N9332" s="552">
        <v>158966</v>
      </c>
      <c r="R9332" s="539">
        <v>767.70100002516267</v>
      </c>
      <c r="S9332" s="539">
        <v>768.02070014971798</v>
      </c>
      <c r="T9332" s="538">
        <v>15.2</v>
      </c>
      <c r="U9332" s="538">
        <v>183.06</v>
      </c>
      <c r="V9332" s="538">
        <v>91.53</v>
      </c>
    </row>
    <row r="9333" spans="1:25">
      <c r="A9333" s="499">
        <v>45818</v>
      </c>
      <c r="B9333" s="499">
        <v>45819</v>
      </c>
      <c r="C9333" s="500" t="s">
        <v>173</v>
      </c>
      <c r="D9333" s="500" t="s">
        <v>759</v>
      </c>
      <c r="E9333" s="501">
        <v>131136537.09</v>
      </c>
      <c r="F9333" s="502" t="s">
        <v>878</v>
      </c>
      <c r="G9333" s="100">
        <v>117417653</v>
      </c>
      <c r="H9333" s="100">
        <v>117417653</v>
      </c>
      <c r="I9333" s="422" t="s">
        <v>602</v>
      </c>
      <c r="J9333" s="484"/>
      <c r="K9333" s="548"/>
      <c r="L9333" s="548"/>
      <c r="M9333" s="548"/>
      <c r="N9333" s="552">
        <v>155497</v>
      </c>
      <c r="R9333" s="539">
        <v>842.987000006431</v>
      </c>
      <c r="S9333" s="539">
        <v>843.33805211676099</v>
      </c>
      <c r="T9333" s="538">
        <v>15.2</v>
      </c>
      <c r="U9333" s="538">
        <v>196.62</v>
      </c>
      <c r="V9333" s="538">
        <v>98.31</v>
      </c>
    </row>
    <row r="9334" spans="1:25">
      <c r="A9334" s="499">
        <v>45818</v>
      </c>
      <c r="B9334" s="499">
        <v>45819</v>
      </c>
      <c r="C9334" s="500" t="s">
        <v>173</v>
      </c>
      <c r="D9334" s="500" t="s">
        <v>759</v>
      </c>
      <c r="E9334" s="501">
        <v>86052833.599999994</v>
      </c>
      <c r="F9334" s="502" t="s">
        <v>878</v>
      </c>
      <c r="G9334" s="100">
        <v>117417656</v>
      </c>
      <c r="H9334" s="100">
        <v>117417656</v>
      </c>
      <c r="I9334" s="422" t="s">
        <v>550</v>
      </c>
      <c r="J9334" s="484"/>
      <c r="K9334" s="548"/>
      <c r="L9334" s="548"/>
      <c r="M9334" s="548"/>
      <c r="N9334" s="552">
        <v>166410</v>
      </c>
      <c r="R9334" s="539">
        <v>516.89809999399074</v>
      </c>
      <c r="S9334" s="539">
        <v>517.11335616849897</v>
      </c>
      <c r="T9334" s="538">
        <v>15.2</v>
      </c>
      <c r="U9334" s="538">
        <v>129.03</v>
      </c>
      <c r="V9334" s="538">
        <v>64.510000000000005</v>
      </c>
    </row>
    <row r="9335" spans="1:25">
      <c r="A9335" s="499">
        <v>45818</v>
      </c>
      <c r="B9335" s="499">
        <v>45819</v>
      </c>
      <c r="C9335" s="500" t="s">
        <v>173</v>
      </c>
      <c r="D9335" s="500" t="s">
        <v>759</v>
      </c>
      <c r="E9335" s="501">
        <v>15012494.43</v>
      </c>
      <c r="F9335" s="502" t="s">
        <v>878</v>
      </c>
      <c r="G9335" s="100">
        <v>117420175</v>
      </c>
      <c r="H9335" s="100">
        <v>117420175</v>
      </c>
      <c r="I9335" s="422" t="s">
        <v>633</v>
      </c>
      <c r="J9335" s="484"/>
      <c r="K9335" s="548"/>
      <c r="L9335" s="548"/>
      <c r="M9335" s="548"/>
      <c r="N9335" s="552">
        <v>28950</v>
      </c>
      <c r="R9335" s="539">
        <v>518.34759999999994</v>
      </c>
      <c r="S9335" s="539">
        <v>518.56630155440405</v>
      </c>
      <c r="T9335" s="538">
        <v>15.4001</v>
      </c>
      <c r="U9335" s="538">
        <v>39.32</v>
      </c>
      <c r="V9335" s="538">
        <v>11.25</v>
      </c>
    </row>
    <row r="9336" spans="1:25">
      <c r="A9336" s="499">
        <v>45818</v>
      </c>
      <c r="B9336" s="499">
        <v>45818</v>
      </c>
      <c r="C9336" s="500" t="s">
        <v>173</v>
      </c>
      <c r="D9336" s="500" t="s">
        <v>760</v>
      </c>
      <c r="E9336" s="501">
        <v>-5000002.9400000004</v>
      </c>
      <c r="F9336" s="502" t="s">
        <v>878</v>
      </c>
      <c r="G9336" s="100">
        <v>117415904</v>
      </c>
      <c r="H9336" s="530"/>
      <c r="I9336" s="422" t="s">
        <v>811</v>
      </c>
      <c r="J9336" s="484"/>
      <c r="K9336" s="548"/>
      <c r="L9336" s="548"/>
      <c r="M9336" s="548"/>
      <c r="N9336" s="552">
        <v>4841680</v>
      </c>
      <c r="R9336" s="539">
        <v>1.0327</v>
      </c>
      <c r="S9336" s="539">
        <v>1.0331244010343501</v>
      </c>
      <c r="T9336" s="538">
        <v>15.0001</v>
      </c>
      <c r="U9336" s="538">
        <v>39.32</v>
      </c>
      <c r="V9336" s="538">
        <v>3.75</v>
      </c>
    </row>
    <row r="9337" spans="1:25">
      <c r="A9337" s="499">
        <v>45818</v>
      </c>
      <c r="B9337" s="499">
        <v>45818</v>
      </c>
      <c r="C9337" s="500" t="s">
        <v>173</v>
      </c>
      <c r="D9337" s="500" t="s">
        <v>760</v>
      </c>
      <c r="E9337" s="501">
        <v>-303018833.54000002</v>
      </c>
      <c r="F9337" s="502" t="s">
        <v>878</v>
      </c>
      <c r="G9337" s="100">
        <v>117415625</v>
      </c>
      <c r="H9337" s="530"/>
      <c r="I9337" s="422" t="s">
        <v>1018</v>
      </c>
      <c r="J9337" s="484"/>
      <c r="K9337" s="548"/>
      <c r="L9337" s="548"/>
      <c r="M9337" s="548"/>
      <c r="N9337" s="552">
        <v>3206043</v>
      </c>
      <c r="R9337" s="539">
        <v>94.514899999999997</v>
      </c>
      <c r="S9337" s="539">
        <v>94.553741740207499</v>
      </c>
      <c r="T9337" s="538">
        <v>15</v>
      </c>
      <c r="U9337" s="538">
        <v>454.53</v>
      </c>
      <c r="V9337" s="538">
        <v>227.26</v>
      </c>
    </row>
    <row r="9338" spans="1:25">
      <c r="A9338" s="499">
        <v>45818</v>
      </c>
      <c r="B9338" s="499">
        <v>45818</v>
      </c>
      <c r="C9338" s="500" t="s">
        <v>173</v>
      </c>
      <c r="D9338" s="500" t="s">
        <v>760</v>
      </c>
      <c r="E9338" s="501">
        <v>-1550128464.47</v>
      </c>
      <c r="F9338" s="502" t="s">
        <v>878</v>
      </c>
      <c r="G9338" s="100">
        <v>117415499</v>
      </c>
      <c r="H9338" s="530"/>
      <c r="I9338" s="422" t="s">
        <v>2591</v>
      </c>
      <c r="J9338" s="484"/>
      <c r="K9338" s="548"/>
      <c r="L9338" s="548"/>
      <c r="M9338" s="548"/>
      <c r="N9338" s="552">
        <v>15591450</v>
      </c>
      <c r="R9338" s="539">
        <v>99.421700000000001</v>
      </c>
      <c r="S9338" s="539">
        <v>99.462558505462894</v>
      </c>
      <c r="T9338" s="538">
        <v>15.0001</v>
      </c>
      <c r="U9338" s="538">
        <v>2325.19</v>
      </c>
      <c r="V9338" s="538">
        <v>1162.5999999999999</v>
      </c>
    </row>
    <row r="9339" spans="1:25">
      <c r="A9339" s="499">
        <v>45818</v>
      </c>
      <c r="B9339" s="499">
        <v>45818</v>
      </c>
      <c r="C9339" s="500" t="s">
        <v>173</v>
      </c>
      <c r="D9339" s="500" t="s">
        <v>760</v>
      </c>
      <c r="E9339" s="501">
        <v>-532044092.31999999</v>
      </c>
      <c r="F9339" s="502" t="s">
        <v>878</v>
      </c>
      <c r="G9339" s="100">
        <v>117415622</v>
      </c>
      <c r="H9339" s="530"/>
      <c r="I9339" s="422" t="s">
        <v>2591</v>
      </c>
      <c r="J9339" s="484"/>
      <c r="K9339" s="548"/>
      <c r="L9339" s="548"/>
      <c r="M9339" s="548"/>
      <c r="N9339" s="552">
        <v>5351388</v>
      </c>
      <c r="R9339" s="539">
        <v>99.421700000000001</v>
      </c>
      <c r="S9339" s="539">
        <v>99.462558504447799</v>
      </c>
      <c r="T9339" s="538">
        <v>15.0001</v>
      </c>
      <c r="U9339" s="538">
        <v>798.07</v>
      </c>
      <c r="V9339" s="538">
        <v>399.03</v>
      </c>
    </row>
    <row r="9340" spans="1:25">
      <c r="A9340" s="499">
        <v>45818</v>
      </c>
      <c r="B9340" s="499">
        <v>45819</v>
      </c>
      <c r="C9340" s="500" t="s">
        <v>173</v>
      </c>
      <c r="D9340" s="500" t="s">
        <v>760</v>
      </c>
      <c r="E9340" s="501">
        <v>5002057.75</v>
      </c>
      <c r="F9340" s="502" t="s">
        <v>878</v>
      </c>
      <c r="G9340" s="100">
        <v>117415904</v>
      </c>
      <c r="H9340" s="100">
        <v>117415904</v>
      </c>
      <c r="I9340" s="422" t="s">
        <v>811</v>
      </c>
      <c r="J9340" s="484"/>
      <c r="K9340" s="548"/>
      <c r="L9340" s="548"/>
      <c r="M9340" s="548"/>
      <c r="N9340" s="552">
        <v>4841680</v>
      </c>
      <c r="R9340" s="539">
        <v>1.0327</v>
      </c>
      <c r="S9340" s="539">
        <v>1.0331244010343501</v>
      </c>
      <c r="T9340" s="538">
        <v>15.0001</v>
      </c>
      <c r="U9340" s="538">
        <v>39.32</v>
      </c>
      <c r="V9340" s="538">
        <v>3.75</v>
      </c>
    </row>
    <row r="9341" spans="1:25">
      <c r="A9341" s="499">
        <v>45818</v>
      </c>
      <c r="B9341" s="499">
        <v>45819</v>
      </c>
      <c r="C9341" s="500" t="s">
        <v>173</v>
      </c>
      <c r="D9341" s="500" t="s">
        <v>760</v>
      </c>
      <c r="E9341" s="501">
        <v>303143361.82999998</v>
      </c>
      <c r="F9341" s="502" t="s">
        <v>878</v>
      </c>
      <c r="G9341" s="100">
        <v>117415625</v>
      </c>
      <c r="H9341" s="100">
        <v>117415625</v>
      </c>
      <c r="I9341" s="422" t="s">
        <v>1018</v>
      </c>
      <c r="J9341" s="484"/>
      <c r="K9341" s="548"/>
      <c r="L9341" s="548"/>
      <c r="M9341" s="548"/>
      <c r="N9341" s="552">
        <v>3206043</v>
      </c>
      <c r="R9341" s="539">
        <v>94.514899999999997</v>
      </c>
      <c r="S9341" s="539">
        <v>94.553741740207499</v>
      </c>
      <c r="T9341" s="538">
        <v>15</v>
      </c>
      <c r="U9341" s="538">
        <v>454.53</v>
      </c>
      <c r="V9341" s="538">
        <v>227.26</v>
      </c>
    </row>
    <row r="9342" spans="1:25">
      <c r="A9342" s="499">
        <v>45818</v>
      </c>
      <c r="B9342" s="499">
        <v>45819</v>
      </c>
      <c r="C9342" s="500" t="s">
        <v>173</v>
      </c>
      <c r="D9342" s="500" t="s">
        <v>760</v>
      </c>
      <c r="E9342" s="501">
        <v>1550765507.8099999</v>
      </c>
      <c r="F9342" s="502" t="s">
        <v>878</v>
      </c>
      <c r="G9342" s="100">
        <v>117415499</v>
      </c>
      <c r="H9342" s="100">
        <v>117415499</v>
      </c>
      <c r="I9342" s="422" t="s">
        <v>2591</v>
      </c>
      <c r="J9342" s="484"/>
      <c r="K9342" s="548"/>
      <c r="L9342" s="548"/>
      <c r="M9342" s="548"/>
      <c r="N9342" s="552">
        <v>15591450</v>
      </c>
      <c r="R9342" s="539">
        <v>99.421700000000001</v>
      </c>
      <c r="S9342" s="539">
        <v>99.462558505462894</v>
      </c>
      <c r="T9342" s="538">
        <v>15.0001</v>
      </c>
      <c r="U9342" s="538">
        <v>2325.19</v>
      </c>
      <c r="V9342" s="538">
        <v>1162.5999999999999</v>
      </c>
    </row>
    <row r="9343" spans="1:25">
      <c r="A9343" s="499">
        <v>45818</v>
      </c>
      <c r="B9343" s="499">
        <v>45819</v>
      </c>
      <c r="C9343" s="500" t="s">
        <v>173</v>
      </c>
      <c r="D9343" s="500" t="s">
        <v>760</v>
      </c>
      <c r="E9343" s="501">
        <v>532262742.02999997</v>
      </c>
      <c r="F9343" s="502" t="s">
        <v>878</v>
      </c>
      <c r="G9343" s="100">
        <v>117415622</v>
      </c>
      <c r="H9343" s="100">
        <v>117415622</v>
      </c>
      <c r="I9343" s="422" t="s">
        <v>2591</v>
      </c>
      <c r="J9343" s="484"/>
      <c r="K9343" s="548"/>
      <c r="L9343" s="548"/>
      <c r="M9343" s="548"/>
      <c r="N9343" s="552">
        <v>5351388</v>
      </c>
      <c r="R9343" s="539">
        <v>99.421700000000001</v>
      </c>
      <c r="S9343" s="539">
        <v>99.462558504447799</v>
      </c>
      <c r="T9343" s="538">
        <v>15.0001</v>
      </c>
      <c r="U9343" s="538">
        <v>798.07</v>
      </c>
      <c r="V9343" s="538">
        <v>399.03</v>
      </c>
    </row>
    <row r="9344" spans="1:25">
      <c r="A9344" s="499">
        <v>45818</v>
      </c>
      <c r="B9344" s="499">
        <v>45820</v>
      </c>
      <c r="C9344" s="500" t="s">
        <v>173</v>
      </c>
      <c r="D9344" s="500" t="s">
        <v>761</v>
      </c>
      <c r="E9344" s="501">
        <v>-182665288.88999999</v>
      </c>
      <c r="F9344" s="502" t="s">
        <v>906</v>
      </c>
      <c r="G9344" s="100" t="s">
        <v>448</v>
      </c>
      <c r="H9344" s="530"/>
      <c r="I9344" s="422" t="s">
        <v>676</v>
      </c>
      <c r="J9344" s="523"/>
      <c r="K9344" s="548">
        <v>117433430</v>
      </c>
      <c r="L9344" s="549">
        <v>82.130700000000004</v>
      </c>
      <c r="M9344" s="549">
        <f>E9344*(-1)/(N9344*O9344)*100</f>
        <v>91.332644444999985</v>
      </c>
      <c r="N9344" s="549">
        <v>200000</v>
      </c>
      <c r="O9344" s="539">
        <v>1000</v>
      </c>
      <c r="P9344" s="539">
        <v>84.863299999999995</v>
      </c>
      <c r="T9344" s="549">
        <v>16.87</v>
      </c>
      <c r="V9344" s="538">
        <v>18266.53</v>
      </c>
      <c r="W9344" s="550">
        <f>VLOOKUP(G9344,Справочник!A:C,3,0)</f>
        <v>0.1055</v>
      </c>
      <c r="X9344" s="539" t="str">
        <f>VLOOKUP(G9344,Справочник!A:G,7,0)</f>
        <v>Министерство финансов Республики Казахстан</v>
      </c>
      <c r="Y9344" s="551">
        <f>VLOOKUP(G9344,Справочник!A:B,2,0)</f>
        <v>47327</v>
      </c>
    </row>
    <row r="9345" spans="1:25">
      <c r="A9345" s="499">
        <v>45818</v>
      </c>
      <c r="B9345" s="499">
        <v>45820</v>
      </c>
      <c r="C9345" s="500" t="s">
        <v>173</v>
      </c>
      <c r="D9345" s="500" t="s">
        <v>760</v>
      </c>
      <c r="E9345" s="501">
        <v>-499999268.60000002</v>
      </c>
      <c r="F9345" s="502" t="s">
        <v>906</v>
      </c>
      <c r="G9345" s="100" t="s">
        <v>448</v>
      </c>
      <c r="H9345" s="530"/>
      <c r="I9345" s="422" t="s">
        <v>676</v>
      </c>
      <c r="J9345" s="523"/>
      <c r="K9345" s="548">
        <v>117426771</v>
      </c>
      <c r="L9345" s="549">
        <v>82.424700000000001</v>
      </c>
      <c r="M9345" s="549">
        <f>E9345*(-1)/(N9345*O9345)*100</f>
        <v>91.626644444118668</v>
      </c>
      <c r="N9345" s="549">
        <v>545692</v>
      </c>
      <c r="O9345" s="539">
        <v>1000</v>
      </c>
      <c r="P9345" s="539">
        <v>84.863299999999995</v>
      </c>
      <c r="T9345" s="549">
        <v>16.75</v>
      </c>
      <c r="U9345" s="538">
        <v>0</v>
      </c>
      <c r="V9345" s="538">
        <v>49999.93</v>
      </c>
      <c r="W9345" s="550">
        <f>VLOOKUP(G9345,Справочник!A:C,3,0)</f>
        <v>0.1055</v>
      </c>
      <c r="X9345" s="539" t="str">
        <f>VLOOKUP(G9345,Справочник!A:G,7,0)</f>
        <v>Министерство финансов Республики Казахстан</v>
      </c>
      <c r="Y9345" s="551">
        <f>VLOOKUP(G9345,Справочник!A:B,2,0)</f>
        <v>47327</v>
      </c>
    </row>
    <row r="9346" spans="1:25">
      <c r="A9346" s="499">
        <v>45818</v>
      </c>
      <c r="B9346" s="499">
        <v>45818</v>
      </c>
      <c r="C9346" s="500" t="s">
        <v>173</v>
      </c>
      <c r="D9346" s="500" t="s">
        <v>763</v>
      </c>
      <c r="E9346" s="501">
        <v>-2010124935.3699999</v>
      </c>
      <c r="F9346" s="502" t="s">
        <v>878</v>
      </c>
      <c r="G9346" s="100">
        <v>117415849</v>
      </c>
      <c r="H9346" s="530"/>
      <c r="I9346" s="422" t="s">
        <v>1018</v>
      </c>
      <c r="J9346" s="484"/>
      <c r="K9346" s="548"/>
      <c r="L9346" s="548"/>
      <c r="M9346" s="548"/>
      <c r="N9346" s="552">
        <v>21267810</v>
      </c>
      <c r="R9346" s="539">
        <v>94.514899999999997</v>
      </c>
      <c r="S9346" s="539">
        <v>94.553741739746599</v>
      </c>
      <c r="T9346" s="538">
        <v>15</v>
      </c>
      <c r="U9346" s="538">
        <v>3015.19</v>
      </c>
      <c r="V9346" s="538">
        <v>1507.59</v>
      </c>
    </row>
    <row r="9347" spans="1:25">
      <c r="A9347" s="499">
        <v>45818</v>
      </c>
      <c r="B9347" s="499">
        <v>45818</v>
      </c>
      <c r="C9347" s="500" t="s">
        <v>173</v>
      </c>
      <c r="D9347" s="500" t="s">
        <v>763</v>
      </c>
      <c r="E9347" s="501">
        <v>-3853582663.54</v>
      </c>
      <c r="F9347" s="502" t="s">
        <v>878</v>
      </c>
      <c r="G9347" s="100">
        <v>117415852</v>
      </c>
      <c r="H9347" s="530"/>
      <c r="I9347" s="422" t="s">
        <v>633</v>
      </c>
      <c r="J9347" s="484"/>
      <c r="K9347" s="548"/>
      <c r="L9347" s="548"/>
      <c r="M9347" s="548"/>
      <c r="N9347" s="552">
        <v>7434360</v>
      </c>
      <c r="R9347" s="539">
        <v>518.34760000000006</v>
      </c>
      <c r="S9347" s="539">
        <v>518.56061956241001</v>
      </c>
      <c r="T9347" s="538">
        <v>15</v>
      </c>
      <c r="U9347" s="538">
        <v>5780.37</v>
      </c>
      <c r="V9347" s="538">
        <v>2890.19</v>
      </c>
    </row>
    <row r="9348" spans="1:25">
      <c r="A9348" s="499">
        <v>45818</v>
      </c>
      <c r="B9348" s="499">
        <v>45818</v>
      </c>
      <c r="C9348" s="500" t="s">
        <v>173</v>
      </c>
      <c r="D9348" s="500" t="s">
        <v>763</v>
      </c>
      <c r="E9348" s="501">
        <v>-34000019.960000001</v>
      </c>
      <c r="F9348" s="502" t="s">
        <v>878</v>
      </c>
      <c r="G9348" s="100">
        <v>117415875</v>
      </c>
      <c r="H9348" s="530"/>
      <c r="I9348" s="422" t="s">
        <v>811</v>
      </c>
      <c r="J9348" s="484"/>
      <c r="K9348" s="548"/>
      <c r="L9348" s="548"/>
      <c r="M9348" s="548"/>
      <c r="N9348" s="552">
        <v>32923424</v>
      </c>
      <c r="R9348" s="539">
        <v>1.0327</v>
      </c>
      <c r="S9348" s="539">
        <v>1.03312439981941</v>
      </c>
      <c r="T9348" s="538">
        <v>15.0001</v>
      </c>
      <c r="U9348" s="538">
        <v>51</v>
      </c>
      <c r="V9348" s="538">
        <v>39.32</v>
      </c>
    </row>
    <row r="9349" spans="1:25">
      <c r="A9349" s="499">
        <v>45818</v>
      </c>
      <c r="B9349" s="499">
        <v>45819</v>
      </c>
      <c r="C9349" s="500" t="s">
        <v>173</v>
      </c>
      <c r="D9349" s="500" t="s">
        <v>763</v>
      </c>
      <c r="E9349" s="501">
        <v>2010951014.1099999</v>
      </c>
      <c r="F9349" s="502" t="s">
        <v>878</v>
      </c>
      <c r="G9349" s="100">
        <v>117415849</v>
      </c>
      <c r="H9349" s="100">
        <v>117415849</v>
      </c>
      <c r="I9349" s="422" t="s">
        <v>1018</v>
      </c>
      <c r="J9349" s="484"/>
      <c r="K9349" s="548"/>
      <c r="L9349" s="548"/>
      <c r="M9349" s="548"/>
      <c r="N9349" s="552">
        <v>21267810</v>
      </c>
      <c r="R9349" s="539">
        <v>94.514899999999997</v>
      </c>
      <c r="S9349" s="539">
        <v>94.553741739746599</v>
      </c>
      <c r="T9349" s="538">
        <v>15</v>
      </c>
      <c r="U9349" s="538">
        <v>3015.19</v>
      </c>
      <c r="V9349" s="538">
        <v>1507.59</v>
      </c>
    </row>
    <row r="9350" spans="1:25">
      <c r="A9350" s="499">
        <v>45818</v>
      </c>
      <c r="B9350" s="499">
        <v>45819</v>
      </c>
      <c r="C9350" s="500" t="s">
        <v>173</v>
      </c>
      <c r="D9350" s="500" t="s">
        <v>763</v>
      </c>
      <c r="E9350" s="501">
        <v>3855166327.6500001</v>
      </c>
      <c r="F9350" s="502" t="s">
        <v>878</v>
      </c>
      <c r="G9350" s="100">
        <v>117415852</v>
      </c>
      <c r="H9350" s="100">
        <v>117415852</v>
      </c>
      <c r="I9350" s="422" t="s">
        <v>633</v>
      </c>
      <c r="J9350" s="484"/>
      <c r="K9350" s="548"/>
      <c r="L9350" s="548"/>
      <c r="M9350" s="548"/>
      <c r="N9350" s="552">
        <v>7434360</v>
      </c>
      <c r="R9350" s="539">
        <v>518.34760000000006</v>
      </c>
      <c r="S9350" s="539">
        <v>518.56061956241001</v>
      </c>
      <c r="T9350" s="538">
        <v>15</v>
      </c>
      <c r="U9350" s="538">
        <v>5780.37</v>
      </c>
      <c r="V9350" s="538">
        <v>2890.19</v>
      </c>
    </row>
    <row r="9351" spans="1:25">
      <c r="A9351" s="499">
        <v>45818</v>
      </c>
      <c r="B9351" s="499">
        <v>45819</v>
      </c>
      <c r="C9351" s="500" t="s">
        <v>173</v>
      </c>
      <c r="D9351" s="500" t="s">
        <v>763</v>
      </c>
      <c r="E9351" s="501">
        <v>34013992.659999996</v>
      </c>
      <c r="F9351" s="502" t="s">
        <v>878</v>
      </c>
      <c r="G9351" s="100">
        <v>117415875</v>
      </c>
      <c r="H9351" s="100">
        <v>117415875</v>
      </c>
      <c r="I9351" s="422" t="s">
        <v>811</v>
      </c>
      <c r="J9351" s="484"/>
      <c r="K9351" s="548"/>
      <c r="L9351" s="548"/>
      <c r="M9351" s="548"/>
      <c r="N9351" s="552">
        <v>32923424</v>
      </c>
      <c r="R9351" s="539">
        <v>1.0327</v>
      </c>
      <c r="S9351" s="539">
        <v>1.03312439981941</v>
      </c>
      <c r="T9351" s="538">
        <v>15.0001</v>
      </c>
      <c r="U9351" s="538">
        <v>51</v>
      </c>
      <c r="V9351" s="538">
        <v>39.32</v>
      </c>
    </row>
    <row r="9352" spans="1:25">
      <c r="A9352" s="499">
        <v>45819</v>
      </c>
      <c r="B9352" s="499">
        <v>45819</v>
      </c>
      <c r="C9352" s="500" t="s">
        <v>173</v>
      </c>
      <c r="D9352" s="500" t="s">
        <v>762</v>
      </c>
      <c r="E9352" s="501">
        <v>-3455165503.9400001</v>
      </c>
      <c r="F9352" s="502" t="s">
        <v>878</v>
      </c>
      <c r="G9352" s="100">
        <v>117437383</v>
      </c>
      <c r="H9352" s="530"/>
      <c r="I9352" s="422" t="s">
        <v>829</v>
      </c>
      <c r="J9352" s="484"/>
      <c r="K9352" s="548"/>
      <c r="L9352" s="548"/>
      <c r="M9352" s="548"/>
      <c r="N9352" s="552">
        <v>3336564</v>
      </c>
      <c r="R9352" s="558">
        <v>1035.546</v>
      </c>
      <c r="S9352" s="558">
        <v>1035.99284519044</v>
      </c>
      <c r="T9352" s="538">
        <v>15.75</v>
      </c>
      <c r="U9352" s="538">
        <v>5182.75</v>
      </c>
      <c r="V9352" s="538">
        <v>2591.37</v>
      </c>
    </row>
    <row r="9353" spans="1:25">
      <c r="A9353" s="499">
        <v>45819</v>
      </c>
      <c r="B9353" s="499">
        <v>45819</v>
      </c>
      <c r="C9353" s="500" t="s">
        <v>173</v>
      </c>
      <c r="D9353" s="500" t="s">
        <v>762</v>
      </c>
      <c r="E9353" s="501">
        <v>-19015082.09</v>
      </c>
      <c r="F9353" s="502" t="s">
        <v>878</v>
      </c>
      <c r="G9353" s="100">
        <v>117437421</v>
      </c>
      <c r="H9353" s="530"/>
      <c r="I9353" s="422" t="s">
        <v>656</v>
      </c>
      <c r="J9353" s="484"/>
      <c r="K9353" s="548"/>
      <c r="L9353" s="548"/>
      <c r="M9353" s="548"/>
      <c r="N9353" s="552">
        <v>19019</v>
      </c>
      <c r="R9353" s="558">
        <v>999.79399999999998</v>
      </c>
      <c r="S9353" s="558">
        <v>1000.22542089489</v>
      </c>
      <c r="T9353" s="538">
        <v>15.7501</v>
      </c>
      <c r="U9353" s="538">
        <v>39.32</v>
      </c>
      <c r="V9353" s="538">
        <v>14.26</v>
      </c>
    </row>
    <row r="9354" spans="1:25">
      <c r="A9354" s="499">
        <v>45819</v>
      </c>
      <c r="B9354" s="499">
        <v>45819</v>
      </c>
      <c r="C9354" s="500" t="s">
        <v>173</v>
      </c>
      <c r="D9354" s="500" t="s">
        <v>762</v>
      </c>
      <c r="E9354" s="501">
        <v>-121042789.47</v>
      </c>
      <c r="F9354" s="502" t="s">
        <v>878</v>
      </c>
      <c r="G9354" s="100">
        <v>117444784</v>
      </c>
      <c r="H9354" s="530"/>
      <c r="I9354" s="422" t="s">
        <v>819</v>
      </c>
      <c r="J9354" s="484"/>
      <c r="K9354" s="548"/>
      <c r="L9354" s="548"/>
      <c r="M9354" s="548"/>
      <c r="N9354" s="552">
        <v>120032</v>
      </c>
      <c r="R9354" s="558">
        <v>1008.421</v>
      </c>
      <c r="S9354" s="558">
        <v>1008.84951537923</v>
      </c>
      <c r="T9354" s="538">
        <v>15.510199999999999</v>
      </c>
      <c r="U9354" s="538">
        <v>181.56</v>
      </c>
      <c r="V9354" s="538">
        <v>90.78</v>
      </c>
    </row>
    <row r="9355" spans="1:25">
      <c r="A9355" s="499">
        <v>45819</v>
      </c>
      <c r="B9355" s="499">
        <v>45820</v>
      </c>
      <c r="C9355" s="500" t="s">
        <v>173</v>
      </c>
      <c r="D9355" s="500" t="s">
        <v>762</v>
      </c>
      <c r="E9355" s="501">
        <v>3456656431.52</v>
      </c>
      <c r="F9355" s="502" t="s">
        <v>878</v>
      </c>
      <c r="G9355" s="100">
        <v>117437383</v>
      </c>
      <c r="H9355" s="484">
        <v>117437383</v>
      </c>
      <c r="I9355" s="422" t="s">
        <v>829</v>
      </c>
      <c r="J9355" s="484"/>
      <c r="K9355" s="548"/>
      <c r="L9355" s="548"/>
      <c r="M9355" s="548"/>
      <c r="N9355" s="552">
        <v>3336564</v>
      </c>
      <c r="R9355" s="558">
        <v>1035.546</v>
      </c>
      <c r="S9355" s="558">
        <v>1035.99284519044</v>
      </c>
      <c r="T9355" s="538">
        <v>15.75</v>
      </c>
      <c r="U9355" s="538">
        <v>5182.75</v>
      </c>
      <c r="V9355" s="538">
        <v>2591.37</v>
      </c>
    </row>
    <row r="9356" spans="1:25">
      <c r="A9356" s="499">
        <v>45819</v>
      </c>
      <c r="B9356" s="499">
        <v>45820</v>
      </c>
      <c r="C9356" s="500" t="s">
        <v>173</v>
      </c>
      <c r="D9356" s="500" t="s">
        <v>762</v>
      </c>
      <c r="E9356" s="501">
        <v>19023287.280000001</v>
      </c>
      <c r="F9356" s="502" t="s">
        <v>878</v>
      </c>
      <c r="G9356" s="100">
        <v>117437421</v>
      </c>
      <c r="H9356" s="484">
        <v>117437421</v>
      </c>
      <c r="I9356" s="422" t="s">
        <v>656</v>
      </c>
      <c r="J9356" s="484"/>
      <c r="K9356" s="548"/>
      <c r="L9356" s="548"/>
      <c r="M9356" s="548"/>
      <c r="N9356" s="552">
        <v>19019</v>
      </c>
      <c r="R9356" s="558">
        <v>999.79399999999998</v>
      </c>
      <c r="S9356" s="558">
        <v>1000.22542089489</v>
      </c>
      <c r="T9356" s="538">
        <v>15.7501</v>
      </c>
      <c r="U9356" s="538">
        <v>39.32</v>
      </c>
      <c r="V9356" s="538">
        <v>14.26</v>
      </c>
    </row>
    <row r="9357" spans="1:25">
      <c r="A9357" s="499">
        <v>45819</v>
      </c>
      <c r="B9357" s="499">
        <v>45820</v>
      </c>
      <c r="C9357" s="500" t="s">
        <v>173</v>
      </c>
      <c r="D9357" s="500" t="s">
        <v>762</v>
      </c>
      <c r="E9357" s="501">
        <v>121094225.03</v>
      </c>
      <c r="F9357" s="502" t="s">
        <v>878</v>
      </c>
      <c r="G9357" s="100">
        <v>117444784</v>
      </c>
      <c r="H9357" s="484">
        <v>117444784</v>
      </c>
      <c r="I9357" s="422" t="s">
        <v>819</v>
      </c>
      <c r="J9357" s="484"/>
      <c r="K9357" s="548"/>
      <c r="L9357" s="548"/>
      <c r="M9357" s="548"/>
      <c r="N9357" s="552">
        <v>120032</v>
      </c>
      <c r="R9357" s="558">
        <v>1008.421</v>
      </c>
      <c r="S9357" s="558">
        <v>1008.84951537923</v>
      </c>
      <c r="T9357" s="538">
        <v>15.510199999999999</v>
      </c>
      <c r="U9357" s="538">
        <v>181.56</v>
      </c>
      <c r="V9357" s="538">
        <v>90.78</v>
      </c>
    </row>
    <row r="9358" spans="1:25">
      <c r="A9358" s="499">
        <v>45819</v>
      </c>
      <c r="B9358" s="499">
        <v>45819</v>
      </c>
      <c r="C9358" s="500" t="s">
        <v>173</v>
      </c>
      <c r="D9358" s="500" t="s">
        <v>761</v>
      </c>
      <c r="E9358" s="501">
        <v>-596051775.71000004</v>
      </c>
      <c r="F9358" s="502" t="s">
        <v>878</v>
      </c>
      <c r="G9358" s="100">
        <v>117436324</v>
      </c>
      <c r="H9358" s="530"/>
      <c r="I9358" s="422" t="s">
        <v>633</v>
      </c>
      <c r="J9358" s="484"/>
      <c r="K9358" s="548"/>
      <c r="L9358" s="548"/>
      <c r="M9358" s="548"/>
      <c r="N9358" s="552">
        <v>1152664</v>
      </c>
      <c r="R9358" s="539">
        <v>517.10799999826497</v>
      </c>
      <c r="S9358" s="539">
        <v>517.33184400658001</v>
      </c>
      <c r="T9358" s="538">
        <v>15.8</v>
      </c>
      <c r="U9358" s="538">
        <v>894.08</v>
      </c>
      <c r="V9358" s="538">
        <v>447.04</v>
      </c>
    </row>
    <row r="9359" spans="1:25">
      <c r="A9359" s="499">
        <v>45819</v>
      </c>
      <c r="B9359" s="499">
        <v>45819</v>
      </c>
      <c r="C9359" s="500" t="s">
        <v>173</v>
      </c>
      <c r="D9359" s="500" t="s">
        <v>761</v>
      </c>
      <c r="E9359" s="501">
        <v>-3001788.9</v>
      </c>
      <c r="F9359" s="502" t="s">
        <v>878</v>
      </c>
      <c r="G9359" s="100">
        <v>117438230</v>
      </c>
      <c r="H9359" s="530"/>
      <c r="I9359" s="422" t="s">
        <v>716</v>
      </c>
      <c r="J9359" s="484"/>
      <c r="K9359" s="548"/>
      <c r="L9359" s="548"/>
      <c r="M9359" s="548"/>
      <c r="N9359" s="552">
        <v>4092</v>
      </c>
      <c r="R9359" s="539">
        <v>733.57499999999993</v>
      </c>
      <c r="S9359" s="539">
        <v>733.892546432063</v>
      </c>
      <c r="T9359" s="538">
        <v>15.8</v>
      </c>
      <c r="U9359" s="538">
        <v>39.32</v>
      </c>
      <c r="V9359" s="538">
        <v>2.25</v>
      </c>
    </row>
    <row r="9360" spans="1:25">
      <c r="A9360" s="499">
        <v>45819</v>
      </c>
      <c r="B9360" s="499">
        <v>45819</v>
      </c>
      <c r="C9360" s="500" t="s">
        <v>173</v>
      </c>
      <c r="D9360" s="500" t="s">
        <v>761</v>
      </c>
      <c r="E9360" s="501">
        <v>-21007426.27</v>
      </c>
      <c r="F9360" s="502" t="s">
        <v>878</v>
      </c>
      <c r="G9360" s="100">
        <v>117443119</v>
      </c>
      <c r="H9360" s="530"/>
      <c r="I9360" s="422" t="s">
        <v>819</v>
      </c>
      <c r="J9360" s="484"/>
      <c r="K9360" s="548"/>
      <c r="L9360" s="548"/>
      <c r="M9360" s="548"/>
      <c r="N9360" s="552">
        <v>20832</v>
      </c>
      <c r="R9360" s="539">
        <v>1008.4209999039938</v>
      </c>
      <c r="S9360" s="539">
        <v>1008.84951516897</v>
      </c>
      <c r="T9360" s="538">
        <v>15.510199999999999</v>
      </c>
      <c r="U9360" s="538">
        <v>39.32</v>
      </c>
      <c r="V9360" s="538">
        <v>15.76</v>
      </c>
    </row>
    <row r="9361" spans="1:22">
      <c r="A9361" s="499">
        <v>45819</v>
      </c>
      <c r="B9361" s="499">
        <v>45820</v>
      </c>
      <c r="C9361" s="500" t="s">
        <v>173</v>
      </c>
      <c r="D9361" s="500" t="s">
        <v>761</v>
      </c>
      <c r="E9361" s="501">
        <v>596309792.63999999</v>
      </c>
      <c r="F9361" s="502" t="s">
        <v>878</v>
      </c>
      <c r="G9361" s="100">
        <v>117436324</v>
      </c>
      <c r="H9361" s="100">
        <v>117436324</v>
      </c>
      <c r="I9361" s="422" t="s">
        <v>633</v>
      </c>
      <c r="J9361" s="484"/>
      <c r="K9361" s="548"/>
      <c r="L9361" s="548"/>
      <c r="M9361" s="548"/>
      <c r="N9361" s="552">
        <v>1152664</v>
      </c>
      <c r="R9361" s="539">
        <v>517.10799999826497</v>
      </c>
      <c r="S9361" s="539">
        <v>517.33184400658001</v>
      </c>
      <c r="T9361" s="538">
        <v>15.8</v>
      </c>
      <c r="U9361" s="538">
        <v>894.08</v>
      </c>
      <c r="V9361" s="538">
        <v>447.04</v>
      </c>
    </row>
    <row r="9362" spans="1:22">
      <c r="A9362" s="499">
        <v>45819</v>
      </c>
      <c r="B9362" s="499">
        <v>45820</v>
      </c>
      <c r="C9362" s="500" t="s">
        <v>173</v>
      </c>
      <c r="D9362" s="500" t="s">
        <v>761</v>
      </c>
      <c r="E9362" s="501">
        <v>3003088.3</v>
      </c>
      <c r="F9362" s="502" t="s">
        <v>878</v>
      </c>
      <c r="G9362" s="100">
        <v>117438230</v>
      </c>
      <c r="H9362" s="100">
        <v>117438230</v>
      </c>
      <c r="I9362" s="422" t="s">
        <v>716</v>
      </c>
      <c r="J9362" s="484"/>
      <c r="K9362" s="548"/>
      <c r="L9362" s="548"/>
      <c r="M9362" s="548"/>
      <c r="N9362" s="552">
        <v>4092</v>
      </c>
      <c r="R9362" s="539">
        <v>733.57499999999993</v>
      </c>
      <c r="S9362" s="539">
        <v>733.892546432063</v>
      </c>
      <c r="T9362" s="538">
        <v>15.8</v>
      </c>
      <c r="U9362" s="538">
        <v>39.32</v>
      </c>
      <c r="V9362" s="538">
        <v>2.25</v>
      </c>
    </row>
    <row r="9363" spans="1:22">
      <c r="A9363" s="499">
        <v>45819</v>
      </c>
      <c r="B9363" s="499">
        <v>45820</v>
      </c>
      <c r="C9363" s="500" t="s">
        <v>173</v>
      </c>
      <c r="D9363" s="500" t="s">
        <v>761</v>
      </c>
      <c r="E9363" s="501">
        <v>21016353.100000001</v>
      </c>
      <c r="F9363" s="502" t="s">
        <v>878</v>
      </c>
      <c r="G9363" s="100">
        <v>117443119</v>
      </c>
      <c r="H9363" s="100">
        <v>117443119</v>
      </c>
      <c r="I9363" s="422" t="s">
        <v>819</v>
      </c>
      <c r="J9363" s="484"/>
      <c r="K9363" s="548"/>
      <c r="L9363" s="548"/>
      <c r="M9363" s="548"/>
      <c r="N9363" s="552">
        <v>20832</v>
      </c>
      <c r="R9363" s="539">
        <v>1008.4209999039938</v>
      </c>
      <c r="S9363" s="539">
        <v>1008.84951516897</v>
      </c>
      <c r="T9363" s="538">
        <v>15.510199999999999</v>
      </c>
      <c r="U9363" s="538">
        <v>39.32</v>
      </c>
      <c r="V9363" s="538">
        <v>15.76</v>
      </c>
    </row>
    <row r="9364" spans="1:22">
      <c r="A9364" s="499">
        <v>45819</v>
      </c>
      <c r="B9364" s="499">
        <v>45819</v>
      </c>
      <c r="C9364" s="500" t="s">
        <v>173</v>
      </c>
      <c r="D9364" s="500" t="s">
        <v>759</v>
      </c>
      <c r="E9364" s="501">
        <v>-1678050309.1199999</v>
      </c>
      <c r="F9364" s="502" t="s">
        <v>878</v>
      </c>
      <c r="G9364" s="100">
        <v>117436439</v>
      </c>
      <c r="H9364" s="530"/>
      <c r="I9364" s="422" t="s">
        <v>2591</v>
      </c>
      <c r="J9364" s="484"/>
      <c r="K9364" s="548"/>
      <c r="L9364" s="548"/>
      <c r="M9364" s="548"/>
      <c r="N9364" s="552">
        <v>16873968</v>
      </c>
      <c r="R9364" s="539">
        <v>99.446099999715528</v>
      </c>
      <c r="S9364" s="539">
        <v>99.489147900481996</v>
      </c>
      <c r="T9364" s="538">
        <v>15.8</v>
      </c>
      <c r="U9364" s="538">
        <v>2517.08</v>
      </c>
      <c r="V9364" s="538">
        <v>1258.54</v>
      </c>
    </row>
    <row r="9365" spans="1:22">
      <c r="A9365" s="499">
        <v>45819</v>
      </c>
      <c r="B9365" s="499">
        <v>45819</v>
      </c>
      <c r="C9365" s="500" t="s">
        <v>173</v>
      </c>
      <c r="D9365" s="500" t="s">
        <v>759</v>
      </c>
      <c r="E9365" s="501">
        <v>-1176035258.3599999</v>
      </c>
      <c r="F9365" s="502" t="s">
        <v>878</v>
      </c>
      <c r="G9365" s="100">
        <v>117436598</v>
      </c>
      <c r="H9365" s="530"/>
      <c r="I9365" s="422" t="s">
        <v>2591</v>
      </c>
      <c r="J9365" s="484"/>
      <c r="K9365" s="548"/>
      <c r="L9365" s="548"/>
      <c r="M9365" s="548"/>
      <c r="N9365" s="552">
        <v>11825856</v>
      </c>
      <c r="R9365" s="539">
        <v>99.4460999998647</v>
      </c>
      <c r="S9365" s="539">
        <v>99.489147901006106</v>
      </c>
      <c r="T9365" s="538">
        <v>15.8</v>
      </c>
      <c r="U9365" s="538">
        <v>1764.05</v>
      </c>
      <c r="V9365" s="538">
        <v>882.03</v>
      </c>
    </row>
    <row r="9366" spans="1:22">
      <c r="A9366" s="499">
        <v>45819</v>
      </c>
      <c r="B9366" s="499">
        <v>45819</v>
      </c>
      <c r="C9366" s="500" t="s">
        <v>173</v>
      </c>
      <c r="D9366" s="500" t="s">
        <v>759</v>
      </c>
      <c r="E9366" s="501">
        <v>-18014288.289999999</v>
      </c>
      <c r="F9366" s="502" t="s">
        <v>878</v>
      </c>
      <c r="G9366" s="100">
        <v>117437584</v>
      </c>
      <c r="H9366" s="530"/>
      <c r="I9366" s="422" t="s">
        <v>656</v>
      </c>
      <c r="J9366" s="484"/>
      <c r="K9366" s="548"/>
      <c r="L9366" s="548"/>
      <c r="M9366" s="548"/>
      <c r="N9366" s="552">
        <v>18018</v>
      </c>
      <c r="R9366" s="539">
        <v>999.79399988899979</v>
      </c>
      <c r="S9366" s="539">
        <v>1000.22542069042</v>
      </c>
      <c r="T9366" s="538">
        <v>15.7501</v>
      </c>
      <c r="U9366" s="538">
        <v>39.32</v>
      </c>
      <c r="V9366" s="538">
        <v>13.51</v>
      </c>
    </row>
    <row r="9367" spans="1:22">
      <c r="A9367" s="499">
        <v>45819</v>
      </c>
      <c r="B9367" s="499">
        <v>45820</v>
      </c>
      <c r="C9367" s="500" t="s">
        <v>173</v>
      </c>
      <c r="D9367" s="500" t="s">
        <v>759</v>
      </c>
      <c r="E9367" s="501">
        <v>1678776698.02</v>
      </c>
      <c r="F9367" s="502" t="s">
        <v>878</v>
      </c>
      <c r="G9367" s="100">
        <v>117436439</v>
      </c>
      <c r="H9367" s="100">
        <v>117436439</v>
      </c>
      <c r="I9367" s="422" t="s">
        <v>2591</v>
      </c>
      <c r="J9367" s="484"/>
      <c r="K9367" s="548"/>
      <c r="L9367" s="548"/>
      <c r="M9367" s="548"/>
      <c r="N9367" s="552">
        <v>16873968</v>
      </c>
      <c r="R9367" s="539">
        <v>99.446099999715528</v>
      </c>
      <c r="S9367" s="539">
        <v>99.489147900481996</v>
      </c>
      <c r="T9367" s="538">
        <v>15.8</v>
      </c>
      <c r="U9367" s="538">
        <v>2517.08</v>
      </c>
      <c r="V9367" s="538">
        <v>1258.54</v>
      </c>
    </row>
    <row r="9368" spans="1:22">
      <c r="A9368" s="499">
        <v>45819</v>
      </c>
      <c r="B9368" s="499">
        <v>45820</v>
      </c>
      <c r="C9368" s="500" t="s">
        <v>173</v>
      </c>
      <c r="D9368" s="500" t="s">
        <v>759</v>
      </c>
      <c r="E9368" s="501">
        <v>1176544336.6400001</v>
      </c>
      <c r="F9368" s="502" t="s">
        <v>878</v>
      </c>
      <c r="G9368" s="100">
        <v>117436598</v>
      </c>
      <c r="H9368" s="100">
        <v>117436598</v>
      </c>
      <c r="I9368" s="422" t="s">
        <v>2591</v>
      </c>
      <c r="J9368" s="484"/>
      <c r="K9368" s="548"/>
      <c r="L9368" s="548"/>
      <c r="M9368" s="548"/>
      <c r="N9368" s="552">
        <v>11825856</v>
      </c>
      <c r="R9368" s="539">
        <v>99.4460999998647</v>
      </c>
      <c r="S9368" s="539">
        <v>99.489147901006106</v>
      </c>
      <c r="T9368" s="538">
        <v>15.8</v>
      </c>
      <c r="U9368" s="538">
        <v>1764.05</v>
      </c>
      <c r="V9368" s="538">
        <v>882.03</v>
      </c>
    </row>
    <row r="9369" spans="1:22">
      <c r="A9369" s="499">
        <v>45819</v>
      </c>
      <c r="B9369" s="499">
        <v>45820</v>
      </c>
      <c r="C9369" s="500" t="s">
        <v>173</v>
      </c>
      <c r="D9369" s="500" t="s">
        <v>759</v>
      </c>
      <c r="E9369" s="501">
        <v>18022061.629999999</v>
      </c>
      <c r="F9369" s="502" t="s">
        <v>878</v>
      </c>
      <c r="G9369" s="100">
        <v>117437584</v>
      </c>
      <c r="H9369" s="100">
        <v>117437584</v>
      </c>
      <c r="I9369" s="422" t="s">
        <v>656</v>
      </c>
      <c r="J9369" s="484"/>
      <c r="K9369" s="548"/>
      <c r="L9369" s="548"/>
      <c r="M9369" s="548"/>
      <c r="N9369" s="552">
        <v>18018</v>
      </c>
      <c r="R9369" s="539">
        <v>999.79399988899979</v>
      </c>
      <c r="S9369" s="539">
        <v>1000.22542069042</v>
      </c>
      <c r="T9369" s="538">
        <v>15.7501</v>
      </c>
      <c r="U9369" s="538">
        <v>39.32</v>
      </c>
      <c r="V9369" s="538">
        <v>13.51</v>
      </c>
    </row>
    <row r="9370" spans="1:22">
      <c r="A9370" s="499">
        <v>45819</v>
      </c>
      <c r="B9370" s="499">
        <v>45819</v>
      </c>
      <c r="C9370" s="500" t="s">
        <v>173</v>
      </c>
      <c r="D9370" s="500" t="s">
        <v>760</v>
      </c>
      <c r="E9370" s="501">
        <v>-531291045.07999998</v>
      </c>
      <c r="F9370" s="502" t="s">
        <v>878</v>
      </c>
      <c r="G9370" s="100">
        <v>117439580</v>
      </c>
      <c r="H9370" s="530"/>
      <c r="I9370" s="422" t="s">
        <v>805</v>
      </c>
      <c r="J9370" s="484"/>
      <c r="K9370" s="548"/>
      <c r="L9370" s="548"/>
      <c r="M9370" s="548"/>
      <c r="N9370" s="552">
        <v>883053</v>
      </c>
      <c r="R9370" s="539">
        <v>601.65250000000003</v>
      </c>
      <c r="S9370" s="539">
        <v>601.91228200345802</v>
      </c>
      <c r="T9370" s="538">
        <v>15.76</v>
      </c>
      <c r="U9370" s="538">
        <v>796.94</v>
      </c>
      <c r="V9370" s="538">
        <v>398.47</v>
      </c>
    </row>
    <row r="9371" spans="1:22">
      <c r="A9371" s="499">
        <v>45819</v>
      </c>
      <c r="B9371" s="499">
        <v>45819</v>
      </c>
      <c r="C9371" s="500" t="s">
        <v>173</v>
      </c>
      <c r="D9371" s="500" t="s">
        <v>760</v>
      </c>
      <c r="E9371" s="501">
        <v>-189000120.16999999</v>
      </c>
      <c r="F9371" s="502" t="s">
        <v>878</v>
      </c>
      <c r="G9371" s="100">
        <v>117438628</v>
      </c>
      <c r="H9371" s="530"/>
      <c r="I9371" s="422" t="s">
        <v>1048</v>
      </c>
      <c r="J9371" s="484"/>
      <c r="K9371" s="548"/>
      <c r="L9371" s="548"/>
      <c r="M9371" s="548"/>
      <c r="N9371" s="552">
        <v>187537329</v>
      </c>
      <c r="R9371" s="539">
        <v>1.0078</v>
      </c>
      <c r="S9371" s="539">
        <v>1.00823625039471</v>
      </c>
      <c r="T9371" s="538">
        <v>15.799899999999999</v>
      </c>
      <c r="U9371" s="538">
        <v>283.5</v>
      </c>
      <c r="V9371" s="538">
        <v>141.75</v>
      </c>
    </row>
    <row r="9372" spans="1:22">
      <c r="A9372" s="499">
        <v>45819</v>
      </c>
      <c r="B9372" s="499">
        <v>45819</v>
      </c>
      <c r="C9372" s="500" t="s">
        <v>173</v>
      </c>
      <c r="D9372" s="500" t="s">
        <v>760</v>
      </c>
      <c r="E9372" s="501">
        <v>-115040667.68000001</v>
      </c>
      <c r="F9372" s="502" t="s">
        <v>878</v>
      </c>
      <c r="G9372" s="100">
        <v>117438654</v>
      </c>
      <c r="H9372" s="530"/>
      <c r="I9372" s="422" t="s">
        <v>819</v>
      </c>
      <c r="J9372" s="484"/>
      <c r="K9372" s="548"/>
      <c r="L9372" s="548"/>
      <c r="M9372" s="548"/>
      <c r="N9372" s="552">
        <v>114080</v>
      </c>
      <c r="R9372" s="539">
        <v>1008.421</v>
      </c>
      <c r="S9372" s="539">
        <v>1008.85751919705</v>
      </c>
      <c r="T9372" s="538">
        <v>15.799899999999999</v>
      </c>
      <c r="U9372" s="538">
        <v>172.56</v>
      </c>
      <c r="V9372" s="538">
        <v>86.28</v>
      </c>
    </row>
    <row r="9373" spans="1:22">
      <c r="A9373" s="499">
        <v>45819</v>
      </c>
      <c r="B9373" s="499">
        <v>45819</v>
      </c>
      <c r="C9373" s="500" t="s">
        <v>173</v>
      </c>
      <c r="D9373" s="500" t="s">
        <v>760</v>
      </c>
      <c r="E9373" s="501">
        <v>-1536518301.7</v>
      </c>
      <c r="F9373" s="502" t="s">
        <v>878</v>
      </c>
      <c r="G9373" s="100">
        <v>117438514</v>
      </c>
      <c r="H9373" s="530"/>
      <c r="I9373" s="422" t="s">
        <v>829</v>
      </c>
      <c r="J9373" s="484"/>
      <c r="K9373" s="548"/>
      <c r="L9373" s="548"/>
      <c r="M9373" s="548"/>
      <c r="N9373" s="552">
        <v>1483776</v>
      </c>
      <c r="R9373" s="539">
        <v>1035.546</v>
      </c>
      <c r="S9373" s="539">
        <v>1035.9942637500501</v>
      </c>
      <c r="T9373" s="538">
        <v>15.8</v>
      </c>
      <c r="U9373" s="538">
        <v>2304.7800000000002</v>
      </c>
      <c r="V9373" s="538">
        <v>1152.3900000000001</v>
      </c>
    </row>
    <row r="9374" spans="1:22">
      <c r="A9374" s="499">
        <v>45819</v>
      </c>
      <c r="B9374" s="499">
        <v>45819</v>
      </c>
      <c r="C9374" s="500" t="s">
        <v>173</v>
      </c>
      <c r="D9374" s="500" t="s">
        <v>760</v>
      </c>
      <c r="E9374" s="501">
        <v>-5000733.29</v>
      </c>
      <c r="F9374" s="502" t="s">
        <v>878</v>
      </c>
      <c r="G9374" s="100">
        <v>117439609</v>
      </c>
      <c r="H9374" s="530"/>
      <c r="I9374" s="422" t="s">
        <v>631</v>
      </c>
      <c r="J9374" s="484"/>
      <c r="K9374" s="548"/>
      <c r="L9374" s="548"/>
      <c r="M9374" s="548"/>
      <c r="N9374" s="552">
        <v>10945</v>
      </c>
      <c r="R9374" s="539">
        <v>456.89659999999998</v>
      </c>
      <c r="S9374" s="539">
        <v>457.09325628140698</v>
      </c>
      <c r="T9374" s="538">
        <v>15.7102</v>
      </c>
      <c r="U9374" s="538">
        <v>39.32</v>
      </c>
      <c r="V9374" s="538">
        <v>3.75</v>
      </c>
    </row>
    <row r="9375" spans="1:22">
      <c r="A9375" s="499">
        <v>45819</v>
      </c>
      <c r="B9375" s="499">
        <v>45819</v>
      </c>
      <c r="C9375" s="500" t="s">
        <v>173</v>
      </c>
      <c r="D9375" s="500" t="s">
        <v>760</v>
      </c>
      <c r="E9375" s="501">
        <v>-14004748.109999999</v>
      </c>
      <c r="F9375" s="502" t="s">
        <v>878</v>
      </c>
      <c r="G9375" s="100">
        <v>117438354</v>
      </c>
      <c r="H9375" s="530"/>
      <c r="I9375" s="422" t="s">
        <v>833</v>
      </c>
      <c r="J9375" s="484"/>
      <c r="K9375" s="548"/>
      <c r="L9375" s="548"/>
      <c r="M9375" s="548"/>
      <c r="N9375" s="552">
        <v>24486</v>
      </c>
      <c r="R9375" s="539">
        <v>571.94920000000002</v>
      </c>
      <c r="S9375" s="539">
        <v>572.19678346810394</v>
      </c>
      <c r="T9375" s="538">
        <v>15.8</v>
      </c>
      <c r="U9375" s="538">
        <v>39.32</v>
      </c>
      <c r="V9375" s="538">
        <v>10.5</v>
      </c>
    </row>
    <row r="9376" spans="1:22">
      <c r="A9376" s="499">
        <v>45819</v>
      </c>
      <c r="B9376" s="499">
        <v>45819</v>
      </c>
      <c r="C9376" s="500" t="s">
        <v>173</v>
      </c>
      <c r="D9376" s="500" t="s">
        <v>760</v>
      </c>
      <c r="E9376" s="501">
        <v>-70027098.329999998</v>
      </c>
      <c r="F9376" s="502" t="s">
        <v>878</v>
      </c>
      <c r="G9376" s="100">
        <v>117445312</v>
      </c>
      <c r="H9376" s="530"/>
      <c r="I9376" s="422" t="s">
        <v>677</v>
      </c>
      <c r="J9376" s="484"/>
      <c r="K9376" s="548"/>
      <c r="L9376" s="548"/>
      <c r="M9376" s="548"/>
      <c r="N9376" s="552">
        <v>78330</v>
      </c>
      <c r="R9376" s="539">
        <v>894.00099999999998</v>
      </c>
      <c r="S9376" s="539">
        <v>894.38088918677397</v>
      </c>
      <c r="T9376" s="538">
        <v>15.51</v>
      </c>
      <c r="U9376" s="538">
        <v>105.04</v>
      </c>
      <c r="V9376" s="538">
        <v>52.52</v>
      </c>
    </row>
    <row r="9377" spans="1:22">
      <c r="A9377" s="499">
        <v>45819</v>
      </c>
      <c r="B9377" s="499">
        <v>45820</v>
      </c>
      <c r="C9377" s="500" t="s">
        <v>173</v>
      </c>
      <c r="D9377" s="500" t="s">
        <v>760</v>
      </c>
      <c r="E9377" s="501">
        <v>531520446.36000001</v>
      </c>
      <c r="F9377" s="502" t="s">
        <v>878</v>
      </c>
      <c r="G9377" s="100">
        <v>117439580</v>
      </c>
      <c r="H9377" s="100">
        <v>117439580</v>
      </c>
      <c r="I9377" s="422" t="s">
        <v>805</v>
      </c>
      <c r="J9377" s="484"/>
      <c r="K9377" s="548"/>
      <c r="L9377" s="548"/>
      <c r="M9377" s="548"/>
      <c r="N9377" s="552">
        <v>883053</v>
      </c>
      <c r="R9377" s="539">
        <v>601.65250000000003</v>
      </c>
      <c r="S9377" s="539">
        <v>601.91228200345802</v>
      </c>
      <c r="T9377" s="538">
        <v>15.76</v>
      </c>
      <c r="U9377" s="538">
        <v>796.94</v>
      </c>
      <c r="V9377" s="538">
        <v>398.47</v>
      </c>
    </row>
    <row r="9378" spans="1:22">
      <c r="A9378" s="499">
        <v>45819</v>
      </c>
      <c r="B9378" s="499">
        <v>45820</v>
      </c>
      <c r="C9378" s="500" t="s">
        <v>173</v>
      </c>
      <c r="D9378" s="500" t="s">
        <v>760</v>
      </c>
      <c r="E9378" s="501">
        <v>189081933.40000001</v>
      </c>
      <c r="F9378" s="502" t="s">
        <v>878</v>
      </c>
      <c r="G9378" s="100">
        <v>117438628</v>
      </c>
      <c r="H9378" s="100">
        <v>117438628</v>
      </c>
      <c r="I9378" s="422" t="s">
        <v>1048</v>
      </c>
      <c r="J9378" s="484"/>
      <c r="K9378" s="548"/>
      <c r="L9378" s="548"/>
      <c r="M9378" s="548"/>
      <c r="N9378" s="552">
        <v>187537329</v>
      </c>
      <c r="R9378" s="539">
        <v>1.0078</v>
      </c>
      <c r="S9378" s="539">
        <v>1.00823625039471</v>
      </c>
      <c r="T9378" s="538">
        <v>15.799899999999999</v>
      </c>
      <c r="U9378" s="538">
        <v>283.5</v>
      </c>
      <c r="V9378" s="538">
        <v>141.75</v>
      </c>
    </row>
    <row r="9379" spans="1:22">
      <c r="A9379" s="499">
        <v>45819</v>
      </c>
      <c r="B9379" s="499">
        <v>45820</v>
      </c>
      <c r="C9379" s="500" t="s">
        <v>173</v>
      </c>
      <c r="D9379" s="500" t="s">
        <v>760</v>
      </c>
      <c r="E9379" s="501">
        <v>115090465.79000001</v>
      </c>
      <c r="F9379" s="502" t="s">
        <v>878</v>
      </c>
      <c r="G9379" s="100">
        <v>117438654</v>
      </c>
      <c r="H9379" s="100">
        <v>117438654</v>
      </c>
      <c r="I9379" s="422" t="s">
        <v>819</v>
      </c>
      <c r="J9379" s="484"/>
      <c r="K9379" s="548"/>
      <c r="L9379" s="548"/>
      <c r="M9379" s="548"/>
      <c r="N9379" s="552">
        <v>114080</v>
      </c>
      <c r="R9379" s="539">
        <v>1008.421</v>
      </c>
      <c r="S9379" s="539">
        <v>1008.85751919705</v>
      </c>
      <c r="T9379" s="538">
        <v>15.799899999999999</v>
      </c>
      <c r="U9379" s="538">
        <v>172.56</v>
      </c>
      <c r="V9379" s="538">
        <v>86.28</v>
      </c>
    </row>
    <row r="9380" spans="1:22">
      <c r="A9380" s="499">
        <v>45819</v>
      </c>
      <c r="B9380" s="499">
        <v>45820</v>
      </c>
      <c r="C9380" s="500" t="s">
        <v>173</v>
      </c>
      <c r="D9380" s="500" t="s">
        <v>760</v>
      </c>
      <c r="E9380" s="501">
        <v>1537183424.6900001</v>
      </c>
      <c r="F9380" s="502" t="s">
        <v>878</v>
      </c>
      <c r="G9380" s="100">
        <v>117438514</v>
      </c>
      <c r="H9380" s="100">
        <v>117438514</v>
      </c>
      <c r="I9380" s="422" t="s">
        <v>829</v>
      </c>
      <c r="J9380" s="484"/>
      <c r="K9380" s="548"/>
      <c r="L9380" s="548"/>
      <c r="M9380" s="548"/>
      <c r="N9380" s="552">
        <v>1483776</v>
      </c>
      <c r="R9380" s="539">
        <v>1035.546</v>
      </c>
      <c r="S9380" s="539">
        <v>1035.9942637500501</v>
      </c>
      <c r="T9380" s="538">
        <v>15.8</v>
      </c>
      <c r="U9380" s="538">
        <v>2304.7800000000002</v>
      </c>
      <c r="V9380" s="538">
        <v>1152.3900000000001</v>
      </c>
    </row>
    <row r="9381" spans="1:22">
      <c r="A9381" s="499">
        <v>45819</v>
      </c>
      <c r="B9381" s="499">
        <v>45820</v>
      </c>
      <c r="C9381" s="500" t="s">
        <v>173</v>
      </c>
      <c r="D9381" s="500" t="s">
        <v>760</v>
      </c>
      <c r="E9381" s="501">
        <v>5002885.6900000004</v>
      </c>
      <c r="F9381" s="502" t="s">
        <v>878</v>
      </c>
      <c r="G9381" s="100">
        <v>117439609</v>
      </c>
      <c r="H9381" s="100">
        <v>117439609</v>
      </c>
      <c r="I9381" s="422" t="s">
        <v>631</v>
      </c>
      <c r="J9381" s="484"/>
      <c r="K9381" s="548"/>
      <c r="L9381" s="548"/>
      <c r="M9381" s="548"/>
      <c r="N9381" s="552">
        <v>10945</v>
      </c>
      <c r="R9381" s="539">
        <v>456.89659999999998</v>
      </c>
      <c r="S9381" s="539">
        <v>457.09325628140698</v>
      </c>
      <c r="T9381" s="538">
        <v>15.7102</v>
      </c>
      <c r="U9381" s="538">
        <v>39.32</v>
      </c>
      <c r="V9381" s="538">
        <v>3.75</v>
      </c>
    </row>
    <row r="9382" spans="1:22">
      <c r="A9382" s="499">
        <v>45819</v>
      </c>
      <c r="B9382" s="499">
        <v>45820</v>
      </c>
      <c r="C9382" s="500" t="s">
        <v>173</v>
      </c>
      <c r="D9382" s="500" t="s">
        <v>760</v>
      </c>
      <c r="E9382" s="501">
        <v>14010810.439999999</v>
      </c>
      <c r="F9382" s="502" t="s">
        <v>878</v>
      </c>
      <c r="G9382" s="100">
        <v>117438354</v>
      </c>
      <c r="H9382" s="100">
        <v>117438354</v>
      </c>
      <c r="I9382" s="422" t="s">
        <v>833</v>
      </c>
      <c r="J9382" s="484"/>
      <c r="K9382" s="548"/>
      <c r="L9382" s="548"/>
      <c r="M9382" s="548"/>
      <c r="N9382" s="552">
        <v>24486</v>
      </c>
      <c r="R9382" s="539">
        <v>571.94920000000002</v>
      </c>
      <c r="S9382" s="539">
        <v>572.19678346810394</v>
      </c>
      <c r="T9382" s="538">
        <v>15.8</v>
      </c>
      <c r="U9382" s="538">
        <v>39.32</v>
      </c>
      <c r="V9382" s="538">
        <v>10.5</v>
      </c>
    </row>
    <row r="9383" spans="1:22">
      <c r="A9383" s="499">
        <v>45819</v>
      </c>
      <c r="B9383" s="499">
        <v>45820</v>
      </c>
      <c r="C9383" s="500" t="s">
        <v>173</v>
      </c>
      <c r="D9383" s="500" t="s">
        <v>760</v>
      </c>
      <c r="E9383" s="501">
        <v>70056855.049999997</v>
      </c>
      <c r="F9383" s="502" t="s">
        <v>878</v>
      </c>
      <c r="G9383" s="100">
        <v>117445312</v>
      </c>
      <c r="H9383" s="100">
        <v>117445312</v>
      </c>
      <c r="I9383" s="422" t="s">
        <v>677</v>
      </c>
      <c r="J9383" s="484"/>
      <c r="K9383" s="548"/>
      <c r="L9383" s="548"/>
      <c r="M9383" s="548"/>
      <c r="N9383" s="552">
        <v>78330</v>
      </c>
      <c r="R9383" s="539">
        <v>894.00099999999998</v>
      </c>
      <c r="S9383" s="539">
        <v>894.38088918677397</v>
      </c>
      <c r="T9383" s="538">
        <v>15.51</v>
      </c>
      <c r="U9383" s="538">
        <v>105.04</v>
      </c>
      <c r="V9383" s="538">
        <v>52.52</v>
      </c>
    </row>
    <row r="9384" spans="1:22">
      <c r="A9384" s="499">
        <v>45819</v>
      </c>
      <c r="B9384" s="499">
        <v>45819</v>
      </c>
      <c r="C9384" s="500" t="s">
        <v>173</v>
      </c>
      <c r="D9384" s="500" t="s">
        <v>764</v>
      </c>
      <c r="E9384" s="501">
        <v>-69026906.549999997</v>
      </c>
      <c r="F9384" s="502" t="s">
        <v>878</v>
      </c>
      <c r="G9384" s="100">
        <v>117445978</v>
      </c>
      <c r="H9384" s="530"/>
      <c r="I9384" s="422" t="s">
        <v>719</v>
      </c>
      <c r="J9384" s="484"/>
      <c r="K9384" s="548"/>
      <c r="L9384" s="548"/>
      <c r="M9384" s="548"/>
      <c r="N9384" s="552">
        <v>95910</v>
      </c>
      <c r="R9384" s="539">
        <v>719.70499999999993</v>
      </c>
      <c r="S9384" s="539">
        <v>720.010628193098</v>
      </c>
      <c r="T9384" s="538">
        <v>15.5</v>
      </c>
      <c r="U9384" s="538">
        <v>103.54</v>
      </c>
      <c r="V9384" s="538">
        <v>51.77</v>
      </c>
    </row>
    <row r="9385" spans="1:22">
      <c r="A9385" s="499">
        <v>45819</v>
      </c>
      <c r="B9385" s="499">
        <v>45820</v>
      </c>
      <c r="C9385" s="500" t="s">
        <v>173</v>
      </c>
      <c r="D9385" s="500" t="s">
        <v>764</v>
      </c>
      <c r="E9385" s="501">
        <v>69056219.349999994</v>
      </c>
      <c r="F9385" s="502" t="s">
        <v>878</v>
      </c>
      <c r="G9385" s="100">
        <v>117445978</v>
      </c>
      <c r="H9385" s="100">
        <v>117445978</v>
      </c>
      <c r="I9385" s="422" t="s">
        <v>719</v>
      </c>
      <c r="J9385" s="484"/>
      <c r="K9385" s="548"/>
      <c r="L9385" s="548"/>
      <c r="M9385" s="548"/>
      <c r="N9385" s="552">
        <v>95910</v>
      </c>
      <c r="R9385" s="539">
        <v>719.70499999999993</v>
      </c>
      <c r="S9385" s="539">
        <v>720.010628193098</v>
      </c>
      <c r="T9385" s="538">
        <v>15.5</v>
      </c>
      <c r="U9385" s="538">
        <v>103.54</v>
      </c>
      <c r="V9385" s="538">
        <v>51.77</v>
      </c>
    </row>
    <row r="9386" spans="1:22">
      <c r="A9386" s="499">
        <v>45819</v>
      </c>
      <c r="B9386" s="499">
        <v>45819</v>
      </c>
      <c r="C9386" s="500" t="s">
        <v>173</v>
      </c>
      <c r="D9386" s="500" t="s">
        <v>763</v>
      </c>
      <c r="E9386" s="501">
        <v>-1139916746.9300001</v>
      </c>
      <c r="F9386" s="502" t="s">
        <v>878</v>
      </c>
      <c r="G9386" s="100">
        <v>117438525</v>
      </c>
      <c r="H9386" s="530"/>
      <c r="I9386" s="422" t="s">
        <v>588</v>
      </c>
      <c r="J9386" s="484"/>
      <c r="K9386" s="548"/>
      <c r="L9386" s="548"/>
      <c r="M9386" s="548"/>
      <c r="N9386" s="552">
        <v>1228981</v>
      </c>
      <c r="R9386" s="539">
        <v>927.53</v>
      </c>
      <c r="S9386" s="539">
        <v>927.93048966582899</v>
      </c>
      <c r="T9386" s="538">
        <v>15.76</v>
      </c>
      <c r="U9386" s="538">
        <v>1709.88</v>
      </c>
      <c r="V9386" s="538">
        <v>854.94</v>
      </c>
    </row>
    <row r="9387" spans="1:22">
      <c r="A9387" s="499">
        <v>45819</v>
      </c>
      <c r="B9387" s="499">
        <v>45819</v>
      </c>
      <c r="C9387" s="500" t="s">
        <v>173</v>
      </c>
      <c r="D9387" s="500" t="s">
        <v>763</v>
      </c>
      <c r="E9387" s="501">
        <v>-4726410557.0699997</v>
      </c>
      <c r="F9387" s="502" t="s">
        <v>878</v>
      </c>
      <c r="G9387" s="100">
        <v>117438528</v>
      </c>
      <c r="H9387" s="530"/>
      <c r="I9387" s="422" t="s">
        <v>633</v>
      </c>
      <c r="J9387" s="484"/>
      <c r="K9387" s="548"/>
      <c r="L9387" s="548"/>
      <c r="M9387" s="548"/>
      <c r="N9387" s="552">
        <v>9140084</v>
      </c>
      <c r="R9387" s="539">
        <v>517.10799999999995</v>
      </c>
      <c r="S9387" s="539">
        <v>517.33113989433798</v>
      </c>
      <c r="T9387" s="538">
        <v>15.750299999999999</v>
      </c>
      <c r="U9387" s="538">
        <v>7089.62</v>
      </c>
      <c r="V9387" s="538">
        <v>3544.81</v>
      </c>
    </row>
    <row r="9388" spans="1:22">
      <c r="A9388" s="499">
        <v>45819</v>
      </c>
      <c r="B9388" s="499">
        <v>45819</v>
      </c>
      <c r="C9388" s="500" t="s">
        <v>173</v>
      </c>
      <c r="D9388" s="500" t="s">
        <v>763</v>
      </c>
      <c r="E9388" s="501">
        <v>-34002953.649999999</v>
      </c>
      <c r="F9388" s="502" t="s">
        <v>878</v>
      </c>
      <c r="G9388" s="100">
        <v>117438574</v>
      </c>
      <c r="H9388" s="530"/>
      <c r="I9388" s="422" t="s">
        <v>633</v>
      </c>
      <c r="J9388" s="484"/>
      <c r="K9388" s="548"/>
      <c r="L9388" s="548"/>
      <c r="M9388" s="548"/>
      <c r="N9388" s="552">
        <v>65756</v>
      </c>
      <c r="R9388" s="539">
        <v>517.10799999999995</v>
      </c>
      <c r="S9388" s="539">
        <v>517.33113997201804</v>
      </c>
      <c r="T9388" s="538">
        <v>15.750299999999999</v>
      </c>
      <c r="U9388" s="538">
        <v>51</v>
      </c>
      <c r="V9388" s="538">
        <v>39.32</v>
      </c>
    </row>
    <row r="9389" spans="1:22">
      <c r="A9389" s="499">
        <v>45819</v>
      </c>
      <c r="B9389" s="499">
        <v>45820</v>
      </c>
      <c r="C9389" s="500" t="s">
        <v>173</v>
      </c>
      <c r="D9389" s="500" t="s">
        <v>763</v>
      </c>
      <c r="E9389" s="501">
        <v>1140408941.1199999</v>
      </c>
      <c r="F9389" s="502" t="s">
        <v>878</v>
      </c>
      <c r="G9389" s="100">
        <v>117438525</v>
      </c>
      <c r="H9389" s="100">
        <v>117438525</v>
      </c>
      <c r="I9389" s="422" t="s">
        <v>588</v>
      </c>
      <c r="J9389" s="484"/>
      <c r="K9389" s="548"/>
      <c r="L9389" s="548"/>
      <c r="M9389" s="548"/>
      <c r="N9389" s="552">
        <v>1228981</v>
      </c>
      <c r="R9389" s="539">
        <v>927.53</v>
      </c>
      <c r="S9389" s="539">
        <v>927.93048966582899</v>
      </c>
      <c r="T9389" s="538">
        <v>15.76</v>
      </c>
      <c r="U9389" s="538">
        <v>1709.88</v>
      </c>
      <c r="V9389" s="538">
        <v>854.94</v>
      </c>
    </row>
    <row r="9390" spans="1:22">
      <c r="A9390" s="499">
        <v>45819</v>
      </c>
      <c r="B9390" s="499">
        <v>45820</v>
      </c>
      <c r="C9390" s="500" t="s">
        <v>173</v>
      </c>
      <c r="D9390" s="500" t="s">
        <v>763</v>
      </c>
      <c r="E9390" s="501">
        <v>4728450074.4499998</v>
      </c>
      <c r="F9390" s="502" t="s">
        <v>878</v>
      </c>
      <c r="G9390" s="100">
        <v>117438528</v>
      </c>
      <c r="H9390" s="100">
        <v>117438528</v>
      </c>
      <c r="I9390" s="422" t="s">
        <v>633</v>
      </c>
      <c r="J9390" s="484"/>
      <c r="K9390" s="548"/>
      <c r="L9390" s="548"/>
      <c r="M9390" s="548"/>
      <c r="N9390" s="552">
        <v>9140084</v>
      </c>
      <c r="R9390" s="539">
        <v>517.10799999999995</v>
      </c>
      <c r="S9390" s="539">
        <v>517.33113989433798</v>
      </c>
      <c r="T9390" s="538">
        <v>15.750299999999999</v>
      </c>
      <c r="U9390" s="538">
        <v>7089.62</v>
      </c>
      <c r="V9390" s="538">
        <v>3544.81</v>
      </c>
    </row>
    <row r="9391" spans="1:22">
      <c r="A9391" s="499">
        <v>45819</v>
      </c>
      <c r="B9391" s="499">
        <v>45820</v>
      </c>
      <c r="C9391" s="500" t="s">
        <v>173</v>
      </c>
      <c r="D9391" s="500" t="s">
        <v>763</v>
      </c>
      <c r="E9391" s="501">
        <v>34017626.439999998</v>
      </c>
      <c r="F9391" s="502" t="s">
        <v>878</v>
      </c>
      <c r="G9391" s="100">
        <v>117438574</v>
      </c>
      <c r="H9391" s="100">
        <v>117438574</v>
      </c>
      <c r="I9391" s="422" t="s">
        <v>633</v>
      </c>
      <c r="J9391" s="484"/>
      <c r="K9391" s="548"/>
      <c r="L9391" s="548"/>
      <c r="M9391" s="548"/>
      <c r="N9391" s="552">
        <v>65756</v>
      </c>
      <c r="R9391" s="539">
        <v>517.10799999999995</v>
      </c>
      <c r="S9391" s="539">
        <v>517.33113997201804</v>
      </c>
      <c r="T9391" s="538">
        <v>15.750299999999999</v>
      </c>
      <c r="U9391" s="538">
        <v>51</v>
      </c>
      <c r="V9391" s="538">
        <v>39.32</v>
      </c>
    </row>
    <row r="9392" spans="1:22">
      <c r="A9392" s="499">
        <v>45820</v>
      </c>
      <c r="B9392" s="499">
        <v>45820</v>
      </c>
      <c r="C9392" s="500" t="s">
        <v>173</v>
      </c>
      <c r="D9392" s="500" t="s">
        <v>762</v>
      </c>
      <c r="E9392" s="501">
        <v>-493062095.76999998</v>
      </c>
      <c r="F9392" s="502" t="s">
        <v>878</v>
      </c>
      <c r="G9392" s="100">
        <v>117460233</v>
      </c>
      <c r="H9392" s="530"/>
      <c r="I9392" s="422" t="s">
        <v>633</v>
      </c>
      <c r="J9392" s="484"/>
      <c r="K9392" s="548"/>
      <c r="L9392" s="548"/>
      <c r="M9392" s="548"/>
      <c r="N9392" s="552">
        <v>948039</v>
      </c>
      <c r="R9392" s="558">
        <v>520.08630000000005</v>
      </c>
      <c r="S9392" s="558">
        <v>520.30730106039903</v>
      </c>
      <c r="T9392" s="538">
        <v>15.51</v>
      </c>
      <c r="U9392" s="538">
        <v>739.59</v>
      </c>
      <c r="V9392" s="538">
        <v>369.8</v>
      </c>
    </row>
    <row r="9393" spans="1:22">
      <c r="A9393" s="499">
        <v>45820</v>
      </c>
      <c r="B9393" s="499">
        <v>45820</v>
      </c>
      <c r="C9393" s="500" t="s">
        <v>173</v>
      </c>
      <c r="D9393" s="500" t="s">
        <v>762</v>
      </c>
      <c r="E9393" s="501">
        <v>-3085967036.8800001</v>
      </c>
      <c r="F9393" s="502" t="s">
        <v>878</v>
      </c>
      <c r="G9393" s="100">
        <v>117460236</v>
      </c>
      <c r="H9393" s="530"/>
      <c r="I9393" s="422" t="s">
        <v>716</v>
      </c>
      <c r="J9393" s="484"/>
      <c r="K9393" s="548"/>
      <c r="L9393" s="548"/>
      <c r="M9393" s="548"/>
      <c r="N9393" s="552">
        <v>4209660</v>
      </c>
      <c r="R9393" s="558">
        <v>733.06799999999998</v>
      </c>
      <c r="S9393" s="558">
        <v>733.37930284868605</v>
      </c>
      <c r="T9393" s="538">
        <v>15.5</v>
      </c>
      <c r="U9393" s="538">
        <v>4628.95</v>
      </c>
      <c r="V9393" s="538">
        <v>2314.48</v>
      </c>
    </row>
    <row r="9394" spans="1:22">
      <c r="A9394" s="499">
        <v>45820</v>
      </c>
      <c r="B9394" s="499">
        <v>45820</v>
      </c>
      <c r="C9394" s="500" t="s">
        <v>173</v>
      </c>
      <c r="D9394" s="500" t="s">
        <v>762</v>
      </c>
      <c r="E9394" s="501">
        <v>-19012118.579999998</v>
      </c>
      <c r="F9394" s="502" t="s">
        <v>878</v>
      </c>
      <c r="G9394" s="100">
        <v>117460279</v>
      </c>
      <c r="H9394" s="530"/>
      <c r="I9394" s="422" t="s">
        <v>716</v>
      </c>
      <c r="J9394" s="484"/>
      <c r="K9394" s="548"/>
      <c r="L9394" s="548"/>
      <c r="M9394" s="548"/>
      <c r="N9394" s="552">
        <v>25935</v>
      </c>
      <c r="R9394" s="558">
        <v>733.06799999999998</v>
      </c>
      <c r="S9394" s="558">
        <v>733.37930287256597</v>
      </c>
      <c r="T9394" s="538">
        <v>15.5</v>
      </c>
      <c r="U9394" s="538">
        <v>39.32</v>
      </c>
      <c r="V9394" s="538">
        <v>14.26</v>
      </c>
    </row>
    <row r="9395" spans="1:22">
      <c r="A9395" s="499">
        <v>45820</v>
      </c>
      <c r="B9395" s="499">
        <v>45821</v>
      </c>
      <c r="C9395" s="500" t="s">
        <v>173</v>
      </c>
      <c r="D9395" s="500" t="s">
        <v>762</v>
      </c>
      <c r="E9395" s="501">
        <v>493271613.38999999</v>
      </c>
      <c r="F9395" s="502" t="s">
        <v>878</v>
      </c>
      <c r="G9395" s="100">
        <v>117460233</v>
      </c>
      <c r="H9395" s="484">
        <v>117460233</v>
      </c>
      <c r="I9395" s="422" t="s">
        <v>633</v>
      </c>
      <c r="J9395" s="484"/>
      <c r="K9395" s="548"/>
      <c r="L9395" s="548"/>
      <c r="M9395" s="548"/>
      <c r="N9395" s="552">
        <v>948039</v>
      </c>
      <c r="R9395" s="558">
        <v>520.08630000000005</v>
      </c>
      <c r="S9395" s="558">
        <v>520.30730106039903</v>
      </c>
      <c r="T9395" s="538">
        <v>15.51</v>
      </c>
      <c r="U9395" s="538">
        <v>739.59</v>
      </c>
      <c r="V9395" s="538">
        <v>369.8</v>
      </c>
    </row>
    <row r="9396" spans="1:22">
      <c r="A9396" s="499">
        <v>45820</v>
      </c>
      <c r="B9396" s="499">
        <v>45821</v>
      </c>
      <c r="C9396" s="500" t="s">
        <v>173</v>
      </c>
      <c r="D9396" s="500" t="s">
        <v>762</v>
      </c>
      <c r="E9396" s="501">
        <v>3087277516.0300002</v>
      </c>
      <c r="F9396" s="502" t="s">
        <v>878</v>
      </c>
      <c r="G9396" s="100">
        <v>117460236</v>
      </c>
      <c r="H9396" s="484">
        <v>117460236</v>
      </c>
      <c r="I9396" s="422" t="s">
        <v>716</v>
      </c>
      <c r="J9396" s="484"/>
      <c r="K9396" s="548"/>
      <c r="L9396" s="548"/>
      <c r="M9396" s="548"/>
      <c r="N9396" s="552">
        <v>4209660</v>
      </c>
      <c r="R9396" s="558">
        <v>733.06799999999998</v>
      </c>
      <c r="S9396" s="558">
        <v>733.37930284868605</v>
      </c>
      <c r="T9396" s="538">
        <v>15.5</v>
      </c>
      <c r="U9396" s="538">
        <v>4628.95</v>
      </c>
      <c r="V9396" s="538">
        <v>2314.48</v>
      </c>
    </row>
    <row r="9397" spans="1:22">
      <c r="A9397" s="499">
        <v>45820</v>
      </c>
      <c r="B9397" s="499">
        <v>45821</v>
      </c>
      <c r="C9397" s="500" t="s">
        <v>173</v>
      </c>
      <c r="D9397" s="500" t="s">
        <v>762</v>
      </c>
      <c r="E9397" s="501">
        <v>19020192.219999999</v>
      </c>
      <c r="F9397" s="502" t="s">
        <v>878</v>
      </c>
      <c r="G9397" s="100">
        <v>117460279</v>
      </c>
      <c r="H9397" s="484">
        <v>117460279</v>
      </c>
      <c r="I9397" s="422" t="s">
        <v>716</v>
      </c>
      <c r="J9397" s="484"/>
      <c r="K9397" s="548"/>
      <c r="L9397" s="548"/>
      <c r="M9397" s="548"/>
      <c r="N9397" s="552">
        <v>25935</v>
      </c>
      <c r="R9397" s="558">
        <v>733.06799999999998</v>
      </c>
      <c r="S9397" s="558">
        <v>733.37930287256597</v>
      </c>
      <c r="T9397" s="538">
        <v>15.5</v>
      </c>
      <c r="U9397" s="538">
        <v>39.32</v>
      </c>
      <c r="V9397" s="538">
        <v>14.26</v>
      </c>
    </row>
    <row r="9398" spans="1:22">
      <c r="A9398" s="499">
        <v>45820</v>
      </c>
      <c r="B9398" s="499">
        <v>45820</v>
      </c>
      <c r="C9398" s="500" t="s">
        <v>173</v>
      </c>
      <c r="D9398" s="500" t="s">
        <v>761</v>
      </c>
      <c r="E9398" s="501">
        <v>-1326127304.7</v>
      </c>
      <c r="F9398" s="502" t="s">
        <v>878</v>
      </c>
      <c r="G9398" s="100">
        <v>117457316</v>
      </c>
      <c r="H9398" s="530"/>
      <c r="I9398" s="422" t="s">
        <v>604</v>
      </c>
      <c r="J9398" s="484"/>
      <c r="K9398" s="548"/>
      <c r="L9398" s="548"/>
      <c r="M9398" s="548"/>
      <c r="N9398" s="552">
        <v>1340900</v>
      </c>
      <c r="R9398" s="539">
        <v>988.98300000000006</v>
      </c>
      <c r="S9398" s="539">
        <v>991.98734068909005</v>
      </c>
      <c r="T9398" s="538">
        <v>15.84</v>
      </c>
      <c r="U9398" s="538">
        <v>13924.34</v>
      </c>
      <c r="V9398" s="538">
        <v>6962.17</v>
      </c>
    </row>
    <row r="9399" spans="1:22">
      <c r="A9399" s="499">
        <v>45820</v>
      </c>
      <c r="B9399" s="499">
        <v>45820</v>
      </c>
      <c r="C9399" s="500" t="s">
        <v>173</v>
      </c>
      <c r="D9399" s="500" t="s">
        <v>761</v>
      </c>
      <c r="E9399" s="501">
        <v>-1000221.31</v>
      </c>
      <c r="F9399" s="502" t="s">
        <v>878</v>
      </c>
      <c r="G9399" s="100">
        <v>117458463</v>
      </c>
      <c r="H9399" s="530"/>
      <c r="I9399" s="422" t="s">
        <v>550</v>
      </c>
      <c r="J9399" s="484"/>
      <c r="K9399" s="548"/>
      <c r="L9399" s="548"/>
      <c r="M9399" s="548"/>
      <c r="N9399" s="552">
        <v>1931</v>
      </c>
      <c r="R9399" s="539">
        <v>517.9809994821336</v>
      </c>
      <c r="S9399" s="539">
        <v>519.55452615225295</v>
      </c>
      <c r="T9399" s="538">
        <v>15.84</v>
      </c>
      <c r="U9399" s="538">
        <v>39.32</v>
      </c>
      <c r="V9399" s="538">
        <v>5.25</v>
      </c>
    </row>
    <row r="9400" spans="1:22">
      <c r="A9400" s="499">
        <v>45820</v>
      </c>
      <c r="B9400" s="499">
        <v>45820</v>
      </c>
      <c r="C9400" s="500" t="s">
        <v>173</v>
      </c>
      <c r="D9400" s="500" t="s">
        <v>761</v>
      </c>
      <c r="E9400" s="501">
        <v>-498062725.54000002</v>
      </c>
      <c r="F9400" s="502" t="s">
        <v>878</v>
      </c>
      <c r="G9400" s="100">
        <v>117459339</v>
      </c>
      <c r="H9400" s="530"/>
      <c r="I9400" s="422" t="s">
        <v>633</v>
      </c>
      <c r="J9400" s="484"/>
      <c r="K9400" s="548"/>
      <c r="L9400" s="548"/>
      <c r="M9400" s="548"/>
      <c r="N9400" s="552">
        <v>957654</v>
      </c>
      <c r="R9400" s="539">
        <v>520.08629999979121</v>
      </c>
      <c r="S9400" s="539">
        <v>520.30787101604597</v>
      </c>
      <c r="T9400" s="538">
        <v>15.55</v>
      </c>
      <c r="U9400" s="538">
        <v>747.09</v>
      </c>
      <c r="V9400" s="538">
        <v>373.55</v>
      </c>
    </row>
    <row r="9401" spans="1:22">
      <c r="A9401" s="499">
        <v>45820</v>
      </c>
      <c r="B9401" s="499">
        <v>45820</v>
      </c>
      <c r="C9401" s="500" t="s">
        <v>173</v>
      </c>
      <c r="D9401" s="500" t="s">
        <v>761</v>
      </c>
      <c r="E9401" s="501">
        <v>-8001376.9000000004</v>
      </c>
      <c r="F9401" s="502" t="s">
        <v>878</v>
      </c>
      <c r="G9401" s="100">
        <v>117459769</v>
      </c>
      <c r="H9401" s="530"/>
      <c r="I9401" s="422" t="s">
        <v>631</v>
      </c>
      <c r="J9401" s="484"/>
      <c r="K9401" s="548"/>
      <c r="L9401" s="548"/>
      <c r="M9401" s="548"/>
      <c r="N9401" s="552">
        <v>17432</v>
      </c>
      <c r="R9401" s="539">
        <v>459.00509981642955</v>
      </c>
      <c r="S9401" s="539">
        <v>459.20014800367102</v>
      </c>
      <c r="T9401" s="538">
        <v>15.510199999999999</v>
      </c>
      <c r="U9401" s="538">
        <v>39.32</v>
      </c>
      <c r="V9401" s="538">
        <v>6</v>
      </c>
    </row>
    <row r="9402" spans="1:22">
      <c r="A9402" s="499">
        <v>45820</v>
      </c>
      <c r="B9402" s="499">
        <v>45827</v>
      </c>
      <c r="C9402" s="500" t="s">
        <v>173</v>
      </c>
      <c r="D9402" s="500" t="s">
        <v>761</v>
      </c>
      <c r="E9402" s="501">
        <v>1330155825.1300001</v>
      </c>
      <c r="F9402" s="502" t="s">
        <v>878</v>
      </c>
      <c r="G9402" s="100">
        <v>117457316</v>
      </c>
      <c r="H9402" s="100">
        <v>117457316</v>
      </c>
      <c r="I9402" s="422" t="s">
        <v>604</v>
      </c>
      <c r="J9402" s="484"/>
      <c r="K9402" s="548"/>
      <c r="L9402" s="548"/>
      <c r="M9402" s="548"/>
      <c r="N9402" s="552">
        <v>1340900</v>
      </c>
      <c r="R9402" s="539">
        <v>988.98300000000006</v>
      </c>
      <c r="S9402" s="539">
        <v>991.98734068909005</v>
      </c>
      <c r="T9402" s="538">
        <v>15.84</v>
      </c>
      <c r="U9402" s="538">
        <v>13924.34</v>
      </c>
      <c r="V9402" s="538">
        <v>6962.17</v>
      </c>
    </row>
    <row r="9403" spans="1:22">
      <c r="A9403" s="499">
        <v>45820</v>
      </c>
      <c r="B9403" s="499">
        <v>45827</v>
      </c>
      <c r="C9403" s="500" t="s">
        <v>173</v>
      </c>
      <c r="D9403" s="500" t="s">
        <v>761</v>
      </c>
      <c r="E9403" s="501">
        <v>1003259.79</v>
      </c>
      <c r="F9403" s="502" t="s">
        <v>878</v>
      </c>
      <c r="G9403" s="100">
        <v>117458463</v>
      </c>
      <c r="H9403" s="100">
        <v>117458463</v>
      </c>
      <c r="I9403" s="422" t="s">
        <v>550</v>
      </c>
      <c r="J9403" s="484"/>
      <c r="K9403" s="548"/>
      <c r="L9403" s="548"/>
      <c r="M9403" s="548"/>
      <c r="N9403" s="552">
        <v>1931</v>
      </c>
      <c r="R9403" s="539">
        <v>517.9809994821336</v>
      </c>
      <c r="S9403" s="539">
        <v>519.55452615225295</v>
      </c>
      <c r="T9403" s="538">
        <v>15.84</v>
      </c>
      <c r="U9403" s="538">
        <v>39.32</v>
      </c>
      <c r="V9403" s="538">
        <v>5.25</v>
      </c>
    </row>
    <row r="9404" spans="1:22">
      <c r="A9404" s="499">
        <v>45820</v>
      </c>
      <c r="B9404" s="499">
        <v>45821</v>
      </c>
      <c r="C9404" s="500" t="s">
        <v>173</v>
      </c>
      <c r="D9404" s="500" t="s">
        <v>761</v>
      </c>
      <c r="E9404" s="501">
        <v>498274913.91000003</v>
      </c>
      <c r="F9404" s="502" t="s">
        <v>878</v>
      </c>
      <c r="G9404" s="100">
        <v>117459339</v>
      </c>
      <c r="H9404" s="100">
        <v>117459339</v>
      </c>
      <c r="I9404" s="422" t="s">
        <v>633</v>
      </c>
      <c r="J9404" s="484"/>
      <c r="K9404" s="548"/>
      <c r="L9404" s="548"/>
      <c r="M9404" s="548"/>
      <c r="N9404" s="552">
        <v>957654</v>
      </c>
      <c r="R9404" s="539">
        <v>520.08629999979121</v>
      </c>
      <c r="S9404" s="539">
        <v>520.30787101604597</v>
      </c>
      <c r="T9404" s="538">
        <v>15.55</v>
      </c>
      <c r="U9404" s="538">
        <v>747.09</v>
      </c>
      <c r="V9404" s="538">
        <v>373.55</v>
      </c>
    </row>
    <row r="9405" spans="1:22">
      <c r="A9405" s="499">
        <v>45820</v>
      </c>
      <c r="B9405" s="499">
        <v>45821</v>
      </c>
      <c r="C9405" s="500" t="s">
        <v>173</v>
      </c>
      <c r="D9405" s="500" t="s">
        <v>761</v>
      </c>
      <c r="E9405" s="501">
        <v>8004776.9800000004</v>
      </c>
      <c r="F9405" s="502" t="s">
        <v>878</v>
      </c>
      <c r="G9405" s="100">
        <v>117459769</v>
      </c>
      <c r="H9405" s="100">
        <v>117459769</v>
      </c>
      <c r="I9405" s="422" t="s">
        <v>631</v>
      </c>
      <c r="J9405" s="484"/>
      <c r="K9405" s="548"/>
      <c r="L9405" s="548"/>
      <c r="M9405" s="548"/>
      <c r="N9405" s="552">
        <v>17432</v>
      </c>
      <c r="R9405" s="539">
        <v>459.00509981642955</v>
      </c>
      <c r="S9405" s="539">
        <v>459.20014800367102</v>
      </c>
      <c r="T9405" s="538">
        <v>15.510199999999999</v>
      </c>
      <c r="U9405" s="538">
        <v>39.32</v>
      </c>
      <c r="V9405" s="538">
        <v>6</v>
      </c>
    </row>
    <row r="9406" spans="1:22">
      <c r="A9406" s="499">
        <v>45820</v>
      </c>
      <c r="B9406" s="499">
        <v>45820</v>
      </c>
      <c r="C9406" s="500" t="s">
        <v>173</v>
      </c>
      <c r="D9406" s="500" t="s">
        <v>759</v>
      </c>
      <c r="E9406" s="501">
        <v>-2857946235.48</v>
      </c>
      <c r="F9406" s="502" t="s">
        <v>878</v>
      </c>
      <c r="G9406" s="100">
        <v>117462746</v>
      </c>
      <c r="H9406" s="530"/>
      <c r="I9406" s="422" t="s">
        <v>693</v>
      </c>
      <c r="J9406" s="484"/>
      <c r="K9406" s="548"/>
      <c r="L9406" s="548"/>
      <c r="M9406" s="548"/>
      <c r="N9406" s="552">
        <v>3447192</v>
      </c>
      <c r="R9406" s="539">
        <v>829.06500000000005</v>
      </c>
      <c r="S9406" s="539">
        <v>829.41706869823304</v>
      </c>
      <c r="T9406" s="538">
        <v>15.5</v>
      </c>
      <c r="U9406" s="538">
        <v>4286.92</v>
      </c>
      <c r="V9406" s="538">
        <v>2143.46</v>
      </c>
    </row>
    <row r="9407" spans="1:22">
      <c r="A9407" s="499">
        <v>45820</v>
      </c>
      <c r="B9407" s="499">
        <v>45820</v>
      </c>
      <c r="C9407" s="500" t="s">
        <v>173</v>
      </c>
      <c r="D9407" s="500" t="s">
        <v>759</v>
      </c>
      <c r="E9407" s="501">
        <v>-15010221.83</v>
      </c>
      <c r="F9407" s="502" t="s">
        <v>878</v>
      </c>
      <c r="G9407" s="100">
        <v>117462827</v>
      </c>
      <c r="H9407" s="530"/>
      <c r="I9407" s="422" t="s">
        <v>693</v>
      </c>
      <c r="J9407" s="484"/>
      <c r="K9407" s="548"/>
      <c r="L9407" s="548"/>
      <c r="M9407" s="548"/>
      <c r="N9407" s="552">
        <v>18105</v>
      </c>
      <c r="R9407" s="539">
        <v>829.06500027616676</v>
      </c>
      <c r="S9407" s="539">
        <v>829.41706876553405</v>
      </c>
      <c r="T9407" s="538">
        <v>15.5</v>
      </c>
      <c r="U9407" s="538">
        <v>39.32</v>
      </c>
      <c r="V9407" s="538">
        <v>11.26</v>
      </c>
    </row>
    <row r="9408" spans="1:22">
      <c r="A9408" s="499">
        <v>45820</v>
      </c>
      <c r="B9408" s="499">
        <v>45821</v>
      </c>
      <c r="C9408" s="500" t="s">
        <v>173</v>
      </c>
      <c r="D9408" s="500" t="s">
        <v>759</v>
      </c>
      <c r="E9408" s="501">
        <v>2859159883.8800001</v>
      </c>
      <c r="F9408" s="502" t="s">
        <v>878</v>
      </c>
      <c r="G9408" s="100">
        <v>117462746</v>
      </c>
      <c r="H9408" s="100">
        <v>117462746</v>
      </c>
      <c r="I9408" s="422" t="s">
        <v>693</v>
      </c>
      <c r="J9408" s="484"/>
      <c r="K9408" s="548"/>
      <c r="L9408" s="548"/>
      <c r="M9408" s="548"/>
      <c r="N9408" s="552">
        <v>3447192</v>
      </c>
      <c r="R9408" s="539">
        <v>829.06500000000005</v>
      </c>
      <c r="S9408" s="539">
        <v>829.41706869823304</v>
      </c>
      <c r="T9408" s="538">
        <v>15.5</v>
      </c>
      <c r="U9408" s="538">
        <v>4286.92</v>
      </c>
      <c r="V9408" s="538">
        <v>2143.46</v>
      </c>
    </row>
    <row r="9409" spans="1:22">
      <c r="A9409" s="499">
        <v>45820</v>
      </c>
      <c r="B9409" s="499">
        <v>45821</v>
      </c>
      <c r="C9409" s="500" t="s">
        <v>173</v>
      </c>
      <c r="D9409" s="500" t="s">
        <v>759</v>
      </c>
      <c r="E9409" s="501">
        <v>15016596.029999999</v>
      </c>
      <c r="F9409" s="502" t="s">
        <v>878</v>
      </c>
      <c r="G9409" s="100">
        <v>117462827</v>
      </c>
      <c r="H9409" s="100">
        <v>117462827</v>
      </c>
      <c r="I9409" s="422" t="s">
        <v>693</v>
      </c>
      <c r="J9409" s="484"/>
      <c r="K9409" s="548"/>
      <c r="L9409" s="548"/>
      <c r="M9409" s="548"/>
      <c r="N9409" s="552">
        <v>18105</v>
      </c>
      <c r="R9409" s="539">
        <v>829.06500027616676</v>
      </c>
      <c r="S9409" s="539">
        <v>829.41706876553405</v>
      </c>
      <c r="T9409" s="538">
        <v>15.5</v>
      </c>
      <c r="U9409" s="538">
        <v>39.32</v>
      </c>
      <c r="V9409" s="538">
        <v>11.26</v>
      </c>
    </row>
    <row r="9410" spans="1:22">
      <c r="A9410" s="499">
        <v>45820</v>
      </c>
      <c r="B9410" s="499">
        <v>45820</v>
      </c>
      <c r="C9410" s="500" t="s">
        <v>173</v>
      </c>
      <c r="D9410" s="500" t="s">
        <v>760</v>
      </c>
      <c r="E9410" s="501">
        <v>-1550195230.0999999</v>
      </c>
      <c r="F9410" s="502" t="s">
        <v>878</v>
      </c>
      <c r="G9410" s="100">
        <v>117456253</v>
      </c>
      <c r="H9410" s="530"/>
      <c r="I9410" s="422" t="s">
        <v>633</v>
      </c>
      <c r="J9410" s="484"/>
      <c r="K9410" s="548"/>
      <c r="L9410" s="548"/>
      <c r="M9410" s="548"/>
      <c r="N9410" s="552">
        <v>2980650</v>
      </c>
      <c r="R9410" s="539">
        <v>520.08630000000005</v>
      </c>
      <c r="S9410" s="539">
        <v>520.31000835388295</v>
      </c>
      <c r="T9410" s="538">
        <v>15.7</v>
      </c>
      <c r="U9410" s="538">
        <v>2325.29</v>
      </c>
      <c r="V9410" s="538">
        <v>1162.6500000000001</v>
      </c>
    </row>
    <row r="9411" spans="1:22">
      <c r="A9411" s="499">
        <v>45820</v>
      </c>
      <c r="B9411" s="499">
        <v>45820</v>
      </c>
      <c r="C9411" s="500" t="s">
        <v>173</v>
      </c>
      <c r="D9411" s="500" t="s">
        <v>760</v>
      </c>
      <c r="E9411" s="501">
        <v>-409051515.55000001</v>
      </c>
      <c r="F9411" s="502" t="s">
        <v>878</v>
      </c>
      <c r="G9411" s="100">
        <v>117456441</v>
      </c>
      <c r="H9411" s="530"/>
      <c r="I9411" s="422" t="s">
        <v>633</v>
      </c>
      <c r="J9411" s="484"/>
      <c r="K9411" s="548"/>
      <c r="L9411" s="548"/>
      <c r="M9411" s="548"/>
      <c r="N9411" s="552">
        <v>786507</v>
      </c>
      <c r="R9411" s="539">
        <v>520.08630000000005</v>
      </c>
      <c r="S9411" s="539">
        <v>520.31000835339</v>
      </c>
      <c r="T9411" s="538">
        <v>15.7</v>
      </c>
      <c r="U9411" s="538">
        <v>613.58000000000004</v>
      </c>
      <c r="V9411" s="538">
        <v>306.79000000000002</v>
      </c>
    </row>
    <row r="9412" spans="1:22">
      <c r="A9412" s="499">
        <v>45820</v>
      </c>
      <c r="B9412" s="499">
        <v>45821</v>
      </c>
      <c r="C9412" s="500" t="s">
        <v>173</v>
      </c>
      <c r="D9412" s="500" t="s">
        <v>760</v>
      </c>
      <c r="E9412" s="501">
        <v>1550862026.4000001</v>
      </c>
      <c r="F9412" s="502" t="s">
        <v>878</v>
      </c>
      <c r="G9412" s="100">
        <v>117456253</v>
      </c>
      <c r="H9412" s="100">
        <v>117456253</v>
      </c>
      <c r="I9412" s="422" t="s">
        <v>633</v>
      </c>
      <c r="J9412" s="484"/>
      <c r="K9412" s="548"/>
      <c r="L9412" s="548"/>
      <c r="M9412" s="548"/>
      <c r="N9412" s="552">
        <v>2980650</v>
      </c>
      <c r="R9412" s="539">
        <v>520.08630000000005</v>
      </c>
      <c r="S9412" s="539">
        <v>520.31000835388295</v>
      </c>
      <c r="T9412" s="538">
        <v>15.7</v>
      </c>
      <c r="U9412" s="538">
        <v>2325.29</v>
      </c>
      <c r="V9412" s="538">
        <v>1162.6500000000001</v>
      </c>
    </row>
    <row r="9413" spans="1:22">
      <c r="A9413" s="499">
        <v>45820</v>
      </c>
      <c r="B9413" s="499">
        <v>45821</v>
      </c>
      <c r="C9413" s="500" t="s">
        <v>173</v>
      </c>
      <c r="D9413" s="500" t="s">
        <v>760</v>
      </c>
      <c r="E9413" s="501">
        <v>409227463.74000001</v>
      </c>
      <c r="F9413" s="502" t="s">
        <v>878</v>
      </c>
      <c r="G9413" s="100">
        <v>117456441</v>
      </c>
      <c r="H9413" s="100">
        <v>117456441</v>
      </c>
      <c r="I9413" s="422" t="s">
        <v>633</v>
      </c>
      <c r="J9413" s="484"/>
      <c r="K9413" s="548"/>
      <c r="L9413" s="548"/>
      <c r="M9413" s="548"/>
      <c r="N9413" s="552">
        <v>786507</v>
      </c>
      <c r="R9413" s="539">
        <v>520.08630000000005</v>
      </c>
      <c r="S9413" s="539">
        <v>520.31000835339</v>
      </c>
      <c r="T9413" s="538">
        <v>15.7</v>
      </c>
      <c r="U9413" s="538">
        <v>613.58000000000004</v>
      </c>
      <c r="V9413" s="538">
        <v>306.79000000000002</v>
      </c>
    </row>
    <row r="9414" spans="1:22">
      <c r="A9414" s="499">
        <v>45820</v>
      </c>
      <c r="B9414" s="499">
        <v>45820</v>
      </c>
      <c r="C9414" s="500" t="s">
        <v>173</v>
      </c>
      <c r="D9414" s="500" t="s">
        <v>764</v>
      </c>
      <c r="E9414" s="501">
        <v>-69044009.579999998</v>
      </c>
      <c r="F9414" s="502" t="s">
        <v>878</v>
      </c>
      <c r="G9414" s="100">
        <v>117457328</v>
      </c>
      <c r="H9414" s="530"/>
      <c r="I9414" s="422" t="s">
        <v>716</v>
      </c>
      <c r="J9414" s="484"/>
      <c r="K9414" s="548"/>
      <c r="L9414" s="548"/>
      <c r="M9414" s="548"/>
      <c r="N9414" s="552">
        <v>94185</v>
      </c>
      <c r="R9414" s="539">
        <v>733.06799999999998</v>
      </c>
      <c r="S9414" s="539">
        <v>733.37950374263403</v>
      </c>
      <c r="T9414" s="538">
        <v>15.51</v>
      </c>
      <c r="U9414" s="538">
        <v>103.57</v>
      </c>
      <c r="V9414" s="538">
        <v>51.78</v>
      </c>
    </row>
    <row r="9415" spans="1:22">
      <c r="A9415" s="499">
        <v>45820</v>
      </c>
      <c r="B9415" s="499">
        <v>45821</v>
      </c>
      <c r="C9415" s="500" t="s">
        <v>173</v>
      </c>
      <c r="D9415" s="500" t="s">
        <v>764</v>
      </c>
      <c r="E9415" s="501">
        <v>69073348.560000002</v>
      </c>
      <c r="F9415" s="502" t="s">
        <v>878</v>
      </c>
      <c r="G9415" s="100">
        <v>117457328</v>
      </c>
      <c r="H9415" s="100">
        <v>117457328</v>
      </c>
      <c r="I9415" s="422" t="s">
        <v>716</v>
      </c>
      <c r="J9415" s="484"/>
      <c r="K9415" s="548"/>
      <c r="L9415" s="548"/>
      <c r="M9415" s="548"/>
      <c r="N9415" s="552">
        <v>94185</v>
      </c>
      <c r="R9415" s="539">
        <v>733.06799999999998</v>
      </c>
      <c r="S9415" s="539">
        <v>733.37950374263403</v>
      </c>
      <c r="T9415" s="538">
        <v>15.51</v>
      </c>
      <c r="U9415" s="538">
        <v>103.57</v>
      </c>
      <c r="V9415" s="538">
        <v>51.78</v>
      </c>
    </row>
    <row r="9416" spans="1:22">
      <c r="A9416" s="499">
        <v>45820</v>
      </c>
      <c r="B9416" s="499">
        <v>45820</v>
      </c>
      <c r="C9416" s="500" t="s">
        <v>173</v>
      </c>
      <c r="D9416" s="500" t="s">
        <v>763</v>
      </c>
      <c r="E9416" s="501">
        <v>-1000206.64</v>
      </c>
      <c r="F9416" s="502" t="s">
        <v>878</v>
      </c>
      <c r="G9416" s="100">
        <v>117456960</v>
      </c>
      <c r="H9416" s="530"/>
      <c r="I9416" s="422" t="s">
        <v>714</v>
      </c>
      <c r="J9416" s="484"/>
      <c r="K9416" s="548"/>
      <c r="L9416" s="548"/>
      <c r="M9416" s="548"/>
      <c r="N9416" s="552">
        <v>1276</v>
      </c>
      <c r="R9416" s="539">
        <v>783.86099999999999</v>
      </c>
      <c r="S9416" s="539">
        <v>784.19602664576803</v>
      </c>
      <c r="T9416" s="538">
        <v>15.600099999999999</v>
      </c>
      <c r="U9416" s="538">
        <v>39.32</v>
      </c>
      <c r="V9416" s="538">
        <v>39.32</v>
      </c>
    </row>
    <row r="9417" spans="1:22">
      <c r="A9417" s="499">
        <v>45820</v>
      </c>
      <c r="B9417" s="499">
        <v>45820</v>
      </c>
      <c r="C9417" s="500" t="s">
        <v>173</v>
      </c>
      <c r="D9417" s="500" t="s">
        <v>763</v>
      </c>
      <c r="E9417" s="501">
        <v>-1900239314.3099999</v>
      </c>
      <c r="F9417" s="502" t="s">
        <v>878</v>
      </c>
      <c r="G9417" s="100">
        <v>117456963</v>
      </c>
      <c r="H9417" s="530"/>
      <c r="I9417" s="422" t="s">
        <v>633</v>
      </c>
      <c r="J9417" s="484"/>
      <c r="K9417" s="548"/>
      <c r="L9417" s="548"/>
      <c r="M9417" s="548"/>
      <c r="N9417" s="552">
        <v>3653700</v>
      </c>
      <c r="R9417" s="539">
        <v>520.08630000000005</v>
      </c>
      <c r="S9417" s="539">
        <v>520.30858346060199</v>
      </c>
      <c r="T9417" s="538">
        <v>15.6</v>
      </c>
      <c r="U9417" s="538">
        <v>2850.36</v>
      </c>
      <c r="V9417" s="538">
        <v>1425.18</v>
      </c>
    </row>
    <row r="9418" spans="1:22">
      <c r="A9418" s="499">
        <v>45820</v>
      </c>
      <c r="B9418" s="499">
        <v>45820</v>
      </c>
      <c r="C9418" s="500" t="s">
        <v>173</v>
      </c>
      <c r="D9418" s="500" t="s">
        <v>763</v>
      </c>
      <c r="E9418" s="501">
        <v>-18006009.210000001</v>
      </c>
      <c r="F9418" s="502" t="s">
        <v>878</v>
      </c>
      <c r="G9418" s="100">
        <v>117456966</v>
      </c>
      <c r="H9418" s="530"/>
      <c r="I9418" s="422" t="s">
        <v>833</v>
      </c>
      <c r="J9418" s="484"/>
      <c r="K9418" s="548"/>
      <c r="L9418" s="548"/>
      <c r="M9418" s="548"/>
      <c r="N9418" s="552">
        <v>31374</v>
      </c>
      <c r="R9418" s="539">
        <v>573.91499999999996</v>
      </c>
      <c r="S9418" s="539">
        <v>574.16028973034997</v>
      </c>
      <c r="T9418" s="538">
        <v>15.6</v>
      </c>
      <c r="U9418" s="538">
        <v>39.32</v>
      </c>
      <c r="V9418" s="538">
        <v>39.32</v>
      </c>
    </row>
    <row r="9419" spans="1:22">
      <c r="A9419" s="499">
        <v>45820</v>
      </c>
      <c r="B9419" s="499">
        <v>45820</v>
      </c>
      <c r="C9419" s="500" t="s">
        <v>173</v>
      </c>
      <c r="D9419" s="500" t="s">
        <v>763</v>
      </c>
      <c r="E9419" s="501">
        <v>-114038058.33</v>
      </c>
      <c r="F9419" s="502" t="s">
        <v>878</v>
      </c>
      <c r="G9419" s="100">
        <v>117456969</v>
      </c>
      <c r="H9419" s="530"/>
      <c r="I9419" s="422" t="s">
        <v>833</v>
      </c>
      <c r="J9419" s="484"/>
      <c r="K9419" s="548"/>
      <c r="L9419" s="548"/>
      <c r="M9419" s="548"/>
      <c r="N9419" s="552">
        <v>198702</v>
      </c>
      <c r="R9419" s="539">
        <v>573.91499999999996</v>
      </c>
      <c r="S9419" s="539">
        <v>574.16028968002297</v>
      </c>
      <c r="T9419" s="538">
        <v>15.6</v>
      </c>
      <c r="U9419" s="538">
        <v>171.06</v>
      </c>
      <c r="V9419" s="538">
        <v>85.53</v>
      </c>
    </row>
    <row r="9420" spans="1:22">
      <c r="A9420" s="499">
        <v>45820</v>
      </c>
      <c r="B9420" s="499">
        <v>45820</v>
      </c>
      <c r="C9420" s="500" t="s">
        <v>173</v>
      </c>
      <c r="D9420" s="500" t="s">
        <v>763</v>
      </c>
      <c r="E9420" s="501">
        <v>-183061093.63999999</v>
      </c>
      <c r="F9420" s="502" t="s">
        <v>878</v>
      </c>
      <c r="G9420" s="100">
        <v>117456972</v>
      </c>
      <c r="H9420" s="530"/>
      <c r="I9420" s="422" t="s">
        <v>833</v>
      </c>
      <c r="J9420" s="484"/>
      <c r="K9420" s="548"/>
      <c r="L9420" s="548"/>
      <c r="M9420" s="548"/>
      <c r="N9420" s="552">
        <v>318969</v>
      </c>
      <c r="R9420" s="539">
        <v>573.91499999999996</v>
      </c>
      <c r="S9420" s="539">
        <v>574.16028971467404</v>
      </c>
      <c r="T9420" s="538">
        <v>15.6</v>
      </c>
      <c r="U9420" s="538">
        <v>274.58999999999997</v>
      </c>
      <c r="V9420" s="538">
        <v>137.30000000000001</v>
      </c>
    </row>
    <row r="9421" spans="1:22">
      <c r="A9421" s="499">
        <v>45820</v>
      </c>
      <c r="B9421" s="499">
        <v>45820</v>
      </c>
      <c r="C9421" s="500" t="s">
        <v>173</v>
      </c>
      <c r="D9421" s="500" t="s">
        <v>763</v>
      </c>
      <c r="E9421" s="501">
        <v>-89032161.930000007</v>
      </c>
      <c r="F9421" s="502" t="s">
        <v>878</v>
      </c>
      <c r="G9421" s="100">
        <v>117456975</v>
      </c>
      <c r="H9421" s="530"/>
      <c r="I9421" s="422" t="s">
        <v>658</v>
      </c>
      <c r="J9421" s="484"/>
      <c r="K9421" s="548"/>
      <c r="L9421" s="548"/>
      <c r="M9421" s="548"/>
      <c r="N9421" s="552">
        <v>89534</v>
      </c>
      <c r="R9421" s="539">
        <v>994.39499999999998</v>
      </c>
      <c r="S9421" s="539">
        <v>994.82000167534102</v>
      </c>
      <c r="T9421" s="538">
        <v>15.6</v>
      </c>
      <c r="U9421" s="538">
        <v>133.55000000000001</v>
      </c>
      <c r="V9421" s="538">
        <v>66.77</v>
      </c>
    </row>
    <row r="9422" spans="1:22">
      <c r="A9422" s="499">
        <v>45820</v>
      </c>
      <c r="B9422" s="499">
        <v>45820</v>
      </c>
      <c r="C9422" s="500" t="s">
        <v>173</v>
      </c>
      <c r="D9422" s="500" t="s">
        <v>763</v>
      </c>
      <c r="E9422" s="501">
        <v>-15008961.02</v>
      </c>
      <c r="F9422" s="502" t="s">
        <v>878</v>
      </c>
      <c r="G9422" s="100">
        <v>117456978</v>
      </c>
      <c r="H9422" s="530"/>
      <c r="I9422" s="422" t="s">
        <v>656</v>
      </c>
      <c r="J9422" s="484"/>
      <c r="K9422" s="548"/>
      <c r="L9422" s="548"/>
      <c r="M9422" s="548"/>
      <c r="N9422" s="552">
        <v>14985</v>
      </c>
      <c r="R9422" s="539">
        <v>1001.599</v>
      </c>
      <c r="S9422" s="539">
        <v>1002.02708108108</v>
      </c>
      <c r="T9422" s="538">
        <v>15.6</v>
      </c>
      <c r="U9422" s="538">
        <v>39.32</v>
      </c>
      <c r="V9422" s="538">
        <v>39.32</v>
      </c>
    </row>
    <row r="9423" spans="1:22">
      <c r="A9423" s="499">
        <v>45820</v>
      </c>
      <c r="B9423" s="499">
        <v>45820</v>
      </c>
      <c r="C9423" s="500" t="s">
        <v>173</v>
      </c>
      <c r="D9423" s="500" t="s">
        <v>763</v>
      </c>
      <c r="E9423" s="501">
        <v>-30017922.030000001</v>
      </c>
      <c r="F9423" s="502" t="s">
        <v>878</v>
      </c>
      <c r="G9423" s="100">
        <v>117456981</v>
      </c>
      <c r="H9423" s="530"/>
      <c r="I9423" s="422" t="s">
        <v>656</v>
      </c>
      <c r="J9423" s="484"/>
      <c r="K9423" s="548"/>
      <c r="L9423" s="548"/>
      <c r="M9423" s="548"/>
      <c r="N9423" s="552">
        <v>29970</v>
      </c>
      <c r="R9423" s="539">
        <v>1001.599</v>
      </c>
      <c r="S9423" s="539">
        <v>1002.02708074741</v>
      </c>
      <c r="T9423" s="538">
        <v>15.6</v>
      </c>
      <c r="U9423" s="538">
        <v>45.03</v>
      </c>
      <c r="V9423" s="538">
        <v>39.32</v>
      </c>
    </row>
    <row r="9424" spans="1:22">
      <c r="A9424" s="499">
        <v>45820</v>
      </c>
      <c r="B9424" s="499">
        <v>45820</v>
      </c>
      <c r="C9424" s="500" t="s">
        <v>173</v>
      </c>
      <c r="D9424" s="500" t="s">
        <v>763</v>
      </c>
      <c r="E9424" s="501">
        <v>-89043868.010000005</v>
      </c>
      <c r="F9424" s="502" t="s">
        <v>878</v>
      </c>
      <c r="G9424" s="100">
        <v>117456984</v>
      </c>
      <c r="H9424" s="530"/>
      <c r="I9424" s="422" t="s">
        <v>590</v>
      </c>
      <c r="J9424" s="484"/>
      <c r="K9424" s="548"/>
      <c r="L9424" s="548"/>
      <c r="M9424" s="548"/>
      <c r="N9424" s="552">
        <v>102261</v>
      </c>
      <c r="R9424" s="539">
        <v>870.75099999999998</v>
      </c>
      <c r="S9424" s="539">
        <v>871.12315662862704</v>
      </c>
      <c r="T9424" s="538">
        <v>15.6</v>
      </c>
      <c r="U9424" s="538">
        <v>133.57</v>
      </c>
      <c r="V9424" s="538">
        <v>66.78</v>
      </c>
    </row>
    <row r="9425" spans="1:22">
      <c r="A9425" s="499">
        <v>45820</v>
      </c>
      <c r="B9425" s="499">
        <v>45820</v>
      </c>
      <c r="C9425" s="500" t="s">
        <v>173</v>
      </c>
      <c r="D9425" s="500" t="s">
        <v>763</v>
      </c>
      <c r="E9425" s="501">
        <v>-33016265.670000002</v>
      </c>
      <c r="F9425" s="502" t="s">
        <v>878</v>
      </c>
      <c r="G9425" s="100">
        <v>117456987</v>
      </c>
      <c r="H9425" s="530"/>
      <c r="I9425" s="422" t="s">
        <v>590</v>
      </c>
      <c r="J9425" s="484"/>
      <c r="K9425" s="548"/>
      <c r="L9425" s="548"/>
      <c r="M9425" s="548"/>
      <c r="N9425" s="552">
        <v>37917</v>
      </c>
      <c r="R9425" s="539">
        <v>870.75099999999998</v>
      </c>
      <c r="S9425" s="539">
        <v>871.12315663158995</v>
      </c>
      <c r="T9425" s="538">
        <v>15.6</v>
      </c>
      <c r="U9425" s="538">
        <v>49.52</v>
      </c>
      <c r="V9425" s="538">
        <v>39.32</v>
      </c>
    </row>
    <row r="9426" spans="1:22">
      <c r="A9426" s="499">
        <v>45820</v>
      </c>
      <c r="B9426" s="499">
        <v>45820</v>
      </c>
      <c r="C9426" s="500" t="s">
        <v>173</v>
      </c>
      <c r="D9426" s="500" t="s">
        <v>763</v>
      </c>
      <c r="E9426" s="501">
        <v>-135069197.75999999</v>
      </c>
      <c r="F9426" s="502" t="s">
        <v>878</v>
      </c>
      <c r="G9426" s="100">
        <v>117456990</v>
      </c>
      <c r="H9426" s="530"/>
      <c r="I9426" s="422" t="s">
        <v>687</v>
      </c>
      <c r="J9426" s="484"/>
      <c r="K9426" s="548"/>
      <c r="L9426" s="548"/>
      <c r="M9426" s="548"/>
      <c r="N9426" s="552">
        <v>158760</v>
      </c>
      <c r="R9426" s="539">
        <v>850.77599999999995</v>
      </c>
      <c r="S9426" s="539">
        <v>851.13961936255998</v>
      </c>
      <c r="T9426" s="538">
        <v>15.6</v>
      </c>
      <c r="U9426" s="538">
        <v>202.6</v>
      </c>
      <c r="V9426" s="538">
        <v>101.3</v>
      </c>
    </row>
    <row r="9427" spans="1:22">
      <c r="A9427" s="499">
        <v>45820</v>
      </c>
      <c r="B9427" s="499">
        <v>45820</v>
      </c>
      <c r="C9427" s="500" t="s">
        <v>173</v>
      </c>
      <c r="D9427" s="500" t="s">
        <v>763</v>
      </c>
      <c r="E9427" s="501">
        <v>-1591200394.25</v>
      </c>
      <c r="F9427" s="502" t="s">
        <v>878</v>
      </c>
      <c r="G9427" s="100">
        <v>117456993</v>
      </c>
      <c r="H9427" s="530"/>
      <c r="I9427" s="422" t="s">
        <v>633</v>
      </c>
      <c r="J9427" s="484"/>
      <c r="K9427" s="548"/>
      <c r="L9427" s="548"/>
      <c r="M9427" s="548"/>
      <c r="N9427" s="552">
        <v>3059493</v>
      </c>
      <c r="R9427" s="539">
        <v>520.08630000000005</v>
      </c>
      <c r="S9427" s="539">
        <v>520.30715856843005</v>
      </c>
      <c r="T9427" s="538">
        <v>15.5</v>
      </c>
      <c r="U9427" s="538">
        <v>2386.8000000000002</v>
      </c>
      <c r="V9427" s="538">
        <v>1193.4000000000001</v>
      </c>
    </row>
    <row r="9428" spans="1:22">
      <c r="A9428" s="499">
        <v>45820</v>
      </c>
      <c r="B9428" s="499">
        <v>45820</v>
      </c>
      <c r="C9428" s="500" t="s">
        <v>173</v>
      </c>
      <c r="D9428" s="500" t="s">
        <v>763</v>
      </c>
      <c r="E9428" s="501">
        <v>-1669000710.3299999</v>
      </c>
      <c r="F9428" s="502" t="s">
        <v>878</v>
      </c>
      <c r="G9428" s="100">
        <v>117456996</v>
      </c>
      <c r="H9428" s="530"/>
      <c r="I9428" s="422" t="s">
        <v>809</v>
      </c>
      <c r="J9428" s="484"/>
      <c r="K9428" s="548"/>
      <c r="L9428" s="548"/>
      <c r="M9428" s="548"/>
      <c r="N9428" s="552">
        <v>1644011732</v>
      </c>
      <c r="R9428" s="539">
        <v>1.0152000000000001</v>
      </c>
      <c r="S9428" s="539">
        <v>1.01563111233321</v>
      </c>
      <c r="T9428" s="538">
        <v>15.5</v>
      </c>
      <c r="U9428" s="538">
        <v>2503.5</v>
      </c>
      <c r="V9428" s="538">
        <v>1251.75</v>
      </c>
    </row>
    <row r="9429" spans="1:22">
      <c r="A9429" s="499">
        <v>45820</v>
      </c>
      <c r="B9429" s="499">
        <v>45820</v>
      </c>
      <c r="C9429" s="500" t="s">
        <v>173</v>
      </c>
      <c r="D9429" s="500" t="s">
        <v>763</v>
      </c>
      <c r="E9429" s="501">
        <v>-35000014.899999999</v>
      </c>
      <c r="F9429" s="502" t="s">
        <v>878</v>
      </c>
      <c r="G9429" s="100">
        <v>117457007</v>
      </c>
      <c r="H9429" s="530"/>
      <c r="I9429" s="422" t="s">
        <v>809</v>
      </c>
      <c r="J9429" s="484"/>
      <c r="K9429" s="548"/>
      <c r="L9429" s="548"/>
      <c r="M9429" s="548"/>
      <c r="N9429" s="552">
        <v>34475980</v>
      </c>
      <c r="R9429" s="539">
        <v>1.0152000000000001</v>
      </c>
      <c r="S9429" s="539">
        <v>1.01563111244408</v>
      </c>
      <c r="T9429" s="538">
        <v>15.5</v>
      </c>
      <c r="U9429" s="538">
        <v>52.5</v>
      </c>
      <c r="V9429" s="538">
        <v>39.32</v>
      </c>
    </row>
    <row r="9430" spans="1:22">
      <c r="A9430" s="499">
        <v>45820</v>
      </c>
      <c r="B9430" s="499">
        <v>45821</v>
      </c>
      <c r="C9430" s="500" t="s">
        <v>173</v>
      </c>
      <c r="D9430" s="500" t="s">
        <v>763</v>
      </c>
      <c r="E9430" s="501">
        <v>1000634.13</v>
      </c>
      <c r="F9430" s="502" t="s">
        <v>878</v>
      </c>
      <c r="G9430" s="100">
        <v>117456960</v>
      </c>
      <c r="H9430" s="100">
        <v>117456960</v>
      </c>
      <c r="I9430" s="422" t="s">
        <v>714</v>
      </c>
      <c r="J9430" s="484"/>
      <c r="K9430" s="548"/>
      <c r="L9430" s="548"/>
      <c r="M9430" s="548"/>
      <c r="N9430" s="552">
        <v>1276</v>
      </c>
      <c r="R9430" s="539">
        <v>783.86099999999999</v>
      </c>
      <c r="S9430" s="539">
        <v>784.19602664576803</v>
      </c>
      <c r="T9430" s="538">
        <v>15.600099999999999</v>
      </c>
      <c r="U9430" s="538">
        <v>39.32</v>
      </c>
      <c r="V9430" s="538">
        <v>39.32</v>
      </c>
    </row>
    <row r="9431" spans="1:22">
      <c r="A9431" s="499">
        <v>45820</v>
      </c>
      <c r="B9431" s="499">
        <v>45821</v>
      </c>
      <c r="C9431" s="500" t="s">
        <v>173</v>
      </c>
      <c r="D9431" s="500" t="s">
        <v>763</v>
      </c>
      <c r="E9431" s="501">
        <v>1901051471.3900001</v>
      </c>
      <c r="F9431" s="502" t="s">
        <v>878</v>
      </c>
      <c r="G9431" s="100">
        <v>117456963</v>
      </c>
      <c r="H9431" s="100">
        <v>117456963</v>
      </c>
      <c r="I9431" s="422" t="s">
        <v>633</v>
      </c>
      <c r="J9431" s="484"/>
      <c r="K9431" s="548"/>
      <c r="L9431" s="548"/>
      <c r="M9431" s="548"/>
      <c r="N9431" s="552">
        <v>3653700</v>
      </c>
      <c r="R9431" s="539">
        <v>520.08630000000005</v>
      </c>
      <c r="S9431" s="539">
        <v>520.30858346060199</v>
      </c>
      <c r="T9431" s="538">
        <v>15.6</v>
      </c>
      <c r="U9431" s="538">
        <v>2850.36</v>
      </c>
      <c r="V9431" s="538">
        <v>1425.18</v>
      </c>
    </row>
    <row r="9432" spans="1:22">
      <c r="A9432" s="499">
        <v>45820</v>
      </c>
      <c r="B9432" s="499">
        <v>45821</v>
      </c>
      <c r="C9432" s="500" t="s">
        <v>173</v>
      </c>
      <c r="D9432" s="500" t="s">
        <v>763</v>
      </c>
      <c r="E9432" s="501">
        <v>18013704.93</v>
      </c>
      <c r="F9432" s="502" t="s">
        <v>878</v>
      </c>
      <c r="G9432" s="100">
        <v>117456966</v>
      </c>
      <c r="H9432" s="100">
        <v>117456966</v>
      </c>
      <c r="I9432" s="422" t="s">
        <v>833</v>
      </c>
      <c r="J9432" s="484"/>
      <c r="K9432" s="548"/>
      <c r="L9432" s="548"/>
      <c r="M9432" s="548"/>
      <c r="N9432" s="552">
        <v>31374</v>
      </c>
      <c r="R9432" s="539">
        <v>573.91499999999996</v>
      </c>
      <c r="S9432" s="539">
        <v>574.16028973034997</v>
      </c>
      <c r="T9432" s="538">
        <v>15.6</v>
      </c>
      <c r="U9432" s="538">
        <v>39.32</v>
      </c>
      <c r="V9432" s="538">
        <v>39.32</v>
      </c>
    </row>
    <row r="9433" spans="1:22">
      <c r="A9433" s="499">
        <v>45820</v>
      </c>
      <c r="B9433" s="499">
        <v>45821</v>
      </c>
      <c r="C9433" s="500" t="s">
        <v>173</v>
      </c>
      <c r="D9433" s="500" t="s">
        <v>763</v>
      </c>
      <c r="E9433" s="501">
        <v>114086797.88</v>
      </c>
      <c r="F9433" s="502" t="s">
        <v>878</v>
      </c>
      <c r="G9433" s="100">
        <v>117456969</v>
      </c>
      <c r="H9433" s="100">
        <v>117456969</v>
      </c>
      <c r="I9433" s="422" t="s">
        <v>833</v>
      </c>
      <c r="J9433" s="484"/>
      <c r="K9433" s="548"/>
      <c r="L9433" s="548"/>
      <c r="M9433" s="548"/>
      <c r="N9433" s="552">
        <v>198702</v>
      </c>
      <c r="R9433" s="539">
        <v>573.91499999999996</v>
      </c>
      <c r="S9433" s="539">
        <v>574.16028968002297</v>
      </c>
      <c r="T9433" s="538">
        <v>15.6</v>
      </c>
      <c r="U9433" s="538">
        <v>171.06</v>
      </c>
      <c r="V9433" s="538">
        <v>85.53</v>
      </c>
    </row>
    <row r="9434" spans="1:22">
      <c r="A9434" s="499">
        <v>45820</v>
      </c>
      <c r="B9434" s="499">
        <v>45821</v>
      </c>
      <c r="C9434" s="500" t="s">
        <v>173</v>
      </c>
      <c r="D9434" s="500" t="s">
        <v>763</v>
      </c>
      <c r="E9434" s="501">
        <v>183139333.44999999</v>
      </c>
      <c r="F9434" s="502" t="s">
        <v>878</v>
      </c>
      <c r="G9434" s="100">
        <v>117456972</v>
      </c>
      <c r="H9434" s="100">
        <v>117456972</v>
      </c>
      <c r="I9434" s="422" t="s">
        <v>833</v>
      </c>
      <c r="J9434" s="484"/>
      <c r="K9434" s="548"/>
      <c r="L9434" s="548"/>
      <c r="M9434" s="548"/>
      <c r="N9434" s="552">
        <v>318969</v>
      </c>
      <c r="R9434" s="539">
        <v>573.91499999999996</v>
      </c>
      <c r="S9434" s="539">
        <v>574.16028971467404</v>
      </c>
      <c r="T9434" s="538">
        <v>15.6</v>
      </c>
      <c r="U9434" s="538">
        <v>274.58999999999997</v>
      </c>
      <c r="V9434" s="538">
        <v>137.30000000000001</v>
      </c>
    </row>
    <row r="9435" spans="1:22">
      <c r="A9435" s="499">
        <v>45820</v>
      </c>
      <c r="B9435" s="499">
        <v>45821</v>
      </c>
      <c r="C9435" s="500" t="s">
        <v>173</v>
      </c>
      <c r="D9435" s="500" t="s">
        <v>763</v>
      </c>
      <c r="E9435" s="501">
        <v>89070214.030000001</v>
      </c>
      <c r="F9435" s="502" t="s">
        <v>878</v>
      </c>
      <c r="G9435" s="100">
        <v>117456975</v>
      </c>
      <c r="H9435" s="100">
        <v>117456975</v>
      </c>
      <c r="I9435" s="422" t="s">
        <v>658</v>
      </c>
      <c r="J9435" s="484"/>
      <c r="K9435" s="548"/>
      <c r="L9435" s="548"/>
      <c r="M9435" s="548"/>
      <c r="N9435" s="552">
        <v>89534</v>
      </c>
      <c r="R9435" s="539">
        <v>994.39499999999998</v>
      </c>
      <c r="S9435" s="539">
        <v>994.82000167534102</v>
      </c>
      <c r="T9435" s="538">
        <v>15.6</v>
      </c>
      <c r="U9435" s="538">
        <v>133.55000000000001</v>
      </c>
      <c r="V9435" s="538">
        <v>66.77</v>
      </c>
    </row>
    <row r="9436" spans="1:22">
      <c r="A9436" s="499">
        <v>45820</v>
      </c>
      <c r="B9436" s="499">
        <v>45821</v>
      </c>
      <c r="C9436" s="500" t="s">
        <v>173</v>
      </c>
      <c r="D9436" s="500" t="s">
        <v>763</v>
      </c>
      <c r="E9436" s="501">
        <v>15015375.810000001</v>
      </c>
      <c r="F9436" s="502" t="s">
        <v>878</v>
      </c>
      <c r="G9436" s="100">
        <v>117456978</v>
      </c>
      <c r="H9436" s="100">
        <v>117456978</v>
      </c>
      <c r="I9436" s="422" t="s">
        <v>656</v>
      </c>
      <c r="J9436" s="484"/>
      <c r="K9436" s="548"/>
      <c r="L9436" s="548"/>
      <c r="M9436" s="548"/>
      <c r="N9436" s="552">
        <v>14985</v>
      </c>
      <c r="R9436" s="539">
        <v>1001.599</v>
      </c>
      <c r="S9436" s="539">
        <v>1002.02708108108</v>
      </c>
      <c r="T9436" s="538">
        <v>15.6</v>
      </c>
      <c r="U9436" s="538">
        <v>39.32</v>
      </c>
      <c r="V9436" s="538">
        <v>39.32</v>
      </c>
    </row>
    <row r="9437" spans="1:22">
      <c r="A9437" s="499">
        <v>45820</v>
      </c>
      <c r="B9437" s="499">
        <v>45821</v>
      </c>
      <c r="C9437" s="500" t="s">
        <v>173</v>
      </c>
      <c r="D9437" s="500" t="s">
        <v>763</v>
      </c>
      <c r="E9437" s="501">
        <v>30030751.609999999</v>
      </c>
      <c r="F9437" s="502" t="s">
        <v>878</v>
      </c>
      <c r="G9437" s="100">
        <v>117456981</v>
      </c>
      <c r="H9437" s="100">
        <v>117456981</v>
      </c>
      <c r="I9437" s="422" t="s">
        <v>656</v>
      </c>
      <c r="J9437" s="484"/>
      <c r="K9437" s="548"/>
      <c r="L9437" s="548"/>
      <c r="M9437" s="548"/>
      <c r="N9437" s="552">
        <v>29970</v>
      </c>
      <c r="R9437" s="539">
        <v>1001.599</v>
      </c>
      <c r="S9437" s="539">
        <v>1002.02708074741</v>
      </c>
      <c r="T9437" s="538">
        <v>15.6</v>
      </c>
      <c r="U9437" s="538">
        <v>45.03</v>
      </c>
      <c r="V9437" s="538">
        <v>39.32</v>
      </c>
    </row>
    <row r="9438" spans="1:22">
      <c r="A9438" s="499">
        <v>45820</v>
      </c>
      <c r="B9438" s="499">
        <v>45821</v>
      </c>
      <c r="C9438" s="500" t="s">
        <v>173</v>
      </c>
      <c r="D9438" s="500" t="s">
        <v>763</v>
      </c>
      <c r="E9438" s="501">
        <v>89081925.120000005</v>
      </c>
      <c r="F9438" s="502" t="s">
        <v>878</v>
      </c>
      <c r="G9438" s="100">
        <v>117456984</v>
      </c>
      <c r="H9438" s="100">
        <v>117456984</v>
      </c>
      <c r="I9438" s="422" t="s">
        <v>590</v>
      </c>
      <c r="J9438" s="484"/>
      <c r="K9438" s="548"/>
      <c r="L9438" s="548"/>
      <c r="M9438" s="548"/>
      <c r="N9438" s="552">
        <v>102261</v>
      </c>
      <c r="R9438" s="539">
        <v>870.75099999999998</v>
      </c>
      <c r="S9438" s="539">
        <v>871.12315662862704</v>
      </c>
      <c r="T9438" s="538">
        <v>15.6</v>
      </c>
      <c r="U9438" s="538">
        <v>133.57</v>
      </c>
      <c r="V9438" s="538">
        <v>66.78</v>
      </c>
    </row>
    <row r="9439" spans="1:22">
      <c r="A9439" s="499">
        <v>45820</v>
      </c>
      <c r="B9439" s="499">
        <v>45821</v>
      </c>
      <c r="C9439" s="500" t="s">
        <v>173</v>
      </c>
      <c r="D9439" s="500" t="s">
        <v>763</v>
      </c>
      <c r="E9439" s="501">
        <v>33030376.73</v>
      </c>
      <c r="F9439" s="502" t="s">
        <v>878</v>
      </c>
      <c r="G9439" s="100">
        <v>117456987</v>
      </c>
      <c r="H9439" s="100">
        <v>117456987</v>
      </c>
      <c r="I9439" s="422" t="s">
        <v>590</v>
      </c>
      <c r="J9439" s="484"/>
      <c r="K9439" s="548"/>
      <c r="L9439" s="548"/>
      <c r="M9439" s="548"/>
      <c r="N9439" s="552">
        <v>37917</v>
      </c>
      <c r="R9439" s="539">
        <v>870.75099999999998</v>
      </c>
      <c r="S9439" s="539">
        <v>871.12315663158995</v>
      </c>
      <c r="T9439" s="538">
        <v>15.6</v>
      </c>
      <c r="U9439" s="538">
        <v>49.52</v>
      </c>
      <c r="V9439" s="538">
        <v>39.32</v>
      </c>
    </row>
    <row r="9440" spans="1:22">
      <c r="A9440" s="499">
        <v>45820</v>
      </c>
      <c r="B9440" s="499">
        <v>45821</v>
      </c>
      <c r="C9440" s="500" t="s">
        <v>173</v>
      </c>
      <c r="D9440" s="500" t="s">
        <v>763</v>
      </c>
      <c r="E9440" s="501">
        <v>135126925.97</v>
      </c>
      <c r="F9440" s="502" t="s">
        <v>878</v>
      </c>
      <c r="G9440" s="100">
        <v>117456990</v>
      </c>
      <c r="H9440" s="100">
        <v>117456990</v>
      </c>
      <c r="I9440" s="422" t="s">
        <v>687</v>
      </c>
      <c r="J9440" s="484"/>
      <c r="K9440" s="548"/>
      <c r="L9440" s="548"/>
      <c r="M9440" s="548"/>
      <c r="N9440" s="552">
        <v>158760</v>
      </c>
      <c r="R9440" s="539">
        <v>850.77599999999995</v>
      </c>
      <c r="S9440" s="539">
        <v>851.13961936255998</v>
      </c>
      <c r="T9440" s="538">
        <v>15.6</v>
      </c>
      <c r="U9440" s="538">
        <v>202.6</v>
      </c>
      <c r="V9440" s="538">
        <v>101.3</v>
      </c>
    </row>
    <row r="9441" spans="1:22">
      <c r="A9441" s="499">
        <v>45820</v>
      </c>
      <c r="B9441" s="499">
        <v>45821</v>
      </c>
      <c r="C9441" s="500" t="s">
        <v>173</v>
      </c>
      <c r="D9441" s="500" t="s">
        <v>763</v>
      </c>
      <c r="E9441" s="501">
        <v>1591876109.49</v>
      </c>
      <c r="F9441" s="502" t="s">
        <v>878</v>
      </c>
      <c r="G9441" s="100">
        <v>117456993</v>
      </c>
      <c r="H9441" s="100">
        <v>117456993</v>
      </c>
      <c r="I9441" s="422" t="s">
        <v>633</v>
      </c>
      <c r="J9441" s="484"/>
      <c r="K9441" s="548"/>
      <c r="L9441" s="548"/>
      <c r="M9441" s="548"/>
      <c r="N9441" s="552">
        <v>3059493</v>
      </c>
      <c r="R9441" s="539">
        <v>520.08630000000005</v>
      </c>
      <c r="S9441" s="539">
        <v>520.30715856843005</v>
      </c>
      <c r="T9441" s="538">
        <v>15.5</v>
      </c>
      <c r="U9441" s="538">
        <v>2386.8000000000002</v>
      </c>
      <c r="V9441" s="538">
        <v>1193.4000000000001</v>
      </c>
    </row>
    <row r="9442" spans="1:22">
      <c r="A9442" s="499">
        <v>45820</v>
      </c>
      <c r="B9442" s="499">
        <v>45821</v>
      </c>
      <c r="C9442" s="500" t="s">
        <v>173</v>
      </c>
      <c r="D9442" s="500" t="s">
        <v>763</v>
      </c>
      <c r="E9442" s="501">
        <v>1669709464.0599999</v>
      </c>
      <c r="F9442" s="502" t="s">
        <v>878</v>
      </c>
      <c r="G9442" s="100">
        <v>117456996</v>
      </c>
      <c r="H9442" s="100">
        <v>117456996</v>
      </c>
      <c r="I9442" s="422" t="s">
        <v>809</v>
      </c>
      <c r="J9442" s="484"/>
      <c r="K9442" s="548"/>
      <c r="L9442" s="548"/>
      <c r="M9442" s="548"/>
      <c r="N9442" s="552">
        <v>1644011732</v>
      </c>
      <c r="R9442" s="539">
        <v>1.0152000000000001</v>
      </c>
      <c r="S9442" s="539">
        <v>1.01563111233321</v>
      </c>
      <c r="T9442" s="538">
        <v>15.5</v>
      </c>
      <c r="U9442" s="538">
        <v>2503.5</v>
      </c>
      <c r="V9442" s="538">
        <v>1251.75</v>
      </c>
    </row>
    <row r="9443" spans="1:22">
      <c r="A9443" s="499">
        <v>45820</v>
      </c>
      <c r="B9443" s="499">
        <v>45821</v>
      </c>
      <c r="C9443" s="500" t="s">
        <v>173</v>
      </c>
      <c r="D9443" s="500" t="s">
        <v>763</v>
      </c>
      <c r="E9443" s="501">
        <v>35014877.920000002</v>
      </c>
      <c r="F9443" s="502" t="s">
        <v>878</v>
      </c>
      <c r="G9443" s="100">
        <v>117457007</v>
      </c>
      <c r="H9443" s="100">
        <v>117457007</v>
      </c>
      <c r="I9443" s="422" t="s">
        <v>809</v>
      </c>
      <c r="J9443" s="484"/>
      <c r="K9443" s="548"/>
      <c r="L9443" s="548"/>
      <c r="M9443" s="548"/>
      <c r="N9443" s="552">
        <v>34475980</v>
      </c>
      <c r="R9443" s="539">
        <v>1.0152000000000001</v>
      </c>
      <c r="S9443" s="539">
        <v>1.01563111244408</v>
      </c>
      <c r="T9443" s="538">
        <v>15.5</v>
      </c>
      <c r="U9443" s="538">
        <v>52.5</v>
      </c>
      <c r="V9443" s="538">
        <v>39.32</v>
      </c>
    </row>
    <row r="9444" spans="1:22">
      <c r="A9444" s="499">
        <v>45821</v>
      </c>
      <c r="B9444" s="499">
        <v>45821</v>
      </c>
      <c r="C9444" s="500" t="s">
        <v>173</v>
      </c>
      <c r="D9444" s="500" t="s">
        <v>762</v>
      </c>
      <c r="E9444" s="501">
        <v>-3579230509.98</v>
      </c>
      <c r="F9444" s="502" t="s">
        <v>878</v>
      </c>
      <c r="G9444" s="100">
        <v>117487598</v>
      </c>
      <c r="H9444" s="530"/>
      <c r="I9444" s="422" t="s">
        <v>719</v>
      </c>
      <c r="J9444" s="484"/>
      <c r="K9444" s="548"/>
      <c r="L9444" s="548"/>
      <c r="M9444" s="548"/>
      <c r="N9444" s="552">
        <v>4969842</v>
      </c>
      <c r="R9444" s="539">
        <v>720.19</v>
      </c>
      <c r="S9444" s="539">
        <v>721.10750232904797</v>
      </c>
      <c r="T9444" s="538">
        <v>15.5</v>
      </c>
      <c r="U9444" s="538">
        <v>16106.54</v>
      </c>
      <c r="V9444" s="538">
        <v>8053.27</v>
      </c>
    </row>
    <row r="9445" spans="1:22">
      <c r="A9445" s="499">
        <v>45821</v>
      </c>
      <c r="B9445" s="499">
        <v>45821</v>
      </c>
      <c r="C9445" s="500" t="s">
        <v>173</v>
      </c>
      <c r="D9445" s="500" t="s">
        <v>762</v>
      </c>
      <c r="E9445" s="501">
        <v>-20006878.199999999</v>
      </c>
      <c r="F9445" s="502" t="s">
        <v>878</v>
      </c>
      <c r="G9445" s="100">
        <v>117487598</v>
      </c>
      <c r="H9445" s="530"/>
      <c r="I9445" s="422" t="s">
        <v>719</v>
      </c>
      <c r="J9445" s="484"/>
      <c r="K9445" s="548"/>
      <c r="L9445" s="548"/>
      <c r="M9445" s="548"/>
      <c r="N9445" s="552">
        <v>27780</v>
      </c>
      <c r="R9445" s="539">
        <v>720.19</v>
      </c>
      <c r="S9445" s="539">
        <v>721.10750215982705</v>
      </c>
      <c r="T9445" s="538">
        <v>15.5</v>
      </c>
      <c r="U9445" s="538">
        <v>90.03</v>
      </c>
      <c r="V9445" s="538">
        <v>45.02</v>
      </c>
    </row>
    <row r="9446" spans="1:22">
      <c r="A9446" s="499">
        <v>45821</v>
      </c>
      <c r="B9446" s="499">
        <v>45824</v>
      </c>
      <c r="C9446" s="500" t="s">
        <v>173</v>
      </c>
      <c r="D9446" s="500" t="s">
        <v>762</v>
      </c>
      <c r="E9446" s="501">
        <v>3583790351.5900002</v>
      </c>
      <c r="F9446" s="502" t="s">
        <v>878</v>
      </c>
      <c r="G9446" s="100">
        <v>117487598</v>
      </c>
      <c r="H9446" s="100">
        <v>117487598</v>
      </c>
      <c r="I9446" s="422" t="s">
        <v>719</v>
      </c>
      <c r="J9446" s="484"/>
      <c r="K9446" s="548"/>
      <c r="L9446" s="548"/>
      <c r="M9446" s="548"/>
      <c r="N9446" s="552">
        <v>4969842</v>
      </c>
      <c r="R9446" s="539">
        <v>720.19</v>
      </c>
      <c r="S9446" s="539">
        <v>721.10750232904797</v>
      </c>
      <c r="T9446" s="538">
        <v>15.5</v>
      </c>
      <c r="U9446" s="538">
        <v>16106.54</v>
      </c>
      <c r="V9446" s="538">
        <v>8053.27</v>
      </c>
    </row>
    <row r="9447" spans="1:22">
      <c r="A9447" s="499">
        <v>45821</v>
      </c>
      <c r="B9447" s="499">
        <v>45824</v>
      </c>
      <c r="C9447" s="500" t="s">
        <v>173</v>
      </c>
      <c r="D9447" s="500" t="s">
        <v>762</v>
      </c>
      <c r="E9447" s="501">
        <v>20032366.41</v>
      </c>
      <c r="F9447" s="502" t="s">
        <v>878</v>
      </c>
      <c r="G9447" s="100">
        <v>117487598</v>
      </c>
      <c r="H9447" s="100">
        <v>117487598</v>
      </c>
      <c r="I9447" s="422" t="s">
        <v>719</v>
      </c>
      <c r="J9447" s="484"/>
      <c r="K9447" s="548"/>
      <c r="L9447" s="548"/>
      <c r="M9447" s="548"/>
      <c r="N9447" s="552">
        <v>27780</v>
      </c>
      <c r="R9447" s="539">
        <v>720.19</v>
      </c>
      <c r="S9447" s="539">
        <v>721.10750215982705</v>
      </c>
      <c r="T9447" s="538">
        <v>15.5</v>
      </c>
      <c r="U9447" s="538">
        <v>90.03</v>
      </c>
      <c r="V9447" s="538">
        <v>45.02</v>
      </c>
    </row>
    <row r="9448" spans="1:22">
      <c r="A9448" s="499">
        <v>45821</v>
      </c>
      <c r="B9448" s="499">
        <v>45821</v>
      </c>
      <c r="C9448" s="500" t="s">
        <v>173</v>
      </c>
      <c r="D9448" s="500" t="s">
        <v>761</v>
      </c>
      <c r="E9448" s="501">
        <v>-504019765.56999999</v>
      </c>
      <c r="F9448" s="502" t="s">
        <v>878</v>
      </c>
      <c r="G9448" s="100">
        <v>117483416</v>
      </c>
      <c r="H9448" s="530"/>
      <c r="I9448" s="422" t="s">
        <v>1018</v>
      </c>
      <c r="J9448" s="484"/>
      <c r="K9448" s="548"/>
      <c r="L9448" s="548"/>
      <c r="M9448" s="548"/>
      <c r="N9448" s="552">
        <v>5331816</v>
      </c>
      <c r="R9448" s="539">
        <v>94.530600000075026</v>
      </c>
      <c r="S9448" s="539">
        <v>94.652272537161807</v>
      </c>
      <c r="T9448" s="538">
        <v>15.66</v>
      </c>
      <c r="U9448" s="538">
        <v>2268.09</v>
      </c>
      <c r="V9448" s="538">
        <v>1134.04</v>
      </c>
    </row>
    <row r="9449" spans="1:22">
      <c r="A9449" s="499">
        <v>45821</v>
      </c>
      <c r="B9449" s="499">
        <v>45821</v>
      </c>
      <c r="C9449" s="500" t="s">
        <v>173</v>
      </c>
      <c r="D9449" s="500" t="s">
        <v>761</v>
      </c>
      <c r="E9449" s="501">
        <v>-3000508.34</v>
      </c>
      <c r="F9449" s="502" t="s">
        <v>878</v>
      </c>
      <c r="G9449" s="100">
        <v>117483451</v>
      </c>
      <c r="H9449" s="530"/>
      <c r="I9449" s="422" t="s">
        <v>633</v>
      </c>
      <c r="J9449" s="484"/>
      <c r="K9449" s="548"/>
      <c r="L9449" s="548"/>
      <c r="M9449" s="548"/>
      <c r="N9449" s="552">
        <v>5751</v>
      </c>
      <c r="R9449" s="539">
        <v>521.7368005564249</v>
      </c>
      <c r="S9449" s="539">
        <v>522.40834463571605</v>
      </c>
      <c r="T9449" s="538">
        <v>15.6601</v>
      </c>
      <c r="U9449" s="538">
        <v>39.32</v>
      </c>
      <c r="V9449" s="538">
        <v>6.75</v>
      </c>
    </row>
    <row r="9450" spans="1:22">
      <c r="A9450" s="499">
        <v>45821</v>
      </c>
      <c r="B9450" s="499">
        <v>45824</v>
      </c>
      <c r="C9450" s="500" t="s">
        <v>173</v>
      </c>
      <c r="D9450" s="500" t="s">
        <v>761</v>
      </c>
      <c r="E9450" s="501">
        <v>504668501.14999998</v>
      </c>
      <c r="F9450" s="502" t="s">
        <v>878</v>
      </c>
      <c r="G9450" s="100">
        <v>117483416</v>
      </c>
      <c r="H9450" s="100">
        <v>117483416</v>
      </c>
      <c r="I9450" s="422" t="s">
        <v>1018</v>
      </c>
      <c r="J9450" s="484"/>
      <c r="K9450" s="548"/>
      <c r="L9450" s="548"/>
      <c r="M9450" s="548"/>
      <c r="N9450" s="552">
        <v>5331816</v>
      </c>
      <c r="R9450" s="539">
        <v>94.530600000075026</v>
      </c>
      <c r="S9450" s="539">
        <v>94.652272537161807</v>
      </c>
      <c r="T9450" s="538">
        <v>15.66</v>
      </c>
      <c r="U9450" s="538">
        <v>2268.09</v>
      </c>
      <c r="V9450" s="538">
        <v>1134.04</v>
      </c>
    </row>
    <row r="9451" spans="1:22">
      <c r="A9451" s="499">
        <v>45821</v>
      </c>
      <c r="B9451" s="499">
        <v>45824</v>
      </c>
      <c r="C9451" s="500" t="s">
        <v>173</v>
      </c>
      <c r="D9451" s="500" t="s">
        <v>761</v>
      </c>
      <c r="E9451" s="501">
        <v>3004370.39</v>
      </c>
      <c r="F9451" s="502" t="s">
        <v>878</v>
      </c>
      <c r="G9451" s="100">
        <v>117483451</v>
      </c>
      <c r="H9451" s="100">
        <v>117483451</v>
      </c>
      <c r="I9451" s="422" t="s">
        <v>633</v>
      </c>
      <c r="J9451" s="484"/>
      <c r="K9451" s="548"/>
      <c r="L9451" s="548"/>
      <c r="M9451" s="548"/>
      <c r="N9451" s="552">
        <v>5751</v>
      </c>
      <c r="R9451" s="539">
        <v>521.7368005564249</v>
      </c>
      <c r="S9451" s="539">
        <v>522.40834463571605</v>
      </c>
      <c r="T9451" s="538">
        <v>15.6601</v>
      </c>
      <c r="U9451" s="538">
        <v>39.32</v>
      </c>
      <c r="V9451" s="538">
        <v>6.75</v>
      </c>
    </row>
    <row r="9452" spans="1:22">
      <c r="A9452" s="499">
        <v>45821</v>
      </c>
      <c r="B9452" s="499">
        <v>45821</v>
      </c>
      <c r="C9452" s="500" t="s">
        <v>173</v>
      </c>
      <c r="D9452" s="500" t="s">
        <v>759</v>
      </c>
      <c r="E9452" s="501">
        <v>-2857281665.3400002</v>
      </c>
      <c r="F9452" s="502" t="s">
        <v>878</v>
      </c>
      <c r="G9452" s="100">
        <v>117484677</v>
      </c>
      <c r="H9452" s="530"/>
      <c r="I9452" s="422" t="s">
        <v>2591</v>
      </c>
      <c r="J9452" s="484"/>
      <c r="K9452" s="548"/>
      <c r="L9452" s="548"/>
      <c r="M9452" s="548"/>
      <c r="N9452" s="552">
        <v>28709993</v>
      </c>
      <c r="R9452" s="539">
        <v>99.522199999839785</v>
      </c>
      <c r="S9452" s="539">
        <v>99.650215542024</v>
      </c>
      <c r="T9452" s="538">
        <v>15.65</v>
      </c>
      <c r="U9452" s="538">
        <v>12857.77</v>
      </c>
      <c r="V9452" s="538">
        <v>6428.88</v>
      </c>
    </row>
    <row r="9453" spans="1:22">
      <c r="A9453" s="499">
        <v>45821</v>
      </c>
      <c r="B9453" s="499">
        <v>45821</v>
      </c>
      <c r="C9453" s="500" t="s">
        <v>173</v>
      </c>
      <c r="D9453" s="500" t="s">
        <v>759</v>
      </c>
      <c r="E9453" s="501">
        <v>-17000666.699999999</v>
      </c>
      <c r="F9453" s="502" t="s">
        <v>878</v>
      </c>
      <c r="G9453" s="100">
        <v>117487179</v>
      </c>
      <c r="H9453" s="530"/>
      <c r="I9453" s="422" t="s">
        <v>1018</v>
      </c>
      <c r="J9453" s="484"/>
      <c r="K9453" s="548"/>
      <c r="L9453" s="548"/>
      <c r="M9453" s="548"/>
      <c r="N9453" s="552">
        <v>179843</v>
      </c>
      <c r="R9453" s="539">
        <v>94.530600023353699</v>
      </c>
      <c r="S9453" s="539">
        <v>94.651031733234007</v>
      </c>
      <c r="T9453" s="538">
        <v>15.500299999999999</v>
      </c>
      <c r="U9453" s="538">
        <v>76.5</v>
      </c>
      <c r="V9453" s="538">
        <v>38.25</v>
      </c>
    </row>
    <row r="9454" spans="1:22">
      <c r="A9454" s="499">
        <v>45821</v>
      </c>
      <c r="B9454" s="499">
        <v>45824</v>
      </c>
      <c r="C9454" s="500" t="s">
        <v>173</v>
      </c>
      <c r="D9454" s="500" t="s">
        <v>759</v>
      </c>
      <c r="E9454" s="501">
        <v>2860956990.6599998</v>
      </c>
      <c r="F9454" s="502" t="s">
        <v>878</v>
      </c>
      <c r="G9454" s="100">
        <v>117484677</v>
      </c>
      <c r="H9454" s="100">
        <v>117484677</v>
      </c>
      <c r="I9454" s="422" t="s">
        <v>2591</v>
      </c>
      <c r="J9454" s="484"/>
      <c r="K9454" s="548"/>
      <c r="L9454" s="548"/>
      <c r="M9454" s="548"/>
      <c r="N9454" s="552">
        <v>28709993</v>
      </c>
      <c r="R9454" s="539">
        <v>99.522199999839785</v>
      </c>
      <c r="S9454" s="539">
        <v>99.650215542024</v>
      </c>
      <c r="T9454" s="538">
        <v>15.65</v>
      </c>
      <c r="U9454" s="538">
        <v>12857.77</v>
      </c>
      <c r="V9454" s="538">
        <v>6428.88</v>
      </c>
    </row>
    <row r="9455" spans="1:22">
      <c r="A9455" s="499">
        <v>45821</v>
      </c>
      <c r="B9455" s="499">
        <v>45824</v>
      </c>
      <c r="C9455" s="500" t="s">
        <v>173</v>
      </c>
      <c r="D9455" s="500" t="s">
        <v>759</v>
      </c>
      <c r="E9455" s="501">
        <v>17022325.5</v>
      </c>
      <c r="F9455" s="502" t="s">
        <v>878</v>
      </c>
      <c r="G9455" s="100">
        <v>117487179</v>
      </c>
      <c r="H9455" s="100">
        <v>117487179</v>
      </c>
      <c r="I9455" s="422" t="s">
        <v>1018</v>
      </c>
      <c r="J9455" s="484"/>
      <c r="K9455" s="548"/>
      <c r="L9455" s="548"/>
      <c r="M9455" s="548"/>
      <c r="N9455" s="552">
        <v>179843</v>
      </c>
      <c r="R9455" s="539">
        <v>94.530600023353699</v>
      </c>
      <c r="S9455" s="539">
        <v>94.651031733234007</v>
      </c>
      <c r="T9455" s="538">
        <v>15.500299999999999</v>
      </c>
      <c r="U9455" s="538">
        <v>76.5</v>
      </c>
      <c r="V9455" s="538">
        <v>38.25</v>
      </c>
    </row>
    <row r="9456" spans="1:22">
      <c r="A9456" s="499">
        <v>45821</v>
      </c>
      <c r="B9456" s="499">
        <v>45821</v>
      </c>
      <c r="C9456" s="500" t="s">
        <v>173</v>
      </c>
      <c r="D9456" s="500" t="s">
        <v>764</v>
      </c>
      <c r="E9456" s="501">
        <v>-39011682.219999999</v>
      </c>
      <c r="F9456" s="502" t="s">
        <v>878</v>
      </c>
      <c r="G9456" s="100">
        <v>117484296</v>
      </c>
      <c r="H9456" s="530"/>
      <c r="I9456" s="422" t="s">
        <v>653</v>
      </c>
      <c r="J9456" s="484"/>
      <c r="K9456" s="548"/>
      <c r="L9456" s="548"/>
      <c r="M9456" s="548"/>
      <c r="N9456" s="552">
        <v>38649</v>
      </c>
      <c r="R9456" s="539">
        <v>1009.3840001034955</v>
      </c>
      <c r="S9456" s="539">
        <v>1010.67822401615</v>
      </c>
      <c r="T9456" s="538">
        <v>15.6</v>
      </c>
      <c r="U9456" s="538">
        <v>175.55</v>
      </c>
      <c r="V9456" s="538">
        <v>87.78</v>
      </c>
    </row>
    <row r="9457" spans="1:22">
      <c r="A9457" s="499">
        <v>45821</v>
      </c>
      <c r="B9457" s="499">
        <v>45821</v>
      </c>
      <c r="C9457" s="500" t="s">
        <v>173</v>
      </c>
      <c r="D9457" s="500" t="s">
        <v>764</v>
      </c>
      <c r="E9457" s="501">
        <v>-30005083.370000001</v>
      </c>
      <c r="F9457" s="502" t="s">
        <v>878</v>
      </c>
      <c r="G9457" s="100">
        <v>117484369</v>
      </c>
      <c r="H9457" s="530"/>
      <c r="I9457" s="422" t="s">
        <v>633</v>
      </c>
      <c r="J9457" s="484"/>
      <c r="K9457" s="548"/>
      <c r="L9457" s="548"/>
      <c r="M9457" s="548"/>
      <c r="N9457" s="552">
        <v>57510</v>
      </c>
      <c r="R9457" s="539">
        <v>521.73680003477659</v>
      </c>
      <c r="S9457" s="539">
        <v>522.40576664927801</v>
      </c>
      <c r="T9457" s="538">
        <v>15.6</v>
      </c>
      <c r="U9457" s="538">
        <v>135.02000000000001</v>
      </c>
      <c r="V9457" s="538">
        <v>67.510000000000005</v>
      </c>
    </row>
    <row r="9458" spans="1:22">
      <c r="A9458" s="499">
        <v>45821</v>
      </c>
      <c r="B9458" s="499">
        <v>45824</v>
      </c>
      <c r="C9458" s="500" t="s">
        <v>173</v>
      </c>
      <c r="D9458" s="500" t="s">
        <v>764</v>
      </c>
      <c r="E9458" s="501">
        <v>39061702.68</v>
      </c>
      <c r="F9458" s="502" t="s">
        <v>878</v>
      </c>
      <c r="G9458" s="100">
        <v>117484296</v>
      </c>
      <c r="H9458" s="100">
        <v>117484296</v>
      </c>
      <c r="I9458" s="422" t="s">
        <v>653</v>
      </c>
      <c r="J9458" s="484"/>
      <c r="K9458" s="548"/>
      <c r="L9458" s="548"/>
      <c r="M9458" s="548"/>
      <c r="N9458" s="552">
        <v>38649</v>
      </c>
      <c r="R9458" s="539">
        <v>1009.3840001034955</v>
      </c>
      <c r="S9458" s="539">
        <v>1010.67822401615</v>
      </c>
      <c r="T9458" s="538">
        <v>15.6</v>
      </c>
      <c r="U9458" s="538">
        <v>175.55</v>
      </c>
      <c r="V9458" s="538">
        <v>87.78</v>
      </c>
    </row>
    <row r="9459" spans="1:22">
      <c r="A9459" s="499">
        <v>45821</v>
      </c>
      <c r="B9459" s="499">
        <v>45824</v>
      </c>
      <c r="C9459" s="500" t="s">
        <v>173</v>
      </c>
      <c r="D9459" s="500" t="s">
        <v>764</v>
      </c>
      <c r="E9459" s="501">
        <v>30043555.640000001</v>
      </c>
      <c r="F9459" s="502" t="s">
        <v>878</v>
      </c>
      <c r="G9459" s="100">
        <v>117484369</v>
      </c>
      <c r="H9459" s="100">
        <v>117484369</v>
      </c>
      <c r="I9459" s="422" t="s">
        <v>633</v>
      </c>
      <c r="J9459" s="484"/>
      <c r="K9459" s="548"/>
      <c r="L9459" s="548"/>
      <c r="M9459" s="548"/>
      <c r="N9459" s="552">
        <v>57510</v>
      </c>
      <c r="R9459" s="539">
        <v>521.73680003477659</v>
      </c>
      <c r="S9459" s="539">
        <v>522.40576664927801</v>
      </c>
      <c r="T9459" s="538">
        <v>15.6</v>
      </c>
      <c r="U9459" s="538">
        <v>135.02000000000001</v>
      </c>
      <c r="V9459" s="538">
        <v>67.510000000000005</v>
      </c>
    </row>
    <row r="9460" spans="1:22">
      <c r="A9460" s="499">
        <v>45821</v>
      </c>
      <c r="B9460" s="499">
        <v>45821</v>
      </c>
      <c r="C9460" s="500" t="s">
        <v>173</v>
      </c>
      <c r="D9460" s="500" t="s">
        <v>763</v>
      </c>
      <c r="E9460" s="501">
        <v>-3966155536.21</v>
      </c>
      <c r="F9460" s="502" t="s">
        <v>878</v>
      </c>
      <c r="G9460" s="100">
        <v>117483882</v>
      </c>
      <c r="H9460" s="530"/>
      <c r="I9460" s="422" t="s">
        <v>1018</v>
      </c>
      <c r="J9460" s="484"/>
      <c r="K9460" s="548"/>
      <c r="L9460" s="548"/>
      <c r="M9460" s="548"/>
      <c r="N9460" s="552">
        <v>41956314</v>
      </c>
      <c r="R9460" s="539">
        <v>94.530600000000007</v>
      </c>
      <c r="S9460" s="539">
        <v>94.652273313618494</v>
      </c>
      <c r="T9460" s="538">
        <v>15.6601</v>
      </c>
      <c r="U9460" s="538">
        <v>17847.7</v>
      </c>
      <c r="V9460" s="538">
        <v>8923.85</v>
      </c>
    </row>
    <row r="9461" spans="1:22">
      <c r="A9461" s="499">
        <v>45821</v>
      </c>
      <c r="B9461" s="499">
        <v>45821</v>
      </c>
      <c r="C9461" s="500" t="s">
        <v>173</v>
      </c>
      <c r="D9461" s="500" t="s">
        <v>763</v>
      </c>
      <c r="E9461" s="501">
        <v>-1905451228.8</v>
      </c>
      <c r="F9461" s="502" t="s">
        <v>878</v>
      </c>
      <c r="G9461" s="100">
        <v>117483885</v>
      </c>
      <c r="H9461" s="530"/>
      <c r="I9461" s="422" t="s">
        <v>590</v>
      </c>
      <c r="J9461" s="484"/>
      <c r="K9461" s="548"/>
      <c r="L9461" s="548"/>
      <c r="M9461" s="548"/>
      <c r="N9461" s="552">
        <v>2189600</v>
      </c>
      <c r="R9461" s="539">
        <v>870.22799999999995</v>
      </c>
      <c r="S9461" s="539">
        <v>871.34809072433302</v>
      </c>
      <c r="T9461" s="538">
        <v>15.66</v>
      </c>
      <c r="U9461" s="538">
        <v>8574.5300000000007</v>
      </c>
      <c r="V9461" s="538">
        <v>4287.2700000000004</v>
      </c>
    </row>
    <row r="9462" spans="1:22">
      <c r="A9462" s="499">
        <v>45821</v>
      </c>
      <c r="B9462" s="499">
        <v>45821</v>
      </c>
      <c r="C9462" s="500" t="s">
        <v>173</v>
      </c>
      <c r="D9462" s="500" t="s">
        <v>763</v>
      </c>
      <c r="E9462" s="501">
        <v>-33026604.07</v>
      </c>
      <c r="F9462" s="502" t="s">
        <v>878</v>
      </c>
      <c r="G9462" s="100">
        <v>117484017</v>
      </c>
      <c r="H9462" s="530"/>
      <c r="I9462" s="422" t="s">
        <v>1051</v>
      </c>
      <c r="J9462" s="484"/>
      <c r="K9462" s="548"/>
      <c r="L9462" s="548"/>
      <c r="M9462" s="548"/>
      <c r="N9462" s="552">
        <v>31416</v>
      </c>
      <c r="R9462" s="539">
        <v>1051.2670000000001</v>
      </c>
      <c r="S9462" s="539">
        <v>1052.6149344283201</v>
      </c>
      <c r="T9462" s="538">
        <v>15.600099999999999</v>
      </c>
      <c r="U9462" s="538">
        <v>148.62</v>
      </c>
      <c r="V9462" s="538">
        <v>74.31</v>
      </c>
    </row>
    <row r="9463" spans="1:22">
      <c r="A9463" s="499">
        <v>45821</v>
      </c>
      <c r="B9463" s="499">
        <v>45821</v>
      </c>
      <c r="C9463" s="500" t="s">
        <v>173</v>
      </c>
      <c r="D9463" s="500" t="s">
        <v>763</v>
      </c>
      <c r="E9463" s="501">
        <v>-1000806.18</v>
      </c>
      <c r="F9463" s="502" t="s">
        <v>878</v>
      </c>
      <c r="G9463" s="100">
        <v>117484042</v>
      </c>
      <c r="H9463" s="530"/>
      <c r="I9463" s="422" t="s">
        <v>1051</v>
      </c>
      <c r="J9463" s="484"/>
      <c r="K9463" s="548"/>
      <c r="L9463" s="548"/>
      <c r="M9463" s="548"/>
      <c r="N9463" s="552">
        <v>952</v>
      </c>
      <c r="R9463" s="539">
        <v>1051.2670000000001</v>
      </c>
      <c r="S9463" s="539">
        <v>1052.61492647059</v>
      </c>
      <c r="T9463" s="538">
        <v>15.600099999999999</v>
      </c>
      <c r="U9463" s="538">
        <v>39.32</v>
      </c>
      <c r="V9463" s="538">
        <v>39.32</v>
      </c>
    </row>
    <row r="9464" spans="1:22">
      <c r="A9464" s="499">
        <v>45821</v>
      </c>
      <c r="B9464" s="499">
        <v>45824</v>
      </c>
      <c r="C9464" s="500" t="s">
        <v>173</v>
      </c>
      <c r="D9464" s="500" t="s">
        <v>763</v>
      </c>
      <c r="E9464" s="501">
        <v>3971260499.96</v>
      </c>
      <c r="F9464" s="502" t="s">
        <v>878</v>
      </c>
      <c r="G9464" s="100">
        <v>117483882</v>
      </c>
      <c r="H9464" s="100">
        <v>117483882</v>
      </c>
      <c r="I9464" s="422" t="s">
        <v>1018</v>
      </c>
      <c r="J9464" s="484"/>
      <c r="K9464" s="548"/>
      <c r="L9464" s="548"/>
      <c r="M9464" s="548"/>
      <c r="N9464" s="552">
        <v>41956314</v>
      </c>
      <c r="R9464" s="539">
        <v>94.530600000000007</v>
      </c>
      <c r="S9464" s="539">
        <v>94.652273313618494</v>
      </c>
      <c r="T9464" s="538">
        <v>15.6601</v>
      </c>
      <c r="U9464" s="538">
        <v>17847.7</v>
      </c>
      <c r="V9464" s="538">
        <v>8923.85</v>
      </c>
    </row>
    <row r="9465" spans="1:22">
      <c r="A9465" s="499">
        <v>45821</v>
      </c>
      <c r="B9465" s="499">
        <v>45824</v>
      </c>
      <c r="C9465" s="500" t="s">
        <v>173</v>
      </c>
      <c r="D9465" s="500" t="s">
        <v>763</v>
      </c>
      <c r="E9465" s="501">
        <v>1907903779.45</v>
      </c>
      <c r="F9465" s="502" t="s">
        <v>878</v>
      </c>
      <c r="G9465" s="100">
        <v>117483885</v>
      </c>
      <c r="H9465" s="100">
        <v>117483885</v>
      </c>
      <c r="I9465" s="422" t="s">
        <v>590</v>
      </c>
      <c r="J9465" s="484"/>
      <c r="K9465" s="548"/>
      <c r="L9465" s="548"/>
      <c r="M9465" s="548"/>
      <c r="N9465" s="552">
        <v>2189600</v>
      </c>
      <c r="R9465" s="539">
        <v>870.22799999999995</v>
      </c>
      <c r="S9465" s="539">
        <v>871.34809072433302</v>
      </c>
      <c r="T9465" s="538">
        <v>15.66</v>
      </c>
      <c r="U9465" s="538">
        <v>8574.5300000000007</v>
      </c>
      <c r="V9465" s="538">
        <v>4287.2700000000004</v>
      </c>
    </row>
    <row r="9466" spans="1:22">
      <c r="A9466" s="499">
        <v>45821</v>
      </c>
      <c r="B9466" s="499">
        <v>45824</v>
      </c>
      <c r="C9466" s="500" t="s">
        <v>173</v>
      </c>
      <c r="D9466" s="500" t="s">
        <v>763</v>
      </c>
      <c r="E9466" s="501">
        <v>33068950.780000001</v>
      </c>
      <c r="F9466" s="502" t="s">
        <v>878</v>
      </c>
      <c r="G9466" s="100">
        <v>117484017</v>
      </c>
      <c r="H9466" s="100">
        <v>117484017</v>
      </c>
      <c r="I9466" s="422" t="s">
        <v>1051</v>
      </c>
      <c r="J9466" s="484"/>
      <c r="K9466" s="548"/>
      <c r="L9466" s="548"/>
      <c r="M9466" s="548"/>
      <c r="N9466" s="552">
        <v>31416</v>
      </c>
      <c r="R9466" s="539">
        <v>1051.2670000000001</v>
      </c>
      <c r="S9466" s="539">
        <v>1052.6149344283201</v>
      </c>
      <c r="T9466" s="538">
        <v>15.600099999999999</v>
      </c>
      <c r="U9466" s="538">
        <v>148.62</v>
      </c>
      <c r="V9466" s="538">
        <v>74.31</v>
      </c>
    </row>
    <row r="9467" spans="1:22">
      <c r="A9467" s="499">
        <v>45821</v>
      </c>
      <c r="B9467" s="499">
        <v>45824</v>
      </c>
      <c r="C9467" s="500" t="s">
        <v>173</v>
      </c>
      <c r="D9467" s="500" t="s">
        <v>763</v>
      </c>
      <c r="E9467" s="501">
        <v>1002089.41</v>
      </c>
      <c r="F9467" s="502" t="s">
        <v>878</v>
      </c>
      <c r="G9467" s="100">
        <v>117484042</v>
      </c>
      <c r="H9467" s="100">
        <v>117484042</v>
      </c>
      <c r="I9467" s="422" t="s">
        <v>1051</v>
      </c>
      <c r="J9467" s="484"/>
      <c r="K9467" s="548"/>
      <c r="L9467" s="548"/>
      <c r="M9467" s="548"/>
      <c r="N9467" s="552">
        <v>952</v>
      </c>
      <c r="R9467" s="539">
        <v>1051.2670000000001</v>
      </c>
      <c r="S9467" s="539">
        <v>1052.61492647059</v>
      </c>
      <c r="T9467" s="538">
        <v>15.600099999999999</v>
      </c>
      <c r="U9467" s="538">
        <v>39.32</v>
      </c>
      <c r="V9467" s="538">
        <v>39.32</v>
      </c>
    </row>
    <row r="9468" spans="1:22">
      <c r="A9468" s="499">
        <v>45821</v>
      </c>
      <c r="B9468" s="499">
        <v>45821</v>
      </c>
      <c r="C9468" s="500" t="s">
        <v>173</v>
      </c>
      <c r="D9468" s="500" t="s">
        <v>760</v>
      </c>
      <c r="E9468" s="501">
        <v>-1551249585.2</v>
      </c>
      <c r="F9468" s="502" t="s">
        <v>878</v>
      </c>
      <c r="G9468" s="100">
        <v>117484061</v>
      </c>
      <c r="H9468" s="530"/>
      <c r="I9468" s="422" t="s">
        <v>1051</v>
      </c>
      <c r="J9468" s="484"/>
      <c r="K9468" s="548"/>
      <c r="L9468" s="548"/>
      <c r="M9468" s="548"/>
      <c r="N9468" s="552">
        <v>1475600</v>
      </c>
      <c r="R9468" s="539">
        <v>1051.2670000000001</v>
      </c>
      <c r="S9468" s="539">
        <v>1052.6149345486599</v>
      </c>
      <c r="T9468" s="538">
        <v>15.600099999999999</v>
      </c>
      <c r="U9468" s="538">
        <v>6980.62</v>
      </c>
      <c r="V9468" s="538">
        <v>3490.31</v>
      </c>
    </row>
    <row r="9469" spans="1:22">
      <c r="A9469" s="499">
        <v>45821</v>
      </c>
      <c r="B9469" s="499">
        <v>45821</v>
      </c>
      <c r="C9469" s="500" t="s">
        <v>173</v>
      </c>
      <c r="D9469" s="500" t="s">
        <v>760</v>
      </c>
      <c r="E9469" s="501">
        <v>-406327310.69999999</v>
      </c>
      <c r="F9469" s="502" t="s">
        <v>878</v>
      </c>
      <c r="G9469" s="100">
        <v>117484125</v>
      </c>
      <c r="H9469" s="530"/>
      <c r="I9469" s="422" t="s">
        <v>1051</v>
      </c>
      <c r="J9469" s="484"/>
      <c r="K9469" s="548"/>
      <c r="L9469" s="548"/>
      <c r="M9469" s="548"/>
      <c r="N9469" s="552">
        <v>386512</v>
      </c>
      <c r="R9469" s="539">
        <v>1051.2670000000001</v>
      </c>
      <c r="S9469" s="539">
        <v>1052.61493454278</v>
      </c>
      <c r="T9469" s="538">
        <v>15.600099999999999</v>
      </c>
      <c r="U9469" s="538">
        <v>1828.47</v>
      </c>
      <c r="V9469" s="538">
        <v>914.24</v>
      </c>
    </row>
    <row r="9470" spans="1:22">
      <c r="A9470" s="499">
        <v>45821</v>
      </c>
      <c r="B9470" s="499">
        <v>45824</v>
      </c>
      <c r="C9470" s="500" t="s">
        <v>173</v>
      </c>
      <c r="D9470" s="500" t="s">
        <v>760</v>
      </c>
      <c r="E9470" s="501">
        <v>1553238597.4200001</v>
      </c>
      <c r="F9470" s="502" t="s">
        <v>878</v>
      </c>
      <c r="G9470" s="100">
        <v>117484061</v>
      </c>
      <c r="H9470" s="100">
        <v>117484061</v>
      </c>
      <c r="I9470" s="422" t="s">
        <v>1051</v>
      </c>
      <c r="J9470" s="484"/>
      <c r="K9470" s="548"/>
      <c r="L9470" s="548"/>
      <c r="M9470" s="548"/>
      <c r="N9470" s="552">
        <v>1475600</v>
      </c>
      <c r="R9470" s="539">
        <v>1051.2670000000001</v>
      </c>
      <c r="S9470" s="539">
        <v>1052.6149345486599</v>
      </c>
      <c r="T9470" s="538">
        <v>15.600099999999999</v>
      </c>
      <c r="U9470" s="538">
        <v>6980.62</v>
      </c>
      <c r="V9470" s="538">
        <v>3490.31</v>
      </c>
    </row>
    <row r="9471" spans="1:22">
      <c r="A9471" s="499">
        <v>45821</v>
      </c>
      <c r="B9471" s="499">
        <v>45824</v>
      </c>
      <c r="C9471" s="500" t="s">
        <v>173</v>
      </c>
      <c r="D9471" s="500" t="s">
        <v>760</v>
      </c>
      <c r="E9471" s="501">
        <v>406848303.57999998</v>
      </c>
      <c r="F9471" s="502" t="s">
        <v>878</v>
      </c>
      <c r="G9471" s="100">
        <v>117484125</v>
      </c>
      <c r="H9471" s="100">
        <v>117484125</v>
      </c>
      <c r="I9471" s="422" t="s">
        <v>1051</v>
      </c>
      <c r="J9471" s="484"/>
      <c r="K9471" s="548"/>
      <c r="L9471" s="548"/>
      <c r="M9471" s="548"/>
      <c r="N9471" s="552">
        <v>386512</v>
      </c>
      <c r="R9471" s="539">
        <v>1051.2670000000001</v>
      </c>
      <c r="S9471" s="539">
        <v>1052.61493454278</v>
      </c>
      <c r="T9471" s="538">
        <v>15.600099999999999</v>
      </c>
      <c r="U9471" s="538">
        <v>1828.47</v>
      </c>
      <c r="V9471" s="538">
        <v>914.24</v>
      </c>
    </row>
    <row r="9472" spans="1:22">
      <c r="A9472" s="499">
        <v>45824</v>
      </c>
      <c r="B9472" s="499">
        <v>45824</v>
      </c>
      <c r="C9472" s="500" t="s">
        <v>173</v>
      </c>
      <c r="D9472" s="500" t="s">
        <v>761</v>
      </c>
      <c r="E9472" s="501">
        <v>-497073439.44999999</v>
      </c>
      <c r="F9472" s="502" t="s">
        <v>878</v>
      </c>
      <c r="G9472" s="100">
        <v>117504319</v>
      </c>
      <c r="H9472" s="530"/>
      <c r="I9472" s="422" t="s">
        <v>1013</v>
      </c>
      <c r="J9472" s="484"/>
      <c r="K9472" s="548"/>
      <c r="L9472" s="548"/>
      <c r="M9472" s="548"/>
      <c r="N9472" s="552">
        <v>988533</v>
      </c>
      <c r="R9472" s="539">
        <v>502.83949999645938</v>
      </c>
      <c r="S9472" s="539">
        <v>503.05578986235201</v>
      </c>
      <c r="T9472" s="538">
        <v>15.7</v>
      </c>
      <c r="U9472" s="538">
        <v>745.61</v>
      </c>
      <c r="V9472" s="538">
        <v>372.81</v>
      </c>
    </row>
    <row r="9473" spans="1:22">
      <c r="A9473" s="499">
        <v>45824</v>
      </c>
      <c r="B9473" s="499">
        <v>45824</v>
      </c>
      <c r="C9473" s="500" t="s">
        <v>173</v>
      </c>
      <c r="D9473" s="500" t="s">
        <v>761</v>
      </c>
      <c r="E9473" s="501">
        <v>-544124245.85000002</v>
      </c>
      <c r="F9473" s="502" t="s">
        <v>878</v>
      </c>
      <c r="G9473" s="100">
        <v>117506832</v>
      </c>
      <c r="H9473" s="530"/>
      <c r="I9473" s="422" t="s">
        <v>550</v>
      </c>
      <c r="J9473" s="484"/>
      <c r="K9473" s="548"/>
      <c r="L9473" s="548"/>
      <c r="M9473" s="548"/>
      <c r="N9473" s="552">
        <v>1045024</v>
      </c>
      <c r="R9473" s="539">
        <v>520.68110000344495</v>
      </c>
      <c r="S9473" s="539">
        <v>522.25384222754701</v>
      </c>
      <c r="T9473" s="538">
        <v>15.75</v>
      </c>
      <c r="U9473" s="538">
        <v>5713.3</v>
      </c>
      <c r="V9473" s="538">
        <v>2856.65</v>
      </c>
    </row>
    <row r="9474" spans="1:22">
      <c r="A9474" s="499">
        <v>45824</v>
      </c>
      <c r="B9474" s="499">
        <v>45824</v>
      </c>
      <c r="C9474" s="500" t="s">
        <v>173</v>
      </c>
      <c r="D9474" s="500" t="s">
        <v>761</v>
      </c>
      <c r="E9474" s="501">
        <v>-7000844.2699999996</v>
      </c>
      <c r="F9474" s="502" t="s">
        <v>878</v>
      </c>
      <c r="G9474" s="100">
        <v>117506959</v>
      </c>
      <c r="H9474" s="530"/>
      <c r="I9474" s="422" t="s">
        <v>656</v>
      </c>
      <c r="J9474" s="484"/>
      <c r="K9474" s="548"/>
      <c r="L9474" s="548"/>
      <c r="M9474" s="548"/>
      <c r="N9474" s="552">
        <v>6979</v>
      </c>
      <c r="R9474" s="539">
        <v>1003.1299999999999</v>
      </c>
      <c r="S9474" s="539">
        <v>1003.55736065339</v>
      </c>
      <c r="T9474" s="538">
        <v>15.55</v>
      </c>
      <c r="U9474" s="538">
        <v>39.32</v>
      </c>
      <c r="V9474" s="538">
        <v>5.25</v>
      </c>
    </row>
    <row r="9475" spans="1:22">
      <c r="A9475" s="499">
        <v>45824</v>
      </c>
      <c r="B9475" s="499">
        <v>45825</v>
      </c>
      <c r="C9475" s="500" t="s">
        <v>173</v>
      </c>
      <c r="D9475" s="500" t="s">
        <v>761</v>
      </c>
      <c r="E9475" s="501">
        <v>497287249.12</v>
      </c>
      <c r="F9475" s="502" t="s">
        <v>878</v>
      </c>
      <c r="G9475" s="100">
        <v>117504319</v>
      </c>
      <c r="H9475" s="100">
        <v>117504319</v>
      </c>
      <c r="I9475" s="422" t="s">
        <v>1013</v>
      </c>
      <c r="J9475" s="484"/>
      <c r="K9475" s="548"/>
      <c r="L9475" s="548"/>
      <c r="M9475" s="548"/>
      <c r="N9475" s="552">
        <v>988533</v>
      </c>
      <c r="R9475" s="539">
        <v>502.83949999645938</v>
      </c>
      <c r="S9475" s="539">
        <v>503.05578986235201</v>
      </c>
      <c r="T9475" s="538">
        <v>15.7</v>
      </c>
      <c r="U9475" s="538">
        <v>745.61</v>
      </c>
      <c r="V9475" s="538">
        <v>372.81</v>
      </c>
    </row>
    <row r="9476" spans="1:22">
      <c r="A9476" s="499">
        <v>45824</v>
      </c>
      <c r="B9476" s="499">
        <v>45831</v>
      </c>
      <c r="C9476" s="500" t="s">
        <v>173</v>
      </c>
      <c r="D9476" s="500" t="s">
        <v>761</v>
      </c>
      <c r="E9476" s="501">
        <v>545767799.22000003</v>
      </c>
      <c r="F9476" s="502" t="s">
        <v>878</v>
      </c>
      <c r="G9476" s="100">
        <v>117506832</v>
      </c>
      <c r="H9476" s="100">
        <v>117506832</v>
      </c>
      <c r="I9476" s="422" t="s">
        <v>550</v>
      </c>
      <c r="J9476" s="484"/>
      <c r="K9476" s="548"/>
      <c r="L9476" s="548"/>
      <c r="M9476" s="548"/>
      <c r="N9476" s="552">
        <v>1045024</v>
      </c>
      <c r="R9476" s="539">
        <v>520.68110000344495</v>
      </c>
      <c r="S9476" s="539">
        <v>522.25384222754701</v>
      </c>
      <c r="T9476" s="538">
        <v>15.75</v>
      </c>
      <c r="U9476" s="538">
        <v>5713.3</v>
      </c>
      <c r="V9476" s="538">
        <v>2856.65</v>
      </c>
    </row>
    <row r="9477" spans="1:22">
      <c r="A9477" s="499">
        <v>45824</v>
      </c>
      <c r="B9477" s="499">
        <v>45825</v>
      </c>
      <c r="C9477" s="500" t="s">
        <v>173</v>
      </c>
      <c r="D9477" s="500" t="s">
        <v>761</v>
      </c>
      <c r="E9477" s="501">
        <v>7003826.8200000003</v>
      </c>
      <c r="F9477" s="502" t="s">
        <v>878</v>
      </c>
      <c r="G9477" s="100">
        <v>117506959</v>
      </c>
      <c r="H9477" s="100">
        <v>117506959</v>
      </c>
      <c r="I9477" s="422" t="s">
        <v>656</v>
      </c>
      <c r="J9477" s="484"/>
      <c r="K9477" s="548"/>
      <c r="L9477" s="548"/>
      <c r="M9477" s="548"/>
      <c r="N9477" s="552">
        <v>6979</v>
      </c>
      <c r="R9477" s="539">
        <v>1003.1299999999999</v>
      </c>
      <c r="S9477" s="539">
        <v>1003.55736065339</v>
      </c>
      <c r="T9477" s="538">
        <v>15.55</v>
      </c>
      <c r="U9477" s="538">
        <v>39.32</v>
      </c>
      <c r="V9477" s="538">
        <v>5.25</v>
      </c>
    </row>
    <row r="9478" spans="1:22">
      <c r="A9478" s="499">
        <v>45824</v>
      </c>
      <c r="B9478" s="499">
        <v>45824</v>
      </c>
      <c r="C9478" s="500" t="s">
        <v>173</v>
      </c>
      <c r="D9478" s="500" t="s">
        <v>759</v>
      </c>
      <c r="E9478" s="501">
        <v>-2861422757.0999999</v>
      </c>
      <c r="F9478" s="502" t="s">
        <v>878</v>
      </c>
      <c r="G9478" s="100">
        <v>117506158</v>
      </c>
      <c r="H9478" s="530"/>
      <c r="I9478" s="422" t="s">
        <v>1013</v>
      </c>
      <c r="J9478" s="484"/>
      <c r="K9478" s="548"/>
      <c r="L9478" s="548"/>
      <c r="M9478" s="548"/>
      <c r="N9478" s="552">
        <v>5690529</v>
      </c>
      <c r="R9478" s="539">
        <v>502.83950000079079</v>
      </c>
      <c r="S9478" s="539">
        <v>503.05372340427402</v>
      </c>
      <c r="T9478" s="538">
        <v>15.55</v>
      </c>
      <c r="U9478" s="538">
        <v>4292.13</v>
      </c>
      <c r="V9478" s="538">
        <v>2146.0700000000002</v>
      </c>
    </row>
    <row r="9479" spans="1:22">
      <c r="A9479" s="499">
        <v>45824</v>
      </c>
      <c r="B9479" s="499">
        <v>45824</v>
      </c>
      <c r="C9479" s="500" t="s">
        <v>173</v>
      </c>
      <c r="D9479" s="500" t="s">
        <v>759</v>
      </c>
      <c r="E9479" s="501">
        <v>-17002512.010000002</v>
      </c>
      <c r="F9479" s="502" t="s">
        <v>878</v>
      </c>
      <c r="G9479" s="100">
        <v>117506271</v>
      </c>
      <c r="H9479" s="530"/>
      <c r="I9479" s="422" t="s">
        <v>1013</v>
      </c>
      <c r="J9479" s="484"/>
      <c r="K9479" s="548"/>
      <c r="L9479" s="548"/>
      <c r="M9479" s="548"/>
      <c r="N9479" s="552">
        <v>33813</v>
      </c>
      <c r="R9479" s="539">
        <v>502.83949989648954</v>
      </c>
      <c r="S9479" s="539">
        <v>503.053723419986</v>
      </c>
      <c r="T9479" s="538">
        <v>15.55</v>
      </c>
      <c r="U9479" s="538">
        <v>39.32</v>
      </c>
      <c r="V9479" s="538">
        <v>12.75</v>
      </c>
    </row>
    <row r="9480" spans="1:22">
      <c r="A9480" s="499">
        <v>45824</v>
      </c>
      <c r="B9480" s="499">
        <v>45825</v>
      </c>
      <c r="C9480" s="500" t="s">
        <v>173</v>
      </c>
      <c r="D9480" s="500" t="s">
        <v>759</v>
      </c>
      <c r="E9480" s="501">
        <v>2862641801.5900002</v>
      </c>
      <c r="F9480" s="502" t="s">
        <v>878</v>
      </c>
      <c r="G9480" s="100">
        <v>117506158</v>
      </c>
      <c r="H9480" s="100">
        <v>117506158</v>
      </c>
      <c r="I9480" s="422" t="s">
        <v>1013</v>
      </c>
      <c r="J9480" s="484"/>
      <c r="K9480" s="548"/>
      <c r="L9480" s="548"/>
      <c r="M9480" s="548"/>
      <c r="N9480" s="552">
        <v>5690529</v>
      </c>
      <c r="R9480" s="539">
        <v>502.83950000079079</v>
      </c>
      <c r="S9480" s="539">
        <v>503.05372340427402</v>
      </c>
      <c r="T9480" s="538">
        <v>15.55</v>
      </c>
      <c r="U9480" s="538">
        <v>4292.13</v>
      </c>
      <c r="V9480" s="538">
        <v>2146.0700000000002</v>
      </c>
    </row>
    <row r="9481" spans="1:22">
      <c r="A9481" s="499">
        <v>45824</v>
      </c>
      <c r="B9481" s="499">
        <v>45825</v>
      </c>
      <c r="C9481" s="500" t="s">
        <v>173</v>
      </c>
      <c r="D9481" s="500" t="s">
        <v>759</v>
      </c>
      <c r="E9481" s="501">
        <v>17009755.550000001</v>
      </c>
      <c r="F9481" s="502" t="s">
        <v>878</v>
      </c>
      <c r="G9481" s="100">
        <v>117506271</v>
      </c>
      <c r="H9481" s="100">
        <v>117506271</v>
      </c>
      <c r="I9481" s="422" t="s">
        <v>1013</v>
      </c>
      <c r="J9481" s="484"/>
      <c r="K9481" s="548"/>
      <c r="L9481" s="548"/>
      <c r="M9481" s="548"/>
      <c r="N9481" s="552">
        <v>33813</v>
      </c>
      <c r="R9481" s="539">
        <v>502.83949989648954</v>
      </c>
      <c r="S9481" s="539">
        <v>503.053723419986</v>
      </c>
      <c r="T9481" s="538">
        <v>15.55</v>
      </c>
      <c r="U9481" s="538">
        <v>39.32</v>
      </c>
      <c r="V9481" s="538">
        <v>12.75</v>
      </c>
    </row>
    <row r="9482" spans="1:22">
      <c r="A9482" s="499">
        <v>45824</v>
      </c>
      <c r="B9482" s="499">
        <v>45824</v>
      </c>
      <c r="C9482" s="500" t="s">
        <v>173</v>
      </c>
      <c r="D9482" s="500" t="s">
        <v>760</v>
      </c>
      <c r="E9482" s="501">
        <v>-1550853182</v>
      </c>
      <c r="F9482" s="502" t="s">
        <v>878</v>
      </c>
      <c r="G9482" s="100">
        <v>117506808</v>
      </c>
      <c r="H9482" s="530"/>
      <c r="I9482" s="422" t="s">
        <v>604</v>
      </c>
      <c r="J9482" s="484"/>
      <c r="K9482" s="548"/>
      <c r="L9482" s="548"/>
      <c r="M9482" s="548"/>
      <c r="N9482" s="552">
        <v>1565500</v>
      </c>
      <c r="R9482" s="539">
        <v>990.64400000000001</v>
      </c>
      <c r="S9482" s="539">
        <v>991.06739581603301</v>
      </c>
      <c r="T9482" s="538">
        <v>15.5999</v>
      </c>
      <c r="U9482" s="538">
        <v>2326.2800000000002</v>
      </c>
      <c r="V9482" s="538">
        <v>1163.1400000000001</v>
      </c>
    </row>
    <row r="9483" spans="1:22">
      <c r="A9483" s="499">
        <v>45824</v>
      </c>
      <c r="B9483" s="499">
        <v>45824</v>
      </c>
      <c r="C9483" s="500" t="s">
        <v>173</v>
      </c>
      <c r="D9483" s="500" t="s">
        <v>760</v>
      </c>
      <c r="E9483" s="501">
        <v>-412060879.38999999</v>
      </c>
      <c r="F9483" s="502" t="s">
        <v>878</v>
      </c>
      <c r="G9483" s="100">
        <v>117507017</v>
      </c>
      <c r="H9483" s="530"/>
      <c r="I9483" s="422" t="s">
        <v>1013</v>
      </c>
      <c r="J9483" s="484"/>
      <c r="K9483" s="548"/>
      <c r="L9483" s="548"/>
      <c r="M9483" s="548"/>
      <c r="N9483" s="552">
        <v>819468</v>
      </c>
      <c r="R9483" s="539">
        <v>502.83949999999999</v>
      </c>
      <c r="S9483" s="539">
        <v>503.05441084947802</v>
      </c>
      <c r="T9483" s="538">
        <v>15.5999</v>
      </c>
      <c r="U9483" s="538">
        <v>618.09</v>
      </c>
      <c r="V9483" s="538">
        <v>309.05</v>
      </c>
    </row>
    <row r="9484" spans="1:22">
      <c r="A9484" s="499">
        <v>45824</v>
      </c>
      <c r="B9484" s="499">
        <v>45825</v>
      </c>
      <c r="C9484" s="500" t="s">
        <v>173</v>
      </c>
      <c r="D9484" s="500" t="s">
        <v>760</v>
      </c>
      <c r="E9484" s="501">
        <v>1551516008.1500001</v>
      </c>
      <c r="F9484" s="502" t="s">
        <v>878</v>
      </c>
      <c r="G9484" s="100">
        <v>117506808</v>
      </c>
      <c r="H9484" s="100">
        <v>117506808</v>
      </c>
      <c r="I9484" s="422" t="s">
        <v>604</v>
      </c>
      <c r="J9484" s="484"/>
      <c r="K9484" s="548"/>
      <c r="L9484" s="548"/>
      <c r="M9484" s="548"/>
      <c r="N9484" s="552">
        <v>1565500</v>
      </c>
      <c r="R9484" s="539">
        <v>990.64400000000001</v>
      </c>
      <c r="S9484" s="539">
        <v>991.06739581603301</v>
      </c>
      <c r="T9484" s="538">
        <v>15.5999</v>
      </c>
      <c r="U9484" s="538">
        <v>2326.2800000000002</v>
      </c>
      <c r="V9484" s="538">
        <v>1163.1400000000001</v>
      </c>
    </row>
    <row r="9485" spans="1:22">
      <c r="A9485" s="499">
        <v>45824</v>
      </c>
      <c r="B9485" s="499">
        <v>45825</v>
      </c>
      <c r="C9485" s="500" t="s">
        <v>173</v>
      </c>
      <c r="D9485" s="500" t="s">
        <v>760</v>
      </c>
      <c r="E9485" s="501">
        <v>412236991.94999999</v>
      </c>
      <c r="F9485" s="502" t="s">
        <v>878</v>
      </c>
      <c r="G9485" s="100">
        <v>117507017</v>
      </c>
      <c r="H9485" s="100">
        <v>117507017</v>
      </c>
      <c r="I9485" s="422" t="s">
        <v>1013</v>
      </c>
      <c r="J9485" s="484"/>
      <c r="K9485" s="548"/>
      <c r="L9485" s="548"/>
      <c r="M9485" s="548"/>
      <c r="N9485" s="552">
        <v>819468</v>
      </c>
      <c r="R9485" s="539">
        <v>502.83949999999999</v>
      </c>
      <c r="S9485" s="539">
        <v>503.05441084947802</v>
      </c>
      <c r="T9485" s="538">
        <v>15.5999</v>
      </c>
      <c r="U9485" s="538">
        <v>618.09</v>
      </c>
      <c r="V9485" s="538">
        <v>309.05</v>
      </c>
    </row>
    <row r="9486" spans="1:22">
      <c r="A9486" s="499">
        <v>45824</v>
      </c>
      <c r="B9486" s="499">
        <v>45824</v>
      </c>
      <c r="C9486" s="500" t="s">
        <v>173</v>
      </c>
      <c r="D9486" s="500" t="s">
        <v>764</v>
      </c>
      <c r="E9486" s="501">
        <v>-23003398.609999999</v>
      </c>
      <c r="F9486" s="502" t="s">
        <v>878</v>
      </c>
      <c r="G9486" s="100">
        <v>117505844</v>
      </c>
      <c r="H9486" s="530"/>
      <c r="I9486" s="422" t="s">
        <v>1013</v>
      </c>
      <c r="J9486" s="484"/>
      <c r="K9486" s="548"/>
      <c r="L9486" s="548"/>
      <c r="M9486" s="548"/>
      <c r="N9486" s="552">
        <v>45747</v>
      </c>
      <c r="R9486" s="539">
        <v>502.83950007650776</v>
      </c>
      <c r="S9486" s="539">
        <v>504.35353881128799</v>
      </c>
      <c r="T9486" s="538">
        <v>15.700100000000001</v>
      </c>
      <c r="U9486" s="538">
        <v>241.54</v>
      </c>
      <c r="V9486" s="538">
        <v>120.77</v>
      </c>
    </row>
    <row r="9487" spans="1:22">
      <c r="A9487" s="499">
        <v>45824</v>
      </c>
      <c r="B9487" s="499">
        <v>45824</v>
      </c>
      <c r="C9487" s="500" t="s">
        <v>173</v>
      </c>
      <c r="D9487" s="500" t="s">
        <v>764</v>
      </c>
      <c r="E9487" s="501">
        <v>-3656660952.4200001</v>
      </c>
      <c r="F9487" s="502" t="s">
        <v>878</v>
      </c>
      <c r="G9487" s="100">
        <v>117505847</v>
      </c>
      <c r="H9487" s="530"/>
      <c r="I9487" s="422" t="s">
        <v>716</v>
      </c>
      <c r="J9487" s="484"/>
      <c r="K9487" s="548"/>
      <c r="L9487" s="548"/>
      <c r="M9487" s="548"/>
      <c r="N9487" s="552">
        <v>4980402</v>
      </c>
      <c r="R9487" s="539">
        <v>734.21</v>
      </c>
      <c r="S9487" s="539">
        <v>736.42067613618303</v>
      </c>
      <c r="T9487" s="538">
        <v>15.7</v>
      </c>
      <c r="U9487" s="538">
        <v>38394.94</v>
      </c>
      <c r="V9487" s="538">
        <v>19197.47</v>
      </c>
    </row>
    <row r="9488" spans="1:22">
      <c r="A9488" s="499">
        <v>45824</v>
      </c>
      <c r="B9488" s="499">
        <v>45824</v>
      </c>
      <c r="C9488" s="500" t="s">
        <v>173</v>
      </c>
      <c r="D9488" s="500" t="s">
        <v>764</v>
      </c>
      <c r="E9488" s="501">
        <v>-567061136.77999997</v>
      </c>
      <c r="F9488" s="502" t="s">
        <v>878</v>
      </c>
      <c r="G9488" s="100">
        <v>117506178</v>
      </c>
      <c r="H9488" s="530"/>
      <c r="I9488" s="422" t="s">
        <v>693</v>
      </c>
      <c r="J9488" s="484"/>
      <c r="K9488" s="548"/>
      <c r="L9488" s="548"/>
      <c r="M9488" s="548"/>
      <c r="N9488" s="552">
        <v>683235</v>
      </c>
      <c r="R9488" s="539">
        <v>829.96500000731805</v>
      </c>
      <c r="S9488" s="539">
        <v>832.46399051570802</v>
      </c>
      <c r="T9488" s="538">
        <v>15.7</v>
      </c>
      <c r="U9488" s="538">
        <v>5954.14</v>
      </c>
      <c r="V9488" s="538">
        <v>2977.07</v>
      </c>
    </row>
    <row r="9489" spans="1:22">
      <c r="A9489" s="499">
        <v>45824</v>
      </c>
      <c r="B9489" s="499">
        <v>45824</v>
      </c>
      <c r="C9489" s="500" t="s">
        <v>173</v>
      </c>
      <c r="D9489" s="500" t="s">
        <v>764</v>
      </c>
      <c r="E9489" s="501">
        <v>-500362940</v>
      </c>
      <c r="F9489" s="502" t="s">
        <v>878</v>
      </c>
      <c r="G9489" s="100">
        <v>117506364</v>
      </c>
      <c r="H9489" s="530"/>
      <c r="I9489" s="422" t="s">
        <v>677</v>
      </c>
      <c r="J9489" s="484"/>
      <c r="K9489" s="548"/>
      <c r="L9489" s="548"/>
      <c r="M9489" s="548"/>
      <c r="N9489" s="552">
        <v>557500</v>
      </c>
      <c r="R9489" s="539">
        <v>897.51199999999994</v>
      </c>
      <c r="S9489" s="539">
        <v>897.89559417040402</v>
      </c>
      <c r="T9489" s="538">
        <v>15.6</v>
      </c>
      <c r="U9489" s="538">
        <v>750.54</v>
      </c>
      <c r="V9489" s="538">
        <v>375.27</v>
      </c>
    </row>
    <row r="9490" spans="1:22">
      <c r="A9490" s="499">
        <v>45824</v>
      </c>
      <c r="B9490" s="499">
        <v>45824</v>
      </c>
      <c r="C9490" s="500" t="s">
        <v>173</v>
      </c>
      <c r="D9490" s="500" t="s">
        <v>764</v>
      </c>
      <c r="E9490" s="501">
        <v>-25005709.829999998</v>
      </c>
      <c r="F9490" s="502" t="s">
        <v>878</v>
      </c>
      <c r="G9490" s="100">
        <v>117506829</v>
      </c>
      <c r="H9490" s="530"/>
      <c r="I9490" s="422" t="s">
        <v>550</v>
      </c>
      <c r="J9490" s="484"/>
      <c r="K9490" s="548"/>
      <c r="L9490" s="548"/>
      <c r="M9490" s="548"/>
      <c r="N9490" s="552">
        <v>48025</v>
      </c>
      <c r="R9490" s="539">
        <v>520.68110005205619</v>
      </c>
      <c r="S9490" s="539">
        <v>522.24884934929696</v>
      </c>
      <c r="T9490" s="538">
        <v>15.7</v>
      </c>
      <c r="U9490" s="538">
        <v>262.56</v>
      </c>
      <c r="V9490" s="538">
        <v>131.28</v>
      </c>
    </row>
    <row r="9491" spans="1:22">
      <c r="A9491" s="499">
        <v>45824</v>
      </c>
      <c r="B9491" s="499">
        <v>45831</v>
      </c>
      <c r="C9491" s="500" t="s">
        <v>173</v>
      </c>
      <c r="D9491" s="500" t="s">
        <v>764</v>
      </c>
      <c r="E9491" s="501">
        <v>23072661.34</v>
      </c>
      <c r="F9491" s="502" t="s">
        <v>878</v>
      </c>
      <c r="G9491" s="100">
        <v>117505844</v>
      </c>
      <c r="H9491" s="100">
        <v>117505844</v>
      </c>
      <c r="I9491" s="422" t="s">
        <v>1013</v>
      </c>
      <c r="J9491" s="484"/>
      <c r="K9491" s="548"/>
      <c r="L9491" s="548"/>
      <c r="M9491" s="548"/>
      <c r="N9491" s="552">
        <v>45747</v>
      </c>
      <c r="R9491" s="539">
        <v>502.83950007650776</v>
      </c>
      <c r="S9491" s="539">
        <v>504.35353881128799</v>
      </c>
      <c r="T9491" s="538">
        <v>15.700100000000001</v>
      </c>
      <c r="U9491" s="538">
        <v>241.54</v>
      </c>
      <c r="V9491" s="538">
        <v>120.77</v>
      </c>
    </row>
    <row r="9492" spans="1:22">
      <c r="A9492" s="499">
        <v>45824</v>
      </c>
      <c r="B9492" s="499">
        <v>45831</v>
      </c>
      <c r="C9492" s="500" t="s">
        <v>173</v>
      </c>
      <c r="D9492" s="500" t="s">
        <v>764</v>
      </c>
      <c r="E9492" s="501">
        <v>3667671008.27</v>
      </c>
      <c r="F9492" s="502" t="s">
        <v>878</v>
      </c>
      <c r="G9492" s="100">
        <v>117505847</v>
      </c>
      <c r="H9492" s="100">
        <v>117505847</v>
      </c>
      <c r="I9492" s="422" t="s">
        <v>716</v>
      </c>
      <c r="J9492" s="484"/>
      <c r="K9492" s="548"/>
      <c r="L9492" s="548"/>
      <c r="M9492" s="548"/>
      <c r="N9492" s="552">
        <v>4980402</v>
      </c>
      <c r="R9492" s="539">
        <v>734.21</v>
      </c>
      <c r="S9492" s="539">
        <v>736.42067613618303</v>
      </c>
      <c r="T9492" s="538">
        <v>15.7</v>
      </c>
      <c r="U9492" s="538">
        <v>38394.94</v>
      </c>
      <c r="V9492" s="538">
        <v>19197.47</v>
      </c>
    </row>
    <row r="9493" spans="1:22">
      <c r="A9493" s="499">
        <v>45824</v>
      </c>
      <c r="B9493" s="499">
        <v>45831</v>
      </c>
      <c r="C9493" s="500" t="s">
        <v>173</v>
      </c>
      <c r="D9493" s="500" t="s">
        <v>764</v>
      </c>
      <c r="E9493" s="501">
        <v>568768534.55999994</v>
      </c>
      <c r="F9493" s="502" t="s">
        <v>878</v>
      </c>
      <c r="G9493" s="100">
        <v>117506178</v>
      </c>
      <c r="H9493" s="100">
        <v>117506178</v>
      </c>
      <c r="I9493" s="422" t="s">
        <v>693</v>
      </c>
      <c r="J9493" s="484"/>
      <c r="K9493" s="548"/>
      <c r="L9493" s="548"/>
      <c r="M9493" s="548"/>
      <c r="N9493" s="552">
        <v>683235</v>
      </c>
      <c r="R9493" s="539">
        <v>829.96500000731805</v>
      </c>
      <c r="S9493" s="539">
        <v>832.46399051570802</v>
      </c>
      <c r="T9493" s="538">
        <v>15.7</v>
      </c>
      <c r="U9493" s="538">
        <v>5954.14</v>
      </c>
      <c r="V9493" s="538">
        <v>2977.07</v>
      </c>
    </row>
    <row r="9494" spans="1:22">
      <c r="A9494" s="499">
        <v>45824</v>
      </c>
      <c r="B9494" s="499">
        <v>45825</v>
      </c>
      <c r="C9494" s="500" t="s">
        <v>173</v>
      </c>
      <c r="D9494" s="500" t="s">
        <v>764</v>
      </c>
      <c r="E9494" s="501">
        <v>500576793.75</v>
      </c>
      <c r="F9494" s="502" t="s">
        <v>878</v>
      </c>
      <c r="G9494" s="100">
        <v>117506364</v>
      </c>
      <c r="H9494" s="100">
        <v>117506364</v>
      </c>
      <c r="I9494" s="422" t="s">
        <v>677</v>
      </c>
      <c r="J9494" s="484"/>
      <c r="K9494" s="548"/>
      <c r="L9494" s="548"/>
      <c r="M9494" s="548"/>
      <c r="N9494" s="552">
        <v>557500</v>
      </c>
      <c r="R9494" s="539">
        <v>897.51199999999994</v>
      </c>
      <c r="S9494" s="539">
        <v>897.89559417040402</v>
      </c>
      <c r="T9494" s="538">
        <v>15.6</v>
      </c>
      <c r="U9494" s="538">
        <v>750.54</v>
      </c>
      <c r="V9494" s="538">
        <v>375.27</v>
      </c>
    </row>
    <row r="9495" spans="1:22">
      <c r="A9495" s="499">
        <v>45824</v>
      </c>
      <c r="B9495" s="499">
        <v>45831</v>
      </c>
      <c r="C9495" s="500" t="s">
        <v>173</v>
      </c>
      <c r="D9495" s="500" t="s">
        <v>764</v>
      </c>
      <c r="E9495" s="501">
        <v>25081000.989999998</v>
      </c>
      <c r="F9495" s="502" t="s">
        <v>878</v>
      </c>
      <c r="G9495" s="100">
        <v>117506829</v>
      </c>
      <c r="H9495" s="100">
        <v>117506829</v>
      </c>
      <c r="I9495" s="422" t="s">
        <v>550</v>
      </c>
      <c r="J9495" s="484"/>
      <c r="K9495" s="548"/>
      <c r="L9495" s="548"/>
      <c r="M9495" s="548"/>
      <c r="N9495" s="552">
        <v>48025</v>
      </c>
      <c r="R9495" s="539">
        <v>520.68110005205619</v>
      </c>
      <c r="S9495" s="539">
        <v>522.24884934929696</v>
      </c>
      <c r="T9495" s="538">
        <v>15.7</v>
      </c>
      <c r="U9495" s="538">
        <v>262.56</v>
      </c>
      <c r="V9495" s="538">
        <v>131.28</v>
      </c>
    </row>
    <row r="9496" spans="1:22">
      <c r="A9496" s="499">
        <v>45824</v>
      </c>
      <c r="B9496" s="499">
        <v>45824</v>
      </c>
      <c r="C9496" s="500" t="s">
        <v>173</v>
      </c>
      <c r="D9496" s="500" t="s">
        <v>763</v>
      </c>
      <c r="E9496" s="501">
        <v>-5000020506</v>
      </c>
      <c r="F9496" s="502" t="s">
        <v>878</v>
      </c>
      <c r="G9496" s="100">
        <v>117504861</v>
      </c>
      <c r="H9496" s="530"/>
      <c r="I9496" s="422" t="s">
        <v>2591</v>
      </c>
      <c r="J9496" s="484"/>
      <c r="K9496" s="548"/>
      <c r="L9496" s="548"/>
      <c r="M9496" s="548"/>
      <c r="N9496" s="552">
        <v>50180000</v>
      </c>
      <c r="R9496" s="539">
        <v>99.6417</v>
      </c>
      <c r="S9496" s="539">
        <v>99.6842865896772</v>
      </c>
      <c r="T9496" s="538">
        <v>15.6</v>
      </c>
      <c r="U9496" s="538">
        <v>7500.03</v>
      </c>
      <c r="V9496" s="538">
        <v>3750.02</v>
      </c>
    </row>
    <row r="9497" spans="1:22">
      <c r="A9497" s="499">
        <v>45824</v>
      </c>
      <c r="B9497" s="499">
        <v>45824</v>
      </c>
      <c r="C9497" s="500" t="s">
        <v>173</v>
      </c>
      <c r="D9497" s="500" t="s">
        <v>763</v>
      </c>
      <c r="E9497" s="501">
        <v>-877003596.75</v>
      </c>
      <c r="F9497" s="502" t="s">
        <v>878</v>
      </c>
      <c r="G9497" s="100">
        <v>117504864</v>
      </c>
      <c r="H9497" s="530"/>
      <c r="I9497" s="422" t="s">
        <v>2591</v>
      </c>
      <c r="J9497" s="484"/>
      <c r="K9497" s="548"/>
      <c r="L9497" s="548"/>
      <c r="M9497" s="548"/>
      <c r="N9497" s="552">
        <v>8801572</v>
      </c>
      <c r="R9497" s="539">
        <v>99.6417</v>
      </c>
      <c r="S9497" s="539">
        <v>99.684286588804795</v>
      </c>
      <c r="T9497" s="538">
        <v>15.6</v>
      </c>
      <c r="U9497" s="538">
        <v>1315.51</v>
      </c>
      <c r="V9497" s="538">
        <v>657.75</v>
      </c>
    </row>
    <row r="9498" spans="1:22">
      <c r="A9498" s="499">
        <v>45824</v>
      </c>
      <c r="B9498" s="499">
        <v>45824</v>
      </c>
      <c r="C9498" s="500" t="s">
        <v>173</v>
      </c>
      <c r="D9498" s="500" t="s">
        <v>763</v>
      </c>
      <c r="E9498" s="501">
        <v>-36000147.640000001</v>
      </c>
      <c r="F9498" s="502" t="s">
        <v>878</v>
      </c>
      <c r="G9498" s="100">
        <v>117504965</v>
      </c>
      <c r="H9498" s="530"/>
      <c r="I9498" s="422" t="s">
        <v>2591</v>
      </c>
      <c r="J9498" s="484"/>
      <c r="K9498" s="548"/>
      <c r="L9498" s="548"/>
      <c r="M9498" s="548"/>
      <c r="N9498" s="552">
        <v>361296</v>
      </c>
      <c r="R9498" s="539">
        <v>99.6417</v>
      </c>
      <c r="S9498" s="539">
        <v>99.684286568353897</v>
      </c>
      <c r="T9498" s="538">
        <v>15.6</v>
      </c>
      <c r="U9498" s="538">
        <v>54</v>
      </c>
      <c r="V9498" s="538">
        <v>39.32</v>
      </c>
    </row>
    <row r="9499" spans="1:22">
      <c r="A9499" s="499">
        <v>45824</v>
      </c>
      <c r="B9499" s="499">
        <v>45825</v>
      </c>
      <c r="C9499" s="500" t="s">
        <v>173</v>
      </c>
      <c r="D9499" s="500" t="s">
        <v>763</v>
      </c>
      <c r="E9499" s="501">
        <v>5002157501.0699997</v>
      </c>
      <c r="F9499" s="502" t="s">
        <v>878</v>
      </c>
      <c r="G9499" s="100">
        <v>117504861</v>
      </c>
      <c r="H9499" s="100">
        <v>117504861</v>
      </c>
      <c r="I9499" s="422" t="s">
        <v>2591</v>
      </c>
      <c r="J9499" s="484"/>
      <c r="K9499" s="548"/>
      <c r="L9499" s="548"/>
      <c r="M9499" s="548"/>
      <c r="N9499" s="552">
        <v>50180000</v>
      </c>
      <c r="R9499" s="539">
        <v>99.6417</v>
      </c>
      <c r="S9499" s="539">
        <v>99.6842865896772</v>
      </c>
      <c r="T9499" s="538">
        <v>15.6</v>
      </c>
      <c r="U9499" s="538">
        <v>7500.03</v>
      </c>
      <c r="V9499" s="538">
        <v>3750.02</v>
      </c>
    </row>
    <row r="9500" spans="1:22">
      <c r="A9500" s="499">
        <v>45824</v>
      </c>
      <c r="B9500" s="499">
        <v>45825</v>
      </c>
      <c r="C9500" s="500" t="s">
        <v>173</v>
      </c>
      <c r="D9500" s="500" t="s">
        <v>763</v>
      </c>
      <c r="E9500" s="501">
        <v>877378425.67999995</v>
      </c>
      <c r="F9500" s="502" t="s">
        <v>878</v>
      </c>
      <c r="G9500" s="100">
        <v>117504864</v>
      </c>
      <c r="H9500" s="100">
        <v>117504864</v>
      </c>
      <c r="I9500" s="422" t="s">
        <v>2591</v>
      </c>
      <c r="J9500" s="484"/>
      <c r="K9500" s="548"/>
      <c r="L9500" s="548"/>
      <c r="M9500" s="548"/>
      <c r="N9500" s="552">
        <v>8801572</v>
      </c>
      <c r="R9500" s="539">
        <v>99.6417</v>
      </c>
      <c r="S9500" s="539">
        <v>99.684286588804795</v>
      </c>
      <c r="T9500" s="538">
        <v>15.6</v>
      </c>
      <c r="U9500" s="538">
        <v>1315.51</v>
      </c>
      <c r="V9500" s="538">
        <v>657.75</v>
      </c>
    </row>
    <row r="9501" spans="1:22">
      <c r="A9501" s="499">
        <v>45824</v>
      </c>
      <c r="B9501" s="499">
        <v>45825</v>
      </c>
      <c r="C9501" s="500" t="s">
        <v>173</v>
      </c>
      <c r="D9501" s="500" t="s">
        <v>763</v>
      </c>
      <c r="E9501" s="501">
        <v>36015534</v>
      </c>
      <c r="F9501" s="502" t="s">
        <v>878</v>
      </c>
      <c r="G9501" s="100">
        <v>117504965</v>
      </c>
      <c r="H9501" s="100">
        <v>117504965</v>
      </c>
      <c r="I9501" s="422" t="s">
        <v>2591</v>
      </c>
      <c r="J9501" s="484"/>
      <c r="K9501" s="548"/>
      <c r="L9501" s="548"/>
      <c r="M9501" s="548"/>
      <c r="N9501" s="552">
        <v>361296</v>
      </c>
      <c r="R9501" s="539">
        <v>99.6417</v>
      </c>
      <c r="S9501" s="539">
        <v>99.684286568353897</v>
      </c>
      <c r="T9501" s="538">
        <v>15.6</v>
      </c>
      <c r="U9501" s="538">
        <v>54</v>
      </c>
      <c r="V9501" s="538">
        <v>39.32</v>
      </c>
    </row>
    <row r="9502" spans="1:22">
      <c r="A9502" s="499">
        <v>45824</v>
      </c>
      <c r="B9502" s="499">
        <v>45824</v>
      </c>
      <c r="C9502" s="500" t="s">
        <v>173</v>
      </c>
      <c r="D9502" s="500" t="s">
        <v>762</v>
      </c>
      <c r="E9502" s="501">
        <v>-3584385456.5300002</v>
      </c>
      <c r="F9502" s="502" t="s">
        <v>878</v>
      </c>
      <c r="G9502" s="100">
        <v>117521822</v>
      </c>
      <c r="H9502" s="530"/>
      <c r="I9502" s="422" t="s">
        <v>657</v>
      </c>
      <c r="J9502" s="484"/>
      <c r="K9502" s="548"/>
      <c r="L9502" s="548"/>
      <c r="M9502" s="548"/>
      <c r="N9502" s="552">
        <v>3672575</v>
      </c>
      <c r="R9502" s="558">
        <v>975.98699999999997</v>
      </c>
      <c r="S9502" s="558">
        <v>976.40948471848799</v>
      </c>
      <c r="T9502" s="538">
        <v>15.8001</v>
      </c>
      <c r="U9502" s="538">
        <v>5376.58</v>
      </c>
      <c r="V9502" s="538">
        <v>2688.29</v>
      </c>
    </row>
    <row r="9503" spans="1:22">
      <c r="A9503" s="499">
        <v>45824</v>
      </c>
      <c r="B9503" s="499">
        <v>45824</v>
      </c>
      <c r="C9503" s="500" t="s">
        <v>173</v>
      </c>
      <c r="D9503" s="500" t="s">
        <v>762</v>
      </c>
      <c r="E9503" s="501">
        <v>-20007733.5</v>
      </c>
      <c r="F9503" s="502" t="s">
        <v>878</v>
      </c>
      <c r="G9503" s="100">
        <v>117521857</v>
      </c>
      <c r="H9503" s="530"/>
      <c r="I9503" s="422" t="s">
        <v>657</v>
      </c>
      <c r="J9503" s="484"/>
      <c r="K9503" s="548"/>
      <c r="L9503" s="548"/>
      <c r="M9503" s="548"/>
      <c r="N9503" s="552">
        <v>20500</v>
      </c>
      <c r="R9503" s="558">
        <v>975.98699999999997</v>
      </c>
      <c r="S9503" s="558">
        <v>976.40948487804906</v>
      </c>
      <c r="T9503" s="538">
        <v>15.8001</v>
      </c>
      <c r="U9503" s="538">
        <v>39.32</v>
      </c>
      <c r="V9503" s="538">
        <v>15.01</v>
      </c>
    </row>
    <row r="9504" spans="1:22">
      <c r="A9504" s="499">
        <v>45824</v>
      </c>
      <c r="B9504" s="499">
        <v>45825</v>
      </c>
      <c r="C9504" s="500" t="s">
        <v>173</v>
      </c>
      <c r="D9504" s="500" t="s">
        <v>762</v>
      </c>
      <c r="E9504" s="501">
        <v>3585937063.3400002</v>
      </c>
      <c r="F9504" s="502" t="s">
        <v>878</v>
      </c>
      <c r="G9504" s="100">
        <v>117521822</v>
      </c>
      <c r="H9504" s="100">
        <v>117521822</v>
      </c>
      <c r="I9504" s="422" t="s">
        <v>657</v>
      </c>
      <c r="J9504" s="484"/>
      <c r="K9504" s="548"/>
      <c r="L9504" s="548"/>
      <c r="M9504" s="548"/>
      <c r="N9504" s="552">
        <v>3672575</v>
      </c>
      <c r="R9504" s="558">
        <v>975.98699999999997</v>
      </c>
      <c r="S9504" s="558">
        <v>976.40948471848799</v>
      </c>
      <c r="T9504" s="538">
        <v>15.8001</v>
      </c>
      <c r="U9504" s="538">
        <v>5376.58</v>
      </c>
      <c r="V9504" s="538">
        <v>2688.29</v>
      </c>
    </row>
    <row r="9505" spans="1:25">
      <c r="A9505" s="499">
        <v>45824</v>
      </c>
      <c r="B9505" s="499">
        <v>45825</v>
      </c>
      <c r="C9505" s="500" t="s">
        <v>173</v>
      </c>
      <c r="D9505" s="500" t="s">
        <v>762</v>
      </c>
      <c r="E9505" s="501">
        <v>20016394.440000001</v>
      </c>
      <c r="F9505" s="502" t="s">
        <v>878</v>
      </c>
      <c r="G9505" s="100">
        <v>117521857</v>
      </c>
      <c r="H9505" s="100">
        <v>117521857</v>
      </c>
      <c r="I9505" s="422" t="s">
        <v>657</v>
      </c>
      <c r="J9505" s="484"/>
      <c r="K9505" s="548"/>
      <c r="L9505" s="548"/>
      <c r="M9505" s="548"/>
      <c r="N9505" s="552">
        <v>20500</v>
      </c>
      <c r="R9505" s="558">
        <v>975.98699999999997</v>
      </c>
      <c r="S9505" s="558">
        <v>976.40948487804906</v>
      </c>
      <c r="T9505" s="538">
        <v>15.8001</v>
      </c>
      <c r="U9505" s="538">
        <v>39.32</v>
      </c>
      <c r="V9505" s="538">
        <v>15.01</v>
      </c>
    </row>
    <row r="9506" spans="1:25">
      <c r="A9506" s="499">
        <v>45825</v>
      </c>
      <c r="B9506" s="499">
        <v>45825</v>
      </c>
      <c r="C9506" s="500" t="s">
        <v>173</v>
      </c>
      <c r="D9506" s="500" t="s">
        <v>762</v>
      </c>
      <c r="E9506" s="501">
        <v>-3584044680.98</v>
      </c>
      <c r="F9506" s="502" t="s">
        <v>878</v>
      </c>
      <c r="G9506" s="100">
        <v>117537415</v>
      </c>
      <c r="H9506" s="530"/>
      <c r="I9506" s="422" t="s">
        <v>1013</v>
      </c>
      <c r="J9506" s="484"/>
      <c r="K9506" s="548"/>
      <c r="L9506" s="548"/>
      <c r="M9506" s="548"/>
      <c r="N9506" s="552">
        <v>7119421</v>
      </c>
      <c r="R9506" s="539">
        <v>503.41800000028093</v>
      </c>
      <c r="S9506" s="539">
        <v>503.63385184694101</v>
      </c>
      <c r="T9506" s="538">
        <v>15.6502</v>
      </c>
      <c r="U9506" s="538">
        <v>5376.07</v>
      </c>
      <c r="V9506" s="538">
        <v>2688.03</v>
      </c>
    </row>
    <row r="9507" spans="1:25">
      <c r="A9507" s="499">
        <v>45825</v>
      </c>
      <c r="B9507" s="499">
        <v>45825</v>
      </c>
      <c r="C9507" s="500" t="s">
        <v>173</v>
      </c>
      <c r="D9507" s="500" t="s">
        <v>762</v>
      </c>
      <c r="E9507" s="501">
        <v>-21006122.890000001</v>
      </c>
      <c r="F9507" s="502" t="s">
        <v>878</v>
      </c>
      <c r="G9507" s="100">
        <v>117537624</v>
      </c>
      <c r="H9507" s="530"/>
      <c r="I9507" s="422" t="s">
        <v>1013</v>
      </c>
      <c r="J9507" s="484"/>
      <c r="K9507" s="548"/>
      <c r="L9507" s="548"/>
      <c r="M9507" s="548"/>
      <c r="N9507" s="552">
        <v>41727</v>
      </c>
      <c r="R9507" s="539">
        <v>503.4180000958612</v>
      </c>
      <c r="S9507" s="539">
        <v>503.63385194238703</v>
      </c>
      <c r="T9507" s="538">
        <v>15.6502</v>
      </c>
      <c r="U9507" s="538">
        <v>39.32</v>
      </c>
      <c r="V9507" s="538">
        <v>15.75</v>
      </c>
    </row>
    <row r="9508" spans="1:25">
      <c r="A9508" s="499">
        <v>45825</v>
      </c>
      <c r="B9508" s="499">
        <v>45826</v>
      </c>
      <c r="C9508" s="500" t="s">
        <v>173</v>
      </c>
      <c r="D9508" s="500" t="s">
        <v>762</v>
      </c>
      <c r="E9508" s="501">
        <v>3585581421.1500001</v>
      </c>
      <c r="F9508" s="502" t="s">
        <v>878</v>
      </c>
      <c r="G9508" s="100">
        <v>117537415</v>
      </c>
      <c r="H9508" s="100">
        <v>117537415</v>
      </c>
      <c r="I9508" s="422" t="s">
        <v>1013</v>
      </c>
      <c r="J9508" s="484"/>
      <c r="K9508" s="548"/>
      <c r="L9508" s="548"/>
      <c r="M9508" s="548"/>
      <c r="N9508" s="552">
        <v>7119421</v>
      </c>
      <c r="R9508" s="539">
        <v>503.41800000028093</v>
      </c>
      <c r="S9508" s="539">
        <v>503.63385184694101</v>
      </c>
      <c r="T9508" s="538">
        <v>15.6502</v>
      </c>
      <c r="U9508" s="538">
        <v>5376.07</v>
      </c>
      <c r="V9508" s="538">
        <v>2688.03</v>
      </c>
    </row>
    <row r="9509" spans="1:25">
      <c r="A9509" s="499">
        <v>45825</v>
      </c>
      <c r="B9509" s="499">
        <v>45826</v>
      </c>
      <c r="C9509" s="500" t="s">
        <v>173</v>
      </c>
      <c r="D9509" s="500" t="s">
        <v>762</v>
      </c>
      <c r="E9509" s="501">
        <v>21015129.739999998</v>
      </c>
      <c r="F9509" s="502" t="s">
        <v>878</v>
      </c>
      <c r="G9509" s="100">
        <v>117537624</v>
      </c>
      <c r="H9509" s="100">
        <v>117537624</v>
      </c>
      <c r="I9509" s="422" t="s">
        <v>1013</v>
      </c>
      <c r="J9509" s="484"/>
      <c r="K9509" s="548"/>
      <c r="L9509" s="548"/>
      <c r="M9509" s="548"/>
      <c r="N9509" s="552">
        <v>41727</v>
      </c>
      <c r="R9509" s="539">
        <v>503.4180000958612</v>
      </c>
      <c r="S9509" s="539">
        <v>503.63385194238703</v>
      </c>
      <c r="T9509" s="538">
        <v>15.6502</v>
      </c>
      <c r="U9509" s="538">
        <v>39.32</v>
      </c>
      <c r="V9509" s="538">
        <v>15.75</v>
      </c>
    </row>
    <row r="9510" spans="1:25">
      <c r="A9510" s="499">
        <v>45825</v>
      </c>
      <c r="B9510" s="499">
        <v>45827</v>
      </c>
      <c r="C9510" s="500" t="s">
        <v>173</v>
      </c>
      <c r="D9510" s="500" t="s">
        <v>762</v>
      </c>
      <c r="E9510" s="501">
        <v>-456286666.67000002</v>
      </c>
      <c r="F9510" s="502" t="s">
        <v>906</v>
      </c>
      <c r="G9510" s="100" t="s">
        <v>390</v>
      </c>
      <c r="H9510" s="530"/>
      <c r="I9510" s="422" t="s">
        <v>675</v>
      </c>
      <c r="J9510" s="523"/>
      <c r="K9510" s="548">
        <v>117546652</v>
      </c>
      <c r="L9510" s="549">
        <v>84.51</v>
      </c>
      <c r="M9510" s="549">
        <f>E9510*(-1)/(N9510*O9510)*100</f>
        <v>91.257333333999995</v>
      </c>
      <c r="N9510" s="549">
        <v>500000</v>
      </c>
      <c r="O9510" s="539">
        <v>1000</v>
      </c>
      <c r="P9510" s="539">
        <v>85.849000000000004</v>
      </c>
      <c r="T9510" s="538">
        <v>16.8</v>
      </c>
      <c r="U9510" s="538">
        <v>0</v>
      </c>
      <c r="V9510" s="538">
        <v>45628.67</v>
      </c>
      <c r="W9510" s="550">
        <f>VLOOKUP(G9510,Справочник!A:C,3,0)</f>
        <v>0.1047</v>
      </c>
      <c r="X9510" s="539" t="str">
        <f>VLOOKUP(G9510,Справочник!A:G,7,0)</f>
        <v>Министерство финансов Республики Казахстан</v>
      </c>
      <c r="Y9510" s="551">
        <f>VLOOKUP(G9510,Справочник!A:B,2,0)</f>
        <v>47053</v>
      </c>
    </row>
    <row r="9511" spans="1:25">
      <c r="A9511" s="499">
        <v>45825</v>
      </c>
      <c r="B9511" s="499">
        <v>45827</v>
      </c>
      <c r="C9511" s="500" t="s">
        <v>173</v>
      </c>
      <c r="D9511" s="500" t="s">
        <v>762</v>
      </c>
      <c r="E9511" s="501">
        <v>-455208666.67000002</v>
      </c>
      <c r="F9511" s="502" t="s">
        <v>906</v>
      </c>
      <c r="G9511" s="100" t="s">
        <v>390</v>
      </c>
      <c r="H9511" s="530"/>
      <c r="I9511" s="422" t="s">
        <v>675</v>
      </c>
      <c r="J9511" s="523"/>
      <c r="K9511" s="548">
        <v>117546660</v>
      </c>
      <c r="L9511" s="549">
        <v>84.294399999999996</v>
      </c>
      <c r="M9511" s="549">
        <f>E9511*(-1)/(N9511*O9511)*100</f>
        <v>91.041733334000014</v>
      </c>
      <c r="N9511" s="549">
        <v>500000</v>
      </c>
      <c r="O9511" s="539">
        <v>1000</v>
      </c>
      <c r="P9511" s="539">
        <v>85.849000000000004</v>
      </c>
      <c r="T9511" s="538">
        <v>16.899999999999999</v>
      </c>
      <c r="U9511" s="538">
        <v>0</v>
      </c>
      <c r="V9511" s="538">
        <v>45520.87</v>
      </c>
      <c r="W9511" s="550">
        <f>VLOOKUP(G9511,Справочник!A:C,3,0)</f>
        <v>0.1047</v>
      </c>
      <c r="X9511" s="539" t="str">
        <f>VLOOKUP(G9511,Справочник!A:G,7,0)</f>
        <v>Министерство финансов Республики Казахстан</v>
      </c>
      <c r="Y9511" s="551">
        <f>VLOOKUP(G9511,Справочник!A:B,2,0)</f>
        <v>47053</v>
      </c>
    </row>
    <row r="9512" spans="1:25">
      <c r="A9512" s="499">
        <v>45825</v>
      </c>
      <c r="B9512" s="499">
        <v>45825</v>
      </c>
      <c r="C9512" s="500" t="s">
        <v>173</v>
      </c>
      <c r="D9512" s="500" t="s">
        <v>761</v>
      </c>
      <c r="E9512" s="501">
        <v>-1002572687.09</v>
      </c>
      <c r="F9512" s="502" t="s">
        <v>878</v>
      </c>
      <c r="G9512" s="100">
        <v>117535610</v>
      </c>
      <c r="H9512" s="530"/>
      <c r="I9512" s="422" t="s">
        <v>590</v>
      </c>
      <c r="J9512" s="484"/>
      <c r="K9512" s="548"/>
      <c r="L9512" s="548"/>
      <c r="M9512" s="548"/>
      <c r="N9512" s="552">
        <v>1150296</v>
      </c>
      <c r="R9512" s="539">
        <v>871.5780000017387</v>
      </c>
      <c r="S9512" s="539">
        <v>874.21064313880902</v>
      </c>
      <c r="T9512" s="538">
        <v>15.75</v>
      </c>
      <c r="U9512" s="538">
        <v>10527.01</v>
      </c>
      <c r="V9512" s="538">
        <v>5263.51</v>
      </c>
    </row>
    <row r="9513" spans="1:25">
      <c r="A9513" s="499">
        <v>45825</v>
      </c>
      <c r="B9513" s="499">
        <v>45825</v>
      </c>
      <c r="C9513" s="500" t="s">
        <v>173</v>
      </c>
      <c r="D9513" s="500" t="s">
        <v>761</v>
      </c>
      <c r="E9513" s="501">
        <v>-497231189.99000001</v>
      </c>
      <c r="F9513" s="502" t="s">
        <v>878</v>
      </c>
      <c r="G9513" s="100">
        <v>117535738</v>
      </c>
      <c r="H9513" s="530"/>
      <c r="I9513" s="422" t="s">
        <v>716</v>
      </c>
      <c r="J9513" s="484"/>
      <c r="K9513" s="548"/>
      <c r="L9513" s="548"/>
      <c r="M9513" s="548"/>
      <c r="N9513" s="552">
        <v>677411</v>
      </c>
      <c r="R9513" s="539">
        <v>734.01700000442861</v>
      </c>
      <c r="S9513" s="539">
        <v>734.33172236648102</v>
      </c>
      <c r="T9513" s="538">
        <v>15.65</v>
      </c>
      <c r="U9513" s="538">
        <v>745.85</v>
      </c>
      <c r="V9513" s="538">
        <v>372.92</v>
      </c>
    </row>
    <row r="9514" spans="1:25">
      <c r="A9514" s="499">
        <v>45825</v>
      </c>
      <c r="B9514" s="499">
        <v>45825</v>
      </c>
      <c r="C9514" s="500" t="s">
        <v>173</v>
      </c>
      <c r="D9514" s="500" t="s">
        <v>761</v>
      </c>
      <c r="E9514" s="501">
        <v>-8002332.5300000003</v>
      </c>
      <c r="F9514" s="502" t="s">
        <v>878</v>
      </c>
      <c r="G9514" s="100">
        <v>117536333</v>
      </c>
      <c r="H9514" s="530"/>
      <c r="I9514" s="422" t="s">
        <v>1013</v>
      </c>
      <c r="J9514" s="484"/>
      <c r="K9514" s="548"/>
      <c r="L9514" s="548"/>
      <c r="M9514" s="548"/>
      <c r="N9514" s="552">
        <v>15896</v>
      </c>
      <c r="R9514" s="539">
        <v>503.41800012581785</v>
      </c>
      <c r="S9514" s="539">
        <v>503.633851912431</v>
      </c>
      <c r="T9514" s="538">
        <v>15.6502</v>
      </c>
      <c r="U9514" s="538">
        <v>39.32</v>
      </c>
      <c r="V9514" s="538">
        <v>6</v>
      </c>
    </row>
    <row r="9515" spans="1:25">
      <c r="A9515" s="499">
        <v>45825</v>
      </c>
      <c r="B9515" s="499">
        <v>45832</v>
      </c>
      <c r="C9515" s="500" t="s">
        <v>173</v>
      </c>
      <c r="D9515" s="500" t="s">
        <v>761</v>
      </c>
      <c r="E9515" s="501">
        <v>1005601005.96</v>
      </c>
      <c r="F9515" s="502" t="s">
        <v>878</v>
      </c>
      <c r="G9515" s="100">
        <v>117535610</v>
      </c>
      <c r="H9515" s="100">
        <v>117535610</v>
      </c>
      <c r="I9515" s="422" t="s">
        <v>590</v>
      </c>
      <c r="J9515" s="484"/>
      <c r="K9515" s="548"/>
      <c r="L9515" s="548"/>
      <c r="M9515" s="548"/>
      <c r="N9515" s="552">
        <v>1150296</v>
      </c>
      <c r="R9515" s="539">
        <v>871.5780000017387</v>
      </c>
      <c r="S9515" s="539">
        <v>874.21064313880902</v>
      </c>
      <c r="T9515" s="538">
        <v>15.75</v>
      </c>
      <c r="U9515" s="538">
        <v>10527.01</v>
      </c>
      <c r="V9515" s="538">
        <v>5263.51</v>
      </c>
    </row>
    <row r="9516" spans="1:25">
      <c r="A9516" s="499">
        <v>45825</v>
      </c>
      <c r="B9516" s="499">
        <v>45826</v>
      </c>
      <c r="C9516" s="500" t="s">
        <v>173</v>
      </c>
      <c r="D9516" s="500" t="s">
        <v>761</v>
      </c>
      <c r="E9516" s="501">
        <v>497444386.38</v>
      </c>
      <c r="F9516" s="502" t="s">
        <v>878</v>
      </c>
      <c r="G9516" s="100">
        <v>117535738</v>
      </c>
      <c r="H9516" s="100">
        <v>117535738</v>
      </c>
      <c r="I9516" s="422" t="s">
        <v>716</v>
      </c>
      <c r="J9516" s="484"/>
      <c r="K9516" s="548"/>
      <c r="L9516" s="548"/>
      <c r="M9516" s="548"/>
      <c r="N9516" s="552">
        <v>677411</v>
      </c>
      <c r="R9516" s="539">
        <v>734.01700000442861</v>
      </c>
      <c r="S9516" s="539">
        <v>734.33172236648102</v>
      </c>
      <c r="T9516" s="538">
        <v>15.65</v>
      </c>
      <c r="U9516" s="538">
        <v>745.85</v>
      </c>
      <c r="V9516" s="538">
        <v>372.92</v>
      </c>
    </row>
    <row r="9517" spans="1:25">
      <c r="A9517" s="499">
        <v>45825</v>
      </c>
      <c r="B9517" s="499">
        <v>45826</v>
      </c>
      <c r="C9517" s="500" t="s">
        <v>173</v>
      </c>
      <c r="D9517" s="500" t="s">
        <v>761</v>
      </c>
      <c r="E9517" s="501">
        <v>8005763.71</v>
      </c>
      <c r="F9517" s="502" t="s">
        <v>878</v>
      </c>
      <c r="G9517" s="100">
        <v>117536333</v>
      </c>
      <c r="H9517" s="100">
        <v>117536333</v>
      </c>
      <c r="I9517" s="422" t="s">
        <v>1013</v>
      </c>
      <c r="J9517" s="484"/>
      <c r="K9517" s="548"/>
      <c r="L9517" s="548"/>
      <c r="M9517" s="548"/>
      <c r="N9517" s="552">
        <v>15896</v>
      </c>
      <c r="R9517" s="539">
        <v>503.41800012581785</v>
      </c>
      <c r="S9517" s="539">
        <v>503.633851912431</v>
      </c>
      <c r="T9517" s="538">
        <v>15.6502</v>
      </c>
      <c r="U9517" s="538">
        <v>39.32</v>
      </c>
      <c r="V9517" s="538">
        <v>6</v>
      </c>
    </row>
    <row r="9518" spans="1:25">
      <c r="A9518" s="499">
        <v>45825</v>
      </c>
      <c r="B9518" s="499">
        <v>45825</v>
      </c>
      <c r="C9518" s="500" t="s">
        <v>173</v>
      </c>
      <c r="D9518" s="500" t="s">
        <v>759</v>
      </c>
      <c r="E9518" s="501">
        <v>-2861728080.6399999</v>
      </c>
      <c r="F9518" s="502" t="s">
        <v>878</v>
      </c>
      <c r="G9518" s="100">
        <v>117536127</v>
      </c>
      <c r="H9518" s="530"/>
      <c r="I9518" s="422" t="s">
        <v>708</v>
      </c>
      <c r="J9518" s="484"/>
      <c r="K9518" s="548"/>
      <c r="L9518" s="548"/>
      <c r="M9518" s="548"/>
      <c r="N9518" s="552">
        <v>3855280</v>
      </c>
      <c r="R9518" s="539">
        <v>742.28800000000001</v>
      </c>
      <c r="S9518" s="539">
        <v>742.607285522712</v>
      </c>
      <c r="T9518" s="538">
        <v>15.7</v>
      </c>
      <c r="U9518" s="538">
        <v>4292.59</v>
      </c>
      <c r="V9518" s="538">
        <v>2146.3000000000002</v>
      </c>
    </row>
    <row r="9519" spans="1:25">
      <c r="A9519" s="499">
        <v>45825</v>
      </c>
      <c r="B9519" s="499">
        <v>45825</v>
      </c>
      <c r="C9519" s="500" t="s">
        <v>173</v>
      </c>
      <c r="D9519" s="500" t="s">
        <v>759</v>
      </c>
      <c r="E9519" s="501">
        <v>-17004956.620000001</v>
      </c>
      <c r="F9519" s="502" t="s">
        <v>878</v>
      </c>
      <c r="G9519" s="100">
        <v>117539371</v>
      </c>
      <c r="H9519" s="530"/>
      <c r="I9519" s="422" t="s">
        <v>1013</v>
      </c>
      <c r="J9519" s="484"/>
      <c r="K9519" s="548"/>
      <c r="L9519" s="548"/>
      <c r="M9519" s="548"/>
      <c r="N9519" s="552">
        <v>33779</v>
      </c>
      <c r="R9519" s="539">
        <v>503.41799994079167</v>
      </c>
      <c r="S9519" s="539">
        <v>503.63454009887801</v>
      </c>
      <c r="T9519" s="538">
        <v>15.700100000000001</v>
      </c>
      <c r="U9519" s="538">
        <v>39.32</v>
      </c>
      <c r="V9519" s="538">
        <v>12.75</v>
      </c>
    </row>
    <row r="9520" spans="1:25">
      <c r="A9520" s="499">
        <v>45825</v>
      </c>
      <c r="B9520" s="499">
        <v>45826</v>
      </c>
      <c r="C9520" s="500" t="s">
        <v>173</v>
      </c>
      <c r="D9520" s="500" t="s">
        <v>759</v>
      </c>
      <c r="E9520" s="501">
        <v>2862959015.73</v>
      </c>
      <c r="F9520" s="502" t="s">
        <v>878</v>
      </c>
      <c r="G9520" s="100">
        <v>117536127</v>
      </c>
      <c r="H9520" s="100">
        <v>117536127</v>
      </c>
      <c r="I9520" s="422" t="s">
        <v>708</v>
      </c>
      <c r="J9520" s="484"/>
      <c r="K9520" s="548"/>
      <c r="L9520" s="548"/>
      <c r="M9520" s="548"/>
      <c r="N9520" s="552">
        <v>3855280</v>
      </c>
      <c r="R9520" s="539">
        <v>742.28800000000001</v>
      </c>
      <c r="S9520" s="539">
        <v>742.607285522712</v>
      </c>
      <c r="T9520" s="538">
        <v>15.7</v>
      </c>
      <c r="U9520" s="538">
        <v>4292.59</v>
      </c>
      <c r="V9520" s="538">
        <v>2146.3000000000002</v>
      </c>
    </row>
    <row r="9521" spans="1:22">
      <c r="A9521" s="499">
        <v>45825</v>
      </c>
      <c r="B9521" s="499">
        <v>45826</v>
      </c>
      <c r="C9521" s="500" t="s">
        <v>173</v>
      </c>
      <c r="D9521" s="500" t="s">
        <v>759</v>
      </c>
      <c r="E9521" s="501">
        <v>17012271.129999999</v>
      </c>
      <c r="F9521" s="502" t="s">
        <v>878</v>
      </c>
      <c r="G9521" s="100">
        <v>117539371</v>
      </c>
      <c r="H9521" s="100">
        <v>117539371</v>
      </c>
      <c r="I9521" s="422" t="s">
        <v>1013</v>
      </c>
      <c r="J9521" s="484"/>
      <c r="K9521" s="548"/>
      <c r="L9521" s="548"/>
      <c r="M9521" s="548"/>
      <c r="N9521" s="552">
        <v>33779</v>
      </c>
      <c r="R9521" s="539">
        <v>503.41799994079167</v>
      </c>
      <c r="S9521" s="539">
        <v>503.63454009887801</v>
      </c>
      <c r="T9521" s="538">
        <v>15.700100000000001</v>
      </c>
      <c r="U9521" s="538">
        <v>39.32</v>
      </c>
      <c r="V9521" s="538">
        <v>12.75</v>
      </c>
    </row>
    <row r="9522" spans="1:22">
      <c r="A9522" s="499">
        <v>45825</v>
      </c>
      <c r="B9522" s="499">
        <v>45825</v>
      </c>
      <c r="C9522" s="500" t="s">
        <v>173</v>
      </c>
      <c r="D9522" s="500" t="s">
        <v>760</v>
      </c>
      <c r="E9522" s="501">
        <v>-1550721015.05</v>
      </c>
      <c r="F9522" s="502" t="s">
        <v>878</v>
      </c>
      <c r="G9522" s="100">
        <v>117535732</v>
      </c>
      <c r="H9522" s="530"/>
      <c r="I9522" s="422" t="s">
        <v>716</v>
      </c>
      <c r="J9522" s="484"/>
      <c r="K9522" s="548"/>
      <c r="L9522" s="548"/>
      <c r="M9522" s="548"/>
      <c r="N9522" s="552">
        <v>2112650</v>
      </c>
      <c r="R9522" s="539">
        <v>734.01700000000005</v>
      </c>
      <c r="S9522" s="539">
        <v>734.33172235817597</v>
      </c>
      <c r="T9522" s="538">
        <v>15.65</v>
      </c>
      <c r="U9522" s="538">
        <v>2326.08</v>
      </c>
      <c r="V9522" s="538">
        <v>1163.04</v>
      </c>
    </row>
    <row r="9523" spans="1:22">
      <c r="A9523" s="499">
        <v>45825</v>
      </c>
      <c r="B9523" s="499">
        <v>45825</v>
      </c>
      <c r="C9523" s="500" t="s">
        <v>173</v>
      </c>
      <c r="D9523" s="500" t="s">
        <v>760</v>
      </c>
      <c r="E9523" s="501">
        <v>-401186533.56999999</v>
      </c>
      <c r="F9523" s="502" t="s">
        <v>878</v>
      </c>
      <c r="G9523" s="100">
        <v>117535747</v>
      </c>
      <c r="H9523" s="530"/>
      <c r="I9523" s="422" t="s">
        <v>716</v>
      </c>
      <c r="J9523" s="484"/>
      <c r="K9523" s="548"/>
      <c r="L9523" s="548"/>
      <c r="M9523" s="548"/>
      <c r="N9523" s="552">
        <v>546563</v>
      </c>
      <c r="R9523" s="539">
        <v>734.01700000000005</v>
      </c>
      <c r="S9523" s="539">
        <v>734.33172236320399</v>
      </c>
      <c r="T9523" s="538">
        <v>15.65</v>
      </c>
      <c r="U9523" s="538">
        <v>601.78</v>
      </c>
      <c r="V9523" s="538">
        <v>300.89</v>
      </c>
    </row>
    <row r="9524" spans="1:22">
      <c r="A9524" s="499">
        <v>45825</v>
      </c>
      <c r="B9524" s="499">
        <v>45825</v>
      </c>
      <c r="C9524" s="500" t="s">
        <v>173</v>
      </c>
      <c r="D9524" s="500" t="s">
        <v>760</v>
      </c>
      <c r="E9524" s="501">
        <v>-11005116.880000001</v>
      </c>
      <c r="F9524" s="502" t="s">
        <v>878</v>
      </c>
      <c r="G9524" s="100">
        <v>117535837</v>
      </c>
      <c r="H9524" s="530"/>
      <c r="I9524" s="422" t="s">
        <v>716</v>
      </c>
      <c r="J9524" s="484"/>
      <c r="K9524" s="548"/>
      <c r="L9524" s="548"/>
      <c r="M9524" s="548"/>
      <c r="N9524" s="552">
        <v>14993</v>
      </c>
      <c r="R9524" s="539">
        <v>734.01700000000005</v>
      </c>
      <c r="S9524" s="539">
        <v>734.33172213699697</v>
      </c>
      <c r="T9524" s="538">
        <v>15.65</v>
      </c>
      <c r="U9524" s="538">
        <v>39.32</v>
      </c>
      <c r="V9524" s="538">
        <v>8.25</v>
      </c>
    </row>
    <row r="9525" spans="1:22">
      <c r="A9525" s="499">
        <v>45825</v>
      </c>
      <c r="B9525" s="499">
        <v>45826</v>
      </c>
      <c r="C9525" s="500" t="s">
        <v>173</v>
      </c>
      <c r="D9525" s="500" t="s">
        <v>760</v>
      </c>
      <c r="E9525" s="501">
        <v>1551385913.24</v>
      </c>
      <c r="F9525" s="502" t="s">
        <v>878</v>
      </c>
      <c r="G9525" s="100">
        <v>117535732</v>
      </c>
      <c r="H9525" s="100">
        <v>117535732</v>
      </c>
      <c r="I9525" s="422" t="s">
        <v>716</v>
      </c>
      <c r="J9525" s="484"/>
      <c r="K9525" s="548"/>
      <c r="L9525" s="548"/>
      <c r="M9525" s="548"/>
      <c r="N9525" s="552">
        <v>2112650</v>
      </c>
      <c r="R9525" s="539">
        <v>734.01700000000005</v>
      </c>
      <c r="S9525" s="539">
        <v>734.33172235817597</v>
      </c>
      <c r="T9525" s="538">
        <v>15.65</v>
      </c>
      <c r="U9525" s="538">
        <v>2326.08</v>
      </c>
      <c r="V9525" s="538">
        <v>1163.04</v>
      </c>
    </row>
    <row r="9526" spans="1:22">
      <c r="A9526" s="499">
        <v>45825</v>
      </c>
      <c r="B9526" s="499">
        <v>45826</v>
      </c>
      <c r="C9526" s="500" t="s">
        <v>173</v>
      </c>
      <c r="D9526" s="500" t="s">
        <v>760</v>
      </c>
      <c r="E9526" s="501">
        <v>401358549.17000002</v>
      </c>
      <c r="F9526" s="502" t="s">
        <v>878</v>
      </c>
      <c r="G9526" s="100">
        <v>117535747</v>
      </c>
      <c r="H9526" s="100">
        <v>117535747</v>
      </c>
      <c r="I9526" s="422" t="s">
        <v>716</v>
      </c>
      <c r="J9526" s="484"/>
      <c r="K9526" s="548"/>
      <c r="L9526" s="548"/>
      <c r="M9526" s="548"/>
      <c r="N9526" s="552">
        <v>546563</v>
      </c>
      <c r="R9526" s="539">
        <v>734.01700000000005</v>
      </c>
      <c r="S9526" s="539">
        <v>734.33172236320399</v>
      </c>
      <c r="T9526" s="538">
        <v>15.65</v>
      </c>
      <c r="U9526" s="538">
        <v>601.78</v>
      </c>
      <c r="V9526" s="538">
        <v>300.89</v>
      </c>
    </row>
    <row r="9527" spans="1:22">
      <c r="A9527" s="499">
        <v>45825</v>
      </c>
      <c r="B9527" s="499">
        <v>45826</v>
      </c>
      <c r="C9527" s="500" t="s">
        <v>173</v>
      </c>
      <c r="D9527" s="500" t="s">
        <v>760</v>
      </c>
      <c r="E9527" s="501">
        <v>11009835.51</v>
      </c>
      <c r="F9527" s="502" t="s">
        <v>878</v>
      </c>
      <c r="G9527" s="100">
        <v>117535837</v>
      </c>
      <c r="H9527" s="100">
        <v>117535837</v>
      </c>
      <c r="I9527" s="422" t="s">
        <v>716</v>
      </c>
      <c r="J9527" s="484"/>
      <c r="K9527" s="548"/>
      <c r="L9527" s="548"/>
      <c r="M9527" s="548"/>
      <c r="N9527" s="552">
        <v>14993</v>
      </c>
      <c r="R9527" s="539">
        <v>734.01700000000005</v>
      </c>
      <c r="S9527" s="539">
        <v>734.33172213699697</v>
      </c>
      <c r="T9527" s="538">
        <v>15.65</v>
      </c>
      <c r="U9527" s="538">
        <v>39.32</v>
      </c>
      <c r="V9527" s="538">
        <v>8.25</v>
      </c>
    </row>
    <row r="9528" spans="1:22">
      <c r="A9528" s="499">
        <v>45825</v>
      </c>
      <c r="B9528" s="499">
        <v>45825</v>
      </c>
      <c r="C9528" s="500" t="s">
        <v>173</v>
      </c>
      <c r="D9528" s="500" t="s">
        <v>764</v>
      </c>
      <c r="E9528" s="501">
        <v>-498231655.16000003</v>
      </c>
      <c r="F9528" s="502" t="s">
        <v>878</v>
      </c>
      <c r="G9528" s="100">
        <v>117535735</v>
      </c>
      <c r="H9528" s="530"/>
      <c r="I9528" s="422" t="s">
        <v>716</v>
      </c>
      <c r="J9528" s="100"/>
      <c r="K9528" s="548"/>
      <c r="L9528" s="548"/>
      <c r="M9528" s="548"/>
      <c r="N9528" s="552">
        <v>678774</v>
      </c>
      <c r="R9528" s="539">
        <v>734.01700000294647</v>
      </c>
      <c r="S9528" s="539">
        <v>734.33172235530503</v>
      </c>
      <c r="T9528" s="538">
        <v>15.65</v>
      </c>
      <c r="U9528" s="538">
        <v>747.35</v>
      </c>
      <c r="V9528" s="538">
        <v>373.67</v>
      </c>
    </row>
    <row r="9529" spans="1:22">
      <c r="A9529" s="499">
        <v>45825</v>
      </c>
      <c r="B9529" s="499">
        <v>45826</v>
      </c>
      <c r="C9529" s="500" t="s">
        <v>173</v>
      </c>
      <c r="D9529" s="500" t="s">
        <v>764</v>
      </c>
      <c r="E9529" s="501">
        <v>498445280.50999999</v>
      </c>
      <c r="F9529" s="502" t="s">
        <v>878</v>
      </c>
      <c r="G9529" s="100">
        <v>117535735</v>
      </c>
      <c r="H9529" s="100">
        <v>117535735</v>
      </c>
      <c r="I9529" s="422" t="s">
        <v>716</v>
      </c>
      <c r="J9529" s="100"/>
      <c r="K9529" s="548"/>
      <c r="L9529" s="548"/>
      <c r="M9529" s="548"/>
      <c r="N9529" s="552">
        <v>678774</v>
      </c>
      <c r="R9529" s="539">
        <v>734.01700000294647</v>
      </c>
      <c r="S9529" s="539">
        <v>734.33172235530503</v>
      </c>
      <c r="T9529" s="538">
        <v>15.65</v>
      </c>
      <c r="U9529" s="538">
        <v>747.35</v>
      </c>
      <c r="V9529" s="538">
        <v>373.67</v>
      </c>
    </row>
    <row r="9530" spans="1:22">
      <c r="A9530" s="499">
        <v>45825</v>
      </c>
      <c r="B9530" s="499">
        <v>45825</v>
      </c>
      <c r="C9530" s="500" t="s">
        <v>173</v>
      </c>
      <c r="D9530" s="500" t="s">
        <v>763</v>
      </c>
      <c r="E9530" s="501">
        <v>-2000583.13</v>
      </c>
      <c r="F9530" s="502" t="s">
        <v>878</v>
      </c>
      <c r="G9530" s="100">
        <v>117538518</v>
      </c>
      <c r="H9530" s="530"/>
      <c r="I9530" s="422" t="s">
        <v>1013</v>
      </c>
      <c r="J9530" s="100"/>
      <c r="K9530" s="548"/>
      <c r="L9530" s="548"/>
      <c r="M9530" s="548"/>
      <c r="N9530" s="552">
        <v>3974</v>
      </c>
      <c r="R9530" s="539">
        <v>503.41800000000001</v>
      </c>
      <c r="S9530" s="539">
        <v>503.63453699043799</v>
      </c>
      <c r="T9530" s="538">
        <v>15.7</v>
      </c>
      <c r="U9530" s="538">
        <v>39.32</v>
      </c>
      <c r="V9530" s="538">
        <v>39.32</v>
      </c>
    </row>
    <row r="9531" spans="1:22">
      <c r="A9531" s="499">
        <v>45825</v>
      </c>
      <c r="B9531" s="499">
        <v>45825</v>
      </c>
      <c r="C9531" s="500" t="s">
        <v>173</v>
      </c>
      <c r="D9531" s="500" t="s">
        <v>763</v>
      </c>
      <c r="E9531" s="501">
        <v>-10002915.66</v>
      </c>
      <c r="F9531" s="502" t="s">
        <v>878</v>
      </c>
      <c r="G9531" s="100">
        <v>117538521</v>
      </c>
      <c r="H9531" s="530"/>
      <c r="I9531" s="422" t="s">
        <v>1013</v>
      </c>
      <c r="J9531" s="484"/>
      <c r="K9531" s="548"/>
      <c r="L9531" s="548"/>
      <c r="M9531" s="548"/>
      <c r="N9531" s="552">
        <v>19870</v>
      </c>
      <c r="R9531" s="539">
        <v>503.41800000000001</v>
      </c>
      <c r="S9531" s="539">
        <v>503.63453850025201</v>
      </c>
      <c r="T9531" s="538">
        <v>15.7</v>
      </c>
      <c r="U9531" s="538">
        <v>39.32</v>
      </c>
      <c r="V9531" s="538">
        <v>39.32</v>
      </c>
    </row>
    <row r="9532" spans="1:22">
      <c r="A9532" s="499">
        <v>45825</v>
      </c>
      <c r="B9532" s="499">
        <v>45825</v>
      </c>
      <c r="C9532" s="500" t="s">
        <v>173</v>
      </c>
      <c r="D9532" s="500" t="s">
        <v>763</v>
      </c>
      <c r="E9532" s="501">
        <v>-25007289.149999999</v>
      </c>
      <c r="F9532" s="502" t="s">
        <v>878</v>
      </c>
      <c r="G9532" s="100">
        <v>117538524</v>
      </c>
      <c r="H9532" s="530"/>
      <c r="I9532" s="422" t="s">
        <v>1013</v>
      </c>
      <c r="J9532" s="484"/>
      <c r="K9532" s="548"/>
      <c r="L9532" s="548"/>
      <c r="M9532" s="548"/>
      <c r="N9532" s="552">
        <v>49675</v>
      </c>
      <c r="R9532" s="539">
        <v>503.41800000000001</v>
      </c>
      <c r="S9532" s="539">
        <v>503.63453870156002</v>
      </c>
      <c r="T9532" s="538">
        <v>15.7</v>
      </c>
      <c r="U9532" s="538">
        <v>39.32</v>
      </c>
      <c r="V9532" s="538">
        <v>39.32</v>
      </c>
    </row>
    <row r="9533" spans="1:22">
      <c r="A9533" s="499">
        <v>45825</v>
      </c>
      <c r="B9533" s="499">
        <v>45825</v>
      </c>
      <c r="C9533" s="500" t="s">
        <v>173</v>
      </c>
      <c r="D9533" s="500" t="s">
        <v>763</v>
      </c>
      <c r="E9533" s="501">
        <v>-2631767110.1500001</v>
      </c>
      <c r="F9533" s="502" t="s">
        <v>878</v>
      </c>
      <c r="G9533" s="100">
        <v>117538527</v>
      </c>
      <c r="H9533" s="530"/>
      <c r="I9533" s="422" t="s">
        <v>1013</v>
      </c>
      <c r="J9533" s="484"/>
      <c r="K9533" s="548"/>
      <c r="L9533" s="548"/>
      <c r="M9533" s="548"/>
      <c r="N9533" s="552">
        <v>5227797</v>
      </c>
      <c r="R9533" s="539">
        <v>503.41800000000001</v>
      </c>
      <c r="S9533" s="539">
        <v>503.63398839128598</v>
      </c>
      <c r="T9533" s="538">
        <v>15.6601</v>
      </c>
      <c r="U9533" s="538">
        <v>3947.65</v>
      </c>
      <c r="V9533" s="538">
        <v>1973.83</v>
      </c>
    </row>
    <row r="9534" spans="1:22">
      <c r="A9534" s="499">
        <v>45825</v>
      </c>
      <c r="B9534" s="499">
        <v>45825</v>
      </c>
      <c r="C9534" s="500" t="s">
        <v>173</v>
      </c>
      <c r="D9534" s="500" t="s">
        <v>763</v>
      </c>
      <c r="E9534" s="501">
        <v>-498000227.44</v>
      </c>
      <c r="F9534" s="502" t="s">
        <v>878</v>
      </c>
      <c r="G9534" s="100">
        <v>117538530</v>
      </c>
      <c r="H9534" s="530"/>
      <c r="I9534" s="422" t="s">
        <v>811</v>
      </c>
      <c r="J9534" s="484"/>
      <c r="K9534" s="548"/>
      <c r="L9534" s="548"/>
      <c r="M9534" s="548"/>
      <c r="N9534" s="552">
        <v>480834438</v>
      </c>
      <c r="R9534" s="539">
        <v>1.0357000000000001</v>
      </c>
      <c r="S9534" s="539">
        <v>1.03614435786315</v>
      </c>
      <c r="T9534" s="538">
        <v>15.66</v>
      </c>
      <c r="U9534" s="538">
        <v>747</v>
      </c>
      <c r="V9534" s="538">
        <v>373.5</v>
      </c>
    </row>
    <row r="9535" spans="1:22">
      <c r="A9535" s="499">
        <v>45825</v>
      </c>
      <c r="B9535" s="499">
        <v>45825</v>
      </c>
      <c r="C9535" s="500" t="s">
        <v>173</v>
      </c>
      <c r="D9535" s="500" t="s">
        <v>763</v>
      </c>
      <c r="E9535" s="501">
        <v>-39033281.310000002</v>
      </c>
      <c r="F9535" s="502" t="s">
        <v>878</v>
      </c>
      <c r="G9535" s="100">
        <v>117538533</v>
      </c>
      <c r="H9535" s="530"/>
      <c r="I9535" s="422" t="s">
        <v>674</v>
      </c>
      <c r="J9535" s="484"/>
      <c r="K9535" s="548"/>
      <c r="L9535" s="548"/>
      <c r="M9535" s="548"/>
      <c r="N9535" s="552">
        <v>42237</v>
      </c>
      <c r="R9535" s="539">
        <v>924.149</v>
      </c>
      <c r="S9535" s="539">
        <v>924.54549778630098</v>
      </c>
      <c r="T9535" s="538">
        <v>15.66</v>
      </c>
      <c r="U9535" s="538">
        <v>58.55</v>
      </c>
      <c r="V9535" s="538">
        <v>39.32</v>
      </c>
    </row>
    <row r="9536" spans="1:22">
      <c r="A9536" s="499">
        <v>45825</v>
      </c>
      <c r="B9536" s="499">
        <v>45825</v>
      </c>
      <c r="C9536" s="500" t="s">
        <v>173</v>
      </c>
      <c r="D9536" s="500" t="s">
        <v>763</v>
      </c>
      <c r="E9536" s="501">
        <v>-2674003607.23</v>
      </c>
      <c r="F9536" s="502" t="s">
        <v>878</v>
      </c>
      <c r="G9536" s="100">
        <v>117538536</v>
      </c>
      <c r="H9536" s="530"/>
      <c r="I9536" s="422" t="s">
        <v>829</v>
      </c>
      <c r="J9536" s="484"/>
      <c r="K9536" s="548"/>
      <c r="L9536" s="548"/>
      <c r="M9536" s="548"/>
      <c r="N9536" s="552">
        <v>2575062</v>
      </c>
      <c r="R9536" s="539">
        <v>1038.423</v>
      </c>
      <c r="S9536" s="539">
        <v>1038.8685261442199</v>
      </c>
      <c r="T9536" s="538">
        <v>15.66</v>
      </c>
      <c r="U9536" s="538">
        <v>4011.01</v>
      </c>
      <c r="V9536" s="538">
        <v>2005.5</v>
      </c>
    </row>
    <row r="9537" spans="1:22">
      <c r="A9537" s="499">
        <v>45825</v>
      </c>
      <c r="B9537" s="499">
        <v>45825</v>
      </c>
      <c r="C9537" s="500" t="s">
        <v>173</v>
      </c>
      <c r="D9537" s="500" t="s">
        <v>763</v>
      </c>
      <c r="E9537" s="501">
        <v>-35023082.43</v>
      </c>
      <c r="F9537" s="502" t="s">
        <v>878</v>
      </c>
      <c r="G9537" s="100">
        <v>117538576</v>
      </c>
      <c r="H9537" s="530"/>
      <c r="I9537" s="422" t="s">
        <v>696</v>
      </c>
      <c r="J9537" s="484"/>
      <c r="K9537" s="548"/>
      <c r="L9537" s="548"/>
      <c r="M9537" s="548"/>
      <c r="N9537" s="552">
        <v>42455</v>
      </c>
      <c r="R9537" s="539">
        <v>824.94600000000003</v>
      </c>
      <c r="S9537" s="539">
        <v>825.29993805205504</v>
      </c>
      <c r="T9537" s="538">
        <v>15.6601</v>
      </c>
      <c r="U9537" s="538">
        <v>52.53</v>
      </c>
      <c r="V9537" s="538">
        <v>39.32</v>
      </c>
    </row>
    <row r="9538" spans="1:22">
      <c r="A9538" s="499">
        <v>45825</v>
      </c>
      <c r="B9538" s="499">
        <v>45825</v>
      </c>
      <c r="C9538" s="500" t="s">
        <v>173</v>
      </c>
      <c r="D9538" s="500" t="s">
        <v>763</v>
      </c>
      <c r="E9538" s="501">
        <v>-1000659.5</v>
      </c>
      <c r="F9538" s="502" t="s">
        <v>878</v>
      </c>
      <c r="G9538" s="100">
        <v>117538600</v>
      </c>
      <c r="H9538" s="530"/>
      <c r="I9538" s="422" t="s">
        <v>696</v>
      </c>
      <c r="J9538" s="484"/>
      <c r="K9538" s="548"/>
      <c r="L9538" s="548"/>
      <c r="M9538" s="548"/>
      <c r="N9538" s="552">
        <v>1213</v>
      </c>
      <c r="R9538" s="539">
        <v>824.94600000000003</v>
      </c>
      <c r="S9538" s="539">
        <v>825.29994229183797</v>
      </c>
      <c r="T9538" s="538">
        <v>15.6601</v>
      </c>
      <c r="U9538" s="538">
        <v>39.32</v>
      </c>
      <c r="V9538" s="538">
        <v>39.32</v>
      </c>
    </row>
    <row r="9539" spans="1:22">
      <c r="A9539" s="499">
        <v>45825</v>
      </c>
      <c r="B9539" s="499">
        <v>45826</v>
      </c>
      <c r="C9539" s="500" t="s">
        <v>173</v>
      </c>
      <c r="D9539" s="500" t="s">
        <v>763</v>
      </c>
      <c r="E9539" s="501">
        <v>2001443.65</v>
      </c>
      <c r="F9539" s="502" t="s">
        <v>878</v>
      </c>
      <c r="G9539" s="100">
        <v>117538518</v>
      </c>
      <c r="H9539" s="100">
        <v>117538518</v>
      </c>
      <c r="I9539" s="422" t="s">
        <v>1013</v>
      </c>
      <c r="J9539" s="484"/>
      <c r="K9539" s="548"/>
      <c r="L9539" s="548"/>
      <c r="M9539" s="548"/>
      <c r="N9539" s="552">
        <v>3974</v>
      </c>
      <c r="R9539" s="539">
        <v>503.41800000000001</v>
      </c>
      <c r="S9539" s="539">
        <v>503.63453699043799</v>
      </c>
      <c r="T9539" s="538">
        <v>15.7</v>
      </c>
      <c r="U9539" s="538">
        <v>39.32</v>
      </c>
      <c r="V9539" s="538">
        <v>39.32</v>
      </c>
    </row>
    <row r="9540" spans="1:22">
      <c r="A9540" s="499">
        <v>45825</v>
      </c>
      <c r="B9540" s="499">
        <v>45826</v>
      </c>
      <c r="C9540" s="500" t="s">
        <v>173</v>
      </c>
      <c r="D9540" s="500" t="s">
        <v>763</v>
      </c>
      <c r="E9540" s="501">
        <v>10007218.279999999</v>
      </c>
      <c r="F9540" s="502" t="s">
        <v>878</v>
      </c>
      <c r="G9540" s="100">
        <v>117538521</v>
      </c>
      <c r="H9540" s="100">
        <v>117538521</v>
      </c>
      <c r="I9540" s="422" t="s">
        <v>1013</v>
      </c>
      <c r="J9540" s="484"/>
      <c r="K9540" s="548"/>
      <c r="L9540" s="548"/>
      <c r="M9540" s="548"/>
      <c r="N9540" s="552">
        <v>19870</v>
      </c>
      <c r="R9540" s="539">
        <v>503.41800000000001</v>
      </c>
      <c r="S9540" s="539">
        <v>503.63453850025201</v>
      </c>
      <c r="T9540" s="538">
        <v>15.7</v>
      </c>
      <c r="U9540" s="538">
        <v>39.32</v>
      </c>
      <c r="V9540" s="538">
        <v>39.32</v>
      </c>
    </row>
    <row r="9541" spans="1:22">
      <c r="A9541" s="499">
        <v>45825</v>
      </c>
      <c r="B9541" s="499">
        <v>45826</v>
      </c>
      <c r="C9541" s="500" t="s">
        <v>173</v>
      </c>
      <c r="D9541" s="500" t="s">
        <v>763</v>
      </c>
      <c r="E9541" s="501">
        <v>25018045.710000001</v>
      </c>
      <c r="F9541" s="502" t="s">
        <v>878</v>
      </c>
      <c r="G9541" s="100">
        <v>117538524</v>
      </c>
      <c r="H9541" s="100">
        <v>117538524</v>
      </c>
      <c r="I9541" s="422" t="s">
        <v>1013</v>
      </c>
      <c r="J9541" s="484"/>
      <c r="K9541" s="548"/>
      <c r="L9541" s="548"/>
      <c r="M9541" s="548"/>
      <c r="N9541" s="552">
        <v>49675</v>
      </c>
      <c r="R9541" s="539">
        <v>503.41800000000001</v>
      </c>
      <c r="S9541" s="539">
        <v>503.63453870156002</v>
      </c>
      <c r="T9541" s="538">
        <v>15.7</v>
      </c>
      <c r="U9541" s="538">
        <v>39.32</v>
      </c>
      <c r="V9541" s="538">
        <v>39.32</v>
      </c>
    </row>
    <row r="9542" spans="1:22">
      <c r="A9542" s="499">
        <v>45825</v>
      </c>
      <c r="B9542" s="499">
        <v>45826</v>
      </c>
      <c r="C9542" s="500" t="s">
        <v>173</v>
      </c>
      <c r="D9542" s="500" t="s">
        <v>763</v>
      </c>
      <c r="E9542" s="501">
        <v>2632896253.6100001</v>
      </c>
      <c r="F9542" s="502" t="s">
        <v>878</v>
      </c>
      <c r="G9542" s="100">
        <v>117538527</v>
      </c>
      <c r="H9542" s="100">
        <v>117538527</v>
      </c>
      <c r="I9542" s="422" t="s">
        <v>1013</v>
      </c>
      <c r="J9542" s="484"/>
      <c r="K9542" s="548"/>
      <c r="L9542" s="548"/>
      <c r="M9542" s="548"/>
      <c r="N9542" s="552">
        <v>5227797</v>
      </c>
      <c r="R9542" s="539">
        <v>503.41800000000001</v>
      </c>
      <c r="S9542" s="539">
        <v>503.63398839128598</v>
      </c>
      <c r="T9542" s="538">
        <v>15.6601</v>
      </c>
      <c r="U9542" s="538">
        <v>3947.65</v>
      </c>
      <c r="V9542" s="538">
        <v>1973.83</v>
      </c>
    </row>
    <row r="9543" spans="1:22">
      <c r="A9543" s="499">
        <v>45825</v>
      </c>
      <c r="B9543" s="499">
        <v>45826</v>
      </c>
      <c r="C9543" s="500" t="s">
        <v>173</v>
      </c>
      <c r="D9543" s="500" t="s">
        <v>763</v>
      </c>
      <c r="E9543" s="501">
        <v>498213890</v>
      </c>
      <c r="F9543" s="502" t="s">
        <v>878</v>
      </c>
      <c r="G9543" s="100">
        <v>117538530</v>
      </c>
      <c r="H9543" s="100">
        <v>117538530</v>
      </c>
      <c r="I9543" s="422" t="s">
        <v>811</v>
      </c>
      <c r="J9543" s="484"/>
      <c r="K9543" s="548"/>
      <c r="L9543" s="548"/>
      <c r="M9543" s="548"/>
      <c r="N9543" s="552">
        <v>480834438</v>
      </c>
      <c r="R9543" s="539">
        <v>1.0357000000000001</v>
      </c>
      <c r="S9543" s="539">
        <v>1.03614435786315</v>
      </c>
      <c r="T9543" s="538">
        <v>15.66</v>
      </c>
      <c r="U9543" s="538">
        <v>747</v>
      </c>
      <c r="V9543" s="538">
        <v>373.5</v>
      </c>
    </row>
    <row r="9544" spans="1:22">
      <c r="A9544" s="499">
        <v>45825</v>
      </c>
      <c r="B9544" s="499">
        <v>45826</v>
      </c>
      <c r="C9544" s="500" t="s">
        <v>173</v>
      </c>
      <c r="D9544" s="500" t="s">
        <v>763</v>
      </c>
      <c r="E9544" s="501">
        <v>39050028.189999998</v>
      </c>
      <c r="F9544" s="502" t="s">
        <v>878</v>
      </c>
      <c r="G9544" s="100">
        <v>117538533</v>
      </c>
      <c r="H9544" s="100">
        <v>117538533</v>
      </c>
      <c r="I9544" s="422" t="s">
        <v>674</v>
      </c>
      <c r="J9544" s="484"/>
      <c r="K9544" s="548"/>
      <c r="L9544" s="548"/>
      <c r="M9544" s="548"/>
      <c r="N9544" s="552">
        <v>42237</v>
      </c>
      <c r="R9544" s="539">
        <v>924.149</v>
      </c>
      <c r="S9544" s="539">
        <v>924.54549778630098</v>
      </c>
      <c r="T9544" s="538">
        <v>15.66</v>
      </c>
      <c r="U9544" s="538">
        <v>58.55</v>
      </c>
      <c r="V9544" s="538">
        <v>39.32</v>
      </c>
    </row>
    <row r="9545" spans="1:22">
      <c r="A9545" s="499">
        <v>45825</v>
      </c>
      <c r="B9545" s="499">
        <v>45826</v>
      </c>
      <c r="C9545" s="500" t="s">
        <v>173</v>
      </c>
      <c r="D9545" s="500" t="s">
        <v>763</v>
      </c>
      <c r="E9545" s="501">
        <v>2675150864.6700001</v>
      </c>
      <c r="F9545" s="502" t="s">
        <v>878</v>
      </c>
      <c r="G9545" s="100">
        <v>117538536</v>
      </c>
      <c r="H9545" s="100">
        <v>117538536</v>
      </c>
      <c r="I9545" s="422" t="s">
        <v>829</v>
      </c>
      <c r="J9545" s="484"/>
      <c r="K9545" s="548"/>
      <c r="L9545" s="548"/>
      <c r="M9545" s="548"/>
      <c r="N9545" s="552">
        <v>2575062</v>
      </c>
      <c r="R9545" s="539">
        <v>1038.423</v>
      </c>
      <c r="S9545" s="539">
        <v>1038.8685261442199</v>
      </c>
      <c r="T9545" s="538">
        <v>15.66</v>
      </c>
      <c r="U9545" s="538">
        <v>4011.01</v>
      </c>
      <c r="V9545" s="538">
        <v>2005.5</v>
      </c>
    </row>
    <row r="9546" spans="1:22">
      <c r="A9546" s="499">
        <v>45825</v>
      </c>
      <c r="B9546" s="499">
        <v>45826</v>
      </c>
      <c r="C9546" s="500" t="s">
        <v>173</v>
      </c>
      <c r="D9546" s="500" t="s">
        <v>763</v>
      </c>
      <c r="E9546" s="501">
        <v>35038108.869999997</v>
      </c>
      <c r="F9546" s="502" t="s">
        <v>878</v>
      </c>
      <c r="G9546" s="100">
        <v>117538576</v>
      </c>
      <c r="H9546" s="100">
        <v>117538576</v>
      </c>
      <c r="I9546" s="422" t="s">
        <v>696</v>
      </c>
      <c r="J9546" s="484"/>
      <c r="K9546" s="548"/>
      <c r="L9546" s="548"/>
      <c r="M9546" s="548"/>
      <c r="N9546" s="552">
        <v>42455</v>
      </c>
      <c r="R9546" s="539">
        <v>824.94600000000003</v>
      </c>
      <c r="S9546" s="539">
        <v>825.29993805205504</v>
      </c>
      <c r="T9546" s="538">
        <v>15.6601</v>
      </c>
      <c r="U9546" s="538">
        <v>52.53</v>
      </c>
      <c r="V9546" s="538">
        <v>39.32</v>
      </c>
    </row>
    <row r="9547" spans="1:22">
      <c r="A9547" s="499">
        <v>45825</v>
      </c>
      <c r="B9547" s="499">
        <v>45826</v>
      </c>
      <c r="C9547" s="500" t="s">
        <v>173</v>
      </c>
      <c r="D9547" s="500" t="s">
        <v>763</v>
      </c>
      <c r="E9547" s="501">
        <v>1001088.83</v>
      </c>
      <c r="F9547" s="502" t="s">
        <v>878</v>
      </c>
      <c r="G9547" s="100">
        <v>117538600</v>
      </c>
      <c r="H9547" s="100">
        <v>117538600</v>
      </c>
      <c r="I9547" s="422" t="s">
        <v>696</v>
      </c>
      <c r="J9547" s="484"/>
      <c r="K9547" s="548"/>
      <c r="L9547" s="548"/>
      <c r="M9547" s="548"/>
      <c r="N9547" s="552">
        <v>1213</v>
      </c>
      <c r="R9547" s="539">
        <v>824.94600000000003</v>
      </c>
      <c r="S9547" s="539">
        <v>825.29994229183797</v>
      </c>
      <c r="T9547" s="538">
        <v>15.6601</v>
      </c>
      <c r="U9547" s="538">
        <v>39.32</v>
      </c>
      <c r="V9547" s="538">
        <v>39.32</v>
      </c>
    </row>
    <row r="9548" spans="1:22">
      <c r="A9548" s="499">
        <v>45826</v>
      </c>
      <c r="B9548" s="499">
        <v>45826</v>
      </c>
      <c r="C9548" s="500" t="s">
        <v>173</v>
      </c>
      <c r="D9548" s="500" t="s">
        <v>762</v>
      </c>
      <c r="E9548" s="501">
        <v>-1106000225.4000001</v>
      </c>
      <c r="F9548" s="502" t="s">
        <v>878</v>
      </c>
      <c r="G9548" s="100">
        <v>117569563</v>
      </c>
      <c r="H9548" s="530"/>
      <c r="I9548" s="422" t="s">
        <v>811</v>
      </c>
      <c r="J9548" s="484"/>
      <c r="K9548" s="548"/>
      <c r="L9548" s="548"/>
      <c r="M9548" s="548"/>
      <c r="N9548" s="552">
        <v>1067464748</v>
      </c>
      <c r="R9548" s="558">
        <v>1.0361</v>
      </c>
      <c r="S9548" s="558">
        <v>1.0365414069861201</v>
      </c>
      <c r="T9548" s="538">
        <v>15.55</v>
      </c>
      <c r="U9548" s="538">
        <v>1659</v>
      </c>
      <c r="V9548" s="538">
        <v>829.5</v>
      </c>
    </row>
    <row r="9549" spans="1:22">
      <c r="A9549" s="499">
        <v>45826</v>
      </c>
      <c r="B9549" s="499">
        <v>45826</v>
      </c>
      <c r="C9549" s="500" t="s">
        <v>173</v>
      </c>
      <c r="D9549" s="500" t="s">
        <v>762</v>
      </c>
      <c r="E9549" s="501">
        <v>-2478219947.2800002</v>
      </c>
      <c r="F9549" s="502" t="s">
        <v>878</v>
      </c>
      <c r="G9549" s="100">
        <v>117569566</v>
      </c>
      <c r="H9549" s="530"/>
      <c r="I9549" s="422" t="s">
        <v>719</v>
      </c>
      <c r="J9549" s="484"/>
      <c r="K9549" s="548"/>
      <c r="L9549" s="548"/>
      <c r="M9549" s="548"/>
      <c r="N9549" s="552">
        <v>3419640</v>
      </c>
      <c r="R9549" s="558">
        <v>724.702</v>
      </c>
      <c r="S9549" s="558">
        <v>725.00975016376003</v>
      </c>
      <c r="T9549" s="538">
        <v>15.5</v>
      </c>
      <c r="U9549" s="538">
        <v>3717.33</v>
      </c>
      <c r="V9549" s="538">
        <v>1858.66</v>
      </c>
    </row>
    <row r="9550" spans="1:22">
      <c r="A9550" s="499">
        <v>45826</v>
      </c>
      <c r="B9550" s="499">
        <v>45826</v>
      </c>
      <c r="C9550" s="500" t="s">
        <v>173</v>
      </c>
      <c r="D9550" s="500" t="s">
        <v>762</v>
      </c>
      <c r="E9550" s="501">
        <v>-22001952.719999999</v>
      </c>
      <c r="F9550" s="502" t="s">
        <v>878</v>
      </c>
      <c r="G9550" s="100">
        <v>117569602</v>
      </c>
      <c r="H9550" s="530"/>
      <c r="I9550" s="422" t="s">
        <v>719</v>
      </c>
      <c r="J9550" s="484"/>
      <c r="K9550" s="548"/>
      <c r="L9550" s="548"/>
      <c r="M9550" s="548"/>
      <c r="N9550" s="552">
        <v>30360</v>
      </c>
      <c r="R9550" s="558">
        <v>724.702</v>
      </c>
      <c r="S9550" s="558">
        <v>725.00975000000005</v>
      </c>
      <c r="T9550" s="538">
        <v>15.5</v>
      </c>
      <c r="U9550" s="538">
        <v>39.32</v>
      </c>
      <c r="V9550" s="538">
        <v>16.5</v>
      </c>
    </row>
    <row r="9551" spans="1:22">
      <c r="A9551" s="499">
        <v>45826</v>
      </c>
      <c r="B9551" s="499">
        <v>45827</v>
      </c>
      <c r="C9551" s="500" t="s">
        <v>173</v>
      </c>
      <c r="D9551" s="500" t="s">
        <v>762</v>
      </c>
      <c r="E9551" s="501">
        <v>1106471411.8</v>
      </c>
      <c r="F9551" s="502" t="s">
        <v>878</v>
      </c>
      <c r="G9551" s="100">
        <v>117569563</v>
      </c>
      <c r="H9551" s="484">
        <v>117569563</v>
      </c>
      <c r="I9551" s="422" t="s">
        <v>811</v>
      </c>
      <c r="J9551" s="484"/>
      <c r="K9551" s="548"/>
      <c r="L9551" s="548"/>
      <c r="M9551" s="548"/>
      <c r="N9551" s="552">
        <v>1067464748</v>
      </c>
      <c r="R9551" s="558">
        <v>1.0361</v>
      </c>
      <c r="S9551" s="558">
        <v>1.0365414069861201</v>
      </c>
      <c r="T9551" s="538">
        <v>15.55</v>
      </c>
      <c r="U9551" s="538">
        <v>1659</v>
      </c>
      <c r="V9551" s="538">
        <v>829.5</v>
      </c>
    </row>
    <row r="9552" spans="1:22">
      <c r="A9552" s="499">
        <v>45826</v>
      </c>
      <c r="B9552" s="499">
        <v>45827</v>
      </c>
      <c r="C9552" s="500" t="s">
        <v>173</v>
      </c>
      <c r="D9552" s="500" t="s">
        <v>762</v>
      </c>
      <c r="E9552" s="501">
        <v>2479272342.0500002</v>
      </c>
      <c r="F9552" s="502" t="s">
        <v>878</v>
      </c>
      <c r="G9552" s="100">
        <v>117569566</v>
      </c>
      <c r="H9552" s="484">
        <v>117569566</v>
      </c>
      <c r="I9552" s="422" t="s">
        <v>719</v>
      </c>
      <c r="J9552" s="484"/>
      <c r="K9552" s="548"/>
      <c r="L9552" s="548"/>
      <c r="M9552" s="548"/>
      <c r="N9552" s="552">
        <v>3419640</v>
      </c>
      <c r="R9552" s="558">
        <v>724.702</v>
      </c>
      <c r="S9552" s="558">
        <v>725.00975016376003</v>
      </c>
      <c r="T9552" s="538">
        <v>15.5</v>
      </c>
      <c r="U9552" s="538">
        <v>3717.33</v>
      </c>
      <c r="V9552" s="538">
        <v>1858.66</v>
      </c>
    </row>
    <row r="9553" spans="1:22">
      <c r="A9553" s="499">
        <v>45826</v>
      </c>
      <c r="B9553" s="499">
        <v>45827</v>
      </c>
      <c r="C9553" s="500" t="s">
        <v>173</v>
      </c>
      <c r="D9553" s="500" t="s">
        <v>762</v>
      </c>
      <c r="E9553" s="501">
        <v>22011296.010000002</v>
      </c>
      <c r="F9553" s="502" t="s">
        <v>878</v>
      </c>
      <c r="G9553" s="100">
        <v>117569602</v>
      </c>
      <c r="H9553" s="484">
        <v>117569602</v>
      </c>
      <c r="I9553" s="422" t="s">
        <v>719</v>
      </c>
      <c r="J9553" s="484"/>
      <c r="K9553" s="548"/>
      <c r="L9553" s="548"/>
      <c r="M9553" s="548"/>
      <c r="N9553" s="552">
        <v>30360</v>
      </c>
      <c r="R9553" s="558">
        <v>724.702</v>
      </c>
      <c r="S9553" s="558">
        <v>725.00975000000005</v>
      </c>
      <c r="T9553" s="538">
        <v>15.5</v>
      </c>
      <c r="U9553" s="538">
        <v>39.32</v>
      </c>
      <c r="V9553" s="538">
        <v>16.5</v>
      </c>
    </row>
    <row r="9554" spans="1:22">
      <c r="A9554" s="499">
        <v>45826</v>
      </c>
      <c r="B9554" s="499">
        <v>45826</v>
      </c>
      <c r="C9554" s="500" t="s">
        <v>173</v>
      </c>
      <c r="D9554" s="500" t="s">
        <v>761</v>
      </c>
      <c r="E9554" s="501">
        <v>-503086155.85000002</v>
      </c>
      <c r="F9554" s="502" t="s">
        <v>878</v>
      </c>
      <c r="G9554" s="100">
        <v>117558849</v>
      </c>
      <c r="H9554" s="530"/>
      <c r="I9554" s="422" t="s">
        <v>1047</v>
      </c>
      <c r="J9554" s="484"/>
      <c r="K9554" s="548"/>
      <c r="L9554" s="548"/>
      <c r="M9554" s="548"/>
      <c r="N9554" s="552">
        <v>485898</v>
      </c>
      <c r="R9554" s="539">
        <v>1035.3739999958839</v>
      </c>
      <c r="S9554" s="539">
        <v>1035.8182208200101</v>
      </c>
      <c r="T9554" s="538">
        <v>15.6601</v>
      </c>
      <c r="U9554" s="538">
        <v>754.63</v>
      </c>
      <c r="V9554" s="538">
        <v>377.31</v>
      </c>
    </row>
    <row r="9555" spans="1:22">
      <c r="A9555" s="499">
        <v>45826</v>
      </c>
      <c r="B9555" s="499">
        <v>45826</v>
      </c>
      <c r="C9555" s="500" t="s">
        <v>173</v>
      </c>
      <c r="D9555" s="500" t="s">
        <v>761</v>
      </c>
      <c r="E9555" s="501">
        <v>-3000513.85</v>
      </c>
      <c r="F9555" s="502" t="s">
        <v>878</v>
      </c>
      <c r="G9555" s="100">
        <v>117558870</v>
      </c>
      <c r="H9555" s="530"/>
      <c r="I9555" s="422" t="s">
        <v>1047</v>
      </c>
      <c r="J9555" s="484"/>
      <c r="K9555" s="548"/>
      <c r="L9555" s="548"/>
      <c r="M9555" s="548"/>
      <c r="N9555" s="552">
        <v>2898</v>
      </c>
      <c r="R9555" s="539">
        <v>1035.3739993098689</v>
      </c>
      <c r="S9555" s="539">
        <v>1035.8182194617</v>
      </c>
      <c r="T9555" s="538">
        <v>15.6601</v>
      </c>
      <c r="U9555" s="538">
        <v>39.32</v>
      </c>
      <c r="V9555" s="538">
        <v>2.25</v>
      </c>
    </row>
    <row r="9556" spans="1:22">
      <c r="A9556" s="499">
        <v>45826</v>
      </c>
      <c r="B9556" s="499">
        <v>45827</v>
      </c>
      <c r="C9556" s="500" t="s">
        <v>173</v>
      </c>
      <c r="D9556" s="500" t="s">
        <v>761</v>
      </c>
      <c r="E9556" s="501">
        <v>503302001.86000001</v>
      </c>
      <c r="F9556" s="502" t="s">
        <v>878</v>
      </c>
      <c r="G9556" s="100">
        <v>117558849</v>
      </c>
      <c r="H9556" s="100">
        <v>117558849</v>
      </c>
      <c r="I9556" s="422" t="s">
        <v>1047</v>
      </c>
      <c r="J9556" s="484"/>
      <c r="K9556" s="548"/>
      <c r="L9556" s="548"/>
      <c r="M9556" s="548"/>
      <c r="N9556" s="552">
        <v>485898</v>
      </c>
      <c r="R9556" s="539">
        <v>1035.3739999958839</v>
      </c>
      <c r="S9556" s="539">
        <v>1035.8182208200101</v>
      </c>
      <c r="T9556" s="538">
        <v>15.6601</v>
      </c>
      <c r="U9556" s="538">
        <v>754.63</v>
      </c>
      <c r="V9556" s="538">
        <v>377.31</v>
      </c>
    </row>
    <row r="9557" spans="1:22">
      <c r="A9557" s="499">
        <v>45826</v>
      </c>
      <c r="B9557" s="499">
        <v>45827</v>
      </c>
      <c r="C9557" s="500" t="s">
        <v>173</v>
      </c>
      <c r="D9557" s="500" t="s">
        <v>761</v>
      </c>
      <c r="E9557" s="501">
        <v>3001801.2</v>
      </c>
      <c r="F9557" s="502" t="s">
        <v>878</v>
      </c>
      <c r="G9557" s="100">
        <v>117558870</v>
      </c>
      <c r="H9557" s="100">
        <v>117558870</v>
      </c>
      <c r="I9557" s="422" t="s">
        <v>1047</v>
      </c>
      <c r="J9557" s="484"/>
      <c r="K9557" s="548"/>
      <c r="L9557" s="548"/>
      <c r="M9557" s="548"/>
      <c r="N9557" s="552">
        <v>2898</v>
      </c>
      <c r="R9557" s="539">
        <v>1035.3739993098689</v>
      </c>
      <c r="S9557" s="539">
        <v>1035.8182194617</v>
      </c>
      <c r="T9557" s="538">
        <v>15.6601</v>
      </c>
      <c r="U9557" s="538">
        <v>39.32</v>
      </c>
      <c r="V9557" s="538">
        <v>2.25</v>
      </c>
    </row>
    <row r="9558" spans="1:22">
      <c r="A9558" s="499">
        <v>45826</v>
      </c>
      <c r="B9558" s="499">
        <v>45826</v>
      </c>
      <c r="C9558" s="500" t="s">
        <v>173</v>
      </c>
      <c r="D9558" s="500" t="s">
        <v>759</v>
      </c>
      <c r="E9558" s="501">
        <v>-67046947.909999996</v>
      </c>
      <c r="F9558" s="502" t="s">
        <v>878</v>
      </c>
      <c r="G9558" s="100">
        <v>117560716</v>
      </c>
      <c r="H9558" s="530"/>
      <c r="I9558" s="422" t="s">
        <v>816</v>
      </c>
      <c r="J9558" s="484"/>
      <c r="K9558" s="548"/>
      <c r="L9558" s="548"/>
      <c r="M9558" s="548"/>
      <c r="N9558" s="552">
        <v>66531</v>
      </c>
      <c r="R9558" s="539">
        <v>1007.7550000751529</v>
      </c>
      <c r="S9558" s="539">
        <v>1008.18571177346</v>
      </c>
      <c r="T9558" s="538">
        <v>15.6</v>
      </c>
      <c r="U9558" s="538">
        <v>100.57</v>
      </c>
      <c r="V9558" s="538">
        <v>50.29</v>
      </c>
    </row>
    <row r="9559" spans="1:22">
      <c r="A9559" s="499">
        <v>45826</v>
      </c>
      <c r="B9559" s="499">
        <v>45826</v>
      </c>
      <c r="C9559" s="500" t="s">
        <v>173</v>
      </c>
      <c r="D9559" s="500" t="s">
        <v>759</v>
      </c>
      <c r="E9559" s="501">
        <v>-1801034595</v>
      </c>
      <c r="F9559" s="502" t="s">
        <v>878</v>
      </c>
      <c r="G9559" s="100">
        <v>117560719</v>
      </c>
      <c r="H9559" s="530"/>
      <c r="I9559" s="422" t="s">
        <v>687</v>
      </c>
      <c r="J9559" s="484"/>
      <c r="K9559" s="548"/>
      <c r="L9559" s="548"/>
      <c r="M9559" s="548"/>
      <c r="N9559" s="552">
        <v>2115000</v>
      </c>
      <c r="R9559" s="539">
        <v>851.553</v>
      </c>
      <c r="S9559" s="539">
        <v>851.91695141844002</v>
      </c>
      <c r="T9559" s="538">
        <v>15.6</v>
      </c>
      <c r="U9559" s="538">
        <v>2701.55</v>
      </c>
      <c r="V9559" s="538">
        <v>1350.78</v>
      </c>
    </row>
    <row r="9560" spans="1:22">
      <c r="A9560" s="499">
        <v>45826</v>
      </c>
      <c r="B9560" s="499">
        <v>45826</v>
      </c>
      <c r="C9560" s="500" t="s">
        <v>173</v>
      </c>
      <c r="D9560" s="500" t="s">
        <v>759</v>
      </c>
      <c r="E9560" s="501">
        <v>-721638131.87</v>
      </c>
      <c r="F9560" s="502" t="s">
        <v>878</v>
      </c>
      <c r="G9560" s="100">
        <v>117560722</v>
      </c>
      <c r="H9560" s="530"/>
      <c r="I9560" s="422" t="s">
        <v>1741</v>
      </c>
      <c r="J9560" s="484"/>
      <c r="K9560" s="548"/>
      <c r="L9560" s="548"/>
      <c r="M9560" s="548"/>
      <c r="N9560" s="552">
        <v>750561</v>
      </c>
      <c r="R9560" s="539">
        <v>961.46500000666174</v>
      </c>
      <c r="S9560" s="539">
        <v>961.87592751288696</v>
      </c>
      <c r="T9560" s="538">
        <v>15.6</v>
      </c>
      <c r="U9560" s="538">
        <v>1082.46</v>
      </c>
      <c r="V9560" s="538">
        <v>541.23</v>
      </c>
    </row>
    <row r="9561" spans="1:22">
      <c r="A9561" s="499">
        <v>45826</v>
      </c>
      <c r="B9561" s="499">
        <v>45826</v>
      </c>
      <c r="C9561" s="500" t="s">
        <v>173</v>
      </c>
      <c r="D9561" s="500" t="s">
        <v>759</v>
      </c>
      <c r="E9561" s="501">
        <v>-275110766.69999999</v>
      </c>
      <c r="F9561" s="502" t="s">
        <v>878</v>
      </c>
      <c r="G9561" s="100">
        <v>117560725</v>
      </c>
      <c r="H9561" s="530"/>
      <c r="I9561" s="422" t="s">
        <v>716</v>
      </c>
      <c r="J9561" s="484"/>
      <c r="K9561" s="548"/>
      <c r="L9561" s="548"/>
      <c r="M9561" s="548"/>
      <c r="N9561" s="552">
        <v>372075</v>
      </c>
      <c r="R9561" s="539">
        <v>739.39599999999996</v>
      </c>
      <c r="S9561" s="539">
        <v>739.71201583014204</v>
      </c>
      <c r="T9561" s="538">
        <v>15.6</v>
      </c>
      <c r="U9561" s="538">
        <v>412.67</v>
      </c>
      <c r="V9561" s="538">
        <v>206.33</v>
      </c>
    </row>
    <row r="9562" spans="1:22">
      <c r="A9562" s="499">
        <v>45826</v>
      </c>
      <c r="B9562" s="499">
        <v>45826</v>
      </c>
      <c r="C9562" s="500" t="s">
        <v>173</v>
      </c>
      <c r="D9562" s="500" t="s">
        <v>759</v>
      </c>
      <c r="E9562" s="501">
        <v>-16006444.609999999</v>
      </c>
      <c r="F9562" s="502" t="s">
        <v>878</v>
      </c>
      <c r="G9562" s="100">
        <v>117560776</v>
      </c>
      <c r="H9562" s="530"/>
      <c r="I9562" s="422" t="s">
        <v>716</v>
      </c>
      <c r="J9562" s="484"/>
      <c r="K9562" s="548"/>
      <c r="L9562" s="548"/>
      <c r="M9562" s="548"/>
      <c r="N9562" s="552">
        <v>21648</v>
      </c>
      <c r="R9562" s="539">
        <v>739.39600009238723</v>
      </c>
      <c r="S9562" s="539">
        <v>739.71201589061297</v>
      </c>
      <c r="T9562" s="538">
        <v>15.6</v>
      </c>
      <c r="U9562" s="538">
        <v>39.32</v>
      </c>
      <c r="V9562" s="538">
        <v>12</v>
      </c>
    </row>
    <row r="9563" spans="1:22">
      <c r="A9563" s="499">
        <v>45826</v>
      </c>
      <c r="B9563" s="499">
        <v>45827</v>
      </c>
      <c r="C9563" s="500" t="s">
        <v>173</v>
      </c>
      <c r="D9563" s="500" t="s">
        <v>759</v>
      </c>
      <c r="E9563" s="501">
        <v>67075603.590000004</v>
      </c>
      <c r="F9563" s="502" t="s">
        <v>878</v>
      </c>
      <c r="G9563" s="100">
        <v>117560716</v>
      </c>
      <c r="H9563" s="100">
        <v>117560716</v>
      </c>
      <c r="I9563" s="422" t="s">
        <v>816</v>
      </c>
      <c r="J9563" s="484"/>
      <c r="K9563" s="548"/>
      <c r="L9563" s="548"/>
      <c r="M9563" s="548"/>
      <c r="N9563" s="552">
        <v>66531</v>
      </c>
      <c r="R9563" s="539">
        <v>1007.7550000751529</v>
      </c>
      <c r="S9563" s="539">
        <v>1008.18571177346</v>
      </c>
      <c r="T9563" s="538">
        <v>15.6</v>
      </c>
      <c r="U9563" s="538">
        <v>100.57</v>
      </c>
      <c r="V9563" s="538">
        <v>50.29</v>
      </c>
    </row>
    <row r="9564" spans="1:22">
      <c r="A9564" s="499">
        <v>45826</v>
      </c>
      <c r="B9564" s="499">
        <v>45827</v>
      </c>
      <c r="C9564" s="500" t="s">
        <v>173</v>
      </c>
      <c r="D9564" s="500" t="s">
        <v>759</v>
      </c>
      <c r="E9564" s="501">
        <v>1801804352.25</v>
      </c>
      <c r="F9564" s="502" t="s">
        <v>878</v>
      </c>
      <c r="G9564" s="100">
        <v>117560719</v>
      </c>
      <c r="H9564" s="100">
        <v>117560719</v>
      </c>
      <c r="I9564" s="422" t="s">
        <v>687</v>
      </c>
      <c r="J9564" s="484"/>
      <c r="K9564" s="548"/>
      <c r="L9564" s="548"/>
      <c r="M9564" s="548"/>
      <c r="N9564" s="552">
        <v>2115000</v>
      </c>
      <c r="R9564" s="539">
        <v>851.553</v>
      </c>
      <c r="S9564" s="539">
        <v>851.91695141844002</v>
      </c>
      <c r="T9564" s="538">
        <v>15.6</v>
      </c>
      <c r="U9564" s="538">
        <v>2701.55</v>
      </c>
      <c r="V9564" s="538">
        <v>1350.78</v>
      </c>
    </row>
    <row r="9565" spans="1:22">
      <c r="A9565" s="499">
        <v>45826</v>
      </c>
      <c r="B9565" s="499">
        <v>45827</v>
      </c>
      <c r="C9565" s="500" t="s">
        <v>173</v>
      </c>
      <c r="D9565" s="500" t="s">
        <v>759</v>
      </c>
      <c r="E9565" s="501">
        <v>721946558.02999997</v>
      </c>
      <c r="F9565" s="502" t="s">
        <v>878</v>
      </c>
      <c r="G9565" s="100">
        <v>117560722</v>
      </c>
      <c r="H9565" s="100">
        <v>117560722</v>
      </c>
      <c r="I9565" s="422" t="s">
        <v>1741</v>
      </c>
      <c r="J9565" s="484"/>
      <c r="K9565" s="548"/>
      <c r="L9565" s="548"/>
      <c r="M9565" s="548"/>
      <c r="N9565" s="552">
        <v>750561</v>
      </c>
      <c r="R9565" s="539">
        <v>961.46500000666174</v>
      </c>
      <c r="S9565" s="539">
        <v>961.87592751288696</v>
      </c>
      <c r="T9565" s="538">
        <v>15.6</v>
      </c>
      <c r="U9565" s="538">
        <v>1082.46</v>
      </c>
      <c r="V9565" s="538">
        <v>541.23</v>
      </c>
    </row>
    <row r="9566" spans="1:22">
      <c r="A9566" s="499">
        <v>45826</v>
      </c>
      <c r="B9566" s="499">
        <v>45827</v>
      </c>
      <c r="C9566" s="500" t="s">
        <v>173</v>
      </c>
      <c r="D9566" s="500" t="s">
        <v>759</v>
      </c>
      <c r="E9566" s="501">
        <v>275228348.29000002</v>
      </c>
      <c r="F9566" s="502" t="s">
        <v>878</v>
      </c>
      <c r="G9566" s="100">
        <v>117560725</v>
      </c>
      <c r="H9566" s="100">
        <v>117560725</v>
      </c>
      <c r="I9566" s="422" t="s">
        <v>716</v>
      </c>
      <c r="J9566" s="484"/>
      <c r="K9566" s="548"/>
      <c r="L9566" s="548"/>
      <c r="M9566" s="548"/>
      <c r="N9566" s="552">
        <v>372075</v>
      </c>
      <c r="R9566" s="539">
        <v>739.39599999999996</v>
      </c>
      <c r="S9566" s="539">
        <v>739.71201583014204</v>
      </c>
      <c r="T9566" s="538">
        <v>15.6</v>
      </c>
      <c r="U9566" s="538">
        <v>412.67</v>
      </c>
      <c r="V9566" s="538">
        <v>206.33</v>
      </c>
    </row>
    <row r="9567" spans="1:22">
      <c r="A9567" s="499">
        <v>45826</v>
      </c>
      <c r="B9567" s="499">
        <v>45827</v>
      </c>
      <c r="C9567" s="500" t="s">
        <v>173</v>
      </c>
      <c r="D9567" s="500" t="s">
        <v>759</v>
      </c>
      <c r="E9567" s="501">
        <v>16013285.720000001</v>
      </c>
      <c r="F9567" s="502" t="s">
        <v>878</v>
      </c>
      <c r="G9567" s="100">
        <v>117560776</v>
      </c>
      <c r="H9567" s="100">
        <v>117560776</v>
      </c>
      <c r="I9567" s="422" t="s">
        <v>716</v>
      </c>
      <c r="J9567" s="484"/>
      <c r="K9567" s="548"/>
      <c r="L9567" s="548"/>
      <c r="M9567" s="548"/>
      <c r="N9567" s="552">
        <v>21648</v>
      </c>
      <c r="R9567" s="539">
        <v>739.39600009238723</v>
      </c>
      <c r="S9567" s="539">
        <v>739.71201589061297</v>
      </c>
      <c r="T9567" s="538">
        <v>15.6</v>
      </c>
      <c r="U9567" s="538">
        <v>39.32</v>
      </c>
      <c r="V9567" s="538">
        <v>12</v>
      </c>
    </row>
    <row r="9568" spans="1:22">
      <c r="A9568" s="499">
        <v>45826</v>
      </c>
      <c r="B9568" s="499">
        <v>45826</v>
      </c>
      <c r="C9568" s="500" t="s">
        <v>173</v>
      </c>
      <c r="D9568" s="500" t="s">
        <v>760</v>
      </c>
      <c r="E9568" s="501">
        <v>-411287993.87</v>
      </c>
      <c r="F9568" s="502" t="s">
        <v>878</v>
      </c>
      <c r="G9568" s="100">
        <v>117559093</v>
      </c>
      <c r="H9568" s="530"/>
      <c r="I9568" s="422" t="s">
        <v>816</v>
      </c>
      <c r="J9568" s="484"/>
      <c r="K9568" s="548"/>
      <c r="L9568" s="548"/>
      <c r="M9568" s="548"/>
      <c r="N9568" s="552">
        <v>408123</v>
      </c>
      <c r="R9568" s="539">
        <v>1007.755</v>
      </c>
      <c r="S9568" s="539">
        <v>1008.18571173396</v>
      </c>
      <c r="T9568" s="538">
        <v>15.6</v>
      </c>
      <c r="U9568" s="538">
        <v>616.92999999999995</v>
      </c>
      <c r="V9568" s="538">
        <v>308.47000000000003</v>
      </c>
    </row>
    <row r="9569" spans="1:22">
      <c r="A9569" s="499">
        <v>45826</v>
      </c>
      <c r="B9569" s="499">
        <v>45826</v>
      </c>
      <c r="C9569" s="500" t="s">
        <v>173</v>
      </c>
      <c r="D9569" s="500" t="s">
        <v>760</v>
      </c>
      <c r="E9569" s="501">
        <v>-1550139305.01</v>
      </c>
      <c r="F9569" s="502" t="s">
        <v>878</v>
      </c>
      <c r="G9569" s="100">
        <v>117558297</v>
      </c>
      <c r="H9569" s="530"/>
      <c r="I9569" s="422" t="s">
        <v>2591</v>
      </c>
      <c r="J9569" s="484"/>
      <c r="K9569" s="548"/>
      <c r="L9569" s="548"/>
      <c r="M9569" s="548"/>
      <c r="N9569" s="552">
        <v>15544950</v>
      </c>
      <c r="R9569" s="539">
        <v>99.719800000000006</v>
      </c>
      <c r="S9569" s="539">
        <v>99.762692900909897</v>
      </c>
      <c r="T9569" s="538">
        <v>15.6999</v>
      </c>
      <c r="U9569" s="538">
        <v>2325.21</v>
      </c>
      <c r="V9569" s="538">
        <v>1162.5999999999999</v>
      </c>
    </row>
    <row r="9570" spans="1:22">
      <c r="A9570" s="499">
        <v>45826</v>
      </c>
      <c r="B9570" s="499">
        <v>45827</v>
      </c>
      <c r="C9570" s="500" t="s">
        <v>173</v>
      </c>
      <c r="D9570" s="500" t="s">
        <v>760</v>
      </c>
      <c r="E9570" s="501">
        <v>411463777.23000002</v>
      </c>
      <c r="F9570" s="502" t="s">
        <v>878</v>
      </c>
      <c r="G9570" s="100">
        <v>117559093</v>
      </c>
      <c r="H9570" s="100">
        <v>117559093</v>
      </c>
      <c r="I9570" s="422" t="s">
        <v>816</v>
      </c>
      <c r="J9570" s="484"/>
      <c r="K9570" s="548"/>
      <c r="L9570" s="548"/>
      <c r="M9570" s="548"/>
      <c r="N9570" s="552">
        <v>408123</v>
      </c>
      <c r="R9570" s="539">
        <v>1007.755</v>
      </c>
      <c r="S9570" s="539">
        <v>1008.18571173396</v>
      </c>
      <c r="T9570" s="538">
        <v>15.6</v>
      </c>
      <c r="U9570" s="538">
        <v>616.92999999999995</v>
      </c>
      <c r="V9570" s="538">
        <v>308.47000000000003</v>
      </c>
    </row>
    <row r="9571" spans="1:22">
      <c r="A9571" s="499">
        <v>45826</v>
      </c>
      <c r="B9571" s="499">
        <v>45827</v>
      </c>
      <c r="C9571" s="500" t="s">
        <v>173</v>
      </c>
      <c r="D9571" s="500" t="s">
        <v>760</v>
      </c>
      <c r="E9571" s="501">
        <v>1550806073.01</v>
      </c>
      <c r="F9571" s="502" t="s">
        <v>878</v>
      </c>
      <c r="G9571" s="100">
        <v>117558297</v>
      </c>
      <c r="H9571" s="100">
        <v>117558297</v>
      </c>
      <c r="I9571" s="422" t="s">
        <v>2591</v>
      </c>
      <c r="J9571" s="484"/>
      <c r="K9571" s="548"/>
      <c r="L9571" s="548"/>
      <c r="M9571" s="548"/>
      <c r="N9571" s="552">
        <v>15544950</v>
      </c>
      <c r="R9571" s="539">
        <v>99.719800000000006</v>
      </c>
      <c r="S9571" s="539">
        <v>99.762692900909897</v>
      </c>
      <c r="T9571" s="538">
        <v>15.6999</v>
      </c>
      <c r="U9571" s="538">
        <v>2325.21</v>
      </c>
      <c r="V9571" s="538">
        <v>1162.5999999999999</v>
      </c>
    </row>
    <row r="9572" spans="1:22">
      <c r="A9572" s="499">
        <v>45826</v>
      </c>
      <c r="B9572" s="499">
        <v>45826</v>
      </c>
      <c r="C9572" s="500" t="s">
        <v>173</v>
      </c>
      <c r="D9572" s="500" t="s">
        <v>764</v>
      </c>
      <c r="E9572" s="501">
        <v>-494360293.95999998</v>
      </c>
      <c r="F9572" s="502" t="s">
        <v>878</v>
      </c>
      <c r="G9572" s="100">
        <v>117558128</v>
      </c>
      <c r="H9572" s="530"/>
      <c r="I9572" s="422" t="s">
        <v>657</v>
      </c>
      <c r="J9572" s="484"/>
      <c r="K9572" s="548"/>
      <c r="L9572" s="548"/>
      <c r="M9572" s="548"/>
      <c r="N9572" s="552">
        <v>507338</v>
      </c>
      <c r="R9572" s="539">
        <v>974.42</v>
      </c>
      <c r="S9572" s="539">
        <v>974.83860014428296</v>
      </c>
      <c r="T9572" s="538">
        <v>15.68</v>
      </c>
      <c r="U9572" s="538">
        <v>741.54</v>
      </c>
      <c r="V9572" s="538">
        <v>370.77</v>
      </c>
    </row>
    <row r="9573" spans="1:22">
      <c r="A9573" s="499">
        <v>45826</v>
      </c>
      <c r="B9573" s="499">
        <v>45826</v>
      </c>
      <c r="C9573" s="500" t="s">
        <v>173</v>
      </c>
      <c r="D9573" s="500" t="s">
        <v>764</v>
      </c>
      <c r="E9573" s="501">
        <v>-7002114.3899999997</v>
      </c>
      <c r="F9573" s="502" t="s">
        <v>878</v>
      </c>
      <c r="G9573" s="100">
        <v>117558242</v>
      </c>
      <c r="H9573" s="530"/>
      <c r="I9573" s="422" t="s">
        <v>689</v>
      </c>
      <c r="J9573" s="484"/>
      <c r="K9573" s="548"/>
      <c r="L9573" s="548"/>
      <c r="M9573" s="548"/>
      <c r="N9573" s="552">
        <v>7553</v>
      </c>
      <c r="R9573" s="539">
        <v>927.06399973520456</v>
      </c>
      <c r="S9573" s="539">
        <v>927.46174764993998</v>
      </c>
      <c r="T9573" s="538">
        <v>15.66</v>
      </c>
      <c r="U9573" s="538">
        <v>39.32</v>
      </c>
      <c r="V9573" s="538">
        <v>5.25</v>
      </c>
    </row>
    <row r="9574" spans="1:22">
      <c r="A9574" s="499">
        <v>45826</v>
      </c>
      <c r="B9574" s="499">
        <v>45827</v>
      </c>
      <c r="C9574" s="500" t="s">
        <v>173</v>
      </c>
      <c r="D9574" s="500" t="s">
        <v>764</v>
      </c>
      <c r="E9574" s="501">
        <v>494572665.72000003</v>
      </c>
      <c r="F9574" s="502" t="s">
        <v>878</v>
      </c>
      <c r="G9574" s="100">
        <v>117558128</v>
      </c>
      <c r="H9574" s="100">
        <v>117558128</v>
      </c>
      <c r="I9574" s="422" t="s">
        <v>657</v>
      </c>
      <c r="J9574" s="484"/>
      <c r="K9574" s="548"/>
      <c r="L9574" s="548"/>
      <c r="M9574" s="548"/>
      <c r="N9574" s="552">
        <v>507338</v>
      </c>
      <c r="R9574" s="539">
        <v>974.42</v>
      </c>
      <c r="S9574" s="539">
        <v>974.83860014428296</v>
      </c>
      <c r="T9574" s="538">
        <v>15.68</v>
      </c>
      <c r="U9574" s="538">
        <v>741.54</v>
      </c>
      <c r="V9574" s="538">
        <v>370.77</v>
      </c>
    </row>
    <row r="9575" spans="1:22">
      <c r="A9575" s="499">
        <v>45826</v>
      </c>
      <c r="B9575" s="499">
        <v>45827</v>
      </c>
      <c r="C9575" s="500" t="s">
        <v>173</v>
      </c>
      <c r="D9575" s="500" t="s">
        <v>764</v>
      </c>
      <c r="E9575" s="501">
        <v>7005118.5800000001</v>
      </c>
      <c r="F9575" s="502" t="s">
        <v>878</v>
      </c>
      <c r="G9575" s="100">
        <v>117558242</v>
      </c>
      <c r="H9575" s="100">
        <v>117558242</v>
      </c>
      <c r="I9575" s="422" t="s">
        <v>689</v>
      </c>
      <c r="J9575" s="484"/>
      <c r="K9575" s="548"/>
      <c r="L9575" s="548"/>
      <c r="M9575" s="548"/>
      <c r="N9575" s="552">
        <v>7553</v>
      </c>
      <c r="R9575" s="539">
        <v>927.06399973520456</v>
      </c>
      <c r="S9575" s="539">
        <v>927.46174764993998</v>
      </c>
      <c r="T9575" s="538">
        <v>15.66</v>
      </c>
      <c r="U9575" s="538">
        <v>39.32</v>
      </c>
      <c r="V9575" s="538">
        <v>5.25</v>
      </c>
    </row>
    <row r="9576" spans="1:22">
      <c r="A9576" s="499">
        <v>45826</v>
      </c>
      <c r="B9576" s="499">
        <v>45826</v>
      </c>
      <c r="C9576" s="500" t="s">
        <v>173</v>
      </c>
      <c r="D9576" s="500" t="s">
        <v>763</v>
      </c>
      <c r="E9576" s="501">
        <v>-3633802674.1900001</v>
      </c>
      <c r="F9576" s="502" t="s">
        <v>878</v>
      </c>
      <c r="G9576" s="100">
        <v>117561600</v>
      </c>
      <c r="H9576" s="530"/>
      <c r="I9576" s="422" t="s">
        <v>829</v>
      </c>
      <c r="J9576" s="484"/>
      <c r="K9576" s="548"/>
      <c r="L9576" s="548"/>
      <c r="M9576" s="548"/>
      <c r="N9576" s="552">
        <v>3497616</v>
      </c>
      <c r="R9576" s="539">
        <v>1038.9369999999999</v>
      </c>
      <c r="S9576" s="539">
        <v>1039.37847991032</v>
      </c>
      <c r="T9576" s="538">
        <v>15.5101</v>
      </c>
      <c r="U9576" s="538">
        <v>5450.7</v>
      </c>
      <c r="V9576" s="538">
        <v>2725.35</v>
      </c>
    </row>
    <row r="9577" spans="1:22">
      <c r="A9577" s="499">
        <v>45826</v>
      </c>
      <c r="B9577" s="499">
        <v>45826</v>
      </c>
      <c r="C9577" s="500" t="s">
        <v>173</v>
      </c>
      <c r="D9577" s="500" t="s">
        <v>763</v>
      </c>
      <c r="E9577" s="501">
        <v>-346072841.72000003</v>
      </c>
      <c r="F9577" s="502" t="s">
        <v>878</v>
      </c>
      <c r="G9577" s="100">
        <v>117561603</v>
      </c>
      <c r="H9577" s="530"/>
      <c r="I9577" s="422" t="s">
        <v>631</v>
      </c>
      <c r="J9577" s="484"/>
      <c r="K9577" s="548"/>
      <c r="L9577" s="548"/>
      <c r="M9577" s="548"/>
      <c r="N9577" s="552">
        <v>731098</v>
      </c>
      <c r="R9577" s="539">
        <v>473.36040000000003</v>
      </c>
      <c r="S9577" s="539">
        <v>473.56154704294102</v>
      </c>
      <c r="T9577" s="538">
        <v>15.5101</v>
      </c>
      <c r="U9577" s="538">
        <v>519.11</v>
      </c>
      <c r="V9577" s="538">
        <v>259.55</v>
      </c>
    </row>
    <row r="9578" spans="1:22">
      <c r="A9578" s="499">
        <v>45826</v>
      </c>
      <c r="B9578" s="499">
        <v>45826</v>
      </c>
      <c r="C9578" s="500" t="s">
        <v>173</v>
      </c>
      <c r="D9578" s="500" t="s">
        <v>763</v>
      </c>
      <c r="E9578" s="501">
        <v>-32010374.25</v>
      </c>
      <c r="F9578" s="502" t="s">
        <v>878</v>
      </c>
      <c r="G9578" s="100">
        <v>117561606</v>
      </c>
      <c r="H9578" s="530"/>
      <c r="I9578" s="422" t="s">
        <v>1013</v>
      </c>
      <c r="J9578" s="484"/>
      <c r="K9578" s="548"/>
      <c r="L9578" s="548"/>
      <c r="M9578" s="548"/>
      <c r="N9578" s="552">
        <v>62912</v>
      </c>
      <c r="R9578" s="539">
        <v>508.81189999999998</v>
      </c>
      <c r="S9578" s="539">
        <v>509.02811148906397</v>
      </c>
      <c r="T9578" s="538">
        <v>15.5101</v>
      </c>
      <c r="U9578" s="538">
        <v>48.02</v>
      </c>
      <c r="V9578" s="538">
        <v>39.32</v>
      </c>
    </row>
    <row r="9579" spans="1:22">
      <c r="A9579" s="499">
        <v>45826</v>
      </c>
      <c r="B9579" s="499">
        <v>45826</v>
      </c>
      <c r="C9579" s="500" t="s">
        <v>173</v>
      </c>
      <c r="D9579" s="500" t="s">
        <v>763</v>
      </c>
      <c r="E9579" s="501">
        <v>-1871753616.3499999</v>
      </c>
      <c r="F9579" s="502" t="s">
        <v>878</v>
      </c>
      <c r="G9579" s="100">
        <v>117561609</v>
      </c>
      <c r="H9579" s="530"/>
      <c r="I9579" s="422" t="s">
        <v>716</v>
      </c>
      <c r="J9579" s="484"/>
      <c r="K9579" s="548"/>
      <c r="L9579" s="548"/>
      <c r="M9579" s="548"/>
      <c r="N9579" s="552">
        <v>2531463</v>
      </c>
      <c r="R9579" s="539">
        <v>739.39599999999996</v>
      </c>
      <c r="S9579" s="539">
        <v>739.71019265539303</v>
      </c>
      <c r="T9579" s="538">
        <v>15.51</v>
      </c>
      <c r="U9579" s="538">
        <v>2807.63</v>
      </c>
      <c r="V9579" s="538">
        <v>1403.82</v>
      </c>
    </row>
    <row r="9580" spans="1:22">
      <c r="A9580" s="499">
        <v>45826</v>
      </c>
      <c r="B9580" s="499">
        <v>45826</v>
      </c>
      <c r="C9580" s="500" t="s">
        <v>173</v>
      </c>
      <c r="D9580" s="500" t="s">
        <v>763</v>
      </c>
      <c r="E9580" s="501">
        <v>-34013694.789999999</v>
      </c>
      <c r="F9580" s="502" t="s">
        <v>878</v>
      </c>
      <c r="G9580" s="100">
        <v>117561656</v>
      </c>
      <c r="H9580" s="530"/>
      <c r="I9580" s="422" t="s">
        <v>716</v>
      </c>
      <c r="J9580" s="484"/>
      <c r="K9580" s="548"/>
      <c r="L9580" s="548"/>
      <c r="M9580" s="548"/>
      <c r="N9580" s="552">
        <v>46002</v>
      </c>
      <c r="R9580" s="539">
        <v>739.39599999999996</v>
      </c>
      <c r="S9580" s="539">
        <v>739.71019260032199</v>
      </c>
      <c r="T9580" s="538">
        <v>15.51</v>
      </c>
      <c r="U9580" s="538">
        <v>51.02</v>
      </c>
      <c r="V9580" s="538">
        <v>39.32</v>
      </c>
    </row>
    <row r="9581" spans="1:22">
      <c r="A9581" s="499">
        <v>45826</v>
      </c>
      <c r="B9581" s="499">
        <v>45827</v>
      </c>
      <c r="C9581" s="500" t="s">
        <v>173</v>
      </c>
      <c r="D9581" s="500" t="s">
        <v>763</v>
      </c>
      <c r="E9581" s="501">
        <v>3635346801.3899999</v>
      </c>
      <c r="F9581" s="502" t="s">
        <v>878</v>
      </c>
      <c r="G9581" s="100">
        <v>117561600</v>
      </c>
      <c r="H9581" s="100">
        <v>117561600</v>
      </c>
      <c r="I9581" s="422" t="s">
        <v>829</v>
      </c>
      <c r="J9581" s="484"/>
      <c r="K9581" s="548"/>
      <c r="L9581" s="548"/>
      <c r="M9581" s="548"/>
      <c r="N9581" s="552">
        <v>3497616</v>
      </c>
      <c r="R9581" s="539">
        <v>1038.9369999999999</v>
      </c>
      <c r="S9581" s="539">
        <v>1039.37847991032</v>
      </c>
      <c r="T9581" s="538">
        <v>15.5101</v>
      </c>
      <c r="U9581" s="538">
        <v>5450.7</v>
      </c>
      <c r="V9581" s="538">
        <v>2725.35</v>
      </c>
    </row>
    <row r="9582" spans="1:22">
      <c r="A9582" s="499">
        <v>45826</v>
      </c>
      <c r="B9582" s="499">
        <v>45827</v>
      </c>
      <c r="C9582" s="500" t="s">
        <v>173</v>
      </c>
      <c r="D9582" s="500" t="s">
        <v>763</v>
      </c>
      <c r="E9582" s="501">
        <v>346219899.92000002</v>
      </c>
      <c r="F9582" s="502" t="s">
        <v>878</v>
      </c>
      <c r="G9582" s="100">
        <v>117561603</v>
      </c>
      <c r="H9582" s="100">
        <v>117561603</v>
      </c>
      <c r="I9582" s="422" t="s">
        <v>631</v>
      </c>
      <c r="J9582" s="484"/>
      <c r="K9582" s="548"/>
      <c r="L9582" s="548"/>
      <c r="M9582" s="548"/>
      <c r="N9582" s="552">
        <v>731098</v>
      </c>
      <c r="R9582" s="539">
        <v>473.36040000000003</v>
      </c>
      <c r="S9582" s="539">
        <v>473.56154704294102</v>
      </c>
      <c r="T9582" s="538">
        <v>15.5101</v>
      </c>
      <c r="U9582" s="538">
        <v>519.11</v>
      </c>
      <c r="V9582" s="538">
        <v>259.55</v>
      </c>
    </row>
    <row r="9583" spans="1:22">
      <c r="A9583" s="499">
        <v>45826</v>
      </c>
      <c r="B9583" s="499">
        <v>45827</v>
      </c>
      <c r="C9583" s="500" t="s">
        <v>173</v>
      </c>
      <c r="D9583" s="500" t="s">
        <v>763</v>
      </c>
      <c r="E9583" s="501">
        <v>32023976.550000001</v>
      </c>
      <c r="F9583" s="502" t="s">
        <v>878</v>
      </c>
      <c r="G9583" s="100">
        <v>117561606</v>
      </c>
      <c r="H9583" s="100">
        <v>117561606</v>
      </c>
      <c r="I9583" s="422" t="s">
        <v>1013</v>
      </c>
      <c r="J9583" s="484"/>
      <c r="K9583" s="548"/>
      <c r="L9583" s="548"/>
      <c r="M9583" s="548"/>
      <c r="N9583" s="552">
        <v>62912</v>
      </c>
      <c r="R9583" s="539">
        <v>508.81189999999998</v>
      </c>
      <c r="S9583" s="539">
        <v>509.02811148906397</v>
      </c>
      <c r="T9583" s="538">
        <v>15.5101</v>
      </c>
      <c r="U9583" s="538">
        <v>48.02</v>
      </c>
      <c r="V9583" s="538">
        <v>39.32</v>
      </c>
    </row>
    <row r="9584" spans="1:22">
      <c r="A9584" s="499">
        <v>45826</v>
      </c>
      <c r="B9584" s="499">
        <v>45827</v>
      </c>
      <c r="C9584" s="500" t="s">
        <v>173</v>
      </c>
      <c r="D9584" s="500" t="s">
        <v>763</v>
      </c>
      <c r="E9584" s="501">
        <v>1872548983.4300001</v>
      </c>
      <c r="F9584" s="502" t="s">
        <v>878</v>
      </c>
      <c r="G9584" s="100">
        <v>117561609</v>
      </c>
      <c r="H9584" s="100">
        <v>117561609</v>
      </c>
      <c r="I9584" s="422" t="s">
        <v>716</v>
      </c>
      <c r="J9584" s="484"/>
      <c r="K9584" s="548"/>
      <c r="L9584" s="548"/>
      <c r="M9584" s="548"/>
      <c r="N9584" s="552">
        <v>2531463</v>
      </c>
      <c r="R9584" s="539">
        <v>739.39599999999996</v>
      </c>
      <c r="S9584" s="539">
        <v>739.71019265539303</v>
      </c>
      <c r="T9584" s="538">
        <v>15.51</v>
      </c>
      <c r="U9584" s="538">
        <v>2807.63</v>
      </c>
      <c r="V9584" s="538">
        <v>1403.82</v>
      </c>
    </row>
    <row r="9585" spans="1:22">
      <c r="A9585" s="499">
        <v>45826</v>
      </c>
      <c r="B9585" s="499">
        <v>45827</v>
      </c>
      <c r="C9585" s="500" t="s">
        <v>173</v>
      </c>
      <c r="D9585" s="500" t="s">
        <v>763</v>
      </c>
      <c r="E9585" s="501">
        <v>34028148.280000001</v>
      </c>
      <c r="F9585" s="502" t="s">
        <v>878</v>
      </c>
      <c r="G9585" s="100">
        <v>117561656</v>
      </c>
      <c r="H9585" s="100">
        <v>117561656</v>
      </c>
      <c r="I9585" s="422" t="s">
        <v>716</v>
      </c>
      <c r="J9585" s="484"/>
      <c r="K9585" s="548"/>
      <c r="L9585" s="548"/>
      <c r="M9585" s="548"/>
      <c r="N9585" s="552">
        <v>46002</v>
      </c>
      <c r="R9585" s="539">
        <v>739.39599999999996</v>
      </c>
      <c r="S9585" s="539">
        <v>739.71019260032199</v>
      </c>
      <c r="T9585" s="538">
        <v>15.51</v>
      </c>
      <c r="U9585" s="538">
        <v>51.02</v>
      </c>
      <c r="V9585" s="538">
        <v>39.32</v>
      </c>
    </row>
    <row r="9586" spans="1:22">
      <c r="A9586" s="499">
        <v>45827</v>
      </c>
      <c r="B9586" s="499">
        <v>45827</v>
      </c>
      <c r="C9586" s="500" t="s">
        <v>173</v>
      </c>
      <c r="D9586" s="500" t="s">
        <v>762</v>
      </c>
      <c r="E9586" s="501">
        <v>-2679091745.6199999</v>
      </c>
      <c r="F9586" s="502" t="s">
        <v>878</v>
      </c>
      <c r="G9586" s="100">
        <v>117591495</v>
      </c>
      <c r="H9586" s="530"/>
      <c r="I9586" s="422" t="s">
        <v>691</v>
      </c>
      <c r="J9586" s="484"/>
      <c r="K9586" s="548"/>
      <c r="L9586" s="548"/>
      <c r="M9586" s="548"/>
      <c r="N9586" s="552">
        <v>2916342</v>
      </c>
      <c r="R9586" s="558">
        <v>918.64800000000002</v>
      </c>
      <c r="S9586" s="558">
        <v>919.03812337853401</v>
      </c>
      <c r="T9586" s="538">
        <v>15.500500000000001</v>
      </c>
      <c r="U9586" s="538">
        <v>4018.64</v>
      </c>
      <c r="V9586" s="538">
        <v>2009.32</v>
      </c>
    </row>
    <row r="9587" spans="1:22">
      <c r="A9587" s="499">
        <v>45827</v>
      </c>
      <c r="B9587" s="499">
        <v>45827</v>
      </c>
      <c r="C9587" s="500" t="s">
        <v>173</v>
      </c>
      <c r="D9587" s="500" t="s">
        <v>762</v>
      </c>
      <c r="E9587" s="501">
        <v>-16010901.310000001</v>
      </c>
      <c r="F9587" s="502" t="s">
        <v>878</v>
      </c>
      <c r="G9587" s="100">
        <v>117591539</v>
      </c>
      <c r="H9587" s="530"/>
      <c r="I9587" s="422" t="s">
        <v>681</v>
      </c>
      <c r="J9587" s="484"/>
      <c r="K9587" s="548"/>
      <c r="L9587" s="548"/>
      <c r="M9587" s="548"/>
      <c r="N9587" s="552">
        <v>18032</v>
      </c>
      <c r="R9587" s="558">
        <v>887.91600000000005</v>
      </c>
      <c r="S9587" s="558">
        <v>888.29549301242196</v>
      </c>
      <c r="T9587" s="538">
        <v>15.6</v>
      </c>
      <c r="U9587" s="538">
        <v>39.32</v>
      </c>
      <c r="V9587" s="538">
        <v>12.01</v>
      </c>
    </row>
    <row r="9588" spans="1:22">
      <c r="A9588" s="499">
        <v>45827</v>
      </c>
      <c r="B9588" s="499">
        <v>45828</v>
      </c>
      <c r="C9588" s="500" t="s">
        <v>173</v>
      </c>
      <c r="D9588" s="500" t="s">
        <v>762</v>
      </c>
      <c r="E9588" s="501">
        <v>2680229478.8099999</v>
      </c>
      <c r="F9588" s="502" t="s">
        <v>878</v>
      </c>
      <c r="G9588" s="100">
        <v>117591495</v>
      </c>
      <c r="H9588" s="100">
        <v>117591495</v>
      </c>
      <c r="I9588" s="422" t="s">
        <v>691</v>
      </c>
      <c r="J9588" s="484"/>
      <c r="K9588" s="548"/>
      <c r="L9588" s="548"/>
      <c r="M9588" s="548"/>
      <c r="N9588" s="552">
        <v>2916342</v>
      </c>
      <c r="R9588" s="558">
        <v>918.64800000000002</v>
      </c>
      <c r="S9588" s="558">
        <v>919.03812337853401</v>
      </c>
      <c r="T9588" s="538">
        <v>15.500500000000001</v>
      </c>
      <c r="U9588" s="538">
        <v>4018.64</v>
      </c>
      <c r="V9588" s="538">
        <v>2009.32</v>
      </c>
    </row>
    <row r="9589" spans="1:22">
      <c r="A9589" s="499">
        <v>45827</v>
      </c>
      <c r="B9589" s="499">
        <v>45828</v>
      </c>
      <c r="C9589" s="500" t="s">
        <v>173</v>
      </c>
      <c r="D9589" s="500" t="s">
        <v>762</v>
      </c>
      <c r="E9589" s="501">
        <v>16017744.33</v>
      </c>
      <c r="F9589" s="502" t="s">
        <v>878</v>
      </c>
      <c r="G9589" s="100">
        <v>117591539</v>
      </c>
      <c r="H9589" s="100">
        <v>117591539</v>
      </c>
      <c r="I9589" s="422" t="s">
        <v>681</v>
      </c>
      <c r="J9589" s="484"/>
      <c r="K9589" s="548"/>
      <c r="L9589" s="548"/>
      <c r="M9589" s="548"/>
      <c r="N9589" s="552">
        <v>18032</v>
      </c>
      <c r="R9589" s="558">
        <v>887.91600000000005</v>
      </c>
      <c r="S9589" s="558">
        <v>888.29549301242196</v>
      </c>
      <c r="T9589" s="538">
        <v>15.6</v>
      </c>
      <c r="U9589" s="538">
        <v>39.32</v>
      </c>
      <c r="V9589" s="538">
        <v>12.01</v>
      </c>
    </row>
    <row r="9590" spans="1:22">
      <c r="A9590" s="499">
        <v>45827</v>
      </c>
      <c r="B9590" s="499">
        <v>45827</v>
      </c>
      <c r="C9590" s="500" t="s">
        <v>173</v>
      </c>
      <c r="D9590" s="500" t="s">
        <v>761</v>
      </c>
      <c r="E9590" s="501">
        <v>-1827528968.23</v>
      </c>
      <c r="F9590" s="502" t="s">
        <v>878</v>
      </c>
      <c r="G9590" s="100">
        <v>117583475</v>
      </c>
      <c r="H9590" s="530"/>
      <c r="I9590" s="422" t="s">
        <v>654</v>
      </c>
      <c r="J9590" s="484"/>
      <c r="K9590" s="548"/>
      <c r="L9590" s="548"/>
      <c r="M9590" s="548"/>
      <c r="N9590" s="552">
        <v>1760264</v>
      </c>
      <c r="R9590" s="539">
        <v>1038.2129999988638</v>
      </c>
      <c r="S9590" s="539">
        <v>1038.6555973138099</v>
      </c>
      <c r="T9590" s="538">
        <v>15.5602</v>
      </c>
      <c r="U9590" s="538">
        <v>2741.29</v>
      </c>
      <c r="V9590" s="538">
        <v>1370.65</v>
      </c>
    </row>
    <row r="9591" spans="1:22">
      <c r="A9591" s="499">
        <v>45827</v>
      </c>
      <c r="B9591" s="499">
        <v>45827</v>
      </c>
      <c r="C9591" s="500" t="s">
        <v>173</v>
      </c>
      <c r="D9591" s="500" t="s">
        <v>761</v>
      </c>
      <c r="E9591" s="501">
        <v>-10008373.32</v>
      </c>
      <c r="F9591" s="502" t="s">
        <v>878</v>
      </c>
      <c r="G9591" s="100">
        <v>117583489</v>
      </c>
      <c r="H9591" s="530"/>
      <c r="I9591" s="422" t="s">
        <v>654</v>
      </c>
      <c r="J9591" s="484"/>
      <c r="K9591" s="548"/>
      <c r="L9591" s="548"/>
      <c r="M9591" s="548"/>
      <c r="N9591" s="552">
        <v>9640</v>
      </c>
      <c r="R9591" s="539">
        <v>1038.213</v>
      </c>
      <c r="S9591" s="539">
        <v>1038.6555975103699</v>
      </c>
      <c r="T9591" s="538">
        <v>15.5602</v>
      </c>
      <c r="U9591" s="538">
        <v>39.32</v>
      </c>
      <c r="V9591" s="538">
        <v>7.51</v>
      </c>
    </row>
    <row r="9592" spans="1:22">
      <c r="A9592" s="499">
        <v>45827</v>
      </c>
      <c r="B9592" s="499">
        <v>45828</v>
      </c>
      <c r="C9592" s="500" t="s">
        <v>173</v>
      </c>
      <c r="D9592" s="500" t="s">
        <v>761</v>
      </c>
      <c r="E9592" s="501">
        <v>1828308056.3499999</v>
      </c>
      <c r="F9592" s="502" t="s">
        <v>878</v>
      </c>
      <c r="G9592" s="100">
        <v>117583475</v>
      </c>
      <c r="H9592" s="100">
        <v>117583475</v>
      </c>
      <c r="I9592" s="422" t="s">
        <v>654</v>
      </c>
      <c r="J9592" s="484"/>
      <c r="K9592" s="548"/>
      <c r="L9592" s="548"/>
      <c r="M9592" s="548"/>
      <c r="N9592" s="552">
        <v>1760264</v>
      </c>
      <c r="R9592" s="539">
        <v>1038.2129999988638</v>
      </c>
      <c r="S9592" s="539">
        <v>1038.6555973138099</v>
      </c>
      <c r="T9592" s="538">
        <v>15.5602</v>
      </c>
      <c r="U9592" s="538">
        <v>2741.29</v>
      </c>
      <c r="V9592" s="538">
        <v>1370.65</v>
      </c>
    </row>
    <row r="9593" spans="1:22">
      <c r="A9593" s="499">
        <v>45827</v>
      </c>
      <c r="B9593" s="499">
        <v>45828</v>
      </c>
      <c r="C9593" s="500" t="s">
        <v>173</v>
      </c>
      <c r="D9593" s="500" t="s">
        <v>761</v>
      </c>
      <c r="E9593" s="501">
        <v>10012639.960000001</v>
      </c>
      <c r="F9593" s="502" t="s">
        <v>878</v>
      </c>
      <c r="G9593" s="100">
        <v>117583489</v>
      </c>
      <c r="H9593" s="100">
        <v>117583489</v>
      </c>
      <c r="I9593" s="422" t="s">
        <v>654</v>
      </c>
      <c r="J9593" s="484"/>
      <c r="K9593" s="548"/>
      <c r="L9593" s="548"/>
      <c r="M9593" s="548"/>
      <c r="N9593" s="552">
        <v>9640</v>
      </c>
      <c r="R9593" s="539">
        <v>1038.213</v>
      </c>
      <c r="S9593" s="539">
        <v>1038.6555975103699</v>
      </c>
      <c r="T9593" s="538">
        <v>15.5602</v>
      </c>
      <c r="U9593" s="538">
        <v>39.32</v>
      </c>
      <c r="V9593" s="538">
        <v>7.51</v>
      </c>
    </row>
    <row r="9594" spans="1:22">
      <c r="A9594" s="499">
        <v>45827</v>
      </c>
      <c r="B9594" s="499">
        <v>45827</v>
      </c>
      <c r="C9594" s="500" t="s">
        <v>173</v>
      </c>
      <c r="D9594" s="500" t="s">
        <v>759</v>
      </c>
      <c r="E9594" s="501">
        <v>-896870096.63999999</v>
      </c>
      <c r="F9594" s="502" t="s">
        <v>878</v>
      </c>
      <c r="G9594" s="100">
        <v>117583895</v>
      </c>
      <c r="H9594" s="530"/>
      <c r="I9594" s="422" t="s">
        <v>829</v>
      </c>
      <c r="J9594" s="484"/>
      <c r="K9594" s="548"/>
      <c r="L9594" s="548"/>
      <c r="M9594" s="548"/>
      <c r="N9594" s="552">
        <v>862848</v>
      </c>
      <c r="R9594" s="539">
        <v>1039.43</v>
      </c>
      <c r="S9594" s="539">
        <v>1039.8728256541101</v>
      </c>
      <c r="T9594" s="538">
        <v>15.55</v>
      </c>
      <c r="U9594" s="538">
        <v>1345.31</v>
      </c>
      <c r="V9594" s="538">
        <v>672.65</v>
      </c>
    </row>
    <row r="9595" spans="1:22">
      <c r="A9595" s="499">
        <v>45827</v>
      </c>
      <c r="B9595" s="499">
        <v>45827</v>
      </c>
      <c r="C9595" s="500" t="s">
        <v>173</v>
      </c>
      <c r="D9595" s="500" t="s">
        <v>759</v>
      </c>
      <c r="E9595" s="501">
        <v>-1969911105.1199999</v>
      </c>
      <c r="F9595" s="502" t="s">
        <v>878</v>
      </c>
      <c r="G9595" s="100">
        <v>117583898</v>
      </c>
      <c r="H9595" s="530"/>
      <c r="I9595" s="422" t="s">
        <v>829</v>
      </c>
      <c r="J9595" s="484"/>
      <c r="K9595" s="548"/>
      <c r="L9595" s="548"/>
      <c r="M9595" s="548"/>
      <c r="N9595" s="552">
        <v>1895184</v>
      </c>
      <c r="R9595" s="539">
        <v>1039.4299999999998</v>
      </c>
      <c r="S9595" s="539">
        <v>1039.87282565703</v>
      </c>
      <c r="T9595" s="538">
        <v>15.55</v>
      </c>
      <c r="U9595" s="538">
        <v>2954.87</v>
      </c>
      <c r="V9595" s="538">
        <v>1477.43</v>
      </c>
    </row>
    <row r="9596" spans="1:22">
      <c r="A9596" s="499">
        <v>45827</v>
      </c>
      <c r="B9596" s="499">
        <v>45827</v>
      </c>
      <c r="C9596" s="500" t="s">
        <v>173</v>
      </c>
      <c r="D9596" s="500" t="s">
        <v>759</v>
      </c>
      <c r="E9596" s="501">
        <v>-15014566.35</v>
      </c>
      <c r="F9596" s="502" t="s">
        <v>878</v>
      </c>
      <c r="G9596" s="100">
        <v>117583913</v>
      </c>
      <c r="H9596" s="530"/>
      <c r="I9596" s="422" t="s">
        <v>829</v>
      </c>
      <c r="J9596" s="484"/>
      <c r="K9596" s="548"/>
      <c r="L9596" s="548"/>
      <c r="M9596" s="548"/>
      <c r="N9596" s="552">
        <v>14445</v>
      </c>
      <c r="R9596" s="539">
        <v>1039.43</v>
      </c>
      <c r="S9596" s="539">
        <v>1039.87282589131</v>
      </c>
      <c r="T9596" s="538">
        <v>15.55</v>
      </c>
      <c r="U9596" s="538">
        <v>39.32</v>
      </c>
      <c r="V9596" s="538">
        <v>11.26</v>
      </c>
    </row>
    <row r="9597" spans="1:22">
      <c r="A9597" s="499">
        <v>45827</v>
      </c>
      <c r="B9597" s="499">
        <v>45828</v>
      </c>
      <c r="C9597" s="500" t="s">
        <v>173</v>
      </c>
      <c r="D9597" s="500" t="s">
        <v>759</v>
      </c>
      <c r="E9597" s="501">
        <v>897252187.87</v>
      </c>
      <c r="F9597" s="502" t="s">
        <v>878</v>
      </c>
      <c r="G9597" s="100">
        <v>117583895</v>
      </c>
      <c r="H9597" s="484">
        <v>117583895</v>
      </c>
      <c r="I9597" s="422" t="s">
        <v>829</v>
      </c>
      <c r="J9597" s="484"/>
      <c r="K9597" s="548"/>
      <c r="L9597" s="548"/>
      <c r="M9597" s="548"/>
      <c r="N9597" s="552">
        <v>862848</v>
      </c>
      <c r="R9597" s="539">
        <v>1039.43</v>
      </c>
      <c r="S9597" s="539">
        <v>1039.8728256541101</v>
      </c>
      <c r="T9597" s="538">
        <v>15.55</v>
      </c>
      <c r="U9597" s="538">
        <v>1345.31</v>
      </c>
      <c r="V9597" s="538">
        <v>672.65</v>
      </c>
    </row>
    <row r="9598" spans="1:22">
      <c r="A9598" s="499">
        <v>45827</v>
      </c>
      <c r="B9598" s="499">
        <v>45828</v>
      </c>
      <c r="C9598" s="500" t="s">
        <v>173</v>
      </c>
      <c r="D9598" s="500" t="s">
        <v>759</v>
      </c>
      <c r="E9598" s="501">
        <v>1970750341.22</v>
      </c>
      <c r="F9598" s="502" t="s">
        <v>878</v>
      </c>
      <c r="G9598" s="100">
        <v>117583898</v>
      </c>
      <c r="H9598" s="484">
        <v>117583898</v>
      </c>
      <c r="I9598" s="422" t="s">
        <v>829</v>
      </c>
      <c r="J9598" s="484"/>
      <c r="K9598" s="548"/>
      <c r="L9598" s="548"/>
      <c r="M9598" s="548"/>
      <c r="N9598" s="552">
        <v>1895184</v>
      </c>
      <c r="R9598" s="539">
        <v>1039.4299999999998</v>
      </c>
      <c r="S9598" s="539">
        <v>1039.87282565703</v>
      </c>
      <c r="T9598" s="538">
        <v>15.55</v>
      </c>
      <c r="U9598" s="538">
        <v>2954.87</v>
      </c>
      <c r="V9598" s="538">
        <v>1477.43</v>
      </c>
    </row>
    <row r="9599" spans="1:22">
      <c r="A9599" s="499">
        <v>45827</v>
      </c>
      <c r="B9599" s="499">
        <v>45828</v>
      </c>
      <c r="C9599" s="500" t="s">
        <v>173</v>
      </c>
      <c r="D9599" s="500" t="s">
        <v>759</v>
      </c>
      <c r="E9599" s="501">
        <v>15020962.970000001</v>
      </c>
      <c r="F9599" s="502" t="s">
        <v>878</v>
      </c>
      <c r="G9599" s="100">
        <v>117583913</v>
      </c>
      <c r="H9599" s="484">
        <v>117583913</v>
      </c>
      <c r="I9599" s="422" t="s">
        <v>829</v>
      </c>
      <c r="J9599" s="484"/>
      <c r="K9599" s="548"/>
      <c r="L9599" s="548"/>
      <c r="M9599" s="548"/>
      <c r="N9599" s="552">
        <v>14445</v>
      </c>
      <c r="R9599" s="539">
        <v>1039.43</v>
      </c>
      <c r="S9599" s="539">
        <v>1039.87282589131</v>
      </c>
      <c r="T9599" s="538">
        <v>15.55</v>
      </c>
      <c r="U9599" s="538">
        <v>39.32</v>
      </c>
      <c r="V9599" s="538">
        <v>11.26</v>
      </c>
    </row>
    <row r="9600" spans="1:22">
      <c r="A9600" s="499">
        <v>45827</v>
      </c>
      <c r="B9600" s="499">
        <v>45827</v>
      </c>
      <c r="C9600" s="500" t="s">
        <v>173</v>
      </c>
      <c r="D9600" s="500" t="s">
        <v>760</v>
      </c>
      <c r="E9600" s="501">
        <v>-1551297864.5999999</v>
      </c>
      <c r="F9600" s="502" t="s">
        <v>878</v>
      </c>
      <c r="G9600" s="100">
        <v>117583555</v>
      </c>
      <c r="H9600" s="530"/>
      <c r="I9600" s="422" t="s">
        <v>654</v>
      </c>
      <c r="J9600" s="484"/>
      <c r="K9600" s="548"/>
      <c r="L9600" s="548"/>
      <c r="M9600" s="548"/>
      <c r="N9600" s="552">
        <v>1494200</v>
      </c>
      <c r="R9600" s="539">
        <v>1038.213</v>
      </c>
      <c r="S9600" s="539">
        <v>1038.6555973162899</v>
      </c>
      <c r="T9600" s="538">
        <v>15.5602</v>
      </c>
      <c r="U9600" s="538">
        <v>2326.9499999999998</v>
      </c>
      <c r="V9600" s="538">
        <v>1163.47</v>
      </c>
    </row>
    <row r="9601" spans="1:25">
      <c r="A9601" s="499">
        <v>45827</v>
      </c>
      <c r="B9601" s="499">
        <v>45827</v>
      </c>
      <c r="C9601" s="500" t="s">
        <v>173</v>
      </c>
      <c r="D9601" s="500" t="s">
        <v>760</v>
      </c>
      <c r="E9601" s="501">
        <v>-255213519.66</v>
      </c>
      <c r="F9601" s="502" t="s">
        <v>878</v>
      </c>
      <c r="G9601" s="100">
        <v>117583646</v>
      </c>
      <c r="H9601" s="530"/>
      <c r="I9601" s="422" t="s">
        <v>654</v>
      </c>
      <c r="J9601" s="484"/>
      <c r="K9601" s="548"/>
      <c r="L9601" s="548"/>
      <c r="M9601" s="548"/>
      <c r="N9601" s="552">
        <v>245820</v>
      </c>
      <c r="R9601" s="539">
        <v>1038.213</v>
      </c>
      <c r="S9601" s="539">
        <v>1038.6555973069701</v>
      </c>
      <c r="T9601" s="538">
        <v>15.5602</v>
      </c>
      <c r="U9601" s="538">
        <v>382.82</v>
      </c>
      <c r="V9601" s="538">
        <v>191.41</v>
      </c>
    </row>
    <row r="9602" spans="1:25">
      <c r="A9602" s="499">
        <v>45827</v>
      </c>
      <c r="B9602" s="499">
        <v>45828</v>
      </c>
      <c r="C9602" s="500" t="s">
        <v>173</v>
      </c>
      <c r="D9602" s="500" t="s">
        <v>760</v>
      </c>
      <c r="E9602" s="501">
        <v>1551959193.51</v>
      </c>
      <c r="F9602" s="502" t="s">
        <v>878</v>
      </c>
      <c r="G9602" s="100">
        <v>117583555</v>
      </c>
      <c r="H9602" s="100">
        <v>117583555</v>
      </c>
      <c r="I9602" s="422" t="s">
        <v>654</v>
      </c>
      <c r="J9602" s="484"/>
      <c r="K9602" s="548"/>
      <c r="L9602" s="548"/>
      <c r="M9602" s="548"/>
      <c r="N9602" s="552">
        <v>1494200</v>
      </c>
      <c r="R9602" s="539">
        <v>1038.213</v>
      </c>
      <c r="S9602" s="539">
        <v>1038.6555973162899</v>
      </c>
      <c r="T9602" s="538">
        <v>15.5602</v>
      </c>
      <c r="U9602" s="538">
        <v>2326.9499999999998</v>
      </c>
      <c r="V9602" s="538">
        <v>1163.47</v>
      </c>
    </row>
    <row r="9603" spans="1:25">
      <c r="A9603" s="499">
        <v>45827</v>
      </c>
      <c r="B9603" s="499">
        <v>45828</v>
      </c>
      <c r="C9603" s="500" t="s">
        <v>173</v>
      </c>
      <c r="D9603" s="500" t="s">
        <v>760</v>
      </c>
      <c r="E9603" s="501">
        <v>255322318.93000001</v>
      </c>
      <c r="F9603" s="502" t="s">
        <v>878</v>
      </c>
      <c r="G9603" s="100">
        <v>117583646</v>
      </c>
      <c r="H9603" s="100">
        <v>117583646</v>
      </c>
      <c r="I9603" s="422" t="s">
        <v>654</v>
      </c>
      <c r="J9603" s="484"/>
      <c r="K9603" s="548"/>
      <c r="L9603" s="548"/>
      <c r="M9603" s="548"/>
      <c r="N9603" s="552">
        <v>245820</v>
      </c>
      <c r="R9603" s="539">
        <v>1038.213</v>
      </c>
      <c r="S9603" s="539">
        <v>1038.6555973069701</v>
      </c>
      <c r="T9603" s="538">
        <v>15.5602</v>
      </c>
      <c r="U9603" s="538">
        <v>382.82</v>
      </c>
      <c r="V9603" s="538">
        <v>191.41</v>
      </c>
    </row>
    <row r="9604" spans="1:25">
      <c r="A9604" s="499">
        <v>45827</v>
      </c>
      <c r="B9604" s="499">
        <v>45827</v>
      </c>
      <c r="C9604" s="500" t="s">
        <v>173</v>
      </c>
      <c r="D9604" s="500" t="s">
        <v>760</v>
      </c>
      <c r="E9604" s="501">
        <v>-159999219.03</v>
      </c>
      <c r="F9604" s="502" t="s">
        <v>906</v>
      </c>
      <c r="G9604" s="100" t="s">
        <v>2644</v>
      </c>
      <c r="H9604" s="530"/>
      <c r="I9604" s="422" t="s">
        <v>2643</v>
      </c>
      <c r="J9604" s="523"/>
      <c r="K9604" s="548">
        <v>117587372</v>
      </c>
      <c r="L9604" s="549">
        <v>96.293800000000005</v>
      </c>
      <c r="M9604" s="549">
        <f>E9604*(-1)/(N9604*O9604)*100</f>
        <v>96.536855556024832</v>
      </c>
      <c r="N9604" s="549">
        <v>165739</v>
      </c>
      <c r="O9604" s="539">
        <v>1000</v>
      </c>
      <c r="P9604" s="539">
        <v>94.940953302423694</v>
      </c>
      <c r="T9604" s="538">
        <v>16.89</v>
      </c>
      <c r="U9604" s="538">
        <v>0</v>
      </c>
      <c r="V9604" s="538">
        <v>15999.92</v>
      </c>
      <c r="W9604" s="550">
        <f>VLOOKUP(G9604,Справочник!A:C,3,0)</f>
        <v>0.125</v>
      </c>
      <c r="X9604" s="539" t="str">
        <f>VLOOKUP(G9604,Справочник!A:G,7,0)</f>
        <v>АО "Казахстанский фонд устойчивости"</v>
      </c>
      <c r="Y9604" s="551">
        <f>VLOOKUP(G9604,Справочник!A:B,2,0)</f>
        <v>46185</v>
      </c>
    </row>
    <row r="9605" spans="1:25">
      <c r="A9605" s="499">
        <v>45827</v>
      </c>
      <c r="B9605" s="499">
        <v>45827</v>
      </c>
      <c r="C9605" s="500" t="s">
        <v>173</v>
      </c>
      <c r="D9605" s="500" t="s">
        <v>764</v>
      </c>
      <c r="E9605" s="501">
        <v>-493478747.37</v>
      </c>
      <c r="F9605" s="502" t="s">
        <v>878</v>
      </c>
      <c r="G9605" s="100">
        <v>117583954</v>
      </c>
      <c r="H9605" s="530"/>
      <c r="I9605" s="422" t="s">
        <v>829</v>
      </c>
      <c r="J9605" s="484"/>
      <c r="K9605" s="548"/>
      <c r="L9605" s="548"/>
      <c r="M9605" s="548"/>
      <c r="N9605" s="552">
        <v>474759</v>
      </c>
      <c r="R9605" s="539">
        <v>1039.43</v>
      </c>
      <c r="S9605" s="539">
        <v>1039.87282566523</v>
      </c>
      <c r="T9605" s="538">
        <v>15.55</v>
      </c>
      <c r="U9605" s="538">
        <v>740.22</v>
      </c>
      <c r="V9605" s="538">
        <v>370.11</v>
      </c>
    </row>
    <row r="9606" spans="1:25">
      <c r="A9606" s="499">
        <v>45827</v>
      </c>
      <c r="B9606" s="499">
        <v>45827</v>
      </c>
      <c r="C9606" s="500" t="s">
        <v>173</v>
      </c>
      <c r="D9606" s="500" t="s">
        <v>764</v>
      </c>
      <c r="E9606" s="501">
        <v>-8007768.7199999997</v>
      </c>
      <c r="F9606" s="502" t="s">
        <v>878</v>
      </c>
      <c r="G9606" s="100">
        <v>117583981</v>
      </c>
      <c r="H9606" s="530"/>
      <c r="I9606" s="422" t="s">
        <v>829</v>
      </c>
      <c r="J9606" s="484"/>
      <c r="K9606" s="548"/>
      <c r="L9606" s="548"/>
      <c r="M9606" s="548"/>
      <c r="N9606" s="552">
        <v>7704</v>
      </c>
      <c r="R9606" s="539">
        <v>1039.43</v>
      </c>
      <c r="S9606" s="539">
        <v>1039.8728258047799</v>
      </c>
      <c r="T9606" s="538">
        <v>15.55</v>
      </c>
      <c r="U9606" s="538">
        <v>39.32</v>
      </c>
      <c r="V9606" s="538">
        <v>6.01</v>
      </c>
    </row>
    <row r="9607" spans="1:25">
      <c r="A9607" s="499">
        <v>45827</v>
      </c>
      <c r="B9607" s="499">
        <v>45828</v>
      </c>
      <c r="C9607" s="500" t="s">
        <v>173</v>
      </c>
      <c r="D9607" s="500" t="s">
        <v>764</v>
      </c>
      <c r="E9607" s="501">
        <v>493688982.83999997</v>
      </c>
      <c r="F9607" s="502" t="s">
        <v>878</v>
      </c>
      <c r="G9607" s="100">
        <v>117583954</v>
      </c>
      <c r="H9607" s="100">
        <v>117583954</v>
      </c>
      <c r="I9607" s="422" t="s">
        <v>829</v>
      </c>
      <c r="J9607" s="484"/>
      <c r="K9607" s="548"/>
      <c r="L9607" s="548"/>
      <c r="M9607" s="548"/>
      <c r="N9607" s="552">
        <v>474759</v>
      </c>
      <c r="R9607" s="539">
        <v>1039.43</v>
      </c>
      <c r="S9607" s="539">
        <v>1039.87282566523</v>
      </c>
      <c r="T9607" s="538">
        <v>15.55</v>
      </c>
      <c r="U9607" s="538">
        <v>740.22</v>
      </c>
      <c r="V9607" s="538">
        <v>370.11</v>
      </c>
    </row>
    <row r="9608" spans="1:25">
      <c r="A9608" s="499">
        <v>45827</v>
      </c>
      <c r="B9608" s="499">
        <v>45828</v>
      </c>
      <c r="C9608" s="500" t="s">
        <v>173</v>
      </c>
      <c r="D9608" s="500" t="s">
        <v>764</v>
      </c>
      <c r="E9608" s="501">
        <v>8011180.25</v>
      </c>
      <c r="F9608" s="502" t="s">
        <v>878</v>
      </c>
      <c r="G9608" s="100">
        <v>117583981</v>
      </c>
      <c r="H9608" s="100">
        <v>117583981</v>
      </c>
      <c r="I9608" s="422" t="s">
        <v>829</v>
      </c>
      <c r="J9608" s="484"/>
      <c r="K9608" s="548"/>
      <c r="L9608" s="548"/>
      <c r="M9608" s="548"/>
      <c r="N9608" s="552">
        <v>7704</v>
      </c>
      <c r="R9608" s="539">
        <v>1039.43</v>
      </c>
      <c r="S9608" s="539">
        <v>1039.8728258047799</v>
      </c>
      <c r="T9608" s="538">
        <v>15.55</v>
      </c>
      <c r="U9608" s="538">
        <v>39.32</v>
      </c>
      <c r="V9608" s="538">
        <v>6.01</v>
      </c>
    </row>
    <row r="9609" spans="1:25">
      <c r="A9609" s="499">
        <v>45827</v>
      </c>
      <c r="B9609" s="499">
        <v>45827</v>
      </c>
      <c r="C9609" s="500" t="s">
        <v>173</v>
      </c>
      <c r="D9609" s="500" t="s">
        <v>763</v>
      </c>
      <c r="E9609" s="501">
        <v>-101000531.91</v>
      </c>
      <c r="F9609" s="502" t="s">
        <v>878</v>
      </c>
      <c r="G9609" s="100">
        <v>117585456</v>
      </c>
      <c r="H9609" s="530"/>
      <c r="I9609" s="422" t="s">
        <v>2591</v>
      </c>
      <c r="J9609" s="484"/>
      <c r="K9609" s="548"/>
      <c r="L9609" s="548"/>
      <c r="M9609" s="548"/>
      <c r="N9609" s="552">
        <v>1012424</v>
      </c>
      <c r="R9609" s="539">
        <v>99.761099999999999</v>
      </c>
      <c r="S9609" s="539">
        <v>99.803600961652407</v>
      </c>
      <c r="T9609" s="538">
        <v>15.55</v>
      </c>
      <c r="U9609" s="538">
        <v>151.5</v>
      </c>
      <c r="V9609" s="538">
        <v>75.75</v>
      </c>
    </row>
    <row r="9610" spans="1:25">
      <c r="A9610" s="499">
        <v>45827</v>
      </c>
      <c r="B9610" s="499">
        <v>45827</v>
      </c>
      <c r="C9610" s="500" t="s">
        <v>173</v>
      </c>
      <c r="D9610" s="500" t="s">
        <v>763</v>
      </c>
      <c r="E9610" s="501">
        <v>-452002380.41000003</v>
      </c>
      <c r="F9610" s="502" t="s">
        <v>878</v>
      </c>
      <c r="G9610" s="100">
        <v>117585459</v>
      </c>
      <c r="H9610" s="530"/>
      <c r="I9610" s="422" t="s">
        <v>2591</v>
      </c>
      <c r="J9610" s="484"/>
      <c r="K9610" s="548"/>
      <c r="L9610" s="548"/>
      <c r="M9610" s="548"/>
      <c r="N9610" s="552">
        <v>4530848</v>
      </c>
      <c r="R9610" s="539">
        <v>99.761099999999999</v>
      </c>
      <c r="S9610" s="539">
        <v>99.803600961674306</v>
      </c>
      <c r="T9610" s="538">
        <v>15.55</v>
      </c>
      <c r="U9610" s="538">
        <v>678</v>
      </c>
      <c r="V9610" s="538">
        <v>339</v>
      </c>
    </row>
    <row r="9611" spans="1:25">
      <c r="A9611" s="499">
        <v>45827</v>
      </c>
      <c r="B9611" s="499">
        <v>45827</v>
      </c>
      <c r="C9611" s="500" t="s">
        <v>173</v>
      </c>
      <c r="D9611" s="500" t="s">
        <v>763</v>
      </c>
      <c r="E9611" s="501">
        <v>-284007354.75</v>
      </c>
      <c r="F9611" s="502" t="s">
        <v>878</v>
      </c>
      <c r="G9611" s="100">
        <v>117585462</v>
      </c>
      <c r="H9611" s="530"/>
      <c r="I9611" s="422" t="s">
        <v>833</v>
      </c>
      <c r="J9611" s="484"/>
      <c r="K9611" s="548"/>
      <c r="L9611" s="548"/>
      <c r="M9611" s="548"/>
      <c r="N9611" s="552">
        <v>479960</v>
      </c>
      <c r="R9611" s="539">
        <v>591.73130000000003</v>
      </c>
      <c r="S9611" s="539">
        <v>591.98339374114505</v>
      </c>
      <c r="T9611" s="538">
        <v>15.55</v>
      </c>
      <c r="U9611" s="538">
        <v>426.01</v>
      </c>
      <c r="V9611" s="538">
        <v>213.01</v>
      </c>
    </row>
    <row r="9612" spans="1:25">
      <c r="A9612" s="499">
        <v>45827</v>
      </c>
      <c r="B9612" s="499">
        <v>45827</v>
      </c>
      <c r="C9612" s="500" t="s">
        <v>173</v>
      </c>
      <c r="D9612" s="500" t="s">
        <v>763</v>
      </c>
      <c r="E9612" s="501">
        <v>-79000850.230000004</v>
      </c>
      <c r="F9612" s="502" t="s">
        <v>878</v>
      </c>
      <c r="G9612" s="100">
        <v>117585465</v>
      </c>
      <c r="H9612" s="530"/>
      <c r="I9612" s="422" t="s">
        <v>633</v>
      </c>
      <c r="J9612" s="484"/>
      <c r="K9612" s="548"/>
      <c r="L9612" s="548"/>
      <c r="M9612" s="548"/>
      <c r="N9612" s="552">
        <v>148994</v>
      </c>
      <c r="R9612" s="539">
        <v>530.22839999999997</v>
      </c>
      <c r="S9612" s="539">
        <v>530.45429185067906</v>
      </c>
      <c r="T9612" s="538">
        <v>15.55</v>
      </c>
      <c r="U9612" s="538">
        <v>118.5</v>
      </c>
      <c r="V9612" s="538">
        <v>59.25</v>
      </c>
    </row>
    <row r="9613" spans="1:25">
      <c r="A9613" s="499">
        <v>45827</v>
      </c>
      <c r="B9613" s="499">
        <v>45827</v>
      </c>
      <c r="C9613" s="500" t="s">
        <v>173</v>
      </c>
      <c r="D9613" s="500" t="s">
        <v>763</v>
      </c>
      <c r="E9613" s="501">
        <v>-6000064.5700000003</v>
      </c>
      <c r="F9613" s="502" t="s">
        <v>878</v>
      </c>
      <c r="G9613" s="100">
        <v>117585468</v>
      </c>
      <c r="H9613" s="530"/>
      <c r="I9613" s="422" t="s">
        <v>633</v>
      </c>
      <c r="J9613" s="484"/>
      <c r="K9613" s="548"/>
      <c r="L9613" s="548"/>
      <c r="M9613" s="548"/>
      <c r="N9613" s="552">
        <v>11316</v>
      </c>
      <c r="R9613" s="539">
        <v>530.22839999999997</v>
      </c>
      <c r="S9613" s="539">
        <v>530.45429126900001</v>
      </c>
      <c r="T9613" s="538">
        <v>15.55</v>
      </c>
      <c r="U9613" s="538">
        <v>39.32</v>
      </c>
      <c r="V9613" s="538">
        <v>39.32</v>
      </c>
    </row>
    <row r="9614" spans="1:25">
      <c r="A9614" s="499">
        <v>45827</v>
      </c>
      <c r="B9614" s="499">
        <v>45827</v>
      </c>
      <c r="C9614" s="500" t="s">
        <v>173</v>
      </c>
      <c r="D9614" s="500" t="s">
        <v>763</v>
      </c>
      <c r="E9614" s="501">
        <v>-347142593.75</v>
      </c>
      <c r="F9614" s="502" t="s">
        <v>878</v>
      </c>
      <c r="G9614" s="100">
        <v>117585471</v>
      </c>
      <c r="H9614" s="530"/>
      <c r="I9614" s="422" t="s">
        <v>631</v>
      </c>
      <c r="J9614" s="484"/>
      <c r="K9614" s="548"/>
      <c r="L9614" s="548"/>
      <c r="M9614" s="548"/>
      <c r="N9614" s="552">
        <v>730435</v>
      </c>
      <c r="R9614" s="539">
        <v>475.25459999999998</v>
      </c>
      <c r="S9614" s="539">
        <v>475.4570714848</v>
      </c>
      <c r="T9614" s="538">
        <v>15.55</v>
      </c>
      <c r="U9614" s="538">
        <v>520.71</v>
      </c>
      <c r="V9614" s="538">
        <v>260.36</v>
      </c>
    </row>
    <row r="9615" spans="1:25">
      <c r="A9615" s="499">
        <v>45827</v>
      </c>
      <c r="B9615" s="499">
        <v>45827</v>
      </c>
      <c r="C9615" s="500" t="s">
        <v>173</v>
      </c>
      <c r="D9615" s="500" t="s">
        <v>763</v>
      </c>
      <c r="E9615" s="501">
        <v>-32004040.699999999</v>
      </c>
      <c r="F9615" s="502" t="s">
        <v>878</v>
      </c>
      <c r="G9615" s="100">
        <v>117585474</v>
      </c>
      <c r="H9615" s="530"/>
      <c r="I9615" s="422" t="s">
        <v>1013</v>
      </c>
      <c r="J9615" s="484"/>
      <c r="K9615" s="548"/>
      <c r="L9615" s="548"/>
      <c r="M9615" s="548"/>
      <c r="N9615" s="552">
        <v>62592</v>
      </c>
      <c r="R9615" s="539">
        <v>511.31200000000001</v>
      </c>
      <c r="S9615" s="539">
        <v>511.52983288599199</v>
      </c>
      <c r="T9615" s="538">
        <v>15.55</v>
      </c>
      <c r="U9615" s="538">
        <v>48.01</v>
      </c>
      <c r="V9615" s="538">
        <v>39.32</v>
      </c>
    </row>
    <row r="9616" spans="1:25">
      <c r="A9616" s="499">
        <v>45827</v>
      </c>
      <c r="B9616" s="499">
        <v>45827</v>
      </c>
      <c r="C9616" s="500" t="s">
        <v>173</v>
      </c>
      <c r="D9616" s="500" t="s">
        <v>763</v>
      </c>
      <c r="E9616" s="501">
        <v>-600353541</v>
      </c>
      <c r="F9616" s="502" t="s">
        <v>878</v>
      </c>
      <c r="G9616" s="100">
        <v>117586147</v>
      </c>
      <c r="H9616" s="530"/>
      <c r="I9616" s="422" t="s">
        <v>705</v>
      </c>
      <c r="J9616" s="484"/>
      <c r="K9616" s="548"/>
      <c r="L9616" s="548"/>
      <c r="M9616" s="548"/>
      <c r="N9616" s="552">
        <v>721800</v>
      </c>
      <c r="R9616" s="539">
        <v>831.745</v>
      </c>
      <c r="S9616" s="539">
        <v>832.09821133277899</v>
      </c>
      <c r="T9616" s="538">
        <v>15.5002</v>
      </c>
      <c r="U9616" s="538">
        <v>900.53</v>
      </c>
      <c r="V9616" s="538">
        <v>450.27</v>
      </c>
    </row>
    <row r="9617" spans="1:22">
      <c r="A9617" s="499">
        <v>45827</v>
      </c>
      <c r="B9617" s="499">
        <v>45827</v>
      </c>
      <c r="C9617" s="500" t="s">
        <v>173</v>
      </c>
      <c r="D9617" s="500" t="s">
        <v>763</v>
      </c>
      <c r="E9617" s="501">
        <v>-50032669.049999997</v>
      </c>
      <c r="F9617" s="502" t="s">
        <v>878</v>
      </c>
      <c r="G9617" s="100">
        <v>117586150</v>
      </c>
      <c r="H9617" s="530"/>
      <c r="I9617" s="422" t="s">
        <v>673</v>
      </c>
      <c r="J9617" s="484"/>
      <c r="K9617" s="548"/>
      <c r="L9617" s="548"/>
      <c r="M9617" s="548"/>
      <c r="N9617" s="552">
        <v>56550</v>
      </c>
      <c r="R9617" s="539">
        <v>884.75099999999998</v>
      </c>
      <c r="S9617" s="539">
        <v>885.126720954907</v>
      </c>
      <c r="T9617" s="538">
        <v>15.5002</v>
      </c>
      <c r="U9617" s="538">
        <v>75.05</v>
      </c>
      <c r="V9617" s="538">
        <v>39.32</v>
      </c>
    </row>
    <row r="9618" spans="1:22">
      <c r="A9618" s="499">
        <v>45827</v>
      </c>
      <c r="B9618" s="499">
        <v>45827</v>
      </c>
      <c r="C9618" s="500" t="s">
        <v>173</v>
      </c>
      <c r="D9618" s="500" t="s">
        <v>763</v>
      </c>
      <c r="E9618" s="501">
        <v>-110041659.31</v>
      </c>
      <c r="F9618" s="502" t="s">
        <v>878</v>
      </c>
      <c r="G9618" s="100">
        <v>117586153</v>
      </c>
      <c r="H9618" s="530"/>
      <c r="I9618" s="422" t="s">
        <v>688</v>
      </c>
      <c r="J9618" s="484"/>
      <c r="K9618" s="548"/>
      <c r="L9618" s="548"/>
      <c r="M9618" s="548"/>
      <c r="N9618" s="552">
        <v>103730</v>
      </c>
      <c r="R9618" s="539">
        <v>1060.847</v>
      </c>
      <c r="S9618" s="539">
        <v>1061.29749956618</v>
      </c>
      <c r="T9618" s="538">
        <v>15.5001</v>
      </c>
      <c r="U9618" s="538">
        <v>165.06</v>
      </c>
      <c r="V9618" s="538">
        <v>82.53</v>
      </c>
    </row>
    <row r="9619" spans="1:22">
      <c r="A9619" s="499">
        <v>45827</v>
      </c>
      <c r="B9619" s="499">
        <v>45827</v>
      </c>
      <c r="C9619" s="500" t="s">
        <v>173</v>
      </c>
      <c r="D9619" s="500" t="s">
        <v>763</v>
      </c>
      <c r="E9619" s="501">
        <v>-206154149.80000001</v>
      </c>
      <c r="F9619" s="502" t="s">
        <v>878</v>
      </c>
      <c r="G9619" s="100">
        <v>117586156</v>
      </c>
      <c r="H9619" s="530"/>
      <c r="I9619" s="422" t="s">
        <v>1042</v>
      </c>
      <c r="J9619" s="484"/>
      <c r="K9619" s="548"/>
      <c r="L9619" s="548"/>
      <c r="M9619" s="548"/>
      <c r="N9619" s="552">
        <v>199202</v>
      </c>
      <c r="R9619" s="539">
        <v>1034.9000000000001</v>
      </c>
      <c r="S9619" s="539">
        <v>1035.33948092891</v>
      </c>
      <c r="T9619" s="538">
        <v>15.5001</v>
      </c>
      <c r="U9619" s="538">
        <v>309.23</v>
      </c>
      <c r="V9619" s="538">
        <v>154.62</v>
      </c>
    </row>
    <row r="9620" spans="1:22">
      <c r="A9620" s="499">
        <v>45827</v>
      </c>
      <c r="B9620" s="499">
        <v>45827</v>
      </c>
      <c r="C9620" s="500" t="s">
        <v>173</v>
      </c>
      <c r="D9620" s="500" t="s">
        <v>763</v>
      </c>
      <c r="E9620" s="501">
        <v>-3619105112.0900002</v>
      </c>
      <c r="F9620" s="502" t="s">
        <v>878</v>
      </c>
      <c r="G9620" s="100">
        <v>117586159</v>
      </c>
      <c r="H9620" s="530"/>
      <c r="I9620" s="422" t="s">
        <v>708</v>
      </c>
      <c r="J9620" s="484"/>
      <c r="K9620" s="548"/>
      <c r="L9620" s="548"/>
      <c r="M9620" s="548"/>
      <c r="N9620" s="552">
        <v>4857631</v>
      </c>
      <c r="R9620" s="539">
        <v>745.03499999999997</v>
      </c>
      <c r="S9620" s="539">
        <v>745.35138472642302</v>
      </c>
      <c r="T9620" s="538">
        <v>15.5</v>
      </c>
      <c r="U9620" s="538">
        <v>5428.66</v>
      </c>
      <c r="V9620" s="538">
        <v>2714.33</v>
      </c>
    </row>
    <row r="9621" spans="1:22">
      <c r="A9621" s="499">
        <v>45827</v>
      </c>
      <c r="B9621" s="499">
        <v>45827</v>
      </c>
      <c r="C9621" s="500" t="s">
        <v>173</v>
      </c>
      <c r="D9621" s="500" t="s">
        <v>763</v>
      </c>
      <c r="E9621" s="501">
        <v>-33019206.170000002</v>
      </c>
      <c r="F9621" s="502" t="s">
        <v>878</v>
      </c>
      <c r="G9621" s="100">
        <v>117586198</v>
      </c>
      <c r="H9621" s="530"/>
      <c r="I9621" s="422" t="s">
        <v>708</v>
      </c>
      <c r="J9621" s="484"/>
      <c r="K9621" s="548"/>
      <c r="L9621" s="548"/>
      <c r="M9621" s="548"/>
      <c r="N9621" s="552">
        <v>44319</v>
      </c>
      <c r="R9621" s="539">
        <v>745.03499999999997</v>
      </c>
      <c r="S9621" s="539">
        <v>745.35138473340999</v>
      </c>
      <c r="T9621" s="538">
        <v>15.5</v>
      </c>
      <c r="U9621" s="538">
        <v>49.53</v>
      </c>
      <c r="V9621" s="538">
        <v>39.32</v>
      </c>
    </row>
    <row r="9622" spans="1:22">
      <c r="A9622" s="499">
        <v>45827</v>
      </c>
      <c r="B9622" s="499">
        <v>45827</v>
      </c>
      <c r="C9622" s="500" t="s">
        <v>173</v>
      </c>
      <c r="D9622" s="500" t="s">
        <v>763</v>
      </c>
      <c r="E9622" s="501">
        <v>-1000582.01</v>
      </c>
      <c r="F9622" s="502" t="s">
        <v>878</v>
      </c>
      <c r="G9622" s="100">
        <v>117586215</v>
      </c>
      <c r="H9622" s="530"/>
      <c r="I9622" s="422" t="s">
        <v>708</v>
      </c>
      <c r="J9622" s="484"/>
      <c r="K9622" s="548"/>
      <c r="L9622" s="548"/>
      <c r="M9622" s="548"/>
      <c r="N9622" s="552">
        <v>1343</v>
      </c>
      <c r="R9622" s="539">
        <v>745.03499999999997</v>
      </c>
      <c r="S9622" s="539">
        <v>745.35138495904698</v>
      </c>
      <c r="T9622" s="538">
        <v>15.5</v>
      </c>
      <c r="U9622" s="538">
        <v>39.32</v>
      </c>
      <c r="V9622" s="538">
        <v>39.32</v>
      </c>
    </row>
    <row r="9623" spans="1:22">
      <c r="A9623" s="499">
        <v>45827</v>
      </c>
      <c r="B9623" s="499">
        <v>45828</v>
      </c>
      <c r="C9623" s="500" t="s">
        <v>173</v>
      </c>
      <c r="D9623" s="500" t="s">
        <v>763</v>
      </c>
      <c r="E9623" s="501">
        <v>101043560.90000001</v>
      </c>
      <c r="F9623" s="502" t="s">
        <v>878</v>
      </c>
      <c r="G9623" s="100">
        <v>117585456</v>
      </c>
      <c r="H9623" s="100">
        <v>117585456</v>
      </c>
      <c r="I9623" s="422" t="s">
        <v>2591</v>
      </c>
      <c r="J9623" s="484"/>
      <c r="K9623" s="548"/>
      <c r="L9623" s="548"/>
      <c r="M9623" s="548"/>
      <c r="N9623" s="552">
        <v>1012424</v>
      </c>
      <c r="R9623" s="539">
        <v>99.761099999999999</v>
      </c>
      <c r="S9623" s="539">
        <v>99.803600961652407</v>
      </c>
      <c r="T9623" s="538">
        <v>15.55</v>
      </c>
      <c r="U9623" s="538">
        <v>151.5</v>
      </c>
      <c r="V9623" s="538">
        <v>75.75</v>
      </c>
    </row>
    <row r="9624" spans="1:22">
      <c r="A9624" s="499">
        <v>45827</v>
      </c>
      <c r="B9624" s="499">
        <v>45828</v>
      </c>
      <c r="C9624" s="500" t="s">
        <v>173</v>
      </c>
      <c r="D9624" s="500" t="s">
        <v>763</v>
      </c>
      <c r="E9624" s="501">
        <v>452194945.81</v>
      </c>
      <c r="F9624" s="502" t="s">
        <v>878</v>
      </c>
      <c r="G9624" s="100">
        <v>117585459</v>
      </c>
      <c r="H9624" s="100">
        <v>117585459</v>
      </c>
      <c r="I9624" s="422" t="s">
        <v>2591</v>
      </c>
      <c r="J9624" s="484"/>
      <c r="K9624" s="548"/>
      <c r="L9624" s="548"/>
      <c r="M9624" s="548"/>
      <c r="N9624" s="552">
        <v>4530848</v>
      </c>
      <c r="R9624" s="539">
        <v>99.761099999999999</v>
      </c>
      <c r="S9624" s="539">
        <v>99.803600961674306</v>
      </c>
      <c r="T9624" s="538">
        <v>15.55</v>
      </c>
      <c r="U9624" s="538">
        <v>678</v>
      </c>
      <c r="V9624" s="538">
        <v>339</v>
      </c>
    </row>
    <row r="9625" spans="1:22">
      <c r="A9625" s="499">
        <v>45827</v>
      </c>
      <c r="B9625" s="499">
        <v>45828</v>
      </c>
      <c r="C9625" s="500" t="s">
        <v>173</v>
      </c>
      <c r="D9625" s="500" t="s">
        <v>763</v>
      </c>
      <c r="E9625" s="501">
        <v>284128349.66000003</v>
      </c>
      <c r="F9625" s="502" t="s">
        <v>878</v>
      </c>
      <c r="G9625" s="100">
        <v>117585462</v>
      </c>
      <c r="H9625" s="100">
        <v>117585462</v>
      </c>
      <c r="I9625" s="422" t="s">
        <v>833</v>
      </c>
      <c r="J9625" s="484"/>
      <c r="K9625" s="548"/>
      <c r="L9625" s="548"/>
      <c r="M9625" s="548"/>
      <c r="N9625" s="552">
        <v>479960</v>
      </c>
      <c r="R9625" s="539">
        <v>591.73130000000003</v>
      </c>
      <c r="S9625" s="539">
        <v>591.98339374114505</v>
      </c>
      <c r="T9625" s="538">
        <v>15.55</v>
      </c>
      <c r="U9625" s="538">
        <v>426.01</v>
      </c>
      <c r="V9625" s="538">
        <v>213.01</v>
      </c>
    </row>
    <row r="9626" spans="1:22">
      <c r="A9626" s="499">
        <v>45827</v>
      </c>
      <c r="B9626" s="499">
        <v>45828</v>
      </c>
      <c r="C9626" s="500" t="s">
        <v>173</v>
      </c>
      <c r="D9626" s="500" t="s">
        <v>763</v>
      </c>
      <c r="E9626" s="501">
        <v>79034506.760000005</v>
      </c>
      <c r="F9626" s="502" t="s">
        <v>878</v>
      </c>
      <c r="G9626" s="100">
        <v>117585465</v>
      </c>
      <c r="H9626" s="100">
        <v>117585465</v>
      </c>
      <c r="I9626" s="422" t="s">
        <v>633</v>
      </c>
      <c r="J9626" s="484"/>
      <c r="K9626" s="548"/>
      <c r="L9626" s="548"/>
      <c r="M9626" s="548"/>
      <c r="N9626" s="552">
        <v>148994</v>
      </c>
      <c r="R9626" s="539">
        <v>530.22839999999997</v>
      </c>
      <c r="S9626" s="539">
        <v>530.45429185067906</v>
      </c>
      <c r="T9626" s="538">
        <v>15.55</v>
      </c>
      <c r="U9626" s="538">
        <v>118.5</v>
      </c>
      <c r="V9626" s="538">
        <v>59.25</v>
      </c>
    </row>
    <row r="9627" spans="1:22">
      <c r="A9627" s="499">
        <v>45827</v>
      </c>
      <c r="B9627" s="499">
        <v>45828</v>
      </c>
      <c r="C9627" s="500" t="s">
        <v>173</v>
      </c>
      <c r="D9627" s="500" t="s">
        <v>763</v>
      </c>
      <c r="E9627" s="501">
        <v>6002620.7599999998</v>
      </c>
      <c r="F9627" s="502" t="s">
        <v>878</v>
      </c>
      <c r="G9627" s="100">
        <v>117585468</v>
      </c>
      <c r="H9627" s="100">
        <v>117585468</v>
      </c>
      <c r="I9627" s="422" t="s">
        <v>633</v>
      </c>
      <c r="J9627" s="484"/>
      <c r="K9627" s="548"/>
      <c r="L9627" s="548"/>
      <c r="M9627" s="548"/>
      <c r="N9627" s="552">
        <v>11316</v>
      </c>
      <c r="R9627" s="539">
        <v>530.22839999999997</v>
      </c>
      <c r="S9627" s="539">
        <v>530.45429126900001</v>
      </c>
      <c r="T9627" s="538">
        <v>15.55</v>
      </c>
      <c r="U9627" s="538">
        <v>39.32</v>
      </c>
      <c r="V9627" s="538">
        <v>39.32</v>
      </c>
    </row>
    <row r="9628" spans="1:22">
      <c r="A9628" s="499">
        <v>45827</v>
      </c>
      <c r="B9628" s="499">
        <v>45828</v>
      </c>
      <c r="C9628" s="500" t="s">
        <v>173</v>
      </c>
      <c r="D9628" s="500" t="s">
        <v>763</v>
      </c>
      <c r="E9628" s="501">
        <v>347290486.00999999</v>
      </c>
      <c r="F9628" s="502" t="s">
        <v>878</v>
      </c>
      <c r="G9628" s="100">
        <v>117585471</v>
      </c>
      <c r="H9628" s="100">
        <v>117585471</v>
      </c>
      <c r="I9628" s="422" t="s">
        <v>631</v>
      </c>
      <c r="J9628" s="484"/>
      <c r="K9628" s="548"/>
      <c r="L9628" s="548"/>
      <c r="M9628" s="548"/>
      <c r="N9628" s="552">
        <v>730435</v>
      </c>
      <c r="R9628" s="539">
        <v>475.25459999999998</v>
      </c>
      <c r="S9628" s="539">
        <v>475.4570714848</v>
      </c>
      <c r="T9628" s="538">
        <v>15.55</v>
      </c>
      <c r="U9628" s="538">
        <v>520.71</v>
      </c>
      <c r="V9628" s="538">
        <v>260.36</v>
      </c>
    </row>
    <row r="9629" spans="1:22">
      <c r="A9629" s="499">
        <v>45827</v>
      </c>
      <c r="B9629" s="499">
        <v>45828</v>
      </c>
      <c r="C9629" s="500" t="s">
        <v>173</v>
      </c>
      <c r="D9629" s="500" t="s">
        <v>763</v>
      </c>
      <c r="E9629" s="501">
        <v>32017675.300000001</v>
      </c>
      <c r="F9629" s="502" t="s">
        <v>878</v>
      </c>
      <c r="G9629" s="100">
        <v>117585474</v>
      </c>
      <c r="H9629" s="100">
        <v>117585474</v>
      </c>
      <c r="I9629" s="422" t="s">
        <v>1013</v>
      </c>
      <c r="J9629" s="484"/>
      <c r="K9629" s="548"/>
      <c r="L9629" s="548"/>
      <c r="M9629" s="548"/>
      <c r="N9629" s="552">
        <v>62592</v>
      </c>
      <c r="R9629" s="539">
        <v>511.31200000000001</v>
      </c>
      <c r="S9629" s="539">
        <v>511.52983288599199</v>
      </c>
      <c r="T9629" s="538">
        <v>15.55</v>
      </c>
      <c r="U9629" s="538">
        <v>48.01</v>
      </c>
      <c r="V9629" s="538">
        <v>39.32</v>
      </c>
    </row>
    <row r="9630" spans="1:22">
      <c r="A9630" s="499">
        <v>45827</v>
      </c>
      <c r="B9630" s="499">
        <v>45828</v>
      </c>
      <c r="C9630" s="500" t="s">
        <v>173</v>
      </c>
      <c r="D9630" s="500" t="s">
        <v>763</v>
      </c>
      <c r="E9630" s="501">
        <v>600608488.94000006</v>
      </c>
      <c r="F9630" s="502" t="s">
        <v>878</v>
      </c>
      <c r="G9630" s="100">
        <v>117586147</v>
      </c>
      <c r="H9630" s="100">
        <v>117586147</v>
      </c>
      <c r="I9630" s="422" t="s">
        <v>705</v>
      </c>
      <c r="J9630" s="484"/>
      <c r="K9630" s="548"/>
      <c r="L9630" s="548"/>
      <c r="M9630" s="548"/>
      <c r="N9630" s="552">
        <v>721800</v>
      </c>
      <c r="R9630" s="539">
        <v>831.745</v>
      </c>
      <c r="S9630" s="539">
        <v>832.09821133277899</v>
      </c>
      <c r="T9630" s="538">
        <v>15.5002</v>
      </c>
      <c r="U9630" s="538">
        <v>900.53</v>
      </c>
      <c r="V9630" s="538">
        <v>450.27</v>
      </c>
    </row>
    <row r="9631" spans="1:22">
      <c r="A9631" s="499">
        <v>45827</v>
      </c>
      <c r="B9631" s="499">
        <v>45828</v>
      </c>
      <c r="C9631" s="500" t="s">
        <v>173</v>
      </c>
      <c r="D9631" s="500" t="s">
        <v>763</v>
      </c>
      <c r="E9631" s="501">
        <v>50053916.07</v>
      </c>
      <c r="F9631" s="502" t="s">
        <v>878</v>
      </c>
      <c r="G9631" s="100">
        <v>117586150</v>
      </c>
      <c r="H9631" s="100">
        <v>117586150</v>
      </c>
      <c r="I9631" s="422" t="s">
        <v>673</v>
      </c>
      <c r="J9631" s="484"/>
      <c r="K9631" s="548"/>
      <c r="L9631" s="548"/>
      <c r="M9631" s="548"/>
      <c r="N9631" s="552">
        <v>56550</v>
      </c>
      <c r="R9631" s="539">
        <v>884.75099999999998</v>
      </c>
      <c r="S9631" s="539">
        <v>885.126720954907</v>
      </c>
      <c r="T9631" s="538">
        <v>15.5002</v>
      </c>
      <c r="U9631" s="538">
        <v>75.05</v>
      </c>
      <c r="V9631" s="538">
        <v>39.32</v>
      </c>
    </row>
    <row r="9632" spans="1:22">
      <c r="A9632" s="499">
        <v>45827</v>
      </c>
      <c r="B9632" s="499">
        <v>45828</v>
      </c>
      <c r="C9632" s="500" t="s">
        <v>173</v>
      </c>
      <c r="D9632" s="500" t="s">
        <v>763</v>
      </c>
      <c r="E9632" s="501">
        <v>110088389.63</v>
      </c>
      <c r="F9632" s="502" t="s">
        <v>878</v>
      </c>
      <c r="G9632" s="100">
        <v>117586153</v>
      </c>
      <c r="H9632" s="100">
        <v>117586153</v>
      </c>
      <c r="I9632" s="422" t="s">
        <v>688</v>
      </c>
      <c r="J9632" s="484"/>
      <c r="K9632" s="548"/>
      <c r="L9632" s="548"/>
      <c r="M9632" s="548"/>
      <c r="N9632" s="552">
        <v>103730</v>
      </c>
      <c r="R9632" s="539">
        <v>1060.847</v>
      </c>
      <c r="S9632" s="539">
        <v>1061.29749956618</v>
      </c>
      <c r="T9632" s="538">
        <v>15.5001</v>
      </c>
      <c r="U9632" s="538">
        <v>165.06</v>
      </c>
      <c r="V9632" s="538">
        <v>82.53</v>
      </c>
    </row>
    <row r="9633" spans="1:22">
      <c r="A9633" s="499">
        <v>45827</v>
      </c>
      <c r="B9633" s="499">
        <v>45828</v>
      </c>
      <c r="C9633" s="500" t="s">
        <v>173</v>
      </c>
      <c r="D9633" s="500" t="s">
        <v>763</v>
      </c>
      <c r="E9633" s="501">
        <v>206241695.28</v>
      </c>
      <c r="F9633" s="502" t="s">
        <v>878</v>
      </c>
      <c r="G9633" s="100">
        <v>117586156</v>
      </c>
      <c r="H9633" s="100">
        <v>117586156</v>
      </c>
      <c r="I9633" s="422" t="s">
        <v>1042</v>
      </c>
      <c r="J9633" s="484"/>
      <c r="K9633" s="548"/>
      <c r="L9633" s="548"/>
      <c r="M9633" s="548"/>
      <c r="N9633" s="552">
        <v>199202</v>
      </c>
      <c r="R9633" s="539">
        <v>1034.9000000000001</v>
      </c>
      <c r="S9633" s="539">
        <v>1035.33948092891</v>
      </c>
      <c r="T9633" s="538">
        <v>15.5001</v>
      </c>
      <c r="U9633" s="538">
        <v>309.23</v>
      </c>
      <c r="V9633" s="538">
        <v>154.62</v>
      </c>
    </row>
    <row r="9634" spans="1:22">
      <c r="A9634" s="499">
        <v>45827</v>
      </c>
      <c r="B9634" s="499">
        <v>45828</v>
      </c>
      <c r="C9634" s="500" t="s">
        <v>173</v>
      </c>
      <c r="D9634" s="500" t="s">
        <v>763</v>
      </c>
      <c r="E9634" s="501">
        <v>3620641992.3400002</v>
      </c>
      <c r="F9634" s="502" t="s">
        <v>878</v>
      </c>
      <c r="G9634" s="100">
        <v>117586159</v>
      </c>
      <c r="H9634" s="100">
        <v>117586159</v>
      </c>
      <c r="I9634" s="422" t="s">
        <v>708</v>
      </c>
      <c r="J9634" s="484"/>
      <c r="K9634" s="548"/>
      <c r="L9634" s="548"/>
      <c r="M9634" s="548"/>
      <c r="N9634" s="552">
        <v>4857631</v>
      </c>
      <c r="R9634" s="539">
        <v>745.03499999999997</v>
      </c>
      <c r="S9634" s="539">
        <v>745.35138472642302</v>
      </c>
      <c r="T9634" s="538">
        <v>15.5</v>
      </c>
      <c r="U9634" s="538">
        <v>5428.66</v>
      </c>
      <c r="V9634" s="538">
        <v>2714.33</v>
      </c>
    </row>
    <row r="9635" spans="1:22">
      <c r="A9635" s="499">
        <v>45827</v>
      </c>
      <c r="B9635" s="499">
        <v>45828</v>
      </c>
      <c r="C9635" s="500" t="s">
        <v>173</v>
      </c>
      <c r="D9635" s="500" t="s">
        <v>763</v>
      </c>
      <c r="E9635" s="501">
        <v>33033228.02</v>
      </c>
      <c r="F9635" s="502" t="s">
        <v>878</v>
      </c>
      <c r="G9635" s="100">
        <v>117586198</v>
      </c>
      <c r="H9635" s="100">
        <v>117586198</v>
      </c>
      <c r="I9635" s="422" t="s">
        <v>708</v>
      </c>
      <c r="J9635" s="484"/>
      <c r="K9635" s="548"/>
      <c r="L9635" s="548"/>
      <c r="M9635" s="548"/>
      <c r="N9635" s="552">
        <v>44319</v>
      </c>
      <c r="R9635" s="539">
        <v>745.03499999999997</v>
      </c>
      <c r="S9635" s="539">
        <v>745.35138473340999</v>
      </c>
      <c r="T9635" s="538">
        <v>15.5</v>
      </c>
      <c r="U9635" s="538">
        <v>49.53</v>
      </c>
      <c r="V9635" s="538">
        <v>39.32</v>
      </c>
    </row>
    <row r="9636" spans="1:22">
      <c r="A9636" s="499">
        <v>45827</v>
      </c>
      <c r="B9636" s="499">
        <v>45828</v>
      </c>
      <c r="C9636" s="500" t="s">
        <v>173</v>
      </c>
      <c r="D9636" s="500" t="s">
        <v>763</v>
      </c>
      <c r="E9636" s="501">
        <v>1001006.91</v>
      </c>
      <c r="F9636" s="502" t="s">
        <v>878</v>
      </c>
      <c r="G9636" s="100">
        <v>117586215</v>
      </c>
      <c r="H9636" s="100">
        <v>117586215</v>
      </c>
      <c r="I9636" s="422" t="s">
        <v>708</v>
      </c>
      <c r="J9636" s="484"/>
      <c r="K9636" s="548"/>
      <c r="L9636" s="548"/>
      <c r="M9636" s="548"/>
      <c r="N9636" s="552">
        <v>1343</v>
      </c>
      <c r="R9636" s="539">
        <v>745.03499999999997</v>
      </c>
      <c r="S9636" s="539">
        <v>745.35138495904698</v>
      </c>
      <c r="T9636" s="538">
        <v>15.5</v>
      </c>
      <c r="U9636" s="538">
        <v>39.32</v>
      </c>
      <c r="V9636" s="538">
        <v>39.32</v>
      </c>
    </row>
    <row r="9637" spans="1:22">
      <c r="A9637" s="499">
        <v>45828</v>
      </c>
      <c r="B9637" s="499">
        <v>45828</v>
      </c>
      <c r="C9637" s="500" t="s">
        <v>173</v>
      </c>
      <c r="D9637" s="500" t="s">
        <v>762</v>
      </c>
      <c r="E9637" s="501">
        <v>-191022878.55000001</v>
      </c>
      <c r="F9637" s="502" t="s">
        <v>878</v>
      </c>
      <c r="G9637" s="100">
        <v>117609146</v>
      </c>
      <c r="H9637" s="530"/>
      <c r="I9637" s="422" t="s">
        <v>1051</v>
      </c>
      <c r="J9637" s="484"/>
      <c r="K9637" s="548"/>
      <c r="L9637" s="548"/>
      <c r="M9637" s="548"/>
      <c r="N9637" s="552">
        <v>181259</v>
      </c>
      <c r="R9637" s="539">
        <v>1053.867</v>
      </c>
      <c r="S9637" s="539">
        <v>1055.20961497084</v>
      </c>
      <c r="T9637" s="538">
        <v>15.5002</v>
      </c>
      <c r="U9637" s="538">
        <v>859.6</v>
      </c>
      <c r="V9637" s="538">
        <v>429.8</v>
      </c>
    </row>
    <row r="9638" spans="1:22">
      <c r="A9638" s="499">
        <v>45828</v>
      </c>
      <c r="B9638" s="499">
        <v>45828</v>
      </c>
      <c r="C9638" s="500" t="s">
        <v>173</v>
      </c>
      <c r="D9638" s="500" t="s">
        <v>762</v>
      </c>
      <c r="E9638" s="501">
        <v>-47001118.600000001</v>
      </c>
      <c r="F9638" s="502" t="s">
        <v>878</v>
      </c>
      <c r="G9638" s="100">
        <v>117609149</v>
      </c>
      <c r="H9638" s="530"/>
      <c r="I9638" s="422" t="s">
        <v>596</v>
      </c>
      <c r="J9638" s="484"/>
      <c r="K9638" s="548"/>
      <c r="L9638" s="548"/>
      <c r="M9638" s="548"/>
      <c r="N9638" s="552">
        <v>44932</v>
      </c>
      <c r="R9638" s="539">
        <v>1046.05</v>
      </c>
      <c r="S9638" s="539">
        <v>1047.3826475563101</v>
      </c>
      <c r="T9638" s="538">
        <v>15.5001</v>
      </c>
      <c r="U9638" s="538">
        <v>211.51</v>
      </c>
      <c r="V9638" s="538">
        <v>105.75</v>
      </c>
    </row>
    <row r="9639" spans="1:22">
      <c r="A9639" s="499">
        <v>45828</v>
      </c>
      <c r="B9639" s="499">
        <v>45828</v>
      </c>
      <c r="C9639" s="500" t="s">
        <v>173</v>
      </c>
      <c r="D9639" s="500" t="s">
        <v>762</v>
      </c>
      <c r="E9639" s="501">
        <v>-2443237068.7199998</v>
      </c>
      <c r="F9639" s="502" t="s">
        <v>878</v>
      </c>
      <c r="G9639" s="100">
        <v>117609152</v>
      </c>
      <c r="H9639" s="530"/>
      <c r="I9639" s="422" t="s">
        <v>719</v>
      </c>
      <c r="J9639" s="484"/>
      <c r="K9639" s="548"/>
      <c r="L9639" s="548"/>
      <c r="M9639" s="548"/>
      <c r="N9639" s="552">
        <v>3371340</v>
      </c>
      <c r="R9639" s="539">
        <v>724.70799999999997</v>
      </c>
      <c r="S9639" s="539">
        <v>725.63125813771398</v>
      </c>
      <c r="T9639" s="538">
        <v>15.5</v>
      </c>
      <c r="U9639" s="538">
        <v>10994.57</v>
      </c>
      <c r="V9639" s="538">
        <v>5497.28</v>
      </c>
    </row>
    <row r="9640" spans="1:22">
      <c r="A9640" s="499">
        <v>45828</v>
      </c>
      <c r="B9640" s="499">
        <v>45828</v>
      </c>
      <c r="C9640" s="500" t="s">
        <v>173</v>
      </c>
      <c r="D9640" s="500" t="s">
        <v>762</v>
      </c>
      <c r="E9640" s="501">
        <v>-16001552.640000001</v>
      </c>
      <c r="F9640" s="502" t="s">
        <v>878</v>
      </c>
      <c r="G9640" s="100">
        <v>117609161</v>
      </c>
      <c r="H9640" s="530"/>
      <c r="I9640" s="422" t="s">
        <v>719</v>
      </c>
      <c r="J9640" s="484"/>
      <c r="K9640" s="548"/>
      <c r="L9640" s="548"/>
      <c r="M9640" s="548"/>
      <c r="N9640" s="552">
        <v>22080</v>
      </c>
      <c r="R9640" s="539">
        <v>724.70799999999997</v>
      </c>
      <c r="S9640" s="539">
        <v>725.63125815217404</v>
      </c>
      <c r="T9640" s="538">
        <v>15.5</v>
      </c>
      <c r="U9640" s="538">
        <v>72.010000000000005</v>
      </c>
      <c r="V9640" s="538">
        <v>36</v>
      </c>
    </row>
    <row r="9641" spans="1:22">
      <c r="A9641" s="499">
        <v>45828</v>
      </c>
      <c r="B9641" s="499">
        <v>45828</v>
      </c>
      <c r="C9641" s="500" t="s">
        <v>173</v>
      </c>
      <c r="D9641" s="500" t="s">
        <v>762</v>
      </c>
      <c r="E9641" s="501">
        <v>-112019980.8</v>
      </c>
      <c r="F9641" s="502" t="s">
        <v>878</v>
      </c>
      <c r="G9641" s="100">
        <v>117612514</v>
      </c>
      <c r="H9641" s="530"/>
      <c r="I9641" s="422" t="s">
        <v>693</v>
      </c>
      <c r="J9641" s="484"/>
      <c r="K9641" s="548"/>
      <c r="L9641" s="548"/>
      <c r="M9641" s="548"/>
      <c r="N9641" s="552">
        <v>134400</v>
      </c>
      <c r="R9641" s="539">
        <v>833.48199999999997</v>
      </c>
      <c r="S9641" s="539">
        <v>834.543833258929</v>
      </c>
      <c r="T9641" s="538">
        <v>15.5</v>
      </c>
      <c r="U9641" s="538">
        <v>504.09</v>
      </c>
      <c r="V9641" s="538">
        <v>252.04</v>
      </c>
    </row>
    <row r="9642" spans="1:22">
      <c r="A9642" s="499">
        <v>45828</v>
      </c>
      <c r="B9642" s="499">
        <v>45831</v>
      </c>
      <c r="C9642" s="500" t="s">
        <v>173</v>
      </c>
      <c r="D9642" s="500" t="s">
        <v>762</v>
      </c>
      <c r="E9642" s="501">
        <v>191266239.59999999</v>
      </c>
      <c r="F9642" s="502" t="s">
        <v>878</v>
      </c>
      <c r="G9642" s="100">
        <v>117609146</v>
      </c>
      <c r="H9642" s="484">
        <v>117609146</v>
      </c>
      <c r="I9642" s="422" t="s">
        <v>1051</v>
      </c>
      <c r="J9642" s="484"/>
      <c r="K9642" s="548"/>
      <c r="L9642" s="548"/>
      <c r="M9642" s="548"/>
      <c r="N9642" s="552">
        <v>181259</v>
      </c>
      <c r="R9642" s="539">
        <v>1053.867</v>
      </c>
      <c r="S9642" s="539">
        <v>1055.20961497084</v>
      </c>
      <c r="T9642" s="538">
        <v>15.5002</v>
      </c>
      <c r="U9642" s="538">
        <v>859.6</v>
      </c>
      <c r="V9642" s="538">
        <v>429.8</v>
      </c>
    </row>
    <row r="9643" spans="1:22">
      <c r="A9643" s="499">
        <v>45828</v>
      </c>
      <c r="B9643" s="499">
        <v>45831</v>
      </c>
      <c r="C9643" s="500" t="s">
        <v>173</v>
      </c>
      <c r="D9643" s="500" t="s">
        <v>762</v>
      </c>
      <c r="E9643" s="501">
        <v>47060997.119999997</v>
      </c>
      <c r="F9643" s="502" t="s">
        <v>878</v>
      </c>
      <c r="G9643" s="100">
        <v>117609149</v>
      </c>
      <c r="H9643" s="484">
        <v>117609149</v>
      </c>
      <c r="I9643" s="422" t="s">
        <v>596</v>
      </c>
      <c r="J9643" s="484"/>
      <c r="K9643" s="548"/>
      <c r="L9643" s="548"/>
      <c r="M9643" s="548"/>
      <c r="N9643" s="552">
        <v>44932</v>
      </c>
      <c r="R9643" s="539">
        <v>1046.05</v>
      </c>
      <c r="S9643" s="539">
        <v>1047.3826475563101</v>
      </c>
      <c r="T9643" s="538">
        <v>15.5001</v>
      </c>
      <c r="U9643" s="538">
        <v>211.51</v>
      </c>
      <c r="V9643" s="538">
        <v>105.75</v>
      </c>
    </row>
    <row r="9644" spans="1:22">
      <c r="A9644" s="499">
        <v>45828</v>
      </c>
      <c r="B9644" s="499">
        <v>45831</v>
      </c>
      <c r="C9644" s="500" t="s">
        <v>173</v>
      </c>
      <c r="D9644" s="500" t="s">
        <v>762</v>
      </c>
      <c r="E9644" s="501">
        <v>2446349685.8099999</v>
      </c>
      <c r="F9644" s="502" t="s">
        <v>878</v>
      </c>
      <c r="G9644" s="100">
        <v>117609152</v>
      </c>
      <c r="H9644" s="484">
        <v>117609152</v>
      </c>
      <c r="I9644" s="422" t="s">
        <v>719</v>
      </c>
      <c r="J9644" s="484"/>
      <c r="K9644" s="548"/>
      <c r="L9644" s="548"/>
      <c r="M9644" s="548"/>
      <c r="N9644" s="552">
        <v>3371340</v>
      </c>
      <c r="R9644" s="539">
        <v>724.70799999999997</v>
      </c>
      <c r="S9644" s="539">
        <v>725.63125813771398</v>
      </c>
      <c r="T9644" s="538">
        <v>15.5</v>
      </c>
      <c r="U9644" s="538">
        <v>10994.57</v>
      </c>
      <c r="V9644" s="538">
        <v>5497.28</v>
      </c>
    </row>
    <row r="9645" spans="1:22">
      <c r="A9645" s="499">
        <v>45828</v>
      </c>
      <c r="B9645" s="499">
        <v>45831</v>
      </c>
      <c r="C9645" s="500" t="s">
        <v>173</v>
      </c>
      <c r="D9645" s="500" t="s">
        <v>762</v>
      </c>
      <c r="E9645" s="501">
        <v>16021938.18</v>
      </c>
      <c r="F9645" s="502" t="s">
        <v>878</v>
      </c>
      <c r="G9645" s="100">
        <v>117609161</v>
      </c>
      <c r="H9645" s="484">
        <v>117609161</v>
      </c>
      <c r="I9645" s="422" t="s">
        <v>719</v>
      </c>
      <c r="J9645" s="484"/>
      <c r="K9645" s="548"/>
      <c r="L9645" s="548"/>
      <c r="M9645" s="548"/>
      <c r="N9645" s="552">
        <v>22080</v>
      </c>
      <c r="R9645" s="539">
        <v>724.70799999999997</v>
      </c>
      <c r="S9645" s="539">
        <v>725.63125815217404</v>
      </c>
      <c r="T9645" s="538">
        <v>15.5</v>
      </c>
      <c r="U9645" s="538">
        <v>72.010000000000005</v>
      </c>
      <c r="V9645" s="538">
        <v>36</v>
      </c>
    </row>
    <row r="9646" spans="1:22">
      <c r="A9646" s="499">
        <v>45828</v>
      </c>
      <c r="B9646" s="499">
        <v>45831</v>
      </c>
      <c r="C9646" s="500" t="s">
        <v>173</v>
      </c>
      <c r="D9646" s="500" t="s">
        <v>762</v>
      </c>
      <c r="E9646" s="501">
        <v>112162691.19</v>
      </c>
      <c r="F9646" s="502" t="s">
        <v>878</v>
      </c>
      <c r="G9646" s="100">
        <v>117612514</v>
      </c>
      <c r="H9646" s="484">
        <v>117612514</v>
      </c>
      <c r="I9646" s="422" t="s">
        <v>693</v>
      </c>
      <c r="J9646" s="484"/>
      <c r="K9646" s="548"/>
      <c r="L9646" s="548"/>
      <c r="M9646" s="548"/>
      <c r="N9646" s="552">
        <v>134400</v>
      </c>
      <c r="R9646" s="539">
        <v>833.48199999999997</v>
      </c>
      <c r="S9646" s="539">
        <v>834.543833258929</v>
      </c>
      <c r="T9646" s="538">
        <v>15.5</v>
      </c>
      <c r="U9646" s="538">
        <v>504.09</v>
      </c>
      <c r="V9646" s="538">
        <v>252.04</v>
      </c>
    </row>
    <row r="9647" spans="1:22">
      <c r="A9647" s="499">
        <v>45828</v>
      </c>
      <c r="B9647" s="499">
        <v>45828</v>
      </c>
      <c r="C9647" s="500" t="s">
        <v>173</v>
      </c>
      <c r="D9647" s="500" t="s">
        <v>761</v>
      </c>
      <c r="E9647" s="501">
        <v>-30025900.800000001</v>
      </c>
      <c r="F9647" s="502" t="s">
        <v>878</v>
      </c>
      <c r="G9647" s="100">
        <v>117602716</v>
      </c>
      <c r="H9647" s="530"/>
      <c r="I9647" s="422" t="s">
        <v>590</v>
      </c>
      <c r="J9647" s="484"/>
      <c r="K9647" s="548"/>
      <c r="L9647" s="548"/>
      <c r="M9647" s="548"/>
      <c r="N9647" s="552">
        <v>34560</v>
      </c>
      <c r="R9647" s="539">
        <v>868.80500000000006</v>
      </c>
      <c r="S9647" s="539">
        <v>869.91540422453704</v>
      </c>
      <c r="T9647" s="538">
        <v>15.55</v>
      </c>
      <c r="U9647" s="538">
        <v>135.12</v>
      </c>
      <c r="V9647" s="538">
        <v>67.56</v>
      </c>
    </row>
    <row r="9648" spans="1:22">
      <c r="A9648" s="499">
        <v>45828</v>
      </c>
      <c r="B9648" s="499">
        <v>45828</v>
      </c>
      <c r="C9648" s="500" t="s">
        <v>173</v>
      </c>
      <c r="D9648" s="500" t="s">
        <v>761</v>
      </c>
      <c r="E9648" s="501">
        <v>-39034492.380000003</v>
      </c>
      <c r="F9648" s="502" t="s">
        <v>878</v>
      </c>
      <c r="G9648" s="100">
        <v>117602719</v>
      </c>
      <c r="H9648" s="530"/>
      <c r="I9648" s="422" t="s">
        <v>817</v>
      </c>
      <c r="J9648" s="484"/>
      <c r="K9648" s="548"/>
      <c r="L9648" s="548"/>
      <c r="M9648" s="548"/>
      <c r="N9648" s="552">
        <v>37557</v>
      </c>
      <c r="R9648" s="539">
        <v>1039.3400000000001</v>
      </c>
      <c r="S9648" s="539">
        <v>1040.6683619564899</v>
      </c>
      <c r="T9648" s="538">
        <v>15.55</v>
      </c>
      <c r="U9648" s="538">
        <v>175.66</v>
      </c>
      <c r="V9648" s="538">
        <v>87.83</v>
      </c>
    </row>
    <row r="9649" spans="1:22">
      <c r="A9649" s="499">
        <v>45828</v>
      </c>
      <c r="B9649" s="499">
        <v>45828</v>
      </c>
      <c r="C9649" s="500" t="s">
        <v>173</v>
      </c>
      <c r="D9649" s="500" t="s">
        <v>761</v>
      </c>
      <c r="E9649" s="501">
        <v>-42011029.490000002</v>
      </c>
      <c r="F9649" s="502" t="s">
        <v>878</v>
      </c>
      <c r="G9649" s="100">
        <v>117602722</v>
      </c>
      <c r="H9649" s="530"/>
      <c r="I9649" s="422" t="s">
        <v>714</v>
      </c>
      <c r="J9649" s="484"/>
      <c r="K9649" s="548"/>
      <c r="L9649" s="548"/>
      <c r="M9649" s="548"/>
      <c r="N9649" s="552">
        <v>53634</v>
      </c>
      <c r="R9649" s="539">
        <v>783.29099992542046</v>
      </c>
      <c r="S9649" s="539">
        <v>784.29211022858601</v>
      </c>
      <c r="T9649" s="538">
        <v>15.55</v>
      </c>
      <c r="U9649" s="538">
        <v>189.05</v>
      </c>
      <c r="V9649" s="538">
        <v>94.52</v>
      </c>
    </row>
    <row r="9650" spans="1:22">
      <c r="A9650" s="499">
        <v>45828</v>
      </c>
      <c r="B9650" s="499">
        <v>45828</v>
      </c>
      <c r="C9650" s="500" t="s">
        <v>173</v>
      </c>
      <c r="D9650" s="500" t="s">
        <v>761</v>
      </c>
      <c r="E9650" s="501">
        <v>-43004172.719999999</v>
      </c>
      <c r="F9650" s="502" t="s">
        <v>878</v>
      </c>
      <c r="G9650" s="100">
        <v>117602725</v>
      </c>
      <c r="H9650" s="530"/>
      <c r="I9650" s="422" t="s">
        <v>719</v>
      </c>
      <c r="J9650" s="484"/>
      <c r="K9650" s="548"/>
      <c r="L9650" s="548"/>
      <c r="M9650" s="548"/>
      <c r="N9650" s="552">
        <v>59340</v>
      </c>
      <c r="R9650" s="539">
        <v>724.70799999999997</v>
      </c>
      <c r="S9650" s="539">
        <v>725.63423643410897</v>
      </c>
      <c r="T9650" s="538">
        <v>15.55</v>
      </c>
      <c r="U9650" s="538">
        <v>193.52</v>
      </c>
      <c r="V9650" s="538">
        <v>96.76</v>
      </c>
    </row>
    <row r="9651" spans="1:22">
      <c r="A9651" s="499">
        <v>45828</v>
      </c>
      <c r="B9651" s="499">
        <v>45828</v>
      </c>
      <c r="C9651" s="500" t="s">
        <v>173</v>
      </c>
      <c r="D9651" s="500" t="s">
        <v>761</v>
      </c>
      <c r="E9651" s="501">
        <v>-46023393.759999998</v>
      </c>
      <c r="F9651" s="502" t="s">
        <v>878</v>
      </c>
      <c r="G9651" s="100">
        <v>117602728</v>
      </c>
      <c r="H9651" s="530"/>
      <c r="I9651" s="422" t="s">
        <v>676</v>
      </c>
      <c r="J9651" s="484"/>
      <c r="K9651" s="548"/>
      <c r="L9651" s="548"/>
      <c r="M9651" s="548"/>
      <c r="N9651" s="552">
        <v>48760</v>
      </c>
      <c r="R9651" s="539">
        <v>943.87599999999998</v>
      </c>
      <c r="S9651" s="539">
        <v>945.082351107465</v>
      </c>
      <c r="T9651" s="538">
        <v>15.55</v>
      </c>
      <c r="U9651" s="538">
        <v>207.11</v>
      </c>
      <c r="V9651" s="538">
        <v>103.55</v>
      </c>
    </row>
    <row r="9652" spans="1:22">
      <c r="A9652" s="499">
        <v>45828</v>
      </c>
      <c r="B9652" s="499">
        <v>45828</v>
      </c>
      <c r="C9652" s="500" t="s">
        <v>173</v>
      </c>
      <c r="D9652" s="500" t="s">
        <v>761</v>
      </c>
      <c r="E9652" s="501">
        <v>-47005611.990000002</v>
      </c>
      <c r="F9652" s="502" t="s">
        <v>878</v>
      </c>
      <c r="G9652" s="100">
        <v>117602731</v>
      </c>
      <c r="H9652" s="530"/>
      <c r="I9652" s="422" t="s">
        <v>588</v>
      </c>
      <c r="J9652" s="484"/>
      <c r="K9652" s="548"/>
      <c r="L9652" s="548"/>
      <c r="M9652" s="548"/>
      <c r="N9652" s="552">
        <v>50572</v>
      </c>
      <c r="R9652" s="539">
        <v>929.4790000395476</v>
      </c>
      <c r="S9652" s="539">
        <v>930.666950684173</v>
      </c>
      <c r="T9652" s="538">
        <v>15.55</v>
      </c>
      <c r="U9652" s="538">
        <v>211.53</v>
      </c>
      <c r="V9652" s="538">
        <v>105.76</v>
      </c>
    </row>
    <row r="9653" spans="1:22">
      <c r="A9653" s="499">
        <v>45828</v>
      </c>
      <c r="B9653" s="499">
        <v>45828</v>
      </c>
      <c r="C9653" s="500" t="s">
        <v>173</v>
      </c>
      <c r="D9653" s="500" t="s">
        <v>761</v>
      </c>
      <c r="E9653" s="501">
        <v>-53040978.539999999</v>
      </c>
      <c r="F9653" s="502" t="s">
        <v>878</v>
      </c>
      <c r="G9653" s="100">
        <v>117602734</v>
      </c>
      <c r="H9653" s="530"/>
      <c r="I9653" s="422" t="s">
        <v>705</v>
      </c>
      <c r="J9653" s="484"/>
      <c r="K9653" s="548"/>
      <c r="L9653" s="548"/>
      <c r="M9653" s="548"/>
      <c r="N9653" s="552">
        <v>63706</v>
      </c>
      <c r="R9653" s="539">
        <v>832.59</v>
      </c>
      <c r="S9653" s="539">
        <v>833.65411845038102</v>
      </c>
      <c r="T9653" s="538">
        <v>15.55</v>
      </c>
      <c r="U9653" s="538">
        <v>238.68</v>
      </c>
      <c r="V9653" s="538">
        <v>119.34</v>
      </c>
    </row>
    <row r="9654" spans="1:22">
      <c r="A9654" s="499">
        <v>45828</v>
      </c>
      <c r="B9654" s="499">
        <v>45828</v>
      </c>
      <c r="C9654" s="500" t="s">
        <v>173</v>
      </c>
      <c r="D9654" s="500" t="s">
        <v>761</v>
      </c>
      <c r="E9654" s="501">
        <v>-59052180.780000001</v>
      </c>
      <c r="F9654" s="502" t="s">
        <v>878</v>
      </c>
      <c r="G9654" s="100">
        <v>117602737</v>
      </c>
      <c r="H9654" s="530"/>
      <c r="I9654" s="422" t="s">
        <v>817</v>
      </c>
      <c r="J9654" s="484"/>
      <c r="K9654" s="548"/>
      <c r="L9654" s="548"/>
      <c r="M9654" s="548"/>
      <c r="N9654" s="552">
        <v>56817</v>
      </c>
      <c r="R9654" s="539">
        <v>1039.3399999999999</v>
      </c>
      <c r="S9654" s="539">
        <v>1040.6683619339301</v>
      </c>
      <c r="T9654" s="538">
        <v>15.55</v>
      </c>
      <c r="U9654" s="538">
        <v>265.73</v>
      </c>
      <c r="V9654" s="538">
        <v>132.87</v>
      </c>
    </row>
    <row r="9655" spans="1:22">
      <c r="A9655" s="499">
        <v>45828</v>
      </c>
      <c r="B9655" s="499">
        <v>45828</v>
      </c>
      <c r="C9655" s="500" t="s">
        <v>173</v>
      </c>
      <c r="D9655" s="500" t="s">
        <v>761</v>
      </c>
      <c r="E9655" s="501">
        <v>-63064459.710000001</v>
      </c>
      <c r="F9655" s="502" t="s">
        <v>878</v>
      </c>
      <c r="G9655" s="100">
        <v>117602740</v>
      </c>
      <c r="H9655" s="530"/>
      <c r="I9655" s="422" t="s">
        <v>821</v>
      </c>
      <c r="J9655" s="484"/>
      <c r="K9655" s="548"/>
      <c r="L9655" s="548"/>
      <c r="M9655" s="548"/>
      <c r="N9655" s="552">
        <v>58590</v>
      </c>
      <c r="R9655" s="539">
        <v>1076.3689999999999</v>
      </c>
      <c r="S9655" s="539">
        <v>1077.7446880013699</v>
      </c>
      <c r="T9655" s="538">
        <v>15.55</v>
      </c>
      <c r="U9655" s="538">
        <v>283.79000000000002</v>
      </c>
      <c r="V9655" s="538">
        <v>141.9</v>
      </c>
    </row>
    <row r="9656" spans="1:22">
      <c r="A9656" s="499">
        <v>45828</v>
      </c>
      <c r="B9656" s="499">
        <v>45828</v>
      </c>
      <c r="C9656" s="500" t="s">
        <v>173</v>
      </c>
      <c r="D9656" s="500" t="s">
        <v>761</v>
      </c>
      <c r="E9656" s="501">
        <v>-64035619.649999999</v>
      </c>
      <c r="F9656" s="502" t="s">
        <v>878</v>
      </c>
      <c r="G9656" s="100">
        <v>117602743</v>
      </c>
      <c r="H9656" s="530"/>
      <c r="I9656" s="422" t="s">
        <v>602</v>
      </c>
      <c r="J9656" s="484"/>
      <c r="K9656" s="548"/>
      <c r="L9656" s="548"/>
      <c r="M9656" s="548"/>
      <c r="N9656" s="552">
        <v>75712</v>
      </c>
      <c r="R9656" s="539">
        <v>845.77900002641593</v>
      </c>
      <c r="S9656" s="539">
        <v>846.85997516906195</v>
      </c>
      <c r="T9656" s="538">
        <v>15.55</v>
      </c>
      <c r="U9656" s="538">
        <v>288.16000000000003</v>
      </c>
      <c r="V9656" s="538">
        <v>144.08000000000001</v>
      </c>
    </row>
    <row r="9657" spans="1:22">
      <c r="A9657" s="499">
        <v>45828</v>
      </c>
      <c r="B9657" s="499">
        <v>45828</v>
      </c>
      <c r="C9657" s="500" t="s">
        <v>173</v>
      </c>
      <c r="D9657" s="500" t="s">
        <v>761</v>
      </c>
      <c r="E9657" s="501">
        <v>-66007693.619999997</v>
      </c>
      <c r="F9657" s="502" t="s">
        <v>878</v>
      </c>
      <c r="G9657" s="100">
        <v>117602746</v>
      </c>
      <c r="H9657" s="530"/>
      <c r="I9657" s="422" t="s">
        <v>711</v>
      </c>
      <c r="J9657" s="484"/>
      <c r="K9657" s="548"/>
      <c r="L9657" s="548"/>
      <c r="M9657" s="548"/>
      <c r="N9657" s="552">
        <v>75042</v>
      </c>
      <c r="R9657" s="539">
        <v>879.61</v>
      </c>
      <c r="S9657" s="539">
        <v>880.73421390687895</v>
      </c>
      <c r="T9657" s="538">
        <v>15.55</v>
      </c>
      <c r="U9657" s="538">
        <v>297.02999999999997</v>
      </c>
      <c r="V9657" s="538">
        <v>148.52000000000001</v>
      </c>
    </row>
    <row r="9658" spans="1:22">
      <c r="A9658" s="499">
        <v>45828</v>
      </c>
      <c r="B9658" s="499">
        <v>45828</v>
      </c>
      <c r="C9658" s="500" t="s">
        <v>173</v>
      </c>
      <c r="D9658" s="500" t="s">
        <v>761</v>
      </c>
      <c r="E9658" s="501">
        <v>-68013543.150000006</v>
      </c>
      <c r="F9658" s="502" t="s">
        <v>878</v>
      </c>
      <c r="G9658" s="100">
        <v>117602749</v>
      </c>
      <c r="H9658" s="530"/>
      <c r="I9658" s="422" t="s">
        <v>673</v>
      </c>
      <c r="J9658" s="484"/>
      <c r="K9658" s="548"/>
      <c r="L9658" s="548"/>
      <c r="M9658" s="548"/>
      <c r="N9658" s="552">
        <v>76772</v>
      </c>
      <c r="R9658" s="539">
        <v>885.91599997394894</v>
      </c>
      <c r="S9658" s="539">
        <v>887.04827345907404</v>
      </c>
      <c r="T9658" s="538">
        <v>15.55</v>
      </c>
      <c r="U9658" s="538">
        <v>306.06</v>
      </c>
      <c r="V9658" s="538">
        <v>153.03</v>
      </c>
    </row>
    <row r="9659" spans="1:22">
      <c r="A9659" s="499">
        <v>45828</v>
      </c>
      <c r="B9659" s="499">
        <v>45828</v>
      </c>
      <c r="C9659" s="500" t="s">
        <v>173</v>
      </c>
      <c r="D9659" s="500" t="s">
        <v>761</v>
      </c>
      <c r="E9659" s="501">
        <v>-69058167.760000005</v>
      </c>
      <c r="F9659" s="502" t="s">
        <v>878</v>
      </c>
      <c r="G9659" s="100">
        <v>117602752</v>
      </c>
      <c r="H9659" s="530"/>
      <c r="I9659" s="422" t="s">
        <v>654</v>
      </c>
      <c r="J9659" s="484"/>
      <c r="K9659" s="548"/>
      <c r="L9659" s="548"/>
      <c r="M9659" s="548"/>
      <c r="N9659" s="552">
        <v>66447</v>
      </c>
      <c r="R9659" s="539">
        <v>1039.2970000150497</v>
      </c>
      <c r="S9659" s="539">
        <v>1040.6253069363599</v>
      </c>
      <c r="T9659" s="538">
        <v>15.55</v>
      </c>
      <c r="U9659" s="538">
        <v>310.76</v>
      </c>
      <c r="V9659" s="538">
        <v>155.38</v>
      </c>
    </row>
    <row r="9660" spans="1:22">
      <c r="A9660" s="499">
        <v>45828</v>
      </c>
      <c r="B9660" s="499">
        <v>45828</v>
      </c>
      <c r="C9660" s="500" t="s">
        <v>173</v>
      </c>
      <c r="D9660" s="500" t="s">
        <v>761</v>
      </c>
      <c r="E9660" s="501">
        <v>-71006473.640000001</v>
      </c>
      <c r="F9660" s="502" t="s">
        <v>878</v>
      </c>
      <c r="G9660" s="100">
        <v>117602755</v>
      </c>
      <c r="H9660" s="530"/>
      <c r="I9660" s="422" t="s">
        <v>696</v>
      </c>
      <c r="J9660" s="484"/>
      <c r="K9660" s="548"/>
      <c r="L9660" s="548"/>
      <c r="M9660" s="548"/>
      <c r="N9660" s="552">
        <v>85626</v>
      </c>
      <c r="R9660" s="539">
        <v>829.26300002335745</v>
      </c>
      <c r="S9660" s="539">
        <v>830.322866302291</v>
      </c>
      <c r="T9660" s="538">
        <v>15.55</v>
      </c>
      <c r="U9660" s="538">
        <v>319.52999999999997</v>
      </c>
      <c r="V9660" s="538">
        <v>159.76</v>
      </c>
    </row>
    <row r="9661" spans="1:22">
      <c r="A9661" s="499">
        <v>45828</v>
      </c>
      <c r="B9661" s="499">
        <v>45828</v>
      </c>
      <c r="C9661" s="500" t="s">
        <v>173</v>
      </c>
      <c r="D9661" s="500" t="s">
        <v>761</v>
      </c>
      <c r="E9661" s="501">
        <v>-71064203.030000001</v>
      </c>
      <c r="F9661" s="502" t="s">
        <v>878</v>
      </c>
      <c r="G9661" s="100">
        <v>117602758</v>
      </c>
      <c r="H9661" s="530"/>
      <c r="I9661" s="422" t="s">
        <v>690</v>
      </c>
      <c r="J9661" s="484"/>
      <c r="K9661" s="548"/>
      <c r="L9661" s="548"/>
      <c r="M9661" s="548"/>
      <c r="N9661" s="552">
        <v>77532</v>
      </c>
      <c r="R9661" s="539">
        <v>916.57900002579584</v>
      </c>
      <c r="S9661" s="539">
        <v>917.750463292576</v>
      </c>
      <c r="T9661" s="538">
        <v>15.55</v>
      </c>
      <c r="U9661" s="538">
        <v>319.79000000000002</v>
      </c>
      <c r="V9661" s="538">
        <v>159.88999999999999</v>
      </c>
    </row>
    <row r="9662" spans="1:22">
      <c r="A9662" s="499">
        <v>45828</v>
      </c>
      <c r="B9662" s="499">
        <v>45828</v>
      </c>
      <c r="C9662" s="500" t="s">
        <v>173</v>
      </c>
      <c r="D9662" s="500" t="s">
        <v>761</v>
      </c>
      <c r="E9662" s="501">
        <v>-72054876.739999995</v>
      </c>
      <c r="F9662" s="502" t="s">
        <v>878</v>
      </c>
      <c r="G9662" s="100">
        <v>117602763</v>
      </c>
      <c r="H9662" s="530"/>
      <c r="I9662" s="422" t="s">
        <v>598</v>
      </c>
      <c r="J9662" s="484"/>
      <c r="K9662" s="548"/>
      <c r="L9662" s="548"/>
      <c r="M9662" s="548"/>
      <c r="N9662" s="552">
        <v>71208</v>
      </c>
      <c r="R9662" s="539">
        <v>1011.8929999438265</v>
      </c>
      <c r="S9662" s="539">
        <v>1013.18628229974</v>
      </c>
      <c r="T9662" s="538">
        <v>15.55</v>
      </c>
      <c r="U9662" s="538">
        <v>324.25</v>
      </c>
      <c r="V9662" s="538">
        <v>162.12</v>
      </c>
    </row>
    <row r="9663" spans="1:22">
      <c r="A9663" s="499">
        <v>45828</v>
      </c>
      <c r="B9663" s="499">
        <v>45828</v>
      </c>
      <c r="C9663" s="500" t="s">
        <v>173</v>
      </c>
      <c r="D9663" s="500" t="s">
        <v>761</v>
      </c>
      <c r="E9663" s="501">
        <v>-83064173.939999998</v>
      </c>
      <c r="F9663" s="502" t="s">
        <v>878</v>
      </c>
      <c r="G9663" s="100">
        <v>117602766</v>
      </c>
      <c r="H9663" s="530"/>
      <c r="I9663" s="422" t="s">
        <v>705</v>
      </c>
      <c r="J9663" s="484"/>
      <c r="K9663" s="548"/>
      <c r="L9663" s="548"/>
      <c r="M9663" s="548"/>
      <c r="N9663" s="552">
        <v>99766</v>
      </c>
      <c r="R9663" s="539">
        <v>832.59</v>
      </c>
      <c r="S9663" s="539">
        <v>833.65411843714298</v>
      </c>
      <c r="T9663" s="538">
        <v>15.55</v>
      </c>
      <c r="U9663" s="538">
        <v>373.79</v>
      </c>
      <c r="V9663" s="538">
        <v>186.89</v>
      </c>
    </row>
    <row r="9664" spans="1:22">
      <c r="A9664" s="499">
        <v>45828</v>
      </c>
      <c r="B9664" s="499">
        <v>45828</v>
      </c>
      <c r="C9664" s="500" t="s">
        <v>173</v>
      </c>
      <c r="D9664" s="500" t="s">
        <v>761</v>
      </c>
      <c r="E9664" s="501">
        <v>-83001975.400000006</v>
      </c>
      <c r="F9664" s="502" t="s">
        <v>878</v>
      </c>
      <c r="G9664" s="100">
        <v>117602769</v>
      </c>
      <c r="H9664" s="530"/>
      <c r="I9664" s="422" t="s">
        <v>596</v>
      </c>
      <c r="J9664" s="484"/>
      <c r="K9664" s="548"/>
      <c r="L9664" s="548"/>
      <c r="M9664" s="548"/>
      <c r="N9664" s="552">
        <v>79348</v>
      </c>
      <c r="R9664" s="539">
        <v>1046.0500000000002</v>
      </c>
      <c r="S9664" s="539">
        <v>1047.3869379190401</v>
      </c>
      <c r="T9664" s="538">
        <v>15.55</v>
      </c>
      <c r="U9664" s="538">
        <v>373.51</v>
      </c>
      <c r="V9664" s="538">
        <v>186.75</v>
      </c>
    </row>
    <row r="9665" spans="1:22">
      <c r="A9665" s="499">
        <v>45828</v>
      </c>
      <c r="B9665" s="499">
        <v>45828</v>
      </c>
      <c r="C9665" s="500" t="s">
        <v>173</v>
      </c>
      <c r="D9665" s="500" t="s">
        <v>761</v>
      </c>
      <c r="E9665" s="501">
        <v>-85056791.560000002</v>
      </c>
      <c r="F9665" s="502" t="s">
        <v>878</v>
      </c>
      <c r="G9665" s="100">
        <v>117602772</v>
      </c>
      <c r="H9665" s="530"/>
      <c r="I9665" s="422" t="s">
        <v>819</v>
      </c>
      <c r="J9665" s="484"/>
      <c r="K9665" s="548"/>
      <c r="L9665" s="548"/>
      <c r="M9665" s="548"/>
      <c r="N9665" s="552">
        <v>83980</v>
      </c>
      <c r="R9665" s="539">
        <v>1012.822</v>
      </c>
      <c r="S9665" s="539">
        <v>1014.1164697547</v>
      </c>
      <c r="T9665" s="538">
        <v>15.55</v>
      </c>
      <c r="U9665" s="538">
        <v>382.76</v>
      </c>
      <c r="V9665" s="538">
        <v>191.38</v>
      </c>
    </row>
    <row r="9666" spans="1:22">
      <c r="A9666" s="499">
        <v>45828</v>
      </c>
      <c r="B9666" s="499">
        <v>45828</v>
      </c>
      <c r="C9666" s="500" t="s">
        <v>173</v>
      </c>
      <c r="D9666" s="500" t="s">
        <v>761</v>
      </c>
      <c r="E9666" s="501">
        <v>-87010141.590000004</v>
      </c>
      <c r="F9666" s="502" t="s">
        <v>878</v>
      </c>
      <c r="G9666" s="100">
        <v>117602775</v>
      </c>
      <c r="H9666" s="530"/>
      <c r="I9666" s="422" t="s">
        <v>711</v>
      </c>
      <c r="J9666" s="484"/>
      <c r="K9666" s="548"/>
      <c r="L9666" s="548"/>
      <c r="M9666" s="548"/>
      <c r="N9666" s="552">
        <v>98919</v>
      </c>
      <c r="R9666" s="539">
        <v>879.61</v>
      </c>
      <c r="S9666" s="539">
        <v>880.73421385173697</v>
      </c>
      <c r="T9666" s="538">
        <v>15.55</v>
      </c>
      <c r="U9666" s="538">
        <v>391.55</v>
      </c>
      <c r="V9666" s="538">
        <v>195.77</v>
      </c>
    </row>
    <row r="9667" spans="1:22">
      <c r="A9667" s="499">
        <v>45828</v>
      </c>
      <c r="B9667" s="499">
        <v>45828</v>
      </c>
      <c r="C9667" s="500" t="s">
        <v>173</v>
      </c>
      <c r="D9667" s="500" t="s">
        <v>761</v>
      </c>
      <c r="E9667" s="501">
        <v>-87010141.590000004</v>
      </c>
      <c r="F9667" s="502" t="s">
        <v>878</v>
      </c>
      <c r="G9667" s="100">
        <v>117602778</v>
      </c>
      <c r="H9667" s="530"/>
      <c r="I9667" s="422" t="s">
        <v>711</v>
      </c>
      <c r="J9667" s="484"/>
      <c r="K9667" s="548"/>
      <c r="L9667" s="548"/>
      <c r="M9667" s="548"/>
      <c r="N9667" s="552">
        <v>98919</v>
      </c>
      <c r="R9667" s="539">
        <v>879.61</v>
      </c>
      <c r="S9667" s="539">
        <v>880.73421385173697</v>
      </c>
      <c r="T9667" s="538">
        <v>15.55</v>
      </c>
      <c r="U9667" s="538">
        <v>391.55</v>
      </c>
      <c r="V9667" s="538">
        <v>195.77</v>
      </c>
    </row>
    <row r="9668" spans="1:22">
      <c r="A9668" s="499">
        <v>45828</v>
      </c>
      <c r="B9668" s="499">
        <v>45828</v>
      </c>
      <c r="C9668" s="500" t="s">
        <v>173</v>
      </c>
      <c r="D9668" s="500" t="s">
        <v>761</v>
      </c>
      <c r="E9668" s="501">
        <v>-8003568.8499999996</v>
      </c>
      <c r="F9668" s="502" t="s">
        <v>878</v>
      </c>
      <c r="G9668" s="100">
        <v>117602833</v>
      </c>
      <c r="H9668" s="530"/>
      <c r="I9668" s="422" t="s">
        <v>631</v>
      </c>
      <c r="J9668" s="484"/>
      <c r="K9668" s="548"/>
      <c r="L9668" s="548"/>
      <c r="M9668" s="548"/>
      <c r="N9668" s="552">
        <v>16360</v>
      </c>
      <c r="R9668" s="539">
        <v>489.21569987775058</v>
      </c>
      <c r="S9668" s="539">
        <v>489.84017787286098</v>
      </c>
      <c r="T9668" s="538">
        <v>15.5306</v>
      </c>
      <c r="U9668" s="538">
        <v>39.32</v>
      </c>
      <c r="V9668" s="538">
        <v>18.010000000000002</v>
      </c>
    </row>
    <row r="9669" spans="1:22">
      <c r="A9669" s="499">
        <v>45828</v>
      </c>
      <c r="B9669" s="499">
        <v>45828</v>
      </c>
      <c r="C9669" s="500" t="s">
        <v>173</v>
      </c>
      <c r="D9669" s="500" t="s">
        <v>761</v>
      </c>
      <c r="E9669" s="501">
        <v>-498119890.50999999</v>
      </c>
      <c r="F9669" s="502" t="s">
        <v>878</v>
      </c>
      <c r="G9669" s="100">
        <v>117603204</v>
      </c>
      <c r="H9669" s="530"/>
      <c r="I9669" s="422" t="s">
        <v>695</v>
      </c>
      <c r="J9669" s="484"/>
      <c r="K9669" s="548"/>
      <c r="L9669" s="548"/>
      <c r="M9669" s="548"/>
      <c r="N9669" s="552">
        <v>656364</v>
      </c>
      <c r="R9669" s="539">
        <v>758.90799999695287</v>
      </c>
      <c r="S9669" s="539">
        <v>761.17848640388604</v>
      </c>
      <c r="T9669" s="538">
        <v>15.6</v>
      </c>
      <c r="U9669" s="538">
        <v>5230.26</v>
      </c>
      <c r="V9669" s="538">
        <v>2615.13</v>
      </c>
    </row>
    <row r="9670" spans="1:22">
      <c r="A9670" s="499">
        <v>45828</v>
      </c>
      <c r="B9670" s="499">
        <v>45828</v>
      </c>
      <c r="C9670" s="500" t="s">
        <v>173</v>
      </c>
      <c r="D9670" s="500" t="s">
        <v>761</v>
      </c>
      <c r="E9670" s="501">
        <v>-3000107.12</v>
      </c>
      <c r="F9670" s="502" t="s">
        <v>878</v>
      </c>
      <c r="G9670" s="100">
        <v>117603475</v>
      </c>
      <c r="H9670" s="530"/>
      <c r="I9670" s="422" t="s">
        <v>1018</v>
      </c>
      <c r="J9670" s="484"/>
      <c r="K9670" s="548"/>
      <c r="L9670" s="548"/>
      <c r="M9670" s="548"/>
      <c r="N9670" s="552">
        <v>31647</v>
      </c>
      <c r="R9670" s="539">
        <v>94.799100072676723</v>
      </c>
      <c r="S9670" s="539">
        <v>94.920112174929699</v>
      </c>
      <c r="T9670" s="538">
        <v>15.530900000000001</v>
      </c>
      <c r="U9670" s="538">
        <v>39.32</v>
      </c>
      <c r="V9670" s="538">
        <v>6.75</v>
      </c>
    </row>
    <row r="9671" spans="1:22">
      <c r="A9671" s="499">
        <v>45828</v>
      </c>
      <c r="B9671" s="499">
        <v>45831</v>
      </c>
      <c r="C9671" s="500" t="s">
        <v>173</v>
      </c>
      <c r="D9671" s="500" t="s">
        <v>761</v>
      </c>
      <c r="E9671" s="501">
        <v>30064276.370000001</v>
      </c>
      <c r="F9671" s="502" t="s">
        <v>878</v>
      </c>
      <c r="G9671" s="100">
        <v>117602716</v>
      </c>
      <c r="H9671" s="100">
        <v>117602716</v>
      </c>
      <c r="I9671" s="422" t="s">
        <v>590</v>
      </c>
      <c r="J9671" s="484"/>
      <c r="K9671" s="548"/>
      <c r="L9671" s="548"/>
      <c r="M9671" s="548"/>
      <c r="N9671" s="552">
        <v>34560</v>
      </c>
      <c r="R9671" s="539">
        <v>868.80500000000006</v>
      </c>
      <c r="S9671" s="539">
        <v>869.91540422453704</v>
      </c>
      <c r="T9671" s="538">
        <v>15.55</v>
      </c>
      <c r="U9671" s="538">
        <v>135.12</v>
      </c>
      <c r="V9671" s="538">
        <v>67.56</v>
      </c>
    </row>
    <row r="9672" spans="1:22">
      <c r="A9672" s="499">
        <v>45828</v>
      </c>
      <c r="B9672" s="499">
        <v>45831</v>
      </c>
      <c r="C9672" s="500" t="s">
        <v>173</v>
      </c>
      <c r="D9672" s="500" t="s">
        <v>761</v>
      </c>
      <c r="E9672" s="501">
        <v>39084381.670000002</v>
      </c>
      <c r="F9672" s="502" t="s">
        <v>878</v>
      </c>
      <c r="G9672" s="100">
        <v>117602719</v>
      </c>
      <c r="H9672" s="100">
        <v>117602719</v>
      </c>
      <c r="I9672" s="422" t="s">
        <v>817</v>
      </c>
      <c r="J9672" s="484"/>
      <c r="K9672" s="548"/>
      <c r="L9672" s="548"/>
      <c r="M9672" s="548"/>
      <c r="N9672" s="552">
        <v>37557</v>
      </c>
      <c r="R9672" s="539">
        <v>1039.3400000000001</v>
      </c>
      <c r="S9672" s="539">
        <v>1040.6683619564899</v>
      </c>
      <c r="T9672" s="538">
        <v>15.55</v>
      </c>
      <c r="U9672" s="538">
        <v>175.66</v>
      </c>
      <c r="V9672" s="538">
        <v>87.83</v>
      </c>
    </row>
    <row r="9673" spans="1:22">
      <c r="A9673" s="499">
        <v>45828</v>
      </c>
      <c r="B9673" s="499">
        <v>45831</v>
      </c>
      <c r="C9673" s="500" t="s">
        <v>173</v>
      </c>
      <c r="D9673" s="500" t="s">
        <v>761</v>
      </c>
      <c r="E9673" s="501">
        <v>42064723.039999999</v>
      </c>
      <c r="F9673" s="502" t="s">
        <v>878</v>
      </c>
      <c r="G9673" s="100">
        <v>117602722</v>
      </c>
      <c r="H9673" s="100">
        <v>117602722</v>
      </c>
      <c r="I9673" s="422" t="s">
        <v>714</v>
      </c>
      <c r="J9673" s="484"/>
      <c r="K9673" s="548"/>
      <c r="L9673" s="548"/>
      <c r="M9673" s="548"/>
      <c r="N9673" s="552">
        <v>53634</v>
      </c>
      <c r="R9673" s="539">
        <v>783.29099992542046</v>
      </c>
      <c r="S9673" s="539">
        <v>784.29211022858601</v>
      </c>
      <c r="T9673" s="538">
        <v>15.55</v>
      </c>
      <c r="U9673" s="538">
        <v>189.05</v>
      </c>
      <c r="V9673" s="538">
        <v>94.52</v>
      </c>
    </row>
    <row r="9674" spans="1:22">
      <c r="A9674" s="499">
        <v>45828</v>
      </c>
      <c r="B9674" s="499">
        <v>45831</v>
      </c>
      <c r="C9674" s="500" t="s">
        <v>173</v>
      </c>
      <c r="D9674" s="500" t="s">
        <v>761</v>
      </c>
      <c r="E9674" s="501">
        <v>43059135.590000004</v>
      </c>
      <c r="F9674" s="502" t="s">
        <v>878</v>
      </c>
      <c r="G9674" s="100">
        <v>117602725</v>
      </c>
      <c r="H9674" s="100">
        <v>117602725</v>
      </c>
      <c r="I9674" s="422" t="s">
        <v>719</v>
      </c>
      <c r="J9674" s="484"/>
      <c r="K9674" s="548"/>
      <c r="L9674" s="548"/>
      <c r="M9674" s="548"/>
      <c r="N9674" s="552">
        <v>59340</v>
      </c>
      <c r="R9674" s="539">
        <v>724.70799999999997</v>
      </c>
      <c r="S9674" s="539">
        <v>725.63423643410897</v>
      </c>
      <c r="T9674" s="538">
        <v>15.55</v>
      </c>
      <c r="U9674" s="538">
        <v>193.52</v>
      </c>
      <c r="V9674" s="538">
        <v>96.76</v>
      </c>
    </row>
    <row r="9675" spans="1:22">
      <c r="A9675" s="499">
        <v>45828</v>
      </c>
      <c r="B9675" s="499">
        <v>45831</v>
      </c>
      <c r="C9675" s="500" t="s">
        <v>173</v>
      </c>
      <c r="D9675" s="500" t="s">
        <v>761</v>
      </c>
      <c r="E9675" s="501">
        <v>46082215.439999998</v>
      </c>
      <c r="F9675" s="502" t="s">
        <v>878</v>
      </c>
      <c r="G9675" s="100">
        <v>117602728</v>
      </c>
      <c r="H9675" s="100">
        <v>117602728</v>
      </c>
      <c r="I9675" s="422" t="s">
        <v>676</v>
      </c>
      <c r="J9675" s="484"/>
      <c r="K9675" s="548"/>
      <c r="L9675" s="548"/>
      <c r="M9675" s="548"/>
      <c r="N9675" s="552">
        <v>48760</v>
      </c>
      <c r="R9675" s="539">
        <v>943.87599999999998</v>
      </c>
      <c r="S9675" s="539">
        <v>945.082351107465</v>
      </c>
      <c r="T9675" s="538">
        <v>15.55</v>
      </c>
      <c r="U9675" s="538">
        <v>207.11</v>
      </c>
      <c r="V9675" s="538">
        <v>103.55</v>
      </c>
    </row>
    <row r="9676" spans="1:22">
      <c r="A9676" s="499">
        <v>45828</v>
      </c>
      <c r="B9676" s="499">
        <v>45831</v>
      </c>
      <c r="C9676" s="500" t="s">
        <v>173</v>
      </c>
      <c r="D9676" s="500" t="s">
        <v>761</v>
      </c>
      <c r="E9676" s="501">
        <v>47065689.030000001</v>
      </c>
      <c r="F9676" s="502" t="s">
        <v>878</v>
      </c>
      <c r="G9676" s="100">
        <v>117602731</v>
      </c>
      <c r="H9676" s="100">
        <v>117602731</v>
      </c>
      <c r="I9676" s="422" t="s">
        <v>588</v>
      </c>
      <c r="J9676" s="484"/>
      <c r="K9676" s="548"/>
      <c r="L9676" s="548"/>
      <c r="M9676" s="548"/>
      <c r="N9676" s="552">
        <v>50572</v>
      </c>
      <c r="R9676" s="539">
        <v>929.4790000395476</v>
      </c>
      <c r="S9676" s="539">
        <v>930.666950684173</v>
      </c>
      <c r="T9676" s="538">
        <v>15.55</v>
      </c>
      <c r="U9676" s="538">
        <v>211.53</v>
      </c>
      <c r="V9676" s="538">
        <v>105.76</v>
      </c>
    </row>
    <row r="9677" spans="1:22">
      <c r="A9677" s="499">
        <v>45828</v>
      </c>
      <c r="B9677" s="499">
        <v>45831</v>
      </c>
      <c r="C9677" s="500" t="s">
        <v>173</v>
      </c>
      <c r="D9677" s="500" t="s">
        <v>761</v>
      </c>
      <c r="E9677" s="501">
        <v>53108769.270000003</v>
      </c>
      <c r="F9677" s="502" t="s">
        <v>878</v>
      </c>
      <c r="G9677" s="100">
        <v>117602734</v>
      </c>
      <c r="H9677" s="100">
        <v>117602734</v>
      </c>
      <c r="I9677" s="422" t="s">
        <v>705</v>
      </c>
      <c r="J9677" s="484"/>
      <c r="K9677" s="548"/>
      <c r="L9677" s="548"/>
      <c r="M9677" s="548"/>
      <c r="N9677" s="552">
        <v>63706</v>
      </c>
      <c r="R9677" s="539">
        <v>832.59</v>
      </c>
      <c r="S9677" s="539">
        <v>833.65411845038102</v>
      </c>
      <c r="T9677" s="538">
        <v>15.55</v>
      </c>
      <c r="U9677" s="538">
        <v>238.68</v>
      </c>
      <c r="V9677" s="538">
        <v>119.34</v>
      </c>
    </row>
    <row r="9678" spans="1:22">
      <c r="A9678" s="499">
        <v>45828</v>
      </c>
      <c r="B9678" s="499">
        <v>45831</v>
      </c>
      <c r="C9678" s="500" t="s">
        <v>173</v>
      </c>
      <c r="D9678" s="500" t="s">
        <v>761</v>
      </c>
      <c r="E9678" s="501">
        <v>59127654.32</v>
      </c>
      <c r="F9678" s="502" t="s">
        <v>878</v>
      </c>
      <c r="G9678" s="100">
        <v>117602737</v>
      </c>
      <c r="H9678" s="100">
        <v>117602737</v>
      </c>
      <c r="I9678" s="422" t="s">
        <v>817</v>
      </c>
      <c r="J9678" s="484"/>
      <c r="K9678" s="548"/>
      <c r="L9678" s="548"/>
      <c r="M9678" s="548"/>
      <c r="N9678" s="552">
        <v>56817</v>
      </c>
      <c r="R9678" s="539">
        <v>1039.3399999999999</v>
      </c>
      <c r="S9678" s="539">
        <v>1040.6683619339301</v>
      </c>
      <c r="T9678" s="538">
        <v>15.55</v>
      </c>
      <c r="U9678" s="538">
        <v>265.73</v>
      </c>
      <c r="V9678" s="538">
        <v>132.87</v>
      </c>
    </row>
    <row r="9679" spans="1:22">
      <c r="A9679" s="499">
        <v>45828</v>
      </c>
      <c r="B9679" s="499">
        <v>45831</v>
      </c>
      <c r="C9679" s="500" t="s">
        <v>173</v>
      </c>
      <c r="D9679" s="500" t="s">
        <v>761</v>
      </c>
      <c r="E9679" s="501">
        <v>63145061.270000003</v>
      </c>
      <c r="F9679" s="502" t="s">
        <v>878</v>
      </c>
      <c r="G9679" s="100">
        <v>117602740</v>
      </c>
      <c r="H9679" s="100">
        <v>117602740</v>
      </c>
      <c r="I9679" s="422" t="s">
        <v>821</v>
      </c>
      <c r="J9679" s="484"/>
      <c r="K9679" s="548"/>
      <c r="L9679" s="548"/>
      <c r="M9679" s="548"/>
      <c r="N9679" s="552">
        <v>58590</v>
      </c>
      <c r="R9679" s="539">
        <v>1076.3689999999999</v>
      </c>
      <c r="S9679" s="539">
        <v>1077.7446880013699</v>
      </c>
      <c r="T9679" s="538">
        <v>15.55</v>
      </c>
      <c r="U9679" s="538">
        <v>283.79000000000002</v>
      </c>
      <c r="V9679" s="538">
        <v>141.9</v>
      </c>
    </row>
    <row r="9680" spans="1:22">
      <c r="A9680" s="499">
        <v>45828</v>
      </c>
      <c r="B9680" s="499">
        <v>45831</v>
      </c>
      <c r="C9680" s="500" t="s">
        <v>173</v>
      </c>
      <c r="D9680" s="500" t="s">
        <v>761</v>
      </c>
      <c r="E9680" s="501">
        <v>64117462.439999998</v>
      </c>
      <c r="F9680" s="502" t="s">
        <v>878</v>
      </c>
      <c r="G9680" s="100">
        <v>117602743</v>
      </c>
      <c r="H9680" s="100">
        <v>117602743</v>
      </c>
      <c r="I9680" s="422" t="s">
        <v>602</v>
      </c>
      <c r="J9680" s="484"/>
      <c r="K9680" s="548"/>
      <c r="L9680" s="548"/>
      <c r="M9680" s="548"/>
      <c r="N9680" s="552">
        <v>75712</v>
      </c>
      <c r="R9680" s="539">
        <v>845.77900002641593</v>
      </c>
      <c r="S9680" s="539">
        <v>846.85997516906195</v>
      </c>
      <c r="T9680" s="538">
        <v>15.55</v>
      </c>
      <c r="U9680" s="538">
        <v>288.16000000000003</v>
      </c>
      <c r="V9680" s="538">
        <v>144.08000000000001</v>
      </c>
    </row>
    <row r="9681" spans="1:25">
      <c r="A9681" s="499">
        <v>45828</v>
      </c>
      <c r="B9681" s="499">
        <v>45831</v>
      </c>
      <c r="C9681" s="500" t="s">
        <v>173</v>
      </c>
      <c r="D9681" s="500" t="s">
        <v>761</v>
      </c>
      <c r="E9681" s="501">
        <v>66092056.880000003</v>
      </c>
      <c r="F9681" s="502" t="s">
        <v>878</v>
      </c>
      <c r="G9681" s="100">
        <v>117602746</v>
      </c>
      <c r="H9681" s="100">
        <v>117602746</v>
      </c>
      <c r="I9681" s="422" t="s">
        <v>711</v>
      </c>
      <c r="J9681" s="484"/>
      <c r="K9681" s="548"/>
      <c r="L9681" s="548"/>
      <c r="M9681" s="548"/>
      <c r="N9681" s="552">
        <v>75042</v>
      </c>
      <c r="R9681" s="539">
        <v>879.61</v>
      </c>
      <c r="S9681" s="539">
        <v>880.73421390687895</v>
      </c>
      <c r="T9681" s="538">
        <v>15.55</v>
      </c>
      <c r="U9681" s="538">
        <v>297.02999999999997</v>
      </c>
      <c r="V9681" s="538">
        <v>148.52000000000001</v>
      </c>
    </row>
    <row r="9682" spans="1:25">
      <c r="A9682" s="499">
        <v>45828</v>
      </c>
      <c r="B9682" s="499">
        <v>45831</v>
      </c>
      <c r="C9682" s="500" t="s">
        <v>173</v>
      </c>
      <c r="D9682" s="500" t="s">
        <v>761</v>
      </c>
      <c r="E9682" s="501">
        <v>68100470.049999997</v>
      </c>
      <c r="F9682" s="502" t="s">
        <v>878</v>
      </c>
      <c r="G9682" s="100">
        <v>117602749</v>
      </c>
      <c r="H9682" s="100">
        <v>117602749</v>
      </c>
      <c r="I9682" s="422" t="s">
        <v>673</v>
      </c>
      <c r="J9682" s="484"/>
      <c r="K9682" s="548"/>
      <c r="L9682" s="548"/>
      <c r="M9682" s="548"/>
      <c r="N9682" s="552">
        <v>76772</v>
      </c>
      <c r="R9682" s="539">
        <v>885.91599997394894</v>
      </c>
      <c r="S9682" s="539">
        <v>887.04827345907404</v>
      </c>
      <c r="T9682" s="538">
        <v>15.55</v>
      </c>
      <c r="U9682" s="538">
        <v>306.06</v>
      </c>
      <c r="V9682" s="538">
        <v>153.03</v>
      </c>
    </row>
    <row r="9683" spans="1:25">
      <c r="A9683" s="499">
        <v>45828</v>
      </c>
      <c r="B9683" s="499">
        <v>45831</v>
      </c>
      <c r="C9683" s="500" t="s">
        <v>173</v>
      </c>
      <c r="D9683" s="500" t="s">
        <v>761</v>
      </c>
      <c r="E9683" s="501">
        <v>69146429.769999996</v>
      </c>
      <c r="F9683" s="502" t="s">
        <v>878</v>
      </c>
      <c r="G9683" s="100">
        <v>117602752</v>
      </c>
      <c r="H9683" s="100">
        <v>117602752</v>
      </c>
      <c r="I9683" s="422" t="s">
        <v>654</v>
      </c>
      <c r="J9683" s="484"/>
      <c r="K9683" s="548"/>
      <c r="L9683" s="548"/>
      <c r="M9683" s="548"/>
      <c r="N9683" s="552">
        <v>66447</v>
      </c>
      <c r="R9683" s="539">
        <v>1039.2970000150497</v>
      </c>
      <c r="S9683" s="539">
        <v>1040.6253069363599</v>
      </c>
      <c r="T9683" s="538">
        <v>15.55</v>
      </c>
      <c r="U9683" s="538">
        <v>310.76</v>
      </c>
      <c r="V9683" s="538">
        <v>155.38</v>
      </c>
    </row>
    <row r="9684" spans="1:25">
      <c r="A9684" s="499">
        <v>45828</v>
      </c>
      <c r="B9684" s="499">
        <v>45831</v>
      </c>
      <c r="C9684" s="500" t="s">
        <v>173</v>
      </c>
      <c r="D9684" s="500" t="s">
        <v>761</v>
      </c>
      <c r="E9684" s="501">
        <v>71097225.75</v>
      </c>
      <c r="F9684" s="502" t="s">
        <v>878</v>
      </c>
      <c r="G9684" s="100">
        <v>117602755</v>
      </c>
      <c r="H9684" s="100">
        <v>117602755</v>
      </c>
      <c r="I9684" s="422" t="s">
        <v>696</v>
      </c>
      <c r="J9684" s="484"/>
      <c r="K9684" s="548"/>
      <c r="L9684" s="548"/>
      <c r="M9684" s="548"/>
      <c r="N9684" s="552">
        <v>85626</v>
      </c>
      <c r="R9684" s="539">
        <v>829.26300002335745</v>
      </c>
      <c r="S9684" s="539">
        <v>830.322866302291</v>
      </c>
      <c r="T9684" s="538">
        <v>15.55</v>
      </c>
      <c r="U9684" s="538">
        <v>319.52999999999997</v>
      </c>
      <c r="V9684" s="538">
        <v>159.76</v>
      </c>
    </row>
    <row r="9685" spans="1:25">
      <c r="A9685" s="499">
        <v>45828</v>
      </c>
      <c r="B9685" s="499">
        <v>45831</v>
      </c>
      <c r="C9685" s="500" t="s">
        <v>173</v>
      </c>
      <c r="D9685" s="500" t="s">
        <v>761</v>
      </c>
      <c r="E9685" s="501">
        <v>71155028.920000002</v>
      </c>
      <c r="F9685" s="502" t="s">
        <v>878</v>
      </c>
      <c r="G9685" s="100">
        <v>117602758</v>
      </c>
      <c r="H9685" s="100">
        <v>117602758</v>
      </c>
      <c r="I9685" s="422" t="s">
        <v>690</v>
      </c>
      <c r="J9685" s="484"/>
      <c r="K9685" s="548"/>
      <c r="L9685" s="548"/>
      <c r="M9685" s="548"/>
      <c r="N9685" s="552">
        <v>77532</v>
      </c>
      <c r="R9685" s="539">
        <v>916.57900002579584</v>
      </c>
      <c r="S9685" s="539">
        <v>917.750463292576</v>
      </c>
      <c r="T9685" s="538">
        <v>15.55</v>
      </c>
      <c r="U9685" s="538">
        <v>319.79000000000002</v>
      </c>
      <c r="V9685" s="538">
        <v>159.88999999999999</v>
      </c>
    </row>
    <row r="9686" spans="1:25">
      <c r="A9686" s="499">
        <v>45828</v>
      </c>
      <c r="B9686" s="499">
        <v>45831</v>
      </c>
      <c r="C9686" s="500" t="s">
        <v>173</v>
      </c>
      <c r="D9686" s="500" t="s">
        <v>761</v>
      </c>
      <c r="E9686" s="501">
        <v>72146968.790000007</v>
      </c>
      <c r="F9686" s="502" t="s">
        <v>878</v>
      </c>
      <c r="G9686" s="100">
        <v>117602763</v>
      </c>
      <c r="H9686" s="100">
        <v>117602763</v>
      </c>
      <c r="I9686" s="422" t="s">
        <v>598</v>
      </c>
      <c r="J9686" s="484"/>
      <c r="K9686" s="548"/>
      <c r="L9686" s="548"/>
      <c r="M9686" s="548"/>
      <c r="N9686" s="552">
        <v>71208</v>
      </c>
      <c r="R9686" s="539">
        <v>1011.8929999438265</v>
      </c>
      <c r="S9686" s="539">
        <v>1013.18628229974</v>
      </c>
      <c r="T9686" s="538">
        <v>15.55</v>
      </c>
      <c r="U9686" s="538">
        <v>324.25</v>
      </c>
      <c r="V9686" s="538">
        <v>162.12</v>
      </c>
    </row>
    <row r="9687" spans="1:25">
      <c r="A9687" s="499">
        <v>45828</v>
      </c>
      <c r="B9687" s="499">
        <v>45831</v>
      </c>
      <c r="C9687" s="500" t="s">
        <v>173</v>
      </c>
      <c r="D9687" s="500" t="s">
        <v>761</v>
      </c>
      <c r="E9687" s="501">
        <v>83170336.780000001</v>
      </c>
      <c r="F9687" s="502" t="s">
        <v>878</v>
      </c>
      <c r="G9687" s="100">
        <v>117602766</v>
      </c>
      <c r="H9687" s="100">
        <v>117602766</v>
      </c>
      <c r="I9687" s="422" t="s">
        <v>705</v>
      </c>
      <c r="J9687" s="484"/>
      <c r="K9687" s="548"/>
      <c r="L9687" s="548"/>
      <c r="M9687" s="548"/>
      <c r="N9687" s="552">
        <v>99766</v>
      </c>
      <c r="R9687" s="539">
        <v>832.59</v>
      </c>
      <c r="S9687" s="539">
        <v>833.65411843714298</v>
      </c>
      <c r="T9687" s="538">
        <v>15.55</v>
      </c>
      <c r="U9687" s="538">
        <v>373.79</v>
      </c>
      <c r="V9687" s="538">
        <v>186.89</v>
      </c>
    </row>
    <row r="9688" spans="1:25">
      <c r="A9688" s="499">
        <v>45828</v>
      </c>
      <c r="B9688" s="499">
        <v>45831</v>
      </c>
      <c r="C9688" s="500" t="s">
        <v>173</v>
      </c>
      <c r="D9688" s="500" t="s">
        <v>761</v>
      </c>
      <c r="E9688" s="501">
        <v>83108058.75</v>
      </c>
      <c r="F9688" s="502" t="s">
        <v>878</v>
      </c>
      <c r="G9688" s="100">
        <v>117602769</v>
      </c>
      <c r="H9688" s="100">
        <v>117602769</v>
      </c>
      <c r="I9688" s="422" t="s">
        <v>596</v>
      </c>
      <c r="J9688" s="484"/>
      <c r="K9688" s="548"/>
      <c r="L9688" s="548"/>
      <c r="M9688" s="548"/>
      <c r="N9688" s="552">
        <v>79348</v>
      </c>
      <c r="R9688" s="539">
        <v>1046.0500000000002</v>
      </c>
      <c r="S9688" s="539">
        <v>1047.3869379190401</v>
      </c>
      <c r="T9688" s="538">
        <v>15.55</v>
      </c>
      <c r="U9688" s="538">
        <v>373.51</v>
      </c>
      <c r="V9688" s="538">
        <v>186.75</v>
      </c>
    </row>
    <row r="9689" spans="1:25">
      <c r="A9689" s="499">
        <v>45828</v>
      </c>
      <c r="B9689" s="499">
        <v>45831</v>
      </c>
      <c r="C9689" s="500" t="s">
        <v>173</v>
      </c>
      <c r="D9689" s="500" t="s">
        <v>761</v>
      </c>
      <c r="E9689" s="501">
        <v>85165501.129999995</v>
      </c>
      <c r="F9689" s="502" t="s">
        <v>878</v>
      </c>
      <c r="G9689" s="100">
        <v>117602772</v>
      </c>
      <c r="H9689" s="100">
        <v>117602772</v>
      </c>
      <c r="I9689" s="422" t="s">
        <v>819</v>
      </c>
      <c r="J9689" s="484"/>
      <c r="K9689" s="548"/>
      <c r="L9689" s="548"/>
      <c r="M9689" s="548"/>
      <c r="N9689" s="552">
        <v>83980</v>
      </c>
      <c r="R9689" s="539">
        <v>1012.822</v>
      </c>
      <c r="S9689" s="539">
        <v>1014.1164697547</v>
      </c>
      <c r="T9689" s="538">
        <v>15.55</v>
      </c>
      <c r="U9689" s="538">
        <v>382.76</v>
      </c>
      <c r="V9689" s="538">
        <v>191.38</v>
      </c>
    </row>
    <row r="9690" spans="1:25">
      <c r="A9690" s="499">
        <v>45828</v>
      </c>
      <c r="B9690" s="499">
        <v>45831</v>
      </c>
      <c r="C9690" s="500" t="s">
        <v>173</v>
      </c>
      <c r="D9690" s="500" t="s">
        <v>761</v>
      </c>
      <c r="E9690" s="501">
        <v>87121347.700000003</v>
      </c>
      <c r="F9690" s="502" t="s">
        <v>878</v>
      </c>
      <c r="G9690" s="100">
        <v>117602775</v>
      </c>
      <c r="H9690" s="100">
        <v>117602775</v>
      </c>
      <c r="I9690" s="422" t="s">
        <v>711</v>
      </c>
      <c r="J9690" s="484"/>
      <c r="K9690" s="548"/>
      <c r="L9690" s="548"/>
      <c r="M9690" s="548"/>
      <c r="N9690" s="552">
        <v>98919</v>
      </c>
      <c r="R9690" s="539">
        <v>879.61</v>
      </c>
      <c r="S9690" s="539">
        <v>880.73421385173697</v>
      </c>
      <c r="T9690" s="538">
        <v>15.55</v>
      </c>
      <c r="U9690" s="538">
        <v>391.55</v>
      </c>
      <c r="V9690" s="538">
        <v>195.77</v>
      </c>
    </row>
    <row r="9691" spans="1:25">
      <c r="A9691" s="499">
        <v>45828</v>
      </c>
      <c r="B9691" s="499">
        <v>45831</v>
      </c>
      <c r="C9691" s="500" t="s">
        <v>173</v>
      </c>
      <c r="D9691" s="500" t="s">
        <v>761</v>
      </c>
      <c r="E9691" s="501">
        <v>87121347.700000003</v>
      </c>
      <c r="F9691" s="502" t="s">
        <v>878</v>
      </c>
      <c r="G9691" s="100">
        <v>117602778</v>
      </c>
      <c r="H9691" s="100">
        <v>117602778</v>
      </c>
      <c r="I9691" s="422" t="s">
        <v>711</v>
      </c>
      <c r="J9691" s="484"/>
      <c r="K9691" s="548"/>
      <c r="L9691" s="548"/>
      <c r="M9691" s="548"/>
      <c r="N9691" s="552">
        <v>98919</v>
      </c>
      <c r="R9691" s="539">
        <v>879.61</v>
      </c>
      <c r="S9691" s="539">
        <v>880.73421385173697</v>
      </c>
      <c r="T9691" s="538">
        <v>15.55</v>
      </c>
      <c r="U9691" s="538">
        <v>391.55</v>
      </c>
      <c r="V9691" s="538">
        <v>195.77</v>
      </c>
    </row>
    <row r="9692" spans="1:25">
      <c r="A9692" s="499">
        <v>45828</v>
      </c>
      <c r="B9692" s="499">
        <v>45831</v>
      </c>
      <c r="C9692" s="500" t="s">
        <v>173</v>
      </c>
      <c r="D9692" s="500" t="s">
        <v>761</v>
      </c>
      <c r="E9692" s="501">
        <v>8013785.3099999996</v>
      </c>
      <c r="F9692" s="502" t="s">
        <v>878</v>
      </c>
      <c r="G9692" s="100">
        <v>117602833</v>
      </c>
      <c r="H9692" s="100">
        <v>117602833</v>
      </c>
      <c r="I9692" s="422" t="s">
        <v>631</v>
      </c>
      <c r="J9692" s="484"/>
      <c r="K9692" s="548"/>
      <c r="L9692" s="548"/>
      <c r="M9692" s="548"/>
      <c r="N9692" s="552">
        <v>16360</v>
      </c>
      <c r="R9692" s="539">
        <v>489.21569987775058</v>
      </c>
      <c r="S9692" s="539">
        <v>489.84017787286098</v>
      </c>
      <c r="T9692" s="538">
        <v>15.5306</v>
      </c>
      <c r="U9692" s="538">
        <v>39.32</v>
      </c>
      <c r="V9692" s="538">
        <v>18.010000000000002</v>
      </c>
    </row>
    <row r="9693" spans="1:25">
      <c r="A9693" s="499">
        <v>45828</v>
      </c>
      <c r="B9693" s="499">
        <v>45835</v>
      </c>
      <c r="C9693" s="500" t="s">
        <v>173</v>
      </c>
      <c r="D9693" s="500" t="s">
        <v>761</v>
      </c>
      <c r="E9693" s="501">
        <v>499610156.05000001</v>
      </c>
      <c r="F9693" s="502" t="s">
        <v>878</v>
      </c>
      <c r="G9693" s="100">
        <v>117603204</v>
      </c>
      <c r="H9693" s="100">
        <v>117603204</v>
      </c>
      <c r="I9693" s="422" t="s">
        <v>695</v>
      </c>
      <c r="J9693" s="484"/>
      <c r="K9693" s="548"/>
      <c r="L9693" s="548"/>
      <c r="M9693" s="548"/>
      <c r="N9693" s="552">
        <v>656364</v>
      </c>
      <c r="R9693" s="539">
        <v>758.90799999695287</v>
      </c>
      <c r="S9693" s="539">
        <v>761.17848640388604</v>
      </c>
      <c r="T9693" s="538">
        <v>15.6</v>
      </c>
      <c r="U9693" s="538">
        <v>5230.26</v>
      </c>
      <c r="V9693" s="538">
        <v>2615.13</v>
      </c>
    </row>
    <row r="9694" spans="1:25">
      <c r="A9694" s="499">
        <v>45828</v>
      </c>
      <c r="B9694" s="499">
        <v>45831</v>
      </c>
      <c r="C9694" s="500" t="s">
        <v>173</v>
      </c>
      <c r="D9694" s="500" t="s">
        <v>761</v>
      </c>
      <c r="E9694" s="501">
        <v>3003936.79</v>
      </c>
      <c r="F9694" s="502" t="s">
        <v>878</v>
      </c>
      <c r="G9694" s="100">
        <v>117603475</v>
      </c>
      <c r="H9694" s="100">
        <v>117603475</v>
      </c>
      <c r="I9694" s="422" t="s">
        <v>1018</v>
      </c>
      <c r="J9694" s="484"/>
      <c r="K9694" s="548"/>
      <c r="L9694" s="548"/>
      <c r="M9694" s="548"/>
      <c r="N9694" s="552">
        <v>31647</v>
      </c>
      <c r="R9694" s="539">
        <v>94.799100072676723</v>
      </c>
      <c r="S9694" s="539">
        <v>94.920112174929699</v>
      </c>
      <c r="T9694" s="538">
        <v>15.530900000000001</v>
      </c>
      <c r="U9694" s="538">
        <v>39.32</v>
      </c>
      <c r="V9694" s="538">
        <v>6.75</v>
      </c>
    </row>
    <row r="9695" spans="1:25">
      <c r="A9695" s="499">
        <v>45828</v>
      </c>
      <c r="B9695" s="499">
        <v>45832</v>
      </c>
      <c r="C9695" s="500" t="s">
        <v>173</v>
      </c>
      <c r="D9695" s="500" t="s">
        <v>761</v>
      </c>
      <c r="E9695" s="501">
        <v>-447016833.32999998</v>
      </c>
      <c r="F9695" s="502" t="s">
        <v>906</v>
      </c>
      <c r="G9695" s="100" t="s">
        <v>516</v>
      </c>
      <c r="H9695" s="530"/>
      <c r="I9695" s="422" t="s">
        <v>672</v>
      </c>
      <c r="J9695" s="484"/>
      <c r="K9695" s="548">
        <v>117610965</v>
      </c>
      <c r="L9695" s="549">
        <v>85.836699999999993</v>
      </c>
      <c r="M9695" s="549">
        <f>E9695*(-1)/(N9695*O9695)*100</f>
        <v>89.403366665999997</v>
      </c>
      <c r="N9695" s="549">
        <v>500000</v>
      </c>
      <c r="O9695" s="539">
        <v>1000</v>
      </c>
      <c r="P9695" s="539">
        <v>88.707999999999998</v>
      </c>
      <c r="T9695" s="538">
        <v>16.5</v>
      </c>
      <c r="U9695" s="538">
        <v>0</v>
      </c>
      <c r="V9695" s="538">
        <v>44701.68</v>
      </c>
      <c r="W9695" s="550">
        <f>VLOOKUP(G9695,Справочник!A:C,3,0)</f>
        <v>0.12</v>
      </c>
      <c r="X9695" s="539" t="str">
        <f>VLOOKUP(G9695,Справочник!A:G,7,0)</f>
        <v>Министерство финансов Республики Казахстан</v>
      </c>
      <c r="Y9695" s="551">
        <f>VLOOKUP(G9695,Справочник!A:B,2,0)</f>
        <v>47549</v>
      </c>
    </row>
    <row r="9696" spans="1:25">
      <c r="A9696" s="499">
        <v>45828</v>
      </c>
      <c r="B9696" s="499">
        <v>45832</v>
      </c>
      <c r="C9696" s="500" t="s">
        <v>173</v>
      </c>
      <c r="D9696" s="500" t="s">
        <v>761</v>
      </c>
      <c r="E9696" s="501">
        <v>-445617333.32999998</v>
      </c>
      <c r="F9696" s="502" t="s">
        <v>906</v>
      </c>
      <c r="G9696" s="100" t="s">
        <v>516</v>
      </c>
      <c r="H9696" s="530"/>
      <c r="I9696" s="422" t="s">
        <v>672</v>
      </c>
      <c r="J9696" s="484"/>
      <c r="K9696" s="548">
        <v>117610966</v>
      </c>
      <c r="L9696" s="549">
        <v>85.556799999999996</v>
      </c>
      <c r="M9696" s="549">
        <f>E9696*(-1)/(N9696*O9696)*100</f>
        <v>89.123466665999999</v>
      </c>
      <c r="N9696" s="549">
        <v>500000</v>
      </c>
      <c r="O9696" s="539">
        <v>1000</v>
      </c>
      <c r="P9696" s="539">
        <v>88.707999999999998</v>
      </c>
      <c r="T9696" s="538">
        <v>16.600000000000001</v>
      </c>
      <c r="U9696" s="538">
        <v>0</v>
      </c>
      <c r="V9696" s="538">
        <v>44561.73</v>
      </c>
      <c r="W9696" s="550">
        <f>VLOOKUP(G9696,Справочник!A:C,3,0)</f>
        <v>0.12</v>
      </c>
      <c r="X9696" s="539" t="str">
        <f>VLOOKUP(G9696,Справочник!A:G,7,0)</f>
        <v>Министерство финансов Республики Казахстан</v>
      </c>
      <c r="Y9696" s="551">
        <f>VLOOKUP(G9696,Справочник!A:B,2,0)</f>
        <v>47549</v>
      </c>
    </row>
    <row r="9697" spans="1:25">
      <c r="A9697" s="499">
        <v>45828</v>
      </c>
      <c r="B9697" s="499">
        <v>45832</v>
      </c>
      <c r="C9697" s="500" t="s">
        <v>173</v>
      </c>
      <c r="D9697" s="500" t="s">
        <v>761</v>
      </c>
      <c r="E9697" s="501">
        <v>-363768436.95999998</v>
      </c>
      <c r="F9697" s="502" t="s">
        <v>906</v>
      </c>
      <c r="G9697" s="100" t="s">
        <v>516</v>
      </c>
      <c r="H9697" s="530"/>
      <c r="I9697" s="422" t="s">
        <v>672</v>
      </c>
      <c r="J9697" s="484"/>
      <c r="K9697" s="548">
        <v>117620224</v>
      </c>
      <c r="L9697" s="549">
        <v>84.850899999999996</v>
      </c>
      <c r="M9697" s="549">
        <f>E9697*(-1)/(N9697*O9697)*100</f>
        <v>88.417566667719925</v>
      </c>
      <c r="N9697" s="549">
        <v>411421</v>
      </c>
      <c r="O9697" s="539">
        <v>1000</v>
      </c>
      <c r="P9697" s="539">
        <v>88.707999999999998</v>
      </c>
      <c r="T9697" s="538">
        <v>16.850000000000001</v>
      </c>
      <c r="U9697" s="538">
        <v>0</v>
      </c>
      <c r="V9697" s="538">
        <v>36376.839999999997</v>
      </c>
      <c r="W9697" s="550">
        <f>VLOOKUP(G9697,Справочник!A:C,3,0)</f>
        <v>0.12</v>
      </c>
      <c r="X9697" s="539" t="str">
        <f>VLOOKUP(G9697,Справочник!A:G,7,0)</f>
        <v>Министерство финансов Республики Казахстан</v>
      </c>
      <c r="Y9697" s="551">
        <f>VLOOKUP(G9697,Справочник!A:B,2,0)</f>
        <v>47549</v>
      </c>
    </row>
    <row r="9698" spans="1:25">
      <c r="A9698" s="499">
        <v>45828</v>
      </c>
      <c r="B9698" s="499">
        <v>45828</v>
      </c>
      <c r="C9698" s="500" t="s">
        <v>173</v>
      </c>
      <c r="D9698" s="500" t="s">
        <v>759</v>
      </c>
      <c r="E9698" s="501">
        <v>-2328746652.9200001</v>
      </c>
      <c r="F9698" s="502" t="s">
        <v>878</v>
      </c>
      <c r="G9698" s="100">
        <v>117603413</v>
      </c>
      <c r="H9698" s="530"/>
      <c r="I9698" s="422" t="s">
        <v>633</v>
      </c>
      <c r="J9698" s="484"/>
      <c r="K9698" s="548"/>
      <c r="L9698" s="548"/>
      <c r="M9698" s="548"/>
      <c r="N9698" s="552">
        <v>4385952</v>
      </c>
      <c r="R9698" s="539">
        <v>530.95579999963525</v>
      </c>
      <c r="S9698" s="539">
        <v>531.63658716283305</v>
      </c>
      <c r="T9698" s="538">
        <v>15.6</v>
      </c>
      <c r="U9698" s="538">
        <v>10479.36</v>
      </c>
      <c r="V9698" s="538">
        <v>5239.68</v>
      </c>
    </row>
    <row r="9699" spans="1:25">
      <c r="A9699" s="499">
        <v>45828</v>
      </c>
      <c r="B9699" s="499">
        <v>45828</v>
      </c>
      <c r="C9699" s="500" t="s">
        <v>173</v>
      </c>
      <c r="D9699" s="500" t="s">
        <v>759</v>
      </c>
      <c r="E9699" s="501">
        <v>-342029252.35000002</v>
      </c>
      <c r="F9699" s="502" t="s">
        <v>878</v>
      </c>
      <c r="G9699" s="100">
        <v>117603418</v>
      </c>
      <c r="H9699" s="530"/>
      <c r="I9699" s="422" t="s">
        <v>833</v>
      </c>
      <c r="J9699" s="484"/>
      <c r="K9699" s="548"/>
      <c r="L9699" s="548"/>
      <c r="M9699" s="548"/>
      <c r="N9699" s="552">
        <v>578664</v>
      </c>
      <c r="R9699" s="539">
        <v>591.06709999239627</v>
      </c>
      <c r="S9699" s="539">
        <v>591.82496137655005</v>
      </c>
      <c r="T9699" s="538">
        <v>15.6</v>
      </c>
      <c r="U9699" s="538">
        <v>1539.13</v>
      </c>
      <c r="V9699" s="538">
        <v>769.57</v>
      </c>
    </row>
    <row r="9700" spans="1:25">
      <c r="A9700" s="499">
        <v>45828</v>
      </c>
      <c r="B9700" s="499">
        <v>45828</v>
      </c>
      <c r="C9700" s="500" t="s">
        <v>173</v>
      </c>
      <c r="D9700" s="500" t="s">
        <v>759</v>
      </c>
      <c r="E9700" s="501">
        <v>-94002237.200000003</v>
      </c>
      <c r="F9700" s="502" t="s">
        <v>878</v>
      </c>
      <c r="G9700" s="100">
        <v>117603734</v>
      </c>
      <c r="H9700" s="530"/>
      <c r="I9700" s="422" t="s">
        <v>596</v>
      </c>
      <c r="J9700" s="484"/>
      <c r="K9700" s="548"/>
      <c r="L9700" s="548"/>
      <c r="M9700" s="548"/>
      <c r="N9700" s="552">
        <v>89864</v>
      </c>
      <c r="R9700" s="539">
        <v>1046.05</v>
      </c>
      <c r="S9700" s="539">
        <v>1047.39123675777</v>
      </c>
      <c r="T9700" s="538">
        <v>15.6</v>
      </c>
      <c r="U9700" s="538">
        <v>423.01</v>
      </c>
      <c r="V9700" s="538">
        <v>211.51</v>
      </c>
    </row>
    <row r="9701" spans="1:25">
      <c r="A9701" s="499">
        <v>45828</v>
      </c>
      <c r="B9701" s="499">
        <v>45828</v>
      </c>
      <c r="C9701" s="500" t="s">
        <v>173</v>
      </c>
      <c r="D9701" s="500" t="s">
        <v>759</v>
      </c>
      <c r="E9701" s="501">
        <v>-94063733.5</v>
      </c>
      <c r="F9701" s="502" t="s">
        <v>878</v>
      </c>
      <c r="G9701" s="100">
        <v>117603737</v>
      </c>
      <c r="H9701" s="530"/>
      <c r="I9701" s="422" t="s">
        <v>816</v>
      </c>
      <c r="J9701" s="484"/>
      <c r="K9701" s="548"/>
      <c r="L9701" s="548"/>
      <c r="M9701" s="548"/>
      <c r="N9701" s="552">
        <v>93248</v>
      </c>
      <c r="R9701" s="539">
        <v>1008.7479999571036</v>
      </c>
      <c r="S9701" s="539">
        <v>1010.04140839482</v>
      </c>
      <c r="T9701" s="538">
        <v>15.6</v>
      </c>
      <c r="U9701" s="538">
        <v>423.29</v>
      </c>
      <c r="V9701" s="538">
        <v>211.64</v>
      </c>
    </row>
    <row r="9702" spans="1:25">
      <c r="A9702" s="499">
        <v>45828</v>
      </c>
      <c r="B9702" s="499">
        <v>45828</v>
      </c>
      <c r="C9702" s="500" t="s">
        <v>173</v>
      </c>
      <c r="D9702" s="500" t="s">
        <v>759</v>
      </c>
      <c r="E9702" s="501">
        <v>-7005005.5899999999</v>
      </c>
      <c r="F9702" s="502" t="s">
        <v>878</v>
      </c>
      <c r="G9702" s="100">
        <v>117603740</v>
      </c>
      <c r="H9702" s="530"/>
      <c r="I9702" s="422" t="s">
        <v>823</v>
      </c>
      <c r="J9702" s="484"/>
      <c r="K9702" s="548"/>
      <c r="L9702" s="548"/>
      <c r="M9702" s="548"/>
      <c r="N9702" s="552">
        <v>6503</v>
      </c>
      <c r="R9702" s="539">
        <v>1077.1960003075503</v>
      </c>
      <c r="S9702" s="539">
        <v>1078.5771720744301</v>
      </c>
      <c r="T9702" s="538">
        <v>15.6</v>
      </c>
      <c r="U9702" s="538">
        <v>39.32</v>
      </c>
      <c r="V9702" s="538">
        <v>15.76</v>
      </c>
    </row>
    <row r="9703" spans="1:25">
      <c r="A9703" s="499">
        <v>45828</v>
      </c>
      <c r="B9703" s="499">
        <v>45828</v>
      </c>
      <c r="C9703" s="500" t="s">
        <v>173</v>
      </c>
      <c r="D9703" s="500" t="s">
        <v>759</v>
      </c>
      <c r="E9703" s="501">
        <v>-17011526.27</v>
      </c>
      <c r="F9703" s="502" t="s">
        <v>878</v>
      </c>
      <c r="G9703" s="100">
        <v>117605528</v>
      </c>
      <c r="H9703" s="530"/>
      <c r="I9703" s="422" t="s">
        <v>816</v>
      </c>
      <c r="J9703" s="484"/>
      <c r="K9703" s="548"/>
      <c r="L9703" s="548"/>
      <c r="M9703" s="548"/>
      <c r="N9703" s="552">
        <v>16864</v>
      </c>
      <c r="R9703" s="539">
        <v>1008.7479998814041</v>
      </c>
      <c r="S9703" s="539">
        <v>1010.03644212524</v>
      </c>
      <c r="T9703" s="538">
        <v>15.540100000000001</v>
      </c>
      <c r="U9703" s="538">
        <v>76.55</v>
      </c>
      <c r="V9703" s="538">
        <v>38.28</v>
      </c>
    </row>
    <row r="9704" spans="1:25">
      <c r="A9704" s="499">
        <v>45828</v>
      </c>
      <c r="B9704" s="499">
        <v>45831</v>
      </c>
      <c r="C9704" s="500" t="s">
        <v>173</v>
      </c>
      <c r="D9704" s="500" t="s">
        <v>759</v>
      </c>
      <c r="E9704" s="501">
        <v>2331732552.7399998</v>
      </c>
      <c r="F9704" s="502" t="s">
        <v>878</v>
      </c>
      <c r="G9704" s="100">
        <v>117603413</v>
      </c>
      <c r="H9704" s="100">
        <v>117603413</v>
      </c>
      <c r="I9704" s="422" t="s">
        <v>633</v>
      </c>
      <c r="J9704" s="484"/>
      <c r="K9704" s="548"/>
      <c r="L9704" s="548"/>
      <c r="M9704" s="548"/>
      <c r="N9704" s="552">
        <v>4385952</v>
      </c>
      <c r="R9704" s="539">
        <v>530.95579999963525</v>
      </c>
      <c r="S9704" s="539">
        <v>531.63658716283305</v>
      </c>
      <c r="T9704" s="538">
        <v>15.6</v>
      </c>
      <c r="U9704" s="538">
        <v>10479.36</v>
      </c>
      <c r="V9704" s="538">
        <v>5239.68</v>
      </c>
    </row>
    <row r="9705" spans="1:25">
      <c r="A9705" s="499">
        <v>45828</v>
      </c>
      <c r="B9705" s="499">
        <v>45831</v>
      </c>
      <c r="C9705" s="500" t="s">
        <v>173</v>
      </c>
      <c r="D9705" s="500" t="s">
        <v>759</v>
      </c>
      <c r="E9705" s="501">
        <v>342467799.44999999</v>
      </c>
      <c r="F9705" s="502" t="s">
        <v>878</v>
      </c>
      <c r="G9705" s="100">
        <v>117603418</v>
      </c>
      <c r="H9705" s="100">
        <v>117603418</v>
      </c>
      <c r="I9705" s="422" t="s">
        <v>833</v>
      </c>
      <c r="J9705" s="484"/>
      <c r="K9705" s="548"/>
      <c r="L9705" s="548"/>
      <c r="M9705" s="548"/>
      <c r="N9705" s="552">
        <v>578664</v>
      </c>
      <c r="R9705" s="539">
        <v>591.06709999239627</v>
      </c>
      <c r="S9705" s="539">
        <v>591.82496137655005</v>
      </c>
      <c r="T9705" s="538">
        <v>15.6</v>
      </c>
      <c r="U9705" s="538">
        <v>1539.13</v>
      </c>
      <c r="V9705" s="538">
        <v>769.57</v>
      </c>
    </row>
    <row r="9706" spans="1:25">
      <c r="A9706" s="499">
        <v>45828</v>
      </c>
      <c r="B9706" s="499">
        <v>45831</v>
      </c>
      <c r="C9706" s="500" t="s">
        <v>173</v>
      </c>
      <c r="D9706" s="500" t="s">
        <v>759</v>
      </c>
      <c r="E9706" s="501">
        <v>94122766.099999994</v>
      </c>
      <c r="F9706" s="502" t="s">
        <v>878</v>
      </c>
      <c r="G9706" s="100">
        <v>117603734</v>
      </c>
      <c r="H9706" s="100">
        <v>117603734</v>
      </c>
      <c r="I9706" s="422" t="s">
        <v>596</v>
      </c>
      <c r="J9706" s="484"/>
      <c r="K9706" s="548"/>
      <c r="L9706" s="548"/>
      <c r="M9706" s="548"/>
      <c r="N9706" s="552">
        <v>89864</v>
      </c>
      <c r="R9706" s="539">
        <v>1046.05</v>
      </c>
      <c r="S9706" s="539">
        <v>1047.39123675777</v>
      </c>
      <c r="T9706" s="538">
        <v>15.6</v>
      </c>
      <c r="U9706" s="538">
        <v>423.01</v>
      </c>
      <c r="V9706" s="538">
        <v>211.51</v>
      </c>
    </row>
    <row r="9707" spans="1:25">
      <c r="A9707" s="499">
        <v>45828</v>
      </c>
      <c r="B9707" s="499">
        <v>45831</v>
      </c>
      <c r="C9707" s="500" t="s">
        <v>173</v>
      </c>
      <c r="D9707" s="500" t="s">
        <v>759</v>
      </c>
      <c r="E9707" s="501">
        <v>94184341.25</v>
      </c>
      <c r="F9707" s="502" t="s">
        <v>878</v>
      </c>
      <c r="G9707" s="100">
        <v>117603737</v>
      </c>
      <c r="H9707" s="100">
        <v>117603737</v>
      </c>
      <c r="I9707" s="422" t="s">
        <v>816</v>
      </c>
      <c r="J9707" s="484"/>
      <c r="K9707" s="548"/>
      <c r="L9707" s="548"/>
      <c r="M9707" s="548"/>
      <c r="N9707" s="552">
        <v>93248</v>
      </c>
      <c r="R9707" s="539">
        <v>1008.7479999571036</v>
      </c>
      <c r="S9707" s="539">
        <v>1010.04140839482</v>
      </c>
      <c r="T9707" s="538">
        <v>15.6</v>
      </c>
      <c r="U9707" s="538">
        <v>423.29</v>
      </c>
      <c r="V9707" s="538">
        <v>211.64</v>
      </c>
    </row>
    <row r="9708" spans="1:25">
      <c r="A9708" s="499">
        <v>45828</v>
      </c>
      <c r="B9708" s="499">
        <v>45831</v>
      </c>
      <c r="C9708" s="500" t="s">
        <v>173</v>
      </c>
      <c r="D9708" s="500" t="s">
        <v>759</v>
      </c>
      <c r="E9708" s="501">
        <v>7013987.3499999996</v>
      </c>
      <c r="F9708" s="502" t="s">
        <v>878</v>
      </c>
      <c r="G9708" s="100">
        <v>117603740</v>
      </c>
      <c r="H9708" s="100">
        <v>117603740</v>
      </c>
      <c r="I9708" s="422" t="s">
        <v>823</v>
      </c>
      <c r="J9708" s="484"/>
      <c r="K9708" s="548"/>
      <c r="L9708" s="548"/>
      <c r="M9708" s="548"/>
      <c r="N9708" s="552">
        <v>6503</v>
      </c>
      <c r="R9708" s="539">
        <v>1077.1960003075503</v>
      </c>
      <c r="S9708" s="539">
        <v>1078.5771720744301</v>
      </c>
      <c r="T9708" s="538">
        <v>15.6</v>
      </c>
      <c r="U9708" s="538">
        <v>39.32</v>
      </c>
      <c r="V9708" s="538">
        <v>15.76</v>
      </c>
    </row>
    <row r="9709" spans="1:25">
      <c r="A9709" s="499">
        <v>45828</v>
      </c>
      <c r="B9709" s="499">
        <v>45831</v>
      </c>
      <c r="C9709" s="500" t="s">
        <v>173</v>
      </c>
      <c r="D9709" s="500" t="s">
        <v>759</v>
      </c>
      <c r="E9709" s="501">
        <v>17033254.559999999</v>
      </c>
      <c r="F9709" s="502" t="s">
        <v>878</v>
      </c>
      <c r="G9709" s="100">
        <v>117605528</v>
      </c>
      <c r="H9709" s="100">
        <v>117605528</v>
      </c>
      <c r="I9709" s="422" t="s">
        <v>816</v>
      </c>
      <c r="J9709" s="484"/>
      <c r="K9709" s="548"/>
      <c r="L9709" s="548"/>
      <c r="M9709" s="548"/>
      <c r="N9709" s="552">
        <v>16864</v>
      </c>
      <c r="R9709" s="539">
        <v>1008.7479998814041</v>
      </c>
      <c r="S9709" s="539">
        <v>1010.03644212524</v>
      </c>
      <c r="T9709" s="538">
        <v>15.540100000000001</v>
      </c>
      <c r="U9709" s="538">
        <v>76.55</v>
      </c>
      <c r="V9709" s="538">
        <v>38.28</v>
      </c>
    </row>
    <row r="9710" spans="1:25">
      <c r="A9710" s="499">
        <v>45828</v>
      </c>
      <c r="B9710" s="499">
        <v>45828</v>
      </c>
      <c r="C9710" s="500" t="s">
        <v>173</v>
      </c>
      <c r="D9710" s="500" t="s">
        <v>760</v>
      </c>
      <c r="E9710" s="501">
        <v>-255172894.08000001</v>
      </c>
      <c r="F9710" s="502" t="s">
        <v>878</v>
      </c>
      <c r="G9710" s="100">
        <v>117605555</v>
      </c>
      <c r="H9710" s="530"/>
      <c r="I9710" s="422" t="s">
        <v>816</v>
      </c>
      <c r="J9710" s="484"/>
      <c r="K9710" s="548"/>
      <c r="L9710" s="548"/>
      <c r="M9710" s="548"/>
      <c r="N9710" s="552">
        <v>252960</v>
      </c>
      <c r="R9710" s="539">
        <v>1008.748</v>
      </c>
      <c r="S9710" s="539">
        <v>1010.03644204617</v>
      </c>
      <c r="T9710" s="538">
        <v>15.540100000000001</v>
      </c>
      <c r="U9710" s="538">
        <v>1148.28</v>
      </c>
      <c r="V9710" s="538">
        <v>574.14</v>
      </c>
    </row>
    <row r="9711" spans="1:25">
      <c r="A9711" s="499">
        <v>45828</v>
      </c>
      <c r="B9711" s="499">
        <v>45828</v>
      </c>
      <c r="C9711" s="500" t="s">
        <v>173</v>
      </c>
      <c r="D9711" s="500" t="s">
        <v>760</v>
      </c>
      <c r="E9711" s="501">
        <v>-1550104922.5999999</v>
      </c>
      <c r="F9711" s="502" t="s">
        <v>878</v>
      </c>
      <c r="G9711" s="100">
        <v>117605472</v>
      </c>
      <c r="H9711" s="530"/>
      <c r="I9711" s="422" t="s">
        <v>674</v>
      </c>
      <c r="J9711" s="484"/>
      <c r="K9711" s="548"/>
      <c r="L9711" s="548"/>
      <c r="M9711" s="548"/>
      <c r="N9711" s="552">
        <v>1675550</v>
      </c>
      <c r="R9711" s="539">
        <v>925.13199999999995</v>
      </c>
      <c r="S9711" s="539">
        <v>926.31443275342394</v>
      </c>
      <c r="T9711" s="538">
        <v>15.5505</v>
      </c>
      <c r="U9711" s="538">
        <v>6975.47</v>
      </c>
      <c r="V9711" s="538">
        <v>3487.74</v>
      </c>
    </row>
    <row r="9712" spans="1:25">
      <c r="A9712" s="499">
        <v>45828</v>
      </c>
      <c r="B9712" s="499">
        <v>45831</v>
      </c>
      <c r="C9712" s="500" t="s">
        <v>173</v>
      </c>
      <c r="D9712" s="500" t="s">
        <v>760</v>
      </c>
      <c r="E9712" s="501">
        <v>255498818.38</v>
      </c>
      <c r="F9712" s="502" t="s">
        <v>878</v>
      </c>
      <c r="G9712" s="100">
        <v>117605555</v>
      </c>
      <c r="H9712" s="100">
        <v>117605555</v>
      </c>
      <c r="I9712" s="422" t="s">
        <v>816</v>
      </c>
      <c r="J9712" s="484"/>
      <c r="K9712" s="548"/>
      <c r="L9712" s="548"/>
      <c r="M9712" s="548"/>
      <c r="N9712" s="552">
        <v>252960</v>
      </c>
      <c r="R9712" s="539">
        <v>1008.748</v>
      </c>
      <c r="S9712" s="539">
        <v>1010.03644204617</v>
      </c>
      <c r="T9712" s="538">
        <v>15.540100000000001</v>
      </c>
      <c r="U9712" s="538">
        <v>1148.28</v>
      </c>
      <c r="V9712" s="538">
        <v>574.14</v>
      </c>
    </row>
    <row r="9713" spans="1:25">
      <c r="A9713" s="499">
        <v>45828</v>
      </c>
      <c r="B9713" s="499">
        <v>45831</v>
      </c>
      <c r="C9713" s="500" t="s">
        <v>173</v>
      </c>
      <c r="D9713" s="500" t="s">
        <v>760</v>
      </c>
      <c r="E9713" s="501">
        <v>1552086147.8</v>
      </c>
      <c r="F9713" s="502" t="s">
        <v>878</v>
      </c>
      <c r="G9713" s="100">
        <v>117605472</v>
      </c>
      <c r="H9713" s="100">
        <v>117605472</v>
      </c>
      <c r="I9713" s="422" t="s">
        <v>674</v>
      </c>
      <c r="J9713" s="484"/>
      <c r="K9713" s="548"/>
      <c r="L9713" s="548"/>
      <c r="M9713" s="548"/>
      <c r="N9713" s="552">
        <v>1675550</v>
      </c>
      <c r="R9713" s="539">
        <v>925.13199999999995</v>
      </c>
      <c r="S9713" s="539">
        <v>926.31443275342394</v>
      </c>
      <c r="T9713" s="538">
        <v>15.5505</v>
      </c>
      <c r="U9713" s="538">
        <v>6975.47</v>
      </c>
      <c r="V9713" s="538">
        <v>3487.74</v>
      </c>
    </row>
    <row r="9714" spans="1:25">
      <c r="A9714" s="499">
        <v>45828</v>
      </c>
      <c r="B9714" s="499">
        <v>45832</v>
      </c>
      <c r="C9714" s="500" t="s">
        <v>173</v>
      </c>
      <c r="D9714" s="500" t="s">
        <v>760</v>
      </c>
      <c r="E9714" s="501">
        <v>-499999142.66000003</v>
      </c>
      <c r="F9714" s="502" t="s">
        <v>906</v>
      </c>
      <c r="G9714" s="100" t="s">
        <v>498</v>
      </c>
      <c r="H9714" s="530"/>
      <c r="I9714" s="422" t="s">
        <v>658</v>
      </c>
      <c r="J9714" s="484"/>
      <c r="K9714" s="548">
        <v>117610939</v>
      </c>
      <c r="L9714" s="549">
        <v>97.086299999999994</v>
      </c>
      <c r="M9714" s="549">
        <f>E9714*(-1)/(N9714*O9714)*100</f>
        <v>98.621300000591745</v>
      </c>
      <c r="N9714" s="549">
        <v>506989</v>
      </c>
      <c r="O9714" s="539">
        <f>VLOOKUP(G9714,Справочник!A:J,10,)</f>
        <v>1000</v>
      </c>
      <c r="P9714" s="539">
        <v>99.375100000000003</v>
      </c>
      <c r="T9714" s="538">
        <v>16.850000000000001</v>
      </c>
      <c r="U9714" s="538">
        <v>0</v>
      </c>
      <c r="V9714" s="538">
        <v>49999.91</v>
      </c>
      <c r="W9714" s="550">
        <f>VLOOKUP(G9714,Справочник!A:C,3,0)</f>
        <v>0.1535</v>
      </c>
      <c r="X9714" s="539" t="str">
        <f>VLOOKUP(G9714,Справочник!A:G,7,0)</f>
        <v>Министерство финансов Республики Казахстан</v>
      </c>
      <c r="Y9714" s="551">
        <f>VLOOKUP(G9714,Справочник!A:B,2,0)</f>
        <v>46709</v>
      </c>
    </row>
    <row r="9715" spans="1:25">
      <c r="A9715" s="499">
        <v>45828</v>
      </c>
      <c r="B9715" s="499">
        <v>45828</v>
      </c>
      <c r="C9715" s="500" t="s">
        <v>173</v>
      </c>
      <c r="D9715" s="500" t="s">
        <v>764</v>
      </c>
      <c r="E9715" s="501">
        <v>-12006915.6</v>
      </c>
      <c r="F9715" s="502" t="s">
        <v>878</v>
      </c>
      <c r="G9715" s="100">
        <v>117602644</v>
      </c>
      <c r="H9715" s="530"/>
      <c r="I9715" s="422" t="s">
        <v>657</v>
      </c>
      <c r="J9715" s="484"/>
      <c r="K9715" s="548"/>
      <c r="L9715" s="548"/>
      <c r="M9715" s="548"/>
      <c r="N9715" s="552">
        <v>12300</v>
      </c>
      <c r="R9715" s="539">
        <v>976.17200000000003</v>
      </c>
      <c r="S9715" s="539">
        <v>977.41962845528406</v>
      </c>
      <c r="T9715" s="538">
        <v>15.55</v>
      </c>
      <c r="U9715" s="538">
        <v>54.03</v>
      </c>
      <c r="V9715" s="538">
        <v>27.02</v>
      </c>
    </row>
    <row r="9716" spans="1:25">
      <c r="A9716" s="499">
        <v>45828</v>
      </c>
      <c r="B9716" s="499">
        <v>45828</v>
      </c>
      <c r="C9716" s="500" t="s">
        <v>173</v>
      </c>
      <c r="D9716" s="500" t="s">
        <v>764</v>
      </c>
      <c r="E9716" s="501">
        <v>-20002388.079999998</v>
      </c>
      <c r="F9716" s="502" t="s">
        <v>878</v>
      </c>
      <c r="G9716" s="100">
        <v>117602647</v>
      </c>
      <c r="H9716" s="530"/>
      <c r="I9716" s="422" t="s">
        <v>588</v>
      </c>
      <c r="J9716" s="484"/>
      <c r="K9716" s="548"/>
      <c r="L9716" s="548"/>
      <c r="M9716" s="548"/>
      <c r="N9716" s="552">
        <v>21520</v>
      </c>
      <c r="R9716" s="539">
        <v>929.47899999999993</v>
      </c>
      <c r="S9716" s="539">
        <v>930.666950743494</v>
      </c>
      <c r="T9716" s="538">
        <v>15.55</v>
      </c>
      <c r="U9716" s="538">
        <v>90.01</v>
      </c>
      <c r="V9716" s="538">
        <v>45.01</v>
      </c>
    </row>
    <row r="9717" spans="1:25">
      <c r="A9717" s="499">
        <v>45828</v>
      </c>
      <c r="B9717" s="499">
        <v>45828</v>
      </c>
      <c r="C9717" s="500" t="s">
        <v>173</v>
      </c>
      <c r="D9717" s="500" t="s">
        <v>764</v>
      </c>
      <c r="E9717" s="501">
        <v>-20002388.079999998</v>
      </c>
      <c r="F9717" s="502" t="s">
        <v>878</v>
      </c>
      <c r="G9717" s="100">
        <v>117602650</v>
      </c>
      <c r="H9717" s="530"/>
      <c r="I9717" s="422" t="s">
        <v>588</v>
      </c>
      <c r="J9717" s="484"/>
      <c r="K9717" s="548"/>
      <c r="L9717" s="548"/>
      <c r="M9717" s="548"/>
      <c r="N9717" s="552">
        <v>21520</v>
      </c>
      <c r="R9717" s="539">
        <v>929.47899999999993</v>
      </c>
      <c r="S9717" s="539">
        <v>930.666950743494</v>
      </c>
      <c r="T9717" s="538">
        <v>15.55</v>
      </c>
      <c r="U9717" s="538">
        <v>90.01</v>
      </c>
      <c r="V9717" s="538">
        <v>45.01</v>
      </c>
    </row>
    <row r="9718" spans="1:25">
      <c r="A9718" s="499">
        <v>45828</v>
      </c>
      <c r="B9718" s="499">
        <v>45828</v>
      </c>
      <c r="C9718" s="500" t="s">
        <v>173</v>
      </c>
      <c r="D9718" s="500" t="s">
        <v>764</v>
      </c>
      <c r="E9718" s="501">
        <v>-22018993.920000002</v>
      </c>
      <c r="F9718" s="502" t="s">
        <v>878</v>
      </c>
      <c r="G9718" s="100">
        <v>117602653</v>
      </c>
      <c r="H9718" s="530"/>
      <c r="I9718" s="422" t="s">
        <v>590</v>
      </c>
      <c r="J9718" s="484"/>
      <c r="K9718" s="548"/>
      <c r="L9718" s="548"/>
      <c r="M9718" s="548"/>
      <c r="N9718" s="552">
        <v>25344</v>
      </c>
      <c r="R9718" s="539">
        <v>868.80500000000006</v>
      </c>
      <c r="S9718" s="539">
        <v>869.91540404040404</v>
      </c>
      <c r="T9718" s="538">
        <v>15.55</v>
      </c>
      <c r="U9718" s="538">
        <v>99.09</v>
      </c>
      <c r="V9718" s="538">
        <v>49.54</v>
      </c>
    </row>
    <row r="9719" spans="1:25">
      <c r="A9719" s="499">
        <v>45828</v>
      </c>
      <c r="B9719" s="499">
        <v>45828</v>
      </c>
      <c r="C9719" s="500" t="s">
        <v>173</v>
      </c>
      <c r="D9719" s="500" t="s">
        <v>764</v>
      </c>
      <c r="E9719" s="501">
        <v>-23009579.5</v>
      </c>
      <c r="F9719" s="502" t="s">
        <v>878</v>
      </c>
      <c r="G9719" s="100">
        <v>117602656</v>
      </c>
      <c r="H9719" s="530"/>
      <c r="I9719" s="422" t="s">
        <v>717</v>
      </c>
      <c r="J9719" s="484"/>
      <c r="K9719" s="548"/>
      <c r="L9719" s="548"/>
      <c r="M9719" s="548"/>
      <c r="N9719" s="552">
        <v>36340</v>
      </c>
      <c r="R9719" s="539">
        <v>633.17499999999995</v>
      </c>
      <c r="S9719" s="539">
        <v>633.98424958723194</v>
      </c>
      <c r="T9719" s="538">
        <v>15.55</v>
      </c>
      <c r="U9719" s="538">
        <v>103.54</v>
      </c>
      <c r="V9719" s="538">
        <v>51.77</v>
      </c>
    </row>
    <row r="9720" spans="1:25">
      <c r="A9720" s="499">
        <v>45828</v>
      </c>
      <c r="B9720" s="499">
        <v>45828</v>
      </c>
      <c r="C9720" s="500" t="s">
        <v>173</v>
      </c>
      <c r="D9720" s="500" t="s">
        <v>764</v>
      </c>
      <c r="E9720" s="501">
        <v>-23016980.530000001</v>
      </c>
      <c r="F9720" s="502" t="s">
        <v>878</v>
      </c>
      <c r="G9720" s="100">
        <v>117602659</v>
      </c>
      <c r="H9720" s="530"/>
      <c r="I9720" s="422" t="s">
        <v>824</v>
      </c>
      <c r="J9720" s="484"/>
      <c r="K9720" s="548"/>
      <c r="L9720" s="548"/>
      <c r="M9720" s="548"/>
      <c r="N9720" s="552">
        <v>22724</v>
      </c>
      <c r="R9720" s="539">
        <v>1012.8929999119874</v>
      </c>
      <c r="S9720" s="539">
        <v>1014.1875602886799</v>
      </c>
      <c r="T9720" s="538">
        <v>15.55</v>
      </c>
      <c r="U9720" s="538">
        <v>103.58</v>
      </c>
      <c r="V9720" s="538">
        <v>51.79</v>
      </c>
    </row>
    <row r="9721" spans="1:25">
      <c r="A9721" s="499">
        <v>45828</v>
      </c>
      <c r="B9721" s="499">
        <v>45828</v>
      </c>
      <c r="C9721" s="500" t="s">
        <v>173</v>
      </c>
      <c r="D9721" s="500" t="s">
        <v>764</v>
      </c>
      <c r="E9721" s="501">
        <v>-24005777.859999999</v>
      </c>
      <c r="F9721" s="502" t="s">
        <v>878</v>
      </c>
      <c r="G9721" s="100">
        <v>117602662</v>
      </c>
      <c r="H9721" s="530"/>
      <c r="I9721" s="422" t="s">
        <v>695</v>
      </c>
      <c r="J9721" s="484"/>
      <c r="K9721" s="548"/>
      <c r="L9721" s="548"/>
      <c r="M9721" s="548"/>
      <c r="N9721" s="552">
        <v>31632</v>
      </c>
      <c r="R9721" s="539">
        <v>758.90800012645423</v>
      </c>
      <c r="S9721" s="539">
        <v>759.87794701567998</v>
      </c>
      <c r="T9721" s="538">
        <v>15.55</v>
      </c>
      <c r="U9721" s="538">
        <v>108.03</v>
      </c>
      <c r="V9721" s="538">
        <v>54.01</v>
      </c>
    </row>
    <row r="9722" spans="1:25">
      <c r="A9722" s="499">
        <v>45828</v>
      </c>
      <c r="B9722" s="499">
        <v>45828</v>
      </c>
      <c r="C9722" s="500" t="s">
        <v>173</v>
      </c>
      <c r="D9722" s="500" t="s">
        <v>764</v>
      </c>
      <c r="E9722" s="501">
        <v>-25000595</v>
      </c>
      <c r="F9722" s="502" t="s">
        <v>878</v>
      </c>
      <c r="G9722" s="100">
        <v>117602665</v>
      </c>
      <c r="H9722" s="530"/>
      <c r="I9722" s="422" t="s">
        <v>596</v>
      </c>
      <c r="J9722" s="484"/>
      <c r="K9722" s="548"/>
      <c r="L9722" s="548"/>
      <c r="M9722" s="548"/>
      <c r="N9722" s="552">
        <v>23900</v>
      </c>
      <c r="R9722" s="539">
        <v>1046.05</v>
      </c>
      <c r="S9722" s="539">
        <v>1047.3869380753099</v>
      </c>
      <c r="T9722" s="538">
        <v>15.55</v>
      </c>
      <c r="U9722" s="538">
        <v>112.5</v>
      </c>
      <c r="V9722" s="538">
        <v>56.25</v>
      </c>
    </row>
    <row r="9723" spans="1:25">
      <c r="A9723" s="499">
        <v>45828</v>
      </c>
      <c r="B9723" s="499">
        <v>45828</v>
      </c>
      <c r="C9723" s="500" t="s">
        <v>173</v>
      </c>
      <c r="D9723" s="500" t="s">
        <v>764</v>
      </c>
      <c r="E9723" s="501">
        <v>-26026602.420000002</v>
      </c>
      <c r="F9723" s="502" t="s">
        <v>878</v>
      </c>
      <c r="G9723" s="100">
        <v>117602668</v>
      </c>
      <c r="H9723" s="530"/>
      <c r="I9723" s="422" t="s">
        <v>821</v>
      </c>
      <c r="J9723" s="484"/>
      <c r="K9723" s="548"/>
      <c r="L9723" s="548"/>
      <c r="M9723" s="548"/>
      <c r="N9723" s="552">
        <v>24180</v>
      </c>
      <c r="R9723" s="539">
        <v>1076.3690000000001</v>
      </c>
      <c r="S9723" s="539">
        <v>1077.74468817204</v>
      </c>
      <c r="T9723" s="538">
        <v>15.55</v>
      </c>
      <c r="U9723" s="538">
        <v>117.12</v>
      </c>
      <c r="V9723" s="538">
        <v>58.56</v>
      </c>
    </row>
    <row r="9724" spans="1:25">
      <c r="A9724" s="499">
        <v>45828</v>
      </c>
      <c r="B9724" s="499">
        <v>45828</v>
      </c>
      <c r="C9724" s="500" t="s">
        <v>173</v>
      </c>
      <c r="D9724" s="500" t="s">
        <v>764</v>
      </c>
      <c r="E9724" s="501">
        <v>-26019816.600000001</v>
      </c>
      <c r="F9724" s="502" t="s">
        <v>878</v>
      </c>
      <c r="G9724" s="100">
        <v>117602683</v>
      </c>
      <c r="H9724" s="530"/>
      <c r="I9724" s="422" t="s">
        <v>598</v>
      </c>
      <c r="J9724" s="484"/>
      <c r="K9724" s="548"/>
      <c r="L9724" s="548"/>
      <c r="M9724" s="548"/>
      <c r="N9724" s="552">
        <v>25714</v>
      </c>
      <c r="R9724" s="539">
        <v>1011.8929999222214</v>
      </c>
      <c r="S9724" s="539">
        <v>1013.18628218091</v>
      </c>
      <c r="T9724" s="538">
        <v>15.55</v>
      </c>
      <c r="U9724" s="538">
        <v>117.09</v>
      </c>
      <c r="V9724" s="538">
        <v>58.54</v>
      </c>
    </row>
    <row r="9725" spans="1:25">
      <c r="A9725" s="499">
        <v>45828</v>
      </c>
      <c r="B9725" s="499">
        <v>45828</v>
      </c>
      <c r="C9725" s="500" t="s">
        <v>173</v>
      </c>
      <c r="D9725" s="500" t="s">
        <v>764</v>
      </c>
      <c r="E9725" s="501">
        <v>-26004299.359999999</v>
      </c>
      <c r="F9725" s="502" t="s">
        <v>878</v>
      </c>
      <c r="G9725" s="100">
        <v>117602686</v>
      </c>
      <c r="H9725" s="530"/>
      <c r="I9725" s="422" t="s">
        <v>592</v>
      </c>
      <c r="J9725" s="484"/>
      <c r="K9725" s="548"/>
      <c r="L9725" s="548"/>
      <c r="M9725" s="548"/>
      <c r="N9725" s="552">
        <v>32656</v>
      </c>
      <c r="R9725" s="539">
        <v>796.31</v>
      </c>
      <c r="S9725" s="539">
        <v>797.32774957128902</v>
      </c>
      <c r="T9725" s="538">
        <v>15.55</v>
      </c>
      <c r="U9725" s="538">
        <v>117.02</v>
      </c>
      <c r="V9725" s="538">
        <v>58.51</v>
      </c>
    </row>
    <row r="9726" spans="1:25">
      <c r="A9726" s="499">
        <v>45828</v>
      </c>
      <c r="B9726" s="499">
        <v>45828</v>
      </c>
      <c r="C9726" s="500" t="s">
        <v>173</v>
      </c>
      <c r="D9726" s="500" t="s">
        <v>764</v>
      </c>
      <c r="E9726" s="501">
        <v>-27002461.809999999</v>
      </c>
      <c r="F9726" s="502" t="s">
        <v>878</v>
      </c>
      <c r="G9726" s="100">
        <v>117602689</v>
      </c>
      <c r="H9726" s="530"/>
      <c r="I9726" s="422" t="s">
        <v>696</v>
      </c>
      <c r="J9726" s="484"/>
      <c r="K9726" s="548"/>
      <c r="L9726" s="548"/>
      <c r="M9726" s="548"/>
      <c r="N9726" s="552">
        <v>32562</v>
      </c>
      <c r="R9726" s="539">
        <v>829.26300012284253</v>
      </c>
      <c r="S9726" s="539">
        <v>830.32286653153994</v>
      </c>
      <c r="T9726" s="538">
        <v>15.55</v>
      </c>
      <c r="U9726" s="538">
        <v>121.51</v>
      </c>
      <c r="V9726" s="538">
        <v>60.76</v>
      </c>
    </row>
    <row r="9727" spans="1:25">
      <c r="A9727" s="499">
        <v>45828</v>
      </c>
      <c r="B9727" s="499">
        <v>45828</v>
      </c>
      <c r="C9727" s="500" t="s">
        <v>173</v>
      </c>
      <c r="D9727" s="500" t="s">
        <v>764</v>
      </c>
      <c r="E9727" s="501">
        <v>-28003107.829999998</v>
      </c>
      <c r="F9727" s="502" t="s">
        <v>878</v>
      </c>
      <c r="G9727" s="100">
        <v>117602692</v>
      </c>
      <c r="H9727" s="530"/>
      <c r="I9727" s="422" t="s">
        <v>675</v>
      </c>
      <c r="J9727" s="484"/>
      <c r="K9727" s="548"/>
      <c r="L9727" s="548"/>
      <c r="M9727" s="548"/>
      <c r="N9727" s="552">
        <v>30296</v>
      </c>
      <c r="R9727" s="539">
        <v>924.31699993398468</v>
      </c>
      <c r="S9727" s="539">
        <v>925.49835291787701</v>
      </c>
      <c r="T9727" s="538">
        <v>15.55</v>
      </c>
      <c r="U9727" s="538">
        <v>126.01</v>
      </c>
      <c r="V9727" s="538">
        <v>63.01</v>
      </c>
    </row>
    <row r="9728" spans="1:25">
      <c r="A9728" s="499">
        <v>45828</v>
      </c>
      <c r="B9728" s="499">
        <v>45828</v>
      </c>
      <c r="C9728" s="500" t="s">
        <v>173</v>
      </c>
      <c r="D9728" s="500" t="s">
        <v>764</v>
      </c>
      <c r="E9728" s="501">
        <v>-28009778.859999999</v>
      </c>
      <c r="F9728" s="502" t="s">
        <v>878</v>
      </c>
      <c r="G9728" s="100">
        <v>117602695</v>
      </c>
      <c r="H9728" s="530"/>
      <c r="I9728" s="422" t="s">
        <v>550</v>
      </c>
      <c r="J9728" s="484"/>
      <c r="K9728" s="548"/>
      <c r="L9728" s="548"/>
      <c r="M9728" s="548"/>
      <c r="N9728" s="552">
        <v>53032</v>
      </c>
      <c r="R9728" s="539">
        <v>528.16750000000002</v>
      </c>
      <c r="S9728" s="539">
        <v>528.84254148438697</v>
      </c>
      <c r="T9728" s="538">
        <v>15.55</v>
      </c>
      <c r="U9728" s="538">
        <v>126.04</v>
      </c>
      <c r="V9728" s="538">
        <v>63.02</v>
      </c>
    </row>
    <row r="9729" spans="1:22">
      <c r="A9729" s="499">
        <v>45828</v>
      </c>
      <c r="B9729" s="499">
        <v>45828</v>
      </c>
      <c r="C9729" s="500" t="s">
        <v>173</v>
      </c>
      <c r="D9729" s="500" t="s">
        <v>764</v>
      </c>
      <c r="E9729" s="501">
        <v>-29020935.219999999</v>
      </c>
      <c r="F9729" s="502" t="s">
        <v>878</v>
      </c>
      <c r="G9729" s="100">
        <v>117602698</v>
      </c>
      <c r="H9729" s="530"/>
      <c r="I9729" s="422" t="s">
        <v>715</v>
      </c>
      <c r="J9729" s="484"/>
      <c r="K9729" s="548"/>
      <c r="L9729" s="548"/>
      <c r="M9729" s="548"/>
      <c r="N9729" s="552">
        <v>37352</v>
      </c>
      <c r="R9729" s="539">
        <v>776.95800010708933</v>
      </c>
      <c r="S9729" s="539">
        <v>777.95101627757595</v>
      </c>
      <c r="T9729" s="538">
        <v>15.55</v>
      </c>
      <c r="U9729" s="538">
        <v>130.59</v>
      </c>
      <c r="V9729" s="538">
        <v>65.3</v>
      </c>
    </row>
    <row r="9730" spans="1:22">
      <c r="A9730" s="499">
        <v>45828</v>
      </c>
      <c r="B9730" s="499">
        <v>45828</v>
      </c>
      <c r="C9730" s="500" t="s">
        <v>173</v>
      </c>
      <c r="D9730" s="500" t="s">
        <v>764</v>
      </c>
      <c r="E9730" s="501">
        <v>-30002030.760000002</v>
      </c>
      <c r="F9730" s="502" t="s">
        <v>878</v>
      </c>
      <c r="G9730" s="100">
        <v>117602701</v>
      </c>
      <c r="H9730" s="530"/>
      <c r="I9730" s="422" t="s">
        <v>674</v>
      </c>
      <c r="J9730" s="484"/>
      <c r="K9730" s="548"/>
      <c r="L9730" s="548"/>
      <c r="M9730" s="548"/>
      <c r="N9730" s="552">
        <v>32430</v>
      </c>
      <c r="R9730" s="539">
        <v>925.13200000000006</v>
      </c>
      <c r="S9730" s="539">
        <v>926.31439469626901</v>
      </c>
      <c r="T9730" s="538">
        <v>15.55</v>
      </c>
      <c r="U9730" s="538">
        <v>135.01</v>
      </c>
      <c r="V9730" s="538">
        <v>67.5</v>
      </c>
    </row>
    <row r="9731" spans="1:22">
      <c r="A9731" s="499">
        <v>45828</v>
      </c>
      <c r="B9731" s="499">
        <v>45828</v>
      </c>
      <c r="C9731" s="500" t="s">
        <v>173</v>
      </c>
      <c r="D9731" s="500" t="s">
        <v>764</v>
      </c>
      <c r="E9731" s="501">
        <v>-33006840.969999999</v>
      </c>
      <c r="F9731" s="502" t="s">
        <v>878</v>
      </c>
      <c r="G9731" s="100">
        <v>117602704</v>
      </c>
      <c r="H9731" s="530"/>
      <c r="I9731" s="422" t="s">
        <v>709</v>
      </c>
      <c r="J9731" s="484"/>
      <c r="K9731" s="548"/>
      <c r="L9731" s="548"/>
      <c r="M9731" s="548"/>
      <c r="N9731" s="552">
        <v>36201</v>
      </c>
      <c r="R9731" s="539">
        <v>911.76600011049413</v>
      </c>
      <c r="S9731" s="539">
        <v>912.93131211845002</v>
      </c>
      <c r="T9731" s="538">
        <v>15.55</v>
      </c>
      <c r="U9731" s="538">
        <v>148.53</v>
      </c>
      <c r="V9731" s="538">
        <v>74.27</v>
      </c>
    </row>
    <row r="9732" spans="1:22">
      <c r="A9732" s="499">
        <v>45828</v>
      </c>
      <c r="B9732" s="499">
        <v>45828</v>
      </c>
      <c r="C9732" s="500" t="s">
        <v>173</v>
      </c>
      <c r="D9732" s="500" t="s">
        <v>764</v>
      </c>
      <c r="E9732" s="501">
        <v>-33005887.199999999</v>
      </c>
      <c r="F9732" s="502" t="s">
        <v>878</v>
      </c>
      <c r="G9732" s="100">
        <v>117602707</v>
      </c>
      <c r="H9732" s="530"/>
      <c r="I9732" s="422" t="s">
        <v>693</v>
      </c>
      <c r="J9732" s="484"/>
      <c r="K9732" s="548"/>
      <c r="L9732" s="548"/>
      <c r="M9732" s="548"/>
      <c r="N9732" s="552">
        <v>39600</v>
      </c>
      <c r="R9732" s="539">
        <v>833.48199999999997</v>
      </c>
      <c r="S9732" s="539">
        <v>834.54725858585903</v>
      </c>
      <c r="T9732" s="538">
        <v>15.55</v>
      </c>
      <c r="U9732" s="538">
        <v>148.53</v>
      </c>
      <c r="V9732" s="538">
        <v>74.260000000000005</v>
      </c>
    </row>
    <row r="9733" spans="1:22">
      <c r="A9733" s="499">
        <v>45828</v>
      </c>
      <c r="B9733" s="499">
        <v>45828</v>
      </c>
      <c r="C9733" s="500" t="s">
        <v>173</v>
      </c>
      <c r="D9733" s="500" t="s">
        <v>764</v>
      </c>
      <c r="E9733" s="501">
        <v>-34033163.329999998</v>
      </c>
      <c r="F9733" s="502" t="s">
        <v>878</v>
      </c>
      <c r="G9733" s="100">
        <v>117602710</v>
      </c>
      <c r="H9733" s="530"/>
      <c r="I9733" s="422" t="s">
        <v>694</v>
      </c>
      <c r="J9733" s="484"/>
      <c r="K9733" s="548"/>
      <c r="L9733" s="548"/>
      <c r="M9733" s="548"/>
      <c r="N9733" s="552">
        <v>34544</v>
      </c>
      <c r="R9733" s="539">
        <v>985.21200005789717</v>
      </c>
      <c r="S9733" s="539">
        <v>986.47118197082</v>
      </c>
      <c r="T9733" s="538">
        <v>15.55</v>
      </c>
      <c r="U9733" s="538">
        <v>153.15</v>
      </c>
      <c r="V9733" s="538">
        <v>76.569999999999993</v>
      </c>
    </row>
    <row r="9734" spans="1:22">
      <c r="A9734" s="499">
        <v>45828</v>
      </c>
      <c r="B9734" s="499">
        <v>45828</v>
      </c>
      <c r="C9734" s="500" t="s">
        <v>173</v>
      </c>
      <c r="D9734" s="500" t="s">
        <v>764</v>
      </c>
      <c r="E9734" s="501">
        <v>-5004316.8</v>
      </c>
      <c r="F9734" s="502" t="s">
        <v>878</v>
      </c>
      <c r="G9734" s="100">
        <v>117602713</v>
      </c>
      <c r="H9734" s="530"/>
      <c r="I9734" s="422" t="s">
        <v>590</v>
      </c>
      <c r="J9734" s="484"/>
      <c r="K9734" s="548"/>
      <c r="L9734" s="548"/>
      <c r="M9734" s="548"/>
      <c r="N9734" s="552">
        <v>5760</v>
      </c>
      <c r="R9734" s="539">
        <v>868.80499999999995</v>
      </c>
      <c r="S9734" s="539">
        <v>869.91540451388903</v>
      </c>
      <c r="T9734" s="538">
        <v>15.55</v>
      </c>
      <c r="U9734" s="538">
        <v>39.32</v>
      </c>
      <c r="V9734" s="538">
        <v>11.26</v>
      </c>
    </row>
    <row r="9735" spans="1:22">
      <c r="A9735" s="499">
        <v>45828</v>
      </c>
      <c r="B9735" s="499">
        <v>45828</v>
      </c>
      <c r="C9735" s="500" t="s">
        <v>173</v>
      </c>
      <c r="D9735" s="500" t="s">
        <v>764</v>
      </c>
      <c r="E9735" s="501">
        <v>-7005845.9299999997</v>
      </c>
      <c r="F9735" s="502" t="s">
        <v>878</v>
      </c>
      <c r="G9735" s="100">
        <v>117603401</v>
      </c>
      <c r="H9735" s="530"/>
      <c r="I9735" s="422" t="s">
        <v>688</v>
      </c>
      <c r="J9735" s="484"/>
      <c r="K9735" s="548"/>
      <c r="L9735" s="548"/>
      <c r="M9735" s="548"/>
      <c r="N9735" s="552">
        <v>6601</v>
      </c>
      <c r="R9735" s="539">
        <v>1061.3309998485076</v>
      </c>
      <c r="S9735" s="539">
        <v>1062.68746856537</v>
      </c>
      <c r="T9735" s="538">
        <v>15.55</v>
      </c>
      <c r="U9735" s="538">
        <v>39.32</v>
      </c>
      <c r="V9735" s="538">
        <v>15.76</v>
      </c>
    </row>
    <row r="9736" spans="1:22">
      <c r="A9736" s="499">
        <v>45828</v>
      </c>
      <c r="B9736" s="499">
        <v>45831</v>
      </c>
      <c r="C9736" s="500" t="s">
        <v>173</v>
      </c>
      <c r="D9736" s="500" t="s">
        <v>764</v>
      </c>
      <c r="E9736" s="501">
        <v>12022261.43</v>
      </c>
      <c r="F9736" s="502" t="s">
        <v>878</v>
      </c>
      <c r="G9736" s="100">
        <v>117602644</v>
      </c>
      <c r="H9736" s="100">
        <v>117602644</v>
      </c>
      <c r="I9736" s="422" t="s">
        <v>657</v>
      </c>
      <c r="J9736" s="484"/>
      <c r="K9736" s="548"/>
      <c r="L9736" s="548"/>
      <c r="M9736" s="548"/>
      <c r="N9736" s="552">
        <v>12300</v>
      </c>
      <c r="R9736" s="539">
        <v>976.17200000000003</v>
      </c>
      <c r="S9736" s="539">
        <v>977.41962845528406</v>
      </c>
      <c r="T9736" s="538">
        <v>15.55</v>
      </c>
      <c r="U9736" s="538">
        <v>54.03</v>
      </c>
      <c r="V9736" s="538">
        <v>27.02</v>
      </c>
    </row>
    <row r="9737" spans="1:22">
      <c r="A9737" s="499">
        <v>45828</v>
      </c>
      <c r="B9737" s="499">
        <v>45831</v>
      </c>
      <c r="C9737" s="500" t="s">
        <v>173</v>
      </c>
      <c r="D9737" s="500" t="s">
        <v>764</v>
      </c>
      <c r="E9737" s="501">
        <v>20027952.780000001</v>
      </c>
      <c r="F9737" s="502" t="s">
        <v>878</v>
      </c>
      <c r="G9737" s="100">
        <v>117602647</v>
      </c>
      <c r="H9737" s="100">
        <v>117602647</v>
      </c>
      <c r="I9737" s="422" t="s">
        <v>588</v>
      </c>
      <c r="J9737" s="484"/>
      <c r="K9737" s="548"/>
      <c r="L9737" s="548"/>
      <c r="M9737" s="548"/>
      <c r="N9737" s="552">
        <v>21520</v>
      </c>
      <c r="R9737" s="539">
        <v>929.47899999999993</v>
      </c>
      <c r="S9737" s="539">
        <v>930.666950743494</v>
      </c>
      <c r="T9737" s="538">
        <v>15.55</v>
      </c>
      <c r="U9737" s="538">
        <v>90.01</v>
      </c>
      <c r="V9737" s="538">
        <v>45.01</v>
      </c>
    </row>
    <row r="9738" spans="1:22">
      <c r="A9738" s="499">
        <v>45828</v>
      </c>
      <c r="B9738" s="499">
        <v>45831</v>
      </c>
      <c r="C9738" s="500" t="s">
        <v>173</v>
      </c>
      <c r="D9738" s="500" t="s">
        <v>764</v>
      </c>
      <c r="E9738" s="501">
        <v>20027952.780000001</v>
      </c>
      <c r="F9738" s="502" t="s">
        <v>878</v>
      </c>
      <c r="G9738" s="100">
        <v>117602650</v>
      </c>
      <c r="H9738" s="100">
        <v>117602650</v>
      </c>
      <c r="I9738" s="422" t="s">
        <v>588</v>
      </c>
      <c r="J9738" s="484"/>
      <c r="K9738" s="548"/>
      <c r="L9738" s="548"/>
      <c r="M9738" s="548"/>
      <c r="N9738" s="552">
        <v>21520</v>
      </c>
      <c r="R9738" s="539">
        <v>929.47899999999993</v>
      </c>
      <c r="S9738" s="539">
        <v>930.666950743494</v>
      </c>
      <c r="T9738" s="538">
        <v>15.55</v>
      </c>
      <c r="U9738" s="538">
        <v>90.01</v>
      </c>
      <c r="V9738" s="538">
        <v>45.01</v>
      </c>
    </row>
    <row r="9739" spans="1:22">
      <c r="A9739" s="499">
        <v>45828</v>
      </c>
      <c r="B9739" s="499">
        <v>45831</v>
      </c>
      <c r="C9739" s="500" t="s">
        <v>173</v>
      </c>
      <c r="D9739" s="500" t="s">
        <v>764</v>
      </c>
      <c r="E9739" s="501">
        <v>22047136</v>
      </c>
      <c r="F9739" s="502" t="s">
        <v>878</v>
      </c>
      <c r="G9739" s="100">
        <v>117602653</v>
      </c>
      <c r="H9739" s="100">
        <v>117602653</v>
      </c>
      <c r="I9739" s="422" t="s">
        <v>590</v>
      </c>
      <c r="J9739" s="484"/>
      <c r="K9739" s="548"/>
      <c r="L9739" s="548"/>
      <c r="M9739" s="548"/>
      <c r="N9739" s="552">
        <v>25344</v>
      </c>
      <c r="R9739" s="539">
        <v>868.80500000000006</v>
      </c>
      <c r="S9739" s="539">
        <v>869.91540404040404</v>
      </c>
      <c r="T9739" s="538">
        <v>15.55</v>
      </c>
      <c r="U9739" s="538">
        <v>99.09</v>
      </c>
      <c r="V9739" s="538">
        <v>49.54</v>
      </c>
    </row>
    <row r="9740" spans="1:22">
      <c r="A9740" s="499">
        <v>45828</v>
      </c>
      <c r="B9740" s="499">
        <v>45831</v>
      </c>
      <c r="C9740" s="500" t="s">
        <v>173</v>
      </c>
      <c r="D9740" s="500" t="s">
        <v>764</v>
      </c>
      <c r="E9740" s="501">
        <v>23038987.629999999</v>
      </c>
      <c r="F9740" s="502" t="s">
        <v>878</v>
      </c>
      <c r="G9740" s="100">
        <v>117602656</v>
      </c>
      <c r="H9740" s="100">
        <v>117602656</v>
      </c>
      <c r="I9740" s="422" t="s">
        <v>717</v>
      </c>
      <c r="J9740" s="484"/>
      <c r="K9740" s="548"/>
      <c r="L9740" s="548"/>
      <c r="M9740" s="548"/>
      <c r="N9740" s="552">
        <v>36340</v>
      </c>
      <c r="R9740" s="539">
        <v>633.17499999999995</v>
      </c>
      <c r="S9740" s="539">
        <v>633.98424958723194</v>
      </c>
      <c r="T9740" s="538">
        <v>15.55</v>
      </c>
      <c r="U9740" s="538">
        <v>103.54</v>
      </c>
      <c r="V9740" s="538">
        <v>51.77</v>
      </c>
    </row>
    <row r="9741" spans="1:22">
      <c r="A9741" s="499">
        <v>45828</v>
      </c>
      <c r="B9741" s="499">
        <v>45831</v>
      </c>
      <c r="C9741" s="500" t="s">
        <v>173</v>
      </c>
      <c r="D9741" s="500" t="s">
        <v>764</v>
      </c>
      <c r="E9741" s="501">
        <v>23046398.120000001</v>
      </c>
      <c r="F9741" s="502" t="s">
        <v>878</v>
      </c>
      <c r="G9741" s="100">
        <v>117602659</v>
      </c>
      <c r="H9741" s="100">
        <v>117602659</v>
      </c>
      <c r="I9741" s="422" t="s">
        <v>824</v>
      </c>
      <c r="J9741" s="484"/>
      <c r="K9741" s="548"/>
      <c r="L9741" s="548"/>
      <c r="M9741" s="548"/>
      <c r="N9741" s="552">
        <v>22724</v>
      </c>
      <c r="R9741" s="539">
        <v>1012.8929999119874</v>
      </c>
      <c r="S9741" s="539">
        <v>1014.1875602886799</v>
      </c>
      <c r="T9741" s="538">
        <v>15.55</v>
      </c>
      <c r="U9741" s="538">
        <v>103.58</v>
      </c>
      <c r="V9741" s="538">
        <v>51.79</v>
      </c>
    </row>
    <row r="9742" spans="1:22">
      <c r="A9742" s="499">
        <v>45828</v>
      </c>
      <c r="B9742" s="499">
        <v>45831</v>
      </c>
      <c r="C9742" s="500" t="s">
        <v>173</v>
      </c>
      <c r="D9742" s="500" t="s">
        <v>764</v>
      </c>
      <c r="E9742" s="501">
        <v>24036459.219999999</v>
      </c>
      <c r="F9742" s="502" t="s">
        <v>878</v>
      </c>
      <c r="G9742" s="100">
        <v>117602662</v>
      </c>
      <c r="H9742" s="100">
        <v>117602662</v>
      </c>
      <c r="I9742" s="422" t="s">
        <v>695</v>
      </c>
      <c r="J9742" s="484"/>
      <c r="K9742" s="548"/>
      <c r="L9742" s="548"/>
      <c r="M9742" s="548"/>
      <c r="N9742" s="552">
        <v>31632</v>
      </c>
      <c r="R9742" s="539">
        <v>758.90800012645423</v>
      </c>
      <c r="S9742" s="539">
        <v>759.87794701567998</v>
      </c>
      <c r="T9742" s="538">
        <v>15.55</v>
      </c>
      <c r="U9742" s="538">
        <v>108.03</v>
      </c>
      <c r="V9742" s="538">
        <v>54.01</v>
      </c>
    </row>
    <row r="9743" spans="1:22">
      <c r="A9743" s="499">
        <v>45828</v>
      </c>
      <c r="B9743" s="499">
        <v>45831</v>
      </c>
      <c r="C9743" s="500" t="s">
        <v>173</v>
      </c>
      <c r="D9743" s="500" t="s">
        <v>764</v>
      </c>
      <c r="E9743" s="501">
        <v>25032547.82</v>
      </c>
      <c r="F9743" s="502" t="s">
        <v>878</v>
      </c>
      <c r="G9743" s="100">
        <v>117602665</v>
      </c>
      <c r="H9743" s="100">
        <v>117602665</v>
      </c>
      <c r="I9743" s="422" t="s">
        <v>596</v>
      </c>
      <c r="J9743" s="484"/>
      <c r="K9743" s="548"/>
      <c r="L9743" s="548"/>
      <c r="M9743" s="548"/>
      <c r="N9743" s="552">
        <v>23900</v>
      </c>
      <c r="R9743" s="539">
        <v>1046.05</v>
      </c>
      <c r="S9743" s="539">
        <v>1047.3869380753099</v>
      </c>
      <c r="T9743" s="538">
        <v>15.55</v>
      </c>
      <c r="U9743" s="538">
        <v>112.5</v>
      </c>
      <c r="V9743" s="538">
        <v>56.25</v>
      </c>
    </row>
    <row r="9744" spans="1:22">
      <c r="A9744" s="499">
        <v>45828</v>
      </c>
      <c r="B9744" s="499">
        <v>45831</v>
      </c>
      <c r="C9744" s="500" t="s">
        <v>173</v>
      </c>
      <c r="D9744" s="500" t="s">
        <v>764</v>
      </c>
      <c r="E9744" s="501">
        <v>26059866.559999999</v>
      </c>
      <c r="F9744" s="502" t="s">
        <v>878</v>
      </c>
      <c r="G9744" s="100">
        <v>117602668</v>
      </c>
      <c r="H9744" s="100">
        <v>117602668</v>
      </c>
      <c r="I9744" s="422" t="s">
        <v>821</v>
      </c>
      <c r="J9744" s="484"/>
      <c r="K9744" s="548"/>
      <c r="L9744" s="548"/>
      <c r="M9744" s="548"/>
      <c r="N9744" s="552">
        <v>24180</v>
      </c>
      <c r="R9744" s="539">
        <v>1076.3690000000001</v>
      </c>
      <c r="S9744" s="539">
        <v>1077.74468817204</v>
      </c>
      <c r="T9744" s="538">
        <v>15.55</v>
      </c>
      <c r="U9744" s="538">
        <v>117.12</v>
      </c>
      <c r="V9744" s="538">
        <v>58.56</v>
      </c>
    </row>
    <row r="9745" spans="1:22">
      <c r="A9745" s="499">
        <v>45828</v>
      </c>
      <c r="B9745" s="499">
        <v>45831</v>
      </c>
      <c r="C9745" s="500" t="s">
        <v>173</v>
      </c>
      <c r="D9745" s="500" t="s">
        <v>764</v>
      </c>
      <c r="E9745" s="501">
        <v>26053072.059999999</v>
      </c>
      <c r="F9745" s="502" t="s">
        <v>878</v>
      </c>
      <c r="G9745" s="100">
        <v>117602683</v>
      </c>
      <c r="H9745" s="100">
        <v>117602683</v>
      </c>
      <c r="I9745" s="422" t="s">
        <v>598</v>
      </c>
      <c r="J9745" s="484"/>
      <c r="K9745" s="548"/>
      <c r="L9745" s="548"/>
      <c r="M9745" s="548"/>
      <c r="N9745" s="552">
        <v>25714</v>
      </c>
      <c r="R9745" s="539">
        <v>1011.8929999222214</v>
      </c>
      <c r="S9745" s="539">
        <v>1013.18628218091</v>
      </c>
      <c r="T9745" s="538">
        <v>15.55</v>
      </c>
      <c r="U9745" s="538">
        <v>117.09</v>
      </c>
      <c r="V9745" s="538">
        <v>58.54</v>
      </c>
    </row>
    <row r="9746" spans="1:22">
      <c r="A9746" s="499">
        <v>45828</v>
      </c>
      <c r="B9746" s="499">
        <v>45831</v>
      </c>
      <c r="C9746" s="500" t="s">
        <v>173</v>
      </c>
      <c r="D9746" s="500" t="s">
        <v>764</v>
      </c>
      <c r="E9746" s="501">
        <v>26037534.989999998</v>
      </c>
      <c r="F9746" s="502" t="s">
        <v>878</v>
      </c>
      <c r="G9746" s="100">
        <v>117602686</v>
      </c>
      <c r="H9746" s="100">
        <v>117602686</v>
      </c>
      <c r="I9746" s="422" t="s">
        <v>592</v>
      </c>
      <c r="J9746" s="484"/>
      <c r="K9746" s="548"/>
      <c r="L9746" s="548"/>
      <c r="M9746" s="548"/>
      <c r="N9746" s="552">
        <v>32656</v>
      </c>
      <c r="R9746" s="539">
        <v>796.31</v>
      </c>
      <c r="S9746" s="539">
        <v>797.32774957128902</v>
      </c>
      <c r="T9746" s="538">
        <v>15.55</v>
      </c>
      <c r="U9746" s="538">
        <v>117.02</v>
      </c>
      <c r="V9746" s="538">
        <v>58.51</v>
      </c>
    </row>
    <row r="9747" spans="1:22">
      <c r="A9747" s="499">
        <v>45828</v>
      </c>
      <c r="B9747" s="499">
        <v>45831</v>
      </c>
      <c r="C9747" s="500" t="s">
        <v>173</v>
      </c>
      <c r="D9747" s="500" t="s">
        <v>764</v>
      </c>
      <c r="E9747" s="501">
        <v>27036973.18</v>
      </c>
      <c r="F9747" s="502" t="s">
        <v>878</v>
      </c>
      <c r="G9747" s="100">
        <v>117602689</v>
      </c>
      <c r="H9747" s="100">
        <v>117602689</v>
      </c>
      <c r="I9747" s="422" t="s">
        <v>696</v>
      </c>
      <c r="J9747" s="484"/>
      <c r="K9747" s="548"/>
      <c r="L9747" s="548"/>
      <c r="M9747" s="548"/>
      <c r="N9747" s="552">
        <v>32562</v>
      </c>
      <c r="R9747" s="539">
        <v>829.26300012284253</v>
      </c>
      <c r="S9747" s="539">
        <v>830.32286653153994</v>
      </c>
      <c r="T9747" s="538">
        <v>15.55</v>
      </c>
      <c r="U9747" s="538">
        <v>121.51</v>
      </c>
      <c r="V9747" s="538">
        <v>60.76</v>
      </c>
    </row>
    <row r="9748" spans="1:22">
      <c r="A9748" s="499">
        <v>45828</v>
      </c>
      <c r="B9748" s="499">
        <v>45831</v>
      </c>
      <c r="C9748" s="500" t="s">
        <v>173</v>
      </c>
      <c r="D9748" s="500" t="s">
        <v>764</v>
      </c>
      <c r="E9748" s="501">
        <v>28038898.100000001</v>
      </c>
      <c r="F9748" s="502" t="s">
        <v>878</v>
      </c>
      <c r="G9748" s="100">
        <v>117602692</v>
      </c>
      <c r="H9748" s="100">
        <v>117602692</v>
      </c>
      <c r="I9748" s="422" t="s">
        <v>675</v>
      </c>
      <c r="J9748" s="484"/>
      <c r="K9748" s="548"/>
      <c r="L9748" s="548"/>
      <c r="M9748" s="548"/>
      <c r="N9748" s="552">
        <v>30296</v>
      </c>
      <c r="R9748" s="539">
        <v>924.31699993398468</v>
      </c>
      <c r="S9748" s="539">
        <v>925.49835291787701</v>
      </c>
      <c r="T9748" s="538">
        <v>15.55</v>
      </c>
      <c r="U9748" s="538">
        <v>126.01</v>
      </c>
      <c r="V9748" s="538">
        <v>63.01</v>
      </c>
    </row>
    <row r="9749" spans="1:22">
      <c r="A9749" s="499">
        <v>45828</v>
      </c>
      <c r="B9749" s="499">
        <v>45831</v>
      </c>
      <c r="C9749" s="500" t="s">
        <v>173</v>
      </c>
      <c r="D9749" s="500" t="s">
        <v>764</v>
      </c>
      <c r="E9749" s="501">
        <v>28045577.66</v>
      </c>
      <c r="F9749" s="502" t="s">
        <v>878</v>
      </c>
      <c r="G9749" s="100">
        <v>117602695</v>
      </c>
      <c r="H9749" s="100">
        <v>117602695</v>
      </c>
      <c r="I9749" s="422" t="s">
        <v>550</v>
      </c>
      <c r="J9749" s="484"/>
      <c r="K9749" s="548"/>
      <c r="L9749" s="548"/>
      <c r="M9749" s="548"/>
      <c r="N9749" s="552">
        <v>53032</v>
      </c>
      <c r="R9749" s="539">
        <v>528.16750000000002</v>
      </c>
      <c r="S9749" s="539">
        <v>528.84254148438697</v>
      </c>
      <c r="T9749" s="538">
        <v>15.55</v>
      </c>
      <c r="U9749" s="538">
        <v>126.04</v>
      </c>
      <c r="V9749" s="538">
        <v>63.02</v>
      </c>
    </row>
    <row r="9750" spans="1:22">
      <c r="A9750" s="499">
        <v>45828</v>
      </c>
      <c r="B9750" s="499">
        <v>45831</v>
      </c>
      <c r="C9750" s="500" t="s">
        <v>173</v>
      </c>
      <c r="D9750" s="500" t="s">
        <v>764</v>
      </c>
      <c r="E9750" s="501">
        <v>29058026.359999999</v>
      </c>
      <c r="F9750" s="502" t="s">
        <v>878</v>
      </c>
      <c r="G9750" s="100">
        <v>117602698</v>
      </c>
      <c r="H9750" s="100">
        <v>117602698</v>
      </c>
      <c r="I9750" s="422" t="s">
        <v>715</v>
      </c>
      <c r="J9750" s="484"/>
      <c r="K9750" s="548"/>
      <c r="L9750" s="548"/>
      <c r="M9750" s="548"/>
      <c r="N9750" s="552">
        <v>37352</v>
      </c>
      <c r="R9750" s="539">
        <v>776.95800010708933</v>
      </c>
      <c r="S9750" s="539">
        <v>777.95101627757595</v>
      </c>
      <c r="T9750" s="538">
        <v>15.55</v>
      </c>
      <c r="U9750" s="538">
        <v>130.59</v>
      </c>
      <c r="V9750" s="538">
        <v>65.3</v>
      </c>
    </row>
    <row r="9751" spans="1:22">
      <c r="A9751" s="499">
        <v>45828</v>
      </c>
      <c r="B9751" s="499">
        <v>45831</v>
      </c>
      <c r="C9751" s="500" t="s">
        <v>173</v>
      </c>
      <c r="D9751" s="500" t="s">
        <v>764</v>
      </c>
      <c r="E9751" s="501">
        <v>30040375.82</v>
      </c>
      <c r="F9751" s="502" t="s">
        <v>878</v>
      </c>
      <c r="G9751" s="100">
        <v>117602701</v>
      </c>
      <c r="H9751" s="100">
        <v>117602701</v>
      </c>
      <c r="I9751" s="422" t="s">
        <v>674</v>
      </c>
      <c r="J9751" s="484"/>
      <c r="K9751" s="548"/>
      <c r="L9751" s="548"/>
      <c r="M9751" s="548"/>
      <c r="N9751" s="552">
        <v>32430</v>
      </c>
      <c r="R9751" s="539">
        <v>925.13200000000006</v>
      </c>
      <c r="S9751" s="539">
        <v>926.31439469626901</v>
      </c>
      <c r="T9751" s="538">
        <v>15.55</v>
      </c>
      <c r="U9751" s="538">
        <v>135.01</v>
      </c>
      <c r="V9751" s="538">
        <v>67.5</v>
      </c>
    </row>
    <row r="9752" spans="1:22">
      <c r="A9752" s="499">
        <v>45828</v>
      </c>
      <c r="B9752" s="499">
        <v>45831</v>
      </c>
      <c r="C9752" s="500" t="s">
        <v>173</v>
      </c>
      <c r="D9752" s="500" t="s">
        <v>764</v>
      </c>
      <c r="E9752" s="501">
        <v>33049026.43</v>
      </c>
      <c r="F9752" s="502" t="s">
        <v>878</v>
      </c>
      <c r="G9752" s="100">
        <v>117602704</v>
      </c>
      <c r="H9752" s="100">
        <v>117602704</v>
      </c>
      <c r="I9752" s="422" t="s">
        <v>709</v>
      </c>
      <c r="J9752" s="484"/>
      <c r="K9752" s="548"/>
      <c r="L9752" s="548"/>
      <c r="M9752" s="548"/>
      <c r="N9752" s="552">
        <v>36201</v>
      </c>
      <c r="R9752" s="539">
        <v>911.76600011049413</v>
      </c>
      <c r="S9752" s="539">
        <v>912.93131211845002</v>
      </c>
      <c r="T9752" s="538">
        <v>15.55</v>
      </c>
      <c r="U9752" s="538">
        <v>148.53</v>
      </c>
      <c r="V9752" s="538">
        <v>74.27</v>
      </c>
    </row>
    <row r="9753" spans="1:22">
      <c r="A9753" s="499">
        <v>45828</v>
      </c>
      <c r="B9753" s="499">
        <v>45831</v>
      </c>
      <c r="C9753" s="500" t="s">
        <v>173</v>
      </c>
      <c r="D9753" s="500" t="s">
        <v>764</v>
      </c>
      <c r="E9753" s="501">
        <v>33048071.440000001</v>
      </c>
      <c r="F9753" s="502" t="s">
        <v>878</v>
      </c>
      <c r="G9753" s="100">
        <v>117602707</v>
      </c>
      <c r="H9753" s="100">
        <v>117602707</v>
      </c>
      <c r="I9753" s="422" t="s">
        <v>693</v>
      </c>
      <c r="J9753" s="484"/>
      <c r="K9753" s="548"/>
      <c r="L9753" s="548"/>
      <c r="M9753" s="548"/>
      <c r="N9753" s="552">
        <v>39600</v>
      </c>
      <c r="R9753" s="539">
        <v>833.48199999999997</v>
      </c>
      <c r="S9753" s="539">
        <v>834.54725858585903</v>
      </c>
      <c r="T9753" s="538">
        <v>15.55</v>
      </c>
      <c r="U9753" s="538">
        <v>148.53</v>
      </c>
      <c r="V9753" s="538">
        <v>74.260000000000005</v>
      </c>
    </row>
    <row r="9754" spans="1:22">
      <c r="A9754" s="499">
        <v>45828</v>
      </c>
      <c r="B9754" s="499">
        <v>45831</v>
      </c>
      <c r="C9754" s="500" t="s">
        <v>173</v>
      </c>
      <c r="D9754" s="500" t="s">
        <v>764</v>
      </c>
      <c r="E9754" s="501">
        <v>34076660.509999998</v>
      </c>
      <c r="F9754" s="502" t="s">
        <v>878</v>
      </c>
      <c r="G9754" s="100">
        <v>117602710</v>
      </c>
      <c r="H9754" s="100">
        <v>117602710</v>
      </c>
      <c r="I9754" s="422" t="s">
        <v>694</v>
      </c>
      <c r="J9754" s="484"/>
      <c r="K9754" s="548"/>
      <c r="L9754" s="548"/>
      <c r="M9754" s="548"/>
      <c r="N9754" s="552">
        <v>34544</v>
      </c>
      <c r="R9754" s="539">
        <v>985.21200005789717</v>
      </c>
      <c r="S9754" s="539">
        <v>986.47118197082</v>
      </c>
      <c r="T9754" s="538">
        <v>15.55</v>
      </c>
      <c r="U9754" s="538">
        <v>153.15</v>
      </c>
      <c r="V9754" s="538">
        <v>76.569999999999993</v>
      </c>
    </row>
    <row r="9755" spans="1:22">
      <c r="A9755" s="499">
        <v>45828</v>
      </c>
      <c r="B9755" s="499">
        <v>45831</v>
      </c>
      <c r="C9755" s="500" t="s">
        <v>173</v>
      </c>
      <c r="D9755" s="500" t="s">
        <v>764</v>
      </c>
      <c r="E9755" s="501">
        <v>5010712.7300000004</v>
      </c>
      <c r="F9755" s="502" t="s">
        <v>878</v>
      </c>
      <c r="G9755" s="100">
        <v>117602713</v>
      </c>
      <c r="H9755" s="100">
        <v>117602713</v>
      </c>
      <c r="I9755" s="422" t="s">
        <v>590</v>
      </c>
      <c r="J9755" s="484"/>
      <c r="K9755" s="548"/>
      <c r="L9755" s="548"/>
      <c r="M9755" s="548"/>
      <c r="N9755" s="552">
        <v>5760</v>
      </c>
      <c r="R9755" s="539">
        <v>868.80499999999995</v>
      </c>
      <c r="S9755" s="539">
        <v>869.91540451388903</v>
      </c>
      <c r="T9755" s="538">
        <v>15.55</v>
      </c>
      <c r="U9755" s="538">
        <v>39.32</v>
      </c>
      <c r="V9755" s="538">
        <v>11.26</v>
      </c>
    </row>
    <row r="9756" spans="1:22">
      <c r="A9756" s="499">
        <v>45828</v>
      </c>
      <c r="B9756" s="499">
        <v>45831</v>
      </c>
      <c r="C9756" s="500" t="s">
        <v>173</v>
      </c>
      <c r="D9756" s="500" t="s">
        <v>764</v>
      </c>
      <c r="E9756" s="501">
        <v>7014799.9800000004</v>
      </c>
      <c r="F9756" s="502" t="s">
        <v>878</v>
      </c>
      <c r="G9756" s="100">
        <v>117603401</v>
      </c>
      <c r="H9756" s="100">
        <v>117603401</v>
      </c>
      <c r="I9756" s="422" t="s">
        <v>688</v>
      </c>
      <c r="J9756" s="484"/>
      <c r="K9756" s="548"/>
      <c r="L9756" s="548"/>
      <c r="M9756" s="548"/>
      <c r="N9756" s="552">
        <v>6601</v>
      </c>
      <c r="R9756" s="539">
        <v>1061.3309998485076</v>
      </c>
      <c r="S9756" s="539">
        <v>1062.68746856537</v>
      </c>
      <c r="T9756" s="538">
        <v>15.55</v>
      </c>
      <c r="U9756" s="538">
        <v>39.32</v>
      </c>
      <c r="V9756" s="538">
        <v>15.76</v>
      </c>
    </row>
    <row r="9757" spans="1:22">
      <c r="A9757" s="499">
        <v>45828</v>
      </c>
      <c r="B9757" s="499">
        <v>45828</v>
      </c>
      <c r="C9757" s="500" t="s">
        <v>173</v>
      </c>
      <c r="D9757" s="500" t="s">
        <v>762</v>
      </c>
      <c r="E9757" s="501">
        <v>74700000</v>
      </c>
      <c r="F9757" s="502" t="s">
        <v>381</v>
      </c>
      <c r="G9757" s="100" t="s">
        <v>75</v>
      </c>
      <c r="H9757" s="530"/>
      <c r="I9757" s="422" t="s">
        <v>691</v>
      </c>
      <c r="J9757" s="100"/>
      <c r="K9757" s="548"/>
      <c r="L9757" s="548"/>
      <c r="M9757" s="548"/>
      <c r="N9757" s="552"/>
    </row>
    <row r="9758" spans="1:22">
      <c r="A9758" s="499">
        <v>45828</v>
      </c>
      <c r="B9758" s="499">
        <v>45828</v>
      </c>
      <c r="C9758" s="500" t="s">
        <v>173</v>
      </c>
      <c r="D9758" s="500" t="s">
        <v>762</v>
      </c>
      <c r="E9758" s="501">
        <v>37350000</v>
      </c>
      <c r="F9758" s="502" t="s">
        <v>381</v>
      </c>
      <c r="G9758" s="100" t="s">
        <v>75</v>
      </c>
      <c r="H9758" s="530"/>
      <c r="I9758" s="422" t="s">
        <v>691</v>
      </c>
      <c r="J9758" s="100"/>
      <c r="K9758" s="548"/>
      <c r="L9758" s="548"/>
      <c r="M9758" s="548"/>
      <c r="N9758" s="552"/>
    </row>
    <row r="9759" spans="1:22">
      <c r="A9759" s="499">
        <v>45828</v>
      </c>
      <c r="B9759" s="499">
        <v>45828</v>
      </c>
      <c r="C9759" s="500" t="s">
        <v>173</v>
      </c>
      <c r="D9759" s="500" t="s">
        <v>763</v>
      </c>
      <c r="E9759" s="501">
        <v>-2000071411.8</v>
      </c>
      <c r="F9759" s="502" t="s">
        <v>878</v>
      </c>
      <c r="G9759" s="100">
        <v>117603686</v>
      </c>
      <c r="H9759" s="530"/>
      <c r="I9759" s="422" t="s">
        <v>1018</v>
      </c>
      <c r="J9759" s="484"/>
      <c r="K9759" s="548"/>
      <c r="L9759" s="548"/>
      <c r="M9759" s="548"/>
      <c r="N9759" s="552">
        <v>21098000</v>
      </c>
      <c r="R9759" s="539">
        <v>94.799099999999996</v>
      </c>
      <c r="S9759" s="539">
        <v>94.920113778083206</v>
      </c>
      <c r="T9759" s="538">
        <v>15.5311</v>
      </c>
      <c r="U9759" s="538">
        <v>9000.32</v>
      </c>
      <c r="V9759" s="538">
        <v>4500.16</v>
      </c>
    </row>
    <row r="9760" spans="1:22">
      <c r="A9760" s="499">
        <v>45828</v>
      </c>
      <c r="B9760" s="499">
        <v>45828</v>
      </c>
      <c r="C9760" s="500" t="s">
        <v>173</v>
      </c>
      <c r="D9760" s="500" t="s">
        <v>763</v>
      </c>
      <c r="E9760" s="501">
        <v>-3886152828.6100001</v>
      </c>
      <c r="F9760" s="502" t="s">
        <v>878</v>
      </c>
      <c r="G9760" s="100">
        <v>117603689</v>
      </c>
      <c r="H9760" s="530"/>
      <c r="I9760" s="422" t="s">
        <v>686</v>
      </c>
      <c r="J9760" s="484"/>
      <c r="K9760" s="548"/>
      <c r="L9760" s="548"/>
      <c r="M9760" s="548"/>
      <c r="N9760" s="552">
        <v>4072528</v>
      </c>
      <c r="R9760" s="539">
        <v>954.23599999999999</v>
      </c>
      <c r="S9760" s="539">
        <v>955.454101862529</v>
      </c>
      <c r="T9760" s="538">
        <v>15.531000000000001</v>
      </c>
      <c r="U9760" s="538">
        <v>17487.689999999999</v>
      </c>
      <c r="V9760" s="538">
        <v>8743.84</v>
      </c>
    </row>
    <row r="9761" spans="1:22">
      <c r="A9761" s="499">
        <v>45828</v>
      </c>
      <c r="B9761" s="499">
        <v>45828</v>
      </c>
      <c r="C9761" s="500" t="s">
        <v>173</v>
      </c>
      <c r="D9761" s="500" t="s">
        <v>763</v>
      </c>
      <c r="E9761" s="501">
        <v>-36001415.810000002</v>
      </c>
      <c r="F9761" s="502" t="s">
        <v>878</v>
      </c>
      <c r="G9761" s="100">
        <v>117603714</v>
      </c>
      <c r="H9761" s="530"/>
      <c r="I9761" s="422" t="s">
        <v>686</v>
      </c>
      <c r="J9761" s="484"/>
      <c r="K9761" s="548"/>
      <c r="L9761" s="548"/>
      <c r="M9761" s="548"/>
      <c r="N9761" s="552">
        <v>37728</v>
      </c>
      <c r="R9761" s="539">
        <v>954.23599999999999</v>
      </c>
      <c r="S9761" s="539">
        <v>955.45410199321395</v>
      </c>
      <c r="T9761" s="538">
        <v>15.531000000000001</v>
      </c>
      <c r="U9761" s="538">
        <v>162.01</v>
      </c>
      <c r="V9761" s="538">
        <v>81</v>
      </c>
    </row>
    <row r="9762" spans="1:22">
      <c r="A9762" s="499">
        <v>45828</v>
      </c>
      <c r="B9762" s="499">
        <v>45828</v>
      </c>
      <c r="C9762" s="500" t="s">
        <v>173</v>
      </c>
      <c r="D9762" s="500" t="s">
        <v>763</v>
      </c>
      <c r="E9762" s="501">
        <v>-1000120.71</v>
      </c>
      <c r="F9762" s="502" t="s">
        <v>878</v>
      </c>
      <c r="G9762" s="100">
        <v>117603731</v>
      </c>
      <c r="H9762" s="530"/>
      <c r="I9762" s="422" t="s">
        <v>1013</v>
      </c>
      <c r="J9762" s="484"/>
      <c r="K9762" s="548"/>
      <c r="L9762" s="548"/>
      <c r="M9762" s="548"/>
      <c r="N9762" s="552">
        <v>1966</v>
      </c>
      <c r="R9762" s="539">
        <v>508.70839999999998</v>
      </c>
      <c r="S9762" s="539">
        <v>509.357777212614</v>
      </c>
      <c r="T9762" s="538">
        <v>15.5311</v>
      </c>
      <c r="U9762" s="538">
        <v>39.32</v>
      </c>
      <c r="V9762" s="538">
        <v>39.32</v>
      </c>
    </row>
    <row r="9763" spans="1:22">
      <c r="A9763" s="499">
        <v>45828</v>
      </c>
      <c r="B9763" s="499">
        <v>45831</v>
      </c>
      <c r="C9763" s="500" t="s">
        <v>173</v>
      </c>
      <c r="D9763" s="500" t="s">
        <v>763</v>
      </c>
      <c r="E9763" s="501">
        <v>2002624560.49</v>
      </c>
      <c r="F9763" s="502" t="s">
        <v>878</v>
      </c>
      <c r="G9763" s="100">
        <v>117603686</v>
      </c>
      <c r="H9763" s="100">
        <v>117603686</v>
      </c>
      <c r="I9763" s="422" t="s">
        <v>1018</v>
      </c>
      <c r="J9763" s="484"/>
      <c r="K9763" s="548"/>
      <c r="L9763" s="548"/>
      <c r="M9763" s="548"/>
      <c r="N9763" s="552">
        <v>21098000</v>
      </c>
      <c r="R9763" s="539">
        <v>94.799099999999996</v>
      </c>
      <c r="S9763" s="539">
        <v>94.920113778083206</v>
      </c>
      <c r="T9763" s="538">
        <v>15.5311</v>
      </c>
      <c r="U9763" s="538">
        <v>9000.32</v>
      </c>
      <c r="V9763" s="538">
        <v>4500.16</v>
      </c>
    </row>
    <row r="9764" spans="1:22">
      <c r="A9764" s="499">
        <v>45828</v>
      </c>
      <c r="B9764" s="499">
        <v>45831</v>
      </c>
      <c r="C9764" s="500" t="s">
        <v>173</v>
      </c>
      <c r="D9764" s="500" t="s">
        <v>763</v>
      </c>
      <c r="E9764" s="501">
        <v>3891113582.5500002</v>
      </c>
      <c r="F9764" s="502" t="s">
        <v>878</v>
      </c>
      <c r="G9764" s="100">
        <v>117603689</v>
      </c>
      <c r="H9764" s="100">
        <v>117603689</v>
      </c>
      <c r="I9764" s="422" t="s">
        <v>686</v>
      </c>
      <c r="J9764" s="484"/>
      <c r="K9764" s="548"/>
      <c r="L9764" s="548"/>
      <c r="M9764" s="548"/>
      <c r="N9764" s="552">
        <v>4072528</v>
      </c>
      <c r="R9764" s="539">
        <v>954.23599999999999</v>
      </c>
      <c r="S9764" s="539">
        <v>955.454101862529</v>
      </c>
      <c r="T9764" s="538">
        <v>15.531000000000001</v>
      </c>
      <c r="U9764" s="538">
        <v>17487.689999999999</v>
      </c>
      <c r="V9764" s="538">
        <v>8743.84</v>
      </c>
    </row>
    <row r="9765" spans="1:22">
      <c r="A9765" s="499">
        <v>45828</v>
      </c>
      <c r="B9765" s="499">
        <v>45831</v>
      </c>
      <c r="C9765" s="500" t="s">
        <v>173</v>
      </c>
      <c r="D9765" s="500" t="s">
        <v>763</v>
      </c>
      <c r="E9765" s="501">
        <v>36047372.359999999</v>
      </c>
      <c r="F9765" s="502" t="s">
        <v>878</v>
      </c>
      <c r="G9765" s="100">
        <v>117603714</v>
      </c>
      <c r="H9765" s="100">
        <v>117603714</v>
      </c>
      <c r="I9765" s="422" t="s">
        <v>686</v>
      </c>
      <c r="J9765" s="484"/>
      <c r="K9765" s="548"/>
      <c r="L9765" s="548"/>
      <c r="M9765" s="548"/>
      <c r="N9765" s="552">
        <v>37728</v>
      </c>
      <c r="R9765" s="539">
        <v>954.23599999999999</v>
      </c>
      <c r="S9765" s="539">
        <v>955.45410199321395</v>
      </c>
      <c r="T9765" s="538">
        <v>15.531000000000001</v>
      </c>
      <c r="U9765" s="538">
        <v>162.01</v>
      </c>
      <c r="V9765" s="538">
        <v>81</v>
      </c>
    </row>
    <row r="9766" spans="1:22">
      <c r="A9766" s="499">
        <v>45828</v>
      </c>
      <c r="B9766" s="499">
        <v>45831</v>
      </c>
      <c r="C9766" s="500" t="s">
        <v>173</v>
      </c>
      <c r="D9766" s="500" t="s">
        <v>763</v>
      </c>
      <c r="E9766" s="501">
        <v>1001397.39</v>
      </c>
      <c r="F9766" s="502" t="s">
        <v>878</v>
      </c>
      <c r="G9766" s="100">
        <v>117603731</v>
      </c>
      <c r="H9766" s="100">
        <v>117603731</v>
      </c>
      <c r="I9766" s="422" t="s">
        <v>1013</v>
      </c>
      <c r="J9766" s="484"/>
      <c r="K9766" s="548"/>
      <c r="L9766" s="548"/>
      <c r="M9766" s="548"/>
      <c r="N9766" s="552">
        <v>1966</v>
      </c>
      <c r="R9766" s="539">
        <v>508.70839999999998</v>
      </c>
      <c r="S9766" s="539">
        <v>509.357777212614</v>
      </c>
      <c r="T9766" s="538">
        <v>15.5311</v>
      </c>
      <c r="U9766" s="538">
        <v>39.32</v>
      </c>
      <c r="V9766" s="538">
        <v>39.32</v>
      </c>
    </row>
    <row r="9767" spans="1:22">
      <c r="A9767" s="499">
        <v>45829</v>
      </c>
      <c r="B9767" s="499">
        <v>45841</v>
      </c>
      <c r="C9767" s="500" t="s">
        <v>173</v>
      </c>
      <c r="D9767" s="500" t="s">
        <v>763</v>
      </c>
      <c r="E9767" s="237">
        <v>985397000</v>
      </c>
      <c r="F9767" s="502" t="s">
        <v>2832</v>
      </c>
      <c r="G9767" s="282" t="s">
        <v>757</v>
      </c>
      <c r="H9767" s="530"/>
      <c r="I9767" s="422" t="s">
        <v>756</v>
      </c>
      <c r="J9767" s="282"/>
      <c r="K9767" s="548"/>
      <c r="L9767" s="548"/>
      <c r="M9767" s="548"/>
      <c r="N9767" s="552"/>
    </row>
    <row r="9768" spans="1:22">
      <c r="A9768" s="499">
        <v>45829</v>
      </c>
      <c r="B9768" s="499">
        <v>45841</v>
      </c>
      <c r="C9768" s="500" t="s">
        <v>173</v>
      </c>
      <c r="D9768" s="500" t="s">
        <v>763</v>
      </c>
      <c r="E9768" s="237">
        <v>69224139.25</v>
      </c>
      <c r="F9768" s="502" t="s">
        <v>381</v>
      </c>
      <c r="G9768" s="282" t="s">
        <v>757</v>
      </c>
      <c r="H9768" s="530"/>
      <c r="I9768" s="422" t="s">
        <v>756</v>
      </c>
      <c r="J9768" s="282"/>
      <c r="K9768" s="548"/>
      <c r="L9768" s="548"/>
      <c r="M9768" s="548"/>
      <c r="N9768" s="552"/>
    </row>
    <row r="9769" spans="1:22">
      <c r="A9769" s="499">
        <v>45831</v>
      </c>
      <c r="B9769" s="499">
        <v>45831</v>
      </c>
      <c r="C9769" s="500" t="s">
        <v>173</v>
      </c>
      <c r="D9769" s="500" t="s">
        <v>762</v>
      </c>
      <c r="E9769" s="501">
        <v>-2799195507.0599999</v>
      </c>
      <c r="F9769" s="502" t="s">
        <v>878</v>
      </c>
      <c r="G9769" s="100">
        <v>117623708</v>
      </c>
      <c r="H9769" s="530"/>
      <c r="I9769" s="422" t="s">
        <v>716</v>
      </c>
      <c r="J9769" s="484"/>
      <c r="K9769" s="548"/>
      <c r="L9769" s="548"/>
      <c r="M9769" s="548"/>
      <c r="N9769" s="552">
        <v>3788492</v>
      </c>
      <c r="R9769" s="558">
        <v>738.86800000000005</v>
      </c>
      <c r="S9769" s="558">
        <v>739.18277801299303</v>
      </c>
      <c r="T9769" s="538">
        <v>15.55</v>
      </c>
      <c r="U9769" s="538">
        <v>4198.79</v>
      </c>
      <c r="V9769" s="538">
        <v>2099.4</v>
      </c>
    </row>
    <row r="9770" spans="1:22">
      <c r="A9770" s="499">
        <v>45831</v>
      </c>
      <c r="B9770" s="499">
        <v>45831</v>
      </c>
      <c r="C9770" s="500" t="s">
        <v>173</v>
      </c>
      <c r="D9770" s="500" t="s">
        <v>762</v>
      </c>
      <c r="E9770" s="501">
        <v>-15006409.08</v>
      </c>
      <c r="F9770" s="502" t="s">
        <v>878</v>
      </c>
      <c r="G9770" s="100">
        <v>117623740</v>
      </c>
      <c r="H9770" s="530"/>
      <c r="I9770" s="422" t="s">
        <v>716</v>
      </c>
      <c r="J9770" s="484"/>
      <c r="K9770" s="548"/>
      <c r="L9770" s="548"/>
      <c r="M9770" s="548"/>
      <c r="N9770" s="552">
        <v>20310</v>
      </c>
      <c r="R9770" s="558">
        <v>738.86800000000005</v>
      </c>
      <c r="S9770" s="558">
        <v>739.18277794190101</v>
      </c>
      <c r="T9770" s="538">
        <v>15.55</v>
      </c>
      <c r="U9770" s="538">
        <v>39.32</v>
      </c>
      <c r="V9770" s="538">
        <v>11.25</v>
      </c>
    </row>
    <row r="9771" spans="1:22">
      <c r="A9771" s="499">
        <v>45831</v>
      </c>
      <c r="B9771" s="499">
        <v>45832</v>
      </c>
      <c r="C9771" s="500" t="s">
        <v>173</v>
      </c>
      <c r="D9771" s="500" t="s">
        <v>762</v>
      </c>
      <c r="E9771" s="501">
        <v>2800388041.04</v>
      </c>
      <c r="F9771" s="502" t="s">
        <v>878</v>
      </c>
      <c r="G9771" s="100">
        <v>117623708</v>
      </c>
      <c r="H9771" s="100">
        <v>117623708</v>
      </c>
      <c r="I9771" s="422" t="s">
        <v>716</v>
      </c>
      <c r="J9771" s="484"/>
      <c r="K9771" s="548"/>
      <c r="L9771" s="548"/>
      <c r="M9771" s="548"/>
      <c r="N9771" s="552">
        <v>3788492</v>
      </c>
      <c r="R9771" s="558">
        <v>738.86800000000005</v>
      </c>
      <c r="S9771" s="558">
        <v>739.18277801299303</v>
      </c>
      <c r="T9771" s="538">
        <v>15.55</v>
      </c>
      <c r="U9771" s="538">
        <v>4198.79</v>
      </c>
      <c r="V9771" s="538">
        <v>2099.4</v>
      </c>
    </row>
    <row r="9772" spans="1:22">
      <c r="A9772" s="499">
        <v>45831</v>
      </c>
      <c r="B9772" s="499">
        <v>45832</v>
      </c>
      <c r="C9772" s="500" t="s">
        <v>173</v>
      </c>
      <c r="D9772" s="500" t="s">
        <v>762</v>
      </c>
      <c r="E9772" s="501">
        <v>15012802.220000001</v>
      </c>
      <c r="F9772" s="502" t="s">
        <v>878</v>
      </c>
      <c r="G9772" s="100">
        <v>117623740</v>
      </c>
      <c r="H9772" s="100">
        <v>117623740</v>
      </c>
      <c r="I9772" s="422" t="s">
        <v>716</v>
      </c>
      <c r="J9772" s="484"/>
      <c r="K9772" s="548"/>
      <c r="L9772" s="548"/>
      <c r="M9772" s="548"/>
      <c r="N9772" s="552">
        <v>20310</v>
      </c>
      <c r="R9772" s="558">
        <v>738.86800000000005</v>
      </c>
      <c r="S9772" s="558">
        <v>739.18277794190101</v>
      </c>
      <c r="T9772" s="538">
        <v>15.55</v>
      </c>
      <c r="U9772" s="538">
        <v>39.32</v>
      </c>
      <c r="V9772" s="538">
        <v>11.25</v>
      </c>
    </row>
    <row r="9773" spans="1:22">
      <c r="A9773" s="499">
        <v>45831</v>
      </c>
      <c r="B9773" s="499">
        <v>45831</v>
      </c>
      <c r="C9773" s="500" t="s">
        <v>173</v>
      </c>
      <c r="D9773" s="500" t="s">
        <v>761</v>
      </c>
      <c r="E9773" s="501">
        <v>-1876215514.8800001</v>
      </c>
      <c r="F9773" s="502" t="s">
        <v>878</v>
      </c>
      <c r="G9773" s="100">
        <v>117622909</v>
      </c>
      <c r="H9773" s="530"/>
      <c r="I9773" s="422" t="s">
        <v>659</v>
      </c>
      <c r="J9773" s="484"/>
      <c r="K9773" s="548"/>
      <c r="L9773" s="548"/>
      <c r="M9773" s="548"/>
      <c r="N9773" s="552">
        <v>1763440</v>
      </c>
      <c r="R9773" s="539">
        <v>1063.952</v>
      </c>
      <c r="S9773" s="539">
        <v>1064.4067301694399</v>
      </c>
      <c r="T9773" s="538">
        <v>15.6</v>
      </c>
      <c r="U9773" s="538">
        <v>2814.32</v>
      </c>
      <c r="V9773" s="538">
        <v>1407.16</v>
      </c>
    </row>
    <row r="9774" spans="1:22">
      <c r="A9774" s="499">
        <v>45831</v>
      </c>
      <c r="B9774" s="499">
        <v>45831</v>
      </c>
      <c r="C9774" s="500" t="s">
        <v>173</v>
      </c>
      <c r="D9774" s="500" t="s">
        <v>761</v>
      </c>
      <c r="E9774" s="501">
        <v>-11007660.33</v>
      </c>
      <c r="F9774" s="502" t="s">
        <v>878</v>
      </c>
      <c r="G9774" s="100">
        <v>117623293</v>
      </c>
      <c r="H9774" s="530"/>
      <c r="I9774" s="422" t="s">
        <v>682</v>
      </c>
      <c r="J9774" s="484"/>
      <c r="K9774" s="548"/>
      <c r="L9774" s="548"/>
      <c r="M9774" s="548"/>
      <c r="N9774" s="552">
        <v>11231</v>
      </c>
      <c r="R9774" s="539">
        <v>980.11399964384293</v>
      </c>
      <c r="S9774" s="539">
        <v>980.53155818716004</v>
      </c>
      <c r="T9774" s="538">
        <v>15.5501</v>
      </c>
      <c r="U9774" s="538">
        <v>39.32</v>
      </c>
      <c r="V9774" s="538">
        <v>8.26</v>
      </c>
    </row>
    <row r="9775" spans="1:22">
      <c r="A9775" s="499">
        <v>45831</v>
      </c>
      <c r="B9775" s="499">
        <v>45832</v>
      </c>
      <c r="C9775" s="500" t="s">
        <v>173</v>
      </c>
      <c r="D9775" s="500" t="s">
        <v>761</v>
      </c>
      <c r="E9775" s="501">
        <v>1877017404.25</v>
      </c>
      <c r="F9775" s="502" t="s">
        <v>878</v>
      </c>
      <c r="G9775" s="100">
        <v>117622909</v>
      </c>
      <c r="H9775" s="100">
        <v>117622909</v>
      </c>
      <c r="I9775" s="422" t="s">
        <v>659</v>
      </c>
      <c r="J9775" s="484"/>
      <c r="K9775" s="548"/>
      <c r="L9775" s="548"/>
      <c r="M9775" s="548"/>
      <c r="N9775" s="552">
        <v>1763440</v>
      </c>
      <c r="R9775" s="539">
        <v>1063.952</v>
      </c>
      <c r="S9775" s="539">
        <v>1064.4067301694399</v>
      </c>
      <c r="T9775" s="538">
        <v>15.6</v>
      </c>
      <c r="U9775" s="538">
        <v>2814.32</v>
      </c>
      <c r="V9775" s="538">
        <v>1407.16</v>
      </c>
    </row>
    <row r="9776" spans="1:22">
      <c r="A9776" s="499">
        <v>45831</v>
      </c>
      <c r="B9776" s="499">
        <v>45832</v>
      </c>
      <c r="C9776" s="500" t="s">
        <v>173</v>
      </c>
      <c r="D9776" s="500" t="s">
        <v>761</v>
      </c>
      <c r="E9776" s="501">
        <v>11012349.93</v>
      </c>
      <c r="F9776" s="502" t="s">
        <v>878</v>
      </c>
      <c r="G9776" s="100">
        <v>117623293</v>
      </c>
      <c r="H9776" s="100">
        <v>117623293</v>
      </c>
      <c r="I9776" s="422" t="s">
        <v>682</v>
      </c>
      <c r="J9776" s="484"/>
      <c r="K9776" s="548"/>
      <c r="L9776" s="548"/>
      <c r="M9776" s="548"/>
      <c r="N9776" s="552">
        <v>11231</v>
      </c>
      <c r="R9776" s="539">
        <v>980.11399964384293</v>
      </c>
      <c r="S9776" s="539">
        <v>980.53155818716004</v>
      </c>
      <c r="T9776" s="538">
        <v>15.5501</v>
      </c>
      <c r="U9776" s="538">
        <v>39.32</v>
      </c>
      <c r="V9776" s="538">
        <v>8.26</v>
      </c>
    </row>
    <row r="9777" spans="1:22">
      <c r="A9777" s="499">
        <v>45831</v>
      </c>
      <c r="B9777" s="499">
        <v>45831</v>
      </c>
      <c r="C9777" s="500" t="s">
        <v>173</v>
      </c>
      <c r="D9777" s="500" t="s">
        <v>759</v>
      </c>
      <c r="E9777" s="501">
        <v>-539019505.22000003</v>
      </c>
      <c r="F9777" s="502" t="s">
        <v>878</v>
      </c>
      <c r="G9777" s="100">
        <v>117626192</v>
      </c>
      <c r="H9777" s="530"/>
      <c r="I9777" s="422" t="s">
        <v>1013</v>
      </c>
      <c r="J9777" s="484"/>
      <c r="K9777" s="548"/>
      <c r="L9777" s="548"/>
      <c r="M9777" s="548"/>
      <c r="N9777" s="552">
        <v>1050511</v>
      </c>
      <c r="R9777" s="539">
        <v>513.10219999600201</v>
      </c>
      <c r="S9777" s="539">
        <v>513.32037386567094</v>
      </c>
      <c r="T9777" s="538">
        <v>15.52</v>
      </c>
      <c r="U9777" s="538">
        <v>808.53</v>
      </c>
      <c r="V9777" s="538">
        <v>404.26</v>
      </c>
    </row>
    <row r="9778" spans="1:22">
      <c r="A9778" s="499">
        <v>45831</v>
      </c>
      <c r="B9778" s="499">
        <v>45831</v>
      </c>
      <c r="C9778" s="500" t="s">
        <v>173</v>
      </c>
      <c r="D9778" s="500" t="s">
        <v>759</v>
      </c>
      <c r="E9778" s="501">
        <v>-633270973.5</v>
      </c>
      <c r="F9778" s="502" t="s">
        <v>878</v>
      </c>
      <c r="G9778" s="100">
        <v>117626203</v>
      </c>
      <c r="H9778" s="530"/>
      <c r="I9778" s="422" t="s">
        <v>633</v>
      </c>
      <c r="J9778" s="484"/>
      <c r="K9778" s="548"/>
      <c r="L9778" s="548"/>
      <c r="M9778" s="548"/>
      <c r="N9778" s="552">
        <v>1189407</v>
      </c>
      <c r="R9778" s="539">
        <v>532.42579999949555</v>
      </c>
      <c r="S9778" s="539">
        <v>532.65219036881399</v>
      </c>
      <c r="T9778" s="538">
        <v>15.52</v>
      </c>
      <c r="U9778" s="538">
        <v>949.91</v>
      </c>
      <c r="V9778" s="538">
        <v>474.95</v>
      </c>
    </row>
    <row r="9779" spans="1:22">
      <c r="A9779" s="499">
        <v>45831</v>
      </c>
      <c r="B9779" s="499">
        <v>45831</v>
      </c>
      <c r="C9779" s="500" t="s">
        <v>173</v>
      </c>
      <c r="D9779" s="500" t="s">
        <v>759</v>
      </c>
      <c r="E9779" s="501">
        <v>-346049506.50999999</v>
      </c>
      <c r="F9779" s="502" t="s">
        <v>878</v>
      </c>
      <c r="G9779" s="100">
        <v>117626206</v>
      </c>
      <c r="H9779" s="530"/>
      <c r="I9779" s="422" t="s">
        <v>833</v>
      </c>
      <c r="J9779" s="484"/>
      <c r="K9779" s="548"/>
      <c r="L9779" s="548"/>
      <c r="M9779" s="548"/>
      <c r="N9779" s="552">
        <v>578512</v>
      </c>
      <c r="R9779" s="539">
        <v>598.17169999930854</v>
      </c>
      <c r="S9779" s="539">
        <v>598.42604589014604</v>
      </c>
      <c r="T9779" s="538">
        <v>15.52</v>
      </c>
      <c r="U9779" s="538">
        <v>519.07000000000005</v>
      </c>
      <c r="V9779" s="538">
        <v>259.54000000000002</v>
      </c>
    </row>
    <row r="9780" spans="1:22">
      <c r="A9780" s="499">
        <v>45831</v>
      </c>
      <c r="B9780" s="499">
        <v>45831</v>
      </c>
      <c r="C9780" s="500" t="s">
        <v>173</v>
      </c>
      <c r="D9780" s="500" t="s">
        <v>759</v>
      </c>
      <c r="E9780" s="501">
        <v>-482175346.19999999</v>
      </c>
      <c r="F9780" s="502" t="s">
        <v>878</v>
      </c>
      <c r="G9780" s="100">
        <v>117626213</v>
      </c>
      <c r="H9780" s="530"/>
      <c r="I9780" s="422" t="s">
        <v>631</v>
      </c>
      <c r="J9780" s="484"/>
      <c r="K9780" s="548"/>
      <c r="L9780" s="548"/>
      <c r="M9780" s="548"/>
      <c r="N9780" s="552">
        <v>1010272</v>
      </c>
      <c r="R9780" s="539">
        <v>477.27279999841625</v>
      </c>
      <c r="S9780" s="539">
        <v>477.47573900890097</v>
      </c>
      <c r="T9780" s="538">
        <v>15.52</v>
      </c>
      <c r="U9780" s="538">
        <v>723.26</v>
      </c>
      <c r="V9780" s="538">
        <v>361.63</v>
      </c>
    </row>
    <row r="9781" spans="1:22">
      <c r="A9781" s="499">
        <v>45831</v>
      </c>
      <c r="B9781" s="499">
        <v>45831</v>
      </c>
      <c r="C9781" s="500" t="s">
        <v>173</v>
      </c>
      <c r="D9781" s="500" t="s">
        <v>759</v>
      </c>
      <c r="E9781" s="501">
        <v>-2289437494.2800002</v>
      </c>
      <c r="F9781" s="502" t="s">
        <v>878</v>
      </c>
      <c r="G9781" s="100">
        <v>117626285</v>
      </c>
      <c r="H9781" s="530"/>
      <c r="I9781" s="422" t="s">
        <v>592</v>
      </c>
      <c r="J9781" s="484"/>
      <c r="K9781" s="548"/>
      <c r="L9781" s="548"/>
      <c r="M9781" s="548"/>
      <c r="N9781" s="552">
        <v>2877273</v>
      </c>
      <c r="R9781" s="539">
        <v>795.69699999965258</v>
      </c>
      <c r="S9781" s="539">
        <v>800.830880642887</v>
      </c>
      <c r="T9781" s="538">
        <v>15.7</v>
      </c>
      <c r="U9781" s="538">
        <v>51512.34</v>
      </c>
      <c r="V9781" s="538">
        <v>25756.17</v>
      </c>
    </row>
    <row r="9782" spans="1:22">
      <c r="A9782" s="499">
        <v>45831</v>
      </c>
      <c r="B9782" s="499">
        <v>45831</v>
      </c>
      <c r="C9782" s="500" t="s">
        <v>173</v>
      </c>
      <c r="D9782" s="500" t="s">
        <v>759</v>
      </c>
      <c r="E9782" s="501">
        <v>-1010320355.84</v>
      </c>
      <c r="F9782" s="502" t="s">
        <v>878</v>
      </c>
      <c r="G9782" s="100">
        <v>117626297</v>
      </c>
      <c r="H9782" s="530"/>
      <c r="I9782" s="422" t="s">
        <v>821</v>
      </c>
      <c r="J9782" s="484"/>
      <c r="K9782" s="548"/>
      <c r="L9782" s="548"/>
      <c r="M9782" s="548"/>
      <c r="N9782" s="552">
        <v>937280</v>
      </c>
      <c r="R9782" s="539">
        <v>1077.9280000000001</v>
      </c>
      <c r="S9782" s="539">
        <v>1084.8828505249201</v>
      </c>
      <c r="T9782" s="538">
        <v>15.7</v>
      </c>
      <c r="U9782" s="538">
        <v>22732.21</v>
      </c>
      <c r="V9782" s="538">
        <v>11366.1</v>
      </c>
    </row>
    <row r="9783" spans="1:22">
      <c r="A9783" s="499">
        <v>45831</v>
      </c>
      <c r="B9783" s="499">
        <v>45831</v>
      </c>
      <c r="C9783" s="500" t="s">
        <v>173</v>
      </c>
      <c r="D9783" s="500" t="s">
        <v>759</v>
      </c>
      <c r="E9783" s="501">
        <v>-3843257760</v>
      </c>
      <c r="F9783" s="502" t="s">
        <v>878</v>
      </c>
      <c r="G9783" s="100">
        <v>117626328</v>
      </c>
      <c r="H9783" s="530"/>
      <c r="I9783" s="422" t="s">
        <v>600</v>
      </c>
      <c r="J9783" s="484"/>
      <c r="K9783" s="548"/>
      <c r="L9783" s="548"/>
      <c r="M9783" s="548"/>
      <c r="N9783" s="552">
        <v>4320000</v>
      </c>
      <c r="R9783" s="539">
        <v>889.64300000000003</v>
      </c>
      <c r="S9783" s="539">
        <v>892.30461686574097</v>
      </c>
      <c r="T9783" s="538">
        <v>15.6</v>
      </c>
      <c r="U9783" s="538">
        <v>40354.21</v>
      </c>
      <c r="V9783" s="538">
        <v>20177.099999999999</v>
      </c>
    </row>
    <row r="9784" spans="1:22">
      <c r="A9784" s="499">
        <v>45831</v>
      </c>
      <c r="B9784" s="499">
        <v>45831</v>
      </c>
      <c r="C9784" s="500" t="s">
        <v>173</v>
      </c>
      <c r="D9784" s="500" t="s">
        <v>759</v>
      </c>
      <c r="E9784" s="501">
        <v>-701529985.44000006</v>
      </c>
      <c r="F9784" s="502" t="s">
        <v>878</v>
      </c>
      <c r="G9784" s="100">
        <v>117626497</v>
      </c>
      <c r="H9784" s="530"/>
      <c r="I9784" s="422" t="s">
        <v>678</v>
      </c>
      <c r="J9784" s="484"/>
      <c r="K9784" s="548"/>
      <c r="L9784" s="548"/>
      <c r="M9784" s="548"/>
      <c r="N9784" s="552">
        <v>719927</v>
      </c>
      <c r="R9784" s="539">
        <v>974.44599999722197</v>
      </c>
      <c r="S9784" s="539">
        <v>980.73317898898097</v>
      </c>
      <c r="T9784" s="538">
        <v>15.7</v>
      </c>
      <c r="U9784" s="538">
        <v>15784.42</v>
      </c>
      <c r="V9784" s="538">
        <v>7892.21</v>
      </c>
    </row>
    <row r="9785" spans="1:22">
      <c r="A9785" s="499">
        <v>45831</v>
      </c>
      <c r="B9785" s="499">
        <v>45831</v>
      </c>
      <c r="C9785" s="500" t="s">
        <v>173</v>
      </c>
      <c r="D9785" s="500" t="s">
        <v>759</v>
      </c>
      <c r="E9785" s="501">
        <v>-46001664.640000001</v>
      </c>
      <c r="F9785" s="502" t="s">
        <v>878</v>
      </c>
      <c r="G9785" s="100">
        <v>117627407</v>
      </c>
      <c r="H9785" s="530"/>
      <c r="I9785" s="422" t="s">
        <v>1013</v>
      </c>
      <c r="J9785" s="484"/>
      <c r="K9785" s="548"/>
      <c r="L9785" s="548"/>
      <c r="M9785" s="548"/>
      <c r="N9785" s="552">
        <v>89654</v>
      </c>
      <c r="R9785" s="539">
        <v>513.10220001338485</v>
      </c>
      <c r="S9785" s="539">
        <v>513.32009413969297</v>
      </c>
      <c r="T9785" s="538">
        <v>15.5001</v>
      </c>
      <c r="U9785" s="538">
        <v>69</v>
      </c>
      <c r="V9785" s="538">
        <v>34.5</v>
      </c>
    </row>
    <row r="9786" spans="1:22">
      <c r="A9786" s="499">
        <v>45831</v>
      </c>
      <c r="B9786" s="499">
        <v>45832</v>
      </c>
      <c r="C9786" s="500" t="s">
        <v>173</v>
      </c>
      <c r="D9786" s="500" t="s">
        <v>759</v>
      </c>
      <c r="E9786" s="501">
        <v>539248699.26999998</v>
      </c>
      <c r="F9786" s="502" t="s">
        <v>878</v>
      </c>
      <c r="G9786" s="100">
        <v>117626192</v>
      </c>
      <c r="H9786" s="484">
        <v>117626192</v>
      </c>
      <c r="I9786" s="422" t="s">
        <v>1013</v>
      </c>
      <c r="J9786" s="484"/>
      <c r="K9786" s="548"/>
      <c r="L9786" s="548"/>
      <c r="M9786" s="548"/>
      <c r="N9786" s="552">
        <v>1050511</v>
      </c>
      <c r="R9786" s="539">
        <v>513.10219999600201</v>
      </c>
      <c r="S9786" s="539">
        <v>513.32037386567094</v>
      </c>
      <c r="T9786" s="538">
        <v>15.52</v>
      </c>
      <c r="U9786" s="538">
        <v>808.53</v>
      </c>
      <c r="V9786" s="538">
        <v>404.26</v>
      </c>
    </row>
    <row r="9787" spans="1:22">
      <c r="A9787" s="499">
        <v>45831</v>
      </c>
      <c r="B9787" s="499">
        <v>45832</v>
      </c>
      <c r="C9787" s="500" t="s">
        <v>173</v>
      </c>
      <c r="D9787" s="500" t="s">
        <v>759</v>
      </c>
      <c r="E9787" s="501">
        <v>633540243.78999996</v>
      </c>
      <c r="F9787" s="502" t="s">
        <v>878</v>
      </c>
      <c r="G9787" s="100">
        <v>117626203</v>
      </c>
      <c r="H9787" s="484">
        <v>117626203</v>
      </c>
      <c r="I9787" s="422" t="s">
        <v>633</v>
      </c>
      <c r="J9787" s="484"/>
      <c r="K9787" s="548"/>
      <c r="L9787" s="548"/>
      <c r="M9787" s="548"/>
      <c r="N9787" s="552">
        <v>1189407</v>
      </c>
      <c r="R9787" s="539">
        <v>532.42579999949555</v>
      </c>
      <c r="S9787" s="539">
        <v>532.65219036881399</v>
      </c>
      <c r="T9787" s="538">
        <v>15.52</v>
      </c>
      <c r="U9787" s="538">
        <v>949.91</v>
      </c>
      <c r="V9787" s="538">
        <v>474.95</v>
      </c>
    </row>
    <row r="9788" spans="1:22">
      <c r="A9788" s="499">
        <v>45831</v>
      </c>
      <c r="B9788" s="499">
        <v>45832</v>
      </c>
      <c r="C9788" s="500" t="s">
        <v>173</v>
      </c>
      <c r="D9788" s="500" t="s">
        <v>759</v>
      </c>
      <c r="E9788" s="501">
        <v>346196648.66000003</v>
      </c>
      <c r="F9788" s="502" t="s">
        <v>878</v>
      </c>
      <c r="G9788" s="100">
        <v>117626206</v>
      </c>
      <c r="H9788" s="484">
        <v>117626206</v>
      </c>
      <c r="I9788" s="422" t="s">
        <v>833</v>
      </c>
      <c r="J9788" s="484"/>
      <c r="K9788" s="548"/>
      <c r="L9788" s="548"/>
      <c r="M9788" s="548"/>
      <c r="N9788" s="552">
        <v>578512</v>
      </c>
      <c r="R9788" s="539">
        <v>598.17169999930854</v>
      </c>
      <c r="S9788" s="539">
        <v>598.42604589014604</v>
      </c>
      <c r="T9788" s="538">
        <v>15.52</v>
      </c>
      <c r="U9788" s="538">
        <v>519.07000000000005</v>
      </c>
      <c r="V9788" s="538">
        <v>259.54000000000002</v>
      </c>
    </row>
    <row r="9789" spans="1:22">
      <c r="A9789" s="499">
        <v>45831</v>
      </c>
      <c r="B9789" s="499">
        <v>45832</v>
      </c>
      <c r="C9789" s="500" t="s">
        <v>173</v>
      </c>
      <c r="D9789" s="500" t="s">
        <v>759</v>
      </c>
      <c r="E9789" s="501">
        <v>482380369.80000001</v>
      </c>
      <c r="F9789" s="502" t="s">
        <v>878</v>
      </c>
      <c r="G9789" s="100">
        <v>117626213</v>
      </c>
      <c r="H9789" s="484">
        <v>117626213</v>
      </c>
      <c r="I9789" s="422" t="s">
        <v>631</v>
      </c>
      <c r="J9789" s="484"/>
      <c r="K9789" s="548"/>
      <c r="L9789" s="548"/>
      <c r="M9789" s="548"/>
      <c r="N9789" s="552">
        <v>1010272</v>
      </c>
      <c r="R9789" s="539">
        <v>477.27279999841625</v>
      </c>
      <c r="S9789" s="539">
        <v>477.47573900890097</v>
      </c>
      <c r="T9789" s="538">
        <v>15.52</v>
      </c>
      <c r="U9789" s="538">
        <v>723.26</v>
      </c>
      <c r="V9789" s="538">
        <v>361.63</v>
      </c>
    </row>
    <row r="9790" spans="1:22">
      <c r="A9790" s="499">
        <v>45831</v>
      </c>
      <c r="B9790" s="499">
        <v>45846</v>
      </c>
      <c r="C9790" s="500" t="s">
        <v>173</v>
      </c>
      <c r="D9790" s="500" t="s">
        <v>759</v>
      </c>
      <c r="E9790" s="501">
        <v>2304209070.4400001</v>
      </c>
      <c r="F9790" s="502" t="s">
        <v>878</v>
      </c>
      <c r="G9790" s="100">
        <v>117626285</v>
      </c>
      <c r="H9790" s="484">
        <v>117626285</v>
      </c>
      <c r="I9790" s="422" t="s">
        <v>592</v>
      </c>
      <c r="J9790" s="484"/>
      <c r="K9790" s="548"/>
      <c r="L9790" s="548"/>
      <c r="M9790" s="548"/>
      <c r="N9790" s="552">
        <v>2877273</v>
      </c>
      <c r="R9790" s="539">
        <v>795.69699999965258</v>
      </c>
      <c r="S9790" s="539">
        <v>800.830880642887</v>
      </c>
      <c r="T9790" s="538">
        <v>15.7</v>
      </c>
      <c r="U9790" s="538">
        <v>51512.34</v>
      </c>
      <c r="V9790" s="538">
        <v>25756.17</v>
      </c>
    </row>
    <row r="9791" spans="1:22">
      <c r="A9791" s="499">
        <v>45831</v>
      </c>
      <c r="B9791" s="499">
        <v>45846</v>
      </c>
      <c r="C9791" s="500" t="s">
        <v>173</v>
      </c>
      <c r="D9791" s="500" t="s">
        <v>759</v>
      </c>
      <c r="E9791" s="501">
        <v>1016838998.14</v>
      </c>
      <c r="F9791" s="502" t="s">
        <v>878</v>
      </c>
      <c r="G9791" s="100">
        <v>117626297</v>
      </c>
      <c r="H9791" s="484">
        <v>117626297</v>
      </c>
      <c r="I9791" s="422" t="s">
        <v>821</v>
      </c>
      <c r="J9791" s="484"/>
      <c r="K9791" s="548"/>
      <c r="L9791" s="548"/>
      <c r="M9791" s="548"/>
      <c r="N9791" s="552">
        <v>937280</v>
      </c>
      <c r="R9791" s="539">
        <v>1077.9280000000001</v>
      </c>
      <c r="S9791" s="539">
        <v>1084.8828505249201</v>
      </c>
      <c r="T9791" s="538">
        <v>15.7</v>
      </c>
      <c r="U9791" s="538">
        <v>22732.21</v>
      </c>
      <c r="V9791" s="538">
        <v>11366.1</v>
      </c>
    </row>
    <row r="9792" spans="1:22">
      <c r="A9792" s="499">
        <v>45831</v>
      </c>
      <c r="B9792" s="499">
        <v>45838</v>
      </c>
      <c r="C9792" s="500" t="s">
        <v>173</v>
      </c>
      <c r="D9792" s="500" t="s">
        <v>759</v>
      </c>
      <c r="E9792" s="501">
        <v>3854755944.8600001</v>
      </c>
      <c r="F9792" s="502" t="s">
        <v>878</v>
      </c>
      <c r="G9792" s="100">
        <v>117626328</v>
      </c>
      <c r="H9792" s="484">
        <v>117626328</v>
      </c>
      <c r="I9792" s="422" t="s">
        <v>600</v>
      </c>
      <c r="J9792" s="484"/>
      <c r="K9792" s="548"/>
      <c r="L9792" s="548"/>
      <c r="M9792" s="548"/>
      <c r="N9792" s="552">
        <v>4320000</v>
      </c>
      <c r="R9792" s="539">
        <v>889.64300000000003</v>
      </c>
      <c r="S9792" s="539">
        <v>892.30461686574097</v>
      </c>
      <c r="T9792" s="538">
        <v>15.6</v>
      </c>
      <c r="U9792" s="538">
        <v>40354.21</v>
      </c>
      <c r="V9792" s="538">
        <v>20177.099999999999</v>
      </c>
    </row>
    <row r="9793" spans="1:22">
      <c r="A9793" s="499">
        <v>45831</v>
      </c>
      <c r="B9793" s="499">
        <v>45846</v>
      </c>
      <c r="C9793" s="500" t="s">
        <v>173</v>
      </c>
      <c r="D9793" s="500" t="s">
        <v>759</v>
      </c>
      <c r="E9793" s="501">
        <v>706056295.35000002</v>
      </c>
      <c r="F9793" s="502" t="s">
        <v>878</v>
      </c>
      <c r="G9793" s="100">
        <v>117626497</v>
      </c>
      <c r="H9793" s="484">
        <v>117626497</v>
      </c>
      <c r="I9793" s="422" t="s">
        <v>678</v>
      </c>
      <c r="J9793" s="484"/>
      <c r="K9793" s="548"/>
      <c r="L9793" s="548"/>
      <c r="M9793" s="548"/>
      <c r="N9793" s="552">
        <v>719927</v>
      </c>
      <c r="R9793" s="539">
        <v>974.44599999722197</v>
      </c>
      <c r="S9793" s="539">
        <v>980.73317898898097</v>
      </c>
      <c r="T9793" s="538">
        <v>15.7</v>
      </c>
      <c r="U9793" s="538">
        <v>15784.42</v>
      </c>
      <c r="V9793" s="538">
        <v>7892.21</v>
      </c>
    </row>
    <row r="9794" spans="1:22">
      <c r="A9794" s="499">
        <v>45831</v>
      </c>
      <c r="B9794" s="499">
        <v>45832</v>
      </c>
      <c r="C9794" s="500" t="s">
        <v>173</v>
      </c>
      <c r="D9794" s="500" t="s">
        <v>759</v>
      </c>
      <c r="E9794" s="501">
        <v>46021199.719999999</v>
      </c>
      <c r="F9794" s="502" t="s">
        <v>878</v>
      </c>
      <c r="G9794" s="100">
        <v>117627407</v>
      </c>
      <c r="H9794" s="484">
        <v>117627407</v>
      </c>
      <c r="I9794" s="422" t="s">
        <v>1013</v>
      </c>
      <c r="J9794" s="484"/>
      <c r="K9794" s="548"/>
      <c r="L9794" s="548"/>
      <c r="M9794" s="548"/>
      <c r="N9794" s="552">
        <v>89654</v>
      </c>
      <c r="R9794" s="539">
        <v>513.10220001338485</v>
      </c>
      <c r="S9794" s="539">
        <v>513.32009413969297</v>
      </c>
      <c r="T9794" s="538">
        <v>15.5001</v>
      </c>
      <c r="U9794" s="538">
        <v>69</v>
      </c>
      <c r="V9794" s="538">
        <v>34.5</v>
      </c>
    </row>
    <row r="9795" spans="1:22">
      <c r="A9795" s="499">
        <v>45831</v>
      </c>
      <c r="B9795" s="499">
        <v>45831</v>
      </c>
      <c r="C9795" s="500" t="s">
        <v>173</v>
      </c>
      <c r="D9795" s="500" t="s">
        <v>764</v>
      </c>
      <c r="E9795" s="501">
        <v>-4759762482.1499996</v>
      </c>
      <c r="F9795" s="502" t="s">
        <v>878</v>
      </c>
      <c r="G9795" s="100">
        <v>117623873</v>
      </c>
      <c r="H9795" s="530"/>
      <c r="I9795" s="422" t="s">
        <v>1047</v>
      </c>
      <c r="J9795" s="484"/>
      <c r="K9795" s="548"/>
      <c r="L9795" s="548"/>
      <c r="M9795" s="548"/>
      <c r="N9795" s="552">
        <v>4420182</v>
      </c>
      <c r="R9795" s="539">
        <v>1076.8249999999998</v>
      </c>
      <c r="S9795" s="539">
        <v>1080.04868952681</v>
      </c>
      <c r="T9795" s="538">
        <v>15.61</v>
      </c>
      <c r="U9795" s="538">
        <v>49977.51</v>
      </c>
      <c r="V9795" s="538">
        <v>24988.75</v>
      </c>
    </row>
    <row r="9796" spans="1:22">
      <c r="A9796" s="499">
        <v>45831</v>
      </c>
      <c r="B9796" s="499">
        <v>45831</v>
      </c>
      <c r="C9796" s="500" t="s">
        <v>173</v>
      </c>
      <c r="D9796" s="500" t="s">
        <v>764</v>
      </c>
      <c r="E9796" s="501">
        <v>-27018802.640000001</v>
      </c>
      <c r="F9796" s="502" t="s">
        <v>878</v>
      </c>
      <c r="G9796" s="100">
        <v>117623985</v>
      </c>
      <c r="H9796" s="530"/>
      <c r="I9796" s="422" t="s">
        <v>682</v>
      </c>
      <c r="J9796" s="484"/>
      <c r="K9796" s="548"/>
      <c r="L9796" s="548"/>
      <c r="M9796" s="548"/>
      <c r="N9796" s="552">
        <v>27567</v>
      </c>
      <c r="R9796" s="539">
        <v>980.11400007255054</v>
      </c>
      <c r="S9796" s="539">
        <v>983.05380491167</v>
      </c>
      <c r="T9796" s="538">
        <v>15.64</v>
      </c>
      <c r="U9796" s="538">
        <v>283.7</v>
      </c>
      <c r="V9796" s="538">
        <v>141.85</v>
      </c>
    </row>
    <row r="9797" spans="1:22">
      <c r="A9797" s="499">
        <v>45831</v>
      </c>
      <c r="B9797" s="499">
        <v>45838</v>
      </c>
      <c r="C9797" s="500" t="s">
        <v>173</v>
      </c>
      <c r="D9797" s="500" t="s">
        <v>764</v>
      </c>
      <c r="E9797" s="501">
        <v>4774011776.5699997</v>
      </c>
      <c r="F9797" s="502" t="s">
        <v>878</v>
      </c>
      <c r="G9797" s="100">
        <v>117623873</v>
      </c>
      <c r="H9797" s="100">
        <v>117623873</v>
      </c>
      <c r="I9797" s="422" t="s">
        <v>1047</v>
      </c>
      <c r="J9797" s="484"/>
      <c r="K9797" s="548"/>
      <c r="L9797" s="548"/>
      <c r="M9797" s="548"/>
      <c r="N9797" s="552">
        <v>4420182</v>
      </c>
      <c r="R9797" s="539">
        <v>1076.8249999999998</v>
      </c>
      <c r="S9797" s="539">
        <v>1080.04868952681</v>
      </c>
      <c r="T9797" s="538">
        <v>15.61</v>
      </c>
      <c r="U9797" s="538">
        <v>49977.51</v>
      </c>
      <c r="V9797" s="538">
        <v>24988.75</v>
      </c>
    </row>
    <row r="9798" spans="1:22">
      <c r="A9798" s="499">
        <v>45831</v>
      </c>
      <c r="B9798" s="499">
        <v>45838</v>
      </c>
      <c r="C9798" s="500" t="s">
        <v>173</v>
      </c>
      <c r="D9798" s="500" t="s">
        <v>764</v>
      </c>
      <c r="E9798" s="501">
        <v>27099844.239999998</v>
      </c>
      <c r="F9798" s="502" t="s">
        <v>878</v>
      </c>
      <c r="G9798" s="100">
        <v>117623985</v>
      </c>
      <c r="H9798" s="100">
        <v>117623985</v>
      </c>
      <c r="I9798" s="422" t="s">
        <v>682</v>
      </c>
      <c r="J9798" s="484"/>
      <c r="K9798" s="548"/>
      <c r="L9798" s="548"/>
      <c r="M9798" s="548"/>
      <c r="N9798" s="552">
        <v>27567</v>
      </c>
      <c r="R9798" s="539">
        <v>980.11400007255054</v>
      </c>
      <c r="S9798" s="539">
        <v>983.05380491167</v>
      </c>
      <c r="T9798" s="538">
        <v>15.64</v>
      </c>
      <c r="U9798" s="538">
        <v>283.7</v>
      </c>
      <c r="V9798" s="538">
        <v>141.85</v>
      </c>
    </row>
    <row r="9799" spans="1:22">
      <c r="A9799" s="499">
        <v>45831</v>
      </c>
      <c r="B9799" s="499">
        <v>45831</v>
      </c>
      <c r="C9799" s="500" t="s">
        <v>173</v>
      </c>
      <c r="D9799" s="500" t="s">
        <v>763</v>
      </c>
      <c r="E9799" s="501">
        <v>-5896278448.6499996</v>
      </c>
      <c r="F9799" s="502" t="s">
        <v>878</v>
      </c>
      <c r="G9799" s="100">
        <v>117627602</v>
      </c>
      <c r="H9799" s="530"/>
      <c r="I9799" s="422" t="s">
        <v>719</v>
      </c>
      <c r="J9799" s="484"/>
      <c r="K9799" s="548"/>
      <c r="L9799" s="548"/>
      <c r="M9799" s="548"/>
      <c r="N9799" s="552">
        <v>8140995</v>
      </c>
      <c r="R9799" s="539">
        <v>724.27</v>
      </c>
      <c r="S9799" s="539">
        <v>724.57756671266895</v>
      </c>
      <c r="T9799" s="538">
        <v>15.5</v>
      </c>
      <c r="U9799" s="538">
        <v>8844.42</v>
      </c>
      <c r="V9799" s="538">
        <v>4422.21</v>
      </c>
    </row>
    <row r="9800" spans="1:22">
      <c r="A9800" s="499">
        <v>45831</v>
      </c>
      <c r="B9800" s="499">
        <v>45831</v>
      </c>
      <c r="C9800" s="500" t="s">
        <v>173</v>
      </c>
      <c r="D9800" s="500" t="s">
        <v>763</v>
      </c>
      <c r="E9800" s="501">
        <v>-34007373.579999998</v>
      </c>
      <c r="F9800" s="502" t="s">
        <v>878</v>
      </c>
      <c r="G9800" s="100">
        <v>117627627</v>
      </c>
      <c r="H9800" s="530"/>
      <c r="I9800" s="422" t="s">
        <v>719</v>
      </c>
      <c r="J9800" s="484"/>
      <c r="K9800" s="548"/>
      <c r="L9800" s="548"/>
      <c r="M9800" s="548"/>
      <c r="N9800" s="552">
        <v>46954</v>
      </c>
      <c r="R9800" s="539">
        <v>724.27</v>
      </c>
      <c r="S9800" s="539">
        <v>724.57756676747499</v>
      </c>
      <c r="T9800" s="538">
        <v>15.5</v>
      </c>
      <c r="U9800" s="538">
        <v>51.01</v>
      </c>
      <c r="V9800" s="538">
        <v>39.32</v>
      </c>
    </row>
    <row r="9801" spans="1:22">
      <c r="A9801" s="499">
        <v>45831</v>
      </c>
      <c r="B9801" s="499">
        <v>45832</v>
      </c>
      <c r="C9801" s="500" t="s">
        <v>173</v>
      </c>
      <c r="D9801" s="500" t="s">
        <v>763</v>
      </c>
      <c r="E9801" s="501">
        <v>5898782347.7200003</v>
      </c>
      <c r="F9801" s="502" t="s">
        <v>878</v>
      </c>
      <c r="G9801" s="100">
        <v>117627602</v>
      </c>
      <c r="H9801" s="100">
        <v>117627602</v>
      </c>
      <c r="I9801" s="422" t="s">
        <v>719</v>
      </c>
      <c r="J9801" s="484"/>
      <c r="K9801" s="548"/>
      <c r="L9801" s="548"/>
      <c r="M9801" s="548"/>
      <c r="N9801" s="552">
        <v>8140995</v>
      </c>
      <c r="R9801" s="539">
        <v>724.27</v>
      </c>
      <c r="S9801" s="539">
        <v>724.57756671266895</v>
      </c>
      <c r="T9801" s="538">
        <v>15.5</v>
      </c>
      <c r="U9801" s="538">
        <v>8844.42</v>
      </c>
      <c r="V9801" s="538">
        <v>4422.21</v>
      </c>
    </row>
    <row r="9802" spans="1:22">
      <c r="A9802" s="499">
        <v>45831</v>
      </c>
      <c r="B9802" s="499">
        <v>45832</v>
      </c>
      <c r="C9802" s="500" t="s">
        <v>173</v>
      </c>
      <c r="D9802" s="500" t="s">
        <v>763</v>
      </c>
      <c r="E9802" s="501">
        <v>34021815.07</v>
      </c>
      <c r="F9802" s="502" t="s">
        <v>878</v>
      </c>
      <c r="G9802" s="100">
        <v>117627627</v>
      </c>
      <c r="H9802" s="100">
        <v>117627627</v>
      </c>
      <c r="I9802" s="422" t="s">
        <v>719</v>
      </c>
      <c r="J9802" s="484"/>
      <c r="K9802" s="548"/>
      <c r="L9802" s="548"/>
      <c r="M9802" s="548"/>
      <c r="N9802" s="552">
        <v>46954</v>
      </c>
      <c r="R9802" s="539">
        <v>724.27</v>
      </c>
      <c r="S9802" s="539">
        <v>724.57756676747499</v>
      </c>
      <c r="T9802" s="538">
        <v>15.5</v>
      </c>
      <c r="U9802" s="538">
        <v>51.01</v>
      </c>
      <c r="V9802" s="538">
        <v>39.32</v>
      </c>
    </row>
    <row r="9803" spans="1:22">
      <c r="A9803" s="499">
        <v>45831</v>
      </c>
      <c r="B9803" s="499">
        <v>45831</v>
      </c>
      <c r="C9803" s="500" t="s">
        <v>173</v>
      </c>
      <c r="D9803" s="500" t="s">
        <v>760</v>
      </c>
      <c r="E9803" s="501">
        <v>-374000087.37</v>
      </c>
      <c r="F9803" s="502" t="s">
        <v>878</v>
      </c>
      <c r="G9803" s="100">
        <v>117622316</v>
      </c>
      <c r="H9803" s="530"/>
      <c r="I9803" s="422" t="s">
        <v>1048</v>
      </c>
      <c r="J9803" s="484"/>
      <c r="K9803" s="548"/>
      <c r="L9803" s="548"/>
      <c r="M9803" s="548"/>
      <c r="N9803" s="552">
        <v>369273388</v>
      </c>
      <c r="R9803" s="539">
        <v>1.0127999999999999</v>
      </c>
      <c r="S9803" s="539">
        <v>1.0132328679476901</v>
      </c>
      <c r="T9803" s="538">
        <v>15.6</v>
      </c>
      <c r="U9803" s="538">
        <v>561</v>
      </c>
      <c r="V9803" s="538">
        <v>280.5</v>
      </c>
    </row>
    <row r="9804" spans="1:22">
      <c r="A9804" s="499">
        <v>45831</v>
      </c>
      <c r="B9804" s="499">
        <v>45831</v>
      </c>
      <c r="C9804" s="500" t="s">
        <v>173</v>
      </c>
      <c r="D9804" s="500" t="s">
        <v>760</v>
      </c>
      <c r="E9804" s="501">
        <v>-970111433.60000002</v>
      </c>
      <c r="F9804" s="502" t="s">
        <v>878</v>
      </c>
      <c r="G9804" s="100">
        <v>117622906</v>
      </c>
      <c r="H9804" s="530"/>
      <c r="I9804" s="422" t="s">
        <v>659</v>
      </c>
      <c r="J9804" s="484"/>
      <c r="K9804" s="548"/>
      <c r="L9804" s="548"/>
      <c r="M9804" s="548"/>
      <c r="N9804" s="552">
        <v>911800</v>
      </c>
      <c r="R9804" s="539">
        <v>1063.952</v>
      </c>
      <c r="S9804" s="539">
        <v>1064.40673017109</v>
      </c>
      <c r="T9804" s="538">
        <v>15.6</v>
      </c>
      <c r="U9804" s="538">
        <v>1455.17</v>
      </c>
      <c r="V9804" s="538">
        <v>727.58</v>
      </c>
    </row>
    <row r="9805" spans="1:22">
      <c r="A9805" s="499">
        <v>45831</v>
      </c>
      <c r="B9805" s="499">
        <v>45831</v>
      </c>
      <c r="C9805" s="500" t="s">
        <v>173</v>
      </c>
      <c r="D9805" s="500" t="s">
        <v>760</v>
      </c>
      <c r="E9805" s="501">
        <v>-255012417.99000001</v>
      </c>
      <c r="F9805" s="502" t="s">
        <v>878</v>
      </c>
      <c r="G9805" s="100">
        <v>117623074</v>
      </c>
      <c r="H9805" s="530"/>
      <c r="I9805" s="422" t="s">
        <v>675</v>
      </c>
      <c r="J9805" s="484"/>
      <c r="K9805" s="548"/>
      <c r="L9805" s="548"/>
      <c r="M9805" s="548"/>
      <c r="N9805" s="552">
        <v>276165</v>
      </c>
      <c r="R9805" s="539">
        <v>923.40599999999995</v>
      </c>
      <c r="S9805" s="539">
        <v>923.80065866420398</v>
      </c>
      <c r="T9805" s="538">
        <v>15.5999</v>
      </c>
      <c r="U9805" s="538">
        <v>382.52</v>
      </c>
      <c r="V9805" s="538">
        <v>191.26</v>
      </c>
    </row>
    <row r="9806" spans="1:22">
      <c r="A9806" s="499">
        <v>45831</v>
      </c>
      <c r="B9806" s="499">
        <v>45831</v>
      </c>
      <c r="C9806" s="500" t="s">
        <v>173</v>
      </c>
      <c r="D9806" s="500" t="s">
        <v>760</v>
      </c>
      <c r="E9806" s="501">
        <v>-206033433.38999999</v>
      </c>
      <c r="F9806" s="502" t="s">
        <v>878</v>
      </c>
      <c r="G9806" s="100">
        <v>117622452</v>
      </c>
      <c r="H9806" s="530"/>
      <c r="I9806" s="422" t="s">
        <v>1042</v>
      </c>
      <c r="J9806" s="484"/>
      <c r="K9806" s="548"/>
      <c r="L9806" s="548"/>
      <c r="M9806" s="548"/>
      <c r="N9806" s="552">
        <v>199202</v>
      </c>
      <c r="R9806" s="539">
        <v>1034.2940000000001</v>
      </c>
      <c r="S9806" s="539">
        <v>1034.73605440708</v>
      </c>
      <c r="T9806" s="538">
        <v>15.6</v>
      </c>
      <c r="U9806" s="538">
        <v>309.05</v>
      </c>
      <c r="V9806" s="538">
        <v>154.53</v>
      </c>
    </row>
    <row r="9807" spans="1:22">
      <c r="A9807" s="499">
        <v>45831</v>
      </c>
      <c r="B9807" s="499">
        <v>45832</v>
      </c>
      <c r="C9807" s="500" t="s">
        <v>173</v>
      </c>
      <c r="D9807" s="500" t="s">
        <v>760</v>
      </c>
      <c r="E9807" s="501">
        <v>374159933.98000002</v>
      </c>
      <c r="F9807" s="502" t="s">
        <v>878</v>
      </c>
      <c r="G9807" s="100">
        <v>117622316</v>
      </c>
      <c r="H9807" s="100">
        <v>117622316</v>
      </c>
      <c r="I9807" s="422" t="s">
        <v>1048</v>
      </c>
      <c r="J9807" s="484"/>
      <c r="K9807" s="548"/>
      <c r="L9807" s="548"/>
      <c r="M9807" s="548"/>
      <c r="N9807" s="552">
        <v>369273388</v>
      </c>
      <c r="R9807" s="539">
        <v>1.0127999999999999</v>
      </c>
      <c r="S9807" s="539">
        <v>1.0132328679476901</v>
      </c>
      <c r="T9807" s="538">
        <v>15.6</v>
      </c>
      <c r="U9807" s="538">
        <v>561</v>
      </c>
      <c r="V9807" s="538">
        <v>280.5</v>
      </c>
    </row>
    <row r="9808" spans="1:22">
      <c r="A9808" s="499">
        <v>45831</v>
      </c>
      <c r="B9808" s="499">
        <v>45832</v>
      </c>
      <c r="C9808" s="500" t="s">
        <v>173</v>
      </c>
      <c r="D9808" s="500" t="s">
        <v>760</v>
      </c>
      <c r="E9808" s="501">
        <v>970526056.57000005</v>
      </c>
      <c r="F9808" s="502" t="s">
        <v>878</v>
      </c>
      <c r="G9808" s="100">
        <v>117622906</v>
      </c>
      <c r="H9808" s="100">
        <v>117622906</v>
      </c>
      <c r="I9808" s="422" t="s">
        <v>659</v>
      </c>
      <c r="J9808" s="484"/>
      <c r="K9808" s="548"/>
      <c r="L9808" s="548"/>
      <c r="M9808" s="548"/>
      <c r="N9808" s="552">
        <v>911800</v>
      </c>
      <c r="R9808" s="539">
        <v>1063.952</v>
      </c>
      <c r="S9808" s="539">
        <v>1064.40673017109</v>
      </c>
      <c r="T9808" s="538">
        <v>15.6</v>
      </c>
      <c r="U9808" s="538">
        <v>1455.17</v>
      </c>
      <c r="V9808" s="538">
        <v>727.58</v>
      </c>
    </row>
    <row r="9809" spans="1:22">
      <c r="A9809" s="499">
        <v>45831</v>
      </c>
      <c r="B9809" s="499">
        <v>45832</v>
      </c>
      <c r="C9809" s="500" t="s">
        <v>173</v>
      </c>
      <c r="D9809" s="500" t="s">
        <v>760</v>
      </c>
      <c r="E9809" s="501">
        <v>255121408.90000001</v>
      </c>
      <c r="F9809" s="502" t="s">
        <v>878</v>
      </c>
      <c r="G9809" s="100">
        <v>117623074</v>
      </c>
      <c r="H9809" s="100">
        <v>117623074</v>
      </c>
      <c r="I9809" s="422" t="s">
        <v>675</v>
      </c>
      <c r="J9809" s="484"/>
      <c r="K9809" s="548"/>
      <c r="L9809" s="548"/>
      <c r="M9809" s="548"/>
      <c r="N9809" s="552">
        <v>276165</v>
      </c>
      <c r="R9809" s="539">
        <v>923.40599999999995</v>
      </c>
      <c r="S9809" s="539">
        <v>923.80065866420398</v>
      </c>
      <c r="T9809" s="538">
        <v>15.5999</v>
      </c>
      <c r="U9809" s="538">
        <v>382.52</v>
      </c>
      <c r="V9809" s="538">
        <v>191.26</v>
      </c>
    </row>
    <row r="9810" spans="1:22">
      <c r="A9810" s="499">
        <v>45831</v>
      </c>
      <c r="B9810" s="499">
        <v>45832</v>
      </c>
      <c r="C9810" s="500" t="s">
        <v>173</v>
      </c>
      <c r="D9810" s="500" t="s">
        <v>760</v>
      </c>
      <c r="E9810" s="501">
        <v>206121491.50999999</v>
      </c>
      <c r="F9810" s="502" t="s">
        <v>878</v>
      </c>
      <c r="G9810" s="100">
        <v>117622452</v>
      </c>
      <c r="H9810" s="100">
        <v>117622452</v>
      </c>
      <c r="I9810" s="422" t="s">
        <v>1042</v>
      </c>
      <c r="J9810" s="484"/>
      <c r="K9810" s="548"/>
      <c r="L9810" s="548"/>
      <c r="M9810" s="548"/>
      <c r="N9810" s="552">
        <v>199202</v>
      </c>
      <c r="R9810" s="539">
        <v>1034.2940000000001</v>
      </c>
      <c r="S9810" s="539">
        <v>1034.73605440708</v>
      </c>
      <c r="T9810" s="538">
        <v>15.6</v>
      </c>
      <c r="U9810" s="538">
        <v>309.05</v>
      </c>
      <c r="V9810" s="538">
        <v>154.53</v>
      </c>
    </row>
    <row r="9811" spans="1:22">
      <c r="A9811" s="499">
        <v>45832</v>
      </c>
      <c r="B9811" s="499">
        <v>45832</v>
      </c>
      <c r="C9811" s="500" t="s">
        <v>173</v>
      </c>
      <c r="D9811" s="500" t="s">
        <v>762</v>
      </c>
      <c r="E9811" s="501">
        <v>-436000357.51999998</v>
      </c>
      <c r="F9811" s="502" t="s">
        <v>878</v>
      </c>
      <c r="G9811" s="100">
        <v>117646900</v>
      </c>
      <c r="H9811" s="530"/>
      <c r="I9811" s="422" t="s">
        <v>811</v>
      </c>
      <c r="J9811" s="484"/>
      <c r="K9811" s="548"/>
      <c r="L9811" s="548"/>
      <c r="M9811" s="548"/>
      <c r="N9811" s="552">
        <v>419715400</v>
      </c>
      <c r="R9811" s="539">
        <v>1.0387999999999999</v>
      </c>
      <c r="S9811" s="539">
        <v>1.0392419966005499</v>
      </c>
      <c r="T9811" s="538">
        <v>15.5303</v>
      </c>
      <c r="U9811" s="538">
        <v>654</v>
      </c>
      <c r="V9811" s="538">
        <v>327</v>
      </c>
    </row>
    <row r="9812" spans="1:22">
      <c r="A9812" s="499">
        <v>45832</v>
      </c>
      <c r="B9812" s="499">
        <v>45832</v>
      </c>
      <c r="C9812" s="500" t="s">
        <v>173</v>
      </c>
      <c r="D9812" s="500" t="s">
        <v>762</v>
      </c>
      <c r="E9812" s="501">
        <v>-1413024695.5699999</v>
      </c>
      <c r="F9812" s="502" t="s">
        <v>878</v>
      </c>
      <c r="G9812" s="100">
        <v>117646903</v>
      </c>
      <c r="H9812" s="530"/>
      <c r="I9812" s="422" t="s">
        <v>1013</v>
      </c>
      <c r="J9812" s="484"/>
      <c r="K9812" s="548"/>
      <c r="L9812" s="548"/>
      <c r="M9812" s="548"/>
      <c r="N9812" s="552">
        <v>2753937</v>
      </c>
      <c r="R9812" s="539">
        <v>513.09259999999995</v>
      </c>
      <c r="S9812" s="539">
        <v>513.31091176377697</v>
      </c>
      <c r="T9812" s="538">
        <v>15.530099999999999</v>
      </c>
      <c r="U9812" s="538">
        <v>2119.54</v>
      </c>
      <c r="V9812" s="538">
        <v>1059.77</v>
      </c>
    </row>
    <row r="9813" spans="1:22">
      <c r="A9813" s="499">
        <v>45832</v>
      </c>
      <c r="B9813" s="499">
        <v>45832</v>
      </c>
      <c r="C9813" s="500" t="s">
        <v>173</v>
      </c>
      <c r="D9813" s="500" t="s">
        <v>762</v>
      </c>
      <c r="E9813" s="501">
        <v>-8004244.96</v>
      </c>
      <c r="F9813" s="502" t="s">
        <v>878</v>
      </c>
      <c r="G9813" s="100">
        <v>117646906</v>
      </c>
      <c r="H9813" s="530"/>
      <c r="I9813" s="422" t="s">
        <v>674</v>
      </c>
      <c r="J9813" s="484"/>
      <c r="K9813" s="548"/>
      <c r="L9813" s="548"/>
      <c r="M9813" s="548"/>
      <c r="N9813" s="552">
        <v>8720</v>
      </c>
      <c r="R9813" s="539">
        <v>917.91800000000001</v>
      </c>
      <c r="S9813" s="539">
        <v>918.30855733944895</v>
      </c>
      <c r="T9813" s="538">
        <v>15.530099999999999</v>
      </c>
      <c r="U9813" s="538">
        <v>39.32</v>
      </c>
      <c r="V9813" s="538">
        <v>6</v>
      </c>
    </row>
    <row r="9814" spans="1:22">
      <c r="A9814" s="499">
        <v>45832</v>
      </c>
      <c r="B9814" s="499">
        <v>45832</v>
      </c>
      <c r="C9814" s="500" t="s">
        <v>173</v>
      </c>
      <c r="D9814" s="500" t="s">
        <v>762</v>
      </c>
      <c r="E9814" s="501">
        <v>-10000342.439999999</v>
      </c>
      <c r="F9814" s="502" t="s">
        <v>878</v>
      </c>
      <c r="G9814" s="100">
        <v>117646909</v>
      </c>
      <c r="H9814" s="530"/>
      <c r="I9814" s="422" t="s">
        <v>709</v>
      </c>
      <c r="J9814" s="484"/>
      <c r="K9814" s="548"/>
      <c r="L9814" s="548"/>
      <c r="M9814" s="548"/>
      <c r="N9814" s="552">
        <v>10980</v>
      </c>
      <c r="R9814" s="539">
        <v>910.77800000000002</v>
      </c>
      <c r="S9814" s="539">
        <v>911.16552003643005</v>
      </c>
      <c r="T9814" s="538">
        <v>15.530099999999999</v>
      </c>
      <c r="U9814" s="538">
        <v>39.32</v>
      </c>
      <c r="V9814" s="538">
        <v>7.5</v>
      </c>
    </row>
    <row r="9815" spans="1:22">
      <c r="A9815" s="499">
        <v>45832</v>
      </c>
      <c r="B9815" s="499">
        <v>45832</v>
      </c>
      <c r="C9815" s="500" t="s">
        <v>173</v>
      </c>
      <c r="D9815" s="500" t="s">
        <v>762</v>
      </c>
      <c r="E9815" s="501">
        <v>-79002335.620000005</v>
      </c>
      <c r="F9815" s="502" t="s">
        <v>878</v>
      </c>
      <c r="G9815" s="100">
        <v>117646912</v>
      </c>
      <c r="H9815" s="530"/>
      <c r="I9815" s="422" t="s">
        <v>633</v>
      </c>
      <c r="J9815" s="484"/>
      <c r="K9815" s="548"/>
      <c r="L9815" s="548"/>
      <c r="M9815" s="548"/>
      <c r="N9815" s="552">
        <v>148204</v>
      </c>
      <c r="R9815" s="539">
        <v>533.06479999999999</v>
      </c>
      <c r="S9815" s="539">
        <v>533.29160960567901</v>
      </c>
      <c r="T9815" s="538">
        <v>15.530099999999999</v>
      </c>
      <c r="U9815" s="538">
        <v>118.5</v>
      </c>
      <c r="V9815" s="538">
        <v>59.25</v>
      </c>
    </row>
    <row r="9816" spans="1:22">
      <c r="A9816" s="499">
        <v>45832</v>
      </c>
      <c r="B9816" s="499">
        <v>45832</v>
      </c>
      <c r="C9816" s="500" t="s">
        <v>173</v>
      </c>
      <c r="D9816" s="500" t="s">
        <v>762</v>
      </c>
      <c r="E9816" s="501">
        <v>-654399866.05999994</v>
      </c>
      <c r="F9816" s="502" t="s">
        <v>878</v>
      </c>
      <c r="G9816" s="100">
        <v>117646915</v>
      </c>
      <c r="H9816" s="530"/>
      <c r="I9816" s="422" t="s">
        <v>716</v>
      </c>
      <c r="J9816" s="484"/>
      <c r="K9816" s="548"/>
      <c r="L9816" s="548"/>
      <c r="M9816" s="548"/>
      <c r="N9816" s="552">
        <v>885516</v>
      </c>
      <c r="R9816" s="539">
        <v>739.00400000000002</v>
      </c>
      <c r="S9816" s="539">
        <v>739.31843101649201</v>
      </c>
      <c r="T9816" s="538">
        <v>15.53</v>
      </c>
      <c r="U9816" s="538">
        <v>981.6</v>
      </c>
      <c r="V9816" s="538">
        <v>490.8</v>
      </c>
    </row>
    <row r="9817" spans="1:22">
      <c r="A9817" s="499">
        <v>45832</v>
      </c>
      <c r="B9817" s="499">
        <v>45832</v>
      </c>
      <c r="C9817" s="500" t="s">
        <v>173</v>
      </c>
      <c r="D9817" s="500" t="s">
        <v>762</v>
      </c>
      <c r="E9817" s="501">
        <v>-198119570.22</v>
      </c>
      <c r="F9817" s="502" t="s">
        <v>878</v>
      </c>
      <c r="G9817" s="100">
        <v>117646918</v>
      </c>
      <c r="H9817" s="530"/>
      <c r="I9817" s="422" t="s">
        <v>816</v>
      </c>
      <c r="J9817" s="484"/>
      <c r="K9817" s="548"/>
      <c r="L9817" s="548"/>
      <c r="M9817" s="548"/>
      <c r="N9817" s="552">
        <v>196020</v>
      </c>
      <c r="R9817" s="539">
        <v>1010.711</v>
      </c>
      <c r="S9817" s="539">
        <v>1011.14103678196</v>
      </c>
      <c r="T9817" s="538">
        <v>15.53</v>
      </c>
      <c r="U9817" s="538">
        <v>297.18</v>
      </c>
      <c r="V9817" s="538">
        <v>148.59</v>
      </c>
    </row>
    <row r="9818" spans="1:22">
      <c r="A9818" s="499">
        <v>45832</v>
      </c>
      <c r="B9818" s="499">
        <v>45832</v>
      </c>
      <c r="C9818" s="500" t="s">
        <v>173</v>
      </c>
      <c r="D9818" s="500" t="s">
        <v>762</v>
      </c>
      <c r="E9818" s="501">
        <v>-15009058.35</v>
      </c>
      <c r="F9818" s="502" t="s">
        <v>878</v>
      </c>
      <c r="G9818" s="100">
        <v>117646951</v>
      </c>
      <c r="H9818" s="530"/>
      <c r="I9818" s="422" t="s">
        <v>816</v>
      </c>
      <c r="J9818" s="484"/>
      <c r="K9818" s="548"/>
      <c r="L9818" s="548"/>
      <c r="M9818" s="548"/>
      <c r="N9818" s="552">
        <v>14850</v>
      </c>
      <c r="R9818" s="539">
        <v>1010.711</v>
      </c>
      <c r="S9818" s="539">
        <v>1011.14103703704</v>
      </c>
      <c r="T9818" s="538">
        <v>15.53</v>
      </c>
      <c r="U9818" s="538">
        <v>39.32</v>
      </c>
      <c r="V9818" s="538">
        <v>11.26</v>
      </c>
    </row>
    <row r="9819" spans="1:22">
      <c r="A9819" s="499">
        <v>45832</v>
      </c>
      <c r="B9819" s="499">
        <v>45833</v>
      </c>
      <c r="C9819" s="500" t="s">
        <v>173</v>
      </c>
      <c r="D9819" s="500" t="s">
        <v>762</v>
      </c>
      <c r="E9819" s="501">
        <v>436185870.30000001</v>
      </c>
      <c r="F9819" s="502" t="s">
        <v>878</v>
      </c>
      <c r="G9819" s="100">
        <v>117646900</v>
      </c>
      <c r="H9819" s="484">
        <v>117646900</v>
      </c>
      <c r="I9819" s="422" t="s">
        <v>811</v>
      </c>
      <c r="J9819" s="484"/>
      <c r="K9819" s="548"/>
      <c r="L9819" s="548"/>
      <c r="M9819" s="548"/>
      <c r="N9819" s="552">
        <v>419715400</v>
      </c>
      <c r="R9819" s="539">
        <v>1.0387999999999999</v>
      </c>
      <c r="S9819" s="539">
        <v>1.0392419966005499</v>
      </c>
      <c r="T9819" s="538">
        <v>15.5303</v>
      </c>
      <c r="U9819" s="538">
        <v>654</v>
      </c>
      <c r="V9819" s="538">
        <v>327</v>
      </c>
    </row>
    <row r="9820" spans="1:22">
      <c r="A9820" s="499">
        <v>45832</v>
      </c>
      <c r="B9820" s="499">
        <v>45833</v>
      </c>
      <c r="C9820" s="500" t="s">
        <v>173</v>
      </c>
      <c r="D9820" s="500" t="s">
        <v>762</v>
      </c>
      <c r="E9820" s="501">
        <v>1413625912.4100001</v>
      </c>
      <c r="F9820" s="502" t="s">
        <v>878</v>
      </c>
      <c r="G9820" s="100">
        <v>117646903</v>
      </c>
      <c r="H9820" s="484">
        <v>117646903</v>
      </c>
      <c r="I9820" s="422" t="s">
        <v>1013</v>
      </c>
      <c r="J9820" s="484"/>
      <c r="K9820" s="548"/>
      <c r="L9820" s="548"/>
      <c r="M9820" s="548"/>
      <c r="N9820" s="552">
        <v>2753937</v>
      </c>
      <c r="R9820" s="539">
        <v>513.09259999999995</v>
      </c>
      <c r="S9820" s="539">
        <v>513.31091176377697</v>
      </c>
      <c r="T9820" s="538">
        <v>15.530099999999999</v>
      </c>
      <c r="U9820" s="538">
        <v>2119.54</v>
      </c>
      <c r="V9820" s="538">
        <v>1059.77</v>
      </c>
    </row>
    <row r="9821" spans="1:22">
      <c r="A9821" s="499">
        <v>45832</v>
      </c>
      <c r="B9821" s="499">
        <v>45833</v>
      </c>
      <c r="C9821" s="500" t="s">
        <v>173</v>
      </c>
      <c r="D9821" s="500" t="s">
        <v>762</v>
      </c>
      <c r="E9821" s="501">
        <v>8007650.6200000001</v>
      </c>
      <c r="F9821" s="502" t="s">
        <v>878</v>
      </c>
      <c r="G9821" s="100">
        <v>117646906</v>
      </c>
      <c r="H9821" s="484">
        <v>117646906</v>
      </c>
      <c r="I9821" s="422" t="s">
        <v>674</v>
      </c>
      <c r="J9821" s="484"/>
      <c r="K9821" s="548"/>
      <c r="L9821" s="548"/>
      <c r="M9821" s="548"/>
      <c r="N9821" s="552">
        <v>8720</v>
      </c>
      <c r="R9821" s="539">
        <v>917.91800000000001</v>
      </c>
      <c r="S9821" s="539">
        <v>918.30855733944895</v>
      </c>
      <c r="T9821" s="538">
        <v>15.530099999999999</v>
      </c>
      <c r="U9821" s="538">
        <v>39.32</v>
      </c>
      <c r="V9821" s="538">
        <v>6</v>
      </c>
    </row>
    <row r="9822" spans="1:22">
      <c r="A9822" s="499">
        <v>45832</v>
      </c>
      <c r="B9822" s="499">
        <v>45833</v>
      </c>
      <c r="C9822" s="500" t="s">
        <v>173</v>
      </c>
      <c r="D9822" s="500" t="s">
        <v>762</v>
      </c>
      <c r="E9822" s="501">
        <v>10004597.41</v>
      </c>
      <c r="F9822" s="502" t="s">
        <v>878</v>
      </c>
      <c r="G9822" s="100">
        <v>117646909</v>
      </c>
      <c r="H9822" s="484">
        <v>117646909</v>
      </c>
      <c r="I9822" s="422" t="s">
        <v>709</v>
      </c>
      <c r="J9822" s="484"/>
      <c r="K9822" s="548"/>
      <c r="L9822" s="548"/>
      <c r="M9822" s="548"/>
      <c r="N9822" s="552">
        <v>10980</v>
      </c>
      <c r="R9822" s="539">
        <v>910.77800000000002</v>
      </c>
      <c r="S9822" s="539">
        <v>911.16552003643005</v>
      </c>
      <c r="T9822" s="538">
        <v>15.530099999999999</v>
      </c>
      <c r="U9822" s="538">
        <v>39.32</v>
      </c>
      <c r="V9822" s="538">
        <v>7.5</v>
      </c>
    </row>
    <row r="9823" spans="1:22">
      <c r="A9823" s="499">
        <v>45832</v>
      </c>
      <c r="B9823" s="499">
        <v>45833</v>
      </c>
      <c r="C9823" s="500" t="s">
        <v>173</v>
      </c>
      <c r="D9823" s="500" t="s">
        <v>762</v>
      </c>
      <c r="E9823" s="501">
        <v>79035949.709999993</v>
      </c>
      <c r="F9823" s="502" t="s">
        <v>878</v>
      </c>
      <c r="G9823" s="100">
        <v>117646912</v>
      </c>
      <c r="H9823" s="484">
        <v>117646912</v>
      </c>
      <c r="I9823" s="422" t="s">
        <v>633</v>
      </c>
      <c r="J9823" s="484"/>
      <c r="K9823" s="548"/>
      <c r="L9823" s="548"/>
      <c r="M9823" s="548"/>
      <c r="N9823" s="552">
        <v>148204</v>
      </c>
      <c r="R9823" s="539">
        <v>533.06479999999999</v>
      </c>
      <c r="S9823" s="539">
        <v>533.29160960567901</v>
      </c>
      <c r="T9823" s="538">
        <v>15.530099999999999</v>
      </c>
      <c r="U9823" s="538">
        <v>118.5</v>
      </c>
      <c r="V9823" s="538">
        <v>59.25</v>
      </c>
    </row>
    <row r="9824" spans="1:22">
      <c r="A9824" s="499">
        <v>45832</v>
      </c>
      <c r="B9824" s="499">
        <v>45833</v>
      </c>
      <c r="C9824" s="500" t="s">
        <v>173</v>
      </c>
      <c r="D9824" s="500" t="s">
        <v>762</v>
      </c>
      <c r="E9824" s="501">
        <v>654678299.75999999</v>
      </c>
      <c r="F9824" s="502" t="s">
        <v>878</v>
      </c>
      <c r="G9824" s="100">
        <v>117646915</v>
      </c>
      <c r="H9824" s="484">
        <v>117646915</v>
      </c>
      <c r="I9824" s="422" t="s">
        <v>716</v>
      </c>
      <c r="J9824" s="484"/>
      <c r="K9824" s="548"/>
      <c r="L9824" s="548"/>
      <c r="M9824" s="548"/>
      <c r="N9824" s="552">
        <v>885516</v>
      </c>
      <c r="R9824" s="539">
        <v>739.00400000000002</v>
      </c>
      <c r="S9824" s="539">
        <v>739.31843101649201</v>
      </c>
      <c r="T9824" s="538">
        <v>15.53</v>
      </c>
      <c r="U9824" s="538">
        <v>981.6</v>
      </c>
      <c r="V9824" s="538">
        <v>490.8</v>
      </c>
    </row>
    <row r="9825" spans="1:22">
      <c r="A9825" s="499">
        <v>45832</v>
      </c>
      <c r="B9825" s="499">
        <v>45833</v>
      </c>
      <c r="C9825" s="500" t="s">
        <v>173</v>
      </c>
      <c r="D9825" s="500" t="s">
        <v>762</v>
      </c>
      <c r="E9825" s="501">
        <v>198203866.03</v>
      </c>
      <c r="F9825" s="502" t="s">
        <v>878</v>
      </c>
      <c r="G9825" s="100">
        <v>117646918</v>
      </c>
      <c r="H9825" s="484">
        <v>117646918</v>
      </c>
      <c r="I9825" s="422" t="s">
        <v>816</v>
      </c>
      <c r="J9825" s="484"/>
      <c r="K9825" s="548"/>
      <c r="L9825" s="548"/>
      <c r="M9825" s="548"/>
      <c r="N9825" s="552">
        <v>196020</v>
      </c>
      <c r="R9825" s="539">
        <v>1010.711</v>
      </c>
      <c r="S9825" s="539">
        <v>1011.14103678196</v>
      </c>
      <c r="T9825" s="538">
        <v>15.53</v>
      </c>
      <c r="U9825" s="538">
        <v>297.18</v>
      </c>
      <c r="V9825" s="538">
        <v>148.59</v>
      </c>
    </row>
    <row r="9826" spans="1:22">
      <c r="A9826" s="499">
        <v>45832</v>
      </c>
      <c r="B9826" s="499">
        <v>45833</v>
      </c>
      <c r="C9826" s="500" t="s">
        <v>173</v>
      </c>
      <c r="D9826" s="500" t="s">
        <v>762</v>
      </c>
      <c r="E9826" s="501">
        <v>15015444.4</v>
      </c>
      <c r="F9826" s="502" t="s">
        <v>878</v>
      </c>
      <c r="G9826" s="100">
        <v>117646951</v>
      </c>
      <c r="H9826" s="484">
        <v>117646951</v>
      </c>
      <c r="I9826" s="422" t="s">
        <v>816</v>
      </c>
      <c r="J9826" s="484"/>
      <c r="K9826" s="548"/>
      <c r="L9826" s="548"/>
      <c r="M9826" s="548"/>
      <c r="N9826" s="552">
        <v>14850</v>
      </c>
      <c r="R9826" s="539">
        <v>1010.711</v>
      </c>
      <c r="S9826" s="539">
        <v>1011.14103703704</v>
      </c>
      <c r="T9826" s="538">
        <v>15.53</v>
      </c>
      <c r="U9826" s="538">
        <v>39.32</v>
      </c>
      <c r="V9826" s="538">
        <v>11.26</v>
      </c>
    </row>
    <row r="9827" spans="1:22">
      <c r="A9827" s="499">
        <v>45832</v>
      </c>
      <c r="B9827" s="499">
        <v>45832</v>
      </c>
      <c r="C9827" s="500" t="s">
        <v>173</v>
      </c>
      <c r="D9827" s="500" t="s">
        <v>761</v>
      </c>
      <c r="E9827" s="501">
        <v>-43018059.270000003</v>
      </c>
      <c r="F9827" s="502" t="s">
        <v>878</v>
      </c>
      <c r="G9827" s="100">
        <v>117645186</v>
      </c>
      <c r="H9827" s="530"/>
      <c r="I9827" s="422" t="s">
        <v>653</v>
      </c>
      <c r="J9827" s="484"/>
      <c r="K9827" s="548"/>
      <c r="L9827" s="548"/>
      <c r="M9827" s="548"/>
      <c r="N9827" s="552">
        <v>42527</v>
      </c>
      <c r="R9827" s="539">
        <v>1011.5470000235146</v>
      </c>
      <c r="S9827" s="539">
        <v>1011.97739530181</v>
      </c>
      <c r="T9827" s="538">
        <v>15.530099999999999</v>
      </c>
      <c r="U9827" s="538">
        <v>64.53</v>
      </c>
      <c r="V9827" s="538">
        <v>32.26</v>
      </c>
    </row>
    <row r="9828" spans="1:22">
      <c r="A9828" s="499">
        <v>45832</v>
      </c>
      <c r="B9828" s="499">
        <v>45832</v>
      </c>
      <c r="C9828" s="500" t="s">
        <v>173</v>
      </c>
      <c r="D9828" s="500" t="s">
        <v>761</v>
      </c>
      <c r="E9828" s="501">
        <v>-1587003469.1800001</v>
      </c>
      <c r="F9828" s="502" t="s">
        <v>878</v>
      </c>
      <c r="G9828" s="100">
        <v>117645189</v>
      </c>
      <c r="H9828" s="530"/>
      <c r="I9828" s="422" t="s">
        <v>682</v>
      </c>
      <c r="J9828" s="484"/>
      <c r="K9828" s="548"/>
      <c r="L9828" s="548"/>
      <c r="M9828" s="548"/>
      <c r="N9828" s="552">
        <v>1628262</v>
      </c>
      <c r="R9828" s="539">
        <v>974.66099999877179</v>
      </c>
      <c r="S9828" s="539">
        <v>975.07570089457397</v>
      </c>
      <c r="T9828" s="538">
        <v>15.530099999999999</v>
      </c>
      <c r="U9828" s="538">
        <v>2380.5100000000002</v>
      </c>
      <c r="V9828" s="538">
        <v>1190.25</v>
      </c>
    </row>
    <row r="9829" spans="1:22">
      <c r="A9829" s="499">
        <v>45832</v>
      </c>
      <c r="B9829" s="499">
        <v>45832</v>
      </c>
      <c r="C9829" s="500" t="s">
        <v>173</v>
      </c>
      <c r="D9829" s="500" t="s">
        <v>761</v>
      </c>
      <c r="E9829" s="501">
        <v>-6000013.1200000001</v>
      </c>
      <c r="F9829" s="502" t="s">
        <v>878</v>
      </c>
      <c r="G9829" s="100">
        <v>117645247</v>
      </c>
      <c r="H9829" s="530"/>
      <c r="I9829" s="422" t="s">
        <v>682</v>
      </c>
      <c r="J9829" s="484"/>
      <c r="K9829" s="548"/>
      <c r="L9829" s="548"/>
      <c r="M9829" s="548"/>
      <c r="N9829" s="552">
        <v>6156</v>
      </c>
      <c r="R9829" s="539">
        <v>974.66100064977263</v>
      </c>
      <c r="S9829" s="539">
        <v>975.07570175438605</v>
      </c>
      <c r="T9829" s="538">
        <v>15.530099999999999</v>
      </c>
      <c r="U9829" s="538">
        <v>39.32</v>
      </c>
      <c r="V9829" s="538">
        <v>4.5</v>
      </c>
    </row>
    <row r="9830" spans="1:22">
      <c r="A9830" s="499">
        <v>45832</v>
      </c>
      <c r="B9830" s="499">
        <v>45833</v>
      </c>
      <c r="C9830" s="500" t="s">
        <v>173</v>
      </c>
      <c r="D9830" s="500" t="s">
        <v>761</v>
      </c>
      <c r="E9830" s="501">
        <v>43036362.689999998</v>
      </c>
      <c r="F9830" s="502" t="s">
        <v>878</v>
      </c>
      <c r="G9830" s="100">
        <v>117645186</v>
      </c>
      <c r="H9830" s="100">
        <v>117645186</v>
      </c>
      <c r="I9830" s="422" t="s">
        <v>653</v>
      </c>
      <c r="J9830" s="484"/>
      <c r="K9830" s="548"/>
      <c r="L9830" s="548"/>
      <c r="M9830" s="548"/>
      <c r="N9830" s="552">
        <v>42527</v>
      </c>
      <c r="R9830" s="539">
        <v>1011.5470000235146</v>
      </c>
      <c r="S9830" s="539">
        <v>1011.97739530181</v>
      </c>
      <c r="T9830" s="538">
        <v>15.530099999999999</v>
      </c>
      <c r="U9830" s="538">
        <v>64.53</v>
      </c>
      <c r="V9830" s="538">
        <v>32.26</v>
      </c>
    </row>
    <row r="9831" spans="1:22">
      <c r="A9831" s="499">
        <v>45832</v>
      </c>
      <c r="B9831" s="499">
        <v>45833</v>
      </c>
      <c r="C9831" s="500" t="s">
        <v>173</v>
      </c>
      <c r="D9831" s="500" t="s">
        <v>761</v>
      </c>
      <c r="E9831" s="501">
        <v>1587678710.8900001</v>
      </c>
      <c r="F9831" s="502" t="s">
        <v>878</v>
      </c>
      <c r="G9831" s="100">
        <v>117645189</v>
      </c>
      <c r="H9831" s="100">
        <v>117645189</v>
      </c>
      <c r="I9831" s="422" t="s">
        <v>682</v>
      </c>
      <c r="J9831" s="484"/>
      <c r="K9831" s="548"/>
      <c r="L9831" s="548"/>
      <c r="M9831" s="548"/>
      <c r="N9831" s="552">
        <v>1628262</v>
      </c>
      <c r="R9831" s="539">
        <v>974.66099999877179</v>
      </c>
      <c r="S9831" s="539">
        <v>975.07570089457397</v>
      </c>
      <c r="T9831" s="538">
        <v>15.530099999999999</v>
      </c>
      <c r="U9831" s="538">
        <v>2380.5100000000002</v>
      </c>
      <c r="V9831" s="538">
        <v>1190.25</v>
      </c>
    </row>
    <row r="9832" spans="1:22">
      <c r="A9832" s="499">
        <v>45832</v>
      </c>
      <c r="B9832" s="499">
        <v>45833</v>
      </c>
      <c r="C9832" s="500" t="s">
        <v>173</v>
      </c>
      <c r="D9832" s="500" t="s">
        <v>761</v>
      </c>
      <c r="E9832" s="501">
        <v>6002566.0199999996</v>
      </c>
      <c r="F9832" s="502" t="s">
        <v>878</v>
      </c>
      <c r="G9832" s="100">
        <v>117645247</v>
      </c>
      <c r="H9832" s="100">
        <v>117645247</v>
      </c>
      <c r="I9832" s="422" t="s">
        <v>682</v>
      </c>
      <c r="J9832" s="484"/>
      <c r="K9832" s="548"/>
      <c r="L9832" s="548"/>
      <c r="M9832" s="548"/>
      <c r="N9832" s="552">
        <v>6156</v>
      </c>
      <c r="R9832" s="539">
        <v>974.66100064977263</v>
      </c>
      <c r="S9832" s="539">
        <v>975.07570175438605</v>
      </c>
      <c r="T9832" s="538">
        <v>15.530099999999999</v>
      </c>
      <c r="U9832" s="538">
        <v>39.32</v>
      </c>
      <c r="V9832" s="538">
        <v>4.5</v>
      </c>
    </row>
    <row r="9833" spans="1:22">
      <c r="A9833" s="499">
        <v>45832</v>
      </c>
      <c r="B9833" s="499">
        <v>45832</v>
      </c>
      <c r="C9833" s="500" t="s">
        <v>173</v>
      </c>
      <c r="D9833" s="500" t="s">
        <v>759</v>
      </c>
      <c r="E9833" s="501">
        <v>-2035243620.1400001</v>
      </c>
      <c r="F9833" s="502" t="s">
        <v>878</v>
      </c>
      <c r="G9833" s="100">
        <v>117648767</v>
      </c>
      <c r="H9833" s="530"/>
      <c r="I9833" s="422" t="s">
        <v>716</v>
      </c>
      <c r="J9833" s="484"/>
      <c r="K9833" s="548"/>
      <c r="L9833" s="548"/>
      <c r="M9833" s="548"/>
      <c r="N9833" s="552">
        <v>2754036</v>
      </c>
      <c r="R9833" s="539">
        <v>739.00399999854767</v>
      </c>
      <c r="S9833" s="539">
        <v>739.31782361595901</v>
      </c>
      <c r="T9833" s="538">
        <v>15.5</v>
      </c>
      <c r="U9833" s="538">
        <v>3052.87</v>
      </c>
      <c r="V9833" s="538">
        <v>1526.43</v>
      </c>
    </row>
    <row r="9834" spans="1:22">
      <c r="A9834" s="499">
        <v>45832</v>
      </c>
      <c r="B9834" s="499">
        <v>45832</v>
      </c>
      <c r="C9834" s="500" t="s">
        <v>173</v>
      </c>
      <c r="D9834" s="500" t="s">
        <v>759</v>
      </c>
      <c r="E9834" s="501">
        <v>-11006725.58</v>
      </c>
      <c r="F9834" s="502" t="s">
        <v>878</v>
      </c>
      <c r="G9834" s="100">
        <v>117648791</v>
      </c>
      <c r="H9834" s="530"/>
      <c r="I9834" s="422" t="s">
        <v>716</v>
      </c>
      <c r="J9834" s="484"/>
      <c r="K9834" s="548"/>
      <c r="L9834" s="548"/>
      <c r="M9834" s="548"/>
      <c r="N9834" s="552">
        <v>14894</v>
      </c>
      <c r="R9834" s="539">
        <v>739.00400026856448</v>
      </c>
      <c r="S9834" s="539">
        <v>739.31782395595496</v>
      </c>
      <c r="T9834" s="538">
        <v>15.5</v>
      </c>
      <c r="U9834" s="538">
        <v>39.32</v>
      </c>
      <c r="V9834" s="538">
        <v>8.26</v>
      </c>
    </row>
    <row r="9835" spans="1:22">
      <c r="A9835" s="499">
        <v>45832</v>
      </c>
      <c r="B9835" s="499">
        <v>45833</v>
      </c>
      <c r="C9835" s="500" t="s">
        <v>173</v>
      </c>
      <c r="D9835" s="500" t="s">
        <v>759</v>
      </c>
      <c r="E9835" s="501">
        <v>2036107901.6800001</v>
      </c>
      <c r="F9835" s="502" t="s">
        <v>878</v>
      </c>
      <c r="G9835" s="100">
        <v>117648767</v>
      </c>
      <c r="H9835" s="100">
        <v>117648767</v>
      </c>
      <c r="I9835" s="422" t="s">
        <v>716</v>
      </c>
      <c r="J9835" s="484"/>
      <c r="K9835" s="548"/>
      <c r="L9835" s="548"/>
      <c r="M9835" s="548"/>
      <c r="N9835" s="552">
        <v>2754036</v>
      </c>
      <c r="R9835" s="539">
        <v>739.00399999854767</v>
      </c>
      <c r="S9835" s="539">
        <v>739.31782361595901</v>
      </c>
      <c r="T9835" s="538">
        <v>15.5</v>
      </c>
      <c r="U9835" s="538">
        <v>3052.87</v>
      </c>
      <c r="V9835" s="538">
        <v>1526.43</v>
      </c>
    </row>
    <row r="9836" spans="1:22">
      <c r="A9836" s="499">
        <v>45832</v>
      </c>
      <c r="B9836" s="499">
        <v>45833</v>
      </c>
      <c r="C9836" s="500" t="s">
        <v>173</v>
      </c>
      <c r="D9836" s="500" t="s">
        <v>759</v>
      </c>
      <c r="E9836" s="501">
        <v>11011399.67</v>
      </c>
      <c r="F9836" s="502" t="s">
        <v>878</v>
      </c>
      <c r="G9836" s="100">
        <v>117648791</v>
      </c>
      <c r="H9836" s="100">
        <v>117648791</v>
      </c>
      <c r="I9836" s="422" t="s">
        <v>716</v>
      </c>
      <c r="J9836" s="484"/>
      <c r="K9836" s="548"/>
      <c r="L9836" s="548"/>
      <c r="M9836" s="548"/>
      <c r="N9836" s="552">
        <v>14894</v>
      </c>
      <c r="R9836" s="539">
        <v>739.00400026856448</v>
      </c>
      <c r="S9836" s="539">
        <v>739.31782395595496</v>
      </c>
      <c r="T9836" s="538">
        <v>15.5</v>
      </c>
      <c r="U9836" s="538">
        <v>39.32</v>
      </c>
      <c r="V9836" s="538">
        <v>8.26</v>
      </c>
    </row>
    <row r="9837" spans="1:22">
      <c r="A9837" s="499">
        <v>45832</v>
      </c>
      <c r="B9837" s="499">
        <v>45832</v>
      </c>
      <c r="C9837" s="500" t="s">
        <v>173</v>
      </c>
      <c r="D9837" s="500" t="s">
        <v>760</v>
      </c>
      <c r="E9837" s="501">
        <v>-1298284521.5999999</v>
      </c>
      <c r="F9837" s="502" t="s">
        <v>878</v>
      </c>
      <c r="G9837" s="100">
        <v>117645703</v>
      </c>
      <c r="H9837" s="530"/>
      <c r="I9837" s="422" t="s">
        <v>829</v>
      </c>
      <c r="J9837" s="484"/>
      <c r="K9837" s="548"/>
      <c r="L9837" s="548"/>
      <c r="M9837" s="548"/>
      <c r="N9837" s="552">
        <v>1246080</v>
      </c>
      <c r="R9837" s="539">
        <v>1041.895</v>
      </c>
      <c r="S9837" s="539">
        <v>1042.3383049162201</v>
      </c>
      <c r="T9837" s="538">
        <v>15.53</v>
      </c>
      <c r="U9837" s="538">
        <v>1947.43</v>
      </c>
      <c r="V9837" s="538">
        <v>973.71</v>
      </c>
    </row>
    <row r="9838" spans="1:22">
      <c r="A9838" s="499">
        <v>45832</v>
      </c>
      <c r="B9838" s="499">
        <v>45832</v>
      </c>
      <c r="C9838" s="500" t="s">
        <v>173</v>
      </c>
      <c r="D9838" s="500" t="s">
        <v>760</v>
      </c>
      <c r="E9838" s="501">
        <v>-7001534.4000000004</v>
      </c>
      <c r="F9838" s="502" t="s">
        <v>878</v>
      </c>
      <c r="G9838" s="100">
        <v>117645784</v>
      </c>
      <c r="H9838" s="530"/>
      <c r="I9838" s="422" t="s">
        <v>829</v>
      </c>
      <c r="J9838" s="484"/>
      <c r="K9838" s="548"/>
      <c r="L9838" s="548"/>
      <c r="M9838" s="548"/>
      <c r="N9838" s="552">
        <v>6720</v>
      </c>
      <c r="R9838" s="539">
        <v>1041.895</v>
      </c>
      <c r="S9838" s="539">
        <v>1042.3383050595201</v>
      </c>
      <c r="T9838" s="538">
        <v>15.53</v>
      </c>
      <c r="U9838" s="538">
        <v>39.32</v>
      </c>
      <c r="V9838" s="538">
        <v>5.25</v>
      </c>
    </row>
    <row r="9839" spans="1:22">
      <c r="A9839" s="499">
        <v>45832</v>
      </c>
      <c r="B9839" s="499">
        <v>45833</v>
      </c>
      <c r="C9839" s="500" t="s">
        <v>173</v>
      </c>
      <c r="D9839" s="500" t="s">
        <v>760</v>
      </c>
      <c r="E9839" s="501">
        <v>1298836914.99</v>
      </c>
      <c r="F9839" s="502" t="s">
        <v>878</v>
      </c>
      <c r="G9839" s="100">
        <v>117645703</v>
      </c>
      <c r="H9839" s="100">
        <v>117645703</v>
      </c>
      <c r="I9839" s="422" t="s">
        <v>829</v>
      </c>
      <c r="J9839" s="484"/>
      <c r="K9839" s="548"/>
      <c r="L9839" s="548"/>
      <c r="M9839" s="548"/>
      <c r="N9839" s="552">
        <v>1246080</v>
      </c>
      <c r="R9839" s="539">
        <v>1041.895</v>
      </c>
      <c r="S9839" s="539">
        <v>1042.3383049162201</v>
      </c>
      <c r="T9839" s="538">
        <v>15.53</v>
      </c>
      <c r="U9839" s="538">
        <v>1947.43</v>
      </c>
      <c r="V9839" s="538">
        <v>973.71</v>
      </c>
    </row>
    <row r="9840" spans="1:22">
      <c r="A9840" s="499">
        <v>45832</v>
      </c>
      <c r="B9840" s="499">
        <v>45833</v>
      </c>
      <c r="C9840" s="500" t="s">
        <v>173</v>
      </c>
      <c r="D9840" s="500" t="s">
        <v>760</v>
      </c>
      <c r="E9840" s="501">
        <v>7004513.4100000001</v>
      </c>
      <c r="F9840" s="502" t="s">
        <v>878</v>
      </c>
      <c r="G9840" s="100">
        <v>117645784</v>
      </c>
      <c r="H9840" s="100">
        <v>117645784</v>
      </c>
      <c r="I9840" s="422" t="s">
        <v>829</v>
      </c>
      <c r="J9840" s="484"/>
      <c r="K9840" s="548"/>
      <c r="L9840" s="548"/>
      <c r="M9840" s="548"/>
      <c r="N9840" s="552">
        <v>6720</v>
      </c>
      <c r="R9840" s="539">
        <v>1041.895</v>
      </c>
      <c r="S9840" s="539">
        <v>1042.3383050595201</v>
      </c>
      <c r="T9840" s="538">
        <v>15.53</v>
      </c>
      <c r="U9840" s="538">
        <v>39.32</v>
      </c>
      <c r="V9840" s="538">
        <v>5.25</v>
      </c>
    </row>
    <row r="9841" spans="1:22">
      <c r="A9841" s="499">
        <v>45832</v>
      </c>
      <c r="B9841" s="499">
        <v>45832</v>
      </c>
      <c r="C9841" s="500" t="s">
        <v>173</v>
      </c>
      <c r="D9841" s="500" t="s">
        <v>763</v>
      </c>
      <c r="E9841" s="501">
        <v>-714444302.91999996</v>
      </c>
      <c r="F9841" s="502" t="s">
        <v>878</v>
      </c>
      <c r="G9841" s="100">
        <v>117647298</v>
      </c>
      <c r="H9841" s="530"/>
      <c r="I9841" s="422" t="s">
        <v>604</v>
      </c>
      <c r="J9841" s="484"/>
      <c r="K9841" s="548"/>
      <c r="L9841" s="548"/>
      <c r="M9841" s="548"/>
      <c r="N9841" s="552">
        <v>720426</v>
      </c>
      <c r="R9841" s="539">
        <v>991.697</v>
      </c>
      <c r="S9841" s="539">
        <v>992.118134312199</v>
      </c>
      <c r="T9841" s="538">
        <v>15.5001</v>
      </c>
      <c r="U9841" s="538">
        <v>1071.67</v>
      </c>
      <c r="V9841" s="538">
        <v>535.83000000000004</v>
      </c>
    </row>
    <row r="9842" spans="1:22">
      <c r="A9842" s="499">
        <v>45832</v>
      </c>
      <c r="B9842" s="499">
        <v>45832</v>
      </c>
      <c r="C9842" s="500" t="s">
        <v>173</v>
      </c>
      <c r="D9842" s="500" t="s">
        <v>763</v>
      </c>
      <c r="E9842" s="501">
        <v>-492043608.42000002</v>
      </c>
      <c r="F9842" s="502" t="s">
        <v>878</v>
      </c>
      <c r="G9842" s="100">
        <v>117647301</v>
      </c>
      <c r="H9842" s="530"/>
      <c r="I9842" s="422" t="s">
        <v>658</v>
      </c>
      <c r="J9842" s="484"/>
      <c r="K9842" s="548"/>
      <c r="L9842" s="548"/>
      <c r="M9842" s="548"/>
      <c r="N9842" s="552">
        <v>499380</v>
      </c>
      <c r="R9842" s="539">
        <v>985.30899999999997</v>
      </c>
      <c r="S9842" s="539">
        <v>985.72742158276299</v>
      </c>
      <c r="T9842" s="538">
        <v>15.5001</v>
      </c>
      <c r="U9842" s="538">
        <v>738.07</v>
      </c>
      <c r="V9842" s="538">
        <v>369.03</v>
      </c>
    </row>
    <row r="9843" spans="1:22">
      <c r="A9843" s="499">
        <v>45832</v>
      </c>
      <c r="B9843" s="499">
        <v>45832</v>
      </c>
      <c r="C9843" s="500" t="s">
        <v>173</v>
      </c>
      <c r="D9843" s="500" t="s">
        <v>763</v>
      </c>
      <c r="E9843" s="501">
        <v>-246103104.75</v>
      </c>
      <c r="F9843" s="502" t="s">
        <v>878</v>
      </c>
      <c r="G9843" s="100">
        <v>117647304</v>
      </c>
      <c r="H9843" s="530"/>
      <c r="I9843" s="422" t="s">
        <v>692</v>
      </c>
      <c r="J9843" s="484"/>
      <c r="K9843" s="548"/>
      <c r="L9843" s="548"/>
      <c r="M9843" s="548"/>
      <c r="N9843" s="552">
        <v>323490</v>
      </c>
      <c r="R9843" s="539">
        <v>760.77499999999998</v>
      </c>
      <c r="S9843" s="539">
        <v>761.098070914093</v>
      </c>
      <c r="T9843" s="538">
        <v>15.5001</v>
      </c>
      <c r="U9843" s="538">
        <v>369.15</v>
      </c>
      <c r="V9843" s="538">
        <v>184.58</v>
      </c>
    </row>
    <row r="9844" spans="1:22">
      <c r="A9844" s="499">
        <v>45832</v>
      </c>
      <c r="B9844" s="499">
        <v>45832</v>
      </c>
      <c r="C9844" s="500" t="s">
        <v>173</v>
      </c>
      <c r="D9844" s="500" t="s">
        <v>763</v>
      </c>
      <c r="E9844" s="501">
        <v>-190093549.91999999</v>
      </c>
      <c r="F9844" s="502" t="s">
        <v>878</v>
      </c>
      <c r="G9844" s="100">
        <v>117647307</v>
      </c>
      <c r="H9844" s="530"/>
      <c r="I9844" s="422" t="s">
        <v>690</v>
      </c>
      <c r="J9844" s="484"/>
      <c r="K9844" s="548"/>
      <c r="L9844" s="548"/>
      <c r="M9844" s="548"/>
      <c r="N9844" s="552">
        <v>208240</v>
      </c>
      <c r="R9844" s="539">
        <v>912.85799999999995</v>
      </c>
      <c r="S9844" s="539">
        <v>913.245654533231</v>
      </c>
      <c r="T9844" s="538">
        <v>15.5001</v>
      </c>
      <c r="U9844" s="538">
        <v>285.14</v>
      </c>
      <c r="V9844" s="538">
        <v>142.57</v>
      </c>
    </row>
    <row r="9845" spans="1:22">
      <c r="A9845" s="499">
        <v>45832</v>
      </c>
      <c r="B9845" s="499">
        <v>45832</v>
      </c>
      <c r="C9845" s="500" t="s">
        <v>173</v>
      </c>
      <c r="D9845" s="500" t="s">
        <v>763</v>
      </c>
      <c r="E9845" s="501">
        <v>-133030255.90000001</v>
      </c>
      <c r="F9845" s="502" t="s">
        <v>878</v>
      </c>
      <c r="G9845" s="100">
        <v>117647310</v>
      </c>
      <c r="H9845" s="530"/>
      <c r="I9845" s="422" t="s">
        <v>598</v>
      </c>
      <c r="J9845" s="484"/>
      <c r="K9845" s="548"/>
      <c r="L9845" s="548"/>
      <c r="M9845" s="548"/>
      <c r="N9845" s="552">
        <v>131404</v>
      </c>
      <c r="R9845" s="539">
        <v>1012.376</v>
      </c>
      <c r="S9845" s="539">
        <v>1012.80591580165</v>
      </c>
      <c r="T9845" s="538">
        <v>15.5001</v>
      </c>
      <c r="U9845" s="538">
        <v>199.55</v>
      </c>
      <c r="V9845" s="538">
        <v>99.77</v>
      </c>
    </row>
    <row r="9846" spans="1:22">
      <c r="A9846" s="499">
        <v>45832</v>
      </c>
      <c r="B9846" s="499">
        <v>45832</v>
      </c>
      <c r="C9846" s="500" t="s">
        <v>173</v>
      </c>
      <c r="D9846" s="500" t="s">
        <v>763</v>
      </c>
      <c r="E9846" s="501">
        <v>-98020509.439999998</v>
      </c>
      <c r="F9846" s="502" t="s">
        <v>878</v>
      </c>
      <c r="G9846" s="100">
        <v>117647313</v>
      </c>
      <c r="H9846" s="530"/>
      <c r="I9846" s="422" t="s">
        <v>715</v>
      </c>
      <c r="J9846" s="484"/>
      <c r="K9846" s="548"/>
      <c r="L9846" s="548"/>
      <c r="M9846" s="548"/>
      <c r="N9846" s="552">
        <v>126224</v>
      </c>
      <c r="R9846" s="539">
        <v>776.56</v>
      </c>
      <c r="S9846" s="539">
        <v>776.88977421092704</v>
      </c>
      <c r="T9846" s="538">
        <v>15.5001</v>
      </c>
      <c r="U9846" s="538">
        <v>147.03</v>
      </c>
      <c r="V9846" s="538">
        <v>73.52</v>
      </c>
    </row>
    <row r="9847" spans="1:22">
      <c r="A9847" s="499">
        <v>45832</v>
      </c>
      <c r="B9847" s="499">
        <v>45832</v>
      </c>
      <c r="C9847" s="500" t="s">
        <v>173</v>
      </c>
      <c r="D9847" s="500" t="s">
        <v>763</v>
      </c>
      <c r="E9847" s="501">
        <v>-42023507.399999999</v>
      </c>
      <c r="F9847" s="502" t="s">
        <v>878</v>
      </c>
      <c r="G9847" s="100">
        <v>117647316</v>
      </c>
      <c r="H9847" s="530"/>
      <c r="I9847" s="422" t="s">
        <v>693</v>
      </c>
      <c r="J9847" s="484"/>
      <c r="K9847" s="548"/>
      <c r="L9847" s="548"/>
      <c r="M9847" s="548"/>
      <c r="N9847" s="552">
        <v>50610</v>
      </c>
      <c r="R9847" s="539">
        <v>830.34</v>
      </c>
      <c r="S9847" s="539">
        <v>830.69261232957899</v>
      </c>
      <c r="T9847" s="538">
        <v>15.5001</v>
      </c>
      <c r="U9847" s="538">
        <v>63.04</v>
      </c>
      <c r="V9847" s="538">
        <v>39.32</v>
      </c>
    </row>
    <row r="9848" spans="1:22">
      <c r="A9848" s="499">
        <v>45832</v>
      </c>
      <c r="B9848" s="499">
        <v>45832</v>
      </c>
      <c r="C9848" s="500" t="s">
        <v>173</v>
      </c>
      <c r="D9848" s="500" t="s">
        <v>763</v>
      </c>
      <c r="E9848" s="501">
        <v>-35001648.049999997</v>
      </c>
      <c r="F9848" s="502" t="s">
        <v>878</v>
      </c>
      <c r="G9848" s="100">
        <v>117647319</v>
      </c>
      <c r="H9848" s="530"/>
      <c r="I9848" s="422" t="s">
        <v>590</v>
      </c>
      <c r="J9848" s="484"/>
      <c r="K9848" s="548"/>
      <c r="L9848" s="548"/>
      <c r="M9848" s="548"/>
      <c r="N9848" s="552">
        <v>40635</v>
      </c>
      <c r="R9848" s="539">
        <v>861.36699999999996</v>
      </c>
      <c r="S9848" s="539">
        <v>861.73278848283496</v>
      </c>
      <c r="T9848" s="538">
        <v>15.5001</v>
      </c>
      <c r="U9848" s="538">
        <v>52.5</v>
      </c>
      <c r="V9848" s="538">
        <v>39.32</v>
      </c>
    </row>
    <row r="9849" spans="1:22">
      <c r="A9849" s="499">
        <v>45832</v>
      </c>
      <c r="B9849" s="499">
        <v>45832</v>
      </c>
      <c r="C9849" s="500" t="s">
        <v>173</v>
      </c>
      <c r="D9849" s="500" t="s">
        <v>763</v>
      </c>
      <c r="E9849" s="501">
        <v>-31015384.309999999</v>
      </c>
      <c r="F9849" s="502" t="s">
        <v>878</v>
      </c>
      <c r="G9849" s="100">
        <v>117647322</v>
      </c>
      <c r="H9849" s="530"/>
      <c r="I9849" s="422" t="s">
        <v>823</v>
      </c>
      <c r="J9849" s="484"/>
      <c r="K9849" s="548"/>
      <c r="L9849" s="548"/>
      <c r="M9849" s="548"/>
      <c r="N9849" s="552">
        <v>28737</v>
      </c>
      <c r="R9849" s="539">
        <v>1079.2840000000001</v>
      </c>
      <c r="S9849" s="539">
        <v>1079.7423290531401</v>
      </c>
      <c r="T9849" s="538">
        <v>15.5001</v>
      </c>
      <c r="U9849" s="538">
        <v>46.52</v>
      </c>
      <c r="V9849" s="538">
        <v>39.32</v>
      </c>
    </row>
    <row r="9850" spans="1:22">
      <c r="A9850" s="499">
        <v>45832</v>
      </c>
      <c r="B9850" s="499">
        <v>45832</v>
      </c>
      <c r="C9850" s="500" t="s">
        <v>173</v>
      </c>
      <c r="D9850" s="500" t="s">
        <v>763</v>
      </c>
      <c r="E9850" s="501">
        <v>-29022815.809999999</v>
      </c>
      <c r="F9850" s="502" t="s">
        <v>878</v>
      </c>
      <c r="G9850" s="100">
        <v>117647325</v>
      </c>
      <c r="H9850" s="530"/>
      <c r="I9850" s="422" t="s">
        <v>821</v>
      </c>
      <c r="J9850" s="484"/>
      <c r="K9850" s="548"/>
      <c r="L9850" s="548"/>
      <c r="M9850" s="548"/>
      <c r="N9850" s="552">
        <v>26912</v>
      </c>
      <c r="R9850" s="539">
        <v>1078.434</v>
      </c>
      <c r="S9850" s="539">
        <v>1078.89196826694</v>
      </c>
      <c r="T9850" s="538">
        <v>15.5001</v>
      </c>
      <c r="U9850" s="538">
        <v>43.53</v>
      </c>
      <c r="V9850" s="538">
        <v>39.32</v>
      </c>
    </row>
    <row r="9851" spans="1:22">
      <c r="A9851" s="499">
        <v>45832</v>
      </c>
      <c r="B9851" s="499">
        <v>45832</v>
      </c>
      <c r="C9851" s="500" t="s">
        <v>173</v>
      </c>
      <c r="D9851" s="500" t="s">
        <v>763</v>
      </c>
      <c r="E9851" s="501">
        <v>-29005798.920000002</v>
      </c>
      <c r="F9851" s="502" t="s">
        <v>878</v>
      </c>
      <c r="G9851" s="100">
        <v>117647328</v>
      </c>
      <c r="H9851" s="530"/>
      <c r="I9851" s="422" t="s">
        <v>550</v>
      </c>
      <c r="J9851" s="484"/>
      <c r="K9851" s="548"/>
      <c r="L9851" s="548"/>
      <c r="M9851" s="548"/>
      <c r="N9851" s="552">
        <v>54636</v>
      </c>
      <c r="R9851" s="539">
        <v>530.89170000000001</v>
      </c>
      <c r="S9851" s="539">
        <v>531.11714858335199</v>
      </c>
      <c r="T9851" s="538">
        <v>15.5001</v>
      </c>
      <c r="U9851" s="538">
        <v>43.51</v>
      </c>
      <c r="V9851" s="538">
        <v>39.32</v>
      </c>
    </row>
    <row r="9852" spans="1:22">
      <c r="A9852" s="499">
        <v>45832</v>
      </c>
      <c r="B9852" s="499">
        <v>45832</v>
      </c>
      <c r="C9852" s="500" t="s">
        <v>173</v>
      </c>
      <c r="D9852" s="500" t="s">
        <v>763</v>
      </c>
      <c r="E9852" s="501">
        <v>-27005650.559999999</v>
      </c>
      <c r="F9852" s="502" t="s">
        <v>878</v>
      </c>
      <c r="G9852" s="100">
        <v>117647331</v>
      </c>
      <c r="H9852" s="530"/>
      <c r="I9852" s="422" t="s">
        <v>715</v>
      </c>
      <c r="J9852" s="484"/>
      <c r="K9852" s="548"/>
      <c r="L9852" s="548"/>
      <c r="M9852" s="548"/>
      <c r="N9852" s="552">
        <v>34776</v>
      </c>
      <c r="R9852" s="539">
        <v>776.56</v>
      </c>
      <c r="S9852" s="539">
        <v>776.88977426961105</v>
      </c>
      <c r="T9852" s="538">
        <v>15.5001</v>
      </c>
      <c r="U9852" s="538">
        <v>40.51</v>
      </c>
      <c r="V9852" s="538">
        <v>39.32</v>
      </c>
    </row>
    <row r="9853" spans="1:22">
      <c r="A9853" s="499">
        <v>45832</v>
      </c>
      <c r="B9853" s="499">
        <v>45832</v>
      </c>
      <c r="C9853" s="500" t="s">
        <v>173</v>
      </c>
      <c r="D9853" s="500" t="s">
        <v>763</v>
      </c>
      <c r="E9853" s="501">
        <v>-26005441.280000001</v>
      </c>
      <c r="F9853" s="502" t="s">
        <v>878</v>
      </c>
      <c r="G9853" s="100">
        <v>117647334</v>
      </c>
      <c r="H9853" s="530"/>
      <c r="I9853" s="422" t="s">
        <v>715</v>
      </c>
      <c r="J9853" s="484"/>
      <c r="K9853" s="548"/>
      <c r="L9853" s="548"/>
      <c r="M9853" s="548"/>
      <c r="N9853" s="552">
        <v>33488</v>
      </c>
      <c r="R9853" s="539">
        <v>776.56</v>
      </c>
      <c r="S9853" s="539">
        <v>776.88977424749203</v>
      </c>
      <c r="T9853" s="538">
        <v>15.5001</v>
      </c>
      <c r="U9853" s="538">
        <v>39.32</v>
      </c>
      <c r="V9853" s="538">
        <v>39.32</v>
      </c>
    </row>
    <row r="9854" spans="1:22">
      <c r="A9854" s="499">
        <v>45832</v>
      </c>
      <c r="B9854" s="499">
        <v>45832</v>
      </c>
      <c r="C9854" s="500" t="s">
        <v>173</v>
      </c>
      <c r="D9854" s="500" t="s">
        <v>763</v>
      </c>
      <c r="E9854" s="501">
        <v>-25015311</v>
      </c>
      <c r="F9854" s="502" t="s">
        <v>878</v>
      </c>
      <c r="G9854" s="100">
        <v>117647337</v>
      </c>
      <c r="H9854" s="530"/>
      <c r="I9854" s="422" t="s">
        <v>588</v>
      </c>
      <c r="J9854" s="484"/>
      <c r="K9854" s="548"/>
      <c r="L9854" s="548"/>
      <c r="M9854" s="548"/>
      <c r="N9854" s="552">
        <v>27000</v>
      </c>
      <c r="R9854" s="539">
        <v>926.49300000000005</v>
      </c>
      <c r="S9854" s="539">
        <v>926.88644481481504</v>
      </c>
      <c r="T9854" s="538">
        <v>15.5001</v>
      </c>
      <c r="U9854" s="538">
        <v>39.32</v>
      </c>
      <c r="V9854" s="538">
        <v>39.32</v>
      </c>
    </row>
    <row r="9855" spans="1:22">
      <c r="A9855" s="499">
        <v>45832</v>
      </c>
      <c r="B9855" s="499">
        <v>45832</v>
      </c>
      <c r="C9855" s="500" t="s">
        <v>173</v>
      </c>
      <c r="D9855" s="500" t="s">
        <v>763</v>
      </c>
      <c r="E9855" s="501">
        <v>-18003599.329999998</v>
      </c>
      <c r="F9855" s="502" t="s">
        <v>878</v>
      </c>
      <c r="G9855" s="100">
        <v>117647340</v>
      </c>
      <c r="H9855" s="530"/>
      <c r="I9855" s="422" t="s">
        <v>550</v>
      </c>
      <c r="J9855" s="484"/>
      <c r="K9855" s="548"/>
      <c r="L9855" s="548"/>
      <c r="M9855" s="548"/>
      <c r="N9855" s="552">
        <v>33912</v>
      </c>
      <c r="R9855" s="539">
        <v>530.89170000000001</v>
      </c>
      <c r="S9855" s="539">
        <v>531.11714850200497</v>
      </c>
      <c r="T9855" s="538">
        <v>15.5001</v>
      </c>
      <c r="U9855" s="538">
        <v>39.32</v>
      </c>
      <c r="V9855" s="538">
        <v>39.32</v>
      </c>
    </row>
    <row r="9856" spans="1:22">
      <c r="A9856" s="499">
        <v>45832</v>
      </c>
      <c r="B9856" s="499">
        <v>45832</v>
      </c>
      <c r="C9856" s="500" t="s">
        <v>173</v>
      </c>
      <c r="D9856" s="500" t="s">
        <v>763</v>
      </c>
      <c r="E9856" s="501">
        <v>-8000709.0800000001</v>
      </c>
      <c r="F9856" s="502" t="s">
        <v>878</v>
      </c>
      <c r="G9856" s="100">
        <v>117647343</v>
      </c>
      <c r="H9856" s="530"/>
      <c r="I9856" s="422" t="s">
        <v>658</v>
      </c>
      <c r="J9856" s="484"/>
      <c r="K9856" s="548"/>
      <c r="L9856" s="548"/>
      <c r="M9856" s="548"/>
      <c r="N9856" s="552">
        <v>8120</v>
      </c>
      <c r="R9856" s="539">
        <v>985.30899999999997</v>
      </c>
      <c r="S9856" s="539">
        <v>985.72742118226597</v>
      </c>
      <c r="T9856" s="538">
        <v>15.5001</v>
      </c>
      <c r="U9856" s="538">
        <v>39.32</v>
      </c>
      <c r="V9856" s="538">
        <v>39.32</v>
      </c>
    </row>
    <row r="9857" spans="1:22">
      <c r="A9857" s="499">
        <v>45832</v>
      </c>
      <c r="B9857" s="499">
        <v>45832</v>
      </c>
      <c r="C9857" s="500" t="s">
        <v>173</v>
      </c>
      <c r="D9857" s="500" t="s">
        <v>763</v>
      </c>
      <c r="E9857" s="501">
        <v>-4002865.33</v>
      </c>
      <c r="F9857" s="502" t="s">
        <v>878</v>
      </c>
      <c r="G9857" s="100">
        <v>117647346</v>
      </c>
      <c r="H9857" s="530"/>
      <c r="I9857" s="422" t="s">
        <v>673</v>
      </c>
      <c r="J9857" s="484"/>
      <c r="K9857" s="548"/>
      <c r="L9857" s="548"/>
      <c r="M9857" s="548"/>
      <c r="N9857" s="552">
        <v>4564</v>
      </c>
      <c r="R9857" s="539">
        <v>877.05200000000002</v>
      </c>
      <c r="S9857" s="539">
        <v>877.42445004382103</v>
      </c>
      <c r="T9857" s="538">
        <v>15.5001</v>
      </c>
      <c r="U9857" s="538">
        <v>39.32</v>
      </c>
      <c r="V9857" s="538">
        <v>39.32</v>
      </c>
    </row>
    <row r="9858" spans="1:22">
      <c r="A9858" s="499">
        <v>45832</v>
      </c>
      <c r="B9858" s="499">
        <v>45832</v>
      </c>
      <c r="C9858" s="500" t="s">
        <v>173</v>
      </c>
      <c r="D9858" s="500" t="s">
        <v>763</v>
      </c>
      <c r="E9858" s="501">
        <v>-118065165.69</v>
      </c>
      <c r="F9858" s="502" t="s">
        <v>878</v>
      </c>
      <c r="G9858" s="100">
        <v>117647349</v>
      </c>
      <c r="H9858" s="530"/>
      <c r="I9858" s="422" t="s">
        <v>833</v>
      </c>
      <c r="J9858" s="484"/>
      <c r="K9858" s="548"/>
      <c r="L9858" s="548"/>
      <c r="M9858" s="548"/>
      <c r="N9858" s="552">
        <v>198594</v>
      </c>
      <c r="R9858" s="539">
        <v>594.50519999999995</v>
      </c>
      <c r="S9858" s="539">
        <v>594.75766276926799</v>
      </c>
      <c r="T9858" s="538">
        <v>15.5001</v>
      </c>
      <c r="U9858" s="538">
        <v>177.1</v>
      </c>
      <c r="V9858" s="538">
        <v>88.55</v>
      </c>
    </row>
    <row r="9859" spans="1:22">
      <c r="A9859" s="499">
        <v>45832</v>
      </c>
      <c r="B9859" s="499">
        <v>45832</v>
      </c>
      <c r="C9859" s="500" t="s">
        <v>173</v>
      </c>
      <c r="D9859" s="500" t="s">
        <v>763</v>
      </c>
      <c r="E9859" s="501">
        <v>-180099405.28999999</v>
      </c>
      <c r="F9859" s="502" t="s">
        <v>878</v>
      </c>
      <c r="G9859" s="100">
        <v>117647352</v>
      </c>
      <c r="H9859" s="530"/>
      <c r="I9859" s="422" t="s">
        <v>833</v>
      </c>
      <c r="J9859" s="484"/>
      <c r="K9859" s="548"/>
      <c r="L9859" s="548"/>
      <c r="M9859" s="548"/>
      <c r="N9859" s="552">
        <v>302940</v>
      </c>
      <c r="R9859" s="539">
        <v>594.50519999999995</v>
      </c>
      <c r="S9859" s="539">
        <v>594.75766273849604</v>
      </c>
      <c r="T9859" s="538">
        <v>15.5001</v>
      </c>
      <c r="U9859" s="538">
        <v>270.14999999999998</v>
      </c>
      <c r="V9859" s="538">
        <v>135.07</v>
      </c>
    </row>
    <row r="9860" spans="1:22">
      <c r="A9860" s="499">
        <v>45832</v>
      </c>
      <c r="B9860" s="499">
        <v>45832</v>
      </c>
      <c r="C9860" s="500" t="s">
        <v>173</v>
      </c>
      <c r="D9860" s="500" t="s">
        <v>763</v>
      </c>
      <c r="E9860" s="501">
        <v>-29023711.559999999</v>
      </c>
      <c r="F9860" s="502" t="s">
        <v>878</v>
      </c>
      <c r="G9860" s="100">
        <v>117647355</v>
      </c>
      <c r="H9860" s="530"/>
      <c r="I9860" s="422" t="s">
        <v>656</v>
      </c>
      <c r="J9860" s="484"/>
      <c r="K9860" s="548"/>
      <c r="L9860" s="548"/>
      <c r="M9860" s="548"/>
      <c r="N9860" s="552">
        <v>29058</v>
      </c>
      <c r="R9860" s="539">
        <v>998.82</v>
      </c>
      <c r="S9860" s="539">
        <v>999.24415926767199</v>
      </c>
      <c r="T9860" s="538">
        <v>15.5001</v>
      </c>
      <c r="U9860" s="538">
        <v>43.54</v>
      </c>
      <c r="V9860" s="538">
        <v>39.32</v>
      </c>
    </row>
    <row r="9861" spans="1:22">
      <c r="A9861" s="499">
        <v>45832</v>
      </c>
      <c r="B9861" s="499">
        <v>45832</v>
      </c>
      <c r="C9861" s="500" t="s">
        <v>173</v>
      </c>
      <c r="D9861" s="500" t="s">
        <v>763</v>
      </c>
      <c r="E9861" s="501">
        <v>-88004143.659999996</v>
      </c>
      <c r="F9861" s="502" t="s">
        <v>878</v>
      </c>
      <c r="G9861" s="100">
        <v>117647358</v>
      </c>
      <c r="H9861" s="530"/>
      <c r="I9861" s="422" t="s">
        <v>590</v>
      </c>
      <c r="J9861" s="484"/>
      <c r="K9861" s="548"/>
      <c r="L9861" s="548"/>
      <c r="M9861" s="548"/>
      <c r="N9861" s="552">
        <v>102168</v>
      </c>
      <c r="R9861" s="539">
        <v>861.36699999999996</v>
      </c>
      <c r="S9861" s="539">
        <v>861.73278834860196</v>
      </c>
      <c r="T9861" s="538">
        <v>15.5001</v>
      </c>
      <c r="U9861" s="538">
        <v>132.01</v>
      </c>
      <c r="V9861" s="538">
        <v>66</v>
      </c>
    </row>
    <row r="9862" spans="1:22">
      <c r="A9862" s="499">
        <v>45832</v>
      </c>
      <c r="B9862" s="499">
        <v>45832</v>
      </c>
      <c r="C9862" s="500" t="s">
        <v>173</v>
      </c>
      <c r="D9862" s="500" t="s">
        <v>763</v>
      </c>
      <c r="E9862" s="501">
        <v>-135069226.11000001</v>
      </c>
      <c r="F9862" s="502" t="s">
        <v>878</v>
      </c>
      <c r="G9862" s="100">
        <v>117647361</v>
      </c>
      <c r="H9862" s="530"/>
      <c r="I9862" s="422" t="s">
        <v>687</v>
      </c>
      <c r="J9862" s="484"/>
      <c r="K9862" s="548"/>
      <c r="L9862" s="548"/>
      <c r="M9862" s="548"/>
      <c r="N9862" s="552">
        <v>159705</v>
      </c>
      <c r="R9862" s="539">
        <v>845.74199999999996</v>
      </c>
      <c r="S9862" s="539">
        <v>846.10115300084499</v>
      </c>
      <c r="T9862" s="538">
        <v>15.5001</v>
      </c>
      <c r="U9862" s="538">
        <v>202.6</v>
      </c>
      <c r="V9862" s="538">
        <v>101.3</v>
      </c>
    </row>
    <row r="9863" spans="1:22">
      <c r="A9863" s="499">
        <v>45832</v>
      </c>
      <c r="B9863" s="499">
        <v>45832</v>
      </c>
      <c r="C9863" s="500" t="s">
        <v>173</v>
      </c>
      <c r="D9863" s="500" t="s">
        <v>763</v>
      </c>
      <c r="E9863" s="501">
        <v>-3200323958.4000001</v>
      </c>
      <c r="F9863" s="502" t="s">
        <v>878</v>
      </c>
      <c r="G9863" s="100">
        <v>117647364</v>
      </c>
      <c r="H9863" s="530"/>
      <c r="I9863" s="422" t="s">
        <v>719</v>
      </c>
      <c r="J9863" s="484"/>
      <c r="K9863" s="548"/>
      <c r="L9863" s="548"/>
      <c r="M9863" s="548"/>
      <c r="N9863" s="552">
        <v>4425600</v>
      </c>
      <c r="R9863" s="539">
        <v>723.13900000000001</v>
      </c>
      <c r="S9863" s="539">
        <v>723.44608642443995</v>
      </c>
      <c r="T9863" s="538">
        <v>15.5</v>
      </c>
      <c r="U9863" s="538">
        <v>4800.49</v>
      </c>
      <c r="V9863" s="538">
        <v>2400.2399999999998</v>
      </c>
    </row>
    <row r="9864" spans="1:22">
      <c r="A9864" s="499">
        <v>45832</v>
      </c>
      <c r="B9864" s="499">
        <v>45832</v>
      </c>
      <c r="C9864" s="500" t="s">
        <v>173</v>
      </c>
      <c r="D9864" s="500" t="s">
        <v>763</v>
      </c>
      <c r="E9864" s="501">
        <v>-34003442.060000002</v>
      </c>
      <c r="F9864" s="502" t="s">
        <v>878</v>
      </c>
      <c r="G9864" s="100">
        <v>117647387</v>
      </c>
      <c r="H9864" s="530"/>
      <c r="I9864" s="422" t="s">
        <v>719</v>
      </c>
      <c r="J9864" s="484"/>
      <c r="K9864" s="548"/>
      <c r="L9864" s="548"/>
      <c r="M9864" s="548"/>
      <c r="N9864" s="552">
        <v>47022</v>
      </c>
      <c r="R9864" s="539">
        <v>723.13900000000001</v>
      </c>
      <c r="S9864" s="539">
        <v>723.44608651269596</v>
      </c>
      <c r="T9864" s="538">
        <v>15.5</v>
      </c>
      <c r="U9864" s="538">
        <v>51.01</v>
      </c>
      <c r="V9864" s="538">
        <v>39.32</v>
      </c>
    </row>
    <row r="9865" spans="1:22">
      <c r="A9865" s="499">
        <v>45832</v>
      </c>
      <c r="B9865" s="499">
        <v>45832</v>
      </c>
      <c r="C9865" s="500" t="s">
        <v>173</v>
      </c>
      <c r="D9865" s="500" t="s">
        <v>763</v>
      </c>
      <c r="E9865" s="501">
        <v>-1000101.24</v>
      </c>
      <c r="F9865" s="502" t="s">
        <v>878</v>
      </c>
      <c r="G9865" s="100">
        <v>117647413</v>
      </c>
      <c r="H9865" s="530"/>
      <c r="I9865" s="422" t="s">
        <v>719</v>
      </c>
      <c r="J9865" s="484"/>
      <c r="K9865" s="548"/>
      <c r="L9865" s="548"/>
      <c r="M9865" s="548"/>
      <c r="N9865" s="552">
        <v>1383</v>
      </c>
      <c r="R9865" s="539">
        <v>723.13900000000001</v>
      </c>
      <c r="S9865" s="539">
        <v>723.44608821402699</v>
      </c>
      <c r="T9865" s="538">
        <v>15.5</v>
      </c>
      <c r="U9865" s="538">
        <v>39.32</v>
      </c>
      <c r="V9865" s="538">
        <v>39.32</v>
      </c>
    </row>
    <row r="9866" spans="1:22">
      <c r="A9866" s="499">
        <v>45832</v>
      </c>
      <c r="B9866" s="499">
        <v>45833</v>
      </c>
      <c r="C9866" s="500" t="s">
        <v>173</v>
      </c>
      <c r="D9866" s="500" t="s">
        <v>763</v>
      </c>
      <c r="E9866" s="501">
        <v>714747699.02999997</v>
      </c>
      <c r="F9866" s="502" t="s">
        <v>878</v>
      </c>
      <c r="G9866" s="100">
        <v>117647298</v>
      </c>
      <c r="H9866" s="100">
        <v>117647298</v>
      </c>
      <c r="I9866" s="422" t="s">
        <v>604</v>
      </c>
      <c r="J9866" s="484"/>
      <c r="K9866" s="548"/>
      <c r="L9866" s="548"/>
      <c r="M9866" s="548"/>
      <c r="N9866" s="552">
        <v>720426</v>
      </c>
      <c r="R9866" s="539">
        <v>991.697</v>
      </c>
      <c r="S9866" s="539">
        <v>992.118134312199</v>
      </c>
      <c r="T9866" s="538">
        <v>15.5001</v>
      </c>
      <c r="U9866" s="538">
        <v>1071.67</v>
      </c>
      <c r="V9866" s="538">
        <v>535.83000000000004</v>
      </c>
    </row>
    <row r="9867" spans="1:22">
      <c r="A9867" s="499">
        <v>45832</v>
      </c>
      <c r="B9867" s="499">
        <v>45833</v>
      </c>
      <c r="C9867" s="500" t="s">
        <v>173</v>
      </c>
      <c r="D9867" s="500" t="s">
        <v>763</v>
      </c>
      <c r="E9867" s="501">
        <v>492252559.79000002</v>
      </c>
      <c r="F9867" s="502" t="s">
        <v>878</v>
      </c>
      <c r="G9867" s="100">
        <v>117647301</v>
      </c>
      <c r="H9867" s="100">
        <v>117647301</v>
      </c>
      <c r="I9867" s="422" t="s">
        <v>658</v>
      </c>
      <c r="J9867" s="484"/>
      <c r="K9867" s="548"/>
      <c r="L9867" s="548"/>
      <c r="M9867" s="548"/>
      <c r="N9867" s="552">
        <v>499380</v>
      </c>
      <c r="R9867" s="539">
        <v>985.30899999999997</v>
      </c>
      <c r="S9867" s="539">
        <v>985.72742158276299</v>
      </c>
      <c r="T9867" s="538">
        <v>15.5001</v>
      </c>
      <c r="U9867" s="538">
        <v>738.07</v>
      </c>
      <c r="V9867" s="538">
        <v>369.03</v>
      </c>
    </row>
    <row r="9868" spans="1:22">
      <c r="A9868" s="499">
        <v>45832</v>
      </c>
      <c r="B9868" s="499">
        <v>45833</v>
      </c>
      <c r="C9868" s="500" t="s">
        <v>173</v>
      </c>
      <c r="D9868" s="500" t="s">
        <v>763</v>
      </c>
      <c r="E9868" s="501">
        <v>246207614.96000001</v>
      </c>
      <c r="F9868" s="502" t="s">
        <v>878</v>
      </c>
      <c r="G9868" s="100">
        <v>117647304</v>
      </c>
      <c r="H9868" s="100">
        <v>117647304</v>
      </c>
      <c r="I9868" s="422" t="s">
        <v>692</v>
      </c>
      <c r="J9868" s="484"/>
      <c r="K9868" s="548"/>
      <c r="L9868" s="548"/>
      <c r="M9868" s="548"/>
      <c r="N9868" s="552">
        <v>323490</v>
      </c>
      <c r="R9868" s="539">
        <v>760.77499999999998</v>
      </c>
      <c r="S9868" s="539">
        <v>761.098070914093</v>
      </c>
      <c r="T9868" s="538">
        <v>15.5001</v>
      </c>
      <c r="U9868" s="538">
        <v>369.15</v>
      </c>
      <c r="V9868" s="538">
        <v>184.58</v>
      </c>
    </row>
    <row r="9869" spans="1:22">
      <c r="A9869" s="499">
        <v>45832</v>
      </c>
      <c r="B9869" s="499">
        <v>45833</v>
      </c>
      <c r="C9869" s="500" t="s">
        <v>173</v>
      </c>
      <c r="D9869" s="500" t="s">
        <v>763</v>
      </c>
      <c r="E9869" s="501">
        <v>190174275.09999999</v>
      </c>
      <c r="F9869" s="502" t="s">
        <v>878</v>
      </c>
      <c r="G9869" s="100">
        <v>117647307</v>
      </c>
      <c r="H9869" s="100">
        <v>117647307</v>
      </c>
      <c r="I9869" s="422" t="s">
        <v>690</v>
      </c>
      <c r="J9869" s="484"/>
      <c r="K9869" s="548"/>
      <c r="L9869" s="548"/>
      <c r="M9869" s="548"/>
      <c r="N9869" s="552">
        <v>208240</v>
      </c>
      <c r="R9869" s="539">
        <v>912.85799999999995</v>
      </c>
      <c r="S9869" s="539">
        <v>913.245654533231</v>
      </c>
      <c r="T9869" s="538">
        <v>15.5001</v>
      </c>
      <c r="U9869" s="538">
        <v>285.14</v>
      </c>
      <c r="V9869" s="538">
        <v>142.57</v>
      </c>
    </row>
    <row r="9870" spans="1:22">
      <c r="A9870" s="499">
        <v>45832</v>
      </c>
      <c r="B9870" s="499">
        <v>45833</v>
      </c>
      <c r="C9870" s="500" t="s">
        <v>173</v>
      </c>
      <c r="D9870" s="500" t="s">
        <v>763</v>
      </c>
      <c r="E9870" s="501">
        <v>133086748.56</v>
      </c>
      <c r="F9870" s="502" t="s">
        <v>878</v>
      </c>
      <c r="G9870" s="100">
        <v>117647310</v>
      </c>
      <c r="H9870" s="100">
        <v>117647310</v>
      </c>
      <c r="I9870" s="422" t="s">
        <v>598</v>
      </c>
      <c r="J9870" s="484"/>
      <c r="K9870" s="548"/>
      <c r="L9870" s="548"/>
      <c r="M9870" s="548"/>
      <c r="N9870" s="552">
        <v>131404</v>
      </c>
      <c r="R9870" s="539">
        <v>1012.376</v>
      </c>
      <c r="S9870" s="539">
        <v>1012.80591580165</v>
      </c>
      <c r="T9870" s="538">
        <v>15.5001</v>
      </c>
      <c r="U9870" s="538">
        <v>199.55</v>
      </c>
      <c r="V9870" s="538">
        <v>99.77</v>
      </c>
    </row>
    <row r="9871" spans="1:22">
      <c r="A9871" s="499">
        <v>45832</v>
      </c>
      <c r="B9871" s="499">
        <v>45833</v>
      </c>
      <c r="C9871" s="500" t="s">
        <v>173</v>
      </c>
      <c r="D9871" s="500" t="s">
        <v>763</v>
      </c>
      <c r="E9871" s="501">
        <v>98062134.859999999</v>
      </c>
      <c r="F9871" s="502" t="s">
        <v>878</v>
      </c>
      <c r="G9871" s="100">
        <v>117647313</v>
      </c>
      <c r="H9871" s="100">
        <v>117647313</v>
      </c>
      <c r="I9871" s="422" t="s">
        <v>715</v>
      </c>
      <c r="J9871" s="484"/>
      <c r="K9871" s="548"/>
      <c r="L9871" s="548"/>
      <c r="M9871" s="548"/>
      <c r="N9871" s="552">
        <v>126224</v>
      </c>
      <c r="R9871" s="539">
        <v>776.56</v>
      </c>
      <c r="S9871" s="539">
        <v>776.88977421092704</v>
      </c>
      <c r="T9871" s="538">
        <v>15.5001</v>
      </c>
      <c r="U9871" s="538">
        <v>147.03</v>
      </c>
      <c r="V9871" s="538">
        <v>73.52</v>
      </c>
    </row>
    <row r="9872" spans="1:22">
      <c r="A9872" s="499">
        <v>45832</v>
      </c>
      <c r="B9872" s="499">
        <v>45833</v>
      </c>
      <c r="C9872" s="500" t="s">
        <v>173</v>
      </c>
      <c r="D9872" s="500" t="s">
        <v>763</v>
      </c>
      <c r="E9872" s="501">
        <v>42041353.109999999</v>
      </c>
      <c r="F9872" s="502" t="s">
        <v>878</v>
      </c>
      <c r="G9872" s="100">
        <v>117647316</v>
      </c>
      <c r="H9872" s="100">
        <v>117647316</v>
      </c>
      <c r="I9872" s="422" t="s">
        <v>693</v>
      </c>
      <c r="J9872" s="484"/>
      <c r="K9872" s="548"/>
      <c r="L9872" s="548"/>
      <c r="M9872" s="548"/>
      <c r="N9872" s="552">
        <v>50610</v>
      </c>
      <c r="R9872" s="539">
        <v>830.34</v>
      </c>
      <c r="S9872" s="539">
        <v>830.69261232957899</v>
      </c>
      <c r="T9872" s="538">
        <v>15.5001</v>
      </c>
      <c r="U9872" s="538">
        <v>63.04</v>
      </c>
      <c r="V9872" s="538">
        <v>39.32</v>
      </c>
    </row>
    <row r="9873" spans="1:22">
      <c r="A9873" s="499">
        <v>45832</v>
      </c>
      <c r="B9873" s="499">
        <v>45833</v>
      </c>
      <c r="C9873" s="500" t="s">
        <v>173</v>
      </c>
      <c r="D9873" s="500" t="s">
        <v>763</v>
      </c>
      <c r="E9873" s="501">
        <v>35016511.859999999</v>
      </c>
      <c r="F9873" s="502" t="s">
        <v>878</v>
      </c>
      <c r="G9873" s="100">
        <v>117647319</v>
      </c>
      <c r="H9873" s="100">
        <v>117647319</v>
      </c>
      <c r="I9873" s="422" t="s">
        <v>590</v>
      </c>
      <c r="J9873" s="484"/>
      <c r="K9873" s="548"/>
      <c r="L9873" s="548"/>
      <c r="M9873" s="548"/>
      <c r="N9873" s="552">
        <v>40635</v>
      </c>
      <c r="R9873" s="539">
        <v>861.36699999999996</v>
      </c>
      <c r="S9873" s="539">
        <v>861.73278848283496</v>
      </c>
      <c r="T9873" s="538">
        <v>15.5001</v>
      </c>
      <c r="U9873" s="538">
        <v>52.5</v>
      </c>
      <c r="V9873" s="538">
        <v>39.32</v>
      </c>
    </row>
    <row r="9874" spans="1:22">
      <c r="A9874" s="499">
        <v>45832</v>
      </c>
      <c r="B9874" s="499">
        <v>45833</v>
      </c>
      <c r="C9874" s="500" t="s">
        <v>173</v>
      </c>
      <c r="D9874" s="500" t="s">
        <v>763</v>
      </c>
      <c r="E9874" s="501">
        <v>31028555.309999999</v>
      </c>
      <c r="F9874" s="502" t="s">
        <v>878</v>
      </c>
      <c r="G9874" s="100">
        <v>117647322</v>
      </c>
      <c r="H9874" s="100">
        <v>117647322</v>
      </c>
      <c r="I9874" s="422" t="s">
        <v>823</v>
      </c>
      <c r="J9874" s="484"/>
      <c r="K9874" s="548"/>
      <c r="L9874" s="548"/>
      <c r="M9874" s="548"/>
      <c r="N9874" s="552">
        <v>28737</v>
      </c>
      <c r="R9874" s="539">
        <v>1079.2840000000001</v>
      </c>
      <c r="S9874" s="539">
        <v>1079.7423290531401</v>
      </c>
      <c r="T9874" s="538">
        <v>15.5001</v>
      </c>
      <c r="U9874" s="538">
        <v>46.52</v>
      </c>
      <c r="V9874" s="538">
        <v>39.32</v>
      </c>
    </row>
    <row r="9875" spans="1:22">
      <c r="A9875" s="499">
        <v>45832</v>
      </c>
      <c r="B9875" s="499">
        <v>45833</v>
      </c>
      <c r="C9875" s="500" t="s">
        <v>173</v>
      </c>
      <c r="D9875" s="500" t="s">
        <v>763</v>
      </c>
      <c r="E9875" s="501">
        <v>29035140.649999999</v>
      </c>
      <c r="F9875" s="502" t="s">
        <v>878</v>
      </c>
      <c r="G9875" s="100">
        <v>117647325</v>
      </c>
      <c r="H9875" s="100">
        <v>117647325</v>
      </c>
      <c r="I9875" s="422" t="s">
        <v>821</v>
      </c>
      <c r="J9875" s="484"/>
      <c r="K9875" s="548"/>
      <c r="L9875" s="548"/>
      <c r="M9875" s="548"/>
      <c r="N9875" s="552">
        <v>26912</v>
      </c>
      <c r="R9875" s="539">
        <v>1078.434</v>
      </c>
      <c r="S9875" s="539">
        <v>1078.89196826694</v>
      </c>
      <c r="T9875" s="538">
        <v>15.5001</v>
      </c>
      <c r="U9875" s="538">
        <v>43.53</v>
      </c>
      <c r="V9875" s="538">
        <v>39.32</v>
      </c>
    </row>
    <row r="9876" spans="1:22">
      <c r="A9876" s="499">
        <v>45832</v>
      </c>
      <c r="B9876" s="499">
        <v>45833</v>
      </c>
      <c r="C9876" s="500" t="s">
        <v>173</v>
      </c>
      <c r="D9876" s="500" t="s">
        <v>763</v>
      </c>
      <c r="E9876" s="501">
        <v>29018116.530000001</v>
      </c>
      <c r="F9876" s="502" t="s">
        <v>878</v>
      </c>
      <c r="G9876" s="100">
        <v>117647328</v>
      </c>
      <c r="H9876" s="100">
        <v>117647328</v>
      </c>
      <c r="I9876" s="422" t="s">
        <v>550</v>
      </c>
      <c r="J9876" s="484"/>
      <c r="K9876" s="548"/>
      <c r="L9876" s="548"/>
      <c r="M9876" s="548"/>
      <c r="N9876" s="552">
        <v>54636</v>
      </c>
      <c r="R9876" s="539">
        <v>530.89170000000001</v>
      </c>
      <c r="S9876" s="539">
        <v>531.11714858335199</v>
      </c>
      <c r="T9876" s="538">
        <v>15.5001</v>
      </c>
      <c r="U9876" s="538">
        <v>43.51</v>
      </c>
      <c r="V9876" s="538">
        <v>39.32</v>
      </c>
    </row>
    <row r="9877" spans="1:22">
      <c r="A9877" s="499">
        <v>45832</v>
      </c>
      <c r="B9877" s="499">
        <v>45833</v>
      </c>
      <c r="C9877" s="500" t="s">
        <v>173</v>
      </c>
      <c r="D9877" s="500" t="s">
        <v>763</v>
      </c>
      <c r="E9877" s="501">
        <v>27017118.789999999</v>
      </c>
      <c r="F9877" s="502" t="s">
        <v>878</v>
      </c>
      <c r="G9877" s="100">
        <v>117647331</v>
      </c>
      <c r="H9877" s="100">
        <v>117647331</v>
      </c>
      <c r="I9877" s="422" t="s">
        <v>715</v>
      </c>
      <c r="J9877" s="484"/>
      <c r="K9877" s="548"/>
      <c r="L9877" s="548"/>
      <c r="M9877" s="548"/>
      <c r="N9877" s="552">
        <v>34776</v>
      </c>
      <c r="R9877" s="539">
        <v>776.56</v>
      </c>
      <c r="S9877" s="539">
        <v>776.88977426961105</v>
      </c>
      <c r="T9877" s="538">
        <v>15.5001</v>
      </c>
      <c r="U9877" s="538">
        <v>40.51</v>
      </c>
      <c r="V9877" s="538">
        <v>39.32</v>
      </c>
    </row>
    <row r="9878" spans="1:22">
      <c r="A9878" s="499">
        <v>45832</v>
      </c>
      <c r="B9878" s="499">
        <v>45833</v>
      </c>
      <c r="C9878" s="500" t="s">
        <v>173</v>
      </c>
      <c r="D9878" s="500" t="s">
        <v>763</v>
      </c>
      <c r="E9878" s="501">
        <v>26016484.760000002</v>
      </c>
      <c r="F9878" s="502" t="s">
        <v>878</v>
      </c>
      <c r="G9878" s="100">
        <v>117647334</v>
      </c>
      <c r="H9878" s="100">
        <v>117647334</v>
      </c>
      <c r="I9878" s="422" t="s">
        <v>715</v>
      </c>
      <c r="J9878" s="484"/>
      <c r="K9878" s="548"/>
      <c r="L9878" s="548"/>
      <c r="M9878" s="548"/>
      <c r="N9878" s="552">
        <v>33488</v>
      </c>
      <c r="R9878" s="539">
        <v>776.56</v>
      </c>
      <c r="S9878" s="539">
        <v>776.88977424749203</v>
      </c>
      <c r="T9878" s="538">
        <v>15.5001</v>
      </c>
      <c r="U9878" s="538">
        <v>39.32</v>
      </c>
      <c r="V9878" s="538">
        <v>39.32</v>
      </c>
    </row>
    <row r="9879" spans="1:22">
      <c r="A9879" s="499">
        <v>45832</v>
      </c>
      <c r="B9879" s="499">
        <v>45833</v>
      </c>
      <c r="C9879" s="500" t="s">
        <v>173</v>
      </c>
      <c r="D9879" s="500" t="s">
        <v>763</v>
      </c>
      <c r="E9879" s="501">
        <v>25025934.010000002</v>
      </c>
      <c r="F9879" s="502" t="s">
        <v>878</v>
      </c>
      <c r="G9879" s="100">
        <v>117647337</v>
      </c>
      <c r="H9879" s="100">
        <v>117647337</v>
      </c>
      <c r="I9879" s="422" t="s">
        <v>588</v>
      </c>
      <c r="J9879" s="484"/>
      <c r="K9879" s="548"/>
      <c r="L9879" s="548"/>
      <c r="M9879" s="548"/>
      <c r="N9879" s="552">
        <v>27000</v>
      </c>
      <c r="R9879" s="539">
        <v>926.49300000000005</v>
      </c>
      <c r="S9879" s="539">
        <v>926.88644481481504</v>
      </c>
      <c r="T9879" s="538">
        <v>15.5001</v>
      </c>
      <c r="U9879" s="538">
        <v>39.32</v>
      </c>
      <c r="V9879" s="538">
        <v>39.32</v>
      </c>
    </row>
    <row r="9880" spans="1:22">
      <c r="A9880" s="499">
        <v>45832</v>
      </c>
      <c r="B9880" s="499">
        <v>45833</v>
      </c>
      <c r="C9880" s="500" t="s">
        <v>173</v>
      </c>
      <c r="D9880" s="500" t="s">
        <v>763</v>
      </c>
      <c r="E9880" s="501">
        <v>18011244.739999998</v>
      </c>
      <c r="F9880" s="502" t="s">
        <v>878</v>
      </c>
      <c r="G9880" s="100">
        <v>117647340</v>
      </c>
      <c r="H9880" s="100">
        <v>117647340</v>
      </c>
      <c r="I9880" s="422" t="s">
        <v>550</v>
      </c>
      <c r="J9880" s="484"/>
      <c r="K9880" s="548"/>
      <c r="L9880" s="548"/>
      <c r="M9880" s="548"/>
      <c r="N9880" s="552">
        <v>33912</v>
      </c>
      <c r="R9880" s="539">
        <v>530.89170000000001</v>
      </c>
      <c r="S9880" s="539">
        <v>531.11714850200497</v>
      </c>
      <c r="T9880" s="538">
        <v>15.5001</v>
      </c>
      <c r="U9880" s="538">
        <v>39.32</v>
      </c>
      <c r="V9880" s="538">
        <v>39.32</v>
      </c>
    </row>
    <row r="9881" spans="1:22">
      <c r="A9881" s="499">
        <v>45832</v>
      </c>
      <c r="B9881" s="499">
        <v>45833</v>
      </c>
      <c r="C9881" s="500" t="s">
        <v>173</v>
      </c>
      <c r="D9881" s="500" t="s">
        <v>763</v>
      </c>
      <c r="E9881" s="501">
        <v>8004106.6600000001</v>
      </c>
      <c r="F9881" s="502" t="s">
        <v>878</v>
      </c>
      <c r="G9881" s="100">
        <v>117647343</v>
      </c>
      <c r="H9881" s="100">
        <v>117647343</v>
      </c>
      <c r="I9881" s="422" t="s">
        <v>658</v>
      </c>
      <c r="J9881" s="484"/>
      <c r="K9881" s="548"/>
      <c r="L9881" s="548"/>
      <c r="M9881" s="548"/>
      <c r="N9881" s="552">
        <v>8120</v>
      </c>
      <c r="R9881" s="539">
        <v>985.30899999999997</v>
      </c>
      <c r="S9881" s="539">
        <v>985.72742118226597</v>
      </c>
      <c r="T9881" s="538">
        <v>15.5001</v>
      </c>
      <c r="U9881" s="538">
        <v>39.32</v>
      </c>
      <c r="V9881" s="538">
        <v>39.32</v>
      </c>
    </row>
    <row r="9882" spans="1:22">
      <c r="A9882" s="499">
        <v>45832</v>
      </c>
      <c r="B9882" s="499">
        <v>45833</v>
      </c>
      <c r="C9882" s="500" t="s">
        <v>173</v>
      </c>
      <c r="D9882" s="500" t="s">
        <v>763</v>
      </c>
      <c r="E9882" s="501">
        <v>4004565.19</v>
      </c>
      <c r="F9882" s="502" t="s">
        <v>878</v>
      </c>
      <c r="G9882" s="100">
        <v>117647346</v>
      </c>
      <c r="H9882" s="100">
        <v>117647346</v>
      </c>
      <c r="I9882" s="422" t="s">
        <v>673</v>
      </c>
      <c r="J9882" s="484"/>
      <c r="K9882" s="548"/>
      <c r="L9882" s="548"/>
      <c r="M9882" s="548"/>
      <c r="N9882" s="552">
        <v>4564</v>
      </c>
      <c r="R9882" s="539">
        <v>877.05200000000002</v>
      </c>
      <c r="S9882" s="539">
        <v>877.42445004382103</v>
      </c>
      <c r="T9882" s="538">
        <v>15.5001</v>
      </c>
      <c r="U9882" s="538">
        <v>39.32</v>
      </c>
      <c r="V9882" s="538">
        <v>39.32</v>
      </c>
    </row>
    <row r="9883" spans="1:22">
      <c r="A9883" s="499">
        <v>45832</v>
      </c>
      <c r="B9883" s="499">
        <v>45833</v>
      </c>
      <c r="C9883" s="500" t="s">
        <v>173</v>
      </c>
      <c r="D9883" s="500" t="s">
        <v>763</v>
      </c>
      <c r="E9883" s="501">
        <v>118115303.28</v>
      </c>
      <c r="F9883" s="502" t="s">
        <v>878</v>
      </c>
      <c r="G9883" s="100">
        <v>117647349</v>
      </c>
      <c r="H9883" s="100">
        <v>117647349</v>
      </c>
      <c r="I9883" s="422" t="s">
        <v>833</v>
      </c>
      <c r="J9883" s="484"/>
      <c r="K9883" s="548"/>
      <c r="L9883" s="548"/>
      <c r="M9883" s="548"/>
      <c r="N9883" s="552">
        <v>198594</v>
      </c>
      <c r="R9883" s="539">
        <v>594.50519999999995</v>
      </c>
      <c r="S9883" s="539">
        <v>594.75766276926799</v>
      </c>
      <c r="T9883" s="538">
        <v>15.5001</v>
      </c>
      <c r="U9883" s="538">
        <v>177.1</v>
      </c>
      <c r="V9883" s="538">
        <v>88.55</v>
      </c>
    </row>
    <row r="9884" spans="1:22">
      <c r="A9884" s="499">
        <v>45832</v>
      </c>
      <c r="B9884" s="499">
        <v>45833</v>
      </c>
      <c r="C9884" s="500" t="s">
        <v>173</v>
      </c>
      <c r="D9884" s="500" t="s">
        <v>763</v>
      </c>
      <c r="E9884" s="501">
        <v>180175886.34999999</v>
      </c>
      <c r="F9884" s="502" t="s">
        <v>878</v>
      </c>
      <c r="G9884" s="100">
        <v>117647352</v>
      </c>
      <c r="H9884" s="100">
        <v>117647352</v>
      </c>
      <c r="I9884" s="422" t="s">
        <v>833</v>
      </c>
      <c r="J9884" s="484"/>
      <c r="K9884" s="548"/>
      <c r="L9884" s="548"/>
      <c r="M9884" s="548"/>
      <c r="N9884" s="552">
        <v>302940</v>
      </c>
      <c r="R9884" s="539">
        <v>594.50519999999995</v>
      </c>
      <c r="S9884" s="539">
        <v>594.75766273849604</v>
      </c>
      <c r="T9884" s="538">
        <v>15.5001</v>
      </c>
      <c r="U9884" s="538">
        <v>270.14999999999998</v>
      </c>
      <c r="V9884" s="538">
        <v>135.07</v>
      </c>
    </row>
    <row r="9885" spans="1:22">
      <c r="A9885" s="499">
        <v>45832</v>
      </c>
      <c r="B9885" s="499">
        <v>45833</v>
      </c>
      <c r="C9885" s="500" t="s">
        <v>173</v>
      </c>
      <c r="D9885" s="500" t="s">
        <v>763</v>
      </c>
      <c r="E9885" s="501">
        <v>29036036.780000001</v>
      </c>
      <c r="F9885" s="502" t="s">
        <v>878</v>
      </c>
      <c r="G9885" s="100">
        <v>117647355</v>
      </c>
      <c r="H9885" s="100">
        <v>117647355</v>
      </c>
      <c r="I9885" s="422" t="s">
        <v>656</v>
      </c>
      <c r="J9885" s="484"/>
      <c r="K9885" s="548"/>
      <c r="L9885" s="548"/>
      <c r="M9885" s="548"/>
      <c r="N9885" s="552">
        <v>29058</v>
      </c>
      <c r="R9885" s="539">
        <v>998.82</v>
      </c>
      <c r="S9885" s="539">
        <v>999.24415926767199</v>
      </c>
      <c r="T9885" s="538">
        <v>15.5001</v>
      </c>
      <c r="U9885" s="538">
        <v>43.54</v>
      </c>
      <c r="V9885" s="538">
        <v>39.32</v>
      </c>
    </row>
    <row r="9886" spans="1:22">
      <c r="A9886" s="499">
        <v>45832</v>
      </c>
      <c r="B9886" s="499">
        <v>45833</v>
      </c>
      <c r="C9886" s="500" t="s">
        <v>173</v>
      </c>
      <c r="D9886" s="500" t="s">
        <v>763</v>
      </c>
      <c r="E9886" s="501">
        <v>88041515.519999996</v>
      </c>
      <c r="F9886" s="502" t="s">
        <v>878</v>
      </c>
      <c r="G9886" s="100">
        <v>117647358</v>
      </c>
      <c r="H9886" s="100">
        <v>117647358</v>
      </c>
      <c r="I9886" s="422" t="s">
        <v>590</v>
      </c>
      <c r="J9886" s="484"/>
      <c r="K9886" s="548"/>
      <c r="L9886" s="548"/>
      <c r="M9886" s="548"/>
      <c r="N9886" s="552">
        <v>102168</v>
      </c>
      <c r="R9886" s="539">
        <v>861.36699999999996</v>
      </c>
      <c r="S9886" s="539">
        <v>861.73278834860196</v>
      </c>
      <c r="T9886" s="538">
        <v>15.5001</v>
      </c>
      <c r="U9886" s="538">
        <v>132.01</v>
      </c>
      <c r="V9886" s="538">
        <v>66</v>
      </c>
    </row>
    <row r="9887" spans="1:22">
      <c r="A9887" s="499">
        <v>45832</v>
      </c>
      <c r="B9887" s="499">
        <v>45833</v>
      </c>
      <c r="C9887" s="500" t="s">
        <v>173</v>
      </c>
      <c r="D9887" s="500" t="s">
        <v>763</v>
      </c>
      <c r="E9887" s="501">
        <v>135126584.63999999</v>
      </c>
      <c r="F9887" s="502" t="s">
        <v>878</v>
      </c>
      <c r="G9887" s="100">
        <v>117647361</v>
      </c>
      <c r="H9887" s="100">
        <v>117647361</v>
      </c>
      <c r="I9887" s="422" t="s">
        <v>687</v>
      </c>
      <c r="J9887" s="484"/>
      <c r="K9887" s="548"/>
      <c r="L9887" s="548"/>
      <c r="M9887" s="548"/>
      <c r="N9887" s="552">
        <v>159705</v>
      </c>
      <c r="R9887" s="539">
        <v>845.74199999999996</v>
      </c>
      <c r="S9887" s="539">
        <v>846.10115300084499</v>
      </c>
      <c r="T9887" s="538">
        <v>15.5001</v>
      </c>
      <c r="U9887" s="538">
        <v>202.6</v>
      </c>
      <c r="V9887" s="538">
        <v>101.3</v>
      </c>
    </row>
    <row r="9888" spans="1:22">
      <c r="A9888" s="499">
        <v>45832</v>
      </c>
      <c r="B9888" s="499">
        <v>45833</v>
      </c>
      <c r="C9888" s="500" t="s">
        <v>173</v>
      </c>
      <c r="D9888" s="500" t="s">
        <v>763</v>
      </c>
      <c r="E9888" s="501">
        <v>3201683000.0799999</v>
      </c>
      <c r="F9888" s="502" t="s">
        <v>878</v>
      </c>
      <c r="G9888" s="100">
        <v>117647364</v>
      </c>
      <c r="H9888" s="100">
        <v>117647364</v>
      </c>
      <c r="I9888" s="422" t="s">
        <v>719</v>
      </c>
      <c r="J9888" s="484"/>
      <c r="K9888" s="548"/>
      <c r="L9888" s="548"/>
      <c r="M9888" s="548"/>
      <c r="N9888" s="552">
        <v>4425600</v>
      </c>
      <c r="R9888" s="539">
        <v>723.13900000000001</v>
      </c>
      <c r="S9888" s="539">
        <v>723.44608642443995</v>
      </c>
      <c r="T9888" s="538">
        <v>15.5</v>
      </c>
      <c r="U9888" s="538">
        <v>4800.49</v>
      </c>
      <c r="V9888" s="538">
        <v>2400.2399999999998</v>
      </c>
    </row>
    <row r="9889" spans="1:22">
      <c r="A9889" s="499">
        <v>45832</v>
      </c>
      <c r="B9889" s="499">
        <v>45833</v>
      </c>
      <c r="C9889" s="500" t="s">
        <v>173</v>
      </c>
      <c r="D9889" s="500" t="s">
        <v>763</v>
      </c>
      <c r="E9889" s="501">
        <v>34017881.880000003</v>
      </c>
      <c r="F9889" s="502" t="s">
        <v>878</v>
      </c>
      <c r="G9889" s="100">
        <v>117647387</v>
      </c>
      <c r="H9889" s="100">
        <v>117647387</v>
      </c>
      <c r="I9889" s="422" t="s">
        <v>719</v>
      </c>
      <c r="J9889" s="484"/>
      <c r="K9889" s="548"/>
      <c r="L9889" s="548"/>
      <c r="M9889" s="548"/>
      <c r="N9889" s="552">
        <v>47022</v>
      </c>
      <c r="R9889" s="539">
        <v>723.13900000000001</v>
      </c>
      <c r="S9889" s="539">
        <v>723.44608651269596</v>
      </c>
      <c r="T9889" s="538">
        <v>15.5</v>
      </c>
      <c r="U9889" s="538">
        <v>51.01</v>
      </c>
      <c r="V9889" s="538">
        <v>39.32</v>
      </c>
    </row>
    <row r="9890" spans="1:22">
      <c r="A9890" s="499">
        <v>45832</v>
      </c>
      <c r="B9890" s="499">
        <v>45833</v>
      </c>
      <c r="C9890" s="500" t="s">
        <v>173</v>
      </c>
      <c r="D9890" s="500" t="s">
        <v>763</v>
      </c>
      <c r="E9890" s="501">
        <v>1000525.94</v>
      </c>
      <c r="F9890" s="502" t="s">
        <v>878</v>
      </c>
      <c r="G9890" s="100">
        <v>117647413</v>
      </c>
      <c r="H9890" s="100">
        <v>117647413</v>
      </c>
      <c r="I9890" s="422" t="s">
        <v>719</v>
      </c>
      <c r="J9890" s="484"/>
      <c r="K9890" s="548"/>
      <c r="L9890" s="548"/>
      <c r="M9890" s="548"/>
      <c r="N9890" s="552">
        <v>1383</v>
      </c>
      <c r="R9890" s="539">
        <v>723.13900000000001</v>
      </c>
      <c r="S9890" s="539">
        <v>723.44608821402699</v>
      </c>
      <c r="T9890" s="538">
        <v>15.5</v>
      </c>
      <c r="U9890" s="538">
        <v>39.32</v>
      </c>
      <c r="V9890" s="538">
        <v>39.32</v>
      </c>
    </row>
    <row r="9891" spans="1:22">
      <c r="A9891" s="499">
        <v>45833</v>
      </c>
      <c r="B9891" s="499">
        <v>45833</v>
      </c>
      <c r="C9891" s="500" t="s">
        <v>173</v>
      </c>
      <c r="D9891" s="500" t="s">
        <v>762</v>
      </c>
      <c r="E9891" s="501">
        <v>-2799203510</v>
      </c>
      <c r="F9891" s="502" t="s">
        <v>878</v>
      </c>
      <c r="G9891" s="100">
        <v>117666947</v>
      </c>
      <c r="H9891" s="530"/>
      <c r="I9891" s="422" t="s">
        <v>682</v>
      </c>
      <c r="J9891" s="484"/>
      <c r="K9891" s="548"/>
      <c r="L9891" s="548"/>
      <c r="M9891" s="548"/>
      <c r="N9891" s="552">
        <v>2875316</v>
      </c>
      <c r="R9891" s="539">
        <v>973.53</v>
      </c>
      <c r="S9891" s="539">
        <v>973.94</v>
      </c>
      <c r="T9891" s="538">
        <v>15.500299999999999</v>
      </c>
      <c r="U9891" s="538">
        <v>4198.8100000000004</v>
      </c>
      <c r="V9891" s="538">
        <v>2099.4</v>
      </c>
    </row>
    <row r="9892" spans="1:22">
      <c r="A9892" s="499">
        <v>45833</v>
      </c>
      <c r="B9892" s="499">
        <v>45833</v>
      </c>
      <c r="C9892" s="500" t="s">
        <v>173</v>
      </c>
      <c r="D9892" s="500" t="s">
        <v>762</v>
      </c>
      <c r="E9892" s="501">
        <v>-15011817.18</v>
      </c>
      <c r="F9892" s="502" t="s">
        <v>878</v>
      </c>
      <c r="G9892" s="100">
        <v>117666975</v>
      </c>
      <c r="H9892" s="530"/>
      <c r="I9892" s="422" t="s">
        <v>682</v>
      </c>
      <c r="J9892" s="484"/>
      <c r="K9892" s="548"/>
      <c r="L9892" s="548"/>
      <c r="M9892" s="548"/>
      <c r="N9892" s="552">
        <v>15420</v>
      </c>
      <c r="R9892" s="539">
        <v>973.53</v>
      </c>
      <c r="S9892" s="539">
        <v>973.94</v>
      </c>
      <c r="T9892" s="538">
        <v>15.500299999999999</v>
      </c>
      <c r="U9892" s="538">
        <v>39.32</v>
      </c>
      <c r="V9892" s="538">
        <v>11.26</v>
      </c>
    </row>
    <row r="9893" spans="1:22">
      <c r="A9893" s="499">
        <v>45833</v>
      </c>
      <c r="B9893" s="499">
        <v>45834</v>
      </c>
      <c r="C9893" s="500" t="s">
        <v>173</v>
      </c>
      <c r="D9893" s="500" t="s">
        <v>762</v>
      </c>
      <c r="E9893" s="501">
        <v>2800392236</v>
      </c>
      <c r="F9893" s="502" t="s">
        <v>878</v>
      </c>
      <c r="G9893" s="100">
        <v>117666947</v>
      </c>
      <c r="H9893" s="100">
        <v>117666947</v>
      </c>
      <c r="I9893" s="422" t="s">
        <v>682</v>
      </c>
      <c r="J9893" s="484"/>
      <c r="K9893" s="548"/>
      <c r="L9893" s="548"/>
      <c r="M9893" s="548"/>
      <c r="N9893" s="552">
        <v>2875316</v>
      </c>
      <c r="R9893" s="539">
        <v>973.53</v>
      </c>
      <c r="S9893" s="539">
        <v>973.94</v>
      </c>
      <c r="T9893" s="538">
        <v>15.500299999999999</v>
      </c>
      <c r="U9893" s="538">
        <v>4198.8100000000004</v>
      </c>
      <c r="V9893" s="538">
        <v>2099.4</v>
      </c>
    </row>
    <row r="9894" spans="1:22">
      <c r="A9894" s="499">
        <v>45833</v>
      </c>
      <c r="B9894" s="499">
        <v>45834</v>
      </c>
      <c r="C9894" s="500" t="s">
        <v>173</v>
      </c>
      <c r="D9894" s="500" t="s">
        <v>762</v>
      </c>
      <c r="E9894" s="501">
        <v>15018192.18</v>
      </c>
      <c r="F9894" s="502" t="s">
        <v>878</v>
      </c>
      <c r="G9894" s="100">
        <v>117666975</v>
      </c>
      <c r="H9894" s="100">
        <v>117666975</v>
      </c>
      <c r="I9894" s="422" t="s">
        <v>682</v>
      </c>
      <c r="J9894" s="484"/>
      <c r="K9894" s="548"/>
      <c r="L9894" s="548"/>
      <c r="M9894" s="548"/>
      <c r="N9894" s="552">
        <v>15420</v>
      </c>
      <c r="R9894" s="539">
        <v>973.53</v>
      </c>
      <c r="S9894" s="539">
        <v>973.94</v>
      </c>
      <c r="T9894" s="538">
        <v>15.500299999999999</v>
      </c>
      <c r="U9894" s="538">
        <v>39.32</v>
      </c>
      <c r="V9894" s="538">
        <v>11.26</v>
      </c>
    </row>
    <row r="9895" spans="1:22">
      <c r="A9895" s="499">
        <v>45833</v>
      </c>
      <c r="B9895" s="499">
        <v>45833</v>
      </c>
      <c r="C9895" s="500" t="s">
        <v>173</v>
      </c>
      <c r="D9895" s="500" t="s">
        <v>761</v>
      </c>
      <c r="E9895" s="501">
        <v>-1629434997.3399999</v>
      </c>
      <c r="F9895" s="502" t="s">
        <v>878</v>
      </c>
      <c r="G9895" s="100">
        <v>117664119</v>
      </c>
      <c r="H9895" s="530"/>
      <c r="I9895" s="422" t="s">
        <v>675</v>
      </c>
      <c r="J9895" s="484"/>
      <c r="K9895" s="548"/>
      <c r="L9895" s="548"/>
      <c r="M9895" s="548"/>
      <c r="N9895" s="552">
        <v>1784288</v>
      </c>
      <c r="R9895" s="539">
        <v>913.21299999775817</v>
      </c>
      <c r="S9895" s="539">
        <v>913.60330472995395</v>
      </c>
      <c r="T9895" s="538">
        <v>15.6</v>
      </c>
      <c r="U9895" s="538">
        <v>2444.15</v>
      </c>
      <c r="V9895" s="538">
        <v>1222.08</v>
      </c>
    </row>
    <row r="9896" spans="1:22">
      <c r="A9896" s="499">
        <v>45833</v>
      </c>
      <c r="B9896" s="499">
        <v>45833</v>
      </c>
      <c r="C9896" s="500" t="s">
        <v>173</v>
      </c>
      <c r="D9896" s="500" t="s">
        <v>761</v>
      </c>
      <c r="E9896" s="501">
        <v>-8002544.5800000001</v>
      </c>
      <c r="F9896" s="502" t="s">
        <v>878</v>
      </c>
      <c r="G9896" s="100">
        <v>117668294</v>
      </c>
      <c r="H9896" s="530"/>
      <c r="I9896" s="422" t="s">
        <v>550</v>
      </c>
      <c r="J9896" s="484"/>
      <c r="K9896" s="548"/>
      <c r="L9896" s="548"/>
      <c r="M9896" s="548"/>
      <c r="N9896" s="552">
        <v>15176</v>
      </c>
      <c r="R9896" s="539">
        <v>527.3157999472852</v>
      </c>
      <c r="S9896" s="539">
        <v>527.539729836584</v>
      </c>
      <c r="T9896" s="538">
        <v>15.5001</v>
      </c>
      <c r="U9896" s="538">
        <v>39.32</v>
      </c>
      <c r="V9896" s="538">
        <v>6</v>
      </c>
    </row>
    <row r="9897" spans="1:22">
      <c r="A9897" s="499">
        <v>45833</v>
      </c>
      <c r="B9897" s="499">
        <v>45834</v>
      </c>
      <c r="C9897" s="500" t="s">
        <v>173</v>
      </c>
      <c r="D9897" s="500" t="s">
        <v>761</v>
      </c>
      <c r="E9897" s="501">
        <v>1630131413.3900001</v>
      </c>
      <c r="F9897" s="502" t="s">
        <v>878</v>
      </c>
      <c r="G9897" s="100">
        <v>117664119</v>
      </c>
      <c r="H9897" s="100">
        <v>117664119</v>
      </c>
      <c r="I9897" s="422" t="s">
        <v>675</v>
      </c>
      <c r="J9897" s="484"/>
      <c r="K9897" s="548"/>
      <c r="L9897" s="548"/>
      <c r="M9897" s="548"/>
      <c r="N9897" s="552">
        <v>1784288</v>
      </c>
      <c r="R9897" s="539">
        <v>913.21299999775817</v>
      </c>
      <c r="S9897" s="539">
        <v>913.60330472995395</v>
      </c>
      <c r="T9897" s="538">
        <v>15.6</v>
      </c>
      <c r="U9897" s="538">
        <v>2444.15</v>
      </c>
      <c r="V9897" s="538">
        <v>1222.08</v>
      </c>
    </row>
    <row r="9898" spans="1:22">
      <c r="A9898" s="499">
        <v>45833</v>
      </c>
      <c r="B9898" s="499">
        <v>45834</v>
      </c>
      <c r="C9898" s="500" t="s">
        <v>173</v>
      </c>
      <c r="D9898" s="500" t="s">
        <v>761</v>
      </c>
      <c r="E9898" s="501">
        <v>8005942.9400000004</v>
      </c>
      <c r="F9898" s="502" t="s">
        <v>878</v>
      </c>
      <c r="G9898" s="100">
        <v>117668294</v>
      </c>
      <c r="H9898" s="100">
        <v>117668294</v>
      </c>
      <c r="I9898" s="422" t="s">
        <v>550</v>
      </c>
      <c r="J9898" s="484"/>
      <c r="K9898" s="548"/>
      <c r="L9898" s="548"/>
      <c r="M9898" s="548"/>
      <c r="N9898" s="552">
        <v>15176</v>
      </c>
      <c r="R9898" s="539">
        <v>527.3157999472852</v>
      </c>
      <c r="S9898" s="539">
        <v>527.539729836584</v>
      </c>
      <c r="T9898" s="538">
        <v>15.5001</v>
      </c>
      <c r="U9898" s="538">
        <v>39.32</v>
      </c>
      <c r="V9898" s="538">
        <v>6</v>
      </c>
    </row>
    <row r="9899" spans="1:22">
      <c r="A9899" s="499">
        <v>45833</v>
      </c>
      <c r="B9899" s="499">
        <v>45833</v>
      </c>
      <c r="C9899" s="500" t="s">
        <v>173</v>
      </c>
      <c r="D9899" s="500" t="s">
        <v>759</v>
      </c>
      <c r="E9899" s="501">
        <v>-2036966381.29</v>
      </c>
      <c r="F9899" s="502" t="s">
        <v>878</v>
      </c>
      <c r="G9899" s="100">
        <v>117667387</v>
      </c>
      <c r="H9899" s="530"/>
      <c r="I9899" s="422" t="s">
        <v>719</v>
      </c>
      <c r="J9899" s="484"/>
      <c r="K9899" s="548"/>
      <c r="L9899" s="548"/>
      <c r="M9899" s="548"/>
      <c r="N9899" s="552">
        <v>2815788</v>
      </c>
      <c r="R9899" s="539">
        <v>723.40899999928968</v>
      </c>
      <c r="S9899" s="539">
        <v>723.71620108118896</v>
      </c>
      <c r="T9899" s="538">
        <v>15.5</v>
      </c>
      <c r="U9899" s="538">
        <v>3055.45</v>
      </c>
      <c r="V9899" s="538">
        <v>1527.72</v>
      </c>
    </row>
    <row r="9900" spans="1:22">
      <c r="A9900" s="499">
        <v>45833</v>
      </c>
      <c r="B9900" s="499">
        <v>45833</v>
      </c>
      <c r="C9900" s="500" t="s">
        <v>173</v>
      </c>
      <c r="D9900" s="500" t="s">
        <v>759</v>
      </c>
      <c r="E9900" s="501">
        <v>-11005221.119999999</v>
      </c>
      <c r="F9900" s="502" t="s">
        <v>878</v>
      </c>
      <c r="G9900" s="100">
        <v>117667416</v>
      </c>
      <c r="H9900" s="530"/>
      <c r="I9900" s="422" t="s">
        <v>719</v>
      </c>
      <c r="J9900" s="484"/>
      <c r="K9900" s="548"/>
      <c r="L9900" s="548"/>
      <c r="M9900" s="548"/>
      <c r="N9900" s="552">
        <v>15213</v>
      </c>
      <c r="R9900" s="539">
        <v>723.4090001971997</v>
      </c>
      <c r="S9900" s="539">
        <v>723.71620127522499</v>
      </c>
      <c r="T9900" s="538">
        <v>15.5</v>
      </c>
      <c r="U9900" s="538">
        <v>39.32</v>
      </c>
      <c r="V9900" s="538">
        <v>8.25</v>
      </c>
    </row>
    <row r="9901" spans="1:22">
      <c r="A9901" s="499">
        <v>45833</v>
      </c>
      <c r="B9901" s="499">
        <v>45834</v>
      </c>
      <c r="C9901" s="500" t="s">
        <v>173</v>
      </c>
      <c r="D9901" s="500" t="s">
        <v>759</v>
      </c>
      <c r="E9901" s="501">
        <v>2037831394.4100001</v>
      </c>
      <c r="F9901" s="502" t="s">
        <v>878</v>
      </c>
      <c r="G9901" s="100">
        <v>117667387</v>
      </c>
      <c r="H9901" s="100">
        <v>117667387</v>
      </c>
      <c r="I9901" s="422" t="s">
        <v>719</v>
      </c>
      <c r="J9901" s="484"/>
      <c r="K9901" s="548"/>
      <c r="L9901" s="548"/>
      <c r="M9901" s="548"/>
      <c r="N9901" s="552">
        <v>2815788</v>
      </c>
      <c r="R9901" s="539">
        <v>723.40899999928968</v>
      </c>
      <c r="S9901" s="539">
        <v>723.71620108118896</v>
      </c>
      <c r="T9901" s="538">
        <v>15.5</v>
      </c>
      <c r="U9901" s="538">
        <v>3055.45</v>
      </c>
      <c r="V9901" s="538">
        <v>1527.72</v>
      </c>
    </row>
    <row r="9902" spans="1:22">
      <c r="A9902" s="499">
        <v>45833</v>
      </c>
      <c r="B9902" s="499">
        <v>45834</v>
      </c>
      <c r="C9902" s="500" t="s">
        <v>173</v>
      </c>
      <c r="D9902" s="500" t="s">
        <v>759</v>
      </c>
      <c r="E9902" s="501">
        <v>11009894.57</v>
      </c>
      <c r="F9902" s="502" t="s">
        <v>878</v>
      </c>
      <c r="G9902" s="100">
        <v>117667416</v>
      </c>
      <c r="H9902" s="100">
        <v>117667416</v>
      </c>
      <c r="I9902" s="422" t="s">
        <v>719</v>
      </c>
      <c r="J9902" s="484"/>
      <c r="K9902" s="548"/>
      <c r="L9902" s="548"/>
      <c r="M9902" s="548"/>
      <c r="N9902" s="552">
        <v>15213</v>
      </c>
      <c r="R9902" s="539">
        <v>723.4090001971997</v>
      </c>
      <c r="S9902" s="539">
        <v>723.71620127522499</v>
      </c>
      <c r="T9902" s="538">
        <v>15.5</v>
      </c>
      <c r="U9902" s="538">
        <v>39.32</v>
      </c>
      <c r="V9902" s="538">
        <v>8.25</v>
      </c>
    </row>
    <row r="9903" spans="1:22">
      <c r="A9903" s="499">
        <v>45833</v>
      </c>
      <c r="B9903" s="499">
        <v>45833</v>
      </c>
      <c r="C9903" s="500" t="s">
        <v>173</v>
      </c>
      <c r="D9903" s="500" t="s">
        <v>760</v>
      </c>
      <c r="E9903" s="501">
        <v>-7005913.4299999997</v>
      </c>
      <c r="F9903" s="502" t="s">
        <v>878</v>
      </c>
      <c r="G9903" s="100">
        <v>117664564</v>
      </c>
      <c r="H9903" s="530"/>
      <c r="I9903" s="422" t="s">
        <v>596</v>
      </c>
      <c r="J9903" s="484"/>
      <c r="K9903" s="548"/>
      <c r="L9903" s="548"/>
      <c r="M9903" s="548"/>
      <c r="N9903" s="552">
        <v>6685</v>
      </c>
      <c r="R9903" s="539">
        <v>1048.0050000000001</v>
      </c>
      <c r="S9903" s="539">
        <v>1048.4529154824199</v>
      </c>
      <c r="T9903" s="538">
        <v>15.6</v>
      </c>
      <c r="U9903" s="538">
        <v>39.32</v>
      </c>
      <c r="V9903" s="538">
        <v>5.25</v>
      </c>
    </row>
    <row r="9904" spans="1:22">
      <c r="A9904" s="499">
        <v>45833</v>
      </c>
      <c r="B9904" s="499">
        <v>45833</v>
      </c>
      <c r="C9904" s="500" t="s">
        <v>173</v>
      </c>
      <c r="D9904" s="500" t="s">
        <v>760</v>
      </c>
      <c r="E9904" s="501">
        <v>-1305149408.1900001</v>
      </c>
      <c r="F9904" s="502" t="s">
        <v>878</v>
      </c>
      <c r="G9904" s="100">
        <v>117664122</v>
      </c>
      <c r="H9904" s="530"/>
      <c r="I9904" s="422" t="s">
        <v>675</v>
      </c>
      <c r="J9904" s="484"/>
      <c r="K9904" s="548"/>
      <c r="L9904" s="548"/>
      <c r="M9904" s="548"/>
      <c r="N9904" s="552">
        <v>1429184</v>
      </c>
      <c r="R9904" s="539">
        <v>913.21299999999997</v>
      </c>
      <c r="S9904" s="539">
        <v>913.60330473193096</v>
      </c>
      <c r="T9904" s="538">
        <v>15.6</v>
      </c>
      <c r="U9904" s="538">
        <v>1957.72</v>
      </c>
      <c r="V9904" s="538">
        <v>978.86</v>
      </c>
    </row>
    <row r="9905" spans="1:22">
      <c r="A9905" s="499">
        <v>45833</v>
      </c>
      <c r="B9905" s="499">
        <v>45834</v>
      </c>
      <c r="C9905" s="500" t="s">
        <v>173</v>
      </c>
      <c r="D9905" s="500" t="s">
        <v>760</v>
      </c>
      <c r="E9905" s="501">
        <v>7008907.7400000002</v>
      </c>
      <c r="F9905" s="502" t="s">
        <v>878</v>
      </c>
      <c r="G9905" s="100">
        <v>117664564</v>
      </c>
      <c r="H9905" s="100">
        <v>117664564</v>
      </c>
      <c r="I9905" s="422" t="s">
        <v>596</v>
      </c>
      <c r="J9905" s="484"/>
      <c r="K9905" s="548"/>
      <c r="L9905" s="548"/>
      <c r="M9905" s="548"/>
      <c r="N9905" s="552">
        <v>6685</v>
      </c>
      <c r="R9905" s="539">
        <v>1048.0050000000001</v>
      </c>
      <c r="S9905" s="539">
        <v>1048.4529154824199</v>
      </c>
      <c r="T9905" s="538">
        <v>15.6</v>
      </c>
      <c r="U9905" s="538">
        <v>39.32</v>
      </c>
      <c r="V9905" s="538">
        <v>5.25</v>
      </c>
    </row>
    <row r="9906" spans="1:22">
      <c r="A9906" s="499">
        <v>45833</v>
      </c>
      <c r="B9906" s="499">
        <v>45834</v>
      </c>
      <c r="C9906" s="500" t="s">
        <v>173</v>
      </c>
      <c r="D9906" s="500" t="s">
        <v>760</v>
      </c>
      <c r="E9906" s="501">
        <v>1305707225.47</v>
      </c>
      <c r="F9906" s="502" t="s">
        <v>878</v>
      </c>
      <c r="G9906" s="100">
        <v>117664122</v>
      </c>
      <c r="H9906" s="100">
        <v>117664122</v>
      </c>
      <c r="I9906" s="422" t="s">
        <v>675</v>
      </c>
      <c r="J9906" s="484"/>
      <c r="K9906" s="548"/>
      <c r="L9906" s="548"/>
      <c r="M9906" s="548"/>
      <c r="N9906" s="552">
        <v>1429184</v>
      </c>
      <c r="R9906" s="539">
        <v>913.21299999999997</v>
      </c>
      <c r="S9906" s="539">
        <v>913.60330473193096</v>
      </c>
      <c r="T9906" s="538">
        <v>15.6</v>
      </c>
      <c r="U9906" s="538">
        <v>1957.72</v>
      </c>
      <c r="V9906" s="538">
        <v>978.86</v>
      </c>
    </row>
    <row r="9907" spans="1:22">
      <c r="A9907" s="499">
        <v>45833</v>
      </c>
      <c r="B9907" s="499">
        <v>45833</v>
      </c>
      <c r="C9907" s="500" t="s">
        <v>173</v>
      </c>
      <c r="D9907" s="500" t="s">
        <v>763</v>
      </c>
      <c r="E9907" s="501">
        <v>-3276885860.75</v>
      </c>
      <c r="F9907" s="502" t="s">
        <v>878</v>
      </c>
      <c r="G9907" s="100">
        <v>117665077</v>
      </c>
      <c r="H9907" s="530"/>
      <c r="I9907" s="422" t="s">
        <v>675</v>
      </c>
      <c r="J9907" s="484"/>
      <c r="K9907" s="548"/>
      <c r="L9907" s="548"/>
      <c r="M9907" s="548"/>
      <c r="N9907" s="552">
        <v>3588304</v>
      </c>
      <c r="R9907" s="539">
        <v>913.21299999999997</v>
      </c>
      <c r="S9907" s="539">
        <v>913.60205375575799</v>
      </c>
      <c r="T9907" s="538">
        <v>15.55</v>
      </c>
      <c r="U9907" s="538">
        <v>4915.33</v>
      </c>
      <c r="V9907" s="538">
        <v>2457.66</v>
      </c>
    </row>
    <row r="9908" spans="1:22">
      <c r="A9908" s="499">
        <v>45833</v>
      </c>
      <c r="B9908" s="499">
        <v>45833</v>
      </c>
      <c r="C9908" s="500" t="s">
        <v>173</v>
      </c>
      <c r="D9908" s="500" t="s">
        <v>763</v>
      </c>
      <c r="E9908" s="501">
        <v>-2475054858.1300001</v>
      </c>
      <c r="F9908" s="502" t="s">
        <v>878</v>
      </c>
      <c r="G9908" s="100">
        <v>117665080</v>
      </c>
      <c r="H9908" s="530"/>
      <c r="I9908" s="422" t="s">
        <v>637</v>
      </c>
      <c r="J9908" s="484"/>
      <c r="K9908" s="548"/>
      <c r="L9908" s="548"/>
      <c r="M9908" s="548"/>
      <c r="N9908" s="552">
        <v>4338675</v>
      </c>
      <c r="R9908" s="539">
        <v>570.4633</v>
      </c>
      <c r="S9908" s="539">
        <v>570.70633299567305</v>
      </c>
      <c r="T9908" s="538">
        <v>15.55</v>
      </c>
      <c r="U9908" s="538">
        <v>3712.58</v>
      </c>
      <c r="V9908" s="538">
        <v>1856.29</v>
      </c>
    </row>
    <row r="9909" spans="1:22">
      <c r="A9909" s="499">
        <v>45833</v>
      </c>
      <c r="B9909" s="499">
        <v>45833</v>
      </c>
      <c r="C9909" s="500" t="s">
        <v>173</v>
      </c>
      <c r="D9909" s="500" t="s">
        <v>763</v>
      </c>
      <c r="E9909" s="501">
        <v>-151100732.55000001</v>
      </c>
      <c r="F9909" s="502" t="s">
        <v>878</v>
      </c>
      <c r="G9909" s="100">
        <v>117665083</v>
      </c>
      <c r="H9909" s="530"/>
      <c r="I9909" s="422" t="s">
        <v>686</v>
      </c>
      <c r="J9909" s="484"/>
      <c r="K9909" s="548"/>
      <c r="L9909" s="548"/>
      <c r="M9909" s="548"/>
      <c r="N9909" s="552">
        <v>159909</v>
      </c>
      <c r="R9909" s="539">
        <v>944.91700000000003</v>
      </c>
      <c r="S9909" s="539">
        <v>945.31904276807404</v>
      </c>
      <c r="T9909" s="538">
        <v>15.53</v>
      </c>
      <c r="U9909" s="538">
        <v>226.65</v>
      </c>
      <c r="V9909" s="538">
        <v>113.33</v>
      </c>
    </row>
    <row r="9910" spans="1:22">
      <c r="A9910" s="499">
        <v>45833</v>
      </c>
      <c r="B9910" s="499">
        <v>45833</v>
      </c>
      <c r="C9910" s="500" t="s">
        <v>173</v>
      </c>
      <c r="D9910" s="500" t="s">
        <v>763</v>
      </c>
      <c r="E9910" s="501">
        <v>-32021347.300000001</v>
      </c>
      <c r="F9910" s="502" t="s">
        <v>878</v>
      </c>
      <c r="G9910" s="100">
        <v>117665118</v>
      </c>
      <c r="H9910" s="530"/>
      <c r="I9910" s="422" t="s">
        <v>686</v>
      </c>
      <c r="J9910" s="484"/>
      <c r="K9910" s="548"/>
      <c r="L9910" s="548"/>
      <c r="M9910" s="548"/>
      <c r="N9910" s="552">
        <v>33888</v>
      </c>
      <c r="R9910" s="539">
        <v>944.91700000000003</v>
      </c>
      <c r="S9910" s="539">
        <v>945.31904302407895</v>
      </c>
      <c r="T9910" s="538">
        <v>15.53</v>
      </c>
      <c r="U9910" s="538">
        <v>48.03</v>
      </c>
      <c r="V9910" s="538">
        <v>39.32</v>
      </c>
    </row>
    <row r="9911" spans="1:22">
      <c r="A9911" s="499">
        <v>45833</v>
      </c>
      <c r="B9911" s="499">
        <v>45834</v>
      </c>
      <c r="C9911" s="500" t="s">
        <v>173</v>
      </c>
      <c r="D9911" s="500" t="s">
        <v>763</v>
      </c>
      <c r="E9911" s="501">
        <v>3278281903.9000001</v>
      </c>
      <c r="F9911" s="502" t="s">
        <v>878</v>
      </c>
      <c r="G9911" s="100">
        <v>117665077</v>
      </c>
      <c r="H9911" s="100">
        <v>117665077</v>
      </c>
      <c r="I9911" s="422" t="s">
        <v>675</v>
      </c>
      <c r="J9911" s="484"/>
      <c r="K9911" s="548"/>
      <c r="L9911" s="548"/>
      <c r="M9911" s="548"/>
      <c r="N9911" s="552">
        <v>3588304</v>
      </c>
      <c r="R9911" s="539">
        <v>913.21299999999997</v>
      </c>
      <c r="S9911" s="539">
        <v>913.60205375575799</v>
      </c>
      <c r="T9911" s="538">
        <v>15.55</v>
      </c>
      <c r="U9911" s="538">
        <v>4915.33</v>
      </c>
      <c r="V9911" s="538">
        <v>2457.66</v>
      </c>
    </row>
    <row r="9912" spans="1:22">
      <c r="A9912" s="499">
        <v>45833</v>
      </c>
      <c r="B9912" s="499">
        <v>45834</v>
      </c>
      <c r="C9912" s="500" t="s">
        <v>173</v>
      </c>
      <c r="D9912" s="500" t="s">
        <v>763</v>
      </c>
      <c r="E9912" s="501">
        <v>2476109299.3099999</v>
      </c>
      <c r="F9912" s="502" t="s">
        <v>878</v>
      </c>
      <c r="G9912" s="100">
        <v>117665080</v>
      </c>
      <c r="H9912" s="100">
        <v>117665080</v>
      </c>
      <c r="I9912" s="422" t="s">
        <v>637</v>
      </c>
      <c r="J9912" s="484"/>
      <c r="K9912" s="548"/>
      <c r="L9912" s="548"/>
      <c r="M9912" s="548"/>
      <c r="N9912" s="552">
        <v>4338675</v>
      </c>
      <c r="R9912" s="539">
        <v>570.4633</v>
      </c>
      <c r="S9912" s="539">
        <v>570.70633299567305</v>
      </c>
      <c r="T9912" s="538">
        <v>15.55</v>
      </c>
      <c r="U9912" s="538">
        <v>3712.58</v>
      </c>
      <c r="V9912" s="538">
        <v>1856.29</v>
      </c>
    </row>
    <row r="9913" spans="1:22">
      <c r="A9913" s="499">
        <v>45833</v>
      </c>
      <c r="B9913" s="499">
        <v>45834</v>
      </c>
      <c r="C9913" s="500" t="s">
        <v>173</v>
      </c>
      <c r="D9913" s="500" t="s">
        <v>763</v>
      </c>
      <c r="E9913" s="501">
        <v>151165022.81</v>
      </c>
      <c r="F9913" s="502" t="s">
        <v>878</v>
      </c>
      <c r="G9913" s="100">
        <v>117665083</v>
      </c>
      <c r="H9913" s="100">
        <v>117665083</v>
      </c>
      <c r="I9913" s="422" t="s">
        <v>686</v>
      </c>
      <c r="J9913" s="484"/>
      <c r="K9913" s="548"/>
      <c r="L9913" s="548"/>
      <c r="M9913" s="548"/>
      <c r="N9913" s="552">
        <v>159909</v>
      </c>
      <c r="R9913" s="539">
        <v>944.91700000000003</v>
      </c>
      <c r="S9913" s="539">
        <v>945.31904276807404</v>
      </c>
      <c r="T9913" s="538">
        <v>15.53</v>
      </c>
      <c r="U9913" s="538">
        <v>226.65</v>
      </c>
      <c r="V9913" s="538">
        <v>113.33</v>
      </c>
    </row>
    <row r="9914" spans="1:22">
      <c r="A9914" s="499">
        <v>45833</v>
      </c>
      <c r="B9914" s="499">
        <v>45834</v>
      </c>
      <c r="C9914" s="500" t="s">
        <v>173</v>
      </c>
      <c r="D9914" s="500" t="s">
        <v>763</v>
      </c>
      <c r="E9914" s="501">
        <v>32034971.73</v>
      </c>
      <c r="F9914" s="502" t="s">
        <v>878</v>
      </c>
      <c r="G9914" s="100">
        <v>117665118</v>
      </c>
      <c r="H9914" s="100">
        <v>117665118</v>
      </c>
      <c r="I9914" s="422" t="s">
        <v>686</v>
      </c>
      <c r="J9914" s="484"/>
      <c r="K9914" s="548"/>
      <c r="L9914" s="548"/>
      <c r="M9914" s="548"/>
      <c r="N9914" s="552">
        <v>33888</v>
      </c>
      <c r="R9914" s="539">
        <v>944.91700000000003</v>
      </c>
      <c r="S9914" s="539">
        <v>945.31904302407895</v>
      </c>
      <c r="T9914" s="538">
        <v>15.53</v>
      </c>
      <c r="U9914" s="538">
        <v>48.03</v>
      </c>
      <c r="V9914" s="538">
        <v>39.32</v>
      </c>
    </row>
    <row r="9915" spans="1:22">
      <c r="A9915" s="499">
        <v>45834</v>
      </c>
      <c r="B9915" s="499">
        <v>45834</v>
      </c>
      <c r="C9915" s="500" t="s">
        <v>173</v>
      </c>
      <c r="D9915" s="500" t="s">
        <v>762</v>
      </c>
      <c r="E9915" s="501">
        <v>-224083706.11000001</v>
      </c>
      <c r="F9915" s="502" t="s">
        <v>878</v>
      </c>
      <c r="G9915" s="100">
        <v>117687807</v>
      </c>
      <c r="H9915" s="530"/>
      <c r="I9915" s="422" t="s">
        <v>719</v>
      </c>
      <c r="J9915" s="484"/>
      <c r="K9915" s="548"/>
      <c r="L9915" s="548"/>
      <c r="M9915" s="548"/>
      <c r="N9915" s="552">
        <v>309792</v>
      </c>
      <c r="R9915" s="539">
        <v>723.33600000000001</v>
      </c>
      <c r="S9915" s="539">
        <v>723.64317006249303</v>
      </c>
      <c r="T9915" s="538">
        <v>15.5</v>
      </c>
      <c r="U9915" s="538">
        <v>336.13</v>
      </c>
      <c r="V9915" s="538">
        <v>168.06</v>
      </c>
    </row>
    <row r="9916" spans="1:22">
      <c r="A9916" s="499">
        <v>45834</v>
      </c>
      <c r="B9916" s="499">
        <v>45834</v>
      </c>
      <c r="C9916" s="500" t="s">
        <v>173</v>
      </c>
      <c r="D9916" s="500" t="s">
        <v>762</v>
      </c>
      <c r="E9916" s="501">
        <v>-2577155197.25</v>
      </c>
      <c r="F9916" s="502" t="s">
        <v>878</v>
      </c>
      <c r="G9916" s="100">
        <v>117687810</v>
      </c>
      <c r="H9916" s="530"/>
      <c r="I9916" s="422" t="s">
        <v>675</v>
      </c>
      <c r="J9916" s="484"/>
      <c r="K9916" s="548"/>
      <c r="L9916" s="548"/>
      <c r="M9916" s="548"/>
      <c r="N9916" s="552">
        <v>2803776</v>
      </c>
      <c r="R9916" s="539">
        <v>919.173</v>
      </c>
      <c r="S9916" s="539">
        <v>919.563333739928</v>
      </c>
      <c r="T9916" s="538">
        <v>15.5</v>
      </c>
      <c r="U9916" s="538">
        <v>3865.73</v>
      </c>
      <c r="V9916" s="538">
        <v>1932.87</v>
      </c>
    </row>
    <row r="9917" spans="1:22">
      <c r="A9917" s="499">
        <v>45834</v>
      </c>
      <c r="B9917" s="499">
        <v>45834</v>
      </c>
      <c r="C9917" s="500" t="s">
        <v>173</v>
      </c>
      <c r="D9917" s="500" t="s">
        <v>762</v>
      </c>
      <c r="E9917" s="501">
        <v>-17001023.809999999</v>
      </c>
      <c r="F9917" s="502" t="s">
        <v>878</v>
      </c>
      <c r="G9917" s="100">
        <v>117687816</v>
      </c>
      <c r="H9917" s="530"/>
      <c r="I9917" s="422" t="s">
        <v>675</v>
      </c>
      <c r="J9917" s="484"/>
      <c r="K9917" s="548"/>
      <c r="L9917" s="548"/>
      <c r="M9917" s="548"/>
      <c r="N9917" s="552">
        <v>18496</v>
      </c>
      <c r="R9917" s="539">
        <v>919.173</v>
      </c>
      <c r="S9917" s="539">
        <v>919.56333369377205</v>
      </c>
      <c r="T9917" s="538">
        <v>15.5</v>
      </c>
      <c r="U9917" s="538">
        <v>39.32</v>
      </c>
      <c r="V9917" s="538">
        <v>12.75</v>
      </c>
    </row>
    <row r="9918" spans="1:22">
      <c r="A9918" s="499">
        <v>45834</v>
      </c>
      <c r="B9918" s="499">
        <v>45835</v>
      </c>
      <c r="C9918" s="500" t="s">
        <v>173</v>
      </c>
      <c r="D9918" s="500" t="s">
        <v>762</v>
      </c>
      <c r="E9918" s="501">
        <v>224178864.94</v>
      </c>
      <c r="F9918" s="502" t="s">
        <v>878</v>
      </c>
      <c r="G9918" s="100">
        <v>117687807</v>
      </c>
      <c r="H9918" s="484">
        <v>117687807</v>
      </c>
      <c r="I9918" s="422" t="s">
        <v>719</v>
      </c>
      <c r="J9918" s="484"/>
      <c r="K9918" s="548"/>
      <c r="L9918" s="548"/>
      <c r="M9918" s="548"/>
      <c r="N9918" s="552">
        <v>309792</v>
      </c>
      <c r="R9918" s="539">
        <v>723.33600000000001</v>
      </c>
      <c r="S9918" s="539">
        <v>723.64317006249303</v>
      </c>
      <c r="T9918" s="538">
        <v>15.5</v>
      </c>
      <c r="U9918" s="538">
        <v>336.13</v>
      </c>
      <c r="V9918" s="538">
        <v>168.06</v>
      </c>
    </row>
    <row r="9919" spans="1:22">
      <c r="A9919" s="499">
        <v>45834</v>
      </c>
      <c r="B9919" s="499">
        <v>45835</v>
      </c>
      <c r="C9919" s="500" t="s">
        <v>173</v>
      </c>
      <c r="D9919" s="500" t="s">
        <v>762</v>
      </c>
      <c r="E9919" s="501">
        <v>2578249605.6199999</v>
      </c>
      <c r="F9919" s="502" t="s">
        <v>878</v>
      </c>
      <c r="G9919" s="100">
        <v>117687810</v>
      </c>
      <c r="H9919" s="484">
        <v>117687810</v>
      </c>
      <c r="I9919" s="422" t="s">
        <v>675</v>
      </c>
      <c r="J9919" s="484"/>
      <c r="K9919" s="548"/>
      <c r="L9919" s="548"/>
      <c r="M9919" s="548"/>
      <c r="N9919" s="552">
        <v>2803776</v>
      </c>
      <c r="R9919" s="539">
        <v>919.173</v>
      </c>
      <c r="S9919" s="539">
        <v>919.563333739928</v>
      </c>
      <c r="T9919" s="538">
        <v>15.5</v>
      </c>
      <c r="U9919" s="538">
        <v>3865.73</v>
      </c>
      <c r="V9919" s="538">
        <v>1932.87</v>
      </c>
    </row>
    <row r="9920" spans="1:22">
      <c r="A9920" s="499">
        <v>45834</v>
      </c>
      <c r="B9920" s="499">
        <v>45835</v>
      </c>
      <c r="C9920" s="500" t="s">
        <v>173</v>
      </c>
      <c r="D9920" s="500" t="s">
        <v>762</v>
      </c>
      <c r="E9920" s="501">
        <v>17008243.420000002</v>
      </c>
      <c r="F9920" s="502" t="s">
        <v>878</v>
      </c>
      <c r="G9920" s="100">
        <v>117687816</v>
      </c>
      <c r="H9920" s="484">
        <v>117687816</v>
      </c>
      <c r="I9920" s="422" t="s">
        <v>675</v>
      </c>
      <c r="J9920" s="484"/>
      <c r="K9920" s="548"/>
      <c r="L9920" s="548"/>
      <c r="M9920" s="548"/>
      <c r="N9920" s="552">
        <v>18496</v>
      </c>
      <c r="R9920" s="539">
        <v>919.173</v>
      </c>
      <c r="S9920" s="539">
        <v>919.56333369377205</v>
      </c>
      <c r="T9920" s="538">
        <v>15.5</v>
      </c>
      <c r="U9920" s="538">
        <v>39.32</v>
      </c>
      <c r="V9920" s="538">
        <v>12.75</v>
      </c>
    </row>
    <row r="9921" spans="1:25">
      <c r="A9921" s="499">
        <v>45834</v>
      </c>
      <c r="B9921" s="499">
        <v>45838</v>
      </c>
      <c r="C9921" s="500" t="s">
        <v>173</v>
      </c>
      <c r="D9921" s="500" t="s">
        <v>762</v>
      </c>
      <c r="E9921" s="501">
        <v>-457385750</v>
      </c>
      <c r="F9921" s="502" t="s">
        <v>906</v>
      </c>
      <c r="G9921" s="100" t="s">
        <v>390</v>
      </c>
      <c r="H9921" s="530"/>
      <c r="I9921" s="422" t="s">
        <v>675</v>
      </c>
      <c r="K9921" s="548">
        <v>117694704</v>
      </c>
      <c r="L9921" s="549">
        <v>84.409899999999993</v>
      </c>
      <c r="M9921" s="549">
        <f>E9921*(-1)/(N9921*O9921)*100</f>
        <v>91.477149999999995</v>
      </c>
      <c r="N9921" s="549">
        <v>500000</v>
      </c>
      <c r="O9921" s="539">
        <f>VLOOKUP(G9921,Справочник!A:J,10,)</f>
        <v>1000</v>
      </c>
      <c r="P9921" s="539">
        <v>84.966399999999993</v>
      </c>
      <c r="T9921" s="538">
        <v>16.899999999999999</v>
      </c>
      <c r="U9921" s="538">
        <v>0</v>
      </c>
      <c r="V9921" s="538">
        <v>45738.58</v>
      </c>
      <c r="W9921" s="550">
        <f>VLOOKUP(G9921,Справочник!A:C,3,0)</f>
        <v>0.1047</v>
      </c>
      <c r="X9921" s="539" t="str">
        <f>VLOOKUP(G9921,Справочник!A:G,7,0)</f>
        <v>Министерство финансов Республики Казахстан</v>
      </c>
      <c r="Y9921" s="551">
        <f>VLOOKUP(G9921,Справочник!A:B,2,0)</f>
        <v>47053</v>
      </c>
    </row>
    <row r="9922" spans="1:25">
      <c r="A9922" s="499">
        <v>45834</v>
      </c>
      <c r="B9922" s="499">
        <v>45834</v>
      </c>
      <c r="C9922" s="500" t="s">
        <v>173</v>
      </c>
      <c r="D9922" s="500" t="s">
        <v>761</v>
      </c>
      <c r="E9922" s="501">
        <v>-1629083282.3</v>
      </c>
      <c r="F9922" s="502" t="s">
        <v>878</v>
      </c>
      <c r="G9922" s="100">
        <v>117684517</v>
      </c>
      <c r="H9922" s="530"/>
      <c r="I9922" s="422" t="s">
        <v>1013</v>
      </c>
      <c r="J9922" s="484"/>
      <c r="K9922" s="548"/>
      <c r="L9922" s="548"/>
      <c r="M9922" s="548"/>
      <c r="N9922" s="552">
        <v>3204243</v>
      </c>
      <c r="R9922" s="539">
        <v>508.41440000024966</v>
      </c>
      <c r="S9922" s="539">
        <v>508.63044269114403</v>
      </c>
      <c r="T9922" s="538">
        <v>15.5101</v>
      </c>
      <c r="U9922" s="538">
        <v>2443.62</v>
      </c>
      <c r="V9922" s="538">
        <v>1221.81</v>
      </c>
    </row>
    <row r="9923" spans="1:25">
      <c r="A9923" s="499">
        <v>45834</v>
      </c>
      <c r="B9923" s="499">
        <v>45834</v>
      </c>
      <c r="C9923" s="500" t="s">
        <v>173</v>
      </c>
      <c r="D9923" s="500" t="s">
        <v>761</v>
      </c>
      <c r="E9923" s="501">
        <v>-9000460.1199999992</v>
      </c>
      <c r="F9923" s="502" t="s">
        <v>878</v>
      </c>
      <c r="G9923" s="100">
        <v>117684530</v>
      </c>
      <c r="H9923" s="530"/>
      <c r="I9923" s="422" t="s">
        <v>1013</v>
      </c>
      <c r="J9923" s="484"/>
      <c r="K9923" s="548"/>
      <c r="L9923" s="548"/>
      <c r="M9923" s="548"/>
      <c r="N9923" s="552">
        <v>17703</v>
      </c>
      <c r="R9923" s="539">
        <v>508.41439981923963</v>
      </c>
      <c r="S9923" s="539">
        <v>508.63044229791598</v>
      </c>
      <c r="T9923" s="538">
        <v>15.5101</v>
      </c>
      <c r="U9923" s="538">
        <v>39.32</v>
      </c>
      <c r="V9923" s="538">
        <v>6.75</v>
      </c>
    </row>
    <row r="9924" spans="1:25">
      <c r="A9924" s="499">
        <v>45834</v>
      </c>
      <c r="B9924" s="499">
        <v>45835</v>
      </c>
      <c r="C9924" s="500" t="s">
        <v>173</v>
      </c>
      <c r="D9924" s="500" t="s">
        <v>761</v>
      </c>
      <c r="E9924" s="501">
        <v>1629775535.5799999</v>
      </c>
      <c r="F9924" s="502" t="s">
        <v>878</v>
      </c>
      <c r="G9924" s="100">
        <v>117684517</v>
      </c>
      <c r="H9924" s="100">
        <v>117684517</v>
      </c>
      <c r="I9924" s="422" t="s">
        <v>1013</v>
      </c>
      <c r="J9924" s="484"/>
      <c r="K9924" s="548"/>
      <c r="L9924" s="548"/>
      <c r="M9924" s="548"/>
      <c r="N9924" s="552">
        <v>3204243</v>
      </c>
      <c r="R9924" s="539">
        <v>508.41440000024966</v>
      </c>
      <c r="S9924" s="539">
        <v>508.63044269114403</v>
      </c>
      <c r="T9924" s="538">
        <v>15.5101</v>
      </c>
      <c r="U9924" s="538">
        <v>2443.62</v>
      </c>
      <c r="V9924" s="538">
        <v>1221.81</v>
      </c>
    </row>
    <row r="9925" spans="1:25">
      <c r="A9925" s="499">
        <v>45834</v>
      </c>
      <c r="B9925" s="499">
        <v>45835</v>
      </c>
      <c r="C9925" s="500" t="s">
        <v>173</v>
      </c>
      <c r="D9925" s="500" t="s">
        <v>761</v>
      </c>
      <c r="E9925" s="501">
        <v>9004284.7200000007</v>
      </c>
      <c r="F9925" s="502" t="s">
        <v>878</v>
      </c>
      <c r="G9925" s="100">
        <v>117684530</v>
      </c>
      <c r="H9925" s="100">
        <v>117684530</v>
      </c>
      <c r="I9925" s="422" t="s">
        <v>1013</v>
      </c>
      <c r="J9925" s="484"/>
      <c r="K9925" s="548"/>
      <c r="L9925" s="548"/>
      <c r="M9925" s="548"/>
      <c r="N9925" s="552">
        <v>17703</v>
      </c>
      <c r="R9925" s="539">
        <v>508.41439981923963</v>
      </c>
      <c r="S9925" s="539">
        <v>508.63044229791598</v>
      </c>
      <c r="T9925" s="538">
        <v>15.5101</v>
      </c>
      <c r="U9925" s="538">
        <v>39.32</v>
      </c>
      <c r="V9925" s="538">
        <v>6.75</v>
      </c>
    </row>
    <row r="9926" spans="1:25">
      <c r="A9926" s="499">
        <v>45834</v>
      </c>
      <c r="B9926" s="499">
        <v>45834</v>
      </c>
      <c r="C9926" s="500" t="s">
        <v>173</v>
      </c>
      <c r="D9926" s="500" t="s">
        <v>759</v>
      </c>
      <c r="E9926" s="501">
        <v>-2037761202.46</v>
      </c>
      <c r="F9926" s="502" t="s">
        <v>878</v>
      </c>
      <c r="G9926" s="100">
        <v>117685895</v>
      </c>
      <c r="H9926" s="530"/>
      <c r="I9926" s="422" t="s">
        <v>719</v>
      </c>
      <c r="J9926" s="484"/>
      <c r="K9926" s="548"/>
      <c r="L9926" s="548"/>
      <c r="M9926" s="548"/>
      <c r="N9926" s="552">
        <v>2817171</v>
      </c>
      <c r="R9926" s="539">
        <v>723.33600000141985</v>
      </c>
      <c r="S9926" s="539">
        <v>723.64317008445698</v>
      </c>
      <c r="T9926" s="538">
        <v>15.5</v>
      </c>
      <c r="U9926" s="538">
        <v>3056.64</v>
      </c>
      <c r="V9926" s="538">
        <v>1528.32</v>
      </c>
    </row>
    <row r="9927" spans="1:25">
      <c r="A9927" s="499">
        <v>45834</v>
      </c>
      <c r="B9927" s="499">
        <v>45834</v>
      </c>
      <c r="C9927" s="500" t="s">
        <v>173</v>
      </c>
      <c r="D9927" s="500" t="s">
        <v>759</v>
      </c>
      <c r="E9927" s="501">
        <v>-11004110.57</v>
      </c>
      <c r="F9927" s="502" t="s">
        <v>878</v>
      </c>
      <c r="G9927" s="100">
        <v>117686295</v>
      </c>
      <c r="H9927" s="530"/>
      <c r="I9927" s="422" t="s">
        <v>719</v>
      </c>
      <c r="J9927" s="484"/>
      <c r="K9927" s="548"/>
      <c r="L9927" s="548"/>
      <c r="M9927" s="548"/>
      <c r="N9927" s="552">
        <v>15213</v>
      </c>
      <c r="R9927" s="539">
        <v>723.33600013146656</v>
      </c>
      <c r="S9927" s="539">
        <v>723.643170314862</v>
      </c>
      <c r="T9927" s="538">
        <v>15.5</v>
      </c>
      <c r="U9927" s="538">
        <v>39.32</v>
      </c>
      <c r="V9927" s="538">
        <v>8.25</v>
      </c>
    </row>
    <row r="9928" spans="1:25">
      <c r="A9928" s="499">
        <v>45834</v>
      </c>
      <c r="B9928" s="499">
        <v>45835</v>
      </c>
      <c r="C9928" s="500" t="s">
        <v>173</v>
      </c>
      <c r="D9928" s="500" t="s">
        <v>759</v>
      </c>
      <c r="E9928" s="501">
        <v>2038626553.1099999</v>
      </c>
      <c r="F9928" s="502" t="s">
        <v>878</v>
      </c>
      <c r="G9928" s="100">
        <v>117685895</v>
      </c>
      <c r="H9928" s="100">
        <v>117685895</v>
      </c>
      <c r="I9928" s="422" t="s">
        <v>719</v>
      </c>
      <c r="J9928" s="484"/>
      <c r="K9928" s="548"/>
      <c r="L9928" s="548"/>
      <c r="M9928" s="548"/>
      <c r="N9928" s="552">
        <v>2817171</v>
      </c>
      <c r="R9928" s="539">
        <v>723.33600000141985</v>
      </c>
      <c r="S9928" s="539">
        <v>723.64317008445698</v>
      </c>
      <c r="T9928" s="538">
        <v>15.5</v>
      </c>
      <c r="U9928" s="538">
        <v>3056.64</v>
      </c>
      <c r="V9928" s="538">
        <v>1528.32</v>
      </c>
    </row>
    <row r="9929" spans="1:25">
      <c r="A9929" s="499">
        <v>45834</v>
      </c>
      <c r="B9929" s="499">
        <v>45835</v>
      </c>
      <c r="C9929" s="500" t="s">
        <v>173</v>
      </c>
      <c r="D9929" s="500" t="s">
        <v>759</v>
      </c>
      <c r="E9929" s="501">
        <v>11008783.550000001</v>
      </c>
      <c r="F9929" s="502" t="s">
        <v>878</v>
      </c>
      <c r="G9929" s="100">
        <v>117686295</v>
      </c>
      <c r="H9929" s="100">
        <v>117686295</v>
      </c>
      <c r="I9929" s="422" t="s">
        <v>719</v>
      </c>
      <c r="J9929" s="484"/>
      <c r="K9929" s="548"/>
      <c r="L9929" s="548"/>
      <c r="M9929" s="548"/>
      <c r="N9929" s="552">
        <v>15213</v>
      </c>
      <c r="R9929" s="539">
        <v>723.33600013146656</v>
      </c>
      <c r="S9929" s="539">
        <v>723.643170314862</v>
      </c>
      <c r="T9929" s="538">
        <v>15.5</v>
      </c>
      <c r="U9929" s="538">
        <v>39.32</v>
      </c>
      <c r="V9929" s="538">
        <v>8.25</v>
      </c>
    </row>
    <row r="9930" spans="1:25">
      <c r="A9930" s="499">
        <v>45834</v>
      </c>
      <c r="B9930" s="499">
        <v>45834</v>
      </c>
      <c r="C9930" s="500" t="s">
        <v>173</v>
      </c>
      <c r="D9930" s="500" t="s">
        <v>760</v>
      </c>
      <c r="E9930" s="501">
        <v>-1297049463.04</v>
      </c>
      <c r="F9930" s="502" t="s">
        <v>878</v>
      </c>
      <c r="G9930" s="100">
        <v>117685005</v>
      </c>
      <c r="H9930" s="530"/>
      <c r="I9930" s="422" t="s">
        <v>637</v>
      </c>
      <c r="J9930" s="484"/>
      <c r="K9930" s="548"/>
      <c r="L9930" s="548"/>
      <c r="M9930" s="548"/>
      <c r="N9930" s="552">
        <v>2276235</v>
      </c>
      <c r="R9930" s="539">
        <v>569.82230000000004</v>
      </c>
      <c r="S9930" s="539">
        <v>570.06443701111698</v>
      </c>
      <c r="T9930" s="538">
        <v>15.5101</v>
      </c>
      <c r="U9930" s="538">
        <v>1945.57</v>
      </c>
      <c r="V9930" s="538">
        <v>972.79</v>
      </c>
    </row>
    <row r="9931" spans="1:25">
      <c r="A9931" s="499">
        <v>45834</v>
      </c>
      <c r="B9931" s="499">
        <v>45834</v>
      </c>
      <c r="C9931" s="500" t="s">
        <v>173</v>
      </c>
      <c r="D9931" s="500" t="s">
        <v>760</v>
      </c>
      <c r="E9931" s="501">
        <v>-3000075.4</v>
      </c>
      <c r="F9931" s="502" t="s">
        <v>878</v>
      </c>
      <c r="G9931" s="100">
        <v>117685008</v>
      </c>
      <c r="H9931" s="530"/>
      <c r="I9931" s="422" t="s">
        <v>716</v>
      </c>
      <c r="J9931" s="484"/>
      <c r="K9931" s="548"/>
      <c r="L9931" s="548"/>
      <c r="M9931" s="548"/>
      <c r="N9931" s="552">
        <v>4062</v>
      </c>
      <c r="R9931" s="539">
        <v>738.57100000000003</v>
      </c>
      <c r="S9931" s="539">
        <v>738.88484244214703</v>
      </c>
      <c r="T9931" s="538">
        <v>15.51</v>
      </c>
      <c r="U9931" s="538">
        <v>39.32</v>
      </c>
      <c r="V9931" s="538">
        <v>2.25</v>
      </c>
    </row>
    <row r="9932" spans="1:25">
      <c r="A9932" s="499">
        <v>45834</v>
      </c>
      <c r="B9932" s="499">
        <v>45834</v>
      </c>
      <c r="C9932" s="500" t="s">
        <v>173</v>
      </c>
      <c r="D9932" s="500" t="s">
        <v>760</v>
      </c>
      <c r="E9932" s="501">
        <v>-12000301.609999999</v>
      </c>
      <c r="F9932" s="502" t="s">
        <v>878</v>
      </c>
      <c r="G9932" s="100">
        <v>117685030</v>
      </c>
      <c r="H9932" s="530"/>
      <c r="I9932" s="422" t="s">
        <v>716</v>
      </c>
      <c r="J9932" s="484"/>
      <c r="K9932" s="548"/>
      <c r="L9932" s="548"/>
      <c r="M9932" s="548"/>
      <c r="N9932" s="552">
        <v>16248</v>
      </c>
      <c r="R9932" s="539">
        <v>738.57100000000003</v>
      </c>
      <c r="S9932" s="539">
        <v>738.88484244214703</v>
      </c>
      <c r="T9932" s="538">
        <v>15.51</v>
      </c>
      <c r="U9932" s="538">
        <v>39.32</v>
      </c>
      <c r="V9932" s="538">
        <v>9</v>
      </c>
    </row>
    <row r="9933" spans="1:25">
      <c r="A9933" s="499">
        <v>45834</v>
      </c>
      <c r="B9933" s="499">
        <v>45835</v>
      </c>
      <c r="C9933" s="500" t="s">
        <v>173</v>
      </c>
      <c r="D9933" s="500" t="s">
        <v>760</v>
      </c>
      <c r="E9933" s="501">
        <v>1297600623.78</v>
      </c>
      <c r="F9933" s="502" t="s">
        <v>878</v>
      </c>
      <c r="G9933" s="100">
        <v>117685005</v>
      </c>
      <c r="H9933" s="100">
        <v>117685005</v>
      </c>
      <c r="I9933" s="422" t="s">
        <v>637</v>
      </c>
      <c r="J9933" s="484"/>
      <c r="K9933" s="548"/>
      <c r="L9933" s="548"/>
      <c r="M9933" s="548"/>
      <c r="N9933" s="552">
        <v>2276235</v>
      </c>
      <c r="R9933" s="539">
        <v>569.82230000000004</v>
      </c>
      <c r="S9933" s="539">
        <v>570.06443701111698</v>
      </c>
      <c r="T9933" s="538">
        <v>15.5101</v>
      </c>
      <c r="U9933" s="538">
        <v>1945.57</v>
      </c>
      <c r="V9933" s="538">
        <v>972.79</v>
      </c>
    </row>
    <row r="9934" spans="1:25">
      <c r="A9934" s="499">
        <v>45834</v>
      </c>
      <c r="B9934" s="499">
        <v>45835</v>
      </c>
      <c r="C9934" s="500" t="s">
        <v>173</v>
      </c>
      <c r="D9934" s="500" t="s">
        <v>760</v>
      </c>
      <c r="E9934" s="501">
        <v>3001350.23</v>
      </c>
      <c r="F9934" s="502" t="s">
        <v>878</v>
      </c>
      <c r="G9934" s="100">
        <v>117685008</v>
      </c>
      <c r="H9934" s="100">
        <v>117685008</v>
      </c>
      <c r="I9934" s="422" t="s">
        <v>716</v>
      </c>
      <c r="J9934" s="484"/>
      <c r="K9934" s="548"/>
      <c r="L9934" s="548"/>
      <c r="M9934" s="548"/>
      <c r="N9934" s="552">
        <v>4062</v>
      </c>
      <c r="R9934" s="539">
        <v>738.57100000000003</v>
      </c>
      <c r="S9934" s="539">
        <v>738.88484244214703</v>
      </c>
      <c r="T9934" s="538">
        <v>15.51</v>
      </c>
      <c r="U9934" s="538">
        <v>39.32</v>
      </c>
      <c r="V9934" s="538">
        <v>2.25</v>
      </c>
    </row>
    <row r="9935" spans="1:25">
      <c r="A9935" s="499">
        <v>45834</v>
      </c>
      <c r="B9935" s="499">
        <v>45835</v>
      </c>
      <c r="C9935" s="500" t="s">
        <v>173</v>
      </c>
      <c r="D9935" s="500" t="s">
        <v>760</v>
      </c>
      <c r="E9935" s="501">
        <v>12005400.92</v>
      </c>
      <c r="F9935" s="502" t="s">
        <v>878</v>
      </c>
      <c r="G9935" s="100">
        <v>117685030</v>
      </c>
      <c r="H9935" s="100">
        <v>117685030</v>
      </c>
      <c r="I9935" s="422" t="s">
        <v>716</v>
      </c>
      <c r="J9935" s="484"/>
      <c r="K9935" s="548"/>
      <c r="L9935" s="548"/>
      <c r="M9935" s="548"/>
      <c r="N9935" s="552">
        <v>16248</v>
      </c>
      <c r="R9935" s="539">
        <v>738.57100000000003</v>
      </c>
      <c r="S9935" s="539">
        <v>738.88484244214703</v>
      </c>
      <c r="T9935" s="538">
        <v>15.51</v>
      </c>
      <c r="U9935" s="538">
        <v>39.32</v>
      </c>
      <c r="V9935" s="538">
        <v>9</v>
      </c>
    </row>
    <row r="9936" spans="1:25">
      <c r="A9936" s="499">
        <v>45834</v>
      </c>
      <c r="B9936" s="499">
        <v>45834</v>
      </c>
      <c r="C9936" s="500" t="s">
        <v>173</v>
      </c>
      <c r="D9936" s="500" t="s">
        <v>763</v>
      </c>
      <c r="E9936" s="501">
        <v>-4215253844.1599998</v>
      </c>
      <c r="F9936" s="502" t="s">
        <v>878</v>
      </c>
      <c r="G9936" s="100">
        <v>117686641</v>
      </c>
      <c r="H9936" s="530"/>
      <c r="I9936" s="422" t="s">
        <v>675</v>
      </c>
      <c r="J9936" s="484"/>
      <c r="K9936" s="548"/>
      <c r="L9936" s="548"/>
      <c r="M9936" s="548"/>
      <c r="N9936" s="552">
        <v>4585920</v>
      </c>
      <c r="R9936" s="539">
        <v>919.173</v>
      </c>
      <c r="S9936" s="539">
        <v>919.563585568436</v>
      </c>
      <c r="T9936" s="538">
        <v>15.51</v>
      </c>
      <c r="U9936" s="538">
        <v>6322.88</v>
      </c>
      <c r="V9936" s="538">
        <v>3161.44</v>
      </c>
    </row>
    <row r="9937" spans="1:22">
      <c r="A9937" s="499">
        <v>45834</v>
      </c>
      <c r="B9937" s="499">
        <v>45834</v>
      </c>
      <c r="C9937" s="500" t="s">
        <v>173</v>
      </c>
      <c r="D9937" s="500" t="s">
        <v>763</v>
      </c>
      <c r="E9937" s="501">
        <v>-1687630411.6600001</v>
      </c>
      <c r="F9937" s="502" t="s">
        <v>878</v>
      </c>
      <c r="G9937" s="100">
        <v>117686644</v>
      </c>
      <c r="H9937" s="530"/>
      <c r="I9937" s="422" t="s">
        <v>719</v>
      </c>
      <c r="J9937" s="484"/>
      <c r="K9937" s="548"/>
      <c r="L9937" s="548"/>
      <c r="M9937" s="548"/>
      <c r="N9937" s="552">
        <v>2333121</v>
      </c>
      <c r="R9937" s="539">
        <v>723.33600000000001</v>
      </c>
      <c r="S9937" s="539">
        <v>723.64317008419198</v>
      </c>
      <c r="T9937" s="538">
        <v>15.5</v>
      </c>
      <c r="U9937" s="538">
        <v>2531.4499999999998</v>
      </c>
      <c r="V9937" s="538">
        <v>1265.72</v>
      </c>
    </row>
    <row r="9938" spans="1:22">
      <c r="A9938" s="499">
        <v>45834</v>
      </c>
      <c r="B9938" s="499">
        <v>45834</v>
      </c>
      <c r="C9938" s="500" t="s">
        <v>173</v>
      </c>
      <c r="D9938" s="500" t="s">
        <v>763</v>
      </c>
      <c r="E9938" s="501">
        <v>-35013079.079999998</v>
      </c>
      <c r="F9938" s="502" t="s">
        <v>878</v>
      </c>
      <c r="G9938" s="100">
        <v>117686661</v>
      </c>
      <c r="H9938" s="530"/>
      <c r="I9938" s="422" t="s">
        <v>719</v>
      </c>
      <c r="J9938" s="484"/>
      <c r="K9938" s="548"/>
      <c r="L9938" s="548"/>
      <c r="M9938" s="548"/>
      <c r="N9938" s="552">
        <v>48405</v>
      </c>
      <c r="R9938" s="539">
        <v>723.33600000000001</v>
      </c>
      <c r="S9938" s="539">
        <v>723.64317012705305</v>
      </c>
      <c r="T9938" s="538">
        <v>15.5</v>
      </c>
      <c r="U9938" s="538">
        <v>52.52</v>
      </c>
      <c r="V9938" s="538">
        <v>39.32</v>
      </c>
    </row>
    <row r="9939" spans="1:22">
      <c r="A9939" s="499">
        <v>45834</v>
      </c>
      <c r="B9939" s="499">
        <v>45835</v>
      </c>
      <c r="C9939" s="500" t="s">
        <v>173</v>
      </c>
      <c r="D9939" s="500" t="s">
        <v>763</v>
      </c>
      <c r="E9939" s="501">
        <v>4217045038.3299999</v>
      </c>
      <c r="F9939" s="502" t="s">
        <v>878</v>
      </c>
      <c r="G9939" s="100">
        <v>117686641</v>
      </c>
      <c r="H9939" s="100">
        <v>117686641</v>
      </c>
      <c r="I9939" s="422" t="s">
        <v>675</v>
      </c>
      <c r="J9939" s="484"/>
      <c r="K9939" s="548"/>
      <c r="L9939" s="548"/>
      <c r="M9939" s="548"/>
      <c r="N9939" s="552">
        <v>4585920</v>
      </c>
      <c r="R9939" s="539">
        <v>919.173</v>
      </c>
      <c r="S9939" s="539">
        <v>919.563585568436</v>
      </c>
      <c r="T9939" s="538">
        <v>15.51</v>
      </c>
      <c r="U9939" s="538">
        <v>6322.88</v>
      </c>
      <c r="V9939" s="538">
        <v>3161.44</v>
      </c>
    </row>
    <row r="9940" spans="1:22">
      <c r="A9940" s="499">
        <v>45834</v>
      </c>
      <c r="B9940" s="499">
        <v>45835</v>
      </c>
      <c r="C9940" s="500" t="s">
        <v>173</v>
      </c>
      <c r="D9940" s="500" t="s">
        <v>763</v>
      </c>
      <c r="E9940" s="501">
        <v>1688347076.6300001</v>
      </c>
      <c r="F9940" s="502" t="s">
        <v>878</v>
      </c>
      <c r="G9940" s="100">
        <v>117686644</v>
      </c>
      <c r="H9940" s="100">
        <v>117686644</v>
      </c>
      <c r="I9940" s="422" t="s">
        <v>719</v>
      </c>
      <c r="J9940" s="484"/>
      <c r="K9940" s="548"/>
      <c r="L9940" s="548"/>
      <c r="M9940" s="548"/>
      <c r="N9940" s="552">
        <v>2333121</v>
      </c>
      <c r="R9940" s="539">
        <v>723.33600000000001</v>
      </c>
      <c r="S9940" s="539">
        <v>723.64317008419198</v>
      </c>
      <c r="T9940" s="538">
        <v>15.5</v>
      </c>
      <c r="U9940" s="538">
        <v>2531.4499999999998</v>
      </c>
      <c r="V9940" s="538">
        <v>1265.72</v>
      </c>
    </row>
    <row r="9941" spans="1:22">
      <c r="A9941" s="499">
        <v>45834</v>
      </c>
      <c r="B9941" s="499">
        <v>45835</v>
      </c>
      <c r="C9941" s="500" t="s">
        <v>173</v>
      </c>
      <c r="D9941" s="500" t="s">
        <v>763</v>
      </c>
      <c r="E9941" s="501">
        <v>35027947.649999999</v>
      </c>
      <c r="F9941" s="502" t="s">
        <v>878</v>
      </c>
      <c r="G9941" s="100">
        <v>117686661</v>
      </c>
      <c r="H9941" s="100">
        <v>117686661</v>
      </c>
      <c r="I9941" s="422" t="s">
        <v>719</v>
      </c>
      <c r="J9941" s="484"/>
      <c r="K9941" s="548"/>
      <c r="L9941" s="548"/>
      <c r="M9941" s="548"/>
      <c r="N9941" s="552">
        <v>48405</v>
      </c>
      <c r="R9941" s="539">
        <v>723.33600000000001</v>
      </c>
      <c r="S9941" s="539">
        <v>723.64317012705305</v>
      </c>
      <c r="T9941" s="538">
        <v>15.5</v>
      </c>
      <c r="U9941" s="538">
        <v>52.52</v>
      </c>
      <c r="V9941" s="538">
        <v>39.32</v>
      </c>
    </row>
    <row r="9942" spans="1:22">
      <c r="A9942" s="499">
        <v>45835</v>
      </c>
      <c r="B9942" s="499">
        <v>45835</v>
      </c>
      <c r="C9942" s="500" t="s">
        <v>173</v>
      </c>
      <c r="D9942" s="500" t="s">
        <v>762</v>
      </c>
      <c r="E9942" s="501">
        <v>-1043146170.8200001</v>
      </c>
      <c r="F9942" s="502" t="s">
        <v>878</v>
      </c>
      <c r="G9942" s="100">
        <v>117709046</v>
      </c>
      <c r="H9942" s="530"/>
      <c r="I9942" s="422" t="s">
        <v>631</v>
      </c>
      <c r="J9942" s="484"/>
      <c r="K9942" s="548"/>
      <c r="L9942" s="548"/>
      <c r="M9942" s="548"/>
      <c r="N9942" s="552">
        <v>2209074</v>
      </c>
      <c r="R9942" s="558">
        <v>472.2097</v>
      </c>
      <c r="S9942" s="558">
        <v>472.811286104494</v>
      </c>
      <c r="T9942" s="538">
        <v>15.5001</v>
      </c>
      <c r="U9942" s="538">
        <v>4694.16</v>
      </c>
      <c r="V9942" s="538">
        <v>2347.08</v>
      </c>
    </row>
    <row r="9943" spans="1:22">
      <c r="A9943" s="499">
        <v>45835</v>
      </c>
      <c r="B9943" s="499">
        <v>45835</v>
      </c>
      <c r="C9943" s="500" t="s">
        <v>173</v>
      </c>
      <c r="D9943" s="500" t="s">
        <v>762</v>
      </c>
      <c r="E9943" s="501">
        <v>-1758515327.1099999</v>
      </c>
      <c r="F9943" s="502" t="s">
        <v>878</v>
      </c>
      <c r="G9943" s="100">
        <v>117709049</v>
      </c>
      <c r="H9943" s="530"/>
      <c r="I9943" s="422" t="s">
        <v>1013</v>
      </c>
      <c r="J9943" s="484"/>
      <c r="K9943" s="548"/>
      <c r="L9943" s="548"/>
      <c r="M9943" s="548"/>
      <c r="N9943" s="552">
        <v>3456228</v>
      </c>
      <c r="R9943" s="558">
        <v>508.79610000000002</v>
      </c>
      <c r="S9943" s="558">
        <v>509.44429647291798</v>
      </c>
      <c r="T9943" s="538">
        <v>15.5001</v>
      </c>
      <c r="U9943" s="538">
        <v>7913.32</v>
      </c>
      <c r="V9943" s="538">
        <v>3956.66</v>
      </c>
    </row>
    <row r="9944" spans="1:22">
      <c r="A9944" s="499">
        <v>45835</v>
      </c>
      <c r="B9944" s="499">
        <v>45835</v>
      </c>
      <c r="C9944" s="500" t="s">
        <v>173</v>
      </c>
      <c r="D9944" s="500" t="s">
        <v>762</v>
      </c>
      <c r="E9944" s="501">
        <v>-17009262.199999999</v>
      </c>
      <c r="F9944" s="502" t="s">
        <v>878</v>
      </c>
      <c r="G9944" s="100">
        <v>117709064</v>
      </c>
      <c r="H9944" s="530"/>
      <c r="I9944" s="422" t="s">
        <v>658</v>
      </c>
      <c r="J9944" s="484"/>
      <c r="K9944" s="548"/>
      <c r="L9944" s="548"/>
      <c r="M9944" s="548"/>
      <c r="N9944" s="552">
        <v>17085</v>
      </c>
      <c r="R9944" s="558">
        <v>995.56700000000001</v>
      </c>
      <c r="S9944" s="558">
        <v>996.836143400644</v>
      </c>
      <c r="T9944" s="538">
        <v>15.51</v>
      </c>
      <c r="U9944" s="538">
        <v>76.540000000000006</v>
      </c>
      <c r="V9944" s="538">
        <v>38.270000000000003</v>
      </c>
    </row>
    <row r="9945" spans="1:22">
      <c r="A9945" s="499">
        <v>45835</v>
      </c>
      <c r="B9945" s="499">
        <v>45838</v>
      </c>
      <c r="C9945" s="500" t="s">
        <v>173</v>
      </c>
      <c r="D9945" s="500" t="s">
        <v>762</v>
      </c>
      <c r="E9945" s="501">
        <v>1044475119.04</v>
      </c>
      <c r="F9945" s="502" t="s">
        <v>878</v>
      </c>
      <c r="G9945" s="100">
        <v>117709046</v>
      </c>
      <c r="H9945" s="484">
        <v>117709046</v>
      </c>
      <c r="I9945" s="422" t="s">
        <v>631</v>
      </c>
      <c r="J9945" s="484"/>
      <c r="K9945" s="548"/>
      <c r="L9945" s="548"/>
      <c r="M9945" s="548"/>
      <c r="N9945" s="552">
        <v>2209074</v>
      </c>
      <c r="R9945" s="558">
        <v>472.2097</v>
      </c>
      <c r="S9945" s="558">
        <v>472.811286104494</v>
      </c>
      <c r="T9945" s="538">
        <v>15.5001</v>
      </c>
      <c r="U9945" s="538">
        <v>4694.16</v>
      </c>
      <c r="V9945" s="538">
        <v>2347.08</v>
      </c>
    </row>
    <row r="9946" spans="1:22">
      <c r="A9946" s="499">
        <v>45835</v>
      </c>
      <c r="B9946" s="499">
        <v>45838</v>
      </c>
      <c r="C9946" s="500" t="s">
        <v>173</v>
      </c>
      <c r="D9946" s="500" t="s">
        <v>762</v>
      </c>
      <c r="E9946" s="501">
        <v>1760755641.9100001</v>
      </c>
      <c r="F9946" s="502" t="s">
        <v>878</v>
      </c>
      <c r="G9946" s="100">
        <v>117709049</v>
      </c>
      <c r="H9946" s="484">
        <v>117709049</v>
      </c>
      <c r="I9946" s="422" t="s">
        <v>1013</v>
      </c>
      <c r="J9946" s="484"/>
      <c r="K9946" s="548"/>
      <c r="L9946" s="548"/>
      <c r="M9946" s="548"/>
      <c r="N9946" s="552">
        <v>3456228</v>
      </c>
      <c r="R9946" s="558">
        <v>508.79610000000002</v>
      </c>
      <c r="S9946" s="558">
        <v>509.44429647291798</v>
      </c>
      <c r="T9946" s="538">
        <v>15.5001</v>
      </c>
      <c r="U9946" s="538">
        <v>7913.32</v>
      </c>
      <c r="V9946" s="538">
        <v>3956.66</v>
      </c>
    </row>
    <row r="9947" spans="1:22">
      <c r="A9947" s="499">
        <v>45835</v>
      </c>
      <c r="B9947" s="499">
        <v>45838</v>
      </c>
      <c r="C9947" s="500" t="s">
        <v>173</v>
      </c>
      <c r="D9947" s="500" t="s">
        <v>762</v>
      </c>
      <c r="E9947" s="501">
        <v>17030945.510000002</v>
      </c>
      <c r="F9947" s="502" t="s">
        <v>878</v>
      </c>
      <c r="G9947" s="100">
        <v>117709064</v>
      </c>
      <c r="H9947" s="484">
        <v>117709064</v>
      </c>
      <c r="I9947" s="422" t="s">
        <v>658</v>
      </c>
      <c r="J9947" s="484"/>
      <c r="K9947" s="548"/>
      <c r="L9947" s="548"/>
      <c r="M9947" s="548"/>
      <c r="N9947" s="552">
        <v>17085</v>
      </c>
      <c r="R9947" s="558">
        <v>995.56700000000001</v>
      </c>
      <c r="S9947" s="558">
        <v>996.836143400644</v>
      </c>
      <c r="T9947" s="538">
        <v>15.51</v>
      </c>
      <c r="U9947" s="538">
        <v>76.540000000000006</v>
      </c>
      <c r="V9947" s="538">
        <v>38.270000000000003</v>
      </c>
    </row>
    <row r="9948" spans="1:22">
      <c r="A9948" s="499">
        <v>45835</v>
      </c>
      <c r="B9948" s="499">
        <v>45835</v>
      </c>
      <c r="C9948" s="500" t="s">
        <v>173</v>
      </c>
      <c r="D9948" s="500" t="s">
        <v>760</v>
      </c>
      <c r="E9948" s="501">
        <v>-29001725.829999998</v>
      </c>
      <c r="F9948" s="502" t="s">
        <v>878</v>
      </c>
      <c r="G9948" s="100">
        <v>117707933</v>
      </c>
      <c r="H9948" s="530"/>
      <c r="I9948" s="422" t="s">
        <v>550</v>
      </c>
      <c r="J9948" s="484"/>
      <c r="K9948" s="548"/>
      <c r="L9948" s="548"/>
      <c r="M9948" s="548"/>
      <c r="N9948" s="552">
        <v>55013</v>
      </c>
      <c r="R9948" s="539">
        <v>527.17949999999996</v>
      </c>
      <c r="S9948" s="539">
        <v>527.851116463381</v>
      </c>
      <c r="T9948" s="538">
        <v>15.5001</v>
      </c>
      <c r="U9948" s="538">
        <v>130.51</v>
      </c>
      <c r="V9948" s="538">
        <v>65.25</v>
      </c>
    </row>
    <row r="9949" spans="1:22">
      <c r="A9949" s="499">
        <v>45835</v>
      </c>
      <c r="B9949" s="499">
        <v>45835</v>
      </c>
      <c r="C9949" s="500" t="s">
        <v>173</v>
      </c>
      <c r="D9949" s="500" t="s">
        <v>760</v>
      </c>
      <c r="E9949" s="501">
        <v>-18001071.210000001</v>
      </c>
      <c r="F9949" s="502" t="s">
        <v>878</v>
      </c>
      <c r="G9949" s="100">
        <v>117707957</v>
      </c>
      <c r="H9949" s="530"/>
      <c r="I9949" s="422" t="s">
        <v>550</v>
      </c>
      <c r="J9949" s="484"/>
      <c r="K9949" s="548"/>
      <c r="L9949" s="548"/>
      <c r="M9949" s="548"/>
      <c r="N9949" s="552">
        <v>34146</v>
      </c>
      <c r="R9949" s="539">
        <v>527.17949999999996</v>
      </c>
      <c r="S9949" s="539">
        <v>527.85111667545198</v>
      </c>
      <c r="T9949" s="538">
        <v>15.5001</v>
      </c>
      <c r="U9949" s="538">
        <v>81</v>
      </c>
      <c r="V9949" s="538">
        <v>40.5</v>
      </c>
    </row>
    <row r="9950" spans="1:22">
      <c r="A9950" s="499">
        <v>45835</v>
      </c>
      <c r="B9950" s="499">
        <v>45835</v>
      </c>
      <c r="C9950" s="500" t="s">
        <v>173</v>
      </c>
      <c r="D9950" s="500" t="s">
        <v>760</v>
      </c>
      <c r="E9950" s="501">
        <v>-25005893.699999999</v>
      </c>
      <c r="F9950" s="502" t="s">
        <v>878</v>
      </c>
      <c r="G9950" s="100">
        <v>117707954</v>
      </c>
      <c r="H9950" s="530"/>
      <c r="I9950" s="422" t="s">
        <v>588</v>
      </c>
      <c r="J9950" s="484"/>
      <c r="K9950" s="548"/>
      <c r="L9950" s="548"/>
      <c r="M9950" s="548"/>
      <c r="N9950" s="552">
        <v>26925</v>
      </c>
      <c r="R9950" s="539">
        <v>928.72400000000005</v>
      </c>
      <c r="S9950" s="539">
        <v>929.90717660167104</v>
      </c>
      <c r="T9950" s="538">
        <v>15.5001</v>
      </c>
      <c r="U9950" s="538">
        <v>112.53</v>
      </c>
      <c r="V9950" s="538">
        <v>56.26</v>
      </c>
    </row>
    <row r="9951" spans="1:22">
      <c r="A9951" s="499">
        <v>45835</v>
      </c>
      <c r="B9951" s="499">
        <v>45835</v>
      </c>
      <c r="C9951" s="500" t="s">
        <v>173</v>
      </c>
      <c r="D9951" s="500" t="s">
        <v>760</v>
      </c>
      <c r="E9951" s="501">
        <v>-36011665.799999997</v>
      </c>
      <c r="F9951" s="502" t="s">
        <v>878</v>
      </c>
      <c r="G9951" s="100">
        <v>117707924</v>
      </c>
      <c r="H9951" s="530"/>
      <c r="I9951" s="422" t="s">
        <v>590</v>
      </c>
      <c r="J9951" s="484"/>
      <c r="K9951" s="548"/>
      <c r="L9951" s="548"/>
      <c r="M9951" s="548"/>
      <c r="N9951" s="552">
        <v>41400</v>
      </c>
      <c r="R9951" s="539">
        <v>869.84699999999998</v>
      </c>
      <c r="S9951" s="539">
        <v>870.95516835748799</v>
      </c>
      <c r="T9951" s="538">
        <v>15.5001</v>
      </c>
      <c r="U9951" s="538">
        <v>162.05000000000001</v>
      </c>
      <c r="V9951" s="538">
        <v>81.03</v>
      </c>
    </row>
    <row r="9952" spans="1:22">
      <c r="A9952" s="499">
        <v>45835</v>
      </c>
      <c r="B9952" s="499">
        <v>45835</v>
      </c>
      <c r="C9952" s="500" t="s">
        <v>173</v>
      </c>
      <c r="D9952" s="500" t="s">
        <v>760</v>
      </c>
      <c r="E9952" s="501">
        <v>-78025275.900000006</v>
      </c>
      <c r="F9952" s="502" t="s">
        <v>878</v>
      </c>
      <c r="G9952" s="100">
        <v>117707942</v>
      </c>
      <c r="H9952" s="530"/>
      <c r="I9952" s="422" t="s">
        <v>590</v>
      </c>
      <c r="J9952" s="484"/>
      <c r="K9952" s="548"/>
      <c r="L9952" s="548"/>
      <c r="M9952" s="548"/>
      <c r="N9952" s="552">
        <v>89700</v>
      </c>
      <c r="R9952" s="539">
        <v>869.84699999999998</v>
      </c>
      <c r="S9952" s="539">
        <v>870.95516845039003</v>
      </c>
      <c r="T9952" s="538">
        <v>15.5001</v>
      </c>
      <c r="U9952" s="538">
        <v>351.11</v>
      </c>
      <c r="V9952" s="538">
        <v>175.56</v>
      </c>
    </row>
    <row r="9953" spans="1:22">
      <c r="A9953" s="499">
        <v>45835</v>
      </c>
      <c r="B9953" s="499">
        <v>45835</v>
      </c>
      <c r="C9953" s="500" t="s">
        <v>173</v>
      </c>
      <c r="D9953" s="500" t="s">
        <v>760</v>
      </c>
      <c r="E9953" s="501">
        <v>-29003367.309999999</v>
      </c>
      <c r="F9953" s="502" t="s">
        <v>878</v>
      </c>
      <c r="G9953" s="100">
        <v>117707930</v>
      </c>
      <c r="H9953" s="530"/>
      <c r="I9953" s="422" t="s">
        <v>821</v>
      </c>
      <c r="J9953" s="484"/>
      <c r="K9953" s="548"/>
      <c r="L9953" s="548"/>
      <c r="M9953" s="548"/>
      <c r="N9953" s="552">
        <v>26854</v>
      </c>
      <c r="R9953" s="539">
        <v>1080.039</v>
      </c>
      <c r="S9953" s="539">
        <v>1081.4149489833901</v>
      </c>
      <c r="T9953" s="538">
        <v>15.5001</v>
      </c>
      <c r="U9953" s="538">
        <v>130.52000000000001</v>
      </c>
      <c r="V9953" s="538">
        <v>65.260000000000005</v>
      </c>
    </row>
    <row r="9954" spans="1:22">
      <c r="A9954" s="499">
        <v>45835</v>
      </c>
      <c r="B9954" s="499">
        <v>45835</v>
      </c>
      <c r="C9954" s="500" t="s">
        <v>173</v>
      </c>
      <c r="D9954" s="500" t="s">
        <v>760</v>
      </c>
      <c r="E9954" s="501">
        <v>-31028458.93</v>
      </c>
      <c r="F9954" s="502" t="s">
        <v>878</v>
      </c>
      <c r="G9954" s="100">
        <v>117707927</v>
      </c>
      <c r="H9954" s="530"/>
      <c r="I9954" s="422" t="s">
        <v>823</v>
      </c>
      <c r="J9954" s="484"/>
      <c r="K9954" s="548"/>
      <c r="L9954" s="548"/>
      <c r="M9954" s="548"/>
      <c r="N9954" s="552">
        <v>28706</v>
      </c>
      <c r="R9954" s="539">
        <v>1080.905</v>
      </c>
      <c r="S9954" s="539">
        <v>1082.28205218421</v>
      </c>
      <c r="T9954" s="538">
        <v>15.5001</v>
      </c>
      <c r="U9954" s="538">
        <v>139.63</v>
      </c>
      <c r="V9954" s="538">
        <v>69.81</v>
      </c>
    </row>
    <row r="9955" spans="1:22">
      <c r="A9955" s="499">
        <v>45835</v>
      </c>
      <c r="B9955" s="499">
        <v>45835</v>
      </c>
      <c r="C9955" s="500" t="s">
        <v>173</v>
      </c>
      <c r="D9955" s="500" t="s">
        <v>760</v>
      </c>
      <c r="E9955" s="501">
        <v>-76068432.829999998</v>
      </c>
      <c r="F9955" s="502" t="s">
        <v>878</v>
      </c>
      <c r="G9955" s="100">
        <v>117707915</v>
      </c>
      <c r="H9955" s="530"/>
      <c r="I9955" s="422" t="s">
        <v>598</v>
      </c>
      <c r="J9955" s="484"/>
      <c r="K9955" s="548"/>
      <c r="L9955" s="548"/>
      <c r="M9955" s="548"/>
      <c r="N9955" s="552">
        <v>74936</v>
      </c>
      <c r="R9955" s="539">
        <v>1015.112</v>
      </c>
      <c r="S9955" s="539">
        <v>1016.40523313227</v>
      </c>
      <c r="T9955" s="538">
        <v>15.5001</v>
      </c>
      <c r="U9955" s="538">
        <v>342.31</v>
      </c>
      <c r="V9955" s="538">
        <v>171.15</v>
      </c>
    </row>
    <row r="9956" spans="1:22">
      <c r="A9956" s="499">
        <v>45835</v>
      </c>
      <c r="B9956" s="499">
        <v>45835</v>
      </c>
      <c r="C9956" s="500" t="s">
        <v>173</v>
      </c>
      <c r="D9956" s="500" t="s">
        <v>760</v>
      </c>
      <c r="E9956" s="501">
        <v>-7000981.0099999998</v>
      </c>
      <c r="F9956" s="502" t="s">
        <v>878</v>
      </c>
      <c r="G9956" s="100">
        <v>117707988</v>
      </c>
      <c r="H9956" s="530"/>
      <c r="I9956" s="422" t="s">
        <v>631</v>
      </c>
      <c r="J9956" s="484"/>
      <c r="K9956" s="548"/>
      <c r="L9956" s="548"/>
      <c r="M9956" s="548"/>
      <c r="N9956" s="552">
        <v>14826</v>
      </c>
      <c r="R9956" s="539">
        <v>472.2097</v>
      </c>
      <c r="S9956" s="539">
        <v>472.811286253878</v>
      </c>
      <c r="T9956" s="538">
        <v>15.5001</v>
      </c>
      <c r="U9956" s="538">
        <v>39.32</v>
      </c>
      <c r="V9956" s="538">
        <v>15.75</v>
      </c>
    </row>
    <row r="9957" spans="1:22">
      <c r="A9957" s="499">
        <v>45835</v>
      </c>
      <c r="B9957" s="499">
        <v>45835</v>
      </c>
      <c r="C9957" s="500" t="s">
        <v>173</v>
      </c>
      <c r="D9957" s="500" t="s">
        <v>760</v>
      </c>
      <c r="E9957" s="501">
        <v>-119060144.5</v>
      </c>
      <c r="F9957" s="502" t="s">
        <v>878</v>
      </c>
      <c r="G9957" s="100">
        <v>117707936</v>
      </c>
      <c r="H9957" s="530"/>
      <c r="I9957" s="422" t="s">
        <v>833</v>
      </c>
      <c r="J9957" s="484"/>
      <c r="K9957" s="548"/>
      <c r="L9957" s="548"/>
      <c r="M9957" s="548"/>
      <c r="N9957" s="552">
        <v>198611</v>
      </c>
      <c r="R9957" s="539">
        <v>599.46400000000006</v>
      </c>
      <c r="S9957" s="539">
        <v>600.22770561549999</v>
      </c>
      <c r="T9957" s="538">
        <v>15.5001</v>
      </c>
      <c r="U9957" s="538">
        <v>535.77</v>
      </c>
      <c r="V9957" s="538">
        <v>267.89</v>
      </c>
    </row>
    <row r="9958" spans="1:22">
      <c r="A9958" s="499">
        <v>45835</v>
      </c>
      <c r="B9958" s="499">
        <v>45835</v>
      </c>
      <c r="C9958" s="500" t="s">
        <v>173</v>
      </c>
      <c r="D9958" s="500" t="s">
        <v>760</v>
      </c>
      <c r="E9958" s="501">
        <v>-190096029.03999999</v>
      </c>
      <c r="F9958" s="502" t="s">
        <v>878</v>
      </c>
      <c r="G9958" s="100">
        <v>117707939</v>
      </c>
      <c r="H9958" s="530"/>
      <c r="I9958" s="422" t="s">
        <v>833</v>
      </c>
      <c r="J9958" s="484"/>
      <c r="K9958" s="548"/>
      <c r="L9958" s="548"/>
      <c r="M9958" s="548"/>
      <c r="N9958" s="552">
        <v>317110</v>
      </c>
      <c r="R9958" s="539">
        <v>599.46400000000006</v>
      </c>
      <c r="S9958" s="539">
        <v>600.22770565418898</v>
      </c>
      <c r="T9958" s="538">
        <v>15.5001</v>
      </c>
      <c r="U9958" s="538">
        <v>855.43</v>
      </c>
      <c r="V9958" s="538">
        <v>427.72</v>
      </c>
    </row>
    <row r="9959" spans="1:22">
      <c r="A9959" s="499">
        <v>45835</v>
      </c>
      <c r="B9959" s="499">
        <v>45835</v>
      </c>
      <c r="C9959" s="500" t="s">
        <v>173</v>
      </c>
      <c r="D9959" s="500" t="s">
        <v>760</v>
      </c>
      <c r="E9959" s="501">
        <v>-8004358.6799999997</v>
      </c>
      <c r="F9959" s="502" t="s">
        <v>878</v>
      </c>
      <c r="G9959" s="100">
        <v>117707960</v>
      </c>
      <c r="H9959" s="530"/>
      <c r="I9959" s="422" t="s">
        <v>658</v>
      </c>
      <c r="J9959" s="484"/>
      <c r="K9959" s="548"/>
      <c r="L9959" s="548"/>
      <c r="M9959" s="548"/>
      <c r="N9959" s="552">
        <v>8040</v>
      </c>
      <c r="R9959" s="539">
        <v>995.56700000000001</v>
      </c>
      <c r="S9959" s="539">
        <v>996.83533333333298</v>
      </c>
      <c r="T9959" s="538">
        <v>15.5001</v>
      </c>
      <c r="U9959" s="538">
        <v>39.32</v>
      </c>
      <c r="V9959" s="538">
        <v>18.010000000000002</v>
      </c>
    </row>
    <row r="9960" spans="1:22">
      <c r="A9960" s="499">
        <v>45835</v>
      </c>
      <c r="B9960" s="499">
        <v>45835</v>
      </c>
      <c r="C9960" s="500" t="s">
        <v>173</v>
      </c>
      <c r="D9960" s="500" t="s">
        <v>760</v>
      </c>
      <c r="E9960" s="501">
        <v>-4001774.02</v>
      </c>
      <c r="F9960" s="502" t="s">
        <v>878</v>
      </c>
      <c r="G9960" s="100">
        <v>117707963</v>
      </c>
      <c r="H9960" s="530"/>
      <c r="I9960" s="422" t="s">
        <v>673</v>
      </c>
      <c r="J9960" s="484"/>
      <c r="K9960" s="548"/>
      <c r="L9960" s="548"/>
      <c r="M9960" s="548"/>
      <c r="N9960" s="552">
        <v>4512</v>
      </c>
      <c r="R9960" s="539">
        <v>886.91800000000001</v>
      </c>
      <c r="S9960" s="539">
        <v>888.04791666666699</v>
      </c>
      <c r="T9960" s="538">
        <v>15.5001</v>
      </c>
      <c r="U9960" s="538">
        <v>39.32</v>
      </c>
      <c r="V9960" s="538">
        <v>9</v>
      </c>
    </row>
    <row r="9961" spans="1:22">
      <c r="A9961" s="499">
        <v>45835</v>
      </c>
      <c r="B9961" s="499">
        <v>45835</v>
      </c>
      <c r="C9961" s="500" t="s">
        <v>173</v>
      </c>
      <c r="D9961" s="500" t="s">
        <v>760</v>
      </c>
      <c r="E9961" s="501">
        <v>-135048536.55000001</v>
      </c>
      <c r="F9961" s="502" t="s">
        <v>878</v>
      </c>
      <c r="G9961" s="100">
        <v>117707945</v>
      </c>
      <c r="H9961" s="530"/>
      <c r="I9961" s="422" t="s">
        <v>687</v>
      </c>
      <c r="J9961" s="484"/>
      <c r="K9961" s="548"/>
      <c r="L9961" s="548"/>
      <c r="M9961" s="548"/>
      <c r="N9961" s="552">
        <v>158490</v>
      </c>
      <c r="R9961" s="539">
        <v>852.09500000000003</v>
      </c>
      <c r="S9961" s="539">
        <v>853.18055271625997</v>
      </c>
      <c r="T9961" s="538">
        <v>15.5001</v>
      </c>
      <c r="U9961" s="538">
        <v>607.72</v>
      </c>
      <c r="V9961" s="538">
        <v>303.86</v>
      </c>
    </row>
    <row r="9962" spans="1:22">
      <c r="A9962" s="499">
        <v>45835</v>
      </c>
      <c r="B9962" s="499">
        <v>45835</v>
      </c>
      <c r="C9962" s="500" t="s">
        <v>173</v>
      </c>
      <c r="D9962" s="500" t="s">
        <v>760</v>
      </c>
      <c r="E9962" s="501">
        <v>-43029163.549999997</v>
      </c>
      <c r="F9962" s="502" t="s">
        <v>878</v>
      </c>
      <c r="G9962" s="100">
        <v>117707921</v>
      </c>
      <c r="H9962" s="530"/>
      <c r="I9962" s="422" t="s">
        <v>693</v>
      </c>
      <c r="J9962" s="484"/>
      <c r="K9962" s="548"/>
      <c r="L9962" s="548"/>
      <c r="M9962" s="548"/>
      <c r="N9962" s="552">
        <v>51686</v>
      </c>
      <c r="R9962" s="539">
        <v>832.51099999999997</v>
      </c>
      <c r="S9962" s="539">
        <v>833.57160314204998</v>
      </c>
      <c r="T9962" s="538">
        <v>15.5001</v>
      </c>
      <c r="U9962" s="538">
        <v>193.63</v>
      </c>
      <c r="V9962" s="538">
        <v>96.82</v>
      </c>
    </row>
    <row r="9963" spans="1:22">
      <c r="A9963" s="499">
        <v>45835</v>
      </c>
      <c r="B9963" s="499">
        <v>45835</v>
      </c>
      <c r="C9963" s="500" t="s">
        <v>173</v>
      </c>
      <c r="D9963" s="500" t="s">
        <v>760</v>
      </c>
      <c r="E9963" s="501">
        <v>-97069347.239999995</v>
      </c>
      <c r="F9963" s="502" t="s">
        <v>878</v>
      </c>
      <c r="G9963" s="100">
        <v>117707918</v>
      </c>
      <c r="H9963" s="530"/>
      <c r="I9963" s="422" t="s">
        <v>715</v>
      </c>
      <c r="J9963" s="484"/>
      <c r="K9963" s="548"/>
      <c r="L9963" s="548"/>
      <c r="M9963" s="548"/>
      <c r="N9963" s="552">
        <v>125130</v>
      </c>
      <c r="R9963" s="539">
        <v>775.74800000000005</v>
      </c>
      <c r="S9963" s="539">
        <v>776.73628810037599</v>
      </c>
      <c r="T9963" s="538">
        <v>15.5001</v>
      </c>
      <c r="U9963" s="538">
        <v>436.81</v>
      </c>
      <c r="V9963" s="538">
        <v>218.41</v>
      </c>
    </row>
    <row r="9964" spans="1:22">
      <c r="A9964" s="499">
        <v>45835</v>
      </c>
      <c r="B9964" s="499">
        <v>45835</v>
      </c>
      <c r="C9964" s="500" t="s">
        <v>173</v>
      </c>
      <c r="D9964" s="500" t="s">
        <v>760</v>
      </c>
      <c r="E9964" s="501">
        <v>-28020017.760000002</v>
      </c>
      <c r="F9964" s="502" t="s">
        <v>878</v>
      </c>
      <c r="G9964" s="100">
        <v>117707948</v>
      </c>
      <c r="H9964" s="530"/>
      <c r="I9964" s="422" t="s">
        <v>715</v>
      </c>
      <c r="J9964" s="484"/>
      <c r="K9964" s="548"/>
      <c r="L9964" s="548"/>
      <c r="M9964" s="548"/>
      <c r="N9964" s="552">
        <v>36120</v>
      </c>
      <c r="R9964" s="539">
        <v>775.74800000000005</v>
      </c>
      <c r="S9964" s="539">
        <v>776.73628820598003</v>
      </c>
      <c r="T9964" s="538">
        <v>15.5001</v>
      </c>
      <c r="U9964" s="538">
        <v>126.09</v>
      </c>
      <c r="V9964" s="538">
        <v>63.05</v>
      </c>
    </row>
    <row r="9965" spans="1:22">
      <c r="A9965" s="499">
        <v>45835</v>
      </c>
      <c r="B9965" s="499">
        <v>45835</v>
      </c>
      <c r="C9965" s="500" t="s">
        <v>173</v>
      </c>
      <c r="D9965" s="500" t="s">
        <v>760</v>
      </c>
      <c r="E9965" s="501">
        <v>-26018587.920000002</v>
      </c>
      <c r="F9965" s="502" t="s">
        <v>878</v>
      </c>
      <c r="G9965" s="100">
        <v>117707951</v>
      </c>
      <c r="H9965" s="530"/>
      <c r="I9965" s="422" t="s">
        <v>715</v>
      </c>
      <c r="J9965" s="484"/>
      <c r="K9965" s="548"/>
      <c r="L9965" s="548"/>
      <c r="M9965" s="548"/>
      <c r="N9965" s="552">
        <v>33540</v>
      </c>
      <c r="R9965" s="539">
        <v>775.74800000000005</v>
      </c>
      <c r="S9965" s="539">
        <v>776.73628801431096</v>
      </c>
      <c r="T9965" s="538">
        <v>15.5001</v>
      </c>
      <c r="U9965" s="538">
        <v>117.08</v>
      </c>
      <c r="V9965" s="538">
        <v>58.54</v>
      </c>
    </row>
    <row r="9966" spans="1:22">
      <c r="A9966" s="499">
        <v>45835</v>
      </c>
      <c r="B9966" s="499">
        <v>45835</v>
      </c>
      <c r="C9966" s="500" t="s">
        <v>173</v>
      </c>
      <c r="D9966" s="500" t="s">
        <v>760</v>
      </c>
      <c r="E9966" s="501">
        <v>-332236557.63999999</v>
      </c>
      <c r="F9966" s="502" t="s">
        <v>878</v>
      </c>
      <c r="G9966" s="100">
        <v>117707966</v>
      </c>
      <c r="H9966" s="530"/>
      <c r="I9966" s="422" t="s">
        <v>719</v>
      </c>
      <c r="J9966" s="484"/>
      <c r="K9966" s="548"/>
      <c r="L9966" s="548"/>
      <c r="M9966" s="548"/>
      <c r="N9966" s="552">
        <v>459156</v>
      </c>
      <c r="R9966" s="539">
        <v>723.58100000000002</v>
      </c>
      <c r="S9966" s="539">
        <v>724.50282237409499</v>
      </c>
      <c r="T9966" s="538">
        <v>15.5</v>
      </c>
      <c r="U9966" s="538">
        <v>1495.06</v>
      </c>
      <c r="V9966" s="538">
        <v>747.53</v>
      </c>
    </row>
    <row r="9967" spans="1:22">
      <c r="A9967" s="499">
        <v>45835</v>
      </c>
      <c r="B9967" s="499">
        <v>45838</v>
      </c>
      <c r="C9967" s="500" t="s">
        <v>173</v>
      </c>
      <c r="D9967" s="500" t="s">
        <v>760</v>
      </c>
      <c r="E9967" s="501">
        <v>29038673.469999999</v>
      </c>
      <c r="F9967" s="502" t="s">
        <v>878</v>
      </c>
      <c r="G9967" s="100">
        <v>117707933</v>
      </c>
      <c r="H9967" s="484">
        <v>117707933</v>
      </c>
      <c r="I9967" s="422" t="s">
        <v>550</v>
      </c>
      <c r="J9967" s="484"/>
      <c r="K9967" s="548"/>
      <c r="L9967" s="548"/>
      <c r="M9967" s="548"/>
      <c r="N9967" s="552">
        <v>55013</v>
      </c>
      <c r="R9967" s="539">
        <v>527.17949999999996</v>
      </c>
      <c r="S9967" s="539">
        <v>527.851116463381</v>
      </c>
      <c r="T9967" s="538">
        <v>15.5001</v>
      </c>
      <c r="U9967" s="538">
        <v>130.51</v>
      </c>
      <c r="V9967" s="538">
        <v>65.25</v>
      </c>
    </row>
    <row r="9968" spans="1:22">
      <c r="A9968" s="499">
        <v>45835</v>
      </c>
      <c r="B9968" s="499">
        <v>45838</v>
      </c>
      <c r="C9968" s="500" t="s">
        <v>173</v>
      </c>
      <c r="D9968" s="500" t="s">
        <v>760</v>
      </c>
      <c r="E9968" s="501">
        <v>18024004.23</v>
      </c>
      <c r="F9968" s="502" t="s">
        <v>878</v>
      </c>
      <c r="G9968" s="100">
        <v>117707957</v>
      </c>
      <c r="H9968" s="484">
        <v>117707957</v>
      </c>
      <c r="I9968" s="422" t="s">
        <v>550</v>
      </c>
      <c r="J9968" s="484"/>
      <c r="K9968" s="548"/>
      <c r="L9968" s="548"/>
      <c r="M9968" s="548"/>
      <c r="N9968" s="552">
        <v>34146</v>
      </c>
      <c r="R9968" s="539">
        <v>527.17949999999996</v>
      </c>
      <c r="S9968" s="539">
        <v>527.85111667545198</v>
      </c>
      <c r="T9968" s="538">
        <v>15.5001</v>
      </c>
      <c r="U9968" s="538">
        <v>81</v>
      </c>
      <c r="V9968" s="538">
        <v>40.5</v>
      </c>
    </row>
    <row r="9969" spans="1:22">
      <c r="A9969" s="499">
        <v>45835</v>
      </c>
      <c r="B9969" s="499">
        <v>45838</v>
      </c>
      <c r="C9969" s="500" t="s">
        <v>173</v>
      </c>
      <c r="D9969" s="500" t="s">
        <v>760</v>
      </c>
      <c r="E9969" s="501">
        <v>25037750.73</v>
      </c>
      <c r="F9969" s="502" t="s">
        <v>878</v>
      </c>
      <c r="G9969" s="100">
        <v>117707954</v>
      </c>
      <c r="H9969" s="484">
        <v>117707954</v>
      </c>
      <c r="I9969" s="422" t="s">
        <v>588</v>
      </c>
      <c r="J9969" s="484"/>
      <c r="K9969" s="548"/>
      <c r="L9969" s="548"/>
      <c r="M9969" s="548"/>
      <c r="N9969" s="552">
        <v>26925</v>
      </c>
      <c r="R9969" s="539">
        <v>928.72400000000005</v>
      </c>
      <c r="S9969" s="539">
        <v>929.90717660167104</v>
      </c>
      <c r="T9969" s="538">
        <v>15.5001</v>
      </c>
      <c r="U9969" s="538">
        <v>112.53</v>
      </c>
      <c r="V9969" s="538">
        <v>56.26</v>
      </c>
    </row>
    <row r="9970" spans="1:22">
      <c r="A9970" s="499">
        <v>45835</v>
      </c>
      <c r="B9970" s="499">
        <v>45838</v>
      </c>
      <c r="C9970" s="500" t="s">
        <v>173</v>
      </c>
      <c r="D9970" s="500" t="s">
        <v>760</v>
      </c>
      <c r="E9970" s="501">
        <v>36057543.969999999</v>
      </c>
      <c r="F9970" s="502" t="s">
        <v>878</v>
      </c>
      <c r="G9970" s="100">
        <v>117707924</v>
      </c>
      <c r="H9970" s="484">
        <v>117707924</v>
      </c>
      <c r="I9970" s="422" t="s">
        <v>590</v>
      </c>
      <c r="J9970" s="484"/>
      <c r="K9970" s="548"/>
      <c r="L9970" s="548"/>
      <c r="M9970" s="548"/>
      <c r="N9970" s="552">
        <v>41400</v>
      </c>
      <c r="R9970" s="539">
        <v>869.84699999999998</v>
      </c>
      <c r="S9970" s="539">
        <v>870.95516835748799</v>
      </c>
      <c r="T9970" s="538">
        <v>15.5001</v>
      </c>
      <c r="U9970" s="538">
        <v>162.05000000000001</v>
      </c>
      <c r="V9970" s="538">
        <v>81.03</v>
      </c>
    </row>
    <row r="9971" spans="1:22">
      <c r="A9971" s="499">
        <v>45835</v>
      </c>
      <c r="B9971" s="499">
        <v>45838</v>
      </c>
      <c r="C9971" s="500" t="s">
        <v>173</v>
      </c>
      <c r="D9971" s="500" t="s">
        <v>760</v>
      </c>
      <c r="E9971" s="501">
        <v>78124678.609999999</v>
      </c>
      <c r="F9971" s="502" t="s">
        <v>878</v>
      </c>
      <c r="G9971" s="100">
        <v>117707942</v>
      </c>
      <c r="H9971" s="484">
        <v>117707942</v>
      </c>
      <c r="I9971" s="422" t="s">
        <v>590</v>
      </c>
      <c r="J9971" s="484"/>
      <c r="K9971" s="548"/>
      <c r="L9971" s="548"/>
      <c r="M9971" s="548"/>
      <c r="N9971" s="552">
        <v>89700</v>
      </c>
      <c r="R9971" s="539">
        <v>869.84699999999998</v>
      </c>
      <c r="S9971" s="539">
        <v>870.95516845039003</v>
      </c>
      <c r="T9971" s="538">
        <v>15.5001</v>
      </c>
      <c r="U9971" s="538">
        <v>351.11</v>
      </c>
      <c r="V9971" s="538">
        <v>175.56</v>
      </c>
    </row>
    <row r="9972" spans="1:22">
      <c r="A9972" s="499">
        <v>45835</v>
      </c>
      <c r="B9972" s="499">
        <v>45838</v>
      </c>
      <c r="C9972" s="500" t="s">
        <v>173</v>
      </c>
      <c r="D9972" s="500" t="s">
        <v>760</v>
      </c>
      <c r="E9972" s="501">
        <v>29040317.039999999</v>
      </c>
      <c r="F9972" s="502" t="s">
        <v>878</v>
      </c>
      <c r="G9972" s="100">
        <v>117707930</v>
      </c>
      <c r="H9972" s="484">
        <v>117707930</v>
      </c>
      <c r="I9972" s="422" t="s">
        <v>821</v>
      </c>
      <c r="J9972" s="484"/>
      <c r="K9972" s="548"/>
      <c r="L9972" s="548"/>
      <c r="M9972" s="548"/>
      <c r="N9972" s="552">
        <v>26854</v>
      </c>
      <c r="R9972" s="539">
        <v>1080.039</v>
      </c>
      <c r="S9972" s="539">
        <v>1081.4149489833901</v>
      </c>
      <c r="T9972" s="538">
        <v>15.5001</v>
      </c>
      <c r="U9972" s="538">
        <v>130.52000000000001</v>
      </c>
      <c r="V9972" s="538">
        <v>65.260000000000005</v>
      </c>
    </row>
    <row r="9973" spans="1:22">
      <c r="A9973" s="499">
        <v>45835</v>
      </c>
      <c r="B9973" s="499">
        <v>45838</v>
      </c>
      <c r="C9973" s="500" t="s">
        <v>173</v>
      </c>
      <c r="D9973" s="500" t="s">
        <v>760</v>
      </c>
      <c r="E9973" s="501">
        <v>31067988.59</v>
      </c>
      <c r="F9973" s="502" t="s">
        <v>878</v>
      </c>
      <c r="G9973" s="100">
        <v>117707927</v>
      </c>
      <c r="H9973" s="484">
        <v>117707927</v>
      </c>
      <c r="I9973" s="422" t="s">
        <v>823</v>
      </c>
      <c r="J9973" s="484"/>
      <c r="K9973" s="548"/>
      <c r="L9973" s="548"/>
      <c r="M9973" s="548"/>
      <c r="N9973" s="552">
        <v>28706</v>
      </c>
      <c r="R9973" s="539">
        <v>1080.905</v>
      </c>
      <c r="S9973" s="539">
        <v>1082.28205218421</v>
      </c>
      <c r="T9973" s="538">
        <v>15.5001</v>
      </c>
      <c r="U9973" s="538">
        <v>139.63</v>
      </c>
      <c r="V9973" s="538">
        <v>69.81</v>
      </c>
    </row>
    <row r="9974" spans="1:22">
      <c r="A9974" s="499">
        <v>45835</v>
      </c>
      <c r="B9974" s="499">
        <v>45838</v>
      </c>
      <c r="C9974" s="500" t="s">
        <v>173</v>
      </c>
      <c r="D9974" s="500" t="s">
        <v>760</v>
      </c>
      <c r="E9974" s="501">
        <v>76165342.549999997</v>
      </c>
      <c r="F9974" s="502" t="s">
        <v>878</v>
      </c>
      <c r="G9974" s="100">
        <v>117707915</v>
      </c>
      <c r="H9974" s="484">
        <v>117707915</v>
      </c>
      <c r="I9974" s="422" t="s">
        <v>598</v>
      </c>
      <c r="J9974" s="484"/>
      <c r="K9974" s="548"/>
      <c r="L9974" s="548"/>
      <c r="M9974" s="548"/>
      <c r="N9974" s="552">
        <v>74936</v>
      </c>
      <c r="R9974" s="539">
        <v>1015.112</v>
      </c>
      <c r="S9974" s="539">
        <v>1016.40523313227</v>
      </c>
      <c r="T9974" s="538">
        <v>15.5001</v>
      </c>
      <c r="U9974" s="538">
        <v>342.31</v>
      </c>
      <c r="V9974" s="538">
        <v>171.15</v>
      </c>
    </row>
    <row r="9975" spans="1:22">
      <c r="A9975" s="499">
        <v>45835</v>
      </c>
      <c r="B9975" s="499">
        <v>45838</v>
      </c>
      <c r="C9975" s="500" t="s">
        <v>173</v>
      </c>
      <c r="D9975" s="500" t="s">
        <v>760</v>
      </c>
      <c r="E9975" s="501">
        <v>7009900.1299999999</v>
      </c>
      <c r="F9975" s="502" t="s">
        <v>878</v>
      </c>
      <c r="G9975" s="100">
        <v>117707988</v>
      </c>
      <c r="H9975" s="484">
        <v>117707988</v>
      </c>
      <c r="I9975" s="422" t="s">
        <v>631</v>
      </c>
      <c r="J9975" s="484"/>
      <c r="K9975" s="548"/>
      <c r="L9975" s="548"/>
      <c r="M9975" s="548"/>
      <c r="N9975" s="552">
        <v>14826</v>
      </c>
      <c r="R9975" s="539">
        <v>472.2097</v>
      </c>
      <c r="S9975" s="539">
        <v>472.811286253878</v>
      </c>
      <c r="T9975" s="538">
        <v>15.5001</v>
      </c>
      <c r="U9975" s="538">
        <v>39.32</v>
      </c>
      <c r="V9975" s="538">
        <v>15.75</v>
      </c>
    </row>
    <row r="9976" spans="1:22">
      <c r="A9976" s="499">
        <v>45835</v>
      </c>
      <c r="B9976" s="499">
        <v>45838</v>
      </c>
      <c r="C9976" s="500" t="s">
        <v>173</v>
      </c>
      <c r="D9976" s="500" t="s">
        <v>760</v>
      </c>
      <c r="E9976" s="501">
        <v>119211824.84</v>
      </c>
      <c r="F9976" s="502" t="s">
        <v>878</v>
      </c>
      <c r="G9976" s="100">
        <v>117707936</v>
      </c>
      <c r="H9976" s="484">
        <v>117707936</v>
      </c>
      <c r="I9976" s="422" t="s">
        <v>833</v>
      </c>
      <c r="J9976" s="484"/>
      <c r="K9976" s="548"/>
      <c r="L9976" s="548"/>
      <c r="M9976" s="548"/>
      <c r="N9976" s="552">
        <v>198611</v>
      </c>
      <c r="R9976" s="539">
        <v>599.46400000000006</v>
      </c>
      <c r="S9976" s="539">
        <v>600.22770561549999</v>
      </c>
      <c r="T9976" s="538">
        <v>15.5001</v>
      </c>
      <c r="U9976" s="538">
        <v>535.77</v>
      </c>
      <c r="V9976" s="538">
        <v>267.89</v>
      </c>
    </row>
    <row r="9977" spans="1:22">
      <c r="A9977" s="499">
        <v>45835</v>
      </c>
      <c r="B9977" s="499">
        <v>45838</v>
      </c>
      <c r="C9977" s="500" t="s">
        <v>173</v>
      </c>
      <c r="D9977" s="500" t="s">
        <v>760</v>
      </c>
      <c r="E9977" s="501">
        <v>190338207.74000001</v>
      </c>
      <c r="F9977" s="502" t="s">
        <v>878</v>
      </c>
      <c r="G9977" s="100">
        <v>117707939</v>
      </c>
      <c r="H9977" s="484">
        <v>117707939</v>
      </c>
      <c r="I9977" s="422" t="s">
        <v>833</v>
      </c>
      <c r="J9977" s="484"/>
      <c r="K9977" s="548"/>
      <c r="L9977" s="548"/>
      <c r="M9977" s="548"/>
      <c r="N9977" s="552">
        <v>317110</v>
      </c>
      <c r="R9977" s="539">
        <v>599.46400000000006</v>
      </c>
      <c r="S9977" s="539">
        <v>600.22770565418898</v>
      </c>
      <c r="T9977" s="538">
        <v>15.5001</v>
      </c>
      <c r="U9977" s="538">
        <v>855.43</v>
      </c>
      <c r="V9977" s="538">
        <v>427.72</v>
      </c>
    </row>
    <row r="9978" spans="1:22">
      <c r="A9978" s="499">
        <v>45835</v>
      </c>
      <c r="B9978" s="499">
        <v>45838</v>
      </c>
      <c r="C9978" s="500" t="s">
        <v>173</v>
      </c>
      <c r="D9978" s="500" t="s">
        <v>760</v>
      </c>
      <c r="E9978" s="501">
        <v>8014556.0800000001</v>
      </c>
      <c r="F9978" s="502" t="s">
        <v>878</v>
      </c>
      <c r="G9978" s="100">
        <v>117707960</v>
      </c>
      <c r="H9978" s="484">
        <v>117707960</v>
      </c>
      <c r="I9978" s="422" t="s">
        <v>658</v>
      </c>
      <c r="J9978" s="484"/>
      <c r="K9978" s="548"/>
      <c r="L9978" s="548"/>
      <c r="M9978" s="548"/>
      <c r="N9978" s="552">
        <v>8040</v>
      </c>
      <c r="R9978" s="539">
        <v>995.56700000000001</v>
      </c>
      <c r="S9978" s="539">
        <v>996.83533333333298</v>
      </c>
      <c r="T9978" s="538">
        <v>15.5001</v>
      </c>
      <c r="U9978" s="538">
        <v>39.32</v>
      </c>
      <c r="V9978" s="538">
        <v>18.010000000000002</v>
      </c>
    </row>
    <row r="9979" spans="1:22">
      <c r="A9979" s="499">
        <v>45835</v>
      </c>
      <c r="B9979" s="499">
        <v>45838</v>
      </c>
      <c r="C9979" s="500" t="s">
        <v>173</v>
      </c>
      <c r="D9979" s="500" t="s">
        <v>760</v>
      </c>
      <c r="E9979" s="501">
        <v>4006872.2</v>
      </c>
      <c r="F9979" s="502" t="s">
        <v>878</v>
      </c>
      <c r="G9979" s="100">
        <v>117707963</v>
      </c>
      <c r="H9979" s="484">
        <v>117707963</v>
      </c>
      <c r="I9979" s="422" t="s">
        <v>673</v>
      </c>
      <c r="J9979" s="484"/>
      <c r="K9979" s="548"/>
      <c r="L9979" s="548"/>
      <c r="M9979" s="548"/>
      <c r="N9979" s="552">
        <v>4512</v>
      </c>
      <c r="R9979" s="539">
        <v>886.91800000000001</v>
      </c>
      <c r="S9979" s="539">
        <v>888.04791666666699</v>
      </c>
      <c r="T9979" s="538">
        <v>15.5001</v>
      </c>
      <c r="U9979" s="538">
        <v>39.32</v>
      </c>
      <c r="V9979" s="538">
        <v>9</v>
      </c>
    </row>
    <row r="9980" spans="1:22">
      <c r="A9980" s="499">
        <v>45835</v>
      </c>
      <c r="B9980" s="499">
        <v>45838</v>
      </c>
      <c r="C9980" s="500" t="s">
        <v>173</v>
      </c>
      <c r="D9980" s="500" t="s">
        <v>760</v>
      </c>
      <c r="E9980" s="501">
        <v>135220585.80000001</v>
      </c>
      <c r="F9980" s="502" t="s">
        <v>878</v>
      </c>
      <c r="G9980" s="100">
        <v>117707945</v>
      </c>
      <c r="H9980" s="484">
        <v>117707945</v>
      </c>
      <c r="I9980" s="422" t="s">
        <v>687</v>
      </c>
      <c r="J9980" s="484"/>
      <c r="K9980" s="548"/>
      <c r="L9980" s="548"/>
      <c r="M9980" s="548"/>
      <c r="N9980" s="552">
        <v>158490</v>
      </c>
      <c r="R9980" s="539">
        <v>852.09500000000003</v>
      </c>
      <c r="S9980" s="539">
        <v>853.18055271625997</v>
      </c>
      <c r="T9980" s="538">
        <v>15.5001</v>
      </c>
      <c r="U9980" s="538">
        <v>607.72</v>
      </c>
      <c r="V9980" s="538">
        <v>303.86</v>
      </c>
    </row>
    <row r="9981" spans="1:22">
      <c r="A9981" s="499">
        <v>45835</v>
      </c>
      <c r="B9981" s="499">
        <v>45838</v>
      </c>
      <c r="C9981" s="500" t="s">
        <v>173</v>
      </c>
      <c r="D9981" s="500" t="s">
        <v>760</v>
      </c>
      <c r="E9981" s="501">
        <v>43083981.880000003</v>
      </c>
      <c r="F9981" s="502" t="s">
        <v>878</v>
      </c>
      <c r="G9981" s="100">
        <v>117707921</v>
      </c>
      <c r="H9981" s="484">
        <v>117707921</v>
      </c>
      <c r="I9981" s="422" t="s">
        <v>693</v>
      </c>
      <c r="J9981" s="484"/>
      <c r="K9981" s="548"/>
      <c r="L9981" s="548"/>
      <c r="M9981" s="548"/>
      <c r="N9981" s="552">
        <v>51686</v>
      </c>
      <c r="R9981" s="539">
        <v>832.51099999999997</v>
      </c>
      <c r="S9981" s="539">
        <v>833.57160314204998</v>
      </c>
      <c r="T9981" s="538">
        <v>15.5001</v>
      </c>
      <c r="U9981" s="538">
        <v>193.63</v>
      </c>
      <c r="V9981" s="538">
        <v>96.82</v>
      </c>
    </row>
    <row r="9982" spans="1:22">
      <c r="A9982" s="499">
        <v>45835</v>
      </c>
      <c r="B9982" s="499">
        <v>45838</v>
      </c>
      <c r="C9982" s="500" t="s">
        <v>173</v>
      </c>
      <c r="D9982" s="500" t="s">
        <v>760</v>
      </c>
      <c r="E9982" s="501">
        <v>97193011.730000004</v>
      </c>
      <c r="F9982" s="502" t="s">
        <v>878</v>
      </c>
      <c r="G9982" s="100">
        <v>117707918</v>
      </c>
      <c r="H9982" s="484">
        <v>117707918</v>
      </c>
      <c r="I9982" s="422" t="s">
        <v>715</v>
      </c>
      <c r="J9982" s="484"/>
      <c r="K9982" s="548"/>
      <c r="L9982" s="548"/>
      <c r="M9982" s="548"/>
      <c r="N9982" s="552">
        <v>125130</v>
      </c>
      <c r="R9982" s="539">
        <v>775.74800000000005</v>
      </c>
      <c r="S9982" s="539">
        <v>776.73628810037599</v>
      </c>
      <c r="T9982" s="538">
        <v>15.5001</v>
      </c>
      <c r="U9982" s="538">
        <v>436.81</v>
      </c>
      <c r="V9982" s="538">
        <v>218.41</v>
      </c>
    </row>
    <row r="9983" spans="1:22">
      <c r="A9983" s="499">
        <v>45835</v>
      </c>
      <c r="B9983" s="499">
        <v>45838</v>
      </c>
      <c r="C9983" s="500" t="s">
        <v>173</v>
      </c>
      <c r="D9983" s="500" t="s">
        <v>760</v>
      </c>
      <c r="E9983" s="501">
        <v>28055714.73</v>
      </c>
      <c r="F9983" s="502" t="s">
        <v>878</v>
      </c>
      <c r="G9983" s="100">
        <v>117707948</v>
      </c>
      <c r="H9983" s="484">
        <v>117707948</v>
      </c>
      <c r="I9983" s="422" t="s">
        <v>715</v>
      </c>
      <c r="J9983" s="484"/>
      <c r="K9983" s="548"/>
      <c r="L9983" s="548"/>
      <c r="M9983" s="548"/>
      <c r="N9983" s="552">
        <v>36120</v>
      </c>
      <c r="R9983" s="539">
        <v>775.74800000000005</v>
      </c>
      <c r="S9983" s="539">
        <v>776.73628820598003</v>
      </c>
      <c r="T9983" s="538">
        <v>15.5001</v>
      </c>
      <c r="U9983" s="538">
        <v>126.09</v>
      </c>
      <c r="V9983" s="538">
        <v>63.05</v>
      </c>
    </row>
    <row r="9984" spans="1:22">
      <c r="A9984" s="499">
        <v>45835</v>
      </c>
      <c r="B9984" s="499">
        <v>45838</v>
      </c>
      <c r="C9984" s="500" t="s">
        <v>173</v>
      </c>
      <c r="D9984" s="500" t="s">
        <v>760</v>
      </c>
      <c r="E9984" s="501">
        <v>26051735.100000001</v>
      </c>
      <c r="F9984" s="502" t="s">
        <v>878</v>
      </c>
      <c r="G9984" s="100">
        <v>117707951</v>
      </c>
      <c r="H9984" s="484">
        <v>117707951</v>
      </c>
      <c r="I9984" s="422" t="s">
        <v>715</v>
      </c>
      <c r="J9984" s="484"/>
      <c r="K9984" s="548"/>
      <c r="L9984" s="548"/>
      <c r="M9984" s="548"/>
      <c r="N9984" s="552">
        <v>33540</v>
      </c>
      <c r="R9984" s="539">
        <v>775.74800000000005</v>
      </c>
      <c r="S9984" s="539">
        <v>776.73628801431096</v>
      </c>
      <c r="T9984" s="538">
        <v>15.5001</v>
      </c>
      <c r="U9984" s="538">
        <v>117.08</v>
      </c>
      <c r="V9984" s="538">
        <v>58.54</v>
      </c>
    </row>
    <row r="9985" spans="1:22">
      <c r="A9985" s="499">
        <v>45835</v>
      </c>
      <c r="B9985" s="499">
        <v>45838</v>
      </c>
      <c r="C9985" s="500" t="s">
        <v>173</v>
      </c>
      <c r="D9985" s="500" t="s">
        <v>760</v>
      </c>
      <c r="E9985" s="501">
        <v>332659817.91000003</v>
      </c>
      <c r="F9985" s="502" t="s">
        <v>878</v>
      </c>
      <c r="G9985" s="100">
        <v>117707966</v>
      </c>
      <c r="H9985" s="484">
        <v>117707966</v>
      </c>
      <c r="I9985" s="422" t="s">
        <v>719</v>
      </c>
      <c r="J9985" s="484"/>
      <c r="K9985" s="548"/>
      <c r="L9985" s="548"/>
      <c r="M9985" s="548"/>
      <c r="N9985" s="552">
        <v>459156</v>
      </c>
      <c r="R9985" s="539">
        <v>723.58100000000002</v>
      </c>
      <c r="S9985" s="539">
        <v>724.50282237409499</v>
      </c>
      <c r="T9985" s="538">
        <v>15.5</v>
      </c>
      <c r="U9985" s="538">
        <v>1495.06</v>
      </c>
      <c r="V9985" s="538">
        <v>747.53</v>
      </c>
    </row>
    <row r="9986" spans="1:22">
      <c r="A9986" s="499">
        <v>45835</v>
      </c>
      <c r="B9986" s="499">
        <v>45835</v>
      </c>
      <c r="C9986" s="500" t="s">
        <v>173</v>
      </c>
      <c r="D9986" s="500" t="s">
        <v>763</v>
      </c>
      <c r="E9986" s="501">
        <v>-4501781245.8100004</v>
      </c>
      <c r="F9986" s="502" t="s">
        <v>878</v>
      </c>
      <c r="G9986" s="100">
        <v>117712259</v>
      </c>
      <c r="H9986" s="530"/>
      <c r="I9986" s="422" t="s">
        <v>654</v>
      </c>
      <c r="J9986" s="484"/>
      <c r="K9986" s="548"/>
      <c r="L9986" s="548"/>
      <c r="M9986" s="548"/>
      <c r="N9986" s="552">
        <v>4624972</v>
      </c>
      <c r="R9986" s="539">
        <v>973.36400000000003</v>
      </c>
      <c r="S9986" s="539">
        <v>974.60406306892196</v>
      </c>
      <c r="T9986" s="538">
        <v>15.500299999999999</v>
      </c>
      <c r="U9986" s="538">
        <v>20258.02</v>
      </c>
      <c r="V9986" s="538">
        <v>10129.01</v>
      </c>
    </row>
    <row r="9987" spans="1:22">
      <c r="A9987" s="499">
        <v>45835</v>
      </c>
      <c r="B9987" s="499">
        <v>45835</v>
      </c>
      <c r="C9987" s="500" t="s">
        <v>173</v>
      </c>
      <c r="D9987" s="500" t="s">
        <v>763</v>
      </c>
      <c r="E9987" s="501">
        <v>-1406085032.49</v>
      </c>
      <c r="F9987" s="502" t="s">
        <v>878</v>
      </c>
      <c r="G9987" s="100">
        <v>117712262</v>
      </c>
      <c r="H9987" s="530"/>
      <c r="I9987" s="422" t="s">
        <v>1018</v>
      </c>
      <c r="J9987" s="484"/>
      <c r="K9987" s="548"/>
      <c r="L9987" s="548"/>
      <c r="M9987" s="548"/>
      <c r="N9987" s="552">
        <v>14786902</v>
      </c>
      <c r="R9987" s="539">
        <v>95.0899</v>
      </c>
      <c r="S9987" s="539">
        <v>95.211043490380902</v>
      </c>
      <c r="T9987" s="538">
        <v>15.5002</v>
      </c>
      <c r="U9987" s="538">
        <v>6327.38</v>
      </c>
      <c r="V9987" s="538">
        <v>3163.69</v>
      </c>
    </row>
    <row r="9988" spans="1:22">
      <c r="A9988" s="499">
        <v>45835</v>
      </c>
      <c r="B9988" s="499">
        <v>45835</v>
      </c>
      <c r="C9988" s="500" t="s">
        <v>173</v>
      </c>
      <c r="D9988" s="500" t="s">
        <v>763</v>
      </c>
      <c r="E9988" s="501">
        <v>-33001995.780000001</v>
      </c>
      <c r="F9988" s="502" t="s">
        <v>878</v>
      </c>
      <c r="G9988" s="100">
        <v>117712285</v>
      </c>
      <c r="H9988" s="530"/>
      <c r="I9988" s="422" t="s">
        <v>1018</v>
      </c>
      <c r="J9988" s="484"/>
      <c r="K9988" s="548"/>
      <c r="L9988" s="548"/>
      <c r="M9988" s="548"/>
      <c r="N9988" s="552">
        <v>347061</v>
      </c>
      <c r="R9988" s="539">
        <v>95.0899</v>
      </c>
      <c r="S9988" s="539">
        <v>95.211043476507001</v>
      </c>
      <c r="T9988" s="538">
        <v>15.5002</v>
      </c>
      <c r="U9988" s="538">
        <v>148.51</v>
      </c>
      <c r="V9988" s="538">
        <v>74.25</v>
      </c>
    </row>
    <row r="9989" spans="1:22">
      <c r="A9989" s="499">
        <v>45835</v>
      </c>
      <c r="B9989" s="499">
        <v>45838</v>
      </c>
      <c r="C9989" s="500" t="s">
        <v>173</v>
      </c>
      <c r="D9989" s="500" t="s">
        <v>763</v>
      </c>
      <c r="E9989" s="501">
        <v>4507516502.7799997</v>
      </c>
      <c r="F9989" s="502" t="s">
        <v>878</v>
      </c>
      <c r="G9989" s="100">
        <v>117712259</v>
      </c>
      <c r="H9989" s="484">
        <v>117712259</v>
      </c>
      <c r="I9989" s="422" t="s">
        <v>654</v>
      </c>
      <c r="J9989" s="484"/>
      <c r="K9989" s="548"/>
      <c r="L9989" s="548"/>
      <c r="M9989" s="548"/>
      <c r="N9989" s="552">
        <v>4624972</v>
      </c>
      <c r="R9989" s="539">
        <v>973.36400000000003</v>
      </c>
      <c r="S9989" s="539">
        <v>974.60406306892196</v>
      </c>
      <c r="T9989" s="538">
        <v>15.500299999999999</v>
      </c>
      <c r="U9989" s="538">
        <v>20258.02</v>
      </c>
      <c r="V9989" s="538">
        <v>10129.01</v>
      </c>
    </row>
    <row r="9990" spans="1:22">
      <c r="A9990" s="499">
        <v>45835</v>
      </c>
      <c r="B9990" s="499">
        <v>45838</v>
      </c>
      <c r="C9990" s="500" t="s">
        <v>173</v>
      </c>
      <c r="D9990" s="500" t="s">
        <v>763</v>
      </c>
      <c r="E9990" s="501">
        <v>1407876369.4100001</v>
      </c>
      <c r="F9990" s="502" t="s">
        <v>878</v>
      </c>
      <c r="G9990" s="100">
        <v>117712262</v>
      </c>
      <c r="H9990" s="484">
        <v>117712262</v>
      </c>
      <c r="I9990" s="422" t="s">
        <v>1018</v>
      </c>
      <c r="J9990" s="484"/>
      <c r="K9990" s="548"/>
      <c r="L9990" s="548"/>
      <c r="M9990" s="548"/>
      <c r="N9990" s="552">
        <v>14786902</v>
      </c>
      <c r="R9990" s="539">
        <v>95.0899</v>
      </c>
      <c r="S9990" s="539">
        <v>95.211043490380902</v>
      </c>
      <c r="T9990" s="538">
        <v>15.5002</v>
      </c>
      <c r="U9990" s="538">
        <v>6327.38</v>
      </c>
      <c r="V9990" s="538">
        <v>3163.69</v>
      </c>
    </row>
    <row r="9991" spans="1:22">
      <c r="A9991" s="499">
        <v>45835</v>
      </c>
      <c r="B9991" s="499">
        <v>45838</v>
      </c>
      <c r="C9991" s="500" t="s">
        <v>173</v>
      </c>
      <c r="D9991" s="500" t="s">
        <v>763</v>
      </c>
      <c r="E9991" s="501">
        <v>33044039.960000001</v>
      </c>
      <c r="F9991" s="502" t="s">
        <v>878</v>
      </c>
      <c r="G9991" s="100">
        <v>117712285</v>
      </c>
      <c r="H9991" s="484">
        <v>117712285</v>
      </c>
      <c r="I9991" s="422" t="s">
        <v>1018</v>
      </c>
      <c r="J9991" s="484"/>
      <c r="K9991" s="548"/>
      <c r="L9991" s="548"/>
      <c r="M9991" s="548"/>
      <c r="N9991" s="552">
        <v>347061</v>
      </c>
      <c r="R9991" s="539">
        <v>95.0899</v>
      </c>
      <c r="S9991" s="539">
        <v>95.211043476507001</v>
      </c>
      <c r="T9991" s="538">
        <v>15.5002</v>
      </c>
      <c r="U9991" s="538">
        <v>148.51</v>
      </c>
      <c r="V9991" s="538">
        <v>74.25</v>
      </c>
    </row>
    <row r="9992" spans="1:22">
      <c r="A9992" s="499">
        <v>45835</v>
      </c>
      <c r="B9992" s="499">
        <v>45835</v>
      </c>
      <c r="C9992" s="500" t="s">
        <v>173</v>
      </c>
      <c r="D9992" s="500" t="s">
        <v>761</v>
      </c>
      <c r="E9992" s="501">
        <v>-2126111853.1099999</v>
      </c>
      <c r="F9992" s="502" t="s">
        <v>878</v>
      </c>
      <c r="G9992" s="100">
        <v>117707744</v>
      </c>
      <c r="H9992" s="530"/>
      <c r="I9992" s="422" t="s">
        <v>816</v>
      </c>
      <c r="J9992" s="484"/>
      <c r="K9992" s="548"/>
      <c r="L9992" s="548"/>
      <c r="M9992" s="548"/>
      <c r="N9992" s="552">
        <v>2100488</v>
      </c>
      <c r="R9992" s="539">
        <v>1012.1989999990478</v>
      </c>
      <c r="S9992" s="539">
        <v>1013.49017768252</v>
      </c>
      <c r="T9992" s="538">
        <v>15.52</v>
      </c>
      <c r="U9992" s="538">
        <v>9567.5</v>
      </c>
      <c r="V9992" s="538">
        <v>4783.75</v>
      </c>
    </row>
    <row r="9993" spans="1:22">
      <c r="A9993" s="499">
        <v>45835</v>
      </c>
      <c r="B9993" s="499">
        <v>45835</v>
      </c>
      <c r="C9993" s="500" t="s">
        <v>173</v>
      </c>
      <c r="D9993" s="500" t="s">
        <v>761</v>
      </c>
      <c r="E9993" s="501">
        <v>-13000683.960000001</v>
      </c>
      <c r="F9993" s="502" t="s">
        <v>878</v>
      </c>
      <c r="G9993" s="100">
        <v>117707763</v>
      </c>
      <c r="H9993" s="530"/>
      <c r="I9993" s="422" t="s">
        <v>816</v>
      </c>
      <c r="J9993" s="484"/>
      <c r="K9993" s="548"/>
      <c r="L9993" s="548"/>
      <c r="M9993" s="548"/>
      <c r="N9993" s="552">
        <v>12844</v>
      </c>
      <c r="R9993" s="539">
        <v>1012.1990003114296</v>
      </c>
      <c r="S9993" s="539">
        <v>1013.49017829337</v>
      </c>
      <c r="T9993" s="538">
        <v>15.52</v>
      </c>
      <c r="U9993" s="538">
        <v>58.5</v>
      </c>
      <c r="V9993" s="538">
        <v>29.25</v>
      </c>
    </row>
    <row r="9994" spans="1:22">
      <c r="A9994" s="499">
        <v>45835</v>
      </c>
      <c r="B9994" s="499">
        <v>45838</v>
      </c>
      <c r="C9994" s="500" t="s">
        <v>173</v>
      </c>
      <c r="D9994" s="500" t="s">
        <v>761</v>
      </c>
      <c r="E9994" s="501">
        <v>2128823956.3399999</v>
      </c>
      <c r="F9994" s="502" t="s">
        <v>878</v>
      </c>
      <c r="G9994" s="100">
        <v>117707744</v>
      </c>
      <c r="H9994" s="100">
        <v>117707744</v>
      </c>
      <c r="I9994" s="422" t="s">
        <v>816</v>
      </c>
      <c r="J9994" s="484"/>
      <c r="K9994" s="548"/>
      <c r="L9994" s="548"/>
      <c r="M9994" s="548"/>
      <c r="N9994" s="552">
        <v>2100488</v>
      </c>
      <c r="R9994" s="539">
        <v>1012.1989999990478</v>
      </c>
      <c r="S9994" s="539">
        <v>1013.49017768252</v>
      </c>
      <c r="T9994" s="538">
        <v>15.52</v>
      </c>
      <c r="U9994" s="538">
        <v>9567.5</v>
      </c>
      <c r="V9994" s="538">
        <v>4783.75</v>
      </c>
    </row>
    <row r="9995" spans="1:22">
      <c r="A9995" s="499">
        <v>45835</v>
      </c>
      <c r="B9995" s="499">
        <v>45838</v>
      </c>
      <c r="C9995" s="500" t="s">
        <v>173</v>
      </c>
      <c r="D9995" s="500" t="s">
        <v>761</v>
      </c>
      <c r="E9995" s="501">
        <v>13017267.85</v>
      </c>
      <c r="F9995" s="502" t="s">
        <v>878</v>
      </c>
      <c r="G9995" s="100">
        <v>117707763</v>
      </c>
      <c r="H9995" s="100">
        <v>117707763</v>
      </c>
      <c r="I9995" s="422" t="s">
        <v>816</v>
      </c>
      <c r="J9995" s="484"/>
      <c r="K9995" s="548"/>
      <c r="L9995" s="548"/>
      <c r="M9995" s="548"/>
      <c r="N9995" s="552">
        <v>12844</v>
      </c>
      <c r="R9995" s="539">
        <v>1012.1990003114296</v>
      </c>
      <c r="S9995" s="539">
        <v>1013.49017829337</v>
      </c>
      <c r="T9995" s="538">
        <v>15.52</v>
      </c>
      <c r="U9995" s="538">
        <v>58.5</v>
      </c>
      <c r="V9995" s="538">
        <v>29.25</v>
      </c>
    </row>
    <row r="9996" spans="1:22">
      <c r="A9996" s="499">
        <v>45835</v>
      </c>
      <c r="B9996" s="499">
        <v>45835</v>
      </c>
      <c r="C9996" s="500" t="s">
        <v>173</v>
      </c>
      <c r="D9996" s="500" t="s">
        <v>759</v>
      </c>
      <c r="E9996" s="501">
        <v>-2038451409.3499999</v>
      </c>
      <c r="F9996" s="502" t="s">
        <v>878</v>
      </c>
      <c r="G9996" s="100">
        <v>117710484</v>
      </c>
      <c r="H9996" s="530"/>
      <c r="I9996" s="422" t="s">
        <v>719</v>
      </c>
      <c r="J9996" s="484"/>
      <c r="K9996" s="548"/>
      <c r="L9996" s="548"/>
      <c r="M9996" s="548"/>
      <c r="N9996" s="552">
        <v>2817171</v>
      </c>
      <c r="R9996" s="539">
        <v>723.58099999964497</v>
      </c>
      <c r="S9996" s="539">
        <v>724.50282237038505</v>
      </c>
      <c r="T9996" s="538">
        <v>15.5</v>
      </c>
      <c r="U9996" s="538">
        <v>9173.0300000000007</v>
      </c>
      <c r="V9996" s="538">
        <v>4586.5200000000004</v>
      </c>
    </row>
    <row r="9997" spans="1:22">
      <c r="A9997" s="499">
        <v>45835</v>
      </c>
      <c r="B9997" s="499">
        <v>45835</v>
      </c>
      <c r="C9997" s="500" t="s">
        <v>173</v>
      </c>
      <c r="D9997" s="500" t="s">
        <v>759</v>
      </c>
      <c r="E9997" s="501">
        <v>-11007837.75</v>
      </c>
      <c r="F9997" s="502" t="s">
        <v>878</v>
      </c>
      <c r="G9997" s="100">
        <v>117710522</v>
      </c>
      <c r="H9997" s="530"/>
      <c r="I9997" s="422" t="s">
        <v>719</v>
      </c>
      <c r="J9997" s="484"/>
      <c r="K9997" s="548"/>
      <c r="L9997" s="548"/>
      <c r="M9997" s="548"/>
      <c r="N9997" s="552">
        <v>15213</v>
      </c>
      <c r="R9997" s="539">
        <v>723.58099980280019</v>
      </c>
      <c r="S9997" s="539">
        <v>724.50282192861403</v>
      </c>
      <c r="T9997" s="538">
        <v>15.5</v>
      </c>
      <c r="U9997" s="538">
        <v>49.54</v>
      </c>
      <c r="V9997" s="538">
        <v>24.77</v>
      </c>
    </row>
    <row r="9998" spans="1:22">
      <c r="A9998" s="499">
        <v>45835</v>
      </c>
      <c r="B9998" s="499">
        <v>45838</v>
      </c>
      <c r="C9998" s="500" t="s">
        <v>173</v>
      </c>
      <c r="D9998" s="500" t="s">
        <v>759</v>
      </c>
      <c r="E9998" s="501">
        <v>2041048340.5999999</v>
      </c>
      <c r="F9998" s="502" t="s">
        <v>878</v>
      </c>
      <c r="G9998" s="100">
        <v>117710484</v>
      </c>
      <c r="H9998" s="100">
        <v>117710484</v>
      </c>
      <c r="I9998" s="422" t="s">
        <v>719</v>
      </c>
      <c r="J9998" s="484"/>
      <c r="K9998" s="548"/>
      <c r="L9998" s="548"/>
      <c r="M9998" s="548"/>
      <c r="N9998" s="552">
        <v>2817171</v>
      </c>
      <c r="R9998" s="539">
        <v>723.58099999964497</v>
      </c>
      <c r="S9998" s="539">
        <v>724.50282237038505</v>
      </c>
      <c r="T9998" s="538">
        <v>15.5</v>
      </c>
      <c r="U9998" s="538">
        <v>9173.0300000000007</v>
      </c>
      <c r="V9998" s="538">
        <v>4586.5200000000004</v>
      </c>
    </row>
    <row r="9999" spans="1:22">
      <c r="A9999" s="499">
        <v>45835</v>
      </c>
      <c r="B9999" s="499">
        <v>45838</v>
      </c>
      <c r="C9999" s="500" t="s">
        <v>173</v>
      </c>
      <c r="D9999" s="500" t="s">
        <v>759</v>
      </c>
      <c r="E9999" s="501">
        <v>11021861.43</v>
      </c>
      <c r="F9999" s="502" t="s">
        <v>878</v>
      </c>
      <c r="G9999" s="100">
        <v>117710522</v>
      </c>
      <c r="H9999" s="100">
        <v>117710522</v>
      </c>
      <c r="I9999" s="422" t="s">
        <v>719</v>
      </c>
      <c r="J9999" s="484"/>
      <c r="K9999" s="548"/>
      <c r="L9999" s="548"/>
      <c r="M9999" s="548"/>
      <c r="N9999" s="552">
        <v>15213</v>
      </c>
      <c r="R9999" s="539">
        <v>723.58099980280019</v>
      </c>
      <c r="S9999" s="539">
        <v>724.50282192861403</v>
      </c>
      <c r="T9999" s="538">
        <v>15.5</v>
      </c>
      <c r="U9999" s="538">
        <v>49.54</v>
      </c>
      <c r="V9999" s="538">
        <v>24.77</v>
      </c>
    </row>
    <row r="10000" spans="1:22">
      <c r="A10000" s="499">
        <v>45838</v>
      </c>
      <c r="B10000" s="499">
        <v>45838</v>
      </c>
      <c r="C10000" s="500" t="s">
        <v>173</v>
      </c>
      <c r="D10000" s="500" t="s">
        <v>764</v>
      </c>
      <c r="E10000" s="501">
        <v>-306134797.31</v>
      </c>
      <c r="F10000" s="502" t="s">
        <v>878</v>
      </c>
      <c r="G10000" s="100">
        <v>117730518</v>
      </c>
      <c r="H10000" s="530"/>
      <c r="I10000" s="422" t="s">
        <v>1013</v>
      </c>
      <c r="J10000" s="484"/>
      <c r="K10000" s="548"/>
      <c r="L10000" s="548"/>
      <c r="M10000" s="548"/>
      <c r="N10000" s="552">
        <v>598842</v>
      </c>
      <c r="R10000" s="539">
        <v>511.21129999231852</v>
      </c>
      <c r="S10000" s="539">
        <v>512.96482477848895</v>
      </c>
      <c r="T10000" s="538">
        <v>15.65</v>
      </c>
      <c r="U10000" s="538">
        <v>3673.62</v>
      </c>
      <c r="V10000" s="538">
        <v>1836.81</v>
      </c>
    </row>
    <row r="10001" spans="1:22">
      <c r="A10001" s="499">
        <v>45838</v>
      </c>
      <c r="B10001" s="499">
        <v>45838</v>
      </c>
      <c r="C10001" s="500" t="s">
        <v>173</v>
      </c>
      <c r="D10001" s="500" t="s">
        <v>764</v>
      </c>
      <c r="E10001" s="501">
        <v>-4468209374.8599997</v>
      </c>
      <c r="F10001" s="502" t="s">
        <v>878</v>
      </c>
      <c r="G10001" s="100">
        <v>117732355</v>
      </c>
      <c r="H10001" s="530"/>
      <c r="I10001" s="422" t="s">
        <v>708</v>
      </c>
      <c r="J10001" s="484"/>
      <c r="K10001" s="548"/>
      <c r="L10001" s="548"/>
      <c r="M10001" s="548"/>
      <c r="N10001" s="552">
        <v>5997838</v>
      </c>
      <c r="R10001" s="539">
        <v>744.96999999999991</v>
      </c>
      <c r="S10001" s="539">
        <v>747.51718509569605</v>
      </c>
      <c r="T10001" s="538">
        <v>15.6</v>
      </c>
      <c r="U10001" s="538">
        <v>53618.51</v>
      </c>
      <c r="V10001" s="538">
        <v>26809.26</v>
      </c>
    </row>
    <row r="10002" spans="1:22">
      <c r="A10002" s="499">
        <v>45838</v>
      </c>
      <c r="B10002" s="499">
        <v>45838</v>
      </c>
      <c r="C10002" s="500" t="s">
        <v>173</v>
      </c>
      <c r="D10002" s="500" t="s">
        <v>764</v>
      </c>
      <c r="E10002" s="501">
        <v>-27011893.879999999</v>
      </c>
      <c r="F10002" s="502" t="s">
        <v>878</v>
      </c>
      <c r="G10002" s="100">
        <v>117733272</v>
      </c>
      <c r="H10002" s="530"/>
      <c r="I10002" s="422" t="s">
        <v>1013</v>
      </c>
      <c r="J10002" s="484"/>
      <c r="K10002" s="548"/>
      <c r="L10002" s="548"/>
      <c r="M10002" s="548"/>
      <c r="N10002" s="552">
        <v>52839</v>
      </c>
      <c r="R10002" s="539">
        <v>511.21129998675218</v>
      </c>
      <c r="S10002" s="539">
        <v>512.94802910728799</v>
      </c>
      <c r="T10002" s="538">
        <v>15.5001</v>
      </c>
      <c r="U10002" s="538">
        <v>324.14</v>
      </c>
      <c r="V10002" s="538">
        <v>162.07</v>
      </c>
    </row>
    <row r="10003" spans="1:22">
      <c r="A10003" s="499">
        <v>45838</v>
      </c>
      <c r="B10003" s="499">
        <v>45846</v>
      </c>
      <c r="C10003" s="500" t="s">
        <v>173</v>
      </c>
      <c r="D10003" s="500" t="s">
        <v>764</v>
      </c>
      <c r="E10003" s="501">
        <v>307184881.60000002</v>
      </c>
      <c r="F10003" s="502" t="s">
        <v>878</v>
      </c>
      <c r="G10003" s="100">
        <v>117730518</v>
      </c>
      <c r="H10003" s="100">
        <v>117730518</v>
      </c>
      <c r="I10003" s="422" t="s">
        <v>1013</v>
      </c>
      <c r="J10003" s="484"/>
      <c r="K10003" s="548"/>
      <c r="L10003" s="548"/>
      <c r="M10003" s="548"/>
      <c r="N10003" s="552">
        <v>598842</v>
      </c>
      <c r="R10003" s="539">
        <v>511.21129999231852</v>
      </c>
      <c r="S10003" s="539">
        <v>512.96482477848895</v>
      </c>
      <c r="T10003" s="538">
        <v>15.65</v>
      </c>
      <c r="U10003" s="538">
        <v>3673.62</v>
      </c>
      <c r="V10003" s="538">
        <v>1836.81</v>
      </c>
    </row>
    <row r="10004" spans="1:22">
      <c r="A10004" s="499">
        <v>45838</v>
      </c>
      <c r="B10004" s="499">
        <v>45846</v>
      </c>
      <c r="C10004" s="500" t="s">
        <v>173</v>
      </c>
      <c r="D10004" s="500" t="s">
        <v>764</v>
      </c>
      <c r="E10004" s="501">
        <v>4483486978.4200001</v>
      </c>
      <c r="F10004" s="502" t="s">
        <v>878</v>
      </c>
      <c r="G10004" s="100">
        <v>117732355</v>
      </c>
      <c r="H10004" s="100">
        <v>117732355</v>
      </c>
      <c r="I10004" s="422" t="s">
        <v>708</v>
      </c>
      <c r="J10004" s="484"/>
      <c r="K10004" s="548"/>
      <c r="L10004" s="548"/>
      <c r="M10004" s="548"/>
      <c r="N10004" s="552">
        <v>5997838</v>
      </c>
      <c r="R10004" s="539">
        <v>744.96999999999991</v>
      </c>
      <c r="S10004" s="539">
        <v>747.51718509569605</v>
      </c>
      <c r="T10004" s="538">
        <v>15.6</v>
      </c>
      <c r="U10004" s="538">
        <v>53618.51</v>
      </c>
      <c r="V10004" s="538">
        <v>26809.26</v>
      </c>
    </row>
    <row r="10005" spans="1:22">
      <c r="A10005" s="499">
        <v>45838</v>
      </c>
      <c r="B10005" s="499">
        <v>45846</v>
      </c>
      <c r="C10005" s="500" t="s">
        <v>173</v>
      </c>
      <c r="D10005" s="500" t="s">
        <v>764</v>
      </c>
      <c r="E10005" s="501">
        <v>27103660.91</v>
      </c>
      <c r="F10005" s="502" t="s">
        <v>878</v>
      </c>
      <c r="G10005" s="100">
        <v>117733272</v>
      </c>
      <c r="H10005" s="100">
        <v>117733272</v>
      </c>
      <c r="I10005" s="422" t="s">
        <v>1013</v>
      </c>
      <c r="J10005" s="484"/>
      <c r="K10005" s="548"/>
      <c r="L10005" s="548"/>
      <c r="M10005" s="548"/>
      <c r="N10005" s="552">
        <v>52839</v>
      </c>
      <c r="R10005" s="539">
        <v>511.21129998675218</v>
      </c>
      <c r="S10005" s="539">
        <v>512.94802910728799</v>
      </c>
      <c r="T10005" s="538">
        <v>15.5001</v>
      </c>
      <c r="U10005" s="538">
        <v>324.14</v>
      </c>
      <c r="V10005" s="538">
        <v>162.07</v>
      </c>
    </row>
    <row r="10006" spans="1:22">
      <c r="A10006" s="499">
        <v>45838</v>
      </c>
      <c r="B10006" s="499">
        <v>45838</v>
      </c>
      <c r="C10006" s="500" t="s">
        <v>173</v>
      </c>
      <c r="D10006" s="500" t="s">
        <v>762</v>
      </c>
      <c r="E10006" s="501">
        <v>-2349269900.0999999</v>
      </c>
      <c r="F10006" s="502" t="s">
        <v>878</v>
      </c>
      <c r="G10006" s="100">
        <v>117734563</v>
      </c>
      <c r="H10006" s="530"/>
      <c r="I10006" s="422" t="s">
        <v>691</v>
      </c>
      <c r="J10006" s="484"/>
      <c r="K10006" s="548"/>
      <c r="L10006" s="548"/>
      <c r="M10006" s="548"/>
      <c r="N10006" s="552">
        <v>2771820</v>
      </c>
      <c r="R10006" s="539">
        <v>847.55499999999995</v>
      </c>
      <c r="S10006" s="539">
        <v>847.91515282377702</v>
      </c>
      <c r="T10006" s="538">
        <v>15.51</v>
      </c>
      <c r="U10006" s="538">
        <v>3523.9</v>
      </c>
      <c r="V10006" s="538">
        <v>1761.95</v>
      </c>
    </row>
    <row r="10007" spans="1:22">
      <c r="A10007" s="499">
        <v>45838</v>
      </c>
      <c r="B10007" s="499">
        <v>45838</v>
      </c>
      <c r="C10007" s="500" t="s">
        <v>173</v>
      </c>
      <c r="D10007" s="500" t="s">
        <v>762</v>
      </c>
      <c r="E10007" s="501">
        <v>-14006925.939999999</v>
      </c>
      <c r="F10007" s="502" t="s">
        <v>878</v>
      </c>
      <c r="G10007" s="100">
        <v>117734692</v>
      </c>
      <c r="H10007" s="530"/>
      <c r="I10007" s="422" t="s">
        <v>708</v>
      </c>
      <c r="J10007" s="484"/>
      <c r="K10007" s="548"/>
      <c r="L10007" s="548"/>
      <c r="M10007" s="548"/>
      <c r="N10007" s="552">
        <v>18802</v>
      </c>
      <c r="R10007" s="539">
        <v>744.97</v>
      </c>
      <c r="S10007" s="539">
        <v>745.28635730241501</v>
      </c>
      <c r="T10007" s="538">
        <v>15.5</v>
      </c>
      <c r="U10007" s="538">
        <v>39.32</v>
      </c>
      <c r="V10007" s="538">
        <v>10.51</v>
      </c>
    </row>
    <row r="10008" spans="1:22">
      <c r="A10008" s="499">
        <v>45838</v>
      </c>
      <c r="B10008" s="499">
        <v>45839</v>
      </c>
      <c r="C10008" s="500" t="s">
        <v>173</v>
      </c>
      <c r="D10008" s="500" t="s">
        <v>762</v>
      </c>
      <c r="E10008" s="501">
        <v>2350268178.9000001</v>
      </c>
      <c r="F10008" s="502" t="s">
        <v>878</v>
      </c>
      <c r="G10008" s="100">
        <v>117734563</v>
      </c>
      <c r="H10008" s="100">
        <v>117734563</v>
      </c>
      <c r="I10008" s="422" t="s">
        <v>691</v>
      </c>
      <c r="J10008" s="484"/>
      <c r="K10008" s="548"/>
      <c r="L10008" s="548"/>
      <c r="M10008" s="548"/>
      <c r="N10008" s="552">
        <v>2771820</v>
      </c>
      <c r="R10008" s="539">
        <v>847.55499999999995</v>
      </c>
      <c r="S10008" s="539">
        <v>847.91515282377702</v>
      </c>
      <c r="T10008" s="538">
        <v>15.51</v>
      </c>
      <c r="U10008" s="538">
        <v>3523.9</v>
      </c>
      <c r="V10008" s="538">
        <v>1761.95</v>
      </c>
    </row>
    <row r="10009" spans="1:22">
      <c r="A10009" s="499">
        <v>45838</v>
      </c>
      <c r="B10009" s="499">
        <v>45839</v>
      </c>
      <c r="C10009" s="500" t="s">
        <v>173</v>
      </c>
      <c r="D10009" s="500" t="s">
        <v>762</v>
      </c>
      <c r="E10009" s="501">
        <v>14012874.09</v>
      </c>
      <c r="F10009" s="502" t="s">
        <v>878</v>
      </c>
      <c r="G10009" s="100">
        <v>117734692</v>
      </c>
      <c r="H10009" s="100">
        <v>117734692</v>
      </c>
      <c r="I10009" s="422" t="s">
        <v>708</v>
      </c>
      <c r="J10009" s="484"/>
      <c r="K10009" s="548"/>
      <c r="L10009" s="548"/>
      <c r="M10009" s="548"/>
      <c r="N10009" s="552">
        <v>18802</v>
      </c>
      <c r="R10009" s="539">
        <v>744.97</v>
      </c>
      <c r="S10009" s="539">
        <v>745.28635730241501</v>
      </c>
      <c r="T10009" s="538">
        <v>15.5</v>
      </c>
      <c r="U10009" s="538">
        <v>39.32</v>
      </c>
      <c r="V10009" s="538">
        <v>10.51</v>
      </c>
    </row>
    <row r="10010" spans="1:22">
      <c r="A10010" s="499">
        <v>45838</v>
      </c>
      <c r="B10010" s="499">
        <v>45838</v>
      </c>
      <c r="C10010" s="500" t="s">
        <v>173</v>
      </c>
      <c r="D10010" s="500" t="s">
        <v>761</v>
      </c>
      <c r="E10010" s="501">
        <v>-2128392191.6900001</v>
      </c>
      <c r="F10010" s="502" t="s">
        <v>878</v>
      </c>
      <c r="G10010" s="100">
        <v>117730094</v>
      </c>
      <c r="H10010" s="530"/>
      <c r="I10010" s="422" t="s">
        <v>657</v>
      </c>
      <c r="J10010" s="484"/>
      <c r="K10010" s="548"/>
      <c r="L10010" s="548"/>
      <c r="M10010" s="548"/>
      <c r="N10010" s="552">
        <v>2171667</v>
      </c>
      <c r="R10010" s="539">
        <v>980.07299999953955</v>
      </c>
      <c r="S10010" s="539">
        <v>980.48919806766003</v>
      </c>
      <c r="T10010" s="538">
        <v>15.5001</v>
      </c>
      <c r="U10010" s="538">
        <v>3192.59</v>
      </c>
      <c r="V10010" s="538">
        <v>1596.29</v>
      </c>
    </row>
    <row r="10011" spans="1:22">
      <c r="A10011" s="499">
        <v>45838</v>
      </c>
      <c r="B10011" s="499">
        <v>45838</v>
      </c>
      <c r="C10011" s="500" t="s">
        <v>173</v>
      </c>
      <c r="D10011" s="500" t="s">
        <v>761</v>
      </c>
      <c r="E10011" s="501">
        <v>-13000002.48</v>
      </c>
      <c r="F10011" s="502" t="s">
        <v>878</v>
      </c>
      <c r="G10011" s="100">
        <v>117730110</v>
      </c>
      <c r="H10011" s="530"/>
      <c r="I10011" s="422" t="s">
        <v>811</v>
      </c>
      <c r="J10011" s="484"/>
      <c r="K10011" s="548"/>
      <c r="L10011" s="548"/>
      <c r="M10011" s="548"/>
      <c r="N10011" s="552">
        <v>12988313</v>
      </c>
      <c r="R10011" s="539">
        <v>1.000899999869113</v>
      </c>
      <c r="S10011" s="539">
        <v>1.00132504506166</v>
      </c>
      <c r="T10011" s="538">
        <v>15.5002</v>
      </c>
      <c r="U10011" s="538">
        <v>39.32</v>
      </c>
      <c r="V10011" s="538">
        <v>9.75</v>
      </c>
    </row>
    <row r="10012" spans="1:22" ht="15">
      <c r="A10012" s="499">
        <v>45838</v>
      </c>
      <c r="B10012" s="499">
        <v>45839</v>
      </c>
      <c r="C10012" s="500" t="s">
        <v>173</v>
      </c>
      <c r="D10012" s="500" t="s">
        <v>761</v>
      </c>
      <c r="E10012" s="501">
        <v>2129296035.3</v>
      </c>
      <c r="F10012" s="502" t="s">
        <v>878</v>
      </c>
      <c r="G10012" s="100">
        <v>117730094</v>
      </c>
      <c r="H10012" s="100">
        <v>117730094</v>
      </c>
      <c r="I10012" s="422" t="s">
        <v>657</v>
      </c>
      <c r="J10012" s="536"/>
      <c r="K10012" s="548"/>
      <c r="L10012" s="548"/>
      <c r="M10012" s="548"/>
      <c r="N10012" s="552">
        <v>2171667</v>
      </c>
      <c r="R10012" s="539">
        <v>980.07299999953955</v>
      </c>
      <c r="S10012" s="539">
        <v>980.48919806766003</v>
      </c>
      <c r="T10012" s="538">
        <v>15.5001</v>
      </c>
      <c r="U10012" s="538">
        <v>3192.59</v>
      </c>
      <c r="V10012" s="538">
        <v>1596.29</v>
      </c>
    </row>
    <row r="10013" spans="1:22" ht="15">
      <c r="A10013" s="499">
        <v>45838</v>
      </c>
      <c r="B10013" s="499">
        <v>45839</v>
      </c>
      <c r="C10013" s="500" t="s">
        <v>173</v>
      </c>
      <c r="D10013" s="500" t="s">
        <v>761</v>
      </c>
      <c r="E10013" s="501">
        <v>13005523.1</v>
      </c>
      <c r="F10013" s="502" t="s">
        <v>878</v>
      </c>
      <c r="G10013" s="100">
        <v>117730110</v>
      </c>
      <c r="H10013" s="100">
        <v>117730110</v>
      </c>
      <c r="I10013" s="422" t="s">
        <v>811</v>
      </c>
      <c r="J10013" s="536"/>
      <c r="K10013" s="548"/>
      <c r="L10013" s="548"/>
      <c r="M10013" s="548"/>
      <c r="N10013" s="552">
        <v>12988313</v>
      </c>
      <c r="R10013" s="539">
        <v>1.000899999869113</v>
      </c>
      <c r="S10013" s="539">
        <v>1.00132504506166</v>
      </c>
      <c r="T10013" s="538">
        <v>15.5002</v>
      </c>
      <c r="U10013" s="538">
        <v>39.32</v>
      </c>
      <c r="V10013" s="538">
        <v>9.75</v>
      </c>
    </row>
    <row r="10014" spans="1:22">
      <c r="A10014" s="499">
        <v>45838</v>
      </c>
      <c r="B10014" s="499">
        <v>45838</v>
      </c>
      <c r="C10014" s="500" t="s">
        <v>173</v>
      </c>
      <c r="D10014" s="500" t="s">
        <v>759</v>
      </c>
      <c r="E10014" s="501">
        <v>-3884620663.2399998</v>
      </c>
      <c r="F10014" s="502" t="s">
        <v>878</v>
      </c>
      <c r="G10014" s="100">
        <v>117732267</v>
      </c>
      <c r="H10014" s="530"/>
      <c r="I10014" s="422" t="s">
        <v>633</v>
      </c>
      <c r="J10014" s="484"/>
      <c r="K10014" s="548"/>
      <c r="L10014" s="548"/>
      <c r="M10014" s="548"/>
      <c r="N10014" s="552">
        <v>7303923</v>
      </c>
      <c r="R10014" s="539">
        <v>531.85399999972617</v>
      </c>
      <c r="S10014" s="539">
        <v>533.66900641750999</v>
      </c>
      <c r="T10014" s="538">
        <v>15.57</v>
      </c>
      <c r="U10014" s="538">
        <v>46615.45</v>
      </c>
      <c r="V10014" s="538">
        <v>23307.72</v>
      </c>
    </row>
    <row r="10015" spans="1:22">
      <c r="A10015" s="499">
        <v>45838</v>
      </c>
      <c r="B10015" s="499">
        <v>45838</v>
      </c>
      <c r="C10015" s="500" t="s">
        <v>173</v>
      </c>
      <c r="D10015" s="500" t="s">
        <v>759</v>
      </c>
      <c r="E10015" s="501">
        <v>-2010994367.0999999</v>
      </c>
      <c r="F10015" s="502" t="s">
        <v>878</v>
      </c>
      <c r="G10015" s="100">
        <v>117732352</v>
      </c>
      <c r="H10015" s="530"/>
      <c r="I10015" s="422" t="s">
        <v>708</v>
      </c>
      <c r="J10015" s="484"/>
      <c r="K10015" s="548"/>
      <c r="L10015" s="548"/>
      <c r="M10015" s="548"/>
      <c r="N10015" s="552">
        <v>2699430</v>
      </c>
      <c r="R10015" s="539">
        <v>744.96999999999991</v>
      </c>
      <c r="S10015" s="539">
        <v>745.28635712354105</v>
      </c>
      <c r="T10015" s="538">
        <v>15.5</v>
      </c>
      <c r="U10015" s="538">
        <v>3016.49</v>
      </c>
      <c r="V10015" s="538">
        <v>1508.25</v>
      </c>
    </row>
    <row r="10016" spans="1:22">
      <c r="A10016" s="499">
        <v>45838</v>
      </c>
      <c r="B10016" s="499">
        <v>45838</v>
      </c>
      <c r="C10016" s="500" t="s">
        <v>173</v>
      </c>
      <c r="D10016" s="500" t="s">
        <v>759</v>
      </c>
      <c r="E10016" s="501">
        <v>-11005441.810000001</v>
      </c>
      <c r="F10016" s="502" t="s">
        <v>878</v>
      </c>
      <c r="G10016" s="100">
        <v>117732408</v>
      </c>
      <c r="H10016" s="530"/>
      <c r="I10016" s="422" t="s">
        <v>708</v>
      </c>
      <c r="J10016" s="484"/>
      <c r="K10016" s="548"/>
      <c r="L10016" s="548"/>
      <c r="M10016" s="548"/>
      <c r="N10016" s="552">
        <v>14773</v>
      </c>
      <c r="R10016" s="539">
        <v>744.97</v>
      </c>
      <c r="S10016" s="539">
        <v>745.28635686725795</v>
      </c>
      <c r="T10016" s="538">
        <v>15.5</v>
      </c>
      <c r="U10016" s="538">
        <v>39.32</v>
      </c>
      <c r="V10016" s="538">
        <v>8.25</v>
      </c>
    </row>
    <row r="10017" spans="1:22">
      <c r="A10017" s="499">
        <v>45838</v>
      </c>
      <c r="B10017" s="499">
        <v>45846</v>
      </c>
      <c r="C10017" s="500" t="s">
        <v>173</v>
      </c>
      <c r="D10017" s="500" t="s">
        <v>759</v>
      </c>
      <c r="E10017" s="501">
        <v>3897877330.3600001</v>
      </c>
      <c r="F10017" s="502" t="s">
        <v>878</v>
      </c>
      <c r="G10017" s="100">
        <v>117732267</v>
      </c>
      <c r="H10017" s="100">
        <v>117732267</v>
      </c>
      <c r="I10017" s="422" t="s">
        <v>633</v>
      </c>
      <c r="J10017" s="484"/>
      <c r="K10017" s="548"/>
      <c r="L10017" s="548"/>
      <c r="M10017" s="548"/>
      <c r="N10017" s="552">
        <v>7303923</v>
      </c>
      <c r="R10017" s="539">
        <v>531.85399999972617</v>
      </c>
      <c r="S10017" s="539">
        <v>533.66900641750999</v>
      </c>
      <c r="T10017" s="538">
        <v>15.57</v>
      </c>
      <c r="U10017" s="538">
        <v>46615.45</v>
      </c>
      <c r="V10017" s="538">
        <v>23307.72</v>
      </c>
    </row>
    <row r="10018" spans="1:22">
      <c r="A10018" s="499">
        <v>45838</v>
      </c>
      <c r="B10018" s="499">
        <v>45839</v>
      </c>
      <c r="C10018" s="500" t="s">
        <v>173</v>
      </c>
      <c r="D10018" s="500" t="s">
        <v>759</v>
      </c>
      <c r="E10018" s="501">
        <v>2011848351.01</v>
      </c>
      <c r="F10018" s="502" t="s">
        <v>878</v>
      </c>
      <c r="G10018" s="100">
        <v>117732352</v>
      </c>
      <c r="H10018" s="100">
        <v>117732352</v>
      </c>
      <c r="I10018" s="422" t="s">
        <v>708</v>
      </c>
      <c r="J10018" s="484"/>
      <c r="K10018" s="548"/>
      <c r="L10018" s="548"/>
      <c r="M10018" s="548"/>
      <c r="N10018" s="552">
        <v>2699430</v>
      </c>
      <c r="R10018" s="539">
        <v>744.96999999999991</v>
      </c>
      <c r="S10018" s="539">
        <v>745.28635712354105</v>
      </c>
      <c r="T10018" s="538">
        <v>15.5</v>
      </c>
      <c r="U10018" s="538">
        <v>3016.49</v>
      </c>
      <c r="V10018" s="538">
        <v>1508.25</v>
      </c>
    </row>
    <row r="10019" spans="1:22">
      <c r="A10019" s="499">
        <v>45838</v>
      </c>
      <c r="B10019" s="499">
        <v>45839</v>
      </c>
      <c r="C10019" s="500" t="s">
        <v>173</v>
      </c>
      <c r="D10019" s="500" t="s">
        <v>759</v>
      </c>
      <c r="E10019" s="501">
        <v>11010115.35</v>
      </c>
      <c r="F10019" s="502" t="s">
        <v>878</v>
      </c>
      <c r="G10019" s="100">
        <v>117732408</v>
      </c>
      <c r="H10019" s="100">
        <v>117732408</v>
      </c>
      <c r="I10019" s="422" t="s">
        <v>708</v>
      </c>
      <c r="J10019" s="484"/>
      <c r="K10019" s="548"/>
      <c r="L10019" s="548"/>
      <c r="M10019" s="548"/>
      <c r="N10019" s="552">
        <v>14773</v>
      </c>
      <c r="R10019" s="539">
        <v>744.97</v>
      </c>
      <c r="S10019" s="539">
        <v>745.28635686725795</v>
      </c>
      <c r="T10019" s="538">
        <v>15.5</v>
      </c>
      <c r="U10019" s="538">
        <v>39.32</v>
      </c>
      <c r="V10019" s="538">
        <v>8.25</v>
      </c>
    </row>
    <row r="10020" spans="1:22">
      <c r="A10020" s="499">
        <v>45838</v>
      </c>
      <c r="B10020" s="499">
        <v>45838</v>
      </c>
      <c r="C10020" s="500" t="s">
        <v>173</v>
      </c>
      <c r="D10020" s="500" t="s">
        <v>760</v>
      </c>
      <c r="E10020" s="501">
        <v>-656076230.48000002</v>
      </c>
      <c r="F10020" s="502" t="s">
        <v>878</v>
      </c>
      <c r="G10020" s="100">
        <v>117730163</v>
      </c>
      <c r="H10020" s="530"/>
      <c r="I10020" s="422" t="s">
        <v>686</v>
      </c>
      <c r="J10020" s="484"/>
      <c r="K10020" s="548"/>
      <c r="L10020" s="548"/>
      <c r="M10020" s="548"/>
      <c r="N10020" s="552">
        <v>685520</v>
      </c>
      <c r="R10020" s="539">
        <v>957.04899999999998</v>
      </c>
      <c r="S10020" s="539">
        <v>957.45541806220103</v>
      </c>
      <c r="T10020" s="538">
        <v>15.5</v>
      </c>
      <c r="U10020" s="538">
        <v>984.11</v>
      </c>
      <c r="V10020" s="538">
        <v>492.06</v>
      </c>
    </row>
    <row r="10021" spans="1:22">
      <c r="A10021" s="499">
        <v>45838</v>
      </c>
      <c r="B10021" s="499">
        <v>45838</v>
      </c>
      <c r="C10021" s="500" t="s">
        <v>173</v>
      </c>
      <c r="D10021" s="500" t="s">
        <v>760</v>
      </c>
      <c r="E10021" s="501">
        <v>-649321066.78999996</v>
      </c>
      <c r="F10021" s="502" t="s">
        <v>878</v>
      </c>
      <c r="G10021" s="100">
        <v>117730166</v>
      </c>
      <c r="H10021" s="530"/>
      <c r="I10021" s="422" t="s">
        <v>708</v>
      </c>
      <c r="J10021" s="484"/>
      <c r="K10021" s="548"/>
      <c r="L10021" s="548"/>
      <c r="M10021" s="548"/>
      <c r="N10021" s="552">
        <v>871607</v>
      </c>
      <c r="R10021" s="539">
        <v>744.97</v>
      </c>
      <c r="S10021" s="539">
        <v>745.28635711966501</v>
      </c>
      <c r="T10021" s="538">
        <v>15.5</v>
      </c>
      <c r="U10021" s="538">
        <v>973.98</v>
      </c>
      <c r="V10021" s="538">
        <v>486.99</v>
      </c>
    </row>
    <row r="10022" spans="1:22">
      <c r="A10022" s="499">
        <v>45838</v>
      </c>
      <c r="B10022" s="499">
        <v>45838</v>
      </c>
      <c r="C10022" s="500" t="s">
        <v>173</v>
      </c>
      <c r="D10022" s="500" t="s">
        <v>760</v>
      </c>
      <c r="E10022" s="501">
        <v>-7003462.9699999997</v>
      </c>
      <c r="F10022" s="502" t="s">
        <v>878</v>
      </c>
      <c r="G10022" s="100">
        <v>117730173</v>
      </c>
      <c r="H10022" s="530"/>
      <c r="I10022" s="422" t="s">
        <v>708</v>
      </c>
      <c r="J10022" s="484"/>
      <c r="K10022" s="548"/>
      <c r="L10022" s="548"/>
      <c r="M10022" s="548"/>
      <c r="N10022" s="552">
        <v>9401</v>
      </c>
      <c r="R10022" s="539">
        <v>744.97</v>
      </c>
      <c r="S10022" s="539">
        <v>745.28635677055604</v>
      </c>
      <c r="T10022" s="538">
        <v>15.5</v>
      </c>
      <c r="U10022" s="538">
        <v>39.32</v>
      </c>
      <c r="V10022" s="538">
        <v>5.25</v>
      </c>
    </row>
    <row r="10023" spans="1:22">
      <c r="A10023" s="499">
        <v>45838</v>
      </c>
      <c r="B10023" s="499">
        <v>45839</v>
      </c>
      <c r="C10023" s="500" t="s">
        <v>173</v>
      </c>
      <c r="D10023" s="500" t="s">
        <v>760</v>
      </c>
      <c r="E10023" s="501">
        <v>656354838.19000006</v>
      </c>
      <c r="F10023" s="502" t="s">
        <v>878</v>
      </c>
      <c r="G10023" s="100">
        <v>117730163</v>
      </c>
      <c r="H10023" s="100">
        <v>117730163</v>
      </c>
      <c r="I10023" s="422" t="s">
        <v>686</v>
      </c>
      <c r="J10023" s="484"/>
      <c r="K10023" s="548"/>
      <c r="L10023" s="548"/>
      <c r="M10023" s="548"/>
      <c r="N10023" s="552">
        <v>685520</v>
      </c>
      <c r="R10023" s="539">
        <v>957.04899999999998</v>
      </c>
      <c r="S10023" s="539">
        <v>957.45541806220103</v>
      </c>
      <c r="T10023" s="538">
        <v>15.5</v>
      </c>
      <c r="U10023" s="538">
        <v>984.11</v>
      </c>
      <c r="V10023" s="538">
        <v>492.06</v>
      </c>
    </row>
    <row r="10024" spans="1:22">
      <c r="A10024" s="499">
        <v>45838</v>
      </c>
      <c r="B10024" s="499">
        <v>45839</v>
      </c>
      <c r="C10024" s="500" t="s">
        <v>173</v>
      </c>
      <c r="D10024" s="500" t="s">
        <v>760</v>
      </c>
      <c r="E10024" s="501">
        <v>649596805.87</v>
      </c>
      <c r="F10024" s="502" t="s">
        <v>878</v>
      </c>
      <c r="G10024" s="100">
        <v>117730166</v>
      </c>
      <c r="H10024" s="100">
        <v>117730166</v>
      </c>
      <c r="I10024" s="422" t="s">
        <v>708</v>
      </c>
      <c r="J10024" s="484"/>
      <c r="K10024" s="548"/>
      <c r="L10024" s="548"/>
      <c r="M10024" s="548"/>
      <c r="N10024" s="552">
        <v>871607</v>
      </c>
      <c r="R10024" s="539">
        <v>744.97</v>
      </c>
      <c r="S10024" s="539">
        <v>745.28635711966501</v>
      </c>
      <c r="T10024" s="538">
        <v>15.5</v>
      </c>
      <c r="U10024" s="538">
        <v>973.98</v>
      </c>
      <c r="V10024" s="538">
        <v>486.99</v>
      </c>
    </row>
    <row r="10025" spans="1:22">
      <c r="A10025" s="499">
        <v>45838</v>
      </c>
      <c r="B10025" s="499">
        <v>45839</v>
      </c>
      <c r="C10025" s="500" t="s">
        <v>173</v>
      </c>
      <c r="D10025" s="500" t="s">
        <v>760</v>
      </c>
      <c r="E10025" s="501">
        <v>7006437.04</v>
      </c>
      <c r="F10025" s="502" t="s">
        <v>878</v>
      </c>
      <c r="G10025" s="100">
        <v>117730173</v>
      </c>
      <c r="H10025" s="100">
        <v>117730173</v>
      </c>
      <c r="I10025" s="422" t="s">
        <v>708</v>
      </c>
      <c r="J10025" s="484"/>
      <c r="K10025" s="548"/>
      <c r="L10025" s="548"/>
      <c r="M10025" s="548"/>
      <c r="N10025" s="552">
        <v>9401</v>
      </c>
      <c r="R10025" s="539">
        <v>744.97</v>
      </c>
      <c r="S10025" s="539">
        <v>745.28635677055604</v>
      </c>
      <c r="T10025" s="538">
        <v>15.5</v>
      </c>
      <c r="U10025" s="538">
        <v>39.32</v>
      </c>
      <c r="V10025" s="538">
        <v>5.25</v>
      </c>
    </row>
    <row r="10026" spans="1:22">
      <c r="A10026" s="499">
        <v>45838</v>
      </c>
      <c r="B10026" s="499">
        <v>45838</v>
      </c>
      <c r="C10026" s="500" t="s">
        <v>173</v>
      </c>
      <c r="D10026" s="500" t="s">
        <v>763</v>
      </c>
      <c r="E10026" s="501">
        <v>-5917034978.4499998</v>
      </c>
      <c r="F10026" s="502" t="s">
        <v>878</v>
      </c>
      <c r="G10026" s="100">
        <v>117733774</v>
      </c>
      <c r="H10026" s="530"/>
      <c r="I10026" s="422" t="s">
        <v>1047</v>
      </c>
      <c r="J10026" s="484"/>
      <c r="K10026" s="548"/>
      <c r="L10026" s="548"/>
      <c r="M10026" s="548"/>
      <c r="N10026" s="552">
        <v>5657784</v>
      </c>
      <c r="R10026" s="539">
        <v>1045.8219999999999</v>
      </c>
      <c r="S10026" s="539">
        <v>1046.2661190582701</v>
      </c>
      <c r="T10026" s="538">
        <v>15.5001</v>
      </c>
      <c r="U10026" s="538">
        <v>8875.5499999999993</v>
      </c>
      <c r="V10026" s="538">
        <v>4437.78</v>
      </c>
    </row>
    <row r="10027" spans="1:22">
      <c r="A10027" s="499">
        <v>45838</v>
      </c>
      <c r="B10027" s="499">
        <v>45838</v>
      </c>
      <c r="C10027" s="500" t="s">
        <v>173</v>
      </c>
      <c r="D10027" s="500" t="s">
        <v>763</v>
      </c>
      <c r="E10027" s="501">
        <v>-31026401.27</v>
      </c>
      <c r="F10027" s="502" t="s">
        <v>878</v>
      </c>
      <c r="G10027" s="100">
        <v>117733793</v>
      </c>
      <c r="H10027" s="530"/>
      <c r="I10027" s="422" t="s">
        <v>1047</v>
      </c>
      <c r="J10027" s="484"/>
      <c r="K10027" s="548"/>
      <c r="L10027" s="548"/>
      <c r="M10027" s="548"/>
      <c r="N10027" s="552">
        <v>29667</v>
      </c>
      <c r="R10027" s="539">
        <v>1045.8219999999999</v>
      </c>
      <c r="S10027" s="539">
        <v>1046.2661189200101</v>
      </c>
      <c r="T10027" s="538">
        <v>15.5001</v>
      </c>
      <c r="U10027" s="538">
        <v>46.54</v>
      </c>
      <c r="V10027" s="538">
        <v>39.32</v>
      </c>
    </row>
    <row r="10028" spans="1:22">
      <c r="A10028" s="499">
        <v>45838</v>
      </c>
      <c r="B10028" s="499">
        <v>45839</v>
      </c>
      <c r="C10028" s="500" t="s">
        <v>173</v>
      </c>
      <c r="D10028" s="500" t="s">
        <v>763</v>
      </c>
      <c r="E10028" s="501">
        <v>5919547708.1499996</v>
      </c>
      <c r="F10028" s="502" t="s">
        <v>878</v>
      </c>
      <c r="G10028" s="100">
        <v>117733774</v>
      </c>
      <c r="H10028" s="100">
        <v>117733774</v>
      </c>
      <c r="I10028" s="422" t="s">
        <v>1047</v>
      </c>
      <c r="J10028" s="484"/>
      <c r="K10028" s="548"/>
      <c r="L10028" s="548"/>
      <c r="M10028" s="548"/>
      <c r="N10028" s="552">
        <v>5657784</v>
      </c>
      <c r="R10028" s="539">
        <v>1045.8219999999999</v>
      </c>
      <c r="S10028" s="539">
        <v>1046.2661190582701</v>
      </c>
      <c r="T10028" s="538">
        <v>15.5001</v>
      </c>
      <c r="U10028" s="538">
        <v>8875.5499999999993</v>
      </c>
      <c r="V10028" s="538">
        <v>4437.78</v>
      </c>
    </row>
    <row r="10029" spans="1:22">
      <c r="A10029" s="499">
        <v>45838</v>
      </c>
      <c r="B10029" s="499">
        <v>45839</v>
      </c>
      <c r="C10029" s="500" t="s">
        <v>173</v>
      </c>
      <c r="D10029" s="500" t="s">
        <v>763</v>
      </c>
      <c r="E10029" s="501">
        <v>31039576.949999999</v>
      </c>
      <c r="F10029" s="502" t="s">
        <v>878</v>
      </c>
      <c r="G10029" s="100">
        <v>117733793</v>
      </c>
      <c r="H10029" s="100">
        <v>117733793</v>
      </c>
      <c r="I10029" s="422" t="s">
        <v>1047</v>
      </c>
      <c r="J10029" s="484"/>
      <c r="K10029" s="548"/>
      <c r="L10029" s="548"/>
      <c r="M10029" s="548"/>
      <c r="N10029" s="552">
        <v>29667</v>
      </c>
      <c r="R10029" s="539">
        <v>1045.8219999999999</v>
      </c>
      <c r="S10029" s="539">
        <v>1046.2661189200101</v>
      </c>
      <c r="T10029" s="538">
        <v>15.5001</v>
      </c>
      <c r="U10029" s="538">
        <v>46.54</v>
      </c>
      <c r="V10029" s="538">
        <v>39.32</v>
      </c>
    </row>
    <row r="10030" spans="1:22">
      <c r="A10030" s="499">
        <v>45839</v>
      </c>
      <c r="B10030" s="499">
        <v>45839</v>
      </c>
      <c r="C10030" s="500" t="s">
        <v>173</v>
      </c>
      <c r="D10030" s="500" t="s">
        <v>762</v>
      </c>
      <c r="E10030" s="501">
        <v>-224000070.02000001</v>
      </c>
      <c r="F10030" s="502" t="s">
        <v>878</v>
      </c>
      <c r="G10030" s="100">
        <v>117763607</v>
      </c>
      <c r="H10030" s="530"/>
      <c r="I10030" s="422" t="s">
        <v>811</v>
      </c>
      <c r="J10030" s="484"/>
      <c r="K10030" s="548"/>
      <c r="L10030" s="548"/>
      <c r="M10030" s="548"/>
      <c r="N10030" s="552">
        <v>223709248</v>
      </c>
      <c r="R10030" s="539">
        <v>1.0013000000000001</v>
      </c>
      <c r="S10030" s="539">
        <v>1.00172658396313</v>
      </c>
      <c r="T10030" s="538">
        <v>15.5501</v>
      </c>
      <c r="U10030" s="538">
        <v>336</v>
      </c>
      <c r="V10030" s="538">
        <v>168</v>
      </c>
    </row>
    <row r="10031" spans="1:22">
      <c r="A10031" s="499">
        <v>45839</v>
      </c>
      <c r="B10031" s="499">
        <v>45839</v>
      </c>
      <c r="C10031" s="500" t="s">
        <v>173</v>
      </c>
      <c r="D10031" s="500" t="s">
        <v>762</v>
      </c>
      <c r="E10031" s="501">
        <v>-1706638320.8599999</v>
      </c>
      <c r="F10031" s="502" t="s">
        <v>878</v>
      </c>
      <c r="G10031" s="100">
        <v>117763610</v>
      </c>
      <c r="H10031" s="530"/>
      <c r="I10031" s="422" t="s">
        <v>658</v>
      </c>
      <c r="J10031" s="484"/>
      <c r="K10031" s="548"/>
      <c r="L10031" s="548"/>
      <c r="M10031" s="548"/>
      <c r="N10031" s="552">
        <v>1711820</v>
      </c>
      <c r="R10031" s="539">
        <v>996.97299999999996</v>
      </c>
      <c r="S10031" s="539">
        <v>997.39773781121801</v>
      </c>
      <c r="T10031" s="538">
        <v>15.55</v>
      </c>
      <c r="U10031" s="538">
        <v>2559.96</v>
      </c>
      <c r="V10031" s="538">
        <v>1279.98</v>
      </c>
    </row>
    <row r="10032" spans="1:22">
      <c r="A10032" s="499">
        <v>45839</v>
      </c>
      <c r="B10032" s="499">
        <v>45839</v>
      </c>
      <c r="C10032" s="500" t="s">
        <v>173</v>
      </c>
      <c r="D10032" s="500" t="s">
        <v>762</v>
      </c>
      <c r="E10032" s="501">
        <v>-423282796.64999998</v>
      </c>
      <c r="F10032" s="502" t="s">
        <v>878</v>
      </c>
      <c r="G10032" s="100">
        <v>117763613</v>
      </c>
      <c r="H10032" s="530"/>
      <c r="I10032" s="422" t="s">
        <v>678</v>
      </c>
      <c r="J10032" s="484"/>
      <c r="K10032" s="548"/>
      <c r="L10032" s="548"/>
      <c r="M10032" s="548"/>
      <c r="N10032" s="552">
        <v>433575</v>
      </c>
      <c r="R10032" s="539">
        <v>976.26199999999994</v>
      </c>
      <c r="S10032" s="539">
        <v>976.67791436314405</v>
      </c>
      <c r="T10032" s="538">
        <v>15.55</v>
      </c>
      <c r="U10032" s="538">
        <v>634.91999999999996</v>
      </c>
      <c r="V10032" s="538">
        <v>317.45999999999998</v>
      </c>
    </row>
    <row r="10033" spans="1:25">
      <c r="A10033" s="499">
        <v>45839</v>
      </c>
      <c r="B10033" s="499">
        <v>45839</v>
      </c>
      <c r="C10033" s="500" t="s">
        <v>173</v>
      </c>
      <c r="D10033" s="500" t="s">
        <v>762</v>
      </c>
      <c r="E10033" s="501">
        <v>-13008691.15</v>
      </c>
      <c r="F10033" s="502" t="s">
        <v>878</v>
      </c>
      <c r="G10033" s="100">
        <v>117763670</v>
      </c>
      <c r="H10033" s="530"/>
      <c r="I10033" s="422" t="s">
        <v>678</v>
      </c>
      <c r="J10033" s="484"/>
      <c r="K10033" s="548"/>
      <c r="L10033" s="548"/>
      <c r="M10033" s="548"/>
      <c r="N10033" s="552">
        <v>13325</v>
      </c>
      <c r="R10033" s="539">
        <v>976.26199999999994</v>
      </c>
      <c r="S10033" s="539">
        <v>976.67791444652903</v>
      </c>
      <c r="T10033" s="538">
        <v>15.55</v>
      </c>
      <c r="U10033" s="538">
        <v>39.32</v>
      </c>
      <c r="V10033" s="538">
        <v>9.76</v>
      </c>
    </row>
    <row r="10034" spans="1:25">
      <c r="A10034" s="499">
        <v>45839</v>
      </c>
      <c r="B10034" s="499">
        <v>45840</v>
      </c>
      <c r="C10034" s="500" t="s">
        <v>173</v>
      </c>
      <c r="D10034" s="500" t="s">
        <v>762</v>
      </c>
      <c r="E10034" s="501">
        <v>224095500.80000001</v>
      </c>
      <c r="F10034" s="502" t="s">
        <v>878</v>
      </c>
      <c r="G10034" s="100">
        <v>117763607</v>
      </c>
      <c r="H10034" s="100">
        <v>117763607</v>
      </c>
      <c r="I10034" s="422" t="s">
        <v>811</v>
      </c>
      <c r="J10034" s="484"/>
      <c r="K10034" s="548"/>
      <c r="L10034" s="548"/>
      <c r="M10034" s="548"/>
      <c r="N10034" s="552">
        <v>223709248</v>
      </c>
      <c r="R10034" s="539">
        <v>1.0013000000000001</v>
      </c>
      <c r="S10034" s="539">
        <v>1.00172658396313</v>
      </c>
      <c r="T10034" s="538">
        <v>15.5501</v>
      </c>
      <c r="U10034" s="538">
        <v>336</v>
      </c>
      <c r="V10034" s="538">
        <v>168</v>
      </c>
    </row>
    <row r="10035" spans="1:25">
      <c r="A10035" s="499">
        <v>45839</v>
      </c>
      <c r="B10035" s="499">
        <v>45840</v>
      </c>
      <c r="C10035" s="500" t="s">
        <v>173</v>
      </c>
      <c r="D10035" s="500" t="s">
        <v>762</v>
      </c>
      <c r="E10035" s="501">
        <v>1707365395.54</v>
      </c>
      <c r="F10035" s="502" t="s">
        <v>878</v>
      </c>
      <c r="G10035" s="100">
        <v>117763610</v>
      </c>
      <c r="H10035" s="100">
        <v>117763610</v>
      </c>
      <c r="I10035" s="422" t="s">
        <v>658</v>
      </c>
      <c r="J10035" s="484"/>
      <c r="K10035" s="548"/>
      <c r="L10035" s="548"/>
      <c r="M10035" s="548"/>
      <c r="N10035" s="552">
        <v>1711820</v>
      </c>
      <c r="R10035" s="539">
        <v>996.97299999999996</v>
      </c>
      <c r="S10035" s="539">
        <v>997.39773781121801</v>
      </c>
      <c r="T10035" s="538">
        <v>15.55</v>
      </c>
      <c r="U10035" s="538">
        <v>2559.96</v>
      </c>
      <c r="V10035" s="538">
        <v>1279.98</v>
      </c>
    </row>
    <row r="10036" spans="1:25">
      <c r="A10036" s="499">
        <v>45839</v>
      </c>
      <c r="B10036" s="499">
        <v>45840</v>
      </c>
      <c r="C10036" s="500" t="s">
        <v>173</v>
      </c>
      <c r="D10036" s="500" t="s">
        <v>762</v>
      </c>
      <c r="E10036" s="501">
        <v>423463126.72000003</v>
      </c>
      <c r="F10036" s="502" t="s">
        <v>878</v>
      </c>
      <c r="G10036" s="100">
        <v>117763613</v>
      </c>
      <c r="H10036" s="100">
        <v>117763613</v>
      </c>
      <c r="I10036" s="422" t="s">
        <v>678</v>
      </c>
      <c r="J10036" s="484"/>
      <c r="K10036" s="548"/>
      <c r="L10036" s="548"/>
      <c r="M10036" s="548"/>
      <c r="N10036" s="552">
        <v>433575</v>
      </c>
      <c r="R10036" s="539">
        <v>976.26199999999994</v>
      </c>
      <c r="S10036" s="539">
        <v>976.67791436314405</v>
      </c>
      <c r="T10036" s="538">
        <v>15.55</v>
      </c>
      <c r="U10036" s="538">
        <v>634.91999999999996</v>
      </c>
      <c r="V10036" s="538">
        <v>317.45999999999998</v>
      </c>
    </row>
    <row r="10037" spans="1:25">
      <c r="A10037" s="499">
        <v>45839</v>
      </c>
      <c r="B10037" s="499">
        <v>45840</v>
      </c>
      <c r="C10037" s="500" t="s">
        <v>173</v>
      </c>
      <c r="D10037" s="500" t="s">
        <v>762</v>
      </c>
      <c r="E10037" s="501">
        <v>13014233.210000001</v>
      </c>
      <c r="F10037" s="502" t="s">
        <v>878</v>
      </c>
      <c r="G10037" s="100">
        <v>117763670</v>
      </c>
      <c r="H10037" s="100">
        <v>117763670</v>
      </c>
      <c r="I10037" s="422" t="s">
        <v>678</v>
      </c>
      <c r="J10037" s="484"/>
      <c r="K10037" s="548"/>
      <c r="L10037" s="548"/>
      <c r="M10037" s="548"/>
      <c r="N10037" s="552">
        <v>13325</v>
      </c>
      <c r="R10037" s="539">
        <v>976.26199999999994</v>
      </c>
      <c r="S10037" s="539">
        <v>976.67791444652903</v>
      </c>
      <c r="T10037" s="538">
        <v>15.55</v>
      </c>
      <c r="U10037" s="538">
        <v>39.32</v>
      </c>
      <c r="V10037" s="538">
        <v>9.76</v>
      </c>
    </row>
    <row r="10038" spans="1:25">
      <c r="A10038" s="499">
        <v>45839</v>
      </c>
      <c r="B10038" s="499">
        <v>45841</v>
      </c>
      <c r="C10038" s="500" t="s">
        <v>173</v>
      </c>
      <c r="D10038" s="500" t="s">
        <v>762</v>
      </c>
      <c r="E10038" s="501">
        <v>-400741888.88999999</v>
      </c>
      <c r="F10038" s="502" t="s">
        <v>906</v>
      </c>
      <c r="G10038" s="100" t="s">
        <v>71</v>
      </c>
      <c r="H10038" s="530"/>
      <c r="I10038" s="422" t="s">
        <v>704</v>
      </c>
      <c r="J10038" s="484"/>
      <c r="K10038" s="548">
        <v>117776792</v>
      </c>
      <c r="L10038" s="549">
        <v>76.077100000000002</v>
      </c>
      <c r="M10038" s="549">
        <f>E10038*(-1)/(N10038*O10038)*100</f>
        <v>80.148377777999997</v>
      </c>
      <c r="N10038" s="549">
        <v>500000</v>
      </c>
      <c r="O10038" s="539">
        <f>VLOOKUP(G10038,Справочник!A:J,10,)</f>
        <v>1000</v>
      </c>
      <c r="P10038" s="539">
        <v>77.346299999999999</v>
      </c>
      <c r="T10038" s="538">
        <v>16.899999999999999</v>
      </c>
      <c r="U10038" s="538">
        <v>0</v>
      </c>
      <c r="V10038" s="538">
        <v>40074.19</v>
      </c>
      <c r="W10038" s="550">
        <f>VLOOKUP(G10038,Справочник!A:C,3,0)</f>
        <v>7.22E-2</v>
      </c>
      <c r="X10038" s="539" t="str">
        <f>VLOOKUP(G10038,Справочник!A:G,7,0)</f>
        <v>Министерство финансов Республики Казахстан</v>
      </c>
      <c r="Y10038" s="551" t="str">
        <f>VLOOKUP(G10038,Справочник!A:B,2,0)</f>
        <v>10.12.2028</v>
      </c>
    </row>
    <row r="10039" spans="1:25">
      <c r="A10039" s="499">
        <v>45839</v>
      </c>
      <c r="B10039" s="499">
        <v>45841</v>
      </c>
      <c r="C10039" s="500" t="s">
        <v>173</v>
      </c>
      <c r="D10039" s="500" t="s">
        <v>762</v>
      </c>
      <c r="E10039" s="501">
        <v>-400231888.88999999</v>
      </c>
      <c r="F10039" s="502" t="s">
        <v>906</v>
      </c>
      <c r="G10039" s="100" t="s">
        <v>71</v>
      </c>
      <c r="H10039" s="530"/>
      <c r="I10039" s="422" t="s">
        <v>704</v>
      </c>
      <c r="J10039" s="484"/>
      <c r="K10039" s="548">
        <v>117776803</v>
      </c>
      <c r="L10039" s="549">
        <v>75.975099999999998</v>
      </c>
      <c r="M10039" s="549">
        <f>E10039*(-1)/(N10039*O10039)*100</f>
        <v>80.046377777999993</v>
      </c>
      <c r="N10039" s="549">
        <v>500000</v>
      </c>
      <c r="O10039" s="539">
        <f>VLOOKUP(G10039,Справочник!A:J,10,0)</f>
        <v>1000</v>
      </c>
      <c r="P10039" s="539">
        <v>77.346299999999999</v>
      </c>
      <c r="T10039" s="538">
        <v>16.95</v>
      </c>
      <c r="U10039" s="538">
        <v>0</v>
      </c>
      <c r="V10039" s="538">
        <v>40023.19</v>
      </c>
      <c r="W10039" s="550">
        <f>VLOOKUP(G10039,Справочник!A:C,3,0)</f>
        <v>7.22E-2</v>
      </c>
      <c r="X10039" s="539" t="str">
        <f>VLOOKUP(G10039,Справочник!A:G,7,0)</f>
        <v>Министерство финансов Республики Казахстан</v>
      </c>
      <c r="Y10039" s="551" t="str">
        <f>VLOOKUP(G10039,Справочник!A:B,2,0)</f>
        <v>10.12.2028</v>
      </c>
    </row>
    <row r="10040" spans="1:25">
      <c r="A10040" s="499">
        <v>45839</v>
      </c>
      <c r="B10040" s="499">
        <v>45839</v>
      </c>
      <c r="C10040" s="500" t="s">
        <v>173</v>
      </c>
      <c r="D10040" s="500" t="s">
        <v>759</v>
      </c>
      <c r="E10040" s="501">
        <v>-2011976179.6199999</v>
      </c>
      <c r="F10040" s="502" t="s">
        <v>878</v>
      </c>
      <c r="G10040" s="100">
        <v>117766626</v>
      </c>
      <c r="H10040" s="530"/>
      <c r="I10040" s="422" t="s">
        <v>691</v>
      </c>
      <c r="J10040" s="484"/>
      <c r="K10040" s="548"/>
      <c r="L10040" s="548"/>
      <c r="M10040" s="548"/>
      <c r="N10040" s="552">
        <v>2372980</v>
      </c>
      <c r="R10040" s="539">
        <v>847.86899999999991</v>
      </c>
      <c r="S10040" s="539">
        <v>848.23369981626502</v>
      </c>
      <c r="T10040" s="538">
        <v>15.7</v>
      </c>
      <c r="U10040" s="538">
        <v>3017.96</v>
      </c>
      <c r="V10040" s="538">
        <v>1508.98</v>
      </c>
    </row>
    <row r="10041" spans="1:25">
      <c r="A10041" s="499">
        <v>45839</v>
      </c>
      <c r="B10041" s="499">
        <v>45839</v>
      </c>
      <c r="C10041" s="500" t="s">
        <v>173</v>
      </c>
      <c r="D10041" s="500" t="s">
        <v>759</v>
      </c>
      <c r="E10041" s="501">
        <v>-11010800.26</v>
      </c>
      <c r="F10041" s="502" t="s">
        <v>878</v>
      </c>
      <c r="G10041" s="100">
        <v>117767502</v>
      </c>
      <c r="H10041" s="530"/>
      <c r="I10041" s="422" t="s">
        <v>816</v>
      </c>
      <c r="J10041" s="484"/>
      <c r="K10041" s="548"/>
      <c r="L10041" s="548"/>
      <c r="M10041" s="548"/>
      <c r="N10041" s="552">
        <v>10857</v>
      </c>
      <c r="R10041" s="539">
        <v>1014.165999815787</v>
      </c>
      <c r="S10041" s="539">
        <v>1014.60222989776</v>
      </c>
      <c r="T10041" s="538">
        <v>15.7</v>
      </c>
      <c r="U10041" s="538">
        <v>39.32</v>
      </c>
      <c r="V10041" s="538">
        <v>8.26</v>
      </c>
    </row>
    <row r="10042" spans="1:25">
      <c r="A10042" s="499">
        <v>45839</v>
      </c>
      <c r="B10042" s="499">
        <v>45840</v>
      </c>
      <c r="C10042" s="500" t="s">
        <v>173</v>
      </c>
      <c r="D10042" s="500" t="s">
        <v>759</v>
      </c>
      <c r="E10042" s="501">
        <v>2012841604.99</v>
      </c>
      <c r="F10042" s="502" t="s">
        <v>878</v>
      </c>
      <c r="G10042" s="100">
        <v>117766626</v>
      </c>
      <c r="H10042" s="100">
        <v>117766626</v>
      </c>
      <c r="I10042" s="422" t="s">
        <v>691</v>
      </c>
      <c r="J10042" s="484"/>
      <c r="K10042" s="548"/>
      <c r="L10042" s="548"/>
      <c r="M10042" s="548"/>
      <c r="N10042" s="552">
        <v>2372980</v>
      </c>
      <c r="R10042" s="539">
        <v>847.86899999999991</v>
      </c>
      <c r="S10042" s="539">
        <v>848.23369981626502</v>
      </c>
      <c r="T10042" s="538">
        <v>15.7</v>
      </c>
      <c r="U10042" s="538">
        <v>3017.96</v>
      </c>
      <c r="V10042" s="538">
        <v>1508.98</v>
      </c>
    </row>
    <row r="10043" spans="1:25">
      <c r="A10043" s="499">
        <v>45839</v>
      </c>
      <c r="B10043" s="499">
        <v>45840</v>
      </c>
      <c r="C10043" s="500" t="s">
        <v>173</v>
      </c>
      <c r="D10043" s="500" t="s">
        <v>759</v>
      </c>
      <c r="E10043" s="501">
        <v>11015536.41</v>
      </c>
      <c r="F10043" s="502" t="s">
        <v>878</v>
      </c>
      <c r="G10043" s="100">
        <v>117767502</v>
      </c>
      <c r="H10043" s="100">
        <v>117767502</v>
      </c>
      <c r="I10043" s="422" t="s">
        <v>816</v>
      </c>
      <c r="J10043" s="484"/>
      <c r="K10043" s="548"/>
      <c r="L10043" s="548"/>
      <c r="M10043" s="548"/>
      <c r="N10043" s="552">
        <v>10857</v>
      </c>
      <c r="R10043" s="539">
        <v>1014.165999815787</v>
      </c>
      <c r="S10043" s="539">
        <v>1014.60222989776</v>
      </c>
      <c r="T10043" s="538">
        <v>15.7</v>
      </c>
      <c r="U10043" s="538">
        <v>39.32</v>
      </c>
      <c r="V10043" s="538">
        <v>8.26</v>
      </c>
    </row>
    <row r="10044" spans="1:25">
      <c r="A10044" s="499">
        <v>45839</v>
      </c>
      <c r="B10044" s="499">
        <v>45839</v>
      </c>
      <c r="C10044" s="500" t="s">
        <v>173</v>
      </c>
      <c r="D10044" s="500" t="s">
        <v>760</v>
      </c>
      <c r="E10044" s="501">
        <v>-682055719.80999994</v>
      </c>
      <c r="F10044" s="502" t="s">
        <v>878</v>
      </c>
      <c r="G10044" s="100">
        <v>117761145</v>
      </c>
      <c r="H10044" s="530"/>
      <c r="I10044" s="422" t="s">
        <v>635</v>
      </c>
      <c r="J10044" s="484"/>
      <c r="K10044" s="548"/>
      <c r="L10044" s="548"/>
      <c r="M10044" s="548"/>
      <c r="N10044" s="552">
        <v>1146442</v>
      </c>
      <c r="R10044" s="539">
        <v>594.93259999999998</v>
      </c>
      <c r="S10044" s="539">
        <v>595.18540560272595</v>
      </c>
      <c r="T10044" s="538">
        <v>15.51</v>
      </c>
      <c r="U10044" s="538">
        <v>1023.08</v>
      </c>
      <c r="V10044" s="538">
        <v>511.54</v>
      </c>
    </row>
    <row r="10045" spans="1:25">
      <c r="A10045" s="499">
        <v>45839</v>
      </c>
      <c r="B10045" s="499">
        <v>45839</v>
      </c>
      <c r="C10045" s="500" t="s">
        <v>173</v>
      </c>
      <c r="D10045" s="500" t="s">
        <v>760</v>
      </c>
      <c r="E10045" s="501">
        <v>-618232986</v>
      </c>
      <c r="F10045" s="502" t="s">
        <v>878</v>
      </c>
      <c r="G10045" s="100">
        <v>117761275</v>
      </c>
      <c r="H10045" s="530"/>
      <c r="I10045" s="422" t="s">
        <v>675</v>
      </c>
      <c r="J10045" s="484"/>
      <c r="K10045" s="548"/>
      <c r="L10045" s="548"/>
      <c r="M10045" s="548"/>
      <c r="N10045" s="552">
        <v>667440</v>
      </c>
      <c r="R10045" s="539">
        <v>926.27499999999998</v>
      </c>
      <c r="S10045" s="539">
        <v>926.66860342502696</v>
      </c>
      <c r="T10045" s="538">
        <v>15.51</v>
      </c>
      <c r="U10045" s="538">
        <v>927.35</v>
      </c>
      <c r="V10045" s="538">
        <v>463.67</v>
      </c>
    </row>
    <row r="10046" spans="1:25">
      <c r="A10046" s="499">
        <v>45839</v>
      </c>
      <c r="B10046" s="499">
        <v>45839</v>
      </c>
      <c r="C10046" s="500" t="s">
        <v>173</v>
      </c>
      <c r="D10046" s="500" t="s">
        <v>760</v>
      </c>
      <c r="E10046" s="501">
        <v>-12004524</v>
      </c>
      <c r="F10046" s="502" t="s">
        <v>878</v>
      </c>
      <c r="G10046" s="100">
        <v>117761528</v>
      </c>
      <c r="H10046" s="530"/>
      <c r="I10046" s="422" t="s">
        <v>675</v>
      </c>
      <c r="J10046" s="484"/>
      <c r="K10046" s="548"/>
      <c r="L10046" s="548"/>
      <c r="M10046" s="548"/>
      <c r="N10046" s="552">
        <v>12960</v>
      </c>
      <c r="R10046" s="539">
        <v>926.27499999999998</v>
      </c>
      <c r="S10046" s="539">
        <v>926.66860339506195</v>
      </c>
      <c r="T10046" s="538">
        <v>15.51</v>
      </c>
      <c r="U10046" s="538">
        <v>39.32</v>
      </c>
      <c r="V10046" s="538">
        <v>9</v>
      </c>
    </row>
    <row r="10047" spans="1:25">
      <c r="A10047" s="499">
        <v>45839</v>
      </c>
      <c r="B10047" s="499">
        <v>45840</v>
      </c>
      <c r="C10047" s="500" t="s">
        <v>173</v>
      </c>
      <c r="D10047" s="500" t="s">
        <v>760</v>
      </c>
      <c r="E10047" s="501">
        <v>682345546.76999998</v>
      </c>
      <c r="F10047" s="502" t="s">
        <v>878</v>
      </c>
      <c r="G10047" s="100">
        <v>117761145</v>
      </c>
      <c r="H10047" s="100">
        <v>117761145</v>
      </c>
      <c r="I10047" s="422" t="s">
        <v>635</v>
      </c>
      <c r="J10047" s="484"/>
      <c r="K10047" s="548"/>
      <c r="L10047" s="548"/>
      <c r="M10047" s="548"/>
      <c r="N10047" s="552">
        <v>1146442</v>
      </c>
      <c r="R10047" s="539">
        <v>594.93259999999998</v>
      </c>
      <c r="S10047" s="539">
        <v>595.18540560272595</v>
      </c>
      <c r="T10047" s="538">
        <v>15.51</v>
      </c>
      <c r="U10047" s="538">
        <v>1023.08</v>
      </c>
      <c r="V10047" s="538">
        <v>511.54</v>
      </c>
    </row>
    <row r="10048" spans="1:25">
      <c r="A10048" s="499">
        <v>45839</v>
      </c>
      <c r="B10048" s="499">
        <v>45840</v>
      </c>
      <c r="C10048" s="500" t="s">
        <v>173</v>
      </c>
      <c r="D10048" s="500" t="s">
        <v>760</v>
      </c>
      <c r="E10048" s="501">
        <v>618495692.66999996</v>
      </c>
      <c r="F10048" s="502" t="s">
        <v>878</v>
      </c>
      <c r="G10048" s="100">
        <v>117761275</v>
      </c>
      <c r="H10048" s="100">
        <v>117761275</v>
      </c>
      <c r="I10048" s="422" t="s">
        <v>675</v>
      </c>
      <c r="J10048" s="484"/>
      <c r="K10048" s="548"/>
      <c r="L10048" s="548"/>
      <c r="M10048" s="548"/>
      <c r="N10048" s="552">
        <v>667440</v>
      </c>
      <c r="R10048" s="539">
        <v>926.27499999999998</v>
      </c>
      <c r="S10048" s="539">
        <v>926.66860342502696</v>
      </c>
      <c r="T10048" s="538">
        <v>15.51</v>
      </c>
      <c r="U10048" s="538">
        <v>927.35</v>
      </c>
      <c r="V10048" s="538">
        <v>463.67</v>
      </c>
    </row>
    <row r="10049" spans="1:22">
      <c r="A10049" s="499">
        <v>45839</v>
      </c>
      <c r="B10049" s="499">
        <v>45840</v>
      </c>
      <c r="C10049" s="500" t="s">
        <v>173</v>
      </c>
      <c r="D10049" s="500" t="s">
        <v>760</v>
      </c>
      <c r="E10049" s="501">
        <v>12009625.1</v>
      </c>
      <c r="F10049" s="502" t="s">
        <v>878</v>
      </c>
      <c r="G10049" s="100">
        <v>117761528</v>
      </c>
      <c r="H10049" s="100">
        <v>117761528</v>
      </c>
      <c r="I10049" s="422" t="s">
        <v>675</v>
      </c>
      <c r="J10049" s="484"/>
      <c r="K10049" s="548"/>
      <c r="L10049" s="548"/>
      <c r="M10049" s="548"/>
      <c r="N10049" s="552">
        <v>12960</v>
      </c>
      <c r="R10049" s="539">
        <v>926.27499999999998</v>
      </c>
      <c r="S10049" s="539">
        <v>926.66860339506195</v>
      </c>
      <c r="T10049" s="538">
        <v>15.51</v>
      </c>
      <c r="U10049" s="538">
        <v>39.32</v>
      </c>
      <c r="V10049" s="538">
        <v>9</v>
      </c>
    </row>
    <row r="10050" spans="1:22">
      <c r="A10050" s="499">
        <v>45839</v>
      </c>
      <c r="B10050" s="499">
        <v>45839</v>
      </c>
      <c r="C10050" s="500" t="s">
        <v>173</v>
      </c>
      <c r="D10050" s="500" t="s">
        <v>763</v>
      </c>
      <c r="E10050" s="501">
        <v>-342082499.98000002</v>
      </c>
      <c r="F10050" s="502" t="s">
        <v>878</v>
      </c>
      <c r="G10050" s="100">
        <v>117762051</v>
      </c>
      <c r="H10050" s="530"/>
      <c r="I10050" s="422" t="s">
        <v>631</v>
      </c>
      <c r="J10050" s="484"/>
      <c r="K10050" s="548"/>
      <c r="L10050" s="548"/>
      <c r="M10050" s="548"/>
      <c r="N10050" s="552">
        <v>725040</v>
      </c>
      <c r="R10050" s="539">
        <v>471.81189999999998</v>
      </c>
      <c r="S10050" s="539">
        <v>472.012387744124</v>
      </c>
      <c r="T10050" s="538">
        <v>15.51</v>
      </c>
      <c r="U10050" s="538">
        <v>513.12</v>
      </c>
      <c r="V10050" s="538">
        <v>256.56</v>
      </c>
    </row>
    <row r="10051" spans="1:22">
      <c r="A10051" s="499">
        <v>45839</v>
      </c>
      <c r="B10051" s="499">
        <v>45839</v>
      </c>
      <c r="C10051" s="500" t="s">
        <v>173</v>
      </c>
      <c r="D10051" s="500" t="s">
        <v>763</v>
      </c>
      <c r="E10051" s="501">
        <v>-31001569.050000001</v>
      </c>
      <c r="F10051" s="502" t="s">
        <v>878</v>
      </c>
      <c r="G10051" s="100">
        <v>117762054</v>
      </c>
      <c r="H10051" s="530"/>
      <c r="I10051" s="422" t="s">
        <v>1013</v>
      </c>
      <c r="J10051" s="484"/>
      <c r="K10051" s="548"/>
      <c r="L10051" s="548"/>
      <c r="M10051" s="548"/>
      <c r="N10051" s="552">
        <v>61008</v>
      </c>
      <c r="R10051" s="539">
        <v>508.1558</v>
      </c>
      <c r="S10051" s="539">
        <v>508.37173141227402</v>
      </c>
      <c r="T10051" s="538">
        <v>15.51</v>
      </c>
      <c r="U10051" s="538">
        <v>46.5</v>
      </c>
      <c r="V10051" s="538">
        <v>39.32</v>
      </c>
    </row>
    <row r="10052" spans="1:22">
      <c r="A10052" s="499">
        <v>45839</v>
      </c>
      <c r="B10052" s="499">
        <v>45839</v>
      </c>
      <c r="C10052" s="500" t="s">
        <v>173</v>
      </c>
      <c r="D10052" s="500" t="s">
        <v>763</v>
      </c>
      <c r="E10052" s="501">
        <v>-1000408.77</v>
      </c>
      <c r="F10052" s="502" t="s">
        <v>878</v>
      </c>
      <c r="G10052" s="100">
        <v>117762057</v>
      </c>
      <c r="H10052" s="530"/>
      <c r="I10052" s="422" t="s">
        <v>656</v>
      </c>
      <c r="J10052" s="484"/>
      <c r="K10052" s="548"/>
      <c r="L10052" s="548"/>
      <c r="M10052" s="548"/>
      <c r="N10052" s="552">
        <v>993</v>
      </c>
      <c r="R10052" s="539">
        <v>1007.461</v>
      </c>
      <c r="S10052" s="539">
        <v>1007.88910372608</v>
      </c>
      <c r="T10052" s="538">
        <v>15.51</v>
      </c>
      <c r="U10052" s="538">
        <v>39.32</v>
      </c>
      <c r="V10052" s="538">
        <v>39.32</v>
      </c>
    </row>
    <row r="10053" spans="1:22">
      <c r="A10053" s="499">
        <v>45839</v>
      </c>
      <c r="B10053" s="499">
        <v>45839</v>
      </c>
      <c r="C10053" s="500" t="s">
        <v>173</v>
      </c>
      <c r="D10053" s="500" t="s">
        <v>763</v>
      </c>
      <c r="E10053" s="501">
        <v>-289090745.60000002</v>
      </c>
      <c r="F10053" s="502" t="s">
        <v>878</v>
      </c>
      <c r="G10053" s="100">
        <v>117762060</v>
      </c>
      <c r="H10053" s="530"/>
      <c r="I10053" s="422" t="s">
        <v>833</v>
      </c>
      <c r="J10053" s="484"/>
      <c r="K10053" s="548"/>
      <c r="L10053" s="548"/>
      <c r="M10053" s="548"/>
      <c r="N10053" s="552">
        <v>478873</v>
      </c>
      <c r="R10053" s="539">
        <v>603.68979999999999</v>
      </c>
      <c r="S10053" s="539">
        <v>603.94632683404598</v>
      </c>
      <c r="T10053" s="538">
        <v>15.51</v>
      </c>
      <c r="U10053" s="538">
        <v>433.64</v>
      </c>
      <c r="V10053" s="538">
        <v>216.82</v>
      </c>
    </row>
    <row r="10054" spans="1:22">
      <c r="A10054" s="499">
        <v>45839</v>
      </c>
      <c r="B10054" s="499">
        <v>45839</v>
      </c>
      <c r="C10054" s="500" t="s">
        <v>173</v>
      </c>
      <c r="D10054" s="500" t="s">
        <v>763</v>
      </c>
      <c r="E10054" s="501">
        <v>-79040867.409999996</v>
      </c>
      <c r="F10054" s="502" t="s">
        <v>878</v>
      </c>
      <c r="G10054" s="100">
        <v>117762063</v>
      </c>
      <c r="H10054" s="530"/>
      <c r="I10054" s="422" t="s">
        <v>633</v>
      </c>
      <c r="J10054" s="484"/>
      <c r="K10054" s="548"/>
      <c r="L10054" s="548"/>
      <c r="M10054" s="548"/>
      <c r="N10054" s="552">
        <v>148678</v>
      </c>
      <c r="R10054" s="539">
        <v>531.62450000000001</v>
      </c>
      <c r="S10054" s="539">
        <v>531.85040396023601</v>
      </c>
      <c r="T10054" s="538">
        <v>15.51</v>
      </c>
      <c r="U10054" s="538">
        <v>118.56</v>
      </c>
      <c r="V10054" s="538">
        <v>59.28</v>
      </c>
    </row>
    <row r="10055" spans="1:22">
      <c r="A10055" s="499">
        <v>45839</v>
      </c>
      <c r="B10055" s="499">
        <v>45839</v>
      </c>
      <c r="C10055" s="500" t="s">
        <v>173</v>
      </c>
      <c r="D10055" s="500" t="s">
        <v>763</v>
      </c>
      <c r="E10055" s="501">
        <v>-2793052584</v>
      </c>
      <c r="F10055" s="502" t="s">
        <v>878</v>
      </c>
      <c r="G10055" s="100">
        <v>117762066</v>
      </c>
      <c r="H10055" s="530"/>
      <c r="I10055" s="422" t="s">
        <v>675</v>
      </c>
      <c r="J10055" s="484"/>
      <c r="K10055" s="548"/>
      <c r="L10055" s="548"/>
      <c r="M10055" s="548"/>
      <c r="N10055" s="552">
        <v>3015360</v>
      </c>
      <c r="R10055" s="539">
        <v>926.27499999999998</v>
      </c>
      <c r="S10055" s="539">
        <v>926.66860343043595</v>
      </c>
      <c r="T10055" s="538">
        <v>15.51</v>
      </c>
      <c r="U10055" s="538">
        <v>4189.58</v>
      </c>
      <c r="V10055" s="538">
        <v>2094.79</v>
      </c>
    </row>
    <row r="10056" spans="1:22">
      <c r="A10056" s="499">
        <v>45839</v>
      </c>
      <c r="B10056" s="499">
        <v>45839</v>
      </c>
      <c r="C10056" s="500" t="s">
        <v>173</v>
      </c>
      <c r="D10056" s="500" t="s">
        <v>763</v>
      </c>
      <c r="E10056" s="501">
        <v>-95093274.989999995</v>
      </c>
      <c r="F10056" s="502" t="s">
        <v>878</v>
      </c>
      <c r="G10056" s="100">
        <v>117762069</v>
      </c>
      <c r="H10056" s="530"/>
      <c r="I10056" s="422" t="s">
        <v>816</v>
      </c>
      <c r="J10056" s="484"/>
      <c r="K10056" s="548"/>
      <c r="L10056" s="548"/>
      <c r="M10056" s="548"/>
      <c r="N10056" s="552">
        <v>93765</v>
      </c>
      <c r="R10056" s="539">
        <v>1014.1660000000001</v>
      </c>
      <c r="S10056" s="539">
        <v>1014.59695110116</v>
      </c>
      <c r="T10056" s="538">
        <v>15.51</v>
      </c>
      <c r="U10056" s="538">
        <v>142.63999999999999</v>
      </c>
      <c r="V10056" s="538">
        <v>71.319999999999993</v>
      </c>
    </row>
    <row r="10057" spans="1:22">
      <c r="A10057" s="499">
        <v>45839</v>
      </c>
      <c r="B10057" s="499">
        <v>45839</v>
      </c>
      <c r="C10057" s="500" t="s">
        <v>173</v>
      </c>
      <c r="D10057" s="500" t="s">
        <v>763</v>
      </c>
      <c r="E10057" s="501">
        <v>-95093138</v>
      </c>
      <c r="F10057" s="502" t="s">
        <v>878</v>
      </c>
      <c r="G10057" s="100">
        <v>117762072</v>
      </c>
      <c r="H10057" s="530"/>
      <c r="I10057" s="422" t="s">
        <v>596</v>
      </c>
      <c r="J10057" s="484"/>
      <c r="K10057" s="548"/>
      <c r="L10057" s="548"/>
      <c r="M10057" s="548"/>
      <c r="N10057" s="552">
        <v>90440</v>
      </c>
      <c r="R10057" s="539">
        <v>1051.45</v>
      </c>
      <c r="S10057" s="539">
        <v>1051.89679422822</v>
      </c>
      <c r="T10057" s="538">
        <v>15.51</v>
      </c>
      <c r="U10057" s="538">
        <v>142.63999999999999</v>
      </c>
      <c r="V10057" s="538">
        <v>71.319999999999993</v>
      </c>
    </row>
    <row r="10058" spans="1:22">
      <c r="A10058" s="499">
        <v>45839</v>
      </c>
      <c r="B10058" s="499">
        <v>45839</v>
      </c>
      <c r="C10058" s="500" t="s">
        <v>173</v>
      </c>
      <c r="D10058" s="500" t="s">
        <v>763</v>
      </c>
      <c r="E10058" s="501">
        <v>-88060652.060000002</v>
      </c>
      <c r="F10058" s="502" t="s">
        <v>878</v>
      </c>
      <c r="G10058" s="100">
        <v>117762075</v>
      </c>
      <c r="H10058" s="530"/>
      <c r="I10058" s="422" t="s">
        <v>823</v>
      </c>
      <c r="J10058" s="484"/>
      <c r="K10058" s="548"/>
      <c r="L10058" s="548"/>
      <c r="M10058" s="548"/>
      <c r="N10058" s="552">
        <v>81312</v>
      </c>
      <c r="R10058" s="539">
        <v>1082.9970000000001</v>
      </c>
      <c r="S10058" s="539">
        <v>1083.4571995523399</v>
      </c>
      <c r="T10058" s="538">
        <v>15.51</v>
      </c>
      <c r="U10058" s="538">
        <v>132.09</v>
      </c>
      <c r="V10058" s="538">
        <v>66.05</v>
      </c>
    </row>
    <row r="10059" spans="1:22">
      <c r="A10059" s="499">
        <v>45839</v>
      </c>
      <c r="B10059" s="499">
        <v>45839</v>
      </c>
      <c r="C10059" s="500" t="s">
        <v>173</v>
      </c>
      <c r="D10059" s="500" t="s">
        <v>763</v>
      </c>
      <c r="E10059" s="501">
        <v>-33007960.52</v>
      </c>
      <c r="F10059" s="502" t="s">
        <v>878</v>
      </c>
      <c r="G10059" s="100">
        <v>117762078</v>
      </c>
      <c r="H10059" s="530"/>
      <c r="I10059" s="422" t="s">
        <v>631</v>
      </c>
      <c r="J10059" s="484"/>
      <c r="K10059" s="548"/>
      <c r="L10059" s="548"/>
      <c r="M10059" s="548"/>
      <c r="N10059" s="552">
        <v>69960</v>
      </c>
      <c r="R10059" s="539">
        <v>471.81189999999998</v>
      </c>
      <c r="S10059" s="539">
        <v>472.012387650086</v>
      </c>
      <c r="T10059" s="538">
        <v>15.51</v>
      </c>
      <c r="U10059" s="538">
        <v>49.51</v>
      </c>
      <c r="V10059" s="538">
        <v>39.32</v>
      </c>
    </row>
    <row r="10060" spans="1:22">
      <c r="A10060" s="499">
        <v>45839</v>
      </c>
      <c r="B10060" s="499">
        <v>45839</v>
      </c>
      <c r="C10060" s="500" t="s">
        <v>173</v>
      </c>
      <c r="D10060" s="500" t="s">
        <v>763</v>
      </c>
      <c r="E10060" s="501">
        <v>-2071070829.6300001</v>
      </c>
      <c r="F10060" s="502" t="s">
        <v>878</v>
      </c>
      <c r="G10060" s="100">
        <v>117762081</v>
      </c>
      <c r="H10060" s="530"/>
      <c r="I10060" s="422" t="s">
        <v>633</v>
      </c>
      <c r="J10060" s="484"/>
      <c r="K10060" s="548"/>
      <c r="L10060" s="548"/>
      <c r="M10060" s="548"/>
      <c r="N10060" s="552">
        <v>3895740</v>
      </c>
      <c r="R10060" s="539">
        <v>531.62450000000001</v>
      </c>
      <c r="S10060" s="539">
        <v>531.85026417574102</v>
      </c>
      <c r="T10060" s="538">
        <v>15.500400000000001</v>
      </c>
      <c r="U10060" s="538">
        <v>3106.61</v>
      </c>
      <c r="V10060" s="538">
        <v>1553.3</v>
      </c>
    </row>
    <row r="10061" spans="1:22">
      <c r="A10061" s="499">
        <v>45839</v>
      </c>
      <c r="B10061" s="499">
        <v>45839</v>
      </c>
      <c r="C10061" s="500" t="s">
        <v>173</v>
      </c>
      <c r="D10061" s="500" t="s">
        <v>763</v>
      </c>
      <c r="E10061" s="501">
        <v>-33017071.199999999</v>
      </c>
      <c r="F10061" s="502" t="s">
        <v>878</v>
      </c>
      <c r="G10061" s="100">
        <v>117762111</v>
      </c>
      <c r="H10061" s="530"/>
      <c r="I10061" s="422" t="s">
        <v>633</v>
      </c>
      <c r="J10061" s="484"/>
      <c r="K10061" s="548"/>
      <c r="L10061" s="548"/>
      <c r="M10061" s="548"/>
      <c r="N10061" s="552">
        <v>62106</v>
      </c>
      <c r="R10061" s="539">
        <v>531.62450000000001</v>
      </c>
      <c r="S10061" s="539">
        <v>531.85026422567898</v>
      </c>
      <c r="T10061" s="538">
        <v>15.500400000000001</v>
      </c>
      <c r="U10061" s="538">
        <v>49.53</v>
      </c>
      <c r="V10061" s="538">
        <v>39.32</v>
      </c>
    </row>
    <row r="10062" spans="1:22">
      <c r="A10062" s="499">
        <v>45839</v>
      </c>
      <c r="B10062" s="499">
        <v>45840</v>
      </c>
      <c r="C10062" s="500" t="s">
        <v>173</v>
      </c>
      <c r="D10062" s="500" t="s">
        <v>763</v>
      </c>
      <c r="E10062" s="501">
        <v>342227861.61000001</v>
      </c>
      <c r="F10062" s="502" t="s">
        <v>878</v>
      </c>
      <c r="G10062" s="100">
        <v>117762051</v>
      </c>
      <c r="H10062" s="100">
        <v>117762051</v>
      </c>
      <c r="I10062" s="422" t="s">
        <v>631</v>
      </c>
      <c r="J10062" s="484"/>
      <c r="K10062" s="548"/>
      <c r="L10062" s="548"/>
      <c r="M10062" s="548"/>
      <c r="N10062" s="552">
        <v>725040</v>
      </c>
      <c r="R10062" s="539">
        <v>471.81189999999998</v>
      </c>
      <c r="S10062" s="539">
        <v>472.012387744124</v>
      </c>
      <c r="T10062" s="538">
        <v>15.51</v>
      </c>
      <c r="U10062" s="538">
        <v>513.12</v>
      </c>
      <c r="V10062" s="538">
        <v>256.56</v>
      </c>
    </row>
    <row r="10063" spans="1:22">
      <c r="A10063" s="499">
        <v>45839</v>
      </c>
      <c r="B10063" s="499">
        <v>45840</v>
      </c>
      <c r="C10063" s="500" t="s">
        <v>173</v>
      </c>
      <c r="D10063" s="500" t="s">
        <v>763</v>
      </c>
      <c r="E10063" s="501">
        <v>31014742.59</v>
      </c>
      <c r="F10063" s="502" t="s">
        <v>878</v>
      </c>
      <c r="G10063" s="100">
        <v>117762054</v>
      </c>
      <c r="H10063" s="100">
        <v>117762054</v>
      </c>
      <c r="I10063" s="422" t="s">
        <v>1013</v>
      </c>
      <c r="J10063" s="484"/>
      <c r="K10063" s="548"/>
      <c r="L10063" s="548"/>
      <c r="M10063" s="548"/>
      <c r="N10063" s="552">
        <v>61008</v>
      </c>
      <c r="R10063" s="539">
        <v>508.1558</v>
      </c>
      <c r="S10063" s="539">
        <v>508.37173141227402</v>
      </c>
      <c r="T10063" s="538">
        <v>15.51</v>
      </c>
      <c r="U10063" s="538">
        <v>46.5</v>
      </c>
      <c r="V10063" s="538">
        <v>39.32</v>
      </c>
    </row>
    <row r="10064" spans="1:22">
      <c r="A10064" s="499">
        <v>45839</v>
      </c>
      <c r="B10064" s="499">
        <v>45840</v>
      </c>
      <c r="C10064" s="500" t="s">
        <v>173</v>
      </c>
      <c r="D10064" s="500" t="s">
        <v>763</v>
      </c>
      <c r="E10064" s="501">
        <v>1000833.88</v>
      </c>
      <c r="F10064" s="502" t="s">
        <v>878</v>
      </c>
      <c r="G10064" s="100">
        <v>117762057</v>
      </c>
      <c r="H10064" s="100">
        <v>117762057</v>
      </c>
      <c r="I10064" s="422" t="s">
        <v>656</v>
      </c>
      <c r="J10064" s="484"/>
      <c r="K10064" s="548"/>
      <c r="L10064" s="548"/>
      <c r="M10064" s="548"/>
      <c r="N10064" s="552">
        <v>993</v>
      </c>
      <c r="R10064" s="539">
        <v>1007.461</v>
      </c>
      <c r="S10064" s="539">
        <v>1007.88910372608</v>
      </c>
      <c r="T10064" s="538">
        <v>15.51</v>
      </c>
      <c r="U10064" s="538">
        <v>39.32</v>
      </c>
      <c r="V10064" s="538">
        <v>39.32</v>
      </c>
    </row>
    <row r="10065" spans="1:22">
      <c r="A10065" s="499">
        <v>45839</v>
      </c>
      <c r="B10065" s="499">
        <v>45840</v>
      </c>
      <c r="C10065" s="500" t="s">
        <v>173</v>
      </c>
      <c r="D10065" s="500" t="s">
        <v>763</v>
      </c>
      <c r="E10065" s="501">
        <v>289213589.37</v>
      </c>
      <c r="F10065" s="502" t="s">
        <v>878</v>
      </c>
      <c r="G10065" s="100">
        <v>117762060</v>
      </c>
      <c r="H10065" s="100">
        <v>117762060</v>
      </c>
      <c r="I10065" s="422" t="s">
        <v>833</v>
      </c>
      <c r="J10065" s="484"/>
      <c r="K10065" s="548"/>
      <c r="L10065" s="548"/>
      <c r="M10065" s="548"/>
      <c r="N10065" s="552">
        <v>478873</v>
      </c>
      <c r="R10065" s="539">
        <v>603.68979999999999</v>
      </c>
      <c r="S10065" s="539">
        <v>603.94632683404598</v>
      </c>
      <c r="T10065" s="538">
        <v>15.51</v>
      </c>
      <c r="U10065" s="538">
        <v>433.64</v>
      </c>
      <c r="V10065" s="538">
        <v>216.82</v>
      </c>
    </row>
    <row r="10066" spans="1:22">
      <c r="A10066" s="499">
        <v>45839</v>
      </c>
      <c r="B10066" s="499">
        <v>45840</v>
      </c>
      <c r="C10066" s="500" t="s">
        <v>173</v>
      </c>
      <c r="D10066" s="500" t="s">
        <v>763</v>
      </c>
      <c r="E10066" s="501">
        <v>79074454.359999999</v>
      </c>
      <c r="F10066" s="502" t="s">
        <v>878</v>
      </c>
      <c r="G10066" s="100">
        <v>117762063</v>
      </c>
      <c r="H10066" s="100">
        <v>117762063</v>
      </c>
      <c r="I10066" s="422" t="s">
        <v>633</v>
      </c>
      <c r="J10066" s="484"/>
      <c r="K10066" s="548"/>
      <c r="L10066" s="548"/>
      <c r="M10066" s="548"/>
      <c r="N10066" s="552">
        <v>148678</v>
      </c>
      <c r="R10066" s="539">
        <v>531.62450000000001</v>
      </c>
      <c r="S10066" s="539">
        <v>531.85040396023601</v>
      </c>
      <c r="T10066" s="538">
        <v>15.51</v>
      </c>
      <c r="U10066" s="538">
        <v>118.56</v>
      </c>
      <c r="V10066" s="538">
        <v>59.28</v>
      </c>
    </row>
    <row r="10067" spans="1:22">
      <c r="A10067" s="499">
        <v>45839</v>
      </c>
      <c r="B10067" s="499">
        <v>45840</v>
      </c>
      <c r="C10067" s="500" t="s">
        <v>173</v>
      </c>
      <c r="D10067" s="500" t="s">
        <v>763</v>
      </c>
      <c r="E10067" s="501">
        <v>2794239440.04</v>
      </c>
      <c r="F10067" s="502" t="s">
        <v>878</v>
      </c>
      <c r="G10067" s="100">
        <v>117762066</v>
      </c>
      <c r="H10067" s="100">
        <v>117762066</v>
      </c>
      <c r="I10067" s="422" t="s">
        <v>675</v>
      </c>
      <c r="J10067" s="484"/>
      <c r="K10067" s="548"/>
      <c r="L10067" s="548"/>
      <c r="M10067" s="548"/>
      <c r="N10067" s="552">
        <v>3015360</v>
      </c>
      <c r="R10067" s="539">
        <v>926.27499999999998</v>
      </c>
      <c r="S10067" s="539">
        <v>926.66860343043595</v>
      </c>
      <c r="T10067" s="538">
        <v>15.51</v>
      </c>
      <c r="U10067" s="538">
        <v>4189.58</v>
      </c>
      <c r="V10067" s="538">
        <v>2094.79</v>
      </c>
    </row>
    <row r="10068" spans="1:22">
      <c r="A10068" s="499">
        <v>45839</v>
      </c>
      <c r="B10068" s="499">
        <v>45840</v>
      </c>
      <c r="C10068" s="500" t="s">
        <v>173</v>
      </c>
      <c r="D10068" s="500" t="s">
        <v>763</v>
      </c>
      <c r="E10068" s="501">
        <v>95133683.120000005</v>
      </c>
      <c r="F10068" s="502" t="s">
        <v>878</v>
      </c>
      <c r="G10068" s="100">
        <v>117762069</v>
      </c>
      <c r="H10068" s="100">
        <v>117762069</v>
      </c>
      <c r="I10068" s="422" t="s">
        <v>816</v>
      </c>
      <c r="J10068" s="484"/>
      <c r="K10068" s="548"/>
      <c r="L10068" s="548"/>
      <c r="M10068" s="548"/>
      <c r="N10068" s="552">
        <v>93765</v>
      </c>
      <c r="R10068" s="539">
        <v>1014.1660000000001</v>
      </c>
      <c r="S10068" s="539">
        <v>1014.59695110116</v>
      </c>
      <c r="T10068" s="538">
        <v>15.51</v>
      </c>
      <c r="U10068" s="538">
        <v>142.63999999999999</v>
      </c>
      <c r="V10068" s="538">
        <v>71.319999999999993</v>
      </c>
    </row>
    <row r="10069" spans="1:22">
      <c r="A10069" s="499">
        <v>45839</v>
      </c>
      <c r="B10069" s="499">
        <v>45840</v>
      </c>
      <c r="C10069" s="500" t="s">
        <v>173</v>
      </c>
      <c r="D10069" s="500" t="s">
        <v>763</v>
      </c>
      <c r="E10069" s="501">
        <v>95133546.069999993</v>
      </c>
      <c r="F10069" s="502" t="s">
        <v>878</v>
      </c>
      <c r="G10069" s="100">
        <v>117762072</v>
      </c>
      <c r="H10069" s="100">
        <v>117762072</v>
      </c>
      <c r="I10069" s="422" t="s">
        <v>596</v>
      </c>
      <c r="J10069" s="484"/>
      <c r="K10069" s="548"/>
      <c r="L10069" s="548"/>
      <c r="M10069" s="548"/>
      <c r="N10069" s="552">
        <v>90440</v>
      </c>
      <c r="R10069" s="539">
        <v>1051.45</v>
      </c>
      <c r="S10069" s="539">
        <v>1051.89679422822</v>
      </c>
      <c r="T10069" s="538">
        <v>15.51</v>
      </c>
      <c r="U10069" s="538">
        <v>142.63999999999999</v>
      </c>
      <c r="V10069" s="538">
        <v>71.319999999999993</v>
      </c>
    </row>
    <row r="10070" spans="1:22">
      <c r="A10070" s="499">
        <v>45839</v>
      </c>
      <c r="B10070" s="499">
        <v>45840</v>
      </c>
      <c r="C10070" s="500" t="s">
        <v>173</v>
      </c>
      <c r="D10070" s="500" t="s">
        <v>763</v>
      </c>
      <c r="E10070" s="501">
        <v>88098071.810000002</v>
      </c>
      <c r="F10070" s="502" t="s">
        <v>878</v>
      </c>
      <c r="G10070" s="100">
        <v>117762075</v>
      </c>
      <c r="H10070" s="100">
        <v>117762075</v>
      </c>
      <c r="I10070" s="422" t="s">
        <v>823</v>
      </c>
      <c r="J10070" s="484"/>
      <c r="K10070" s="548"/>
      <c r="L10070" s="548"/>
      <c r="M10070" s="548"/>
      <c r="N10070" s="552">
        <v>81312</v>
      </c>
      <c r="R10070" s="539">
        <v>1082.9970000000001</v>
      </c>
      <c r="S10070" s="539">
        <v>1083.4571995523399</v>
      </c>
      <c r="T10070" s="538">
        <v>15.51</v>
      </c>
      <c r="U10070" s="538">
        <v>132.09</v>
      </c>
      <c r="V10070" s="538">
        <v>66.05</v>
      </c>
    </row>
    <row r="10071" spans="1:22">
      <c r="A10071" s="499">
        <v>45839</v>
      </c>
      <c r="B10071" s="499">
        <v>45840</v>
      </c>
      <c r="C10071" s="500" t="s">
        <v>173</v>
      </c>
      <c r="D10071" s="500" t="s">
        <v>763</v>
      </c>
      <c r="E10071" s="501">
        <v>33021986.640000001</v>
      </c>
      <c r="F10071" s="502" t="s">
        <v>878</v>
      </c>
      <c r="G10071" s="100">
        <v>117762078</v>
      </c>
      <c r="H10071" s="100">
        <v>117762078</v>
      </c>
      <c r="I10071" s="422" t="s">
        <v>631</v>
      </c>
      <c r="J10071" s="484"/>
      <c r="K10071" s="548"/>
      <c r="L10071" s="548"/>
      <c r="M10071" s="548"/>
      <c r="N10071" s="552">
        <v>69960</v>
      </c>
      <c r="R10071" s="539">
        <v>471.81189999999998</v>
      </c>
      <c r="S10071" s="539">
        <v>472.012387650086</v>
      </c>
      <c r="T10071" s="538">
        <v>15.51</v>
      </c>
      <c r="U10071" s="538">
        <v>49.51</v>
      </c>
      <c r="V10071" s="538">
        <v>39.32</v>
      </c>
    </row>
    <row r="10072" spans="1:22">
      <c r="A10072" s="499">
        <v>45839</v>
      </c>
      <c r="B10072" s="499">
        <v>45840</v>
      </c>
      <c r="C10072" s="500" t="s">
        <v>173</v>
      </c>
      <c r="D10072" s="500" t="s">
        <v>763</v>
      </c>
      <c r="E10072" s="501">
        <v>2071950348.1600001</v>
      </c>
      <c r="F10072" s="502" t="s">
        <v>878</v>
      </c>
      <c r="G10072" s="100">
        <v>117762081</v>
      </c>
      <c r="H10072" s="100">
        <v>117762081</v>
      </c>
      <c r="I10072" s="422" t="s">
        <v>633</v>
      </c>
      <c r="J10072" s="484"/>
      <c r="K10072" s="548"/>
      <c r="L10072" s="548"/>
      <c r="M10072" s="548"/>
      <c r="N10072" s="552">
        <v>3895740</v>
      </c>
      <c r="R10072" s="539">
        <v>531.62450000000001</v>
      </c>
      <c r="S10072" s="539">
        <v>531.85026417574102</v>
      </c>
      <c r="T10072" s="538">
        <v>15.500400000000001</v>
      </c>
      <c r="U10072" s="538">
        <v>3106.61</v>
      </c>
      <c r="V10072" s="538">
        <v>1553.3</v>
      </c>
    </row>
    <row r="10073" spans="1:22">
      <c r="A10073" s="499">
        <v>45839</v>
      </c>
      <c r="B10073" s="499">
        <v>45840</v>
      </c>
      <c r="C10073" s="500" t="s">
        <v>173</v>
      </c>
      <c r="D10073" s="500" t="s">
        <v>763</v>
      </c>
      <c r="E10073" s="501">
        <v>33031092.510000002</v>
      </c>
      <c r="F10073" s="502" t="s">
        <v>878</v>
      </c>
      <c r="G10073" s="100">
        <v>117762111</v>
      </c>
      <c r="H10073" s="100">
        <v>117762111</v>
      </c>
      <c r="I10073" s="422" t="s">
        <v>633</v>
      </c>
      <c r="J10073" s="484"/>
      <c r="K10073" s="548"/>
      <c r="L10073" s="548"/>
      <c r="M10073" s="548"/>
      <c r="N10073" s="552">
        <v>62106</v>
      </c>
      <c r="R10073" s="539">
        <v>531.62450000000001</v>
      </c>
      <c r="S10073" s="539">
        <v>531.85026422567898</v>
      </c>
      <c r="T10073" s="538">
        <v>15.500400000000001</v>
      </c>
      <c r="U10073" s="538">
        <v>49.53</v>
      </c>
      <c r="V10073" s="538">
        <v>39.32</v>
      </c>
    </row>
    <row r="10074" spans="1:22">
      <c r="A10074" s="499">
        <v>45839</v>
      </c>
      <c r="B10074" s="499">
        <v>45839</v>
      </c>
      <c r="C10074" s="500" t="s">
        <v>173</v>
      </c>
      <c r="D10074" s="500" t="s">
        <v>761</v>
      </c>
      <c r="E10074" s="501">
        <v>-1000173.99</v>
      </c>
      <c r="F10074" s="502" t="s">
        <v>878</v>
      </c>
      <c r="G10074" s="100">
        <v>117761728</v>
      </c>
      <c r="H10074" s="530"/>
      <c r="I10074" s="422" t="s">
        <v>598</v>
      </c>
      <c r="J10074" s="484"/>
      <c r="K10074" s="548"/>
      <c r="L10074" s="548"/>
      <c r="M10074" s="548"/>
      <c r="N10074" s="552">
        <v>983</v>
      </c>
      <c r="R10074" s="539">
        <v>1017.470996948118</v>
      </c>
      <c r="S10074" s="539">
        <v>1017.90363173957</v>
      </c>
      <c r="T10074" s="538">
        <v>15.52</v>
      </c>
      <c r="U10074" s="538">
        <v>39.32</v>
      </c>
      <c r="V10074" s="538">
        <v>0.75</v>
      </c>
    </row>
    <row r="10075" spans="1:22">
      <c r="A10075" s="499">
        <v>45839</v>
      </c>
      <c r="B10075" s="499">
        <v>45839</v>
      </c>
      <c r="C10075" s="500" t="s">
        <v>173</v>
      </c>
      <c r="D10075" s="500" t="s">
        <v>761</v>
      </c>
      <c r="E10075" s="501">
        <v>-1000713.07</v>
      </c>
      <c r="F10075" s="502" t="s">
        <v>878</v>
      </c>
      <c r="G10075" s="100">
        <v>117761731</v>
      </c>
      <c r="H10075" s="530"/>
      <c r="I10075" s="422" t="s">
        <v>592</v>
      </c>
      <c r="J10075" s="484"/>
      <c r="K10075" s="548"/>
      <c r="L10075" s="548"/>
      <c r="M10075" s="548"/>
      <c r="N10075" s="552">
        <v>1072</v>
      </c>
      <c r="R10075" s="539">
        <v>933.50099813432826</v>
      </c>
      <c r="S10075" s="539">
        <v>933.89792910447795</v>
      </c>
      <c r="T10075" s="538">
        <v>15.52</v>
      </c>
      <c r="U10075" s="538">
        <v>39.32</v>
      </c>
      <c r="V10075" s="538">
        <v>0.75</v>
      </c>
    </row>
    <row r="10076" spans="1:22">
      <c r="A10076" s="499">
        <v>45839</v>
      </c>
      <c r="B10076" s="499">
        <v>45839</v>
      </c>
      <c r="C10076" s="500" t="s">
        <v>173</v>
      </c>
      <c r="D10076" s="500" t="s">
        <v>761</v>
      </c>
      <c r="E10076" s="501">
        <v>-1000395.26</v>
      </c>
      <c r="F10076" s="502" t="s">
        <v>878</v>
      </c>
      <c r="G10076" s="100">
        <v>117761734</v>
      </c>
      <c r="H10076" s="530"/>
      <c r="I10076" s="422" t="s">
        <v>713</v>
      </c>
      <c r="J10076" s="484"/>
      <c r="K10076" s="548"/>
      <c r="L10076" s="548"/>
      <c r="M10076" s="548"/>
      <c r="N10076" s="552">
        <v>1311</v>
      </c>
      <c r="R10076" s="539">
        <v>763.07800152555296</v>
      </c>
      <c r="S10076" s="539">
        <v>763.40246376811604</v>
      </c>
      <c r="T10076" s="538">
        <v>15.52</v>
      </c>
      <c r="U10076" s="538">
        <v>39.32</v>
      </c>
      <c r="V10076" s="538">
        <v>0.75</v>
      </c>
    </row>
    <row r="10077" spans="1:22">
      <c r="A10077" s="499">
        <v>45839</v>
      </c>
      <c r="B10077" s="499">
        <v>45839</v>
      </c>
      <c r="C10077" s="500" t="s">
        <v>173</v>
      </c>
      <c r="D10077" s="500" t="s">
        <v>761</v>
      </c>
      <c r="E10077" s="501">
        <v>-1000198.98</v>
      </c>
      <c r="F10077" s="502" t="s">
        <v>878</v>
      </c>
      <c r="G10077" s="100">
        <v>117761737</v>
      </c>
      <c r="H10077" s="530"/>
      <c r="I10077" s="422" t="s">
        <v>715</v>
      </c>
      <c r="J10077" s="484"/>
      <c r="K10077" s="548"/>
      <c r="L10077" s="548"/>
      <c r="M10077" s="548"/>
      <c r="N10077" s="552">
        <v>1288</v>
      </c>
      <c r="R10077" s="539">
        <v>776.55200310559007</v>
      </c>
      <c r="S10077" s="539">
        <v>776.88219720496897</v>
      </c>
      <c r="T10077" s="538">
        <v>15.52</v>
      </c>
      <c r="U10077" s="538">
        <v>39.32</v>
      </c>
      <c r="V10077" s="538">
        <v>0.75</v>
      </c>
    </row>
    <row r="10078" spans="1:22">
      <c r="A10078" s="499">
        <v>45839</v>
      </c>
      <c r="B10078" s="499">
        <v>45839</v>
      </c>
      <c r="C10078" s="500" t="s">
        <v>173</v>
      </c>
      <c r="D10078" s="500" t="s">
        <v>761</v>
      </c>
      <c r="E10078" s="501">
        <v>-2000777.77</v>
      </c>
      <c r="F10078" s="502" t="s">
        <v>878</v>
      </c>
      <c r="G10078" s="100">
        <v>117761740</v>
      </c>
      <c r="H10078" s="530"/>
      <c r="I10078" s="422" t="s">
        <v>677</v>
      </c>
      <c r="J10078" s="484"/>
      <c r="K10078" s="548"/>
      <c r="L10078" s="548"/>
      <c r="M10078" s="548"/>
      <c r="N10078" s="552">
        <v>2226</v>
      </c>
      <c r="R10078" s="539">
        <v>898.82199910152747</v>
      </c>
      <c r="S10078" s="539">
        <v>899.20418238993705</v>
      </c>
      <c r="T10078" s="538">
        <v>15.52</v>
      </c>
      <c r="U10078" s="538">
        <v>39.32</v>
      </c>
      <c r="V10078" s="538">
        <v>1.5</v>
      </c>
    </row>
    <row r="10079" spans="1:22">
      <c r="A10079" s="499">
        <v>45839</v>
      </c>
      <c r="B10079" s="499">
        <v>45839</v>
      </c>
      <c r="C10079" s="500" t="s">
        <v>173</v>
      </c>
      <c r="D10079" s="500" t="s">
        <v>761</v>
      </c>
      <c r="E10079" s="501">
        <v>-2001470.56</v>
      </c>
      <c r="F10079" s="502" t="s">
        <v>878</v>
      </c>
      <c r="G10079" s="100">
        <v>117761743</v>
      </c>
      <c r="H10079" s="530"/>
      <c r="I10079" s="422" t="s">
        <v>600</v>
      </c>
      <c r="J10079" s="484"/>
      <c r="K10079" s="548"/>
      <c r="L10079" s="548"/>
      <c r="M10079" s="548"/>
      <c r="N10079" s="552">
        <v>2066</v>
      </c>
      <c r="R10079" s="539">
        <v>968.76600193610841</v>
      </c>
      <c r="S10079" s="539">
        <v>969.17792836398803</v>
      </c>
      <c r="T10079" s="538">
        <v>15.52</v>
      </c>
      <c r="U10079" s="538">
        <v>39.32</v>
      </c>
      <c r="V10079" s="538">
        <v>1.5</v>
      </c>
    </row>
    <row r="10080" spans="1:22">
      <c r="A10080" s="499">
        <v>45839</v>
      </c>
      <c r="B10080" s="499">
        <v>45839</v>
      </c>
      <c r="C10080" s="500" t="s">
        <v>173</v>
      </c>
      <c r="D10080" s="500" t="s">
        <v>761</v>
      </c>
      <c r="E10080" s="501">
        <v>-3002120.05</v>
      </c>
      <c r="F10080" s="502" t="s">
        <v>878</v>
      </c>
      <c r="G10080" s="100">
        <v>117761746</v>
      </c>
      <c r="H10080" s="530"/>
      <c r="I10080" s="422" t="s">
        <v>817</v>
      </c>
      <c r="J10080" s="484"/>
      <c r="K10080" s="548"/>
      <c r="L10080" s="548"/>
      <c r="M10080" s="548"/>
      <c r="N10080" s="552">
        <v>2874</v>
      </c>
      <c r="R10080" s="539">
        <v>1044.5790013917883</v>
      </c>
      <c r="S10080" s="539">
        <v>1045.0231628392501</v>
      </c>
      <c r="T10080" s="538">
        <v>15.52</v>
      </c>
      <c r="U10080" s="538">
        <v>39.32</v>
      </c>
      <c r="V10080" s="538">
        <v>2.25</v>
      </c>
    </row>
    <row r="10081" spans="1:22">
      <c r="A10081" s="499">
        <v>45839</v>
      </c>
      <c r="B10081" s="499">
        <v>45839</v>
      </c>
      <c r="C10081" s="500" t="s">
        <v>173</v>
      </c>
      <c r="D10081" s="500" t="s">
        <v>761</v>
      </c>
      <c r="E10081" s="501">
        <v>-4002030.6</v>
      </c>
      <c r="F10081" s="502" t="s">
        <v>878</v>
      </c>
      <c r="G10081" s="100">
        <v>117761749</v>
      </c>
      <c r="H10081" s="530"/>
      <c r="I10081" s="422" t="s">
        <v>604</v>
      </c>
      <c r="J10081" s="484"/>
      <c r="K10081" s="548"/>
      <c r="L10081" s="548"/>
      <c r="M10081" s="548"/>
      <c r="N10081" s="552">
        <v>3916</v>
      </c>
      <c r="R10081" s="539">
        <v>1021.9689989785496</v>
      </c>
      <c r="S10081" s="539">
        <v>1022.40354698672</v>
      </c>
      <c r="T10081" s="538">
        <v>15.52</v>
      </c>
      <c r="U10081" s="538">
        <v>39.32</v>
      </c>
      <c r="V10081" s="538">
        <v>3</v>
      </c>
    </row>
    <row r="10082" spans="1:22">
      <c r="A10082" s="499">
        <v>45839</v>
      </c>
      <c r="B10082" s="499">
        <v>45839</v>
      </c>
      <c r="C10082" s="500" t="s">
        <v>173</v>
      </c>
      <c r="D10082" s="500" t="s">
        <v>761</v>
      </c>
      <c r="E10082" s="501">
        <v>-4002439.41</v>
      </c>
      <c r="F10082" s="502" t="s">
        <v>878</v>
      </c>
      <c r="G10082" s="100">
        <v>117761752</v>
      </c>
      <c r="H10082" s="530"/>
      <c r="I10082" s="422" t="s">
        <v>706</v>
      </c>
      <c r="J10082" s="484"/>
      <c r="K10082" s="548"/>
      <c r="L10082" s="548"/>
      <c r="M10082" s="548"/>
      <c r="N10082" s="552">
        <v>5104</v>
      </c>
      <c r="R10082" s="539">
        <v>784.17700039184956</v>
      </c>
      <c r="S10082" s="539">
        <v>784.51043691222606</v>
      </c>
      <c r="T10082" s="538">
        <v>15.52</v>
      </c>
      <c r="U10082" s="538">
        <v>39.32</v>
      </c>
      <c r="V10082" s="538">
        <v>3</v>
      </c>
    </row>
    <row r="10083" spans="1:22">
      <c r="A10083" s="499">
        <v>45839</v>
      </c>
      <c r="B10083" s="499">
        <v>45839</v>
      </c>
      <c r="C10083" s="500" t="s">
        <v>173</v>
      </c>
      <c r="D10083" s="500" t="s">
        <v>761</v>
      </c>
      <c r="E10083" s="501">
        <v>-5004902</v>
      </c>
      <c r="F10083" s="502" t="s">
        <v>878</v>
      </c>
      <c r="G10083" s="100">
        <v>117761755</v>
      </c>
      <c r="H10083" s="530"/>
      <c r="I10083" s="422" t="s">
        <v>596</v>
      </c>
      <c r="J10083" s="484"/>
      <c r="K10083" s="548"/>
      <c r="L10083" s="548"/>
      <c r="M10083" s="548"/>
      <c r="N10083" s="552">
        <v>4760</v>
      </c>
      <c r="R10083" s="539">
        <v>1051.45</v>
      </c>
      <c r="S10083" s="539">
        <v>1051.8970819327701</v>
      </c>
      <c r="T10083" s="538">
        <v>15.52</v>
      </c>
      <c r="U10083" s="538">
        <v>39.32</v>
      </c>
      <c r="V10083" s="538">
        <v>3.75</v>
      </c>
    </row>
    <row r="10084" spans="1:22">
      <c r="A10084" s="499">
        <v>45839</v>
      </c>
      <c r="B10084" s="499">
        <v>45839</v>
      </c>
      <c r="C10084" s="500" t="s">
        <v>173</v>
      </c>
      <c r="D10084" s="500" t="s">
        <v>761</v>
      </c>
      <c r="E10084" s="501">
        <v>-5000189.4000000004</v>
      </c>
      <c r="F10084" s="502" t="s">
        <v>878</v>
      </c>
      <c r="G10084" s="100">
        <v>117761758</v>
      </c>
      <c r="H10084" s="530"/>
      <c r="I10084" s="422" t="s">
        <v>674</v>
      </c>
      <c r="J10084" s="484"/>
      <c r="K10084" s="548"/>
      <c r="L10084" s="548"/>
      <c r="M10084" s="548"/>
      <c r="N10084" s="552">
        <v>5400</v>
      </c>
      <c r="R10084" s="539">
        <v>925.96100000000001</v>
      </c>
      <c r="S10084" s="539">
        <v>926.35472407407406</v>
      </c>
      <c r="T10084" s="538">
        <v>15.52</v>
      </c>
      <c r="U10084" s="538">
        <v>39.32</v>
      </c>
      <c r="V10084" s="538">
        <v>3.75</v>
      </c>
    </row>
    <row r="10085" spans="1:22">
      <c r="A10085" s="499">
        <v>45839</v>
      </c>
      <c r="B10085" s="499">
        <v>45839</v>
      </c>
      <c r="C10085" s="500" t="s">
        <v>173</v>
      </c>
      <c r="D10085" s="500" t="s">
        <v>761</v>
      </c>
      <c r="E10085" s="501">
        <v>-6004411.6699999999</v>
      </c>
      <c r="F10085" s="502" t="s">
        <v>878</v>
      </c>
      <c r="G10085" s="100">
        <v>117761761</v>
      </c>
      <c r="H10085" s="530"/>
      <c r="I10085" s="422" t="s">
        <v>600</v>
      </c>
      <c r="J10085" s="484"/>
      <c r="K10085" s="548"/>
      <c r="L10085" s="548"/>
      <c r="M10085" s="548"/>
      <c r="N10085" s="552">
        <v>6198</v>
      </c>
      <c r="R10085" s="539">
        <v>968.7660003226847</v>
      </c>
      <c r="S10085" s="539">
        <v>969.17792513714096</v>
      </c>
      <c r="T10085" s="538">
        <v>15.52</v>
      </c>
      <c r="U10085" s="538">
        <v>39.32</v>
      </c>
      <c r="V10085" s="538">
        <v>4.5</v>
      </c>
    </row>
    <row r="10086" spans="1:22">
      <c r="A10086" s="499">
        <v>45839</v>
      </c>
      <c r="B10086" s="499">
        <v>45839</v>
      </c>
      <c r="C10086" s="500" t="s">
        <v>173</v>
      </c>
      <c r="D10086" s="500" t="s">
        <v>761</v>
      </c>
      <c r="E10086" s="501">
        <v>-6001964.1699999999</v>
      </c>
      <c r="F10086" s="502" t="s">
        <v>878</v>
      </c>
      <c r="G10086" s="100">
        <v>117761764</v>
      </c>
      <c r="H10086" s="530"/>
      <c r="I10086" s="422" t="s">
        <v>676</v>
      </c>
      <c r="J10086" s="484"/>
      <c r="K10086" s="548"/>
      <c r="L10086" s="548"/>
      <c r="M10086" s="548"/>
      <c r="N10086" s="552">
        <v>6348</v>
      </c>
      <c r="R10086" s="539">
        <v>945.48899968494015</v>
      </c>
      <c r="S10086" s="539">
        <v>945.89102709514805</v>
      </c>
      <c r="T10086" s="538">
        <v>15.52</v>
      </c>
      <c r="U10086" s="538">
        <v>39.32</v>
      </c>
      <c r="V10086" s="538">
        <v>4.5</v>
      </c>
    </row>
    <row r="10087" spans="1:22">
      <c r="A10087" s="499">
        <v>45839</v>
      </c>
      <c r="B10087" s="499">
        <v>45839</v>
      </c>
      <c r="C10087" s="500" t="s">
        <v>173</v>
      </c>
      <c r="D10087" s="500" t="s">
        <v>761</v>
      </c>
      <c r="E10087" s="501">
        <v>-6002361.79</v>
      </c>
      <c r="F10087" s="502" t="s">
        <v>878</v>
      </c>
      <c r="G10087" s="100">
        <v>117761767</v>
      </c>
      <c r="H10087" s="530"/>
      <c r="I10087" s="422" t="s">
        <v>695</v>
      </c>
      <c r="J10087" s="484"/>
      <c r="K10087" s="548"/>
      <c r="L10087" s="548"/>
      <c r="M10087" s="548"/>
      <c r="N10087" s="552">
        <v>7908</v>
      </c>
      <c r="R10087" s="539">
        <v>759.02399974709158</v>
      </c>
      <c r="S10087" s="539">
        <v>759.34674127465905</v>
      </c>
      <c r="T10087" s="538">
        <v>15.52</v>
      </c>
      <c r="U10087" s="538">
        <v>39.32</v>
      </c>
      <c r="V10087" s="538">
        <v>4.5</v>
      </c>
    </row>
    <row r="10088" spans="1:22">
      <c r="A10088" s="499">
        <v>45839</v>
      </c>
      <c r="B10088" s="499">
        <v>45839</v>
      </c>
      <c r="C10088" s="500" t="s">
        <v>173</v>
      </c>
      <c r="D10088" s="500" t="s">
        <v>761</v>
      </c>
      <c r="E10088" s="501">
        <v>-7003671.8200000003</v>
      </c>
      <c r="F10088" s="502" t="s">
        <v>878</v>
      </c>
      <c r="G10088" s="100">
        <v>117761770</v>
      </c>
      <c r="H10088" s="530"/>
      <c r="I10088" s="422" t="s">
        <v>696</v>
      </c>
      <c r="J10088" s="484"/>
      <c r="K10088" s="548"/>
      <c r="L10088" s="548"/>
      <c r="M10088" s="548"/>
      <c r="N10088" s="552">
        <v>8449</v>
      </c>
      <c r="R10088" s="539">
        <v>828.93500059178609</v>
      </c>
      <c r="S10088" s="539">
        <v>829.28746833944899</v>
      </c>
      <c r="T10088" s="538">
        <v>15.52</v>
      </c>
      <c r="U10088" s="538">
        <v>39.32</v>
      </c>
      <c r="V10088" s="538">
        <v>5.25</v>
      </c>
    </row>
    <row r="10089" spans="1:22">
      <c r="A10089" s="499">
        <v>45839</v>
      </c>
      <c r="B10089" s="499">
        <v>45839</v>
      </c>
      <c r="C10089" s="500" t="s">
        <v>173</v>
      </c>
      <c r="D10089" s="500" t="s">
        <v>761</v>
      </c>
      <c r="E10089" s="501">
        <v>-7002768.6500000004</v>
      </c>
      <c r="F10089" s="502" t="s">
        <v>878</v>
      </c>
      <c r="G10089" s="100">
        <v>117761773</v>
      </c>
      <c r="H10089" s="530"/>
      <c r="I10089" s="422" t="s">
        <v>550</v>
      </c>
      <c r="J10089" s="484"/>
      <c r="K10089" s="548"/>
      <c r="L10089" s="548"/>
      <c r="M10089" s="548"/>
      <c r="N10089" s="552">
        <v>13230</v>
      </c>
      <c r="R10089" s="539">
        <v>529.3097996976569</v>
      </c>
      <c r="S10089" s="539">
        <v>529.53486545729402</v>
      </c>
      <c r="T10089" s="538">
        <v>15.52</v>
      </c>
      <c r="U10089" s="538">
        <v>39.32</v>
      </c>
      <c r="V10089" s="538">
        <v>5.25</v>
      </c>
    </row>
    <row r="10090" spans="1:22">
      <c r="A10090" s="499">
        <v>45839</v>
      </c>
      <c r="B10090" s="499">
        <v>45839</v>
      </c>
      <c r="C10090" s="500" t="s">
        <v>173</v>
      </c>
      <c r="D10090" s="500" t="s">
        <v>761</v>
      </c>
      <c r="E10090" s="501">
        <v>-8000303.04</v>
      </c>
      <c r="F10090" s="502" t="s">
        <v>878</v>
      </c>
      <c r="G10090" s="100">
        <v>117761776</v>
      </c>
      <c r="H10090" s="530"/>
      <c r="I10090" s="422" t="s">
        <v>674</v>
      </c>
      <c r="J10090" s="484"/>
      <c r="K10090" s="548"/>
      <c r="L10090" s="548"/>
      <c r="M10090" s="548"/>
      <c r="N10090" s="552">
        <v>8640</v>
      </c>
      <c r="R10090" s="539">
        <v>925.96100000000001</v>
      </c>
      <c r="S10090" s="539">
        <v>926.35472337962995</v>
      </c>
      <c r="T10090" s="538">
        <v>15.52</v>
      </c>
      <c r="U10090" s="538">
        <v>39.32</v>
      </c>
      <c r="V10090" s="538">
        <v>6</v>
      </c>
    </row>
    <row r="10091" spans="1:22">
      <c r="A10091" s="499">
        <v>45839</v>
      </c>
      <c r="B10091" s="499">
        <v>45839</v>
      </c>
      <c r="C10091" s="500" t="s">
        <v>173</v>
      </c>
      <c r="D10091" s="500" t="s">
        <v>761</v>
      </c>
      <c r="E10091" s="501">
        <v>-8000303.04</v>
      </c>
      <c r="F10091" s="502" t="s">
        <v>878</v>
      </c>
      <c r="G10091" s="100">
        <v>117761779</v>
      </c>
      <c r="H10091" s="530"/>
      <c r="I10091" s="422" t="s">
        <v>674</v>
      </c>
      <c r="J10091" s="484"/>
      <c r="K10091" s="548"/>
      <c r="L10091" s="548"/>
      <c r="M10091" s="548"/>
      <c r="N10091" s="552">
        <v>8640</v>
      </c>
      <c r="R10091" s="539">
        <v>925.96100000000001</v>
      </c>
      <c r="S10091" s="539">
        <v>926.35472337962995</v>
      </c>
      <c r="T10091" s="538">
        <v>15.52</v>
      </c>
      <c r="U10091" s="538">
        <v>39.32</v>
      </c>
      <c r="V10091" s="538">
        <v>6</v>
      </c>
    </row>
    <row r="10092" spans="1:22">
      <c r="A10092" s="499">
        <v>45839</v>
      </c>
      <c r="B10092" s="499">
        <v>45839</v>
      </c>
      <c r="C10092" s="500" t="s">
        <v>173</v>
      </c>
      <c r="D10092" s="500" t="s">
        <v>761</v>
      </c>
      <c r="E10092" s="501">
        <v>-8000653.3200000003</v>
      </c>
      <c r="F10092" s="502" t="s">
        <v>878</v>
      </c>
      <c r="G10092" s="100">
        <v>117761782</v>
      </c>
      <c r="H10092" s="530"/>
      <c r="I10092" s="422" t="s">
        <v>588</v>
      </c>
      <c r="J10092" s="484"/>
      <c r="K10092" s="548"/>
      <c r="L10092" s="548"/>
      <c r="M10092" s="548"/>
      <c r="N10092" s="552">
        <v>7368</v>
      </c>
      <c r="R10092" s="539">
        <v>1085.865</v>
      </c>
      <c r="S10092" s="539">
        <v>1086.3267155266001</v>
      </c>
      <c r="T10092" s="538">
        <v>15.52</v>
      </c>
      <c r="U10092" s="538">
        <v>39.32</v>
      </c>
      <c r="V10092" s="538">
        <v>6</v>
      </c>
    </row>
    <row r="10093" spans="1:22">
      <c r="A10093" s="499">
        <v>45839</v>
      </c>
      <c r="B10093" s="499">
        <v>45839</v>
      </c>
      <c r="C10093" s="500" t="s">
        <v>173</v>
      </c>
      <c r="D10093" s="500" t="s">
        <v>761</v>
      </c>
      <c r="E10093" s="501">
        <v>-10005076.51</v>
      </c>
      <c r="F10093" s="502" t="s">
        <v>878</v>
      </c>
      <c r="G10093" s="100">
        <v>117761785</v>
      </c>
      <c r="H10093" s="530"/>
      <c r="I10093" s="422" t="s">
        <v>604</v>
      </c>
      <c r="J10093" s="484"/>
      <c r="K10093" s="548"/>
      <c r="L10093" s="548"/>
      <c r="M10093" s="548"/>
      <c r="N10093" s="552">
        <v>9790</v>
      </c>
      <c r="R10093" s="539">
        <v>1021.9689999999999</v>
      </c>
      <c r="S10093" s="539">
        <v>1022.403546476</v>
      </c>
      <c r="T10093" s="538">
        <v>15.52</v>
      </c>
      <c r="U10093" s="538">
        <v>39.32</v>
      </c>
      <c r="V10093" s="538">
        <v>7.5</v>
      </c>
    </row>
    <row r="10094" spans="1:22">
      <c r="A10094" s="499">
        <v>45839</v>
      </c>
      <c r="B10094" s="499">
        <v>45839</v>
      </c>
      <c r="C10094" s="500" t="s">
        <v>173</v>
      </c>
      <c r="D10094" s="500" t="s">
        <v>761</v>
      </c>
      <c r="E10094" s="501">
        <v>-10009818.42</v>
      </c>
      <c r="F10094" s="502" t="s">
        <v>878</v>
      </c>
      <c r="G10094" s="100">
        <v>117761788</v>
      </c>
      <c r="H10094" s="530"/>
      <c r="I10094" s="422" t="s">
        <v>816</v>
      </c>
      <c r="J10094" s="484"/>
      <c r="K10094" s="548"/>
      <c r="L10094" s="548"/>
      <c r="M10094" s="548"/>
      <c r="N10094" s="552">
        <v>9870</v>
      </c>
      <c r="R10094" s="539">
        <v>1014.1659999999999</v>
      </c>
      <c r="S10094" s="539">
        <v>1014.5972289767</v>
      </c>
      <c r="T10094" s="538">
        <v>15.52</v>
      </c>
      <c r="U10094" s="538">
        <v>39.32</v>
      </c>
      <c r="V10094" s="538">
        <v>7.51</v>
      </c>
    </row>
    <row r="10095" spans="1:22">
      <c r="A10095" s="499">
        <v>45839</v>
      </c>
      <c r="B10095" s="499">
        <v>45839</v>
      </c>
      <c r="C10095" s="500" t="s">
        <v>173</v>
      </c>
      <c r="D10095" s="500" t="s">
        <v>761</v>
      </c>
      <c r="E10095" s="501">
        <v>-10008105.300000001</v>
      </c>
      <c r="F10095" s="502" t="s">
        <v>878</v>
      </c>
      <c r="G10095" s="100">
        <v>117761791</v>
      </c>
      <c r="H10095" s="530"/>
      <c r="I10095" s="422" t="s">
        <v>709</v>
      </c>
      <c r="J10095" s="484"/>
      <c r="K10095" s="548"/>
      <c r="L10095" s="548"/>
      <c r="M10095" s="548"/>
      <c r="N10095" s="552">
        <v>10980</v>
      </c>
      <c r="R10095" s="539">
        <v>911.48500000000001</v>
      </c>
      <c r="S10095" s="539">
        <v>911.87256830601098</v>
      </c>
      <c r="T10095" s="538">
        <v>15.52</v>
      </c>
      <c r="U10095" s="538">
        <v>39.32</v>
      </c>
      <c r="V10095" s="538">
        <v>7.51</v>
      </c>
    </row>
    <row r="10096" spans="1:22">
      <c r="A10096" s="499">
        <v>45839</v>
      </c>
      <c r="B10096" s="499">
        <v>45839</v>
      </c>
      <c r="C10096" s="500" t="s">
        <v>173</v>
      </c>
      <c r="D10096" s="500" t="s">
        <v>761</v>
      </c>
      <c r="E10096" s="501">
        <v>-15014727.630000001</v>
      </c>
      <c r="F10096" s="502" t="s">
        <v>878</v>
      </c>
      <c r="G10096" s="100">
        <v>117761794</v>
      </c>
      <c r="H10096" s="530"/>
      <c r="I10096" s="422" t="s">
        <v>816</v>
      </c>
      <c r="J10096" s="484"/>
      <c r="K10096" s="548"/>
      <c r="L10096" s="548"/>
      <c r="M10096" s="548"/>
      <c r="N10096" s="552">
        <v>14805</v>
      </c>
      <c r="R10096" s="539">
        <v>1014.1660000000001</v>
      </c>
      <c r="S10096" s="539">
        <v>1014.59722863897</v>
      </c>
      <c r="T10096" s="538">
        <v>15.52</v>
      </c>
      <c r="U10096" s="538">
        <v>39.32</v>
      </c>
      <c r="V10096" s="538">
        <v>11.26</v>
      </c>
    </row>
    <row r="10097" spans="1:22">
      <c r="A10097" s="499">
        <v>45839</v>
      </c>
      <c r="B10097" s="499">
        <v>45839</v>
      </c>
      <c r="C10097" s="500" t="s">
        <v>173</v>
      </c>
      <c r="D10097" s="500" t="s">
        <v>761</v>
      </c>
      <c r="E10097" s="501">
        <v>-15014641.82</v>
      </c>
      <c r="F10097" s="502" t="s">
        <v>878</v>
      </c>
      <c r="G10097" s="100">
        <v>117761797</v>
      </c>
      <c r="H10097" s="530"/>
      <c r="I10097" s="422" t="s">
        <v>819</v>
      </c>
      <c r="J10097" s="484"/>
      <c r="K10097" s="548"/>
      <c r="L10097" s="548"/>
      <c r="M10097" s="548"/>
      <c r="N10097" s="552">
        <v>14745</v>
      </c>
      <c r="R10097" s="539">
        <v>1018.287000339098</v>
      </c>
      <c r="S10097" s="539">
        <v>1018.71998168871</v>
      </c>
      <c r="T10097" s="538">
        <v>15.52</v>
      </c>
      <c r="U10097" s="538">
        <v>39.32</v>
      </c>
      <c r="V10097" s="538">
        <v>11.26</v>
      </c>
    </row>
    <row r="10098" spans="1:22">
      <c r="A10098" s="499">
        <v>45839</v>
      </c>
      <c r="B10098" s="499">
        <v>45839</v>
      </c>
      <c r="C10098" s="500" t="s">
        <v>173</v>
      </c>
      <c r="D10098" s="500" t="s">
        <v>761</v>
      </c>
      <c r="E10098" s="501">
        <v>-16015709.470000001</v>
      </c>
      <c r="F10098" s="502" t="s">
        <v>878</v>
      </c>
      <c r="G10098" s="100">
        <v>117761800</v>
      </c>
      <c r="H10098" s="530"/>
      <c r="I10098" s="422" t="s">
        <v>816</v>
      </c>
      <c r="J10098" s="484"/>
      <c r="K10098" s="548"/>
      <c r="L10098" s="548"/>
      <c r="M10098" s="548"/>
      <c r="N10098" s="552">
        <v>15792</v>
      </c>
      <c r="R10098" s="539">
        <v>1014.1659998733536</v>
      </c>
      <c r="S10098" s="539">
        <v>1014.5972289767</v>
      </c>
      <c r="T10098" s="538">
        <v>15.52</v>
      </c>
      <c r="U10098" s="538">
        <v>39.32</v>
      </c>
      <c r="V10098" s="538">
        <v>12.01</v>
      </c>
    </row>
    <row r="10099" spans="1:22">
      <c r="A10099" s="499">
        <v>45839</v>
      </c>
      <c r="B10099" s="499">
        <v>45839</v>
      </c>
      <c r="C10099" s="500" t="s">
        <v>173</v>
      </c>
      <c r="D10099" s="500" t="s">
        <v>761</v>
      </c>
      <c r="E10099" s="501">
        <v>-17000643.960000001</v>
      </c>
      <c r="F10099" s="502" t="s">
        <v>878</v>
      </c>
      <c r="G10099" s="100">
        <v>117761803</v>
      </c>
      <c r="H10099" s="530"/>
      <c r="I10099" s="422" t="s">
        <v>674</v>
      </c>
      <c r="J10099" s="484"/>
      <c r="K10099" s="548"/>
      <c r="L10099" s="548"/>
      <c r="M10099" s="548"/>
      <c r="N10099" s="552">
        <v>18360</v>
      </c>
      <c r="R10099" s="539">
        <v>925.96100000000001</v>
      </c>
      <c r="S10099" s="539">
        <v>926.35472385620903</v>
      </c>
      <c r="T10099" s="538">
        <v>15.52</v>
      </c>
      <c r="U10099" s="538">
        <v>39.32</v>
      </c>
      <c r="V10099" s="538">
        <v>12.75</v>
      </c>
    </row>
    <row r="10100" spans="1:22">
      <c r="A10100" s="499">
        <v>45839</v>
      </c>
      <c r="B10100" s="499">
        <v>45839</v>
      </c>
      <c r="C10100" s="500" t="s">
        <v>173</v>
      </c>
      <c r="D10100" s="500" t="s">
        <v>761</v>
      </c>
      <c r="E10100" s="501">
        <v>-18005892.52</v>
      </c>
      <c r="F10100" s="502" t="s">
        <v>878</v>
      </c>
      <c r="G10100" s="100">
        <v>117761806</v>
      </c>
      <c r="H10100" s="530"/>
      <c r="I10100" s="422" t="s">
        <v>676</v>
      </c>
      <c r="J10100" s="484"/>
      <c r="K10100" s="548"/>
      <c r="L10100" s="548"/>
      <c r="M10100" s="548"/>
      <c r="N10100" s="552">
        <v>19044</v>
      </c>
      <c r="R10100" s="539">
        <v>945.48900021003988</v>
      </c>
      <c r="S10100" s="539">
        <v>945.89102709514805</v>
      </c>
      <c r="T10100" s="538">
        <v>15.52</v>
      </c>
      <c r="U10100" s="538">
        <v>39.32</v>
      </c>
      <c r="V10100" s="538">
        <v>13.5</v>
      </c>
    </row>
    <row r="10101" spans="1:22">
      <c r="A10101" s="499">
        <v>45839</v>
      </c>
      <c r="B10101" s="499">
        <v>45839</v>
      </c>
      <c r="C10101" s="500" t="s">
        <v>173</v>
      </c>
      <c r="D10101" s="500" t="s">
        <v>761</v>
      </c>
      <c r="E10101" s="501">
        <v>-20012543.52</v>
      </c>
      <c r="F10101" s="502" t="s">
        <v>878</v>
      </c>
      <c r="G10101" s="100">
        <v>117761809</v>
      </c>
      <c r="H10101" s="530"/>
      <c r="I10101" s="422" t="s">
        <v>602</v>
      </c>
      <c r="J10101" s="484"/>
      <c r="K10101" s="548"/>
      <c r="L10101" s="548"/>
      <c r="M10101" s="548"/>
      <c r="N10101" s="552">
        <v>21920</v>
      </c>
      <c r="R10101" s="539">
        <v>912.98099999999999</v>
      </c>
      <c r="S10101" s="539">
        <v>913.36920437956201</v>
      </c>
      <c r="T10101" s="538">
        <v>15.52</v>
      </c>
      <c r="U10101" s="538">
        <v>39.32</v>
      </c>
      <c r="V10101" s="538">
        <v>15.01</v>
      </c>
    </row>
    <row r="10102" spans="1:22">
      <c r="A10102" s="499">
        <v>45839</v>
      </c>
      <c r="B10102" s="499">
        <v>45839</v>
      </c>
      <c r="C10102" s="500" t="s">
        <v>173</v>
      </c>
      <c r="D10102" s="500" t="s">
        <v>761</v>
      </c>
      <c r="E10102" s="501">
        <v>-20012487.879999999</v>
      </c>
      <c r="F10102" s="502" t="s">
        <v>878</v>
      </c>
      <c r="G10102" s="100">
        <v>117761812</v>
      </c>
      <c r="H10102" s="530"/>
      <c r="I10102" s="422" t="s">
        <v>689</v>
      </c>
      <c r="J10102" s="484"/>
      <c r="K10102" s="548"/>
      <c r="L10102" s="548"/>
      <c r="M10102" s="548"/>
      <c r="N10102" s="552">
        <v>21560</v>
      </c>
      <c r="R10102" s="539">
        <v>928.22299999999996</v>
      </c>
      <c r="S10102" s="539">
        <v>928.61768552875697</v>
      </c>
      <c r="T10102" s="538">
        <v>15.52</v>
      </c>
      <c r="U10102" s="538">
        <v>39.32</v>
      </c>
      <c r="V10102" s="538">
        <v>15.01</v>
      </c>
    </row>
    <row r="10103" spans="1:22">
      <c r="A10103" s="499">
        <v>45839</v>
      </c>
      <c r="B10103" s="499">
        <v>45839</v>
      </c>
      <c r="C10103" s="500" t="s">
        <v>173</v>
      </c>
      <c r="D10103" s="500" t="s">
        <v>761</v>
      </c>
      <c r="E10103" s="501">
        <v>-20002240.800000001</v>
      </c>
      <c r="F10103" s="502" t="s">
        <v>878</v>
      </c>
      <c r="G10103" s="100">
        <v>117761815</v>
      </c>
      <c r="H10103" s="530"/>
      <c r="I10103" s="422" t="s">
        <v>657</v>
      </c>
      <c r="J10103" s="484"/>
      <c r="K10103" s="548"/>
      <c r="L10103" s="548"/>
      <c r="M10103" s="548"/>
      <c r="N10103" s="552">
        <v>20400</v>
      </c>
      <c r="R10103" s="539">
        <v>980.50200000000007</v>
      </c>
      <c r="S10103" s="539">
        <v>980.918914705882</v>
      </c>
      <c r="T10103" s="538">
        <v>15.52</v>
      </c>
      <c r="U10103" s="538">
        <v>39.32</v>
      </c>
      <c r="V10103" s="538">
        <v>15</v>
      </c>
    </row>
    <row r="10104" spans="1:22">
      <c r="A10104" s="499">
        <v>45839</v>
      </c>
      <c r="B10104" s="499">
        <v>45839</v>
      </c>
      <c r="C10104" s="500" t="s">
        <v>173</v>
      </c>
      <c r="D10104" s="500" t="s">
        <v>761</v>
      </c>
      <c r="E10104" s="501">
        <v>-23001878.300000001</v>
      </c>
      <c r="F10104" s="502" t="s">
        <v>878</v>
      </c>
      <c r="G10104" s="100">
        <v>117761818</v>
      </c>
      <c r="H10104" s="530"/>
      <c r="I10104" s="422" t="s">
        <v>588</v>
      </c>
      <c r="J10104" s="484"/>
      <c r="K10104" s="548"/>
      <c r="L10104" s="548"/>
      <c r="M10104" s="548"/>
      <c r="N10104" s="552">
        <v>21183</v>
      </c>
      <c r="R10104" s="539">
        <v>1085.8650002360384</v>
      </c>
      <c r="S10104" s="539">
        <v>1086.3267157626401</v>
      </c>
      <c r="T10104" s="538">
        <v>15.52</v>
      </c>
      <c r="U10104" s="538">
        <v>39.32</v>
      </c>
      <c r="V10104" s="538">
        <v>17.25</v>
      </c>
    </row>
    <row r="10105" spans="1:22">
      <c r="A10105" s="499">
        <v>45839</v>
      </c>
      <c r="B10105" s="499">
        <v>45839</v>
      </c>
      <c r="C10105" s="500" t="s">
        <v>173</v>
      </c>
      <c r="D10105" s="500" t="s">
        <v>761</v>
      </c>
      <c r="E10105" s="501">
        <v>-23005109.68</v>
      </c>
      <c r="F10105" s="502" t="s">
        <v>878</v>
      </c>
      <c r="G10105" s="100">
        <v>117761821</v>
      </c>
      <c r="H10105" s="530"/>
      <c r="I10105" s="422" t="s">
        <v>717</v>
      </c>
      <c r="J10105" s="484"/>
      <c r="K10105" s="548"/>
      <c r="L10105" s="548"/>
      <c r="M10105" s="548"/>
      <c r="N10105" s="552">
        <v>36340</v>
      </c>
      <c r="R10105" s="539">
        <v>633.05200000000002</v>
      </c>
      <c r="S10105" s="539">
        <v>633.32117721519</v>
      </c>
      <c r="T10105" s="538">
        <v>15.52</v>
      </c>
      <c r="U10105" s="538">
        <v>39.32</v>
      </c>
      <c r="V10105" s="538">
        <v>17.25</v>
      </c>
    </row>
    <row r="10106" spans="1:22">
      <c r="A10106" s="499">
        <v>45839</v>
      </c>
      <c r="B10106" s="499">
        <v>45839</v>
      </c>
      <c r="C10106" s="500" t="s">
        <v>173</v>
      </c>
      <c r="D10106" s="500" t="s">
        <v>761</v>
      </c>
      <c r="E10106" s="501">
        <v>-23001311.370000001</v>
      </c>
      <c r="F10106" s="502" t="s">
        <v>878</v>
      </c>
      <c r="G10106" s="100">
        <v>117761824</v>
      </c>
      <c r="H10106" s="530"/>
      <c r="I10106" s="422" t="s">
        <v>824</v>
      </c>
      <c r="J10106" s="484"/>
      <c r="K10106" s="548"/>
      <c r="L10106" s="548"/>
      <c r="M10106" s="548"/>
      <c r="N10106" s="552">
        <v>22586</v>
      </c>
      <c r="R10106" s="539">
        <v>1018.3880000885505</v>
      </c>
      <c r="S10106" s="539">
        <v>1018.82102408572</v>
      </c>
      <c r="T10106" s="538">
        <v>15.52</v>
      </c>
      <c r="U10106" s="538">
        <v>39.32</v>
      </c>
      <c r="V10106" s="538">
        <v>17.25</v>
      </c>
    </row>
    <row r="10107" spans="1:22">
      <c r="A10107" s="499">
        <v>45839</v>
      </c>
      <c r="B10107" s="499">
        <v>45839</v>
      </c>
      <c r="C10107" s="500" t="s">
        <v>173</v>
      </c>
      <c r="D10107" s="500" t="s">
        <v>761</v>
      </c>
      <c r="E10107" s="501">
        <v>-24021729.07</v>
      </c>
      <c r="F10107" s="502" t="s">
        <v>878</v>
      </c>
      <c r="G10107" s="100">
        <v>117761827</v>
      </c>
      <c r="H10107" s="530"/>
      <c r="I10107" s="422" t="s">
        <v>590</v>
      </c>
      <c r="J10107" s="484"/>
      <c r="K10107" s="548"/>
      <c r="L10107" s="548"/>
      <c r="M10107" s="548"/>
      <c r="N10107" s="552">
        <v>25416</v>
      </c>
      <c r="R10107" s="539">
        <v>945.14199992130943</v>
      </c>
      <c r="S10107" s="539">
        <v>945.54387944601797</v>
      </c>
      <c r="T10107" s="538">
        <v>15.52</v>
      </c>
      <c r="U10107" s="538">
        <v>39.32</v>
      </c>
      <c r="V10107" s="538">
        <v>18.02</v>
      </c>
    </row>
    <row r="10108" spans="1:22">
      <c r="A10108" s="499">
        <v>45839</v>
      </c>
      <c r="B10108" s="499">
        <v>45839</v>
      </c>
      <c r="C10108" s="500" t="s">
        <v>173</v>
      </c>
      <c r="D10108" s="500" t="s">
        <v>761</v>
      </c>
      <c r="E10108" s="501">
        <v>-24009447.170000002</v>
      </c>
      <c r="F10108" s="502" t="s">
        <v>878</v>
      </c>
      <c r="G10108" s="100">
        <v>117761830</v>
      </c>
      <c r="H10108" s="530"/>
      <c r="I10108" s="422" t="s">
        <v>695</v>
      </c>
      <c r="J10108" s="484"/>
      <c r="K10108" s="548"/>
      <c r="L10108" s="548"/>
      <c r="M10108" s="548"/>
      <c r="N10108" s="552">
        <v>31632</v>
      </c>
      <c r="R10108" s="539">
        <v>759.02400006322716</v>
      </c>
      <c r="S10108" s="539">
        <v>759.34674127465905</v>
      </c>
      <c r="T10108" s="538">
        <v>15.52</v>
      </c>
      <c r="U10108" s="538">
        <v>39.32</v>
      </c>
      <c r="V10108" s="538">
        <v>18.010000000000002</v>
      </c>
    </row>
    <row r="10109" spans="1:22">
      <c r="A10109" s="499">
        <v>45839</v>
      </c>
      <c r="B10109" s="499">
        <v>45839</v>
      </c>
      <c r="C10109" s="500" t="s">
        <v>173</v>
      </c>
      <c r="D10109" s="500" t="s">
        <v>761</v>
      </c>
      <c r="E10109" s="501">
        <v>-25024510</v>
      </c>
      <c r="F10109" s="502" t="s">
        <v>878</v>
      </c>
      <c r="G10109" s="100">
        <v>117761833</v>
      </c>
      <c r="H10109" s="530"/>
      <c r="I10109" s="422" t="s">
        <v>596</v>
      </c>
      <c r="J10109" s="484"/>
      <c r="K10109" s="548"/>
      <c r="L10109" s="548"/>
      <c r="M10109" s="548"/>
      <c r="N10109" s="552">
        <v>23800</v>
      </c>
      <c r="R10109" s="539">
        <v>1051.45</v>
      </c>
      <c r="S10109" s="539">
        <v>1051.8970823529401</v>
      </c>
      <c r="T10109" s="538">
        <v>15.52</v>
      </c>
      <c r="U10109" s="538">
        <v>39.32</v>
      </c>
      <c r="V10109" s="538">
        <v>18.77</v>
      </c>
    </row>
    <row r="10110" spans="1:22">
      <c r="A10110" s="499">
        <v>45839</v>
      </c>
      <c r="B10110" s="499">
        <v>45839</v>
      </c>
      <c r="C10110" s="500" t="s">
        <v>173</v>
      </c>
      <c r="D10110" s="500" t="s">
        <v>761</v>
      </c>
      <c r="E10110" s="501">
        <v>-26024745.5</v>
      </c>
      <c r="F10110" s="502" t="s">
        <v>878</v>
      </c>
      <c r="G10110" s="100">
        <v>117761836</v>
      </c>
      <c r="H10110" s="530"/>
      <c r="I10110" s="422" t="s">
        <v>821</v>
      </c>
      <c r="J10110" s="484"/>
      <c r="K10110" s="548"/>
      <c r="L10110" s="548"/>
      <c r="M10110" s="548"/>
      <c r="N10110" s="552">
        <v>24050</v>
      </c>
      <c r="R10110" s="539">
        <v>1082.1099999999999</v>
      </c>
      <c r="S10110" s="539">
        <v>1082.5701189189199</v>
      </c>
      <c r="T10110" s="538">
        <v>15.52</v>
      </c>
      <c r="U10110" s="538">
        <v>39.32</v>
      </c>
      <c r="V10110" s="538">
        <v>19.52</v>
      </c>
    </row>
    <row r="10111" spans="1:22">
      <c r="A10111" s="499">
        <v>45839</v>
      </c>
      <c r="B10111" s="499">
        <v>45839</v>
      </c>
      <c r="C10111" s="500" t="s">
        <v>173</v>
      </c>
      <c r="D10111" s="500" t="s">
        <v>761</v>
      </c>
      <c r="E10111" s="501">
        <v>-26004523.82</v>
      </c>
      <c r="F10111" s="502" t="s">
        <v>878</v>
      </c>
      <c r="G10111" s="100">
        <v>117761839</v>
      </c>
      <c r="H10111" s="530"/>
      <c r="I10111" s="422" t="s">
        <v>598</v>
      </c>
      <c r="J10111" s="484"/>
      <c r="K10111" s="548"/>
      <c r="L10111" s="548"/>
      <c r="M10111" s="548"/>
      <c r="N10111" s="552">
        <v>25558</v>
      </c>
      <c r="R10111" s="539">
        <v>1017.4710000782534</v>
      </c>
      <c r="S10111" s="539">
        <v>1017.90363447844</v>
      </c>
      <c r="T10111" s="538">
        <v>15.52</v>
      </c>
      <c r="U10111" s="538">
        <v>39.32</v>
      </c>
      <c r="V10111" s="538">
        <v>19.5</v>
      </c>
    </row>
    <row r="10112" spans="1:22">
      <c r="A10112" s="499">
        <v>45839</v>
      </c>
      <c r="B10112" s="499">
        <v>45839</v>
      </c>
      <c r="C10112" s="500" t="s">
        <v>173</v>
      </c>
      <c r="D10112" s="500" t="s">
        <v>761</v>
      </c>
      <c r="E10112" s="501">
        <v>-27014162.719999999</v>
      </c>
      <c r="F10112" s="502" t="s">
        <v>878</v>
      </c>
      <c r="G10112" s="100">
        <v>117761842</v>
      </c>
      <c r="H10112" s="530"/>
      <c r="I10112" s="422" t="s">
        <v>696</v>
      </c>
      <c r="J10112" s="484"/>
      <c r="K10112" s="548"/>
      <c r="L10112" s="548"/>
      <c r="M10112" s="548"/>
      <c r="N10112" s="552">
        <v>32589</v>
      </c>
      <c r="R10112" s="539">
        <v>828.93500015342602</v>
      </c>
      <c r="S10112" s="539">
        <v>829.28746785725195</v>
      </c>
      <c r="T10112" s="538">
        <v>15.52</v>
      </c>
      <c r="U10112" s="538">
        <v>40.520000000000003</v>
      </c>
      <c r="V10112" s="538">
        <v>20.260000000000002</v>
      </c>
    </row>
    <row r="10113" spans="1:22">
      <c r="A10113" s="499">
        <v>45839</v>
      </c>
      <c r="B10113" s="499">
        <v>45839</v>
      </c>
      <c r="C10113" s="500" t="s">
        <v>173</v>
      </c>
      <c r="D10113" s="500" t="s">
        <v>761</v>
      </c>
      <c r="E10113" s="501">
        <v>-28010556</v>
      </c>
      <c r="F10113" s="502" t="s">
        <v>878</v>
      </c>
      <c r="G10113" s="100">
        <v>117761845</v>
      </c>
      <c r="H10113" s="530"/>
      <c r="I10113" s="422" t="s">
        <v>675</v>
      </c>
      <c r="J10113" s="484"/>
      <c r="K10113" s="548"/>
      <c r="L10113" s="548"/>
      <c r="M10113" s="548"/>
      <c r="N10113" s="552">
        <v>30240</v>
      </c>
      <c r="R10113" s="539">
        <v>926.27499999999998</v>
      </c>
      <c r="S10113" s="539">
        <v>926.66885714285695</v>
      </c>
      <c r="T10113" s="538">
        <v>15.52</v>
      </c>
      <c r="U10113" s="538">
        <v>42.02</v>
      </c>
      <c r="V10113" s="538">
        <v>21.01</v>
      </c>
    </row>
    <row r="10114" spans="1:22">
      <c r="A10114" s="499">
        <v>45839</v>
      </c>
      <c r="B10114" s="499">
        <v>45839</v>
      </c>
      <c r="C10114" s="500" t="s">
        <v>173</v>
      </c>
      <c r="D10114" s="500" t="s">
        <v>761</v>
      </c>
      <c r="E10114" s="501">
        <v>-28017075.859999999</v>
      </c>
      <c r="F10114" s="502" t="s">
        <v>878</v>
      </c>
      <c r="G10114" s="100">
        <v>117761848</v>
      </c>
      <c r="H10114" s="530"/>
      <c r="I10114" s="422" t="s">
        <v>706</v>
      </c>
      <c r="J10114" s="484"/>
      <c r="K10114" s="548"/>
      <c r="L10114" s="548"/>
      <c r="M10114" s="548"/>
      <c r="N10114" s="552">
        <v>35728</v>
      </c>
      <c r="R10114" s="539">
        <v>784.177000111957</v>
      </c>
      <c r="S10114" s="539">
        <v>784.51043635244105</v>
      </c>
      <c r="T10114" s="538">
        <v>15.52</v>
      </c>
      <c r="U10114" s="538">
        <v>42.03</v>
      </c>
      <c r="V10114" s="538">
        <v>21.01</v>
      </c>
    </row>
    <row r="10115" spans="1:22">
      <c r="A10115" s="499">
        <v>45839</v>
      </c>
      <c r="B10115" s="499">
        <v>45839</v>
      </c>
      <c r="C10115" s="500" t="s">
        <v>173</v>
      </c>
      <c r="D10115" s="500" t="s">
        <v>761</v>
      </c>
      <c r="E10115" s="501">
        <v>-29005770.300000001</v>
      </c>
      <c r="F10115" s="502" t="s">
        <v>878</v>
      </c>
      <c r="G10115" s="100">
        <v>117761851</v>
      </c>
      <c r="H10115" s="530"/>
      <c r="I10115" s="422" t="s">
        <v>715</v>
      </c>
      <c r="J10115" s="484"/>
      <c r="K10115" s="548"/>
      <c r="L10115" s="548"/>
      <c r="M10115" s="548"/>
      <c r="N10115" s="552">
        <v>37352</v>
      </c>
      <c r="R10115" s="539">
        <v>776.55199989291066</v>
      </c>
      <c r="S10115" s="539">
        <v>776.88219399229001</v>
      </c>
      <c r="T10115" s="538">
        <v>15.52</v>
      </c>
      <c r="U10115" s="538">
        <v>43.51</v>
      </c>
      <c r="V10115" s="538">
        <v>21.75</v>
      </c>
    </row>
    <row r="10116" spans="1:22">
      <c r="A10116" s="499">
        <v>45839</v>
      </c>
      <c r="B10116" s="499">
        <v>45839</v>
      </c>
      <c r="C10116" s="500" t="s">
        <v>173</v>
      </c>
      <c r="D10116" s="500" t="s">
        <v>761</v>
      </c>
      <c r="E10116" s="501">
        <v>-29028307.510000002</v>
      </c>
      <c r="F10116" s="502" t="s">
        <v>878</v>
      </c>
      <c r="G10116" s="100">
        <v>117761854</v>
      </c>
      <c r="H10116" s="530"/>
      <c r="I10116" s="422" t="s">
        <v>819</v>
      </c>
      <c r="J10116" s="484"/>
      <c r="K10116" s="548"/>
      <c r="L10116" s="548"/>
      <c r="M10116" s="548"/>
      <c r="N10116" s="552">
        <v>28507</v>
      </c>
      <c r="R10116" s="539">
        <v>1018.2870000350791</v>
      </c>
      <c r="S10116" s="539">
        <v>1018.71998140808</v>
      </c>
      <c r="T10116" s="538">
        <v>15.52</v>
      </c>
      <c r="U10116" s="538">
        <v>43.54</v>
      </c>
      <c r="V10116" s="538">
        <v>21.77</v>
      </c>
    </row>
    <row r="10117" spans="1:22">
      <c r="A10117" s="499">
        <v>45839</v>
      </c>
      <c r="B10117" s="499">
        <v>45839</v>
      </c>
      <c r="C10117" s="500" t="s">
        <v>173</v>
      </c>
      <c r="D10117" s="500" t="s">
        <v>761</v>
      </c>
      <c r="E10117" s="501">
        <v>-31022105.23</v>
      </c>
      <c r="F10117" s="502" t="s">
        <v>878</v>
      </c>
      <c r="G10117" s="100">
        <v>117761857</v>
      </c>
      <c r="H10117" s="530"/>
      <c r="I10117" s="422" t="s">
        <v>592</v>
      </c>
      <c r="J10117" s="484"/>
      <c r="K10117" s="548"/>
      <c r="L10117" s="548"/>
      <c r="M10117" s="548"/>
      <c r="N10117" s="552">
        <v>33232</v>
      </c>
      <c r="R10117" s="539">
        <v>933.50099993981701</v>
      </c>
      <c r="S10117" s="539">
        <v>933.89792970630697</v>
      </c>
      <c r="T10117" s="538">
        <v>15.52</v>
      </c>
      <c r="U10117" s="538">
        <v>46.53</v>
      </c>
      <c r="V10117" s="538">
        <v>23.27</v>
      </c>
    </row>
    <row r="10118" spans="1:22">
      <c r="A10118" s="499">
        <v>45839</v>
      </c>
      <c r="B10118" s="499">
        <v>45839</v>
      </c>
      <c r="C10118" s="500" t="s">
        <v>173</v>
      </c>
      <c r="D10118" s="500" t="s">
        <v>761</v>
      </c>
      <c r="E10118" s="501">
        <v>-33026747.489999998</v>
      </c>
      <c r="F10118" s="502" t="s">
        <v>878</v>
      </c>
      <c r="G10118" s="100">
        <v>117761860</v>
      </c>
      <c r="H10118" s="530"/>
      <c r="I10118" s="422" t="s">
        <v>709</v>
      </c>
      <c r="J10118" s="484"/>
      <c r="K10118" s="548"/>
      <c r="L10118" s="548"/>
      <c r="M10118" s="548"/>
      <c r="N10118" s="552">
        <v>36234</v>
      </c>
      <c r="R10118" s="539">
        <v>911.4849999999999</v>
      </c>
      <c r="S10118" s="539">
        <v>911.87256830601098</v>
      </c>
      <c r="T10118" s="538">
        <v>15.52</v>
      </c>
      <c r="U10118" s="538">
        <v>49.54</v>
      </c>
      <c r="V10118" s="538">
        <v>24.77</v>
      </c>
    </row>
    <row r="10119" spans="1:22">
      <c r="A10119" s="499">
        <v>45839</v>
      </c>
      <c r="B10119" s="499">
        <v>45839</v>
      </c>
      <c r="C10119" s="500" t="s">
        <v>173</v>
      </c>
      <c r="D10119" s="500" t="s">
        <v>761</v>
      </c>
      <c r="E10119" s="501">
        <v>-33001610.399999999</v>
      </c>
      <c r="F10119" s="502" t="s">
        <v>878</v>
      </c>
      <c r="G10119" s="100">
        <v>117761863</v>
      </c>
      <c r="H10119" s="530"/>
      <c r="I10119" s="422" t="s">
        <v>693</v>
      </c>
      <c r="J10119" s="484"/>
      <c r="K10119" s="548"/>
      <c r="L10119" s="548"/>
      <c r="M10119" s="548"/>
      <c r="N10119" s="552">
        <v>39600</v>
      </c>
      <c r="R10119" s="539">
        <v>833.37399999999991</v>
      </c>
      <c r="S10119" s="539">
        <v>833.72835530302996</v>
      </c>
      <c r="T10119" s="538">
        <v>15.52</v>
      </c>
      <c r="U10119" s="538">
        <v>49.5</v>
      </c>
      <c r="V10119" s="538">
        <v>24.75</v>
      </c>
    </row>
    <row r="10120" spans="1:22">
      <c r="A10120" s="499">
        <v>45839</v>
      </c>
      <c r="B10120" s="499">
        <v>45839</v>
      </c>
      <c r="C10120" s="500" t="s">
        <v>173</v>
      </c>
      <c r="D10120" s="500" t="s">
        <v>761</v>
      </c>
      <c r="E10120" s="501">
        <v>-34031050.600000001</v>
      </c>
      <c r="F10120" s="502" t="s">
        <v>878</v>
      </c>
      <c r="G10120" s="100">
        <v>117761866</v>
      </c>
      <c r="H10120" s="530"/>
      <c r="I10120" s="422" t="s">
        <v>694</v>
      </c>
      <c r="J10120" s="484"/>
      <c r="K10120" s="548"/>
      <c r="L10120" s="548"/>
      <c r="M10120" s="548"/>
      <c r="N10120" s="552">
        <v>34374</v>
      </c>
      <c r="R10120" s="539">
        <v>990.02299994181658</v>
      </c>
      <c r="S10120" s="539">
        <v>990.44396316983796</v>
      </c>
      <c r="T10120" s="538">
        <v>15.52</v>
      </c>
      <c r="U10120" s="538">
        <v>51.05</v>
      </c>
      <c r="V10120" s="538">
        <v>25.52</v>
      </c>
    </row>
    <row r="10121" spans="1:22">
      <c r="A10121" s="499">
        <v>45839</v>
      </c>
      <c r="B10121" s="499">
        <v>45839</v>
      </c>
      <c r="C10121" s="500" t="s">
        <v>173</v>
      </c>
      <c r="D10121" s="500" t="s">
        <v>761</v>
      </c>
      <c r="E10121" s="501">
        <v>-38034404.359999999</v>
      </c>
      <c r="F10121" s="502" t="s">
        <v>878</v>
      </c>
      <c r="G10121" s="100">
        <v>117761869</v>
      </c>
      <c r="H10121" s="530"/>
      <c r="I10121" s="422" t="s">
        <v>590</v>
      </c>
      <c r="J10121" s="484"/>
      <c r="K10121" s="548"/>
      <c r="L10121" s="548"/>
      <c r="M10121" s="548"/>
      <c r="N10121" s="552">
        <v>40242</v>
      </c>
      <c r="R10121" s="539">
        <v>945.14199990060138</v>
      </c>
      <c r="S10121" s="539">
        <v>945.54387952884997</v>
      </c>
      <c r="T10121" s="538">
        <v>15.52</v>
      </c>
      <c r="U10121" s="538">
        <v>57.05</v>
      </c>
      <c r="V10121" s="538">
        <v>28.53</v>
      </c>
    </row>
    <row r="10122" spans="1:22">
      <c r="A10122" s="499">
        <v>45839</v>
      </c>
      <c r="B10122" s="499">
        <v>45839</v>
      </c>
      <c r="C10122" s="500" t="s">
        <v>173</v>
      </c>
      <c r="D10122" s="500" t="s">
        <v>761</v>
      </c>
      <c r="E10122" s="501">
        <v>-39027560.600000001</v>
      </c>
      <c r="F10122" s="502" t="s">
        <v>878</v>
      </c>
      <c r="G10122" s="100">
        <v>117761872</v>
      </c>
      <c r="H10122" s="530"/>
      <c r="I10122" s="422" t="s">
        <v>817</v>
      </c>
      <c r="J10122" s="484"/>
      <c r="K10122" s="548"/>
      <c r="L10122" s="548"/>
      <c r="M10122" s="548"/>
      <c r="N10122" s="552">
        <v>37362</v>
      </c>
      <c r="R10122" s="539">
        <v>1044.5790000535303</v>
      </c>
      <c r="S10122" s="539">
        <v>1045.0231606980401</v>
      </c>
      <c r="T10122" s="538">
        <v>15.52</v>
      </c>
      <c r="U10122" s="538">
        <v>58.54</v>
      </c>
      <c r="V10122" s="538">
        <v>29.27</v>
      </c>
    </row>
    <row r="10123" spans="1:22">
      <c r="A10123" s="499">
        <v>45839</v>
      </c>
      <c r="B10123" s="499">
        <v>45839</v>
      </c>
      <c r="C10123" s="500" t="s">
        <v>173</v>
      </c>
      <c r="D10123" s="500" t="s">
        <v>761</v>
      </c>
      <c r="E10123" s="501">
        <v>-42027271.649999999</v>
      </c>
      <c r="F10123" s="502" t="s">
        <v>878</v>
      </c>
      <c r="G10123" s="100">
        <v>117761875</v>
      </c>
      <c r="H10123" s="530"/>
      <c r="I10123" s="422" t="s">
        <v>714</v>
      </c>
      <c r="J10123" s="484"/>
      <c r="K10123" s="548"/>
      <c r="L10123" s="548"/>
      <c r="M10123" s="548"/>
      <c r="N10123" s="552">
        <v>53550</v>
      </c>
      <c r="R10123" s="539">
        <v>784.82299999999998</v>
      </c>
      <c r="S10123" s="539">
        <v>785.15671111111101</v>
      </c>
      <c r="T10123" s="538">
        <v>15.52</v>
      </c>
      <c r="U10123" s="538">
        <v>63.04</v>
      </c>
      <c r="V10123" s="538">
        <v>31.52</v>
      </c>
    </row>
    <row r="10124" spans="1:22">
      <c r="A10124" s="499">
        <v>45839</v>
      </c>
      <c r="B10124" s="499">
        <v>45839</v>
      </c>
      <c r="C10124" s="500" t="s">
        <v>173</v>
      </c>
      <c r="D10124" s="500" t="s">
        <v>761</v>
      </c>
      <c r="E10124" s="501">
        <v>-43017007.450000003</v>
      </c>
      <c r="F10124" s="502" t="s">
        <v>878</v>
      </c>
      <c r="G10124" s="100">
        <v>117761878</v>
      </c>
      <c r="H10124" s="530"/>
      <c r="I10124" s="422" t="s">
        <v>550</v>
      </c>
      <c r="J10124" s="484"/>
      <c r="K10124" s="548"/>
      <c r="L10124" s="548"/>
      <c r="M10124" s="548"/>
      <c r="N10124" s="552">
        <v>81270</v>
      </c>
      <c r="R10124" s="539">
        <v>529.30980004921867</v>
      </c>
      <c r="S10124" s="539">
        <v>529.534865510028</v>
      </c>
      <c r="T10124" s="538">
        <v>15.52</v>
      </c>
      <c r="U10124" s="538">
        <v>64.53</v>
      </c>
      <c r="V10124" s="538">
        <v>32.26</v>
      </c>
    </row>
    <row r="10125" spans="1:22">
      <c r="A10125" s="499">
        <v>45839</v>
      </c>
      <c r="B10125" s="499">
        <v>45839</v>
      </c>
      <c r="C10125" s="500" t="s">
        <v>173</v>
      </c>
      <c r="D10125" s="500" t="s">
        <v>761</v>
      </c>
      <c r="E10125" s="501">
        <v>-43011878.880000003</v>
      </c>
      <c r="F10125" s="502" t="s">
        <v>878</v>
      </c>
      <c r="G10125" s="100">
        <v>117761881</v>
      </c>
      <c r="H10125" s="530"/>
      <c r="I10125" s="422" t="s">
        <v>719</v>
      </c>
      <c r="J10125" s="484"/>
      <c r="K10125" s="548"/>
      <c r="L10125" s="548"/>
      <c r="M10125" s="548"/>
      <c r="N10125" s="552">
        <v>59383</v>
      </c>
      <c r="R10125" s="539">
        <v>724.31300001683985</v>
      </c>
      <c r="S10125" s="539">
        <v>724.62098193085603</v>
      </c>
      <c r="T10125" s="538">
        <v>15.52</v>
      </c>
      <c r="U10125" s="538">
        <v>64.52</v>
      </c>
      <c r="V10125" s="538">
        <v>32.26</v>
      </c>
    </row>
    <row r="10126" spans="1:22">
      <c r="A10126" s="499">
        <v>45839</v>
      </c>
      <c r="B10126" s="499">
        <v>45839</v>
      </c>
      <c r="C10126" s="500" t="s">
        <v>173</v>
      </c>
      <c r="D10126" s="500" t="s">
        <v>761</v>
      </c>
      <c r="E10126" s="501">
        <v>-46015058.649999999</v>
      </c>
      <c r="F10126" s="502" t="s">
        <v>878</v>
      </c>
      <c r="G10126" s="100">
        <v>117761884</v>
      </c>
      <c r="H10126" s="530"/>
      <c r="I10126" s="422" t="s">
        <v>676</v>
      </c>
      <c r="J10126" s="484"/>
      <c r="K10126" s="548"/>
      <c r="L10126" s="548"/>
      <c r="M10126" s="548"/>
      <c r="N10126" s="552">
        <v>48668</v>
      </c>
      <c r="R10126" s="539">
        <v>945.4889999589052</v>
      </c>
      <c r="S10126" s="539">
        <v>945.89102716363902</v>
      </c>
      <c r="T10126" s="538">
        <v>15.52</v>
      </c>
      <c r="U10126" s="538">
        <v>69.02</v>
      </c>
      <c r="V10126" s="538">
        <v>34.51</v>
      </c>
    </row>
    <row r="10127" spans="1:22">
      <c r="A10127" s="499">
        <v>45839</v>
      </c>
      <c r="B10127" s="499">
        <v>45839</v>
      </c>
      <c r="C10127" s="500" t="s">
        <v>173</v>
      </c>
      <c r="D10127" s="500" t="s">
        <v>761</v>
      </c>
      <c r="E10127" s="501">
        <v>-52030075.969999999</v>
      </c>
      <c r="F10127" s="502" t="s">
        <v>878</v>
      </c>
      <c r="G10127" s="100">
        <v>117761887</v>
      </c>
      <c r="H10127" s="530"/>
      <c r="I10127" s="422" t="s">
        <v>687</v>
      </c>
      <c r="J10127" s="484"/>
      <c r="K10127" s="548"/>
      <c r="L10127" s="548"/>
      <c r="M10127" s="548"/>
      <c r="N10127" s="552">
        <v>60996</v>
      </c>
      <c r="R10127" s="539">
        <v>853.00800003278903</v>
      </c>
      <c r="S10127" s="539">
        <v>853.37070365269801</v>
      </c>
      <c r="T10127" s="538">
        <v>15.52</v>
      </c>
      <c r="U10127" s="538">
        <v>78.05</v>
      </c>
      <c r="V10127" s="538">
        <v>39.020000000000003</v>
      </c>
    </row>
    <row r="10128" spans="1:22">
      <c r="A10128" s="499">
        <v>45839</v>
      </c>
      <c r="B10128" s="499">
        <v>45839</v>
      </c>
      <c r="C10128" s="500" t="s">
        <v>173</v>
      </c>
      <c r="D10128" s="500" t="s">
        <v>761</v>
      </c>
      <c r="E10128" s="501">
        <v>-54004409.909999996</v>
      </c>
      <c r="F10128" s="502" t="s">
        <v>878</v>
      </c>
      <c r="G10128" s="100">
        <v>117761890</v>
      </c>
      <c r="H10128" s="530"/>
      <c r="I10128" s="422" t="s">
        <v>588</v>
      </c>
      <c r="J10128" s="484"/>
      <c r="K10128" s="548"/>
      <c r="L10128" s="548"/>
      <c r="M10128" s="548"/>
      <c r="N10128" s="552">
        <v>49734</v>
      </c>
      <c r="R10128" s="539">
        <v>1085.865</v>
      </c>
      <c r="S10128" s="539">
        <v>1086.32671572767</v>
      </c>
      <c r="T10128" s="538">
        <v>15.52</v>
      </c>
      <c r="U10128" s="538">
        <v>81.010000000000005</v>
      </c>
      <c r="V10128" s="538">
        <v>40.5</v>
      </c>
    </row>
    <row r="10129" spans="1:22">
      <c r="A10129" s="499">
        <v>45839</v>
      </c>
      <c r="B10129" s="499">
        <v>45839</v>
      </c>
      <c r="C10129" s="500" t="s">
        <v>173</v>
      </c>
      <c r="D10129" s="500" t="s">
        <v>761</v>
      </c>
      <c r="E10129" s="501">
        <v>-60042400.920000002</v>
      </c>
      <c r="F10129" s="502" t="s">
        <v>878</v>
      </c>
      <c r="G10129" s="100">
        <v>117761893</v>
      </c>
      <c r="H10129" s="530"/>
      <c r="I10129" s="422" t="s">
        <v>817</v>
      </c>
      <c r="J10129" s="484"/>
      <c r="K10129" s="548"/>
      <c r="L10129" s="548"/>
      <c r="M10129" s="548"/>
      <c r="N10129" s="552">
        <v>57480</v>
      </c>
      <c r="R10129" s="539">
        <v>1044.579</v>
      </c>
      <c r="S10129" s="539">
        <v>1045.02316075157</v>
      </c>
      <c r="T10129" s="538">
        <v>15.52</v>
      </c>
      <c r="U10129" s="538">
        <v>90.06</v>
      </c>
      <c r="V10129" s="538">
        <v>45.03</v>
      </c>
    </row>
    <row r="10130" spans="1:22">
      <c r="A10130" s="499">
        <v>45839</v>
      </c>
      <c r="B10130" s="499">
        <v>45839</v>
      </c>
      <c r="C10130" s="500" t="s">
        <v>173</v>
      </c>
      <c r="D10130" s="500" t="s">
        <v>761</v>
      </c>
      <c r="E10130" s="501">
        <v>-63059960.25</v>
      </c>
      <c r="F10130" s="502" t="s">
        <v>878</v>
      </c>
      <c r="G10130" s="100">
        <v>117761896</v>
      </c>
      <c r="H10130" s="530"/>
      <c r="I10130" s="422" t="s">
        <v>821</v>
      </c>
      <c r="J10130" s="484"/>
      <c r="K10130" s="548"/>
      <c r="L10130" s="548"/>
      <c r="M10130" s="548"/>
      <c r="N10130" s="552">
        <v>58275</v>
      </c>
      <c r="R10130" s="539">
        <v>1082.1099999999999</v>
      </c>
      <c r="S10130" s="539">
        <v>1082.5701190905199</v>
      </c>
      <c r="T10130" s="538">
        <v>15.52</v>
      </c>
      <c r="U10130" s="538">
        <v>94.59</v>
      </c>
      <c r="V10130" s="538">
        <v>47.29</v>
      </c>
    </row>
    <row r="10131" spans="1:22">
      <c r="A10131" s="499">
        <v>45839</v>
      </c>
      <c r="B10131" s="499">
        <v>45839</v>
      </c>
      <c r="C10131" s="500" t="s">
        <v>173</v>
      </c>
      <c r="D10131" s="500" t="s">
        <v>761</v>
      </c>
      <c r="E10131" s="501">
        <v>-65028485.340000004</v>
      </c>
      <c r="F10131" s="502" t="s">
        <v>878</v>
      </c>
      <c r="G10131" s="100">
        <v>117761899</v>
      </c>
      <c r="H10131" s="530"/>
      <c r="I10131" s="422" t="s">
        <v>654</v>
      </c>
      <c r="J10131" s="484"/>
      <c r="K10131" s="548"/>
      <c r="L10131" s="548"/>
      <c r="M10131" s="548"/>
      <c r="N10131" s="552">
        <v>66690</v>
      </c>
      <c r="R10131" s="539">
        <v>975.08600000000001</v>
      </c>
      <c r="S10131" s="539">
        <v>975.50061193582201</v>
      </c>
      <c r="T10131" s="538">
        <v>15.52</v>
      </c>
      <c r="U10131" s="538">
        <v>97.54</v>
      </c>
      <c r="V10131" s="538">
        <v>48.77</v>
      </c>
    </row>
    <row r="10132" spans="1:22">
      <c r="A10132" s="499">
        <v>45839</v>
      </c>
      <c r="B10132" s="499">
        <v>45839</v>
      </c>
      <c r="C10132" s="500" t="s">
        <v>173</v>
      </c>
      <c r="D10132" s="500" t="s">
        <v>761</v>
      </c>
      <c r="E10132" s="501">
        <v>-66025640.210000001</v>
      </c>
      <c r="F10132" s="502" t="s">
        <v>878</v>
      </c>
      <c r="G10132" s="100">
        <v>117761902</v>
      </c>
      <c r="H10132" s="530"/>
      <c r="I10132" s="422" t="s">
        <v>711</v>
      </c>
      <c r="J10132" s="484"/>
      <c r="K10132" s="548"/>
      <c r="L10132" s="548"/>
      <c r="M10132" s="548"/>
      <c r="N10132" s="552">
        <v>75108</v>
      </c>
      <c r="R10132" s="539">
        <v>879.07600002662832</v>
      </c>
      <c r="S10132" s="539">
        <v>879.44978790541597</v>
      </c>
      <c r="T10132" s="538">
        <v>15.52</v>
      </c>
      <c r="U10132" s="538">
        <v>99.04</v>
      </c>
      <c r="V10132" s="538">
        <v>49.52</v>
      </c>
    </row>
    <row r="10133" spans="1:22">
      <c r="A10133" s="499">
        <v>45839</v>
      </c>
      <c r="B10133" s="499">
        <v>45839</v>
      </c>
      <c r="C10133" s="500" t="s">
        <v>173</v>
      </c>
      <c r="D10133" s="500" t="s">
        <v>761</v>
      </c>
      <c r="E10133" s="501">
        <v>-69043275.140000001</v>
      </c>
      <c r="F10133" s="502" t="s">
        <v>878</v>
      </c>
      <c r="G10133" s="100">
        <v>117761905</v>
      </c>
      <c r="H10133" s="530"/>
      <c r="I10133" s="422" t="s">
        <v>602</v>
      </c>
      <c r="J10133" s="484"/>
      <c r="K10133" s="548"/>
      <c r="L10133" s="548"/>
      <c r="M10133" s="548"/>
      <c r="N10133" s="552">
        <v>75624</v>
      </c>
      <c r="R10133" s="539">
        <v>912.98099994710674</v>
      </c>
      <c r="S10133" s="539">
        <v>913.36920448534795</v>
      </c>
      <c r="T10133" s="538">
        <v>15.52</v>
      </c>
      <c r="U10133" s="538">
        <v>103.56</v>
      </c>
      <c r="V10133" s="538">
        <v>51.78</v>
      </c>
    </row>
    <row r="10134" spans="1:22">
      <c r="A10134" s="499">
        <v>45839</v>
      </c>
      <c r="B10134" s="499">
        <v>45839</v>
      </c>
      <c r="C10134" s="500" t="s">
        <v>173</v>
      </c>
      <c r="D10134" s="500" t="s">
        <v>761</v>
      </c>
      <c r="E10134" s="501">
        <v>-71037242.700000003</v>
      </c>
      <c r="F10134" s="502" t="s">
        <v>878</v>
      </c>
      <c r="G10134" s="100">
        <v>117761908</v>
      </c>
      <c r="H10134" s="530"/>
      <c r="I10134" s="422" t="s">
        <v>696</v>
      </c>
      <c r="J10134" s="484"/>
      <c r="K10134" s="548"/>
      <c r="L10134" s="548"/>
      <c r="M10134" s="548"/>
      <c r="N10134" s="552">
        <v>85697</v>
      </c>
      <c r="R10134" s="539">
        <v>828.93500005834517</v>
      </c>
      <c r="S10134" s="539">
        <v>829.28746770598696</v>
      </c>
      <c r="T10134" s="538">
        <v>15.52</v>
      </c>
      <c r="U10134" s="538">
        <v>106.56</v>
      </c>
      <c r="V10134" s="538">
        <v>53.28</v>
      </c>
    </row>
    <row r="10135" spans="1:22">
      <c r="A10135" s="499">
        <v>45839</v>
      </c>
      <c r="B10135" s="499">
        <v>45839</v>
      </c>
      <c r="C10135" s="500" t="s">
        <v>173</v>
      </c>
      <c r="D10135" s="500" t="s">
        <v>761</v>
      </c>
      <c r="E10135" s="501">
        <v>-71019962.930000007</v>
      </c>
      <c r="F10135" s="502" t="s">
        <v>878</v>
      </c>
      <c r="G10135" s="100">
        <v>117761911</v>
      </c>
      <c r="H10135" s="530"/>
      <c r="I10135" s="422" t="s">
        <v>690</v>
      </c>
      <c r="J10135" s="484"/>
      <c r="K10135" s="548"/>
      <c r="L10135" s="548"/>
      <c r="M10135" s="548"/>
      <c r="N10135" s="552">
        <v>77461</v>
      </c>
      <c r="R10135" s="539">
        <v>916.84800002581949</v>
      </c>
      <c r="S10135" s="539">
        <v>917.23784885297096</v>
      </c>
      <c r="T10135" s="538">
        <v>15.52</v>
      </c>
      <c r="U10135" s="538">
        <v>106.53</v>
      </c>
      <c r="V10135" s="538">
        <v>53.26</v>
      </c>
    </row>
    <row r="10136" spans="1:22">
      <c r="A10136" s="499">
        <v>45839</v>
      </c>
      <c r="B10136" s="499">
        <v>45839</v>
      </c>
      <c r="C10136" s="500" t="s">
        <v>173</v>
      </c>
      <c r="D10136" s="500" t="s">
        <v>761</v>
      </c>
      <c r="E10136" s="501">
        <v>-73012701.489999995</v>
      </c>
      <c r="F10136" s="502" t="s">
        <v>878</v>
      </c>
      <c r="G10136" s="100">
        <v>117761914</v>
      </c>
      <c r="H10136" s="530"/>
      <c r="I10136" s="422" t="s">
        <v>598</v>
      </c>
      <c r="J10136" s="484"/>
      <c r="K10136" s="548"/>
      <c r="L10136" s="548"/>
      <c r="M10136" s="548"/>
      <c r="N10136" s="552">
        <v>71759</v>
      </c>
      <c r="R10136" s="539">
        <v>1017.4710000139355</v>
      </c>
      <c r="S10136" s="539">
        <v>1017.90363424797</v>
      </c>
      <c r="T10136" s="538">
        <v>15.52</v>
      </c>
      <c r="U10136" s="538">
        <v>109.52</v>
      </c>
      <c r="V10136" s="538">
        <v>54.76</v>
      </c>
    </row>
    <row r="10137" spans="1:22">
      <c r="A10137" s="499">
        <v>45839</v>
      </c>
      <c r="B10137" s="499">
        <v>45839</v>
      </c>
      <c r="C10137" s="500" t="s">
        <v>173</v>
      </c>
      <c r="D10137" s="500" t="s">
        <v>761</v>
      </c>
      <c r="E10137" s="501">
        <v>-81013266.590000004</v>
      </c>
      <c r="F10137" s="502" t="s">
        <v>878</v>
      </c>
      <c r="G10137" s="100">
        <v>117761917</v>
      </c>
      <c r="H10137" s="530"/>
      <c r="I10137" s="422" t="s">
        <v>682</v>
      </c>
      <c r="J10137" s="484"/>
      <c r="K10137" s="548"/>
      <c r="L10137" s="548"/>
      <c r="M10137" s="548"/>
      <c r="N10137" s="552">
        <v>82539</v>
      </c>
      <c r="R10137" s="539">
        <v>981.51500006057745</v>
      </c>
      <c r="S10137" s="539">
        <v>981.93234555785796</v>
      </c>
      <c r="T10137" s="538">
        <v>15.52</v>
      </c>
      <c r="U10137" s="538">
        <v>121.52</v>
      </c>
      <c r="V10137" s="538">
        <v>60.76</v>
      </c>
    </row>
    <row r="10138" spans="1:22">
      <c r="A10138" s="499">
        <v>45839</v>
      </c>
      <c r="B10138" s="499">
        <v>45839</v>
      </c>
      <c r="C10138" s="500" t="s">
        <v>173</v>
      </c>
      <c r="D10138" s="500" t="s">
        <v>761</v>
      </c>
      <c r="E10138" s="501">
        <v>-83049667.200000003</v>
      </c>
      <c r="F10138" s="502" t="s">
        <v>878</v>
      </c>
      <c r="G10138" s="100">
        <v>117761920</v>
      </c>
      <c r="H10138" s="530"/>
      <c r="I10138" s="422" t="s">
        <v>705</v>
      </c>
      <c r="J10138" s="484"/>
      <c r="K10138" s="548"/>
      <c r="L10138" s="548"/>
      <c r="M10138" s="548"/>
      <c r="N10138" s="552">
        <v>99600</v>
      </c>
      <c r="R10138" s="539">
        <v>833.83199999999999</v>
      </c>
      <c r="S10138" s="539">
        <v>834.18654989959805</v>
      </c>
      <c r="T10138" s="538">
        <v>15.52</v>
      </c>
      <c r="U10138" s="538">
        <v>124.57</v>
      </c>
      <c r="V10138" s="538">
        <v>62.29</v>
      </c>
    </row>
    <row r="10139" spans="1:22">
      <c r="A10139" s="499">
        <v>45839</v>
      </c>
      <c r="B10139" s="499">
        <v>45839</v>
      </c>
      <c r="C10139" s="500" t="s">
        <v>173</v>
      </c>
      <c r="D10139" s="500" t="s">
        <v>761</v>
      </c>
      <c r="E10139" s="501">
        <v>-83081373.200000003</v>
      </c>
      <c r="F10139" s="502" t="s">
        <v>878</v>
      </c>
      <c r="G10139" s="100">
        <v>117761923</v>
      </c>
      <c r="H10139" s="530"/>
      <c r="I10139" s="422" t="s">
        <v>596</v>
      </c>
      <c r="J10139" s="484"/>
      <c r="K10139" s="548"/>
      <c r="L10139" s="548"/>
      <c r="M10139" s="548"/>
      <c r="N10139" s="552">
        <v>79016</v>
      </c>
      <c r="R10139" s="539">
        <v>1051.45</v>
      </c>
      <c r="S10139" s="539">
        <v>1051.89708236307</v>
      </c>
      <c r="T10139" s="538">
        <v>15.52</v>
      </c>
      <c r="U10139" s="538">
        <v>124.62</v>
      </c>
      <c r="V10139" s="538">
        <v>62.31</v>
      </c>
    </row>
    <row r="10140" spans="1:22">
      <c r="A10140" s="499">
        <v>45839</v>
      </c>
      <c r="B10140" s="499">
        <v>45839</v>
      </c>
      <c r="C10140" s="500" t="s">
        <v>173</v>
      </c>
      <c r="D10140" s="500" t="s">
        <v>761</v>
      </c>
      <c r="E10140" s="501">
        <v>-85082970.290000007</v>
      </c>
      <c r="F10140" s="502" t="s">
        <v>878</v>
      </c>
      <c r="G10140" s="100">
        <v>117761926</v>
      </c>
      <c r="H10140" s="530"/>
      <c r="I10140" s="422" t="s">
        <v>819</v>
      </c>
      <c r="J10140" s="484"/>
      <c r="K10140" s="548"/>
      <c r="L10140" s="548"/>
      <c r="M10140" s="548"/>
      <c r="N10140" s="552">
        <v>83555</v>
      </c>
      <c r="R10140" s="539">
        <v>1018.2870000598409</v>
      </c>
      <c r="S10140" s="539">
        <v>1018.71998132966</v>
      </c>
      <c r="T10140" s="538">
        <v>15.52</v>
      </c>
      <c r="U10140" s="538">
        <v>127.62</v>
      </c>
      <c r="V10140" s="538">
        <v>63.81</v>
      </c>
    </row>
    <row r="10141" spans="1:22">
      <c r="A10141" s="499">
        <v>45839</v>
      </c>
      <c r="B10141" s="499">
        <v>45839</v>
      </c>
      <c r="C10141" s="500" t="s">
        <v>173</v>
      </c>
      <c r="D10141" s="500" t="s">
        <v>761</v>
      </c>
      <c r="E10141" s="501">
        <v>-87033798.459999993</v>
      </c>
      <c r="F10141" s="502" t="s">
        <v>878</v>
      </c>
      <c r="G10141" s="100">
        <v>117761929</v>
      </c>
      <c r="H10141" s="530"/>
      <c r="I10141" s="422" t="s">
        <v>711</v>
      </c>
      <c r="J10141" s="484"/>
      <c r="K10141" s="548"/>
      <c r="L10141" s="548"/>
      <c r="M10141" s="548"/>
      <c r="N10141" s="552">
        <v>99006</v>
      </c>
      <c r="R10141" s="539">
        <v>879.07600004040148</v>
      </c>
      <c r="S10141" s="539">
        <v>879.44978799264697</v>
      </c>
      <c r="T10141" s="538">
        <v>15.52</v>
      </c>
      <c r="U10141" s="538">
        <v>130.55000000000001</v>
      </c>
      <c r="V10141" s="538">
        <v>65.28</v>
      </c>
    </row>
    <row r="10142" spans="1:22">
      <c r="A10142" s="499">
        <v>45839</v>
      </c>
      <c r="B10142" s="499">
        <v>45839</v>
      </c>
      <c r="C10142" s="500" t="s">
        <v>173</v>
      </c>
      <c r="D10142" s="500" t="s">
        <v>761</v>
      </c>
      <c r="E10142" s="501">
        <v>-87033798.459999993</v>
      </c>
      <c r="F10142" s="502" t="s">
        <v>878</v>
      </c>
      <c r="G10142" s="100">
        <v>117761932</v>
      </c>
      <c r="H10142" s="530"/>
      <c r="I10142" s="422" t="s">
        <v>711</v>
      </c>
      <c r="J10142" s="484"/>
      <c r="K10142" s="548"/>
      <c r="L10142" s="548"/>
      <c r="M10142" s="548"/>
      <c r="N10142" s="552">
        <v>99006</v>
      </c>
      <c r="R10142" s="539">
        <v>879.07600004040148</v>
      </c>
      <c r="S10142" s="539">
        <v>879.44978799264697</v>
      </c>
      <c r="T10142" s="538">
        <v>15.52</v>
      </c>
      <c r="U10142" s="538">
        <v>130.55000000000001</v>
      </c>
      <c r="V10142" s="538">
        <v>65.28</v>
      </c>
    </row>
    <row r="10143" spans="1:22">
      <c r="A10143" s="499">
        <v>45839</v>
      </c>
      <c r="B10143" s="499">
        <v>45839</v>
      </c>
      <c r="C10143" s="500" t="s">
        <v>173</v>
      </c>
      <c r="D10143" s="500" t="s">
        <v>761</v>
      </c>
      <c r="E10143" s="501">
        <v>-4002756.91</v>
      </c>
      <c r="F10143" s="502" t="s">
        <v>878</v>
      </c>
      <c r="G10143" s="100">
        <v>117761935</v>
      </c>
      <c r="H10143" s="530"/>
      <c r="I10143" s="422" t="s">
        <v>823</v>
      </c>
      <c r="J10143" s="484"/>
      <c r="K10143" s="548"/>
      <c r="L10143" s="548"/>
      <c r="M10143" s="548"/>
      <c r="N10143" s="552">
        <v>3696</v>
      </c>
      <c r="R10143" s="539">
        <v>1082.9969994588746</v>
      </c>
      <c r="S10143" s="539">
        <v>1083.45749458874</v>
      </c>
      <c r="T10143" s="538">
        <v>15.52</v>
      </c>
      <c r="U10143" s="538">
        <v>39.32</v>
      </c>
      <c r="V10143" s="538">
        <v>3</v>
      </c>
    </row>
    <row r="10144" spans="1:22">
      <c r="A10144" s="499">
        <v>45839</v>
      </c>
      <c r="B10144" s="499">
        <v>45839</v>
      </c>
      <c r="C10144" s="500" t="s">
        <v>173</v>
      </c>
      <c r="D10144" s="500" t="s">
        <v>761</v>
      </c>
      <c r="E10144" s="501">
        <v>-14010293.890000001</v>
      </c>
      <c r="F10144" s="502" t="s">
        <v>878</v>
      </c>
      <c r="G10144" s="100">
        <v>117762443</v>
      </c>
      <c r="H10144" s="530"/>
      <c r="I10144" s="422" t="s">
        <v>600</v>
      </c>
      <c r="J10144" s="484"/>
      <c r="K10144" s="548"/>
      <c r="L10144" s="548"/>
      <c r="M10144" s="548"/>
      <c r="N10144" s="552">
        <v>14462</v>
      </c>
      <c r="R10144" s="539">
        <v>968.76599986170663</v>
      </c>
      <c r="S10144" s="539">
        <v>969.17792421518504</v>
      </c>
      <c r="T10144" s="538">
        <v>15.52</v>
      </c>
      <c r="U10144" s="538">
        <v>39.32</v>
      </c>
      <c r="V10144" s="538">
        <v>10.51</v>
      </c>
    </row>
    <row r="10145" spans="1:22">
      <c r="A10145" s="499">
        <v>45839</v>
      </c>
      <c r="B10145" s="499">
        <v>45840</v>
      </c>
      <c r="C10145" s="500" t="s">
        <v>173</v>
      </c>
      <c r="D10145" s="500" t="s">
        <v>761</v>
      </c>
      <c r="E10145" s="501">
        <v>1000599.27</v>
      </c>
      <c r="F10145" s="502" t="s">
        <v>878</v>
      </c>
      <c r="G10145" s="100">
        <v>117761728</v>
      </c>
      <c r="H10145" s="100">
        <v>117761728</v>
      </c>
      <c r="I10145" s="422" t="s">
        <v>598</v>
      </c>
      <c r="J10145" s="484"/>
      <c r="K10145" s="548"/>
      <c r="L10145" s="548"/>
      <c r="M10145" s="548"/>
      <c r="N10145" s="552">
        <v>983</v>
      </c>
      <c r="R10145" s="539">
        <v>1017.470996948118</v>
      </c>
      <c r="S10145" s="539">
        <v>1017.90363173957</v>
      </c>
      <c r="T10145" s="538">
        <v>15.52</v>
      </c>
      <c r="U10145" s="538">
        <v>39.32</v>
      </c>
      <c r="V10145" s="538">
        <v>0.75</v>
      </c>
    </row>
    <row r="10146" spans="1:22">
      <c r="A10146" s="499">
        <v>45839</v>
      </c>
      <c r="B10146" s="499">
        <v>45840</v>
      </c>
      <c r="C10146" s="500" t="s">
        <v>173</v>
      </c>
      <c r="D10146" s="500" t="s">
        <v>761</v>
      </c>
      <c r="E10146" s="501">
        <v>1001138.58</v>
      </c>
      <c r="F10146" s="502" t="s">
        <v>878</v>
      </c>
      <c r="G10146" s="100">
        <v>117761731</v>
      </c>
      <c r="H10146" s="100">
        <v>117761731</v>
      </c>
      <c r="I10146" s="422" t="s">
        <v>592</v>
      </c>
      <c r="J10146" s="484"/>
      <c r="K10146" s="548"/>
      <c r="L10146" s="548"/>
      <c r="M10146" s="548"/>
      <c r="N10146" s="552">
        <v>1072</v>
      </c>
      <c r="R10146" s="539">
        <v>933.50099813432826</v>
      </c>
      <c r="S10146" s="539">
        <v>933.89792910447795</v>
      </c>
      <c r="T10146" s="538">
        <v>15.52</v>
      </c>
      <c r="U10146" s="538">
        <v>39.32</v>
      </c>
      <c r="V10146" s="538">
        <v>0.75</v>
      </c>
    </row>
    <row r="10147" spans="1:22">
      <c r="A10147" s="499">
        <v>45839</v>
      </c>
      <c r="B10147" s="499">
        <v>45840</v>
      </c>
      <c r="C10147" s="500" t="s">
        <v>173</v>
      </c>
      <c r="D10147" s="500" t="s">
        <v>761</v>
      </c>
      <c r="E10147" s="501">
        <v>1000820.63</v>
      </c>
      <c r="F10147" s="502" t="s">
        <v>878</v>
      </c>
      <c r="G10147" s="100">
        <v>117761734</v>
      </c>
      <c r="H10147" s="100">
        <v>117761734</v>
      </c>
      <c r="I10147" s="422" t="s">
        <v>713</v>
      </c>
      <c r="J10147" s="484"/>
      <c r="K10147" s="548"/>
      <c r="L10147" s="548"/>
      <c r="M10147" s="548"/>
      <c r="N10147" s="552">
        <v>1311</v>
      </c>
      <c r="R10147" s="539">
        <v>763.07800152555296</v>
      </c>
      <c r="S10147" s="539">
        <v>763.40246376811604</v>
      </c>
      <c r="T10147" s="538">
        <v>15.52</v>
      </c>
      <c r="U10147" s="538">
        <v>39.32</v>
      </c>
      <c r="V10147" s="538">
        <v>0.75</v>
      </c>
    </row>
    <row r="10148" spans="1:22">
      <c r="A10148" s="499">
        <v>45839</v>
      </c>
      <c r="B10148" s="499">
        <v>45840</v>
      </c>
      <c r="C10148" s="500" t="s">
        <v>173</v>
      </c>
      <c r="D10148" s="500" t="s">
        <v>761</v>
      </c>
      <c r="E10148" s="501">
        <v>1000624.27</v>
      </c>
      <c r="F10148" s="502" t="s">
        <v>878</v>
      </c>
      <c r="G10148" s="100">
        <v>117761737</v>
      </c>
      <c r="H10148" s="100">
        <v>117761737</v>
      </c>
      <c r="I10148" s="422" t="s">
        <v>715</v>
      </c>
      <c r="J10148" s="484"/>
      <c r="K10148" s="548"/>
      <c r="L10148" s="548"/>
      <c r="M10148" s="548"/>
      <c r="N10148" s="552">
        <v>1288</v>
      </c>
      <c r="R10148" s="539">
        <v>776.55200310559007</v>
      </c>
      <c r="S10148" s="539">
        <v>776.88219720496897</v>
      </c>
      <c r="T10148" s="538">
        <v>15.52</v>
      </c>
      <c r="U10148" s="538">
        <v>39.32</v>
      </c>
      <c r="V10148" s="538">
        <v>0.75</v>
      </c>
    </row>
    <row r="10149" spans="1:22">
      <c r="A10149" s="499">
        <v>45839</v>
      </c>
      <c r="B10149" s="499">
        <v>45840</v>
      </c>
      <c r="C10149" s="500" t="s">
        <v>173</v>
      </c>
      <c r="D10149" s="500" t="s">
        <v>761</v>
      </c>
      <c r="E10149" s="501">
        <v>2001628.51</v>
      </c>
      <c r="F10149" s="502" t="s">
        <v>878</v>
      </c>
      <c r="G10149" s="100">
        <v>117761740</v>
      </c>
      <c r="H10149" s="100">
        <v>117761740</v>
      </c>
      <c r="I10149" s="422" t="s">
        <v>677</v>
      </c>
      <c r="J10149" s="484"/>
      <c r="K10149" s="548"/>
      <c r="L10149" s="548"/>
      <c r="M10149" s="548"/>
      <c r="N10149" s="552">
        <v>2226</v>
      </c>
      <c r="R10149" s="539">
        <v>898.82199910152747</v>
      </c>
      <c r="S10149" s="539">
        <v>899.20418238993705</v>
      </c>
      <c r="T10149" s="538">
        <v>15.52</v>
      </c>
      <c r="U10149" s="538">
        <v>39.32</v>
      </c>
      <c r="V10149" s="538">
        <v>1.5</v>
      </c>
    </row>
    <row r="10150" spans="1:22">
      <c r="A10150" s="499">
        <v>45839</v>
      </c>
      <c r="B10150" s="499">
        <v>45840</v>
      </c>
      <c r="C10150" s="500" t="s">
        <v>173</v>
      </c>
      <c r="D10150" s="500" t="s">
        <v>761</v>
      </c>
      <c r="E10150" s="501">
        <v>2002321.6</v>
      </c>
      <c r="F10150" s="502" t="s">
        <v>878</v>
      </c>
      <c r="G10150" s="100">
        <v>117761743</v>
      </c>
      <c r="H10150" s="100">
        <v>117761743</v>
      </c>
      <c r="I10150" s="422" t="s">
        <v>600</v>
      </c>
      <c r="J10150" s="484"/>
      <c r="K10150" s="548"/>
      <c r="L10150" s="548"/>
      <c r="M10150" s="548"/>
      <c r="N10150" s="552">
        <v>2066</v>
      </c>
      <c r="R10150" s="539">
        <v>968.76600193610841</v>
      </c>
      <c r="S10150" s="539">
        <v>969.17792836398803</v>
      </c>
      <c r="T10150" s="538">
        <v>15.52</v>
      </c>
      <c r="U10150" s="538">
        <v>39.32</v>
      </c>
      <c r="V10150" s="538">
        <v>1.5</v>
      </c>
    </row>
    <row r="10151" spans="1:22">
      <c r="A10151" s="499">
        <v>45839</v>
      </c>
      <c r="B10151" s="499">
        <v>45840</v>
      </c>
      <c r="C10151" s="500" t="s">
        <v>173</v>
      </c>
      <c r="D10151" s="500" t="s">
        <v>761</v>
      </c>
      <c r="E10151" s="501">
        <v>3003396.57</v>
      </c>
      <c r="F10151" s="502" t="s">
        <v>878</v>
      </c>
      <c r="G10151" s="100">
        <v>117761746</v>
      </c>
      <c r="H10151" s="100">
        <v>117761746</v>
      </c>
      <c r="I10151" s="422" t="s">
        <v>817</v>
      </c>
      <c r="J10151" s="484"/>
      <c r="K10151" s="548"/>
      <c r="L10151" s="548"/>
      <c r="M10151" s="548"/>
      <c r="N10151" s="552">
        <v>2874</v>
      </c>
      <c r="R10151" s="539">
        <v>1044.5790013917883</v>
      </c>
      <c r="S10151" s="539">
        <v>1045.0231628392501</v>
      </c>
      <c r="T10151" s="538">
        <v>15.52</v>
      </c>
      <c r="U10151" s="538">
        <v>39.32</v>
      </c>
      <c r="V10151" s="538">
        <v>2.25</v>
      </c>
    </row>
    <row r="10152" spans="1:22">
      <c r="A10152" s="499">
        <v>45839</v>
      </c>
      <c r="B10152" s="499">
        <v>45840</v>
      </c>
      <c r="C10152" s="500" t="s">
        <v>173</v>
      </c>
      <c r="D10152" s="500" t="s">
        <v>761</v>
      </c>
      <c r="E10152" s="501">
        <v>4003732.29</v>
      </c>
      <c r="F10152" s="502" t="s">
        <v>878</v>
      </c>
      <c r="G10152" s="100">
        <v>117761749</v>
      </c>
      <c r="H10152" s="100">
        <v>117761749</v>
      </c>
      <c r="I10152" s="422" t="s">
        <v>604</v>
      </c>
      <c r="J10152" s="484"/>
      <c r="K10152" s="548"/>
      <c r="L10152" s="548"/>
      <c r="M10152" s="548"/>
      <c r="N10152" s="552">
        <v>3916</v>
      </c>
      <c r="R10152" s="539">
        <v>1021.9689989785496</v>
      </c>
      <c r="S10152" s="539">
        <v>1022.40354698672</v>
      </c>
      <c r="T10152" s="538">
        <v>15.52</v>
      </c>
      <c r="U10152" s="538">
        <v>39.32</v>
      </c>
      <c r="V10152" s="538">
        <v>3</v>
      </c>
    </row>
    <row r="10153" spans="1:22">
      <c r="A10153" s="499">
        <v>45839</v>
      </c>
      <c r="B10153" s="499">
        <v>45840</v>
      </c>
      <c r="C10153" s="500" t="s">
        <v>173</v>
      </c>
      <c r="D10153" s="500" t="s">
        <v>761</v>
      </c>
      <c r="E10153" s="501">
        <v>4004141.27</v>
      </c>
      <c r="F10153" s="502" t="s">
        <v>878</v>
      </c>
      <c r="G10153" s="100">
        <v>117761752</v>
      </c>
      <c r="H10153" s="100">
        <v>117761752</v>
      </c>
      <c r="I10153" s="422" t="s">
        <v>706</v>
      </c>
      <c r="J10153" s="484"/>
      <c r="K10153" s="548"/>
      <c r="L10153" s="548"/>
      <c r="M10153" s="548"/>
      <c r="N10153" s="552">
        <v>5104</v>
      </c>
      <c r="R10153" s="539">
        <v>784.17700039184956</v>
      </c>
      <c r="S10153" s="539">
        <v>784.51043691222606</v>
      </c>
      <c r="T10153" s="538">
        <v>15.52</v>
      </c>
      <c r="U10153" s="538">
        <v>39.32</v>
      </c>
      <c r="V10153" s="538">
        <v>3</v>
      </c>
    </row>
    <row r="10154" spans="1:22">
      <c r="A10154" s="499">
        <v>45839</v>
      </c>
      <c r="B10154" s="499">
        <v>45840</v>
      </c>
      <c r="C10154" s="500" t="s">
        <v>173</v>
      </c>
      <c r="D10154" s="500" t="s">
        <v>761</v>
      </c>
      <c r="E10154" s="501">
        <v>5007030.1100000003</v>
      </c>
      <c r="F10154" s="502" t="s">
        <v>878</v>
      </c>
      <c r="G10154" s="100">
        <v>117761755</v>
      </c>
      <c r="H10154" s="100">
        <v>117761755</v>
      </c>
      <c r="I10154" s="422" t="s">
        <v>596</v>
      </c>
      <c r="J10154" s="484"/>
      <c r="K10154" s="548"/>
      <c r="L10154" s="548"/>
      <c r="M10154" s="548"/>
      <c r="N10154" s="552">
        <v>4760</v>
      </c>
      <c r="R10154" s="539">
        <v>1051.45</v>
      </c>
      <c r="S10154" s="539">
        <v>1051.8970819327701</v>
      </c>
      <c r="T10154" s="538">
        <v>15.52</v>
      </c>
      <c r="U10154" s="538">
        <v>39.32</v>
      </c>
      <c r="V10154" s="538">
        <v>3.75</v>
      </c>
    </row>
    <row r="10155" spans="1:22">
      <c r="A10155" s="499">
        <v>45839</v>
      </c>
      <c r="B10155" s="499">
        <v>45840</v>
      </c>
      <c r="C10155" s="500" t="s">
        <v>173</v>
      </c>
      <c r="D10155" s="500" t="s">
        <v>761</v>
      </c>
      <c r="E10155" s="501">
        <v>5002315.51</v>
      </c>
      <c r="F10155" s="502" t="s">
        <v>878</v>
      </c>
      <c r="G10155" s="100">
        <v>117761758</v>
      </c>
      <c r="H10155" s="100">
        <v>117761758</v>
      </c>
      <c r="I10155" s="422" t="s">
        <v>674</v>
      </c>
      <c r="J10155" s="484"/>
      <c r="K10155" s="548"/>
      <c r="L10155" s="548"/>
      <c r="M10155" s="548"/>
      <c r="N10155" s="552">
        <v>5400</v>
      </c>
      <c r="R10155" s="539">
        <v>925.96100000000001</v>
      </c>
      <c r="S10155" s="539">
        <v>926.35472407407406</v>
      </c>
      <c r="T10155" s="538">
        <v>15.52</v>
      </c>
      <c r="U10155" s="538">
        <v>39.32</v>
      </c>
      <c r="V10155" s="538">
        <v>3.75</v>
      </c>
    </row>
    <row r="10156" spans="1:22">
      <c r="A10156" s="499">
        <v>45839</v>
      </c>
      <c r="B10156" s="499">
        <v>45840</v>
      </c>
      <c r="C10156" s="500" t="s">
        <v>173</v>
      </c>
      <c r="D10156" s="500" t="s">
        <v>761</v>
      </c>
      <c r="E10156" s="501">
        <v>6006964.7800000003</v>
      </c>
      <c r="F10156" s="502" t="s">
        <v>878</v>
      </c>
      <c r="G10156" s="100">
        <v>117761761</v>
      </c>
      <c r="H10156" s="100">
        <v>117761761</v>
      </c>
      <c r="I10156" s="422" t="s">
        <v>600</v>
      </c>
      <c r="J10156" s="484"/>
      <c r="K10156" s="548"/>
      <c r="L10156" s="548"/>
      <c r="M10156" s="548"/>
      <c r="N10156" s="552">
        <v>6198</v>
      </c>
      <c r="R10156" s="539">
        <v>968.7660003226847</v>
      </c>
      <c r="S10156" s="539">
        <v>969.17792513714096</v>
      </c>
      <c r="T10156" s="538">
        <v>15.52</v>
      </c>
      <c r="U10156" s="538">
        <v>39.32</v>
      </c>
      <c r="V10156" s="538">
        <v>4.5</v>
      </c>
    </row>
    <row r="10157" spans="1:22">
      <c r="A10157" s="499">
        <v>45839</v>
      </c>
      <c r="B10157" s="499">
        <v>45840</v>
      </c>
      <c r="C10157" s="500" t="s">
        <v>173</v>
      </c>
      <c r="D10157" s="500" t="s">
        <v>761</v>
      </c>
      <c r="E10157" s="501">
        <v>6004516.2400000002</v>
      </c>
      <c r="F10157" s="502" t="s">
        <v>878</v>
      </c>
      <c r="G10157" s="100">
        <v>117761764</v>
      </c>
      <c r="H10157" s="100">
        <v>117761764</v>
      </c>
      <c r="I10157" s="422" t="s">
        <v>676</v>
      </c>
      <c r="J10157" s="484"/>
      <c r="K10157" s="548"/>
      <c r="L10157" s="548"/>
      <c r="M10157" s="548"/>
      <c r="N10157" s="552">
        <v>6348</v>
      </c>
      <c r="R10157" s="539">
        <v>945.48899968494015</v>
      </c>
      <c r="S10157" s="539">
        <v>945.89102709514805</v>
      </c>
      <c r="T10157" s="538">
        <v>15.52</v>
      </c>
      <c r="U10157" s="538">
        <v>39.32</v>
      </c>
      <c r="V10157" s="538">
        <v>4.5</v>
      </c>
    </row>
    <row r="10158" spans="1:22">
      <c r="A10158" s="499">
        <v>45839</v>
      </c>
      <c r="B10158" s="499">
        <v>45840</v>
      </c>
      <c r="C10158" s="500" t="s">
        <v>173</v>
      </c>
      <c r="D10158" s="500" t="s">
        <v>761</v>
      </c>
      <c r="E10158" s="501">
        <v>6004914.0300000003</v>
      </c>
      <c r="F10158" s="502" t="s">
        <v>878</v>
      </c>
      <c r="G10158" s="100">
        <v>117761767</v>
      </c>
      <c r="H10158" s="100">
        <v>117761767</v>
      </c>
      <c r="I10158" s="422" t="s">
        <v>695</v>
      </c>
      <c r="J10158" s="484"/>
      <c r="K10158" s="548"/>
      <c r="L10158" s="548"/>
      <c r="M10158" s="548"/>
      <c r="N10158" s="552">
        <v>7908</v>
      </c>
      <c r="R10158" s="539">
        <v>759.02399974709158</v>
      </c>
      <c r="S10158" s="539">
        <v>759.34674127465905</v>
      </c>
      <c r="T10158" s="538">
        <v>15.52</v>
      </c>
      <c r="U10158" s="538">
        <v>39.32</v>
      </c>
      <c r="V10158" s="538">
        <v>4.5</v>
      </c>
    </row>
    <row r="10159" spans="1:22">
      <c r="A10159" s="499">
        <v>45839</v>
      </c>
      <c r="B10159" s="499">
        <v>45840</v>
      </c>
      <c r="C10159" s="500" t="s">
        <v>173</v>
      </c>
      <c r="D10159" s="500" t="s">
        <v>761</v>
      </c>
      <c r="E10159" s="501">
        <v>7006649.8200000003</v>
      </c>
      <c r="F10159" s="502" t="s">
        <v>878</v>
      </c>
      <c r="G10159" s="100">
        <v>117761770</v>
      </c>
      <c r="H10159" s="100">
        <v>117761770</v>
      </c>
      <c r="I10159" s="422" t="s">
        <v>696</v>
      </c>
      <c r="J10159" s="484"/>
      <c r="K10159" s="548"/>
      <c r="L10159" s="548"/>
      <c r="M10159" s="548"/>
      <c r="N10159" s="552">
        <v>8449</v>
      </c>
      <c r="R10159" s="539">
        <v>828.93500059178609</v>
      </c>
      <c r="S10159" s="539">
        <v>829.28746833944899</v>
      </c>
      <c r="T10159" s="538">
        <v>15.52</v>
      </c>
      <c r="U10159" s="538">
        <v>39.32</v>
      </c>
      <c r="V10159" s="538">
        <v>5.25</v>
      </c>
    </row>
    <row r="10160" spans="1:22">
      <c r="A10160" s="499">
        <v>45839</v>
      </c>
      <c r="B10160" s="499">
        <v>45840</v>
      </c>
      <c r="C10160" s="500" t="s">
        <v>173</v>
      </c>
      <c r="D10160" s="500" t="s">
        <v>761</v>
      </c>
      <c r="E10160" s="501">
        <v>7005746.2699999996</v>
      </c>
      <c r="F10160" s="502" t="s">
        <v>878</v>
      </c>
      <c r="G10160" s="100">
        <v>117761773</v>
      </c>
      <c r="H10160" s="100">
        <v>117761773</v>
      </c>
      <c r="I10160" s="422" t="s">
        <v>550</v>
      </c>
      <c r="J10160" s="484"/>
      <c r="K10160" s="548"/>
      <c r="L10160" s="548"/>
      <c r="M10160" s="548"/>
      <c r="N10160" s="552">
        <v>13230</v>
      </c>
      <c r="R10160" s="539">
        <v>529.3097996976569</v>
      </c>
      <c r="S10160" s="539">
        <v>529.53486545729402</v>
      </c>
      <c r="T10160" s="538">
        <v>15.52</v>
      </c>
      <c r="U10160" s="538">
        <v>39.32</v>
      </c>
      <c r="V10160" s="538">
        <v>5.25</v>
      </c>
    </row>
    <row r="10161" spans="1:22">
      <c r="A10161" s="499">
        <v>45839</v>
      </c>
      <c r="B10161" s="499">
        <v>45840</v>
      </c>
      <c r="C10161" s="500" t="s">
        <v>173</v>
      </c>
      <c r="D10161" s="500" t="s">
        <v>761</v>
      </c>
      <c r="E10161" s="501">
        <v>8003704.8099999996</v>
      </c>
      <c r="F10161" s="502" t="s">
        <v>878</v>
      </c>
      <c r="G10161" s="100">
        <v>117761776</v>
      </c>
      <c r="H10161" s="100">
        <v>117761776</v>
      </c>
      <c r="I10161" s="422" t="s">
        <v>674</v>
      </c>
      <c r="J10161" s="484"/>
      <c r="K10161" s="548"/>
      <c r="L10161" s="548"/>
      <c r="M10161" s="548"/>
      <c r="N10161" s="552">
        <v>8640</v>
      </c>
      <c r="R10161" s="539">
        <v>925.96100000000001</v>
      </c>
      <c r="S10161" s="539">
        <v>926.35472337962995</v>
      </c>
      <c r="T10161" s="538">
        <v>15.52</v>
      </c>
      <c r="U10161" s="538">
        <v>39.32</v>
      </c>
      <c r="V10161" s="538">
        <v>6</v>
      </c>
    </row>
    <row r="10162" spans="1:22">
      <c r="A10162" s="499">
        <v>45839</v>
      </c>
      <c r="B10162" s="499">
        <v>45840</v>
      </c>
      <c r="C10162" s="500" t="s">
        <v>173</v>
      </c>
      <c r="D10162" s="500" t="s">
        <v>761</v>
      </c>
      <c r="E10162" s="501">
        <v>8003704.8099999996</v>
      </c>
      <c r="F10162" s="502" t="s">
        <v>878</v>
      </c>
      <c r="G10162" s="100">
        <v>117761779</v>
      </c>
      <c r="H10162" s="100">
        <v>117761779</v>
      </c>
      <c r="I10162" s="422" t="s">
        <v>674</v>
      </c>
      <c r="J10162" s="484"/>
      <c r="K10162" s="548"/>
      <c r="L10162" s="548"/>
      <c r="M10162" s="548"/>
      <c r="N10162" s="552">
        <v>8640</v>
      </c>
      <c r="R10162" s="539">
        <v>925.96100000000001</v>
      </c>
      <c r="S10162" s="539">
        <v>926.35472337962995</v>
      </c>
      <c r="T10162" s="538">
        <v>15.52</v>
      </c>
      <c r="U10162" s="538">
        <v>39.32</v>
      </c>
      <c r="V10162" s="538">
        <v>6</v>
      </c>
    </row>
    <row r="10163" spans="1:22">
      <c r="A10163" s="499">
        <v>45839</v>
      </c>
      <c r="B10163" s="499">
        <v>45840</v>
      </c>
      <c r="C10163" s="500" t="s">
        <v>173</v>
      </c>
      <c r="D10163" s="500" t="s">
        <v>761</v>
      </c>
      <c r="E10163" s="501">
        <v>8004055.2400000002</v>
      </c>
      <c r="F10163" s="502" t="s">
        <v>878</v>
      </c>
      <c r="G10163" s="100">
        <v>117761782</v>
      </c>
      <c r="H10163" s="100">
        <v>117761782</v>
      </c>
      <c r="I10163" s="422" t="s">
        <v>588</v>
      </c>
      <c r="J10163" s="484"/>
      <c r="K10163" s="548"/>
      <c r="L10163" s="548"/>
      <c r="M10163" s="548"/>
      <c r="N10163" s="552">
        <v>7368</v>
      </c>
      <c r="R10163" s="539">
        <v>1085.865</v>
      </c>
      <c r="S10163" s="539">
        <v>1086.3267155266001</v>
      </c>
      <c r="T10163" s="538">
        <v>15.52</v>
      </c>
      <c r="U10163" s="538">
        <v>39.32</v>
      </c>
      <c r="V10163" s="538">
        <v>6</v>
      </c>
    </row>
    <row r="10164" spans="1:22">
      <c r="A10164" s="499">
        <v>45839</v>
      </c>
      <c r="B10164" s="499">
        <v>45840</v>
      </c>
      <c r="C10164" s="500" t="s">
        <v>173</v>
      </c>
      <c r="D10164" s="500" t="s">
        <v>761</v>
      </c>
      <c r="E10164" s="501">
        <v>10009330.720000001</v>
      </c>
      <c r="F10164" s="502" t="s">
        <v>878</v>
      </c>
      <c r="G10164" s="100">
        <v>117761785</v>
      </c>
      <c r="H10164" s="100">
        <v>117761785</v>
      </c>
      <c r="I10164" s="422" t="s">
        <v>604</v>
      </c>
      <c r="J10164" s="484"/>
      <c r="K10164" s="548"/>
      <c r="L10164" s="548"/>
      <c r="M10164" s="548"/>
      <c r="N10164" s="552">
        <v>9790</v>
      </c>
      <c r="R10164" s="539">
        <v>1021.9689999999999</v>
      </c>
      <c r="S10164" s="539">
        <v>1022.403546476</v>
      </c>
      <c r="T10164" s="538">
        <v>15.52</v>
      </c>
      <c r="U10164" s="538">
        <v>39.32</v>
      </c>
      <c r="V10164" s="538">
        <v>7.5</v>
      </c>
    </row>
    <row r="10165" spans="1:22">
      <c r="A10165" s="499">
        <v>45839</v>
      </c>
      <c r="B10165" s="499">
        <v>45840</v>
      </c>
      <c r="C10165" s="500" t="s">
        <v>173</v>
      </c>
      <c r="D10165" s="500" t="s">
        <v>761</v>
      </c>
      <c r="E10165" s="501">
        <v>10014074.65</v>
      </c>
      <c r="F10165" s="502" t="s">
        <v>878</v>
      </c>
      <c r="G10165" s="100">
        <v>117761788</v>
      </c>
      <c r="H10165" s="100">
        <v>117761788</v>
      </c>
      <c r="I10165" s="422" t="s">
        <v>816</v>
      </c>
      <c r="J10165" s="484"/>
      <c r="K10165" s="548"/>
      <c r="L10165" s="548"/>
      <c r="M10165" s="548"/>
      <c r="N10165" s="552">
        <v>9870</v>
      </c>
      <c r="R10165" s="539">
        <v>1014.1659999999999</v>
      </c>
      <c r="S10165" s="539">
        <v>1014.5972289767</v>
      </c>
      <c r="T10165" s="538">
        <v>15.52</v>
      </c>
      <c r="U10165" s="538">
        <v>39.32</v>
      </c>
      <c r="V10165" s="538">
        <v>7.51</v>
      </c>
    </row>
    <row r="10166" spans="1:22">
      <c r="A10166" s="499">
        <v>45839</v>
      </c>
      <c r="B10166" s="499">
        <v>45840</v>
      </c>
      <c r="C10166" s="500" t="s">
        <v>173</v>
      </c>
      <c r="D10166" s="500" t="s">
        <v>761</v>
      </c>
      <c r="E10166" s="501">
        <v>10012360.800000001</v>
      </c>
      <c r="F10166" s="502" t="s">
        <v>878</v>
      </c>
      <c r="G10166" s="100">
        <v>117761791</v>
      </c>
      <c r="H10166" s="100">
        <v>117761791</v>
      </c>
      <c r="I10166" s="422" t="s">
        <v>709</v>
      </c>
      <c r="J10166" s="484"/>
      <c r="K10166" s="548"/>
      <c r="L10166" s="548"/>
      <c r="M10166" s="548"/>
      <c r="N10166" s="552">
        <v>10980</v>
      </c>
      <c r="R10166" s="539">
        <v>911.48500000000001</v>
      </c>
      <c r="S10166" s="539">
        <v>911.87256830601098</v>
      </c>
      <c r="T10166" s="538">
        <v>15.52</v>
      </c>
      <c r="U10166" s="538">
        <v>39.32</v>
      </c>
      <c r="V10166" s="538">
        <v>7.51</v>
      </c>
    </row>
    <row r="10167" spans="1:22">
      <c r="A10167" s="499">
        <v>45839</v>
      </c>
      <c r="B10167" s="499">
        <v>45840</v>
      </c>
      <c r="C10167" s="500" t="s">
        <v>173</v>
      </c>
      <c r="D10167" s="500" t="s">
        <v>761</v>
      </c>
      <c r="E10167" s="501">
        <v>15021111.970000001</v>
      </c>
      <c r="F10167" s="502" t="s">
        <v>878</v>
      </c>
      <c r="G10167" s="100">
        <v>117761794</v>
      </c>
      <c r="H10167" s="100">
        <v>117761794</v>
      </c>
      <c r="I10167" s="422" t="s">
        <v>816</v>
      </c>
      <c r="J10167" s="484"/>
      <c r="K10167" s="548"/>
      <c r="L10167" s="548"/>
      <c r="M10167" s="548"/>
      <c r="N10167" s="552">
        <v>14805</v>
      </c>
      <c r="R10167" s="539">
        <v>1014.1660000000001</v>
      </c>
      <c r="S10167" s="539">
        <v>1014.59722863897</v>
      </c>
      <c r="T10167" s="538">
        <v>15.52</v>
      </c>
      <c r="U10167" s="538">
        <v>39.32</v>
      </c>
      <c r="V10167" s="538">
        <v>11.26</v>
      </c>
    </row>
    <row r="10168" spans="1:22">
      <c r="A10168" s="499">
        <v>45839</v>
      </c>
      <c r="B10168" s="499">
        <v>45840</v>
      </c>
      <c r="C10168" s="500" t="s">
        <v>173</v>
      </c>
      <c r="D10168" s="500" t="s">
        <v>761</v>
      </c>
      <c r="E10168" s="501">
        <v>15021026.130000001</v>
      </c>
      <c r="F10168" s="502" t="s">
        <v>878</v>
      </c>
      <c r="G10168" s="100">
        <v>117761797</v>
      </c>
      <c r="H10168" s="100">
        <v>117761797</v>
      </c>
      <c r="I10168" s="422" t="s">
        <v>819</v>
      </c>
      <c r="J10168" s="484"/>
      <c r="K10168" s="548"/>
      <c r="L10168" s="548"/>
      <c r="M10168" s="548"/>
      <c r="N10168" s="552">
        <v>14745</v>
      </c>
      <c r="R10168" s="539">
        <v>1018.287000339098</v>
      </c>
      <c r="S10168" s="539">
        <v>1018.71998168871</v>
      </c>
      <c r="T10168" s="538">
        <v>15.52</v>
      </c>
      <c r="U10168" s="538">
        <v>39.32</v>
      </c>
      <c r="V10168" s="538">
        <v>11.26</v>
      </c>
    </row>
    <row r="10169" spans="1:22">
      <c r="A10169" s="499">
        <v>45839</v>
      </c>
      <c r="B10169" s="499">
        <v>45840</v>
      </c>
      <c r="C10169" s="500" t="s">
        <v>173</v>
      </c>
      <c r="D10169" s="500" t="s">
        <v>761</v>
      </c>
      <c r="E10169" s="501">
        <v>16022519.439999999</v>
      </c>
      <c r="F10169" s="502" t="s">
        <v>878</v>
      </c>
      <c r="G10169" s="100">
        <v>117761800</v>
      </c>
      <c r="H10169" s="100">
        <v>117761800</v>
      </c>
      <c r="I10169" s="422" t="s">
        <v>816</v>
      </c>
      <c r="J10169" s="484"/>
      <c r="K10169" s="548"/>
      <c r="L10169" s="548"/>
      <c r="M10169" s="548"/>
      <c r="N10169" s="552">
        <v>15792</v>
      </c>
      <c r="R10169" s="539">
        <v>1014.1659998733536</v>
      </c>
      <c r="S10169" s="539">
        <v>1014.5972289767</v>
      </c>
      <c r="T10169" s="538">
        <v>15.52</v>
      </c>
      <c r="U10169" s="538">
        <v>39.32</v>
      </c>
      <c r="V10169" s="538">
        <v>12.01</v>
      </c>
    </row>
    <row r="10170" spans="1:22">
      <c r="A10170" s="499">
        <v>45839</v>
      </c>
      <c r="B10170" s="499">
        <v>45840</v>
      </c>
      <c r="C10170" s="500" t="s">
        <v>173</v>
      </c>
      <c r="D10170" s="500" t="s">
        <v>761</v>
      </c>
      <c r="E10170" s="501">
        <v>17007872.73</v>
      </c>
      <c r="F10170" s="502" t="s">
        <v>878</v>
      </c>
      <c r="G10170" s="100">
        <v>117761803</v>
      </c>
      <c r="H10170" s="100">
        <v>117761803</v>
      </c>
      <c r="I10170" s="422" t="s">
        <v>674</v>
      </c>
      <c r="J10170" s="484"/>
      <c r="K10170" s="548"/>
      <c r="L10170" s="548"/>
      <c r="M10170" s="548"/>
      <c r="N10170" s="552">
        <v>18360</v>
      </c>
      <c r="R10170" s="539">
        <v>925.96100000000001</v>
      </c>
      <c r="S10170" s="539">
        <v>926.35472385620903</v>
      </c>
      <c r="T10170" s="538">
        <v>15.52</v>
      </c>
      <c r="U10170" s="538">
        <v>39.32</v>
      </c>
      <c r="V10170" s="538">
        <v>12.75</v>
      </c>
    </row>
    <row r="10171" spans="1:22">
      <c r="A10171" s="499">
        <v>45839</v>
      </c>
      <c r="B10171" s="499">
        <v>45840</v>
      </c>
      <c r="C10171" s="500" t="s">
        <v>173</v>
      </c>
      <c r="D10171" s="500" t="s">
        <v>761</v>
      </c>
      <c r="E10171" s="501">
        <v>18013548.719999999</v>
      </c>
      <c r="F10171" s="502" t="s">
        <v>878</v>
      </c>
      <c r="G10171" s="100">
        <v>117761806</v>
      </c>
      <c r="H10171" s="100">
        <v>117761806</v>
      </c>
      <c r="I10171" s="422" t="s">
        <v>676</v>
      </c>
      <c r="J10171" s="484"/>
      <c r="K10171" s="548"/>
      <c r="L10171" s="548"/>
      <c r="M10171" s="548"/>
      <c r="N10171" s="552">
        <v>19044</v>
      </c>
      <c r="R10171" s="539">
        <v>945.48900021003988</v>
      </c>
      <c r="S10171" s="539">
        <v>945.89102709514805</v>
      </c>
      <c r="T10171" s="538">
        <v>15.52</v>
      </c>
      <c r="U10171" s="538">
        <v>39.32</v>
      </c>
      <c r="V10171" s="538">
        <v>13.5</v>
      </c>
    </row>
    <row r="10172" spans="1:22">
      <c r="A10172" s="499">
        <v>45839</v>
      </c>
      <c r="B10172" s="499">
        <v>45840</v>
      </c>
      <c r="C10172" s="500" t="s">
        <v>173</v>
      </c>
      <c r="D10172" s="500" t="s">
        <v>761</v>
      </c>
      <c r="E10172" s="501">
        <v>20021052.960000001</v>
      </c>
      <c r="F10172" s="502" t="s">
        <v>878</v>
      </c>
      <c r="G10172" s="100">
        <v>117761809</v>
      </c>
      <c r="H10172" s="100">
        <v>117761809</v>
      </c>
      <c r="I10172" s="422" t="s">
        <v>602</v>
      </c>
      <c r="J10172" s="484"/>
      <c r="K10172" s="548"/>
      <c r="L10172" s="548"/>
      <c r="M10172" s="548"/>
      <c r="N10172" s="552">
        <v>21920</v>
      </c>
      <c r="R10172" s="539">
        <v>912.98099999999999</v>
      </c>
      <c r="S10172" s="539">
        <v>913.36920437956201</v>
      </c>
      <c r="T10172" s="538">
        <v>15.52</v>
      </c>
      <c r="U10172" s="538">
        <v>39.32</v>
      </c>
      <c r="V10172" s="538">
        <v>15.01</v>
      </c>
    </row>
    <row r="10173" spans="1:22">
      <c r="A10173" s="499">
        <v>45839</v>
      </c>
      <c r="B10173" s="499">
        <v>45840</v>
      </c>
      <c r="C10173" s="500" t="s">
        <v>173</v>
      </c>
      <c r="D10173" s="500" t="s">
        <v>761</v>
      </c>
      <c r="E10173" s="501">
        <v>20020997.300000001</v>
      </c>
      <c r="F10173" s="502" t="s">
        <v>878</v>
      </c>
      <c r="G10173" s="100">
        <v>117761812</v>
      </c>
      <c r="H10173" s="100">
        <v>117761812</v>
      </c>
      <c r="I10173" s="422" t="s">
        <v>689</v>
      </c>
      <c r="J10173" s="484"/>
      <c r="K10173" s="548"/>
      <c r="L10173" s="548"/>
      <c r="M10173" s="548"/>
      <c r="N10173" s="552">
        <v>21560</v>
      </c>
      <c r="R10173" s="539">
        <v>928.22299999999996</v>
      </c>
      <c r="S10173" s="539">
        <v>928.61768552875697</v>
      </c>
      <c r="T10173" s="538">
        <v>15.52</v>
      </c>
      <c r="U10173" s="538">
        <v>39.32</v>
      </c>
      <c r="V10173" s="538">
        <v>15.01</v>
      </c>
    </row>
    <row r="10174" spans="1:22">
      <c r="A10174" s="499">
        <v>45839</v>
      </c>
      <c r="B10174" s="499">
        <v>45840</v>
      </c>
      <c r="C10174" s="500" t="s">
        <v>173</v>
      </c>
      <c r="D10174" s="500" t="s">
        <v>761</v>
      </c>
      <c r="E10174" s="501">
        <v>20010745.859999999</v>
      </c>
      <c r="F10174" s="502" t="s">
        <v>878</v>
      </c>
      <c r="G10174" s="100">
        <v>117761815</v>
      </c>
      <c r="H10174" s="100">
        <v>117761815</v>
      </c>
      <c r="I10174" s="422" t="s">
        <v>657</v>
      </c>
      <c r="J10174" s="484"/>
      <c r="K10174" s="548"/>
      <c r="L10174" s="548"/>
      <c r="M10174" s="548"/>
      <c r="N10174" s="552">
        <v>20400</v>
      </c>
      <c r="R10174" s="539">
        <v>980.50200000000007</v>
      </c>
      <c r="S10174" s="539">
        <v>980.918914705882</v>
      </c>
      <c r="T10174" s="538">
        <v>15.52</v>
      </c>
      <c r="U10174" s="538">
        <v>39.32</v>
      </c>
      <c r="V10174" s="538">
        <v>15</v>
      </c>
    </row>
    <row r="10175" spans="1:22">
      <c r="A10175" s="499">
        <v>45839</v>
      </c>
      <c r="B10175" s="499">
        <v>45840</v>
      </c>
      <c r="C10175" s="500" t="s">
        <v>173</v>
      </c>
      <c r="D10175" s="500" t="s">
        <v>761</v>
      </c>
      <c r="E10175" s="501">
        <v>23011658.82</v>
      </c>
      <c r="F10175" s="502" t="s">
        <v>878</v>
      </c>
      <c r="G10175" s="100">
        <v>117761818</v>
      </c>
      <c r="H10175" s="100">
        <v>117761818</v>
      </c>
      <c r="I10175" s="422" t="s">
        <v>588</v>
      </c>
      <c r="J10175" s="484"/>
      <c r="K10175" s="548"/>
      <c r="L10175" s="548"/>
      <c r="M10175" s="548"/>
      <c r="N10175" s="552">
        <v>21183</v>
      </c>
      <c r="R10175" s="539">
        <v>1085.8650002360384</v>
      </c>
      <c r="S10175" s="539">
        <v>1086.3267157626401</v>
      </c>
      <c r="T10175" s="538">
        <v>15.52</v>
      </c>
      <c r="U10175" s="538">
        <v>39.32</v>
      </c>
      <c r="V10175" s="538">
        <v>17.25</v>
      </c>
    </row>
    <row r="10176" spans="1:22">
      <c r="A10176" s="499">
        <v>45839</v>
      </c>
      <c r="B10176" s="499">
        <v>45840</v>
      </c>
      <c r="C10176" s="500" t="s">
        <v>173</v>
      </c>
      <c r="D10176" s="500" t="s">
        <v>761</v>
      </c>
      <c r="E10176" s="501">
        <v>23014891.579999998</v>
      </c>
      <c r="F10176" s="502" t="s">
        <v>878</v>
      </c>
      <c r="G10176" s="100">
        <v>117761821</v>
      </c>
      <c r="H10176" s="100">
        <v>117761821</v>
      </c>
      <c r="I10176" s="422" t="s">
        <v>717</v>
      </c>
      <c r="J10176" s="484"/>
      <c r="K10176" s="548"/>
      <c r="L10176" s="548"/>
      <c r="M10176" s="548"/>
      <c r="N10176" s="552">
        <v>36340</v>
      </c>
      <c r="R10176" s="539">
        <v>633.05200000000002</v>
      </c>
      <c r="S10176" s="539">
        <v>633.32117721519</v>
      </c>
      <c r="T10176" s="538">
        <v>15.52</v>
      </c>
      <c r="U10176" s="538">
        <v>39.32</v>
      </c>
      <c r="V10176" s="538">
        <v>17.25</v>
      </c>
    </row>
    <row r="10177" spans="1:22">
      <c r="A10177" s="499">
        <v>45839</v>
      </c>
      <c r="B10177" s="499">
        <v>45840</v>
      </c>
      <c r="C10177" s="500" t="s">
        <v>173</v>
      </c>
      <c r="D10177" s="500" t="s">
        <v>761</v>
      </c>
      <c r="E10177" s="501">
        <v>23011091.649999999</v>
      </c>
      <c r="F10177" s="502" t="s">
        <v>878</v>
      </c>
      <c r="G10177" s="100">
        <v>117761824</v>
      </c>
      <c r="H10177" s="100">
        <v>117761824</v>
      </c>
      <c r="I10177" s="422" t="s">
        <v>824</v>
      </c>
      <c r="J10177" s="484"/>
      <c r="K10177" s="548"/>
      <c r="L10177" s="548"/>
      <c r="M10177" s="548"/>
      <c r="N10177" s="552">
        <v>22586</v>
      </c>
      <c r="R10177" s="539">
        <v>1018.3880000885505</v>
      </c>
      <c r="S10177" s="539">
        <v>1018.82102408572</v>
      </c>
      <c r="T10177" s="538">
        <v>15.52</v>
      </c>
      <c r="U10177" s="538">
        <v>39.32</v>
      </c>
      <c r="V10177" s="538">
        <v>17.25</v>
      </c>
    </row>
    <row r="10178" spans="1:22">
      <c r="A10178" s="499">
        <v>45839</v>
      </c>
      <c r="B10178" s="499">
        <v>45840</v>
      </c>
      <c r="C10178" s="500" t="s">
        <v>173</v>
      </c>
      <c r="D10178" s="500" t="s">
        <v>761</v>
      </c>
      <c r="E10178" s="501">
        <v>24031943.239999998</v>
      </c>
      <c r="F10178" s="502" t="s">
        <v>878</v>
      </c>
      <c r="G10178" s="100">
        <v>117761827</v>
      </c>
      <c r="H10178" s="100">
        <v>117761827</v>
      </c>
      <c r="I10178" s="422" t="s">
        <v>590</v>
      </c>
      <c r="J10178" s="484"/>
      <c r="K10178" s="548"/>
      <c r="L10178" s="548"/>
      <c r="M10178" s="548"/>
      <c r="N10178" s="552">
        <v>25416</v>
      </c>
      <c r="R10178" s="539">
        <v>945.14199992130943</v>
      </c>
      <c r="S10178" s="539">
        <v>945.54387944601797</v>
      </c>
      <c r="T10178" s="538">
        <v>15.52</v>
      </c>
      <c r="U10178" s="538">
        <v>39.32</v>
      </c>
      <c r="V10178" s="538">
        <v>18.02</v>
      </c>
    </row>
    <row r="10179" spans="1:22">
      <c r="A10179" s="499">
        <v>45839</v>
      </c>
      <c r="B10179" s="499">
        <v>45840</v>
      </c>
      <c r="C10179" s="500" t="s">
        <v>173</v>
      </c>
      <c r="D10179" s="500" t="s">
        <v>761</v>
      </c>
      <c r="E10179" s="501">
        <v>24019656.120000001</v>
      </c>
      <c r="F10179" s="502" t="s">
        <v>878</v>
      </c>
      <c r="G10179" s="100">
        <v>117761830</v>
      </c>
      <c r="H10179" s="100">
        <v>117761830</v>
      </c>
      <c r="I10179" s="422" t="s">
        <v>695</v>
      </c>
      <c r="J10179" s="484"/>
      <c r="K10179" s="548"/>
      <c r="L10179" s="548"/>
      <c r="M10179" s="548"/>
      <c r="N10179" s="552">
        <v>31632</v>
      </c>
      <c r="R10179" s="539">
        <v>759.02400006322716</v>
      </c>
      <c r="S10179" s="539">
        <v>759.34674127465905</v>
      </c>
      <c r="T10179" s="538">
        <v>15.52</v>
      </c>
      <c r="U10179" s="538">
        <v>39.32</v>
      </c>
      <c r="V10179" s="538">
        <v>18.010000000000002</v>
      </c>
    </row>
    <row r="10180" spans="1:22">
      <c r="A10180" s="499">
        <v>45839</v>
      </c>
      <c r="B10180" s="499">
        <v>45840</v>
      </c>
      <c r="C10180" s="500" t="s">
        <v>173</v>
      </c>
      <c r="D10180" s="500" t="s">
        <v>761</v>
      </c>
      <c r="E10180" s="501">
        <v>25035150.559999999</v>
      </c>
      <c r="F10180" s="502" t="s">
        <v>878</v>
      </c>
      <c r="G10180" s="100">
        <v>117761833</v>
      </c>
      <c r="H10180" s="100">
        <v>117761833</v>
      </c>
      <c r="I10180" s="422" t="s">
        <v>596</v>
      </c>
      <c r="J10180" s="484"/>
      <c r="K10180" s="548"/>
      <c r="L10180" s="548"/>
      <c r="M10180" s="548"/>
      <c r="N10180" s="552">
        <v>23800</v>
      </c>
      <c r="R10180" s="539">
        <v>1051.45</v>
      </c>
      <c r="S10180" s="539">
        <v>1051.8970823529401</v>
      </c>
      <c r="T10180" s="538">
        <v>15.52</v>
      </c>
      <c r="U10180" s="538">
        <v>39.32</v>
      </c>
      <c r="V10180" s="538">
        <v>18.77</v>
      </c>
    </row>
    <row r="10181" spans="1:22">
      <c r="A10181" s="499">
        <v>45839</v>
      </c>
      <c r="B10181" s="499">
        <v>45840</v>
      </c>
      <c r="C10181" s="500" t="s">
        <v>173</v>
      </c>
      <c r="D10181" s="500" t="s">
        <v>761</v>
      </c>
      <c r="E10181" s="501">
        <v>26035811.359999999</v>
      </c>
      <c r="F10181" s="502" t="s">
        <v>878</v>
      </c>
      <c r="G10181" s="100">
        <v>117761836</v>
      </c>
      <c r="H10181" s="100">
        <v>117761836</v>
      </c>
      <c r="I10181" s="422" t="s">
        <v>821</v>
      </c>
      <c r="J10181" s="484"/>
      <c r="K10181" s="548"/>
      <c r="L10181" s="548"/>
      <c r="M10181" s="548"/>
      <c r="N10181" s="552">
        <v>24050</v>
      </c>
      <c r="R10181" s="539">
        <v>1082.1099999999999</v>
      </c>
      <c r="S10181" s="539">
        <v>1082.5701189189199</v>
      </c>
      <c r="T10181" s="538">
        <v>15.52</v>
      </c>
      <c r="U10181" s="538">
        <v>39.32</v>
      </c>
      <c r="V10181" s="538">
        <v>19.52</v>
      </c>
    </row>
    <row r="10182" spans="1:22">
      <c r="A10182" s="499">
        <v>45839</v>
      </c>
      <c r="B10182" s="499">
        <v>45840</v>
      </c>
      <c r="C10182" s="500" t="s">
        <v>173</v>
      </c>
      <c r="D10182" s="500" t="s">
        <v>761</v>
      </c>
      <c r="E10182" s="501">
        <v>26015581.09</v>
      </c>
      <c r="F10182" s="502" t="s">
        <v>878</v>
      </c>
      <c r="G10182" s="100">
        <v>117761839</v>
      </c>
      <c r="H10182" s="100">
        <v>117761839</v>
      </c>
      <c r="I10182" s="422" t="s">
        <v>598</v>
      </c>
      <c r="J10182" s="484"/>
      <c r="K10182" s="548"/>
      <c r="L10182" s="548"/>
      <c r="M10182" s="548"/>
      <c r="N10182" s="552">
        <v>25558</v>
      </c>
      <c r="R10182" s="539">
        <v>1017.4710000782534</v>
      </c>
      <c r="S10182" s="539">
        <v>1017.90363447844</v>
      </c>
      <c r="T10182" s="538">
        <v>15.52</v>
      </c>
      <c r="U10182" s="538">
        <v>39.32</v>
      </c>
      <c r="V10182" s="538">
        <v>19.5</v>
      </c>
    </row>
    <row r="10183" spans="1:22">
      <c r="A10183" s="499">
        <v>45839</v>
      </c>
      <c r="B10183" s="499">
        <v>45840</v>
      </c>
      <c r="C10183" s="500" t="s">
        <v>173</v>
      </c>
      <c r="D10183" s="500" t="s">
        <v>761</v>
      </c>
      <c r="E10183" s="501">
        <v>27025649.289999999</v>
      </c>
      <c r="F10183" s="502" t="s">
        <v>878</v>
      </c>
      <c r="G10183" s="100">
        <v>117761842</v>
      </c>
      <c r="H10183" s="100">
        <v>117761842</v>
      </c>
      <c r="I10183" s="422" t="s">
        <v>696</v>
      </c>
      <c r="J10183" s="484"/>
      <c r="K10183" s="548"/>
      <c r="L10183" s="548"/>
      <c r="M10183" s="548"/>
      <c r="N10183" s="552">
        <v>32589</v>
      </c>
      <c r="R10183" s="539">
        <v>828.93500015342602</v>
      </c>
      <c r="S10183" s="539">
        <v>829.28746785725195</v>
      </c>
      <c r="T10183" s="538">
        <v>15.52</v>
      </c>
      <c r="U10183" s="538">
        <v>40.520000000000003</v>
      </c>
      <c r="V10183" s="538">
        <v>20.260000000000002</v>
      </c>
    </row>
    <row r="10184" spans="1:22">
      <c r="A10184" s="499">
        <v>45839</v>
      </c>
      <c r="B10184" s="499">
        <v>45840</v>
      </c>
      <c r="C10184" s="500" t="s">
        <v>173</v>
      </c>
      <c r="D10184" s="500" t="s">
        <v>761</v>
      </c>
      <c r="E10184" s="501">
        <v>28022466.239999998</v>
      </c>
      <c r="F10184" s="502" t="s">
        <v>878</v>
      </c>
      <c r="G10184" s="100">
        <v>117761845</v>
      </c>
      <c r="H10184" s="100">
        <v>117761845</v>
      </c>
      <c r="I10184" s="422" t="s">
        <v>675</v>
      </c>
      <c r="J10184" s="484"/>
      <c r="K10184" s="548"/>
      <c r="L10184" s="548"/>
      <c r="M10184" s="548"/>
      <c r="N10184" s="552">
        <v>30240</v>
      </c>
      <c r="R10184" s="539">
        <v>926.27499999999998</v>
      </c>
      <c r="S10184" s="539">
        <v>926.66885714285695</v>
      </c>
      <c r="T10184" s="538">
        <v>15.52</v>
      </c>
      <c r="U10184" s="538">
        <v>42.02</v>
      </c>
      <c r="V10184" s="538">
        <v>21.01</v>
      </c>
    </row>
    <row r="10185" spans="1:22">
      <c r="A10185" s="499">
        <v>45839</v>
      </c>
      <c r="B10185" s="499">
        <v>45840</v>
      </c>
      <c r="C10185" s="500" t="s">
        <v>173</v>
      </c>
      <c r="D10185" s="500" t="s">
        <v>761</v>
      </c>
      <c r="E10185" s="501">
        <v>28028988.870000001</v>
      </c>
      <c r="F10185" s="502" t="s">
        <v>878</v>
      </c>
      <c r="G10185" s="100">
        <v>117761848</v>
      </c>
      <c r="H10185" s="100">
        <v>117761848</v>
      </c>
      <c r="I10185" s="422" t="s">
        <v>706</v>
      </c>
      <c r="J10185" s="484"/>
      <c r="K10185" s="548"/>
      <c r="L10185" s="548"/>
      <c r="M10185" s="548"/>
      <c r="N10185" s="552">
        <v>35728</v>
      </c>
      <c r="R10185" s="539">
        <v>784.177000111957</v>
      </c>
      <c r="S10185" s="539">
        <v>784.51043635244105</v>
      </c>
      <c r="T10185" s="538">
        <v>15.52</v>
      </c>
      <c r="U10185" s="538">
        <v>42.03</v>
      </c>
      <c r="V10185" s="538">
        <v>21.01</v>
      </c>
    </row>
    <row r="10186" spans="1:22">
      <c r="A10186" s="499">
        <v>45839</v>
      </c>
      <c r="B10186" s="499">
        <v>45840</v>
      </c>
      <c r="C10186" s="500" t="s">
        <v>173</v>
      </c>
      <c r="D10186" s="500" t="s">
        <v>761</v>
      </c>
      <c r="E10186" s="501">
        <v>29018103.710000001</v>
      </c>
      <c r="F10186" s="502" t="s">
        <v>878</v>
      </c>
      <c r="G10186" s="100">
        <v>117761851</v>
      </c>
      <c r="H10186" s="100">
        <v>117761851</v>
      </c>
      <c r="I10186" s="422" t="s">
        <v>715</v>
      </c>
      <c r="J10186" s="484"/>
      <c r="K10186" s="548"/>
      <c r="L10186" s="548"/>
      <c r="M10186" s="548"/>
      <c r="N10186" s="552">
        <v>37352</v>
      </c>
      <c r="R10186" s="539">
        <v>776.55199989291066</v>
      </c>
      <c r="S10186" s="539">
        <v>776.88219399229001</v>
      </c>
      <c r="T10186" s="538">
        <v>15.52</v>
      </c>
      <c r="U10186" s="538">
        <v>43.51</v>
      </c>
      <c r="V10186" s="538">
        <v>21.75</v>
      </c>
    </row>
    <row r="10187" spans="1:22">
      <c r="A10187" s="499">
        <v>45839</v>
      </c>
      <c r="B10187" s="499">
        <v>45840</v>
      </c>
      <c r="C10187" s="500" t="s">
        <v>173</v>
      </c>
      <c r="D10187" s="500" t="s">
        <v>761</v>
      </c>
      <c r="E10187" s="501">
        <v>29040650.510000002</v>
      </c>
      <c r="F10187" s="502" t="s">
        <v>878</v>
      </c>
      <c r="G10187" s="100">
        <v>117761854</v>
      </c>
      <c r="H10187" s="100">
        <v>117761854</v>
      </c>
      <c r="I10187" s="422" t="s">
        <v>819</v>
      </c>
      <c r="J10187" s="484"/>
      <c r="K10187" s="548"/>
      <c r="L10187" s="548"/>
      <c r="M10187" s="548"/>
      <c r="N10187" s="552">
        <v>28507</v>
      </c>
      <c r="R10187" s="539">
        <v>1018.2870000350791</v>
      </c>
      <c r="S10187" s="539">
        <v>1018.71998140808</v>
      </c>
      <c r="T10187" s="538">
        <v>15.52</v>
      </c>
      <c r="U10187" s="538">
        <v>43.54</v>
      </c>
      <c r="V10187" s="538">
        <v>21.77</v>
      </c>
    </row>
    <row r="10188" spans="1:22">
      <c r="A10188" s="499">
        <v>45839</v>
      </c>
      <c r="B10188" s="499">
        <v>45840</v>
      </c>
      <c r="C10188" s="500" t="s">
        <v>173</v>
      </c>
      <c r="D10188" s="500" t="s">
        <v>761</v>
      </c>
      <c r="E10188" s="501">
        <v>31035296</v>
      </c>
      <c r="F10188" s="502" t="s">
        <v>878</v>
      </c>
      <c r="G10188" s="100">
        <v>117761857</v>
      </c>
      <c r="H10188" s="100">
        <v>117761857</v>
      </c>
      <c r="I10188" s="422" t="s">
        <v>592</v>
      </c>
      <c r="J10188" s="484"/>
      <c r="K10188" s="548"/>
      <c r="L10188" s="548"/>
      <c r="M10188" s="548"/>
      <c r="N10188" s="552">
        <v>33232</v>
      </c>
      <c r="R10188" s="539">
        <v>933.50099993981701</v>
      </c>
      <c r="S10188" s="539">
        <v>933.89792970630697</v>
      </c>
      <c r="T10188" s="538">
        <v>15.52</v>
      </c>
      <c r="U10188" s="538">
        <v>46.53</v>
      </c>
      <c r="V10188" s="538">
        <v>23.27</v>
      </c>
    </row>
    <row r="10189" spans="1:22">
      <c r="A10189" s="499">
        <v>45839</v>
      </c>
      <c r="B10189" s="499">
        <v>45840</v>
      </c>
      <c r="C10189" s="500" t="s">
        <v>173</v>
      </c>
      <c r="D10189" s="500" t="s">
        <v>761</v>
      </c>
      <c r="E10189" s="501">
        <v>33040790.640000001</v>
      </c>
      <c r="F10189" s="502" t="s">
        <v>878</v>
      </c>
      <c r="G10189" s="100">
        <v>117761860</v>
      </c>
      <c r="H10189" s="100">
        <v>117761860</v>
      </c>
      <c r="I10189" s="422" t="s">
        <v>709</v>
      </c>
      <c r="J10189" s="484"/>
      <c r="K10189" s="548"/>
      <c r="L10189" s="548"/>
      <c r="M10189" s="548"/>
      <c r="N10189" s="552">
        <v>36234</v>
      </c>
      <c r="R10189" s="539">
        <v>911.4849999999999</v>
      </c>
      <c r="S10189" s="539">
        <v>911.87256830601098</v>
      </c>
      <c r="T10189" s="538">
        <v>15.52</v>
      </c>
      <c r="U10189" s="538">
        <v>49.54</v>
      </c>
      <c r="V10189" s="538">
        <v>24.77</v>
      </c>
    </row>
    <row r="10190" spans="1:22">
      <c r="A10190" s="499">
        <v>45839</v>
      </c>
      <c r="B10190" s="499">
        <v>45840</v>
      </c>
      <c r="C10190" s="500" t="s">
        <v>173</v>
      </c>
      <c r="D10190" s="500" t="s">
        <v>761</v>
      </c>
      <c r="E10190" s="501">
        <v>33015642.870000001</v>
      </c>
      <c r="F10190" s="502" t="s">
        <v>878</v>
      </c>
      <c r="G10190" s="100">
        <v>117761863</v>
      </c>
      <c r="H10190" s="100">
        <v>117761863</v>
      </c>
      <c r="I10190" s="422" t="s">
        <v>693</v>
      </c>
      <c r="J10190" s="484"/>
      <c r="K10190" s="548"/>
      <c r="L10190" s="548"/>
      <c r="M10190" s="548"/>
      <c r="N10190" s="552">
        <v>39600</v>
      </c>
      <c r="R10190" s="539">
        <v>833.37399999999991</v>
      </c>
      <c r="S10190" s="539">
        <v>833.72835530302996</v>
      </c>
      <c r="T10190" s="538">
        <v>15.52</v>
      </c>
      <c r="U10190" s="538">
        <v>49.5</v>
      </c>
      <c r="V10190" s="538">
        <v>24.75</v>
      </c>
    </row>
    <row r="10191" spans="1:22">
      <c r="A10191" s="499">
        <v>45839</v>
      </c>
      <c r="B10191" s="499">
        <v>45840</v>
      </c>
      <c r="C10191" s="500" t="s">
        <v>173</v>
      </c>
      <c r="D10191" s="500" t="s">
        <v>761</v>
      </c>
      <c r="E10191" s="501">
        <v>34045520.789999999</v>
      </c>
      <c r="F10191" s="502" t="s">
        <v>878</v>
      </c>
      <c r="G10191" s="100">
        <v>117761866</v>
      </c>
      <c r="H10191" s="100">
        <v>117761866</v>
      </c>
      <c r="I10191" s="422" t="s">
        <v>694</v>
      </c>
      <c r="J10191" s="484"/>
      <c r="K10191" s="548"/>
      <c r="L10191" s="548"/>
      <c r="M10191" s="548"/>
      <c r="N10191" s="552">
        <v>34374</v>
      </c>
      <c r="R10191" s="539">
        <v>990.02299994181658</v>
      </c>
      <c r="S10191" s="539">
        <v>990.44396316983796</v>
      </c>
      <c r="T10191" s="538">
        <v>15.52</v>
      </c>
      <c r="U10191" s="538">
        <v>51.05</v>
      </c>
      <c r="V10191" s="538">
        <v>25.52</v>
      </c>
    </row>
    <row r="10192" spans="1:22">
      <c r="A10192" s="499">
        <v>45839</v>
      </c>
      <c r="B10192" s="499">
        <v>45840</v>
      </c>
      <c r="C10192" s="500" t="s">
        <v>173</v>
      </c>
      <c r="D10192" s="500" t="s">
        <v>761</v>
      </c>
      <c r="E10192" s="501">
        <v>38050576.799999997</v>
      </c>
      <c r="F10192" s="502" t="s">
        <v>878</v>
      </c>
      <c r="G10192" s="100">
        <v>117761869</v>
      </c>
      <c r="H10192" s="100">
        <v>117761869</v>
      </c>
      <c r="I10192" s="422" t="s">
        <v>590</v>
      </c>
      <c r="J10192" s="484"/>
      <c r="K10192" s="548"/>
      <c r="L10192" s="548"/>
      <c r="M10192" s="548"/>
      <c r="N10192" s="552">
        <v>40242</v>
      </c>
      <c r="R10192" s="539">
        <v>945.14199990060138</v>
      </c>
      <c r="S10192" s="539">
        <v>945.54387952884997</v>
      </c>
      <c r="T10192" s="538">
        <v>15.52</v>
      </c>
      <c r="U10192" s="538">
        <v>57.05</v>
      </c>
      <c r="V10192" s="538">
        <v>28.53</v>
      </c>
    </row>
    <row r="10193" spans="1:22">
      <c r="A10193" s="499">
        <v>45839</v>
      </c>
      <c r="B10193" s="499">
        <v>45840</v>
      </c>
      <c r="C10193" s="500" t="s">
        <v>173</v>
      </c>
      <c r="D10193" s="500" t="s">
        <v>761</v>
      </c>
      <c r="E10193" s="501">
        <v>39044155.329999998</v>
      </c>
      <c r="F10193" s="502" t="s">
        <v>878</v>
      </c>
      <c r="G10193" s="100">
        <v>117761872</v>
      </c>
      <c r="H10193" s="100">
        <v>117761872</v>
      </c>
      <c r="I10193" s="422" t="s">
        <v>817</v>
      </c>
      <c r="J10193" s="484"/>
      <c r="K10193" s="548"/>
      <c r="L10193" s="548"/>
      <c r="M10193" s="548"/>
      <c r="N10193" s="552">
        <v>37362</v>
      </c>
      <c r="R10193" s="539">
        <v>1044.5790000535303</v>
      </c>
      <c r="S10193" s="539">
        <v>1045.0231606980401</v>
      </c>
      <c r="T10193" s="538">
        <v>15.52</v>
      </c>
      <c r="U10193" s="538">
        <v>58.54</v>
      </c>
      <c r="V10193" s="538">
        <v>29.27</v>
      </c>
    </row>
    <row r="10194" spans="1:22">
      <c r="A10194" s="499">
        <v>45839</v>
      </c>
      <c r="B10194" s="499">
        <v>45840</v>
      </c>
      <c r="C10194" s="500" t="s">
        <v>173</v>
      </c>
      <c r="D10194" s="500" t="s">
        <v>761</v>
      </c>
      <c r="E10194" s="501">
        <v>42045141.880000003</v>
      </c>
      <c r="F10194" s="502" t="s">
        <v>878</v>
      </c>
      <c r="G10194" s="100">
        <v>117761875</v>
      </c>
      <c r="H10194" s="100">
        <v>117761875</v>
      </c>
      <c r="I10194" s="422" t="s">
        <v>714</v>
      </c>
      <c r="J10194" s="484"/>
      <c r="K10194" s="548"/>
      <c r="L10194" s="548"/>
      <c r="M10194" s="548"/>
      <c r="N10194" s="552">
        <v>53550</v>
      </c>
      <c r="R10194" s="539">
        <v>784.82299999999998</v>
      </c>
      <c r="S10194" s="539">
        <v>785.15671111111101</v>
      </c>
      <c r="T10194" s="538">
        <v>15.52</v>
      </c>
      <c r="U10194" s="538">
        <v>63.04</v>
      </c>
      <c r="V10194" s="538">
        <v>31.52</v>
      </c>
    </row>
    <row r="10195" spans="1:22">
      <c r="A10195" s="499">
        <v>45839</v>
      </c>
      <c r="B10195" s="499">
        <v>45840</v>
      </c>
      <c r="C10195" s="500" t="s">
        <v>173</v>
      </c>
      <c r="D10195" s="500" t="s">
        <v>761</v>
      </c>
      <c r="E10195" s="501">
        <v>43035298.520000003</v>
      </c>
      <c r="F10195" s="502" t="s">
        <v>878</v>
      </c>
      <c r="G10195" s="100">
        <v>117761878</v>
      </c>
      <c r="H10195" s="100">
        <v>117761878</v>
      </c>
      <c r="I10195" s="422" t="s">
        <v>550</v>
      </c>
      <c r="J10195" s="484"/>
      <c r="K10195" s="548"/>
      <c r="L10195" s="548"/>
      <c r="M10195" s="548"/>
      <c r="N10195" s="552">
        <v>81270</v>
      </c>
      <c r="R10195" s="539">
        <v>529.30980004921867</v>
      </c>
      <c r="S10195" s="539">
        <v>529.534865510028</v>
      </c>
      <c r="T10195" s="538">
        <v>15.52</v>
      </c>
      <c r="U10195" s="538">
        <v>64.53</v>
      </c>
      <c r="V10195" s="538">
        <v>32.26</v>
      </c>
    </row>
    <row r="10196" spans="1:22">
      <c r="A10196" s="499">
        <v>45839</v>
      </c>
      <c r="B10196" s="499">
        <v>45840</v>
      </c>
      <c r="C10196" s="500" t="s">
        <v>173</v>
      </c>
      <c r="D10196" s="500" t="s">
        <v>761</v>
      </c>
      <c r="E10196" s="501">
        <v>43030167.770000003</v>
      </c>
      <c r="F10196" s="502" t="s">
        <v>878</v>
      </c>
      <c r="G10196" s="100">
        <v>117761881</v>
      </c>
      <c r="H10196" s="100">
        <v>117761881</v>
      </c>
      <c r="I10196" s="422" t="s">
        <v>719</v>
      </c>
      <c r="J10196" s="484"/>
      <c r="K10196" s="548"/>
      <c r="L10196" s="548"/>
      <c r="M10196" s="548"/>
      <c r="N10196" s="552">
        <v>59383</v>
      </c>
      <c r="R10196" s="539">
        <v>724.31300001683985</v>
      </c>
      <c r="S10196" s="539">
        <v>724.62098193085603</v>
      </c>
      <c r="T10196" s="538">
        <v>15.52</v>
      </c>
      <c r="U10196" s="538">
        <v>64.52</v>
      </c>
      <c r="V10196" s="538">
        <v>32.26</v>
      </c>
    </row>
    <row r="10197" spans="1:22">
      <c r="A10197" s="499">
        <v>45839</v>
      </c>
      <c r="B10197" s="499">
        <v>45840</v>
      </c>
      <c r="C10197" s="500" t="s">
        <v>173</v>
      </c>
      <c r="D10197" s="500" t="s">
        <v>761</v>
      </c>
      <c r="E10197" s="501">
        <v>46034624.509999998</v>
      </c>
      <c r="F10197" s="502" t="s">
        <v>878</v>
      </c>
      <c r="G10197" s="100">
        <v>117761884</v>
      </c>
      <c r="H10197" s="100">
        <v>117761884</v>
      </c>
      <c r="I10197" s="422" t="s">
        <v>676</v>
      </c>
      <c r="J10197" s="484"/>
      <c r="K10197" s="548"/>
      <c r="L10197" s="548"/>
      <c r="M10197" s="548"/>
      <c r="N10197" s="552">
        <v>48668</v>
      </c>
      <c r="R10197" s="539">
        <v>945.4889999589052</v>
      </c>
      <c r="S10197" s="539">
        <v>945.89102716363902</v>
      </c>
      <c r="T10197" s="538">
        <v>15.52</v>
      </c>
      <c r="U10197" s="538">
        <v>69.02</v>
      </c>
      <c r="V10197" s="538">
        <v>34.51</v>
      </c>
    </row>
    <row r="10198" spans="1:22">
      <c r="A10198" s="499">
        <v>45839</v>
      </c>
      <c r="B10198" s="499">
        <v>45840</v>
      </c>
      <c r="C10198" s="500" t="s">
        <v>173</v>
      </c>
      <c r="D10198" s="500" t="s">
        <v>761</v>
      </c>
      <c r="E10198" s="501">
        <v>52052199.439999998</v>
      </c>
      <c r="F10198" s="502" t="s">
        <v>878</v>
      </c>
      <c r="G10198" s="100">
        <v>117761887</v>
      </c>
      <c r="H10198" s="100">
        <v>117761887</v>
      </c>
      <c r="I10198" s="422" t="s">
        <v>687</v>
      </c>
      <c r="J10198" s="484"/>
      <c r="K10198" s="548"/>
      <c r="L10198" s="548"/>
      <c r="M10198" s="548"/>
      <c r="N10198" s="552">
        <v>60996</v>
      </c>
      <c r="R10198" s="539">
        <v>853.00800003278903</v>
      </c>
      <c r="S10198" s="539">
        <v>853.37070365269801</v>
      </c>
      <c r="T10198" s="538">
        <v>15.52</v>
      </c>
      <c r="U10198" s="538">
        <v>78.05</v>
      </c>
      <c r="V10198" s="538">
        <v>39.020000000000003</v>
      </c>
    </row>
    <row r="10199" spans="1:22">
      <c r="A10199" s="499">
        <v>45839</v>
      </c>
      <c r="B10199" s="499">
        <v>45840</v>
      </c>
      <c r="C10199" s="500" t="s">
        <v>173</v>
      </c>
      <c r="D10199" s="500" t="s">
        <v>761</v>
      </c>
      <c r="E10199" s="501">
        <v>54027372.880000003</v>
      </c>
      <c r="F10199" s="502" t="s">
        <v>878</v>
      </c>
      <c r="G10199" s="100">
        <v>117761890</v>
      </c>
      <c r="H10199" s="100">
        <v>117761890</v>
      </c>
      <c r="I10199" s="422" t="s">
        <v>588</v>
      </c>
      <c r="J10199" s="484"/>
      <c r="K10199" s="548"/>
      <c r="L10199" s="548"/>
      <c r="M10199" s="548"/>
      <c r="N10199" s="552">
        <v>49734</v>
      </c>
      <c r="R10199" s="539">
        <v>1085.865</v>
      </c>
      <c r="S10199" s="539">
        <v>1086.32671572767</v>
      </c>
      <c r="T10199" s="538">
        <v>15.52</v>
      </c>
      <c r="U10199" s="538">
        <v>81.010000000000005</v>
      </c>
      <c r="V10199" s="538">
        <v>40.5</v>
      </c>
    </row>
    <row r="10200" spans="1:22">
      <c r="A10200" s="499">
        <v>45839</v>
      </c>
      <c r="B10200" s="499">
        <v>45840</v>
      </c>
      <c r="C10200" s="500" t="s">
        <v>173</v>
      </c>
      <c r="D10200" s="500" t="s">
        <v>761</v>
      </c>
      <c r="E10200" s="501">
        <v>60067931.280000001</v>
      </c>
      <c r="F10200" s="502" t="s">
        <v>878</v>
      </c>
      <c r="G10200" s="100">
        <v>117761893</v>
      </c>
      <c r="H10200" s="100">
        <v>117761893</v>
      </c>
      <c r="I10200" s="422" t="s">
        <v>817</v>
      </c>
      <c r="J10200" s="484"/>
      <c r="K10200" s="548"/>
      <c r="L10200" s="548"/>
      <c r="M10200" s="548"/>
      <c r="N10200" s="552">
        <v>57480</v>
      </c>
      <c r="R10200" s="539">
        <v>1044.579</v>
      </c>
      <c r="S10200" s="539">
        <v>1045.02316075157</v>
      </c>
      <c r="T10200" s="538">
        <v>15.52</v>
      </c>
      <c r="U10200" s="538">
        <v>90.06</v>
      </c>
      <c r="V10200" s="538">
        <v>45.03</v>
      </c>
    </row>
    <row r="10201" spans="1:22">
      <c r="A10201" s="499">
        <v>45839</v>
      </c>
      <c r="B10201" s="499">
        <v>45840</v>
      </c>
      <c r="C10201" s="500" t="s">
        <v>173</v>
      </c>
      <c r="D10201" s="500" t="s">
        <v>761</v>
      </c>
      <c r="E10201" s="501">
        <v>63086773.689999998</v>
      </c>
      <c r="F10201" s="502" t="s">
        <v>878</v>
      </c>
      <c r="G10201" s="100">
        <v>117761896</v>
      </c>
      <c r="H10201" s="100">
        <v>117761896</v>
      </c>
      <c r="I10201" s="422" t="s">
        <v>821</v>
      </c>
      <c r="J10201" s="484"/>
      <c r="K10201" s="548"/>
      <c r="L10201" s="548"/>
      <c r="M10201" s="548"/>
      <c r="N10201" s="552">
        <v>58275</v>
      </c>
      <c r="R10201" s="539">
        <v>1082.1099999999999</v>
      </c>
      <c r="S10201" s="539">
        <v>1082.5701190905199</v>
      </c>
      <c r="T10201" s="538">
        <v>15.52</v>
      </c>
      <c r="U10201" s="538">
        <v>94.59</v>
      </c>
      <c r="V10201" s="538">
        <v>47.29</v>
      </c>
    </row>
    <row r="10202" spans="1:22">
      <c r="A10202" s="499">
        <v>45839</v>
      </c>
      <c r="B10202" s="499">
        <v>45840</v>
      </c>
      <c r="C10202" s="500" t="s">
        <v>173</v>
      </c>
      <c r="D10202" s="500" t="s">
        <v>761</v>
      </c>
      <c r="E10202" s="501">
        <v>65056135.810000002</v>
      </c>
      <c r="F10202" s="502" t="s">
        <v>878</v>
      </c>
      <c r="G10202" s="100">
        <v>117761899</v>
      </c>
      <c r="H10202" s="100">
        <v>117761899</v>
      </c>
      <c r="I10202" s="422" t="s">
        <v>654</v>
      </c>
      <c r="J10202" s="484"/>
      <c r="K10202" s="548"/>
      <c r="L10202" s="548"/>
      <c r="M10202" s="548"/>
      <c r="N10202" s="552">
        <v>66690</v>
      </c>
      <c r="R10202" s="539">
        <v>975.08600000000001</v>
      </c>
      <c r="S10202" s="539">
        <v>975.50061193582201</v>
      </c>
      <c r="T10202" s="538">
        <v>15.52</v>
      </c>
      <c r="U10202" s="538">
        <v>97.54</v>
      </c>
      <c r="V10202" s="538">
        <v>48.77</v>
      </c>
    </row>
    <row r="10203" spans="1:22">
      <c r="A10203" s="499">
        <v>45839</v>
      </c>
      <c r="B10203" s="499">
        <v>45840</v>
      </c>
      <c r="C10203" s="500" t="s">
        <v>173</v>
      </c>
      <c r="D10203" s="500" t="s">
        <v>761</v>
      </c>
      <c r="E10203" s="501">
        <v>66053714.670000002</v>
      </c>
      <c r="F10203" s="502" t="s">
        <v>878</v>
      </c>
      <c r="G10203" s="100">
        <v>117761902</v>
      </c>
      <c r="H10203" s="100">
        <v>117761902</v>
      </c>
      <c r="I10203" s="422" t="s">
        <v>711</v>
      </c>
      <c r="J10203" s="484"/>
      <c r="K10203" s="548"/>
      <c r="L10203" s="548"/>
      <c r="M10203" s="548"/>
      <c r="N10203" s="552">
        <v>75108</v>
      </c>
      <c r="R10203" s="539">
        <v>879.07600002662832</v>
      </c>
      <c r="S10203" s="539">
        <v>879.44978790541597</v>
      </c>
      <c r="T10203" s="538">
        <v>15.52</v>
      </c>
      <c r="U10203" s="538">
        <v>99.04</v>
      </c>
      <c r="V10203" s="538">
        <v>49.52</v>
      </c>
    </row>
    <row r="10204" spans="1:22">
      <c r="A10204" s="499">
        <v>45839</v>
      </c>
      <c r="B10204" s="499">
        <v>45840</v>
      </c>
      <c r="C10204" s="500" t="s">
        <v>173</v>
      </c>
      <c r="D10204" s="500" t="s">
        <v>761</v>
      </c>
      <c r="E10204" s="501">
        <v>69072632.719999999</v>
      </c>
      <c r="F10204" s="502" t="s">
        <v>878</v>
      </c>
      <c r="G10204" s="100">
        <v>117761905</v>
      </c>
      <c r="H10204" s="100">
        <v>117761905</v>
      </c>
      <c r="I10204" s="422" t="s">
        <v>602</v>
      </c>
      <c r="J10204" s="484"/>
      <c r="K10204" s="548"/>
      <c r="L10204" s="548"/>
      <c r="M10204" s="548"/>
      <c r="N10204" s="552">
        <v>75624</v>
      </c>
      <c r="R10204" s="539">
        <v>912.98099994710674</v>
      </c>
      <c r="S10204" s="539">
        <v>913.36920448534795</v>
      </c>
      <c r="T10204" s="538">
        <v>15.52</v>
      </c>
      <c r="U10204" s="538">
        <v>103.56</v>
      </c>
      <c r="V10204" s="538">
        <v>51.78</v>
      </c>
    </row>
    <row r="10205" spans="1:22">
      <c r="A10205" s="499">
        <v>45839</v>
      </c>
      <c r="B10205" s="499">
        <v>45840</v>
      </c>
      <c r="C10205" s="500" t="s">
        <v>173</v>
      </c>
      <c r="D10205" s="500" t="s">
        <v>761</v>
      </c>
      <c r="E10205" s="501">
        <v>71067448.120000005</v>
      </c>
      <c r="F10205" s="502" t="s">
        <v>878</v>
      </c>
      <c r="G10205" s="100">
        <v>117761908</v>
      </c>
      <c r="H10205" s="100">
        <v>117761908</v>
      </c>
      <c r="I10205" s="422" t="s">
        <v>696</v>
      </c>
      <c r="J10205" s="484"/>
      <c r="K10205" s="548"/>
      <c r="L10205" s="548"/>
      <c r="M10205" s="548"/>
      <c r="N10205" s="552">
        <v>85697</v>
      </c>
      <c r="R10205" s="539">
        <v>828.93500005834517</v>
      </c>
      <c r="S10205" s="539">
        <v>829.28746770598696</v>
      </c>
      <c r="T10205" s="538">
        <v>15.52</v>
      </c>
      <c r="U10205" s="538">
        <v>106.56</v>
      </c>
      <c r="V10205" s="538">
        <v>53.28</v>
      </c>
    </row>
    <row r="10206" spans="1:22">
      <c r="A10206" s="499">
        <v>45839</v>
      </c>
      <c r="B10206" s="499">
        <v>45840</v>
      </c>
      <c r="C10206" s="500" t="s">
        <v>173</v>
      </c>
      <c r="D10206" s="500" t="s">
        <v>761</v>
      </c>
      <c r="E10206" s="501">
        <v>71050161.010000005</v>
      </c>
      <c r="F10206" s="502" t="s">
        <v>878</v>
      </c>
      <c r="G10206" s="100">
        <v>117761911</v>
      </c>
      <c r="H10206" s="100">
        <v>117761911</v>
      </c>
      <c r="I10206" s="422" t="s">
        <v>690</v>
      </c>
      <c r="J10206" s="484"/>
      <c r="K10206" s="548"/>
      <c r="L10206" s="548"/>
      <c r="M10206" s="548"/>
      <c r="N10206" s="552">
        <v>77461</v>
      </c>
      <c r="R10206" s="539">
        <v>916.84800002581949</v>
      </c>
      <c r="S10206" s="539">
        <v>917.23784885297096</v>
      </c>
      <c r="T10206" s="538">
        <v>15.52</v>
      </c>
      <c r="U10206" s="538">
        <v>106.53</v>
      </c>
      <c r="V10206" s="538">
        <v>53.26</v>
      </c>
    </row>
    <row r="10207" spans="1:22">
      <c r="A10207" s="499">
        <v>45839</v>
      </c>
      <c r="B10207" s="499">
        <v>45840</v>
      </c>
      <c r="C10207" s="500" t="s">
        <v>173</v>
      </c>
      <c r="D10207" s="500" t="s">
        <v>761</v>
      </c>
      <c r="E10207" s="501">
        <v>73043746.890000001</v>
      </c>
      <c r="F10207" s="502" t="s">
        <v>878</v>
      </c>
      <c r="G10207" s="100">
        <v>117761914</v>
      </c>
      <c r="H10207" s="100">
        <v>117761914</v>
      </c>
      <c r="I10207" s="422" t="s">
        <v>598</v>
      </c>
      <c r="J10207" s="484"/>
      <c r="K10207" s="548"/>
      <c r="L10207" s="548"/>
      <c r="M10207" s="548"/>
      <c r="N10207" s="552">
        <v>71759</v>
      </c>
      <c r="R10207" s="539">
        <v>1017.4710000139355</v>
      </c>
      <c r="S10207" s="539">
        <v>1017.90363424797</v>
      </c>
      <c r="T10207" s="538">
        <v>15.52</v>
      </c>
      <c r="U10207" s="538">
        <v>109.52</v>
      </c>
      <c r="V10207" s="538">
        <v>54.76</v>
      </c>
    </row>
    <row r="10208" spans="1:22">
      <c r="A10208" s="499">
        <v>45839</v>
      </c>
      <c r="B10208" s="499">
        <v>45840</v>
      </c>
      <c r="C10208" s="500" t="s">
        <v>173</v>
      </c>
      <c r="D10208" s="500" t="s">
        <v>761</v>
      </c>
      <c r="E10208" s="501">
        <v>81047713.870000005</v>
      </c>
      <c r="F10208" s="502" t="s">
        <v>878</v>
      </c>
      <c r="G10208" s="100">
        <v>117761917</v>
      </c>
      <c r="H10208" s="100">
        <v>117761917</v>
      </c>
      <c r="I10208" s="422" t="s">
        <v>682</v>
      </c>
      <c r="J10208" s="484"/>
      <c r="K10208" s="548"/>
      <c r="L10208" s="548"/>
      <c r="M10208" s="548"/>
      <c r="N10208" s="552">
        <v>82539</v>
      </c>
      <c r="R10208" s="539">
        <v>981.51500006057745</v>
      </c>
      <c r="S10208" s="539">
        <v>981.93234555785796</v>
      </c>
      <c r="T10208" s="538">
        <v>15.52</v>
      </c>
      <c r="U10208" s="538">
        <v>121.52</v>
      </c>
      <c r="V10208" s="538">
        <v>60.76</v>
      </c>
    </row>
    <row r="10209" spans="1:22">
      <c r="A10209" s="499">
        <v>45839</v>
      </c>
      <c r="B10209" s="499">
        <v>45840</v>
      </c>
      <c r="C10209" s="500" t="s">
        <v>173</v>
      </c>
      <c r="D10209" s="500" t="s">
        <v>761</v>
      </c>
      <c r="E10209" s="501">
        <v>83084980.370000005</v>
      </c>
      <c r="F10209" s="502" t="s">
        <v>878</v>
      </c>
      <c r="G10209" s="100">
        <v>117761920</v>
      </c>
      <c r="H10209" s="100">
        <v>117761920</v>
      </c>
      <c r="I10209" s="422" t="s">
        <v>705</v>
      </c>
      <c r="J10209" s="484"/>
      <c r="K10209" s="548"/>
      <c r="L10209" s="548"/>
      <c r="M10209" s="548"/>
      <c r="N10209" s="552">
        <v>99600</v>
      </c>
      <c r="R10209" s="539">
        <v>833.83199999999999</v>
      </c>
      <c r="S10209" s="539">
        <v>834.18654989959805</v>
      </c>
      <c r="T10209" s="538">
        <v>15.52</v>
      </c>
      <c r="U10209" s="538">
        <v>124.57</v>
      </c>
      <c r="V10209" s="538">
        <v>62.29</v>
      </c>
    </row>
    <row r="10210" spans="1:22">
      <c r="A10210" s="499">
        <v>45839</v>
      </c>
      <c r="B10210" s="499">
        <v>45840</v>
      </c>
      <c r="C10210" s="500" t="s">
        <v>173</v>
      </c>
      <c r="D10210" s="500" t="s">
        <v>761</v>
      </c>
      <c r="E10210" s="501">
        <v>83116699.859999999</v>
      </c>
      <c r="F10210" s="502" t="s">
        <v>878</v>
      </c>
      <c r="G10210" s="100">
        <v>117761923</v>
      </c>
      <c r="H10210" s="100">
        <v>117761923</v>
      </c>
      <c r="I10210" s="422" t="s">
        <v>596</v>
      </c>
      <c r="J10210" s="484"/>
      <c r="K10210" s="548"/>
      <c r="L10210" s="548"/>
      <c r="M10210" s="548"/>
      <c r="N10210" s="552">
        <v>79016</v>
      </c>
      <c r="R10210" s="539">
        <v>1051.45</v>
      </c>
      <c r="S10210" s="539">
        <v>1051.89708236307</v>
      </c>
      <c r="T10210" s="538">
        <v>15.52</v>
      </c>
      <c r="U10210" s="538">
        <v>124.62</v>
      </c>
      <c r="V10210" s="538">
        <v>62.31</v>
      </c>
    </row>
    <row r="10211" spans="1:22">
      <c r="A10211" s="499">
        <v>45839</v>
      </c>
      <c r="B10211" s="499">
        <v>45840</v>
      </c>
      <c r="C10211" s="500" t="s">
        <v>173</v>
      </c>
      <c r="D10211" s="500" t="s">
        <v>761</v>
      </c>
      <c r="E10211" s="501">
        <v>85119148.040000007</v>
      </c>
      <c r="F10211" s="502" t="s">
        <v>878</v>
      </c>
      <c r="G10211" s="100">
        <v>117761926</v>
      </c>
      <c r="H10211" s="100">
        <v>117761926</v>
      </c>
      <c r="I10211" s="422" t="s">
        <v>819</v>
      </c>
      <c r="J10211" s="484"/>
      <c r="K10211" s="548"/>
      <c r="L10211" s="548"/>
      <c r="M10211" s="548"/>
      <c r="N10211" s="552">
        <v>83555</v>
      </c>
      <c r="R10211" s="539">
        <v>1018.2870000598409</v>
      </c>
      <c r="S10211" s="539">
        <v>1018.71998132966</v>
      </c>
      <c r="T10211" s="538">
        <v>15.52</v>
      </c>
      <c r="U10211" s="538">
        <v>127.62</v>
      </c>
      <c r="V10211" s="538">
        <v>63.81</v>
      </c>
    </row>
    <row r="10212" spans="1:22">
      <c r="A10212" s="499">
        <v>45839</v>
      </c>
      <c r="B10212" s="499">
        <v>45840</v>
      </c>
      <c r="C10212" s="500" t="s">
        <v>173</v>
      </c>
      <c r="D10212" s="500" t="s">
        <v>761</v>
      </c>
      <c r="E10212" s="501">
        <v>87070805.709999993</v>
      </c>
      <c r="F10212" s="502" t="s">
        <v>878</v>
      </c>
      <c r="G10212" s="100">
        <v>117761929</v>
      </c>
      <c r="H10212" s="100">
        <v>117761929</v>
      </c>
      <c r="I10212" s="422" t="s">
        <v>711</v>
      </c>
      <c r="J10212" s="484"/>
      <c r="K10212" s="548"/>
      <c r="L10212" s="548"/>
      <c r="M10212" s="548"/>
      <c r="N10212" s="552">
        <v>99006</v>
      </c>
      <c r="R10212" s="539">
        <v>879.07600004040148</v>
      </c>
      <c r="S10212" s="539">
        <v>879.44978799264697</v>
      </c>
      <c r="T10212" s="538">
        <v>15.52</v>
      </c>
      <c r="U10212" s="538">
        <v>130.55000000000001</v>
      </c>
      <c r="V10212" s="538">
        <v>65.28</v>
      </c>
    </row>
    <row r="10213" spans="1:22">
      <c r="A10213" s="499">
        <v>45839</v>
      </c>
      <c r="B10213" s="499">
        <v>45840</v>
      </c>
      <c r="C10213" s="500" t="s">
        <v>173</v>
      </c>
      <c r="D10213" s="500" t="s">
        <v>761</v>
      </c>
      <c r="E10213" s="501">
        <v>87070805.709999993</v>
      </c>
      <c r="F10213" s="502" t="s">
        <v>878</v>
      </c>
      <c r="G10213" s="100">
        <v>117761932</v>
      </c>
      <c r="H10213" s="100">
        <v>117761932</v>
      </c>
      <c r="I10213" s="422" t="s">
        <v>711</v>
      </c>
      <c r="J10213" s="484"/>
      <c r="K10213" s="548"/>
      <c r="L10213" s="548"/>
      <c r="M10213" s="548"/>
      <c r="N10213" s="552">
        <v>99006</v>
      </c>
      <c r="R10213" s="539">
        <v>879.07600004040148</v>
      </c>
      <c r="S10213" s="539">
        <v>879.44978799264697</v>
      </c>
      <c r="T10213" s="538">
        <v>15.52</v>
      </c>
      <c r="U10213" s="538">
        <v>130.55000000000001</v>
      </c>
      <c r="V10213" s="538">
        <v>65.28</v>
      </c>
    </row>
    <row r="10214" spans="1:22">
      <c r="A10214" s="499">
        <v>45839</v>
      </c>
      <c r="B10214" s="499">
        <v>45840</v>
      </c>
      <c r="C10214" s="500" t="s">
        <v>173</v>
      </c>
      <c r="D10214" s="500" t="s">
        <v>761</v>
      </c>
      <c r="E10214" s="501">
        <v>4004458.9</v>
      </c>
      <c r="F10214" s="502" t="s">
        <v>878</v>
      </c>
      <c r="G10214" s="100">
        <v>117761935</v>
      </c>
      <c r="H10214" s="100">
        <v>117761935</v>
      </c>
      <c r="I10214" s="422" t="s">
        <v>823</v>
      </c>
      <c r="J10214" s="484"/>
      <c r="K10214" s="548"/>
      <c r="L10214" s="548"/>
      <c r="M10214" s="548"/>
      <c r="N10214" s="552">
        <v>3696</v>
      </c>
      <c r="R10214" s="539">
        <v>1082.9969994588746</v>
      </c>
      <c r="S10214" s="539">
        <v>1083.45749458874</v>
      </c>
      <c r="T10214" s="538">
        <v>15.52</v>
      </c>
      <c r="U10214" s="538">
        <v>39.32</v>
      </c>
      <c r="V10214" s="538">
        <v>3</v>
      </c>
    </row>
    <row r="10215" spans="1:22">
      <c r="A10215" s="499">
        <v>45839</v>
      </c>
      <c r="B10215" s="499">
        <v>45840</v>
      </c>
      <c r="C10215" s="500" t="s">
        <v>173</v>
      </c>
      <c r="D10215" s="500" t="s">
        <v>761</v>
      </c>
      <c r="E10215" s="501">
        <v>14016251.140000001</v>
      </c>
      <c r="F10215" s="502" t="s">
        <v>878</v>
      </c>
      <c r="G10215" s="100">
        <v>117762443</v>
      </c>
      <c r="H10215" s="100">
        <v>117762443</v>
      </c>
      <c r="I10215" s="422" t="s">
        <v>600</v>
      </c>
      <c r="J10215" s="484"/>
      <c r="K10215" s="548"/>
      <c r="L10215" s="548"/>
      <c r="M10215" s="548"/>
      <c r="N10215" s="552">
        <v>14462</v>
      </c>
      <c r="R10215" s="539">
        <v>968.76599986170663</v>
      </c>
      <c r="S10215" s="539">
        <v>969.17792421518504</v>
      </c>
      <c r="T10215" s="538">
        <v>15.52</v>
      </c>
      <c r="U10215" s="538">
        <v>39.32</v>
      </c>
      <c r="V10215" s="538">
        <v>10.51</v>
      </c>
    </row>
    <row r="10216" spans="1:22">
      <c r="A10216" s="499">
        <v>45840</v>
      </c>
      <c r="B10216" s="499">
        <v>45840</v>
      </c>
      <c r="C10216" s="500" t="s">
        <v>173</v>
      </c>
      <c r="D10216" s="500" t="s">
        <v>762</v>
      </c>
      <c r="E10216" s="501">
        <v>-1343078588.21</v>
      </c>
      <c r="F10216" s="502" t="s">
        <v>878</v>
      </c>
      <c r="G10216" s="100">
        <v>117794087</v>
      </c>
      <c r="H10216" s="530"/>
      <c r="I10216" s="422" t="s">
        <v>657</v>
      </c>
      <c r="J10216" s="484"/>
      <c r="K10216" s="548"/>
      <c r="L10216" s="548"/>
      <c r="M10216" s="548"/>
      <c r="N10216" s="552">
        <v>1367498</v>
      </c>
      <c r="R10216" s="558">
        <v>982.14300000000003</v>
      </c>
      <c r="S10216" s="558">
        <v>982.56061526963799</v>
      </c>
      <c r="T10216" s="538">
        <v>15.520099999999999</v>
      </c>
      <c r="U10216" s="538">
        <v>2014.62</v>
      </c>
      <c r="V10216" s="538">
        <v>1007.31</v>
      </c>
    </row>
    <row r="10217" spans="1:22">
      <c r="A10217" s="499">
        <v>45840</v>
      </c>
      <c r="B10217" s="499">
        <v>45840</v>
      </c>
      <c r="C10217" s="500" t="s">
        <v>173</v>
      </c>
      <c r="D10217" s="500" t="s">
        <v>762</v>
      </c>
      <c r="E10217" s="501">
        <v>-19006337.059999999</v>
      </c>
      <c r="F10217" s="502" t="s">
        <v>878</v>
      </c>
      <c r="G10217" s="100">
        <v>117794090</v>
      </c>
      <c r="H10217" s="530"/>
      <c r="I10217" s="422" t="s">
        <v>833</v>
      </c>
      <c r="J10217" s="484"/>
      <c r="K10217" s="548"/>
      <c r="L10217" s="548"/>
      <c r="M10217" s="548"/>
      <c r="N10217" s="552">
        <v>31331</v>
      </c>
      <c r="R10217" s="558">
        <v>606.63040000000001</v>
      </c>
      <c r="S10217" s="558">
        <v>606.88801506495201</v>
      </c>
      <c r="T10217" s="538">
        <v>15.500299999999999</v>
      </c>
      <c r="U10217" s="538">
        <v>39.32</v>
      </c>
      <c r="V10217" s="538">
        <v>14.25</v>
      </c>
    </row>
    <row r="10218" spans="1:22">
      <c r="A10218" s="499">
        <v>45840</v>
      </c>
      <c r="B10218" s="499">
        <v>45840</v>
      </c>
      <c r="C10218" s="500" t="s">
        <v>173</v>
      </c>
      <c r="D10218" s="500" t="s">
        <v>762</v>
      </c>
      <c r="E10218" s="501">
        <v>-119039690.02</v>
      </c>
      <c r="F10218" s="502" t="s">
        <v>878</v>
      </c>
      <c r="G10218" s="100">
        <v>117794093</v>
      </c>
      <c r="H10218" s="530"/>
      <c r="I10218" s="422" t="s">
        <v>833</v>
      </c>
      <c r="J10218" s="484"/>
      <c r="K10218" s="548"/>
      <c r="L10218" s="548"/>
      <c r="M10218" s="548"/>
      <c r="N10218" s="552">
        <v>196231</v>
      </c>
      <c r="R10218" s="558">
        <v>606.63040000000001</v>
      </c>
      <c r="S10218" s="558">
        <v>606.88801514541501</v>
      </c>
      <c r="T10218" s="538">
        <v>15.500299999999999</v>
      </c>
      <c r="U10218" s="538">
        <v>178.56</v>
      </c>
      <c r="V10218" s="538">
        <v>89.28</v>
      </c>
    </row>
    <row r="10219" spans="1:22">
      <c r="A10219" s="499">
        <v>45840</v>
      </c>
      <c r="B10219" s="499">
        <v>45840</v>
      </c>
      <c r="C10219" s="500" t="s">
        <v>173</v>
      </c>
      <c r="D10219" s="500" t="s">
        <v>762</v>
      </c>
      <c r="E10219" s="501">
        <v>-97032352.370000005</v>
      </c>
      <c r="F10219" s="502" t="s">
        <v>878</v>
      </c>
      <c r="G10219" s="100">
        <v>117794096</v>
      </c>
      <c r="H10219" s="530"/>
      <c r="I10219" s="422" t="s">
        <v>833</v>
      </c>
      <c r="J10219" s="484"/>
      <c r="K10219" s="548"/>
      <c r="L10219" s="548"/>
      <c r="M10219" s="548"/>
      <c r="N10219" s="552">
        <v>159953</v>
      </c>
      <c r="R10219" s="558">
        <v>606.63040000000001</v>
      </c>
      <c r="S10219" s="558">
        <v>606.88801516695503</v>
      </c>
      <c r="T10219" s="538">
        <v>15.500299999999999</v>
      </c>
      <c r="U10219" s="538">
        <v>145.55000000000001</v>
      </c>
      <c r="V10219" s="538">
        <v>72.77</v>
      </c>
    </row>
    <row r="10220" spans="1:22">
      <c r="A10220" s="499">
        <v>45840</v>
      </c>
      <c r="B10220" s="499">
        <v>45840</v>
      </c>
      <c r="C10220" s="500" t="s">
        <v>173</v>
      </c>
      <c r="D10220" s="500" t="s">
        <v>762</v>
      </c>
      <c r="E10220" s="501">
        <v>-30001732.199999999</v>
      </c>
      <c r="F10220" s="502" t="s">
        <v>878</v>
      </c>
      <c r="G10220" s="100">
        <v>117794099</v>
      </c>
      <c r="H10220" s="530"/>
      <c r="I10220" s="422" t="s">
        <v>656</v>
      </c>
      <c r="J10220" s="484"/>
      <c r="K10220" s="548"/>
      <c r="L10220" s="548"/>
      <c r="M10220" s="548"/>
      <c r="N10220" s="552">
        <v>29730</v>
      </c>
      <c r="R10220" s="558">
        <v>1009.14</v>
      </c>
      <c r="S10220" s="558">
        <v>1009.56854725866</v>
      </c>
      <c r="T10220" s="538">
        <v>15.500299999999999</v>
      </c>
      <c r="U10220" s="538">
        <v>45</v>
      </c>
      <c r="V10220" s="538">
        <v>22.5</v>
      </c>
    </row>
    <row r="10221" spans="1:22">
      <c r="A10221" s="499">
        <v>45840</v>
      </c>
      <c r="B10221" s="499">
        <v>45840</v>
      </c>
      <c r="C10221" s="500" t="s">
        <v>173</v>
      </c>
      <c r="D10221" s="500" t="s">
        <v>762</v>
      </c>
      <c r="E10221" s="501">
        <v>-89008837.879999995</v>
      </c>
      <c r="F10221" s="502" t="s">
        <v>878</v>
      </c>
      <c r="G10221" s="100">
        <v>117794102</v>
      </c>
      <c r="H10221" s="530"/>
      <c r="I10221" s="422" t="s">
        <v>590</v>
      </c>
      <c r="J10221" s="484"/>
      <c r="K10221" s="548"/>
      <c r="L10221" s="548"/>
      <c r="M10221" s="548"/>
      <c r="N10221" s="552">
        <v>101994</v>
      </c>
      <c r="R10221" s="558">
        <v>872.68700000000001</v>
      </c>
      <c r="S10221" s="558">
        <v>873.05760034903994</v>
      </c>
      <c r="T10221" s="538">
        <v>15.500299999999999</v>
      </c>
      <c r="U10221" s="538">
        <v>133.51</v>
      </c>
      <c r="V10221" s="538">
        <v>66.760000000000005</v>
      </c>
    </row>
    <row r="10222" spans="1:22">
      <c r="A10222" s="499">
        <v>45840</v>
      </c>
      <c r="B10222" s="499">
        <v>45840</v>
      </c>
      <c r="C10222" s="500" t="s">
        <v>173</v>
      </c>
      <c r="D10222" s="500" t="s">
        <v>762</v>
      </c>
      <c r="E10222" s="501">
        <v>-133074523.89</v>
      </c>
      <c r="F10222" s="502" t="s">
        <v>878</v>
      </c>
      <c r="G10222" s="100">
        <v>117794105</v>
      </c>
      <c r="H10222" s="530"/>
      <c r="I10222" s="422" t="s">
        <v>687</v>
      </c>
      <c r="J10222" s="484"/>
      <c r="K10222" s="548"/>
      <c r="L10222" s="548"/>
      <c r="M10222" s="548"/>
      <c r="N10222" s="552">
        <v>159201</v>
      </c>
      <c r="R10222" s="558">
        <v>835.89</v>
      </c>
      <c r="S10222" s="558">
        <v>836.24497383810399</v>
      </c>
      <c r="T10222" s="538">
        <v>15.500299999999999</v>
      </c>
      <c r="U10222" s="538">
        <v>199.61</v>
      </c>
      <c r="V10222" s="538">
        <v>99.81</v>
      </c>
    </row>
    <row r="10223" spans="1:22">
      <c r="A10223" s="499">
        <v>45840</v>
      </c>
      <c r="B10223" s="499">
        <v>45840</v>
      </c>
      <c r="C10223" s="500" t="s">
        <v>173</v>
      </c>
      <c r="D10223" s="500" t="s">
        <v>762</v>
      </c>
      <c r="E10223" s="501">
        <v>-523390882.36000001</v>
      </c>
      <c r="F10223" s="502" t="s">
        <v>878</v>
      </c>
      <c r="G10223" s="100">
        <v>117794173</v>
      </c>
      <c r="H10223" s="530"/>
      <c r="I10223" s="422" t="s">
        <v>686</v>
      </c>
      <c r="J10223" s="484"/>
      <c r="K10223" s="548"/>
      <c r="L10223" s="548"/>
      <c r="M10223" s="548"/>
      <c r="N10223" s="552">
        <v>546535</v>
      </c>
      <c r="R10223" s="558">
        <v>957.65300000000002</v>
      </c>
      <c r="S10223" s="558">
        <v>958.05968243570896</v>
      </c>
      <c r="T10223" s="538">
        <v>15.500299999999999</v>
      </c>
      <c r="U10223" s="538">
        <v>785.09</v>
      </c>
      <c r="V10223" s="538">
        <v>392.54</v>
      </c>
    </row>
    <row r="10224" spans="1:22">
      <c r="A10224" s="499">
        <v>45840</v>
      </c>
      <c r="B10224" s="499">
        <v>45840</v>
      </c>
      <c r="C10224" s="500" t="s">
        <v>173</v>
      </c>
      <c r="D10224" s="500" t="s">
        <v>762</v>
      </c>
      <c r="E10224" s="501">
        <v>-14010463.390000001</v>
      </c>
      <c r="F10224" s="502" t="s">
        <v>878</v>
      </c>
      <c r="G10224" s="100">
        <v>117794186</v>
      </c>
      <c r="H10224" s="530"/>
      <c r="I10224" s="422" t="s">
        <v>686</v>
      </c>
      <c r="J10224" s="484"/>
      <c r="K10224" s="548"/>
      <c r="L10224" s="548"/>
      <c r="M10224" s="548"/>
      <c r="N10224" s="552">
        <v>14630</v>
      </c>
      <c r="R10224" s="558">
        <v>957.65300000000002</v>
      </c>
      <c r="S10224" s="558">
        <v>958.05968215994505</v>
      </c>
      <c r="T10224" s="538">
        <v>15.500299999999999</v>
      </c>
      <c r="U10224" s="538">
        <v>39.32</v>
      </c>
      <c r="V10224" s="538">
        <v>10.51</v>
      </c>
    </row>
    <row r="10225" spans="1:22">
      <c r="A10225" s="499">
        <v>45840</v>
      </c>
      <c r="B10225" s="499">
        <v>45841</v>
      </c>
      <c r="C10225" s="500" t="s">
        <v>173</v>
      </c>
      <c r="D10225" s="500" t="s">
        <v>762</v>
      </c>
      <c r="E10225" s="501">
        <v>1343649676.26</v>
      </c>
      <c r="F10225" s="502" t="s">
        <v>878</v>
      </c>
      <c r="G10225" s="100">
        <v>117794087</v>
      </c>
      <c r="H10225" s="484">
        <v>117794087</v>
      </c>
      <c r="I10225" s="422" t="s">
        <v>657</v>
      </c>
      <c r="J10225" s="484"/>
      <c r="K10225" s="548"/>
      <c r="L10225" s="548"/>
      <c r="M10225" s="548"/>
      <c r="N10225" s="552">
        <v>1367498</v>
      </c>
      <c r="R10225" s="558">
        <v>982.14300000000003</v>
      </c>
      <c r="S10225" s="558">
        <v>982.56061526963799</v>
      </c>
      <c r="T10225" s="538">
        <v>15.520099999999999</v>
      </c>
      <c r="U10225" s="538">
        <v>2014.62</v>
      </c>
      <c r="V10225" s="538">
        <v>1007.31</v>
      </c>
    </row>
    <row r="10226" spans="1:22">
      <c r="A10226" s="499">
        <v>45840</v>
      </c>
      <c r="B10226" s="499">
        <v>45841</v>
      </c>
      <c r="C10226" s="500" t="s">
        <v>173</v>
      </c>
      <c r="D10226" s="500" t="s">
        <v>762</v>
      </c>
      <c r="E10226" s="501">
        <v>19014408.399999999</v>
      </c>
      <c r="F10226" s="502" t="s">
        <v>878</v>
      </c>
      <c r="G10226" s="100">
        <v>117794090</v>
      </c>
      <c r="H10226" s="484">
        <v>117794090</v>
      </c>
      <c r="I10226" s="422" t="s">
        <v>833</v>
      </c>
      <c r="J10226" s="484"/>
      <c r="K10226" s="548"/>
      <c r="L10226" s="548"/>
      <c r="M10226" s="548"/>
      <c r="N10226" s="552">
        <v>31331</v>
      </c>
      <c r="R10226" s="558">
        <v>606.63040000000001</v>
      </c>
      <c r="S10226" s="558">
        <v>606.88801506495201</v>
      </c>
      <c r="T10226" s="538">
        <v>15.500299999999999</v>
      </c>
      <c r="U10226" s="538">
        <v>39.32</v>
      </c>
      <c r="V10226" s="538">
        <v>14.25</v>
      </c>
    </row>
    <row r="10227" spans="1:22">
      <c r="A10227" s="499">
        <v>45840</v>
      </c>
      <c r="B10227" s="499">
        <v>45841</v>
      </c>
      <c r="C10227" s="500" t="s">
        <v>173</v>
      </c>
      <c r="D10227" s="500" t="s">
        <v>762</v>
      </c>
      <c r="E10227" s="501">
        <v>119090242.09999999</v>
      </c>
      <c r="F10227" s="502" t="s">
        <v>878</v>
      </c>
      <c r="G10227" s="100">
        <v>117794093</v>
      </c>
      <c r="H10227" s="484">
        <v>117794093</v>
      </c>
      <c r="I10227" s="422" t="s">
        <v>833</v>
      </c>
      <c r="J10227" s="484"/>
      <c r="K10227" s="548"/>
      <c r="L10227" s="548"/>
      <c r="M10227" s="548"/>
      <c r="N10227" s="552">
        <v>196231</v>
      </c>
      <c r="R10227" s="558">
        <v>606.63040000000001</v>
      </c>
      <c r="S10227" s="558">
        <v>606.88801514541501</v>
      </c>
      <c r="T10227" s="538">
        <v>15.500299999999999</v>
      </c>
      <c r="U10227" s="538">
        <v>178.56</v>
      </c>
      <c r="V10227" s="538">
        <v>89.28</v>
      </c>
    </row>
    <row r="10228" spans="1:22">
      <c r="A10228" s="499">
        <v>45840</v>
      </c>
      <c r="B10228" s="499">
        <v>45841</v>
      </c>
      <c r="C10228" s="500" t="s">
        <v>173</v>
      </c>
      <c r="D10228" s="500" t="s">
        <v>762</v>
      </c>
      <c r="E10228" s="501">
        <v>97073558.689999998</v>
      </c>
      <c r="F10228" s="502" t="s">
        <v>878</v>
      </c>
      <c r="G10228" s="100">
        <v>117794096</v>
      </c>
      <c r="H10228" s="484">
        <v>117794096</v>
      </c>
      <c r="I10228" s="422" t="s">
        <v>833</v>
      </c>
      <c r="J10228" s="484"/>
      <c r="K10228" s="548"/>
      <c r="L10228" s="548"/>
      <c r="M10228" s="548"/>
      <c r="N10228" s="552">
        <v>159953</v>
      </c>
      <c r="R10228" s="558">
        <v>606.63040000000001</v>
      </c>
      <c r="S10228" s="558">
        <v>606.88801516695503</v>
      </c>
      <c r="T10228" s="538">
        <v>15.500299999999999</v>
      </c>
      <c r="U10228" s="538">
        <v>145.55000000000001</v>
      </c>
      <c r="V10228" s="538">
        <v>72.77</v>
      </c>
    </row>
    <row r="10229" spans="1:22">
      <c r="A10229" s="499">
        <v>45840</v>
      </c>
      <c r="B10229" s="499">
        <v>45841</v>
      </c>
      <c r="C10229" s="500" t="s">
        <v>173</v>
      </c>
      <c r="D10229" s="500" t="s">
        <v>762</v>
      </c>
      <c r="E10229" s="501">
        <v>30014472.91</v>
      </c>
      <c r="F10229" s="502" t="s">
        <v>878</v>
      </c>
      <c r="G10229" s="100">
        <v>117794099</v>
      </c>
      <c r="H10229" s="484">
        <v>117794099</v>
      </c>
      <c r="I10229" s="422" t="s">
        <v>656</v>
      </c>
      <c r="J10229" s="484"/>
      <c r="K10229" s="548"/>
      <c r="L10229" s="548"/>
      <c r="M10229" s="548"/>
      <c r="N10229" s="552">
        <v>29730</v>
      </c>
      <c r="R10229" s="558">
        <v>1009.14</v>
      </c>
      <c r="S10229" s="558">
        <v>1009.56854725866</v>
      </c>
      <c r="T10229" s="538">
        <v>15.500299999999999</v>
      </c>
      <c r="U10229" s="538">
        <v>45</v>
      </c>
      <c r="V10229" s="538">
        <v>22.5</v>
      </c>
    </row>
    <row r="10230" spans="1:22">
      <c r="A10230" s="499">
        <v>45840</v>
      </c>
      <c r="B10230" s="499">
        <v>45841</v>
      </c>
      <c r="C10230" s="500" t="s">
        <v>173</v>
      </c>
      <c r="D10230" s="500" t="s">
        <v>762</v>
      </c>
      <c r="E10230" s="501">
        <v>89046636.890000001</v>
      </c>
      <c r="F10230" s="502" t="s">
        <v>878</v>
      </c>
      <c r="G10230" s="100">
        <v>117794102</v>
      </c>
      <c r="H10230" s="484">
        <v>117794102</v>
      </c>
      <c r="I10230" s="422" t="s">
        <v>590</v>
      </c>
      <c r="J10230" s="484"/>
      <c r="K10230" s="548"/>
      <c r="L10230" s="548"/>
      <c r="M10230" s="548"/>
      <c r="N10230" s="552">
        <v>101994</v>
      </c>
      <c r="R10230" s="558">
        <v>872.68700000000001</v>
      </c>
      <c r="S10230" s="558">
        <v>873.05760034903994</v>
      </c>
      <c r="T10230" s="538">
        <v>15.500299999999999</v>
      </c>
      <c r="U10230" s="538">
        <v>133.51</v>
      </c>
      <c r="V10230" s="538">
        <v>66.760000000000005</v>
      </c>
    </row>
    <row r="10231" spans="1:22">
      <c r="A10231" s="499">
        <v>45840</v>
      </c>
      <c r="B10231" s="499">
        <v>45841</v>
      </c>
      <c r="C10231" s="500" t="s">
        <v>173</v>
      </c>
      <c r="D10231" s="500" t="s">
        <v>762</v>
      </c>
      <c r="E10231" s="501">
        <v>133131036.08</v>
      </c>
      <c r="F10231" s="502" t="s">
        <v>878</v>
      </c>
      <c r="G10231" s="100">
        <v>117794105</v>
      </c>
      <c r="H10231" s="484">
        <v>117794105</v>
      </c>
      <c r="I10231" s="422" t="s">
        <v>687</v>
      </c>
      <c r="J10231" s="484"/>
      <c r="K10231" s="548"/>
      <c r="L10231" s="548"/>
      <c r="M10231" s="548"/>
      <c r="N10231" s="552">
        <v>159201</v>
      </c>
      <c r="R10231" s="558">
        <v>835.89</v>
      </c>
      <c r="S10231" s="558">
        <v>836.24497383810399</v>
      </c>
      <c r="T10231" s="538">
        <v>15.500299999999999</v>
      </c>
      <c r="U10231" s="538">
        <v>199.61</v>
      </c>
      <c r="V10231" s="538">
        <v>99.81</v>
      </c>
    </row>
    <row r="10232" spans="1:22">
      <c r="A10232" s="499">
        <v>45840</v>
      </c>
      <c r="B10232" s="499">
        <v>45841</v>
      </c>
      <c r="C10232" s="500" t="s">
        <v>173</v>
      </c>
      <c r="D10232" s="500" t="s">
        <v>762</v>
      </c>
      <c r="E10232" s="501">
        <v>523613148.54000002</v>
      </c>
      <c r="F10232" s="502" t="s">
        <v>878</v>
      </c>
      <c r="G10232" s="100">
        <v>117794173</v>
      </c>
      <c r="H10232" s="484">
        <v>117794173</v>
      </c>
      <c r="I10232" s="422" t="s">
        <v>686</v>
      </c>
      <c r="J10232" s="484"/>
      <c r="K10232" s="548"/>
      <c r="L10232" s="548"/>
      <c r="M10232" s="548"/>
      <c r="N10232" s="552">
        <v>546535</v>
      </c>
      <c r="R10232" s="558">
        <v>957.65300000000002</v>
      </c>
      <c r="S10232" s="558">
        <v>958.05968243570896</v>
      </c>
      <c r="T10232" s="538">
        <v>15.500299999999999</v>
      </c>
      <c r="U10232" s="538">
        <v>785.09</v>
      </c>
      <c r="V10232" s="538">
        <v>392.54</v>
      </c>
    </row>
    <row r="10233" spans="1:22">
      <c r="A10233" s="499">
        <v>45840</v>
      </c>
      <c r="B10233" s="499">
        <v>45841</v>
      </c>
      <c r="C10233" s="500" t="s">
        <v>173</v>
      </c>
      <c r="D10233" s="500" t="s">
        <v>762</v>
      </c>
      <c r="E10233" s="501">
        <v>14016413.15</v>
      </c>
      <c r="F10233" s="502" t="s">
        <v>878</v>
      </c>
      <c r="G10233" s="100">
        <v>117794186</v>
      </c>
      <c r="H10233" s="484">
        <v>117794186</v>
      </c>
      <c r="I10233" s="422" t="s">
        <v>686</v>
      </c>
      <c r="J10233" s="484"/>
      <c r="K10233" s="548"/>
      <c r="L10233" s="548"/>
      <c r="M10233" s="548"/>
      <c r="N10233" s="552">
        <v>14630</v>
      </c>
      <c r="R10233" s="558">
        <v>957.65300000000002</v>
      </c>
      <c r="S10233" s="558">
        <v>958.05968215994505</v>
      </c>
      <c r="T10233" s="538">
        <v>15.500299999999999</v>
      </c>
      <c r="U10233" s="538">
        <v>39.32</v>
      </c>
      <c r="V10233" s="538">
        <v>10.51</v>
      </c>
    </row>
    <row r="10234" spans="1:22">
      <c r="A10234" s="499">
        <v>45840</v>
      </c>
      <c r="B10234" s="499">
        <v>45840</v>
      </c>
      <c r="C10234" s="500" t="s">
        <v>173</v>
      </c>
      <c r="D10234" s="500" t="s">
        <v>761</v>
      </c>
      <c r="E10234" s="501">
        <v>-2127440471.9200001</v>
      </c>
      <c r="F10234" s="502" t="s">
        <v>878</v>
      </c>
      <c r="G10234" s="100">
        <v>117790457</v>
      </c>
      <c r="H10234" s="530"/>
      <c r="I10234" s="422" t="s">
        <v>675</v>
      </c>
      <c r="J10234" s="484"/>
      <c r="K10234" s="548"/>
      <c r="L10234" s="548"/>
      <c r="M10234" s="548"/>
      <c r="N10234" s="552">
        <v>2309922</v>
      </c>
      <c r="R10234" s="539">
        <v>921.00099999913425</v>
      </c>
      <c r="S10234" s="539">
        <v>921.39412864590201</v>
      </c>
      <c r="T10234" s="538">
        <v>15.58</v>
      </c>
      <c r="U10234" s="538">
        <v>3191.16</v>
      </c>
      <c r="V10234" s="538">
        <v>1595.58</v>
      </c>
    </row>
    <row r="10235" spans="1:22">
      <c r="A10235" s="499">
        <v>45840</v>
      </c>
      <c r="B10235" s="499">
        <v>45840</v>
      </c>
      <c r="C10235" s="500" t="s">
        <v>173</v>
      </c>
      <c r="D10235" s="500" t="s">
        <v>761</v>
      </c>
      <c r="E10235" s="501">
        <v>-16008164.779999999</v>
      </c>
      <c r="F10235" s="502" t="s">
        <v>878</v>
      </c>
      <c r="G10235" s="100">
        <v>117790564</v>
      </c>
      <c r="H10235" s="530"/>
      <c r="I10235" s="422" t="s">
        <v>705</v>
      </c>
      <c r="J10235" s="484"/>
      <c r="K10235" s="548"/>
      <c r="L10235" s="548"/>
      <c r="M10235" s="548"/>
      <c r="N10235" s="552">
        <v>19408</v>
      </c>
      <c r="R10235" s="539">
        <v>824.82299979389938</v>
      </c>
      <c r="S10235" s="539">
        <v>825.17507471145905</v>
      </c>
      <c r="T10235" s="538">
        <v>15.58</v>
      </c>
      <c r="U10235" s="538">
        <v>39.32</v>
      </c>
      <c r="V10235" s="538">
        <v>12.01</v>
      </c>
    </row>
    <row r="10236" spans="1:22">
      <c r="A10236" s="499">
        <v>45840</v>
      </c>
      <c r="B10236" s="499">
        <v>45841</v>
      </c>
      <c r="C10236" s="500" t="s">
        <v>173</v>
      </c>
      <c r="D10236" s="500" t="s">
        <v>761</v>
      </c>
      <c r="E10236" s="501">
        <v>2128348568.4300001</v>
      </c>
      <c r="F10236" s="502" t="s">
        <v>878</v>
      </c>
      <c r="G10236" s="100">
        <v>117790457</v>
      </c>
      <c r="H10236" s="100">
        <v>117790457</v>
      </c>
      <c r="I10236" s="422" t="s">
        <v>675</v>
      </c>
      <c r="J10236" s="484"/>
      <c r="K10236" s="548"/>
      <c r="L10236" s="548"/>
      <c r="M10236" s="548"/>
      <c r="N10236" s="552">
        <v>2309922</v>
      </c>
      <c r="R10236" s="539">
        <v>921.00099999913425</v>
      </c>
      <c r="S10236" s="539">
        <v>921.39412864590201</v>
      </c>
      <c r="T10236" s="538">
        <v>15.58</v>
      </c>
      <c r="U10236" s="538">
        <v>3191.16</v>
      </c>
      <c r="V10236" s="538">
        <v>1595.58</v>
      </c>
    </row>
    <row r="10237" spans="1:22">
      <c r="A10237" s="499">
        <v>45840</v>
      </c>
      <c r="B10237" s="499">
        <v>45841</v>
      </c>
      <c r="C10237" s="500" t="s">
        <v>173</v>
      </c>
      <c r="D10237" s="500" t="s">
        <v>761</v>
      </c>
      <c r="E10237" s="501">
        <v>16014997.85</v>
      </c>
      <c r="F10237" s="502" t="s">
        <v>878</v>
      </c>
      <c r="G10237" s="100">
        <v>117790564</v>
      </c>
      <c r="H10237" s="100">
        <v>117790564</v>
      </c>
      <c r="I10237" s="422" t="s">
        <v>705</v>
      </c>
      <c r="J10237" s="484"/>
      <c r="K10237" s="548"/>
      <c r="L10237" s="548"/>
      <c r="M10237" s="548"/>
      <c r="N10237" s="552">
        <v>19408</v>
      </c>
      <c r="R10237" s="539">
        <v>824.82299979389938</v>
      </c>
      <c r="S10237" s="539">
        <v>825.17507471145905</v>
      </c>
      <c r="T10237" s="538">
        <v>15.58</v>
      </c>
      <c r="U10237" s="538">
        <v>39.32</v>
      </c>
      <c r="V10237" s="538">
        <v>12.01</v>
      </c>
    </row>
    <row r="10238" spans="1:22">
      <c r="A10238" s="499">
        <v>45840</v>
      </c>
      <c r="B10238" s="499">
        <v>45840</v>
      </c>
      <c r="C10238" s="500" t="s">
        <v>173</v>
      </c>
      <c r="D10238" s="500" t="s">
        <v>759</v>
      </c>
      <c r="E10238" s="501">
        <v>-2013679416.4000001</v>
      </c>
      <c r="F10238" s="502" t="s">
        <v>878</v>
      </c>
      <c r="G10238" s="100">
        <v>117791284</v>
      </c>
      <c r="H10238" s="530"/>
      <c r="I10238" s="422" t="s">
        <v>691</v>
      </c>
      <c r="J10238" s="484"/>
      <c r="K10238" s="548"/>
      <c r="L10238" s="548"/>
      <c r="M10238" s="548"/>
      <c r="N10238" s="552">
        <v>2374160</v>
      </c>
      <c r="R10238" s="539">
        <v>848.16500000000008</v>
      </c>
      <c r="S10238" s="539">
        <v>848.52750339909699</v>
      </c>
      <c r="T10238" s="538">
        <v>15.6</v>
      </c>
      <c r="U10238" s="538">
        <v>3020.52</v>
      </c>
      <c r="V10238" s="538">
        <v>1510.26</v>
      </c>
    </row>
    <row r="10239" spans="1:22">
      <c r="A10239" s="499">
        <v>45840</v>
      </c>
      <c r="B10239" s="499">
        <v>45840</v>
      </c>
      <c r="C10239" s="500" t="s">
        <v>173</v>
      </c>
      <c r="D10239" s="500" t="s">
        <v>759</v>
      </c>
      <c r="E10239" s="501">
        <v>-9003001.7699999996</v>
      </c>
      <c r="F10239" s="502" t="s">
        <v>878</v>
      </c>
      <c r="G10239" s="100">
        <v>117793151</v>
      </c>
      <c r="H10239" s="530"/>
      <c r="I10239" s="422" t="s">
        <v>833</v>
      </c>
      <c r="J10239" s="484"/>
      <c r="K10239" s="548"/>
      <c r="L10239" s="548"/>
      <c r="M10239" s="548"/>
      <c r="N10239" s="552">
        <v>14841</v>
      </c>
      <c r="R10239" s="539">
        <v>606.63040024257123</v>
      </c>
      <c r="S10239" s="539">
        <v>606.88834647261001</v>
      </c>
      <c r="T10239" s="538">
        <v>15.520200000000001</v>
      </c>
      <c r="U10239" s="538">
        <v>39.32</v>
      </c>
      <c r="V10239" s="538">
        <v>6.75</v>
      </c>
    </row>
    <row r="10240" spans="1:22">
      <c r="A10240" s="499">
        <v>45840</v>
      </c>
      <c r="B10240" s="499">
        <v>45840</v>
      </c>
      <c r="C10240" s="500" t="s">
        <v>173</v>
      </c>
      <c r="D10240" s="500" t="s">
        <v>759</v>
      </c>
      <c r="E10240" s="501">
        <v>-2000034.43</v>
      </c>
      <c r="F10240" s="502" t="s">
        <v>878</v>
      </c>
      <c r="G10240" s="100">
        <v>117793154</v>
      </c>
      <c r="H10240" s="530"/>
      <c r="I10240" s="422" t="s">
        <v>633</v>
      </c>
      <c r="J10240" s="484"/>
      <c r="K10240" s="548"/>
      <c r="L10240" s="548"/>
      <c r="M10240" s="548"/>
      <c r="N10240" s="552">
        <v>3768</v>
      </c>
      <c r="R10240" s="539">
        <v>530.79470010615705</v>
      </c>
      <c r="S10240" s="539">
        <v>531.02040074310003</v>
      </c>
      <c r="T10240" s="538">
        <v>15.520200000000001</v>
      </c>
      <c r="U10240" s="538">
        <v>39.32</v>
      </c>
      <c r="V10240" s="538">
        <v>1.5</v>
      </c>
    </row>
    <row r="10241" spans="1:22">
      <c r="A10241" s="499">
        <v>45840</v>
      </c>
      <c r="B10241" s="499">
        <v>45841</v>
      </c>
      <c r="C10241" s="500" t="s">
        <v>173</v>
      </c>
      <c r="D10241" s="500" t="s">
        <v>759</v>
      </c>
      <c r="E10241" s="501">
        <v>2014540057.47</v>
      </c>
      <c r="F10241" s="502" t="s">
        <v>878</v>
      </c>
      <c r="G10241" s="100">
        <v>117791284</v>
      </c>
      <c r="H10241" s="100">
        <v>117791284</v>
      </c>
      <c r="I10241" s="422" t="s">
        <v>691</v>
      </c>
      <c r="J10241" s="484"/>
      <c r="K10241" s="548"/>
      <c r="L10241" s="548"/>
      <c r="M10241" s="548"/>
      <c r="N10241" s="552">
        <v>2374160</v>
      </c>
      <c r="R10241" s="539">
        <v>848.16500000000008</v>
      </c>
      <c r="S10241" s="539">
        <v>848.52750339909699</v>
      </c>
      <c r="T10241" s="538">
        <v>15.6</v>
      </c>
      <c r="U10241" s="538">
        <v>3020.52</v>
      </c>
      <c r="V10241" s="538">
        <v>1510.26</v>
      </c>
    </row>
    <row r="10242" spans="1:22">
      <c r="A10242" s="499">
        <v>45840</v>
      </c>
      <c r="B10242" s="499">
        <v>45841</v>
      </c>
      <c r="C10242" s="500" t="s">
        <v>173</v>
      </c>
      <c r="D10242" s="500" t="s">
        <v>759</v>
      </c>
      <c r="E10242" s="501">
        <v>9006829.9499999993</v>
      </c>
      <c r="F10242" s="502" t="s">
        <v>878</v>
      </c>
      <c r="G10242" s="100">
        <v>117793151</v>
      </c>
      <c r="H10242" s="100">
        <v>117793151</v>
      </c>
      <c r="I10242" s="422" t="s">
        <v>833</v>
      </c>
      <c r="J10242" s="484"/>
      <c r="K10242" s="548"/>
      <c r="L10242" s="548"/>
      <c r="M10242" s="548"/>
      <c r="N10242" s="552">
        <v>14841</v>
      </c>
      <c r="R10242" s="539">
        <v>606.63040024257123</v>
      </c>
      <c r="S10242" s="539">
        <v>606.88834647261001</v>
      </c>
      <c r="T10242" s="538">
        <v>15.520200000000001</v>
      </c>
      <c r="U10242" s="538">
        <v>39.32</v>
      </c>
      <c r="V10242" s="538">
        <v>6.75</v>
      </c>
    </row>
    <row r="10243" spans="1:22">
      <c r="A10243" s="499">
        <v>45840</v>
      </c>
      <c r="B10243" s="499">
        <v>45841</v>
      </c>
      <c r="C10243" s="500" t="s">
        <v>173</v>
      </c>
      <c r="D10243" s="500" t="s">
        <v>759</v>
      </c>
      <c r="E10243" s="501">
        <v>2000884.87</v>
      </c>
      <c r="F10243" s="502" t="s">
        <v>878</v>
      </c>
      <c r="G10243" s="100">
        <v>117793154</v>
      </c>
      <c r="H10243" s="100">
        <v>117793154</v>
      </c>
      <c r="I10243" s="422" t="s">
        <v>633</v>
      </c>
      <c r="J10243" s="484"/>
      <c r="K10243" s="548"/>
      <c r="L10243" s="548"/>
      <c r="M10243" s="548"/>
      <c r="N10243" s="552">
        <v>3768</v>
      </c>
      <c r="R10243" s="539">
        <v>530.79470010615705</v>
      </c>
      <c r="S10243" s="539">
        <v>531.02040074310003</v>
      </c>
      <c r="T10243" s="538">
        <v>15.520200000000001</v>
      </c>
      <c r="U10243" s="538">
        <v>39.32</v>
      </c>
      <c r="V10243" s="538">
        <v>1.5</v>
      </c>
    </row>
    <row r="10244" spans="1:22">
      <c r="A10244" s="499">
        <v>45840</v>
      </c>
      <c r="B10244" s="499">
        <v>45840</v>
      </c>
      <c r="C10244" s="500" t="s">
        <v>173</v>
      </c>
      <c r="D10244" s="500" t="s">
        <v>760</v>
      </c>
      <c r="E10244" s="501">
        <v>-1300044460</v>
      </c>
      <c r="F10244" s="502" t="s">
        <v>878</v>
      </c>
      <c r="G10244" s="100">
        <v>117790749</v>
      </c>
      <c r="H10244" s="530"/>
      <c r="I10244" s="422" t="s">
        <v>658</v>
      </c>
      <c r="J10244" s="484"/>
      <c r="K10244" s="548"/>
      <c r="L10244" s="548"/>
      <c r="M10244" s="548"/>
      <c r="N10244" s="552">
        <v>1305200</v>
      </c>
      <c r="R10244" s="539">
        <v>996.05</v>
      </c>
      <c r="S10244" s="539">
        <v>996.47570358565702</v>
      </c>
      <c r="T10244" s="538">
        <v>15.5998</v>
      </c>
      <c r="U10244" s="538">
        <v>1950.07</v>
      </c>
      <c r="V10244" s="538">
        <v>975.03</v>
      </c>
    </row>
    <row r="10245" spans="1:22">
      <c r="A10245" s="499">
        <v>45840</v>
      </c>
      <c r="B10245" s="499">
        <v>45840</v>
      </c>
      <c r="C10245" s="500" t="s">
        <v>173</v>
      </c>
      <c r="D10245" s="500" t="s">
        <v>760</v>
      </c>
      <c r="E10245" s="501">
        <v>-12000410.4</v>
      </c>
      <c r="F10245" s="502" t="s">
        <v>878</v>
      </c>
      <c r="G10245" s="100">
        <v>117790772</v>
      </c>
      <c r="H10245" s="530"/>
      <c r="I10245" s="422" t="s">
        <v>658</v>
      </c>
      <c r="J10245" s="484"/>
      <c r="K10245" s="548"/>
      <c r="L10245" s="548"/>
      <c r="M10245" s="548"/>
      <c r="N10245" s="552">
        <v>12048</v>
      </c>
      <c r="R10245" s="539">
        <v>996.05</v>
      </c>
      <c r="S10245" s="539">
        <v>996.47570385126198</v>
      </c>
      <c r="T10245" s="538">
        <v>15.5998</v>
      </c>
      <c r="U10245" s="538">
        <v>39.32</v>
      </c>
      <c r="V10245" s="538">
        <v>9</v>
      </c>
    </row>
    <row r="10246" spans="1:22">
      <c r="A10246" s="499">
        <v>45840</v>
      </c>
      <c r="B10246" s="499">
        <v>45841</v>
      </c>
      <c r="C10246" s="500" t="s">
        <v>173</v>
      </c>
      <c r="D10246" s="500" t="s">
        <v>760</v>
      </c>
      <c r="E10246" s="501">
        <v>1300600088.3199999</v>
      </c>
      <c r="F10246" s="502" t="s">
        <v>878</v>
      </c>
      <c r="G10246" s="100">
        <v>117790749</v>
      </c>
      <c r="H10246" s="100">
        <v>117790749</v>
      </c>
      <c r="I10246" s="422" t="s">
        <v>658</v>
      </c>
      <c r="J10246" s="484"/>
      <c r="K10246" s="548"/>
      <c r="L10246" s="548"/>
      <c r="M10246" s="548"/>
      <c r="N10246" s="552">
        <v>1305200</v>
      </c>
      <c r="R10246" s="539">
        <v>996.05</v>
      </c>
      <c r="S10246" s="539">
        <v>996.47570358565702</v>
      </c>
      <c r="T10246" s="538">
        <v>15.5998</v>
      </c>
      <c r="U10246" s="538">
        <v>1950.07</v>
      </c>
      <c r="V10246" s="538">
        <v>975.03</v>
      </c>
    </row>
    <row r="10247" spans="1:22">
      <c r="A10247" s="499">
        <v>45840</v>
      </c>
      <c r="B10247" s="499">
        <v>45841</v>
      </c>
      <c r="C10247" s="500" t="s">
        <v>173</v>
      </c>
      <c r="D10247" s="500" t="s">
        <v>760</v>
      </c>
      <c r="E10247" s="501">
        <v>12005539.279999999</v>
      </c>
      <c r="F10247" s="502" t="s">
        <v>878</v>
      </c>
      <c r="G10247" s="100">
        <v>117790772</v>
      </c>
      <c r="H10247" s="100">
        <v>117790772</v>
      </c>
      <c r="I10247" s="422" t="s">
        <v>658</v>
      </c>
      <c r="J10247" s="484"/>
      <c r="K10247" s="548"/>
      <c r="L10247" s="548"/>
      <c r="M10247" s="548"/>
      <c r="N10247" s="552">
        <v>12048</v>
      </c>
      <c r="R10247" s="539">
        <v>996.05</v>
      </c>
      <c r="S10247" s="539">
        <v>996.47570385126198</v>
      </c>
      <c r="T10247" s="538">
        <v>15.5998</v>
      </c>
      <c r="U10247" s="538">
        <v>39.32</v>
      </c>
      <c r="V10247" s="538">
        <v>9</v>
      </c>
    </row>
    <row r="10248" spans="1:22">
      <c r="A10248" s="499">
        <v>45840</v>
      </c>
      <c r="B10248" s="499">
        <v>45840</v>
      </c>
      <c r="C10248" s="500" t="s">
        <v>173</v>
      </c>
      <c r="D10248" s="500" t="s">
        <v>763</v>
      </c>
      <c r="E10248" s="501">
        <v>-554087079.94000006</v>
      </c>
      <c r="F10248" s="502" t="s">
        <v>878</v>
      </c>
      <c r="G10248" s="100">
        <v>117791412</v>
      </c>
      <c r="H10248" s="530"/>
      <c r="I10248" s="422" t="s">
        <v>654</v>
      </c>
      <c r="J10248" s="484"/>
      <c r="K10248" s="548"/>
      <c r="L10248" s="548"/>
      <c r="M10248" s="548"/>
      <c r="N10248" s="552">
        <v>567296</v>
      </c>
      <c r="R10248" s="539">
        <v>976.71600000000001</v>
      </c>
      <c r="S10248" s="539">
        <v>977.13131035649803</v>
      </c>
      <c r="T10248" s="538">
        <v>15.520200000000001</v>
      </c>
      <c r="U10248" s="538">
        <v>831.13</v>
      </c>
      <c r="V10248" s="538">
        <v>415.57</v>
      </c>
    </row>
    <row r="10249" spans="1:22">
      <c r="A10249" s="499">
        <v>45840</v>
      </c>
      <c r="B10249" s="499">
        <v>45840</v>
      </c>
      <c r="C10249" s="500" t="s">
        <v>173</v>
      </c>
      <c r="D10249" s="500" t="s">
        <v>763</v>
      </c>
      <c r="E10249" s="501">
        <v>-499000057.43000001</v>
      </c>
      <c r="F10249" s="502" t="s">
        <v>878</v>
      </c>
      <c r="G10249" s="100">
        <v>117791415</v>
      </c>
      <c r="H10249" s="530"/>
      <c r="I10249" s="422" t="s">
        <v>811</v>
      </c>
      <c r="J10249" s="484"/>
      <c r="K10249" s="548"/>
      <c r="L10249" s="548"/>
      <c r="M10249" s="548"/>
      <c r="N10249" s="552">
        <v>498153197</v>
      </c>
      <c r="R10249" s="539">
        <v>1.0017</v>
      </c>
      <c r="S10249" s="539">
        <v>1.00212593380185</v>
      </c>
      <c r="T10249" s="538">
        <v>15.520200000000001</v>
      </c>
      <c r="U10249" s="538">
        <v>748.5</v>
      </c>
      <c r="V10249" s="538">
        <v>374.25</v>
      </c>
    </row>
    <row r="10250" spans="1:22">
      <c r="A10250" s="499">
        <v>45840</v>
      </c>
      <c r="B10250" s="499">
        <v>45840</v>
      </c>
      <c r="C10250" s="500" t="s">
        <v>173</v>
      </c>
      <c r="D10250" s="500" t="s">
        <v>763</v>
      </c>
      <c r="E10250" s="501">
        <v>-12003112.439999999</v>
      </c>
      <c r="F10250" s="502" t="s">
        <v>878</v>
      </c>
      <c r="G10250" s="100">
        <v>117791418</v>
      </c>
      <c r="H10250" s="530"/>
      <c r="I10250" s="422" t="s">
        <v>678</v>
      </c>
      <c r="J10250" s="484"/>
      <c r="K10250" s="548"/>
      <c r="L10250" s="548"/>
      <c r="M10250" s="548"/>
      <c r="N10250" s="552">
        <v>12540</v>
      </c>
      <c r="R10250" s="539">
        <v>957.18600000000004</v>
      </c>
      <c r="S10250" s="539">
        <v>957.59300558213704</v>
      </c>
      <c r="T10250" s="538">
        <v>15.520200000000001</v>
      </c>
      <c r="U10250" s="538">
        <v>39.32</v>
      </c>
      <c r="V10250" s="538">
        <v>39.32</v>
      </c>
    </row>
    <row r="10251" spans="1:22">
      <c r="A10251" s="499">
        <v>45840</v>
      </c>
      <c r="B10251" s="499">
        <v>45840</v>
      </c>
      <c r="C10251" s="500" t="s">
        <v>173</v>
      </c>
      <c r="D10251" s="500" t="s">
        <v>763</v>
      </c>
      <c r="E10251" s="501">
        <v>-2570390270.4299998</v>
      </c>
      <c r="F10251" s="502" t="s">
        <v>878</v>
      </c>
      <c r="G10251" s="100">
        <v>117791421</v>
      </c>
      <c r="H10251" s="530"/>
      <c r="I10251" s="422" t="s">
        <v>635</v>
      </c>
      <c r="J10251" s="484"/>
      <c r="K10251" s="548"/>
      <c r="L10251" s="548"/>
      <c r="M10251" s="548"/>
      <c r="N10251" s="552">
        <v>4299610</v>
      </c>
      <c r="R10251" s="539">
        <v>597.81939999999997</v>
      </c>
      <c r="S10251" s="539">
        <v>598.07359935901195</v>
      </c>
      <c r="T10251" s="538">
        <v>15.520200000000001</v>
      </c>
      <c r="U10251" s="538">
        <v>3855.59</v>
      </c>
      <c r="V10251" s="538">
        <v>1927.79</v>
      </c>
    </row>
    <row r="10252" spans="1:22">
      <c r="A10252" s="499">
        <v>45840</v>
      </c>
      <c r="B10252" s="499">
        <v>45840</v>
      </c>
      <c r="C10252" s="500" t="s">
        <v>173</v>
      </c>
      <c r="D10252" s="500" t="s">
        <v>763</v>
      </c>
      <c r="E10252" s="501">
        <v>-2282818450.25</v>
      </c>
      <c r="F10252" s="502" t="s">
        <v>878</v>
      </c>
      <c r="G10252" s="100">
        <v>117791424</v>
      </c>
      <c r="H10252" s="530"/>
      <c r="I10252" s="422" t="s">
        <v>1013</v>
      </c>
      <c r="J10252" s="484"/>
      <c r="K10252" s="548"/>
      <c r="L10252" s="548"/>
      <c r="M10252" s="548"/>
      <c r="N10252" s="552">
        <v>4475002</v>
      </c>
      <c r="R10252" s="539">
        <v>510.1268</v>
      </c>
      <c r="S10252" s="539">
        <v>510.343710107839</v>
      </c>
      <c r="T10252" s="538">
        <v>15.520099999999999</v>
      </c>
      <c r="U10252" s="538">
        <v>3424.23</v>
      </c>
      <c r="V10252" s="538">
        <v>1712.11</v>
      </c>
    </row>
    <row r="10253" spans="1:22">
      <c r="A10253" s="499">
        <v>45840</v>
      </c>
      <c r="B10253" s="499">
        <v>45840</v>
      </c>
      <c r="C10253" s="500" t="s">
        <v>173</v>
      </c>
      <c r="D10253" s="500" t="s">
        <v>763</v>
      </c>
      <c r="E10253" s="501">
        <v>-35012552.920000002</v>
      </c>
      <c r="F10253" s="502" t="s">
        <v>878</v>
      </c>
      <c r="G10253" s="100">
        <v>117791490</v>
      </c>
      <c r="H10253" s="530"/>
      <c r="I10253" s="422" t="s">
        <v>1013</v>
      </c>
      <c r="J10253" s="484"/>
      <c r="K10253" s="548"/>
      <c r="L10253" s="548"/>
      <c r="M10253" s="548"/>
      <c r="N10253" s="552">
        <v>68635</v>
      </c>
      <c r="R10253" s="539">
        <v>510.1268</v>
      </c>
      <c r="S10253" s="539">
        <v>510.343710206163</v>
      </c>
      <c r="T10253" s="538">
        <v>15.520099999999999</v>
      </c>
      <c r="U10253" s="538">
        <v>52.52</v>
      </c>
      <c r="V10253" s="538">
        <v>39.32</v>
      </c>
    </row>
    <row r="10254" spans="1:22">
      <c r="A10254" s="499">
        <v>45840</v>
      </c>
      <c r="B10254" s="499">
        <v>45841</v>
      </c>
      <c r="C10254" s="500" t="s">
        <v>173</v>
      </c>
      <c r="D10254" s="500" t="s">
        <v>763</v>
      </c>
      <c r="E10254" s="501">
        <v>554322683.84000003</v>
      </c>
      <c r="F10254" s="502" t="s">
        <v>878</v>
      </c>
      <c r="G10254" s="100">
        <v>117791412</v>
      </c>
      <c r="H10254" s="100">
        <v>117791412</v>
      </c>
      <c r="I10254" s="422" t="s">
        <v>654</v>
      </c>
      <c r="J10254" s="484"/>
      <c r="K10254" s="548"/>
      <c r="L10254" s="548"/>
      <c r="M10254" s="548"/>
      <c r="N10254" s="552">
        <v>567296</v>
      </c>
      <c r="R10254" s="539">
        <v>976.71600000000001</v>
      </c>
      <c r="S10254" s="539">
        <v>977.13131035649803</v>
      </c>
      <c r="T10254" s="538">
        <v>15.520200000000001</v>
      </c>
      <c r="U10254" s="538">
        <v>831.13</v>
      </c>
      <c r="V10254" s="538">
        <v>415.57</v>
      </c>
    </row>
    <row r="10255" spans="1:22">
      <c r="A10255" s="499">
        <v>45840</v>
      </c>
      <c r="B10255" s="499">
        <v>45841</v>
      </c>
      <c r="C10255" s="500" t="s">
        <v>173</v>
      </c>
      <c r="D10255" s="500" t="s">
        <v>763</v>
      </c>
      <c r="E10255" s="501">
        <v>499212237.72000003</v>
      </c>
      <c r="F10255" s="502" t="s">
        <v>878</v>
      </c>
      <c r="G10255" s="100">
        <v>117791415</v>
      </c>
      <c r="H10255" s="100">
        <v>117791415</v>
      </c>
      <c r="I10255" s="422" t="s">
        <v>811</v>
      </c>
      <c r="J10255" s="484"/>
      <c r="K10255" s="548"/>
      <c r="L10255" s="548"/>
      <c r="M10255" s="548"/>
      <c r="N10255" s="552">
        <v>498153197</v>
      </c>
      <c r="R10255" s="539">
        <v>1.0017</v>
      </c>
      <c r="S10255" s="539">
        <v>1.00212593380185</v>
      </c>
      <c r="T10255" s="538">
        <v>15.520200000000001</v>
      </c>
      <c r="U10255" s="538">
        <v>748.5</v>
      </c>
      <c r="V10255" s="538">
        <v>374.25</v>
      </c>
    </row>
    <row r="10256" spans="1:22">
      <c r="A10256" s="499">
        <v>45840</v>
      </c>
      <c r="B10256" s="499">
        <v>45841</v>
      </c>
      <c r="C10256" s="500" t="s">
        <v>173</v>
      </c>
      <c r="D10256" s="500" t="s">
        <v>763</v>
      </c>
      <c r="E10256" s="501">
        <v>12008216.289999999</v>
      </c>
      <c r="F10256" s="502" t="s">
        <v>878</v>
      </c>
      <c r="G10256" s="100">
        <v>117791418</v>
      </c>
      <c r="H10256" s="100">
        <v>117791418</v>
      </c>
      <c r="I10256" s="422" t="s">
        <v>678</v>
      </c>
      <c r="J10256" s="484"/>
      <c r="K10256" s="548"/>
      <c r="L10256" s="548"/>
      <c r="M10256" s="548"/>
      <c r="N10256" s="552">
        <v>12540</v>
      </c>
      <c r="R10256" s="539">
        <v>957.18600000000004</v>
      </c>
      <c r="S10256" s="539">
        <v>957.59300558213704</v>
      </c>
      <c r="T10256" s="538">
        <v>15.520200000000001</v>
      </c>
      <c r="U10256" s="538">
        <v>39.32</v>
      </c>
      <c r="V10256" s="538">
        <v>39.32</v>
      </c>
    </row>
    <row r="10257" spans="1:22">
      <c r="A10257" s="499">
        <v>45840</v>
      </c>
      <c r="B10257" s="499">
        <v>45841</v>
      </c>
      <c r="C10257" s="500" t="s">
        <v>173</v>
      </c>
      <c r="D10257" s="500" t="s">
        <v>763</v>
      </c>
      <c r="E10257" s="501">
        <v>2571483228.54</v>
      </c>
      <c r="F10257" s="502" t="s">
        <v>878</v>
      </c>
      <c r="G10257" s="100">
        <v>117791421</v>
      </c>
      <c r="H10257" s="100">
        <v>117791421</v>
      </c>
      <c r="I10257" s="422" t="s">
        <v>635</v>
      </c>
      <c r="J10257" s="484"/>
      <c r="K10257" s="548"/>
      <c r="L10257" s="548"/>
      <c r="M10257" s="548"/>
      <c r="N10257" s="552">
        <v>4299610</v>
      </c>
      <c r="R10257" s="539">
        <v>597.81939999999997</v>
      </c>
      <c r="S10257" s="539">
        <v>598.07359935901195</v>
      </c>
      <c r="T10257" s="538">
        <v>15.520200000000001</v>
      </c>
      <c r="U10257" s="538">
        <v>3855.59</v>
      </c>
      <c r="V10257" s="538">
        <v>1927.79</v>
      </c>
    </row>
    <row r="10258" spans="1:22">
      <c r="A10258" s="499">
        <v>45840</v>
      </c>
      <c r="B10258" s="499">
        <v>45841</v>
      </c>
      <c r="C10258" s="500" t="s">
        <v>173</v>
      </c>
      <c r="D10258" s="500" t="s">
        <v>763</v>
      </c>
      <c r="E10258" s="501">
        <v>2283789123.4200001</v>
      </c>
      <c r="F10258" s="502" t="s">
        <v>878</v>
      </c>
      <c r="G10258" s="100">
        <v>117791424</v>
      </c>
      <c r="H10258" s="100">
        <v>117791424</v>
      </c>
      <c r="I10258" s="422" t="s">
        <v>1013</v>
      </c>
      <c r="J10258" s="484"/>
      <c r="K10258" s="548"/>
      <c r="L10258" s="548"/>
      <c r="M10258" s="548"/>
      <c r="N10258" s="552">
        <v>4475002</v>
      </c>
      <c r="R10258" s="539">
        <v>510.1268</v>
      </c>
      <c r="S10258" s="539">
        <v>510.343710107839</v>
      </c>
      <c r="T10258" s="538">
        <v>15.520099999999999</v>
      </c>
      <c r="U10258" s="538">
        <v>3424.23</v>
      </c>
      <c r="V10258" s="538">
        <v>1712.11</v>
      </c>
    </row>
    <row r="10259" spans="1:22">
      <c r="A10259" s="499">
        <v>45840</v>
      </c>
      <c r="B10259" s="499">
        <v>45841</v>
      </c>
      <c r="C10259" s="500" t="s">
        <v>173</v>
      </c>
      <c r="D10259" s="500" t="s">
        <v>763</v>
      </c>
      <c r="E10259" s="501">
        <v>35027440.549999997</v>
      </c>
      <c r="F10259" s="502" t="s">
        <v>878</v>
      </c>
      <c r="G10259" s="100">
        <v>117791490</v>
      </c>
      <c r="H10259" s="100">
        <v>117791490</v>
      </c>
      <c r="I10259" s="422" t="s">
        <v>1013</v>
      </c>
      <c r="J10259" s="484"/>
      <c r="K10259" s="548"/>
      <c r="L10259" s="548"/>
      <c r="M10259" s="548"/>
      <c r="N10259" s="552">
        <v>68635</v>
      </c>
      <c r="R10259" s="539">
        <v>510.1268</v>
      </c>
      <c r="S10259" s="539">
        <v>510.343710206163</v>
      </c>
      <c r="T10259" s="538">
        <v>15.520099999999999</v>
      </c>
      <c r="U10259" s="538">
        <v>52.52</v>
      </c>
      <c r="V10259" s="538">
        <v>39.32</v>
      </c>
    </row>
    <row r="10260" spans="1:22">
      <c r="A10260" s="499">
        <v>45841</v>
      </c>
      <c r="B10260" s="499">
        <v>45841</v>
      </c>
      <c r="C10260" s="500" t="s">
        <v>173</v>
      </c>
      <c r="D10260" s="500" t="s">
        <v>762</v>
      </c>
      <c r="E10260" s="501">
        <v>-1555955367.1199999</v>
      </c>
      <c r="F10260" s="502" t="s">
        <v>878</v>
      </c>
      <c r="G10260" s="100">
        <v>117822726</v>
      </c>
      <c r="H10260" s="530"/>
      <c r="I10260" s="422" t="s">
        <v>693</v>
      </c>
      <c r="J10260" s="484"/>
      <c r="K10260" s="548"/>
      <c r="L10260" s="548"/>
      <c r="M10260" s="548"/>
      <c r="N10260" s="552">
        <v>1915760</v>
      </c>
      <c r="R10260" s="539">
        <v>812.18700000000001</v>
      </c>
      <c r="S10260" s="539">
        <v>812.53190132897703</v>
      </c>
      <c r="T10260" s="538">
        <v>15.5</v>
      </c>
      <c r="U10260" s="538">
        <v>2333.9299999999998</v>
      </c>
      <c r="V10260" s="538">
        <v>1166.97</v>
      </c>
    </row>
    <row r="10261" spans="1:22">
      <c r="A10261" s="499">
        <v>45841</v>
      </c>
      <c r="B10261" s="499">
        <v>45842</v>
      </c>
      <c r="C10261" s="500" t="s">
        <v>173</v>
      </c>
      <c r="D10261" s="500" t="s">
        <v>762</v>
      </c>
      <c r="E10261" s="501">
        <v>1556616115.29</v>
      </c>
      <c r="F10261" s="502" t="s">
        <v>878</v>
      </c>
      <c r="G10261" s="100">
        <v>117822726</v>
      </c>
      <c r="H10261" s="100">
        <v>117822726</v>
      </c>
      <c r="I10261" s="422" t="s">
        <v>693</v>
      </c>
      <c r="J10261" s="484"/>
      <c r="K10261" s="548"/>
      <c r="L10261" s="548"/>
      <c r="M10261" s="548"/>
      <c r="N10261" s="552">
        <v>1915760</v>
      </c>
      <c r="R10261" s="539">
        <v>812.18700000000001</v>
      </c>
      <c r="S10261" s="539">
        <v>812.53190132897703</v>
      </c>
      <c r="T10261" s="538">
        <v>15.5</v>
      </c>
      <c r="U10261" s="538">
        <v>2333.9299999999998</v>
      </c>
      <c r="V10261" s="538">
        <v>1166.97</v>
      </c>
    </row>
    <row r="10262" spans="1:22">
      <c r="A10262" s="499">
        <v>45841</v>
      </c>
      <c r="B10262" s="499">
        <v>45841</v>
      </c>
      <c r="C10262" s="500" t="s">
        <v>173</v>
      </c>
      <c r="D10262" s="500" t="s">
        <v>761</v>
      </c>
      <c r="E10262" s="501">
        <v>-52043755.399999999</v>
      </c>
      <c r="F10262" s="502" t="s">
        <v>878</v>
      </c>
      <c r="G10262" s="100">
        <v>117817807</v>
      </c>
      <c r="H10262" s="530"/>
      <c r="I10262" s="422" t="s">
        <v>653</v>
      </c>
      <c r="J10262" s="484"/>
      <c r="K10262" s="548"/>
      <c r="L10262" s="548"/>
      <c r="M10262" s="548"/>
      <c r="N10262" s="552">
        <v>51116</v>
      </c>
      <c r="R10262" s="539">
        <v>1018.15</v>
      </c>
      <c r="S10262" s="539">
        <v>1018.58431763049</v>
      </c>
      <c r="T10262" s="538">
        <v>15.57</v>
      </c>
      <c r="U10262" s="538">
        <v>78.069999999999993</v>
      </c>
      <c r="V10262" s="538">
        <v>39.03</v>
      </c>
    </row>
    <row r="10263" spans="1:22">
      <c r="A10263" s="499">
        <v>45841</v>
      </c>
      <c r="B10263" s="499">
        <v>45841</v>
      </c>
      <c r="C10263" s="500" t="s">
        <v>173</v>
      </c>
      <c r="D10263" s="500" t="s">
        <v>761</v>
      </c>
      <c r="E10263" s="501">
        <v>-4002510.6</v>
      </c>
      <c r="F10263" s="502" t="s">
        <v>878</v>
      </c>
      <c r="G10263" s="100">
        <v>117817858</v>
      </c>
      <c r="H10263" s="530"/>
      <c r="I10263" s="422" t="s">
        <v>705</v>
      </c>
      <c r="J10263" s="484"/>
      <c r="K10263" s="548"/>
      <c r="L10263" s="548"/>
      <c r="M10263" s="548"/>
      <c r="N10263" s="552">
        <v>4840</v>
      </c>
      <c r="R10263" s="539">
        <v>826.96500000000003</v>
      </c>
      <c r="S10263" s="539">
        <v>827.31776239669398</v>
      </c>
      <c r="T10263" s="538">
        <v>15.57</v>
      </c>
      <c r="U10263" s="538">
        <v>39.32</v>
      </c>
      <c r="V10263" s="538">
        <v>3</v>
      </c>
    </row>
    <row r="10264" spans="1:22">
      <c r="A10264" s="499">
        <v>45841</v>
      </c>
      <c r="B10264" s="499">
        <v>45841</v>
      </c>
      <c r="C10264" s="500" t="s">
        <v>173</v>
      </c>
      <c r="D10264" s="500" t="s">
        <v>761</v>
      </c>
      <c r="E10264" s="501">
        <v>-343151730.85000002</v>
      </c>
      <c r="F10264" s="502" t="s">
        <v>878</v>
      </c>
      <c r="G10264" s="100">
        <v>117821344</v>
      </c>
      <c r="H10264" s="530"/>
      <c r="I10264" s="422" t="s">
        <v>631</v>
      </c>
      <c r="J10264" s="484"/>
      <c r="K10264" s="548"/>
      <c r="L10264" s="548"/>
      <c r="M10264" s="548"/>
      <c r="N10264" s="552">
        <v>727846</v>
      </c>
      <c r="R10264" s="539">
        <v>471.46199999725218</v>
      </c>
      <c r="S10264" s="539">
        <v>471.662211182036</v>
      </c>
      <c r="T10264" s="538">
        <v>15.5001</v>
      </c>
      <c r="U10264" s="538">
        <v>514.73</v>
      </c>
      <c r="V10264" s="538">
        <v>257.36</v>
      </c>
    </row>
    <row r="10265" spans="1:22">
      <c r="A10265" s="499">
        <v>45841</v>
      </c>
      <c r="B10265" s="499">
        <v>45841</v>
      </c>
      <c r="C10265" s="500" t="s">
        <v>173</v>
      </c>
      <c r="D10265" s="500" t="s">
        <v>761</v>
      </c>
      <c r="E10265" s="501">
        <v>-31013268.890000001</v>
      </c>
      <c r="F10265" s="502" t="s">
        <v>878</v>
      </c>
      <c r="G10265" s="100">
        <v>117821347</v>
      </c>
      <c r="H10265" s="530"/>
      <c r="I10265" s="422" t="s">
        <v>1013</v>
      </c>
      <c r="J10265" s="484"/>
      <c r="K10265" s="548"/>
      <c r="L10265" s="548"/>
      <c r="M10265" s="548"/>
      <c r="N10265" s="552">
        <v>61039</v>
      </c>
      <c r="R10265" s="539">
        <v>508.08940005570213</v>
      </c>
      <c r="S10265" s="539">
        <v>508.30516538606503</v>
      </c>
      <c r="T10265" s="538">
        <v>15.5001</v>
      </c>
      <c r="U10265" s="538">
        <v>46.52</v>
      </c>
      <c r="V10265" s="538">
        <v>23.26</v>
      </c>
    </row>
    <row r="10266" spans="1:22">
      <c r="A10266" s="499">
        <v>45841</v>
      </c>
      <c r="B10266" s="499">
        <v>45841</v>
      </c>
      <c r="C10266" s="500" t="s">
        <v>173</v>
      </c>
      <c r="D10266" s="500" t="s">
        <v>761</v>
      </c>
      <c r="E10266" s="501">
        <v>-1698042609.6500001</v>
      </c>
      <c r="F10266" s="502" t="s">
        <v>878</v>
      </c>
      <c r="G10266" s="100">
        <v>117821350</v>
      </c>
      <c r="H10266" s="530"/>
      <c r="I10266" s="422" t="s">
        <v>693</v>
      </c>
      <c r="J10266" s="484"/>
      <c r="K10266" s="548"/>
      <c r="L10266" s="548"/>
      <c r="M10266" s="548"/>
      <c r="N10266" s="552">
        <v>2090704</v>
      </c>
      <c r="R10266" s="539">
        <v>812.18700000095669</v>
      </c>
      <c r="S10266" s="539">
        <v>812.53190133084399</v>
      </c>
      <c r="T10266" s="538">
        <v>15.5</v>
      </c>
      <c r="U10266" s="538">
        <v>2547.06</v>
      </c>
      <c r="V10266" s="538">
        <v>1273.53</v>
      </c>
    </row>
    <row r="10267" spans="1:22">
      <c r="A10267" s="499">
        <v>45841</v>
      </c>
      <c r="B10267" s="499">
        <v>45841</v>
      </c>
      <c r="C10267" s="500" t="s">
        <v>173</v>
      </c>
      <c r="D10267" s="500" t="s">
        <v>761</v>
      </c>
      <c r="E10267" s="501">
        <v>-16009830.140000001</v>
      </c>
      <c r="F10267" s="502" t="s">
        <v>878</v>
      </c>
      <c r="G10267" s="100">
        <v>117821365</v>
      </c>
      <c r="H10267" s="530"/>
      <c r="I10267" s="422" t="s">
        <v>693</v>
      </c>
      <c r="J10267" s="484"/>
      <c r="K10267" s="548"/>
      <c r="L10267" s="548"/>
      <c r="M10267" s="548"/>
      <c r="N10267" s="552">
        <v>19712</v>
      </c>
      <c r="R10267" s="539">
        <v>812.18699979707799</v>
      </c>
      <c r="S10267" s="539">
        <v>812.53190087256496</v>
      </c>
      <c r="T10267" s="538">
        <v>15.5</v>
      </c>
      <c r="U10267" s="538">
        <v>39.32</v>
      </c>
      <c r="V10267" s="538">
        <v>12.01</v>
      </c>
    </row>
    <row r="10268" spans="1:22">
      <c r="A10268" s="499">
        <v>45841</v>
      </c>
      <c r="B10268" s="499">
        <v>45842</v>
      </c>
      <c r="C10268" s="500" t="s">
        <v>173</v>
      </c>
      <c r="D10268" s="500" t="s">
        <v>761</v>
      </c>
      <c r="E10268" s="501">
        <v>52065955.979999997</v>
      </c>
      <c r="F10268" s="502" t="s">
        <v>878</v>
      </c>
      <c r="G10268" s="100">
        <v>117817807</v>
      </c>
      <c r="H10268" s="100">
        <v>117817807</v>
      </c>
      <c r="I10268" s="422" t="s">
        <v>653</v>
      </c>
      <c r="J10268" s="484"/>
      <c r="K10268" s="548"/>
      <c r="L10268" s="548"/>
      <c r="M10268" s="548"/>
      <c r="N10268" s="552">
        <v>51116</v>
      </c>
      <c r="R10268" s="539">
        <v>1018.15</v>
      </c>
      <c r="S10268" s="539">
        <v>1018.58431763049</v>
      </c>
      <c r="T10268" s="538">
        <v>15.57</v>
      </c>
      <c r="U10268" s="538">
        <v>78.069999999999993</v>
      </c>
      <c r="V10268" s="538">
        <v>39.03</v>
      </c>
    </row>
    <row r="10269" spans="1:22">
      <c r="A10269" s="499">
        <v>45841</v>
      </c>
      <c r="B10269" s="499">
        <v>45842</v>
      </c>
      <c r="C10269" s="500" t="s">
        <v>173</v>
      </c>
      <c r="D10269" s="500" t="s">
        <v>761</v>
      </c>
      <c r="E10269" s="501">
        <v>4004217.97</v>
      </c>
      <c r="F10269" s="502" t="s">
        <v>878</v>
      </c>
      <c r="G10269" s="100">
        <v>117817858</v>
      </c>
      <c r="H10269" s="100">
        <v>117817858</v>
      </c>
      <c r="I10269" s="422" t="s">
        <v>705</v>
      </c>
      <c r="J10269" s="484"/>
      <c r="K10269" s="548"/>
      <c r="L10269" s="548"/>
      <c r="M10269" s="548"/>
      <c r="N10269" s="552">
        <v>4840</v>
      </c>
      <c r="R10269" s="539">
        <v>826.96500000000003</v>
      </c>
      <c r="S10269" s="539">
        <v>827.31776239669398</v>
      </c>
      <c r="T10269" s="538">
        <v>15.57</v>
      </c>
      <c r="U10269" s="538">
        <v>39.32</v>
      </c>
      <c r="V10269" s="538">
        <v>3</v>
      </c>
    </row>
    <row r="10270" spans="1:22">
      <c r="A10270" s="499">
        <v>45841</v>
      </c>
      <c r="B10270" s="499">
        <v>45842</v>
      </c>
      <c r="C10270" s="500" t="s">
        <v>173</v>
      </c>
      <c r="D10270" s="500" t="s">
        <v>761</v>
      </c>
      <c r="E10270" s="501">
        <v>343297453.75999999</v>
      </c>
      <c r="F10270" s="502" t="s">
        <v>878</v>
      </c>
      <c r="G10270" s="100">
        <v>117821344</v>
      </c>
      <c r="H10270" s="100">
        <v>117821344</v>
      </c>
      <c r="I10270" s="422" t="s">
        <v>631</v>
      </c>
      <c r="J10270" s="484"/>
      <c r="K10270" s="548"/>
      <c r="L10270" s="548"/>
      <c r="M10270" s="548"/>
      <c r="N10270" s="552">
        <v>727846</v>
      </c>
      <c r="R10270" s="539">
        <v>471.46199999725218</v>
      </c>
      <c r="S10270" s="539">
        <v>471.662211182036</v>
      </c>
      <c r="T10270" s="538">
        <v>15.5001</v>
      </c>
      <c r="U10270" s="538">
        <v>514.73</v>
      </c>
      <c r="V10270" s="538">
        <v>257.36</v>
      </c>
    </row>
    <row r="10271" spans="1:22">
      <c r="A10271" s="499">
        <v>45841</v>
      </c>
      <c r="B10271" s="499">
        <v>45842</v>
      </c>
      <c r="C10271" s="500" t="s">
        <v>173</v>
      </c>
      <c r="D10271" s="500" t="s">
        <v>761</v>
      </c>
      <c r="E10271" s="501">
        <v>31026438.989999998</v>
      </c>
      <c r="F10271" s="502" t="s">
        <v>878</v>
      </c>
      <c r="G10271" s="100">
        <v>117821347</v>
      </c>
      <c r="H10271" s="100">
        <v>117821347</v>
      </c>
      <c r="I10271" s="422" t="s">
        <v>1013</v>
      </c>
      <c r="J10271" s="484"/>
      <c r="K10271" s="548"/>
      <c r="L10271" s="548"/>
      <c r="M10271" s="548"/>
      <c r="N10271" s="552">
        <v>61039</v>
      </c>
      <c r="R10271" s="539">
        <v>508.08940005570213</v>
      </c>
      <c r="S10271" s="539">
        <v>508.30516538606503</v>
      </c>
      <c r="T10271" s="538">
        <v>15.5001</v>
      </c>
      <c r="U10271" s="538">
        <v>46.52</v>
      </c>
      <c r="V10271" s="538">
        <v>23.26</v>
      </c>
    </row>
    <row r="10272" spans="1:22">
      <c r="A10272" s="499">
        <v>45841</v>
      </c>
      <c r="B10272" s="499">
        <v>45842</v>
      </c>
      <c r="C10272" s="500" t="s">
        <v>173</v>
      </c>
      <c r="D10272" s="500" t="s">
        <v>761</v>
      </c>
      <c r="E10272" s="501">
        <v>1698763696.24</v>
      </c>
      <c r="F10272" s="502" t="s">
        <v>878</v>
      </c>
      <c r="G10272" s="100">
        <v>117821350</v>
      </c>
      <c r="H10272" s="100">
        <v>117821350</v>
      </c>
      <c r="I10272" s="422" t="s">
        <v>693</v>
      </c>
      <c r="J10272" s="484"/>
      <c r="K10272" s="548"/>
      <c r="L10272" s="548"/>
      <c r="M10272" s="548"/>
      <c r="N10272" s="552">
        <v>2090704</v>
      </c>
      <c r="R10272" s="539">
        <v>812.18700000095669</v>
      </c>
      <c r="S10272" s="539">
        <v>812.53190133084399</v>
      </c>
      <c r="T10272" s="538">
        <v>15.5</v>
      </c>
      <c r="U10272" s="538">
        <v>2547.06</v>
      </c>
      <c r="V10272" s="538">
        <v>1273.53</v>
      </c>
    </row>
    <row r="10273" spans="1:22">
      <c r="A10273" s="499">
        <v>45841</v>
      </c>
      <c r="B10273" s="499">
        <v>45842</v>
      </c>
      <c r="C10273" s="500" t="s">
        <v>173</v>
      </c>
      <c r="D10273" s="500" t="s">
        <v>761</v>
      </c>
      <c r="E10273" s="501">
        <v>16016628.83</v>
      </c>
      <c r="F10273" s="502" t="s">
        <v>878</v>
      </c>
      <c r="G10273" s="100">
        <v>117821365</v>
      </c>
      <c r="H10273" s="100">
        <v>117821365</v>
      </c>
      <c r="I10273" s="422" t="s">
        <v>693</v>
      </c>
      <c r="J10273" s="484"/>
      <c r="K10273" s="548"/>
      <c r="L10273" s="548"/>
      <c r="M10273" s="548"/>
      <c r="N10273" s="552">
        <v>19712</v>
      </c>
      <c r="R10273" s="539">
        <v>812.18699979707799</v>
      </c>
      <c r="S10273" s="539">
        <v>812.53190087256496</v>
      </c>
      <c r="T10273" s="538">
        <v>15.5</v>
      </c>
      <c r="U10273" s="538">
        <v>39.32</v>
      </c>
      <c r="V10273" s="538">
        <v>12.01</v>
      </c>
    </row>
    <row r="10274" spans="1:22">
      <c r="A10274" s="499">
        <v>45841</v>
      </c>
      <c r="B10274" s="499">
        <v>45841</v>
      </c>
      <c r="C10274" s="500" t="s">
        <v>173</v>
      </c>
      <c r="D10274" s="500" t="s">
        <v>759</v>
      </c>
      <c r="E10274" s="501">
        <v>-2014168526.3699999</v>
      </c>
      <c r="F10274" s="502" t="s">
        <v>878</v>
      </c>
      <c r="G10274" s="100">
        <v>117820029</v>
      </c>
      <c r="H10274" s="530"/>
      <c r="I10274" s="422" t="s">
        <v>675</v>
      </c>
      <c r="J10274" s="484"/>
      <c r="K10274" s="548"/>
      <c r="L10274" s="548"/>
      <c r="M10274" s="548"/>
      <c r="N10274" s="552">
        <v>2184105</v>
      </c>
      <c r="R10274" s="539">
        <v>922.19399999999996</v>
      </c>
      <c r="S10274" s="539">
        <v>922.58624827103097</v>
      </c>
      <c r="T10274" s="538">
        <v>15.525</v>
      </c>
      <c r="U10274" s="538">
        <v>3021.25</v>
      </c>
      <c r="V10274" s="538">
        <v>1510.63</v>
      </c>
    </row>
    <row r="10275" spans="1:22">
      <c r="A10275" s="499">
        <v>45841</v>
      </c>
      <c r="B10275" s="499">
        <v>45841</v>
      </c>
      <c r="C10275" s="500" t="s">
        <v>173</v>
      </c>
      <c r="D10275" s="500" t="s">
        <v>759</v>
      </c>
      <c r="E10275" s="501">
        <v>-11006758.220000001</v>
      </c>
      <c r="F10275" s="502" t="s">
        <v>878</v>
      </c>
      <c r="G10275" s="100">
        <v>117822300</v>
      </c>
      <c r="H10275" s="530"/>
      <c r="I10275" s="422" t="s">
        <v>693</v>
      </c>
      <c r="J10275" s="484"/>
      <c r="K10275" s="548"/>
      <c r="L10275" s="548"/>
      <c r="M10275" s="548"/>
      <c r="N10275" s="552">
        <v>13552</v>
      </c>
      <c r="R10275" s="539">
        <v>812.18699970484067</v>
      </c>
      <c r="S10275" s="539">
        <v>812.53190082644596</v>
      </c>
      <c r="T10275" s="538">
        <v>15.5</v>
      </c>
      <c r="U10275" s="538">
        <v>39.32</v>
      </c>
      <c r="V10275" s="538">
        <v>8.26</v>
      </c>
    </row>
    <row r="10276" spans="1:22">
      <c r="A10276" s="499">
        <v>45841</v>
      </c>
      <c r="B10276" s="499">
        <v>45842</v>
      </c>
      <c r="C10276" s="500" t="s">
        <v>173</v>
      </c>
      <c r="D10276" s="500" t="s">
        <v>759</v>
      </c>
      <c r="E10276" s="501">
        <v>2015025237.78</v>
      </c>
      <c r="F10276" s="502" t="s">
        <v>878</v>
      </c>
      <c r="G10276" s="100">
        <v>117820029</v>
      </c>
      <c r="H10276" s="100">
        <v>117820029</v>
      </c>
      <c r="I10276" s="422" t="s">
        <v>675</v>
      </c>
      <c r="J10276" s="484"/>
      <c r="K10276" s="548"/>
      <c r="L10276" s="548"/>
      <c r="M10276" s="548"/>
      <c r="N10276" s="552">
        <v>2184105</v>
      </c>
      <c r="R10276" s="539">
        <v>922.19399999999996</v>
      </c>
      <c r="S10276" s="539">
        <v>922.58624827103097</v>
      </c>
      <c r="T10276" s="538">
        <v>15.525</v>
      </c>
      <c r="U10276" s="538">
        <v>3021.25</v>
      </c>
      <c r="V10276" s="538">
        <v>1510.63</v>
      </c>
    </row>
    <row r="10277" spans="1:22">
      <c r="A10277" s="499">
        <v>45841</v>
      </c>
      <c r="B10277" s="499">
        <v>45842</v>
      </c>
      <c r="C10277" s="500" t="s">
        <v>173</v>
      </c>
      <c r="D10277" s="500" t="s">
        <v>759</v>
      </c>
      <c r="E10277" s="501">
        <v>11011432.32</v>
      </c>
      <c r="F10277" s="502" t="s">
        <v>878</v>
      </c>
      <c r="G10277" s="100">
        <v>117822300</v>
      </c>
      <c r="H10277" s="100">
        <v>117822300</v>
      </c>
      <c r="I10277" s="422" t="s">
        <v>693</v>
      </c>
      <c r="J10277" s="484"/>
      <c r="K10277" s="548"/>
      <c r="L10277" s="548"/>
      <c r="M10277" s="548"/>
      <c r="N10277" s="552">
        <v>13552</v>
      </c>
      <c r="R10277" s="539">
        <v>812.18699970484067</v>
      </c>
      <c r="S10277" s="539">
        <v>812.53190082644596</v>
      </c>
      <c r="T10277" s="538">
        <v>15.5</v>
      </c>
      <c r="U10277" s="538">
        <v>39.32</v>
      </c>
      <c r="V10277" s="538">
        <v>8.26</v>
      </c>
    </row>
    <row r="10278" spans="1:22">
      <c r="A10278" s="499">
        <v>45841</v>
      </c>
      <c r="B10278" s="499">
        <v>45841</v>
      </c>
      <c r="C10278" s="500" t="s">
        <v>173</v>
      </c>
      <c r="D10278" s="500" t="s">
        <v>760</v>
      </c>
      <c r="E10278" s="501">
        <v>-1300754637</v>
      </c>
      <c r="F10278" s="502" t="s">
        <v>878</v>
      </c>
      <c r="G10278" s="100">
        <v>117819458</v>
      </c>
      <c r="H10278" s="530"/>
      <c r="I10278" s="422" t="s">
        <v>675</v>
      </c>
      <c r="J10278" s="484"/>
      <c r="K10278" s="548"/>
      <c r="L10278" s="548"/>
      <c r="M10278" s="548"/>
      <c r="N10278" s="552">
        <v>1410500</v>
      </c>
      <c r="R10278" s="539">
        <v>922.19399999999996</v>
      </c>
      <c r="S10278" s="539">
        <v>922.58612194257398</v>
      </c>
      <c r="T10278" s="538">
        <v>15.52</v>
      </c>
      <c r="U10278" s="538">
        <v>1951.13</v>
      </c>
      <c r="V10278" s="538">
        <v>975.57</v>
      </c>
    </row>
    <row r="10279" spans="1:22">
      <c r="A10279" s="499">
        <v>45841</v>
      </c>
      <c r="B10279" s="499">
        <v>45841</v>
      </c>
      <c r="C10279" s="500" t="s">
        <v>173</v>
      </c>
      <c r="D10279" s="500" t="s">
        <v>760</v>
      </c>
      <c r="E10279" s="501">
        <v>-11006385.390000001</v>
      </c>
      <c r="F10279" s="502" t="s">
        <v>878</v>
      </c>
      <c r="G10279" s="100">
        <v>117819468</v>
      </c>
      <c r="H10279" s="530"/>
      <c r="I10279" s="422" t="s">
        <v>675</v>
      </c>
      <c r="J10279" s="484"/>
      <c r="K10279" s="548"/>
      <c r="L10279" s="548"/>
      <c r="M10279" s="548"/>
      <c r="N10279" s="552">
        <v>11935</v>
      </c>
      <c r="R10279" s="539">
        <v>922.19399999999996</v>
      </c>
      <c r="S10279" s="539">
        <v>922.58612232928294</v>
      </c>
      <c r="T10279" s="538">
        <v>15.52</v>
      </c>
      <c r="U10279" s="538">
        <v>39.32</v>
      </c>
      <c r="V10279" s="538">
        <v>8.25</v>
      </c>
    </row>
    <row r="10280" spans="1:22">
      <c r="A10280" s="499">
        <v>45841</v>
      </c>
      <c r="B10280" s="499">
        <v>45842</v>
      </c>
      <c r="C10280" s="500" t="s">
        <v>173</v>
      </c>
      <c r="D10280" s="500" t="s">
        <v>760</v>
      </c>
      <c r="E10280" s="501">
        <v>1301307725</v>
      </c>
      <c r="F10280" s="502" t="s">
        <v>878</v>
      </c>
      <c r="G10280" s="100">
        <v>117819458</v>
      </c>
      <c r="H10280" s="100">
        <v>117819458</v>
      </c>
      <c r="I10280" s="422" t="s">
        <v>675</v>
      </c>
      <c r="J10280" s="484"/>
      <c r="K10280" s="548"/>
      <c r="L10280" s="548"/>
      <c r="M10280" s="548"/>
      <c r="N10280" s="552">
        <v>1410500</v>
      </c>
      <c r="R10280" s="539">
        <v>922.19399999999996</v>
      </c>
      <c r="S10280" s="539">
        <v>922.58612194257398</v>
      </c>
      <c r="T10280" s="538">
        <v>15.52</v>
      </c>
      <c r="U10280" s="538">
        <v>1951.13</v>
      </c>
      <c r="V10280" s="538">
        <v>975.57</v>
      </c>
    </row>
    <row r="10281" spans="1:22">
      <c r="A10281" s="499">
        <v>45841</v>
      </c>
      <c r="B10281" s="499">
        <v>45842</v>
      </c>
      <c r="C10281" s="500" t="s">
        <v>173</v>
      </c>
      <c r="D10281" s="500" t="s">
        <v>760</v>
      </c>
      <c r="E10281" s="501">
        <v>11011065.369999999</v>
      </c>
      <c r="F10281" s="502" t="s">
        <v>878</v>
      </c>
      <c r="G10281" s="100">
        <v>117819468</v>
      </c>
      <c r="H10281" s="100">
        <v>117819468</v>
      </c>
      <c r="I10281" s="422" t="s">
        <v>675</v>
      </c>
      <c r="J10281" s="484"/>
      <c r="K10281" s="548"/>
      <c r="L10281" s="548"/>
      <c r="M10281" s="548"/>
      <c r="N10281" s="552">
        <v>11935</v>
      </c>
      <c r="R10281" s="539">
        <v>922.19399999999996</v>
      </c>
      <c r="S10281" s="539">
        <v>922.58612232928294</v>
      </c>
      <c r="T10281" s="538">
        <v>15.52</v>
      </c>
      <c r="U10281" s="538">
        <v>39.32</v>
      </c>
      <c r="V10281" s="538">
        <v>8.25</v>
      </c>
    </row>
    <row r="10282" spans="1:22">
      <c r="A10282" s="499">
        <v>45841</v>
      </c>
      <c r="B10282" s="499">
        <v>45841</v>
      </c>
      <c r="C10282" s="500" t="s">
        <v>173</v>
      </c>
      <c r="D10282" s="500" t="s">
        <v>763</v>
      </c>
      <c r="E10282" s="501">
        <v>-1399514731.27</v>
      </c>
      <c r="F10282" s="502" t="s">
        <v>878</v>
      </c>
      <c r="G10282" s="100">
        <v>117820833</v>
      </c>
      <c r="H10282" s="530"/>
      <c r="I10282" s="422" t="s">
        <v>635</v>
      </c>
      <c r="J10282" s="484"/>
      <c r="K10282" s="548"/>
      <c r="L10282" s="548"/>
      <c r="M10282" s="548"/>
      <c r="N10282" s="552">
        <v>2350320</v>
      </c>
      <c r="R10282" s="539">
        <v>595.45709999999997</v>
      </c>
      <c r="S10282" s="539">
        <v>595.71012848037697</v>
      </c>
      <c r="T10282" s="538">
        <v>15.51</v>
      </c>
      <c r="U10282" s="538">
        <v>2099.27</v>
      </c>
      <c r="V10282" s="538">
        <v>1049.6400000000001</v>
      </c>
    </row>
    <row r="10283" spans="1:22">
      <c r="A10283" s="499">
        <v>45841</v>
      </c>
      <c r="B10283" s="499">
        <v>45841</v>
      </c>
      <c r="C10283" s="500" t="s">
        <v>173</v>
      </c>
      <c r="D10283" s="500" t="s">
        <v>763</v>
      </c>
      <c r="E10283" s="501">
        <v>-1000000107</v>
      </c>
      <c r="F10283" s="502" t="s">
        <v>878</v>
      </c>
      <c r="G10283" s="100">
        <v>117820836</v>
      </c>
      <c r="H10283" s="530"/>
      <c r="I10283" s="422" t="s">
        <v>2543</v>
      </c>
      <c r="J10283" s="484"/>
      <c r="K10283" s="548"/>
      <c r="L10283" s="548"/>
      <c r="M10283" s="548"/>
      <c r="N10283" s="552">
        <v>976086000</v>
      </c>
      <c r="R10283" s="539">
        <v>1.0245</v>
      </c>
      <c r="S10283" s="539">
        <v>1.02493507006555</v>
      </c>
      <c r="T10283" s="538">
        <v>15.500299999999999</v>
      </c>
      <c r="U10283" s="538">
        <v>1500</v>
      </c>
      <c r="V10283" s="538">
        <v>750</v>
      </c>
    </row>
    <row r="10284" spans="1:22">
      <c r="A10284" s="499">
        <v>45841</v>
      </c>
      <c r="B10284" s="499">
        <v>45841</v>
      </c>
      <c r="C10284" s="500" t="s">
        <v>173</v>
      </c>
      <c r="D10284" s="500" t="s">
        <v>763</v>
      </c>
      <c r="E10284" s="501">
        <v>-719165536.09000003</v>
      </c>
      <c r="F10284" s="502" t="s">
        <v>878</v>
      </c>
      <c r="G10284" s="100">
        <v>117820839</v>
      </c>
      <c r="H10284" s="530"/>
      <c r="I10284" s="422" t="s">
        <v>604</v>
      </c>
      <c r="J10284" s="484"/>
      <c r="K10284" s="548"/>
      <c r="L10284" s="548"/>
      <c r="M10284" s="548"/>
      <c r="N10284" s="552">
        <v>719719</v>
      </c>
      <c r="R10284" s="539">
        <v>999.23099999999999</v>
      </c>
      <c r="S10284" s="539">
        <v>999.65533644380696</v>
      </c>
      <c r="T10284" s="538">
        <v>15.5002</v>
      </c>
      <c r="U10284" s="538">
        <v>1078.75</v>
      </c>
      <c r="V10284" s="538">
        <v>539.37</v>
      </c>
    </row>
    <row r="10285" spans="1:22">
      <c r="A10285" s="499">
        <v>45841</v>
      </c>
      <c r="B10285" s="499">
        <v>45841</v>
      </c>
      <c r="C10285" s="500" t="s">
        <v>173</v>
      </c>
      <c r="D10285" s="500" t="s">
        <v>763</v>
      </c>
      <c r="E10285" s="501">
        <v>-497100827.38</v>
      </c>
      <c r="F10285" s="502" t="s">
        <v>878</v>
      </c>
      <c r="G10285" s="100">
        <v>117820842</v>
      </c>
      <c r="H10285" s="530"/>
      <c r="I10285" s="422" t="s">
        <v>658</v>
      </c>
      <c r="J10285" s="484"/>
      <c r="K10285" s="548"/>
      <c r="L10285" s="548"/>
      <c r="M10285" s="548"/>
      <c r="N10285" s="552">
        <v>498988</v>
      </c>
      <c r="R10285" s="539">
        <v>996.21799999999996</v>
      </c>
      <c r="S10285" s="539">
        <v>996.641056939245</v>
      </c>
      <c r="T10285" s="538">
        <v>15.5002</v>
      </c>
      <c r="U10285" s="538">
        <v>745.65</v>
      </c>
      <c r="V10285" s="538">
        <v>372.83</v>
      </c>
    </row>
    <row r="10286" spans="1:22">
      <c r="A10286" s="499">
        <v>45841</v>
      </c>
      <c r="B10286" s="499">
        <v>45841</v>
      </c>
      <c r="C10286" s="500" t="s">
        <v>173</v>
      </c>
      <c r="D10286" s="500" t="s">
        <v>763</v>
      </c>
      <c r="E10286" s="501">
        <v>-243169774.87</v>
      </c>
      <c r="F10286" s="502" t="s">
        <v>878</v>
      </c>
      <c r="G10286" s="100">
        <v>117820845</v>
      </c>
      <c r="H10286" s="530"/>
      <c r="I10286" s="422" t="s">
        <v>692</v>
      </c>
      <c r="J10286" s="484"/>
      <c r="K10286" s="548"/>
      <c r="L10286" s="548"/>
      <c r="M10286" s="548"/>
      <c r="N10286" s="552">
        <v>322461</v>
      </c>
      <c r="R10286" s="539">
        <v>754.10599999999999</v>
      </c>
      <c r="S10286" s="539">
        <v>754.42624094076496</v>
      </c>
      <c r="T10286" s="538">
        <v>15.5002</v>
      </c>
      <c r="U10286" s="538">
        <v>364.75</v>
      </c>
      <c r="V10286" s="538">
        <v>182.38</v>
      </c>
    </row>
    <row r="10287" spans="1:22">
      <c r="A10287" s="499">
        <v>45841</v>
      </c>
      <c r="B10287" s="499">
        <v>45841</v>
      </c>
      <c r="C10287" s="500" t="s">
        <v>173</v>
      </c>
      <c r="D10287" s="500" t="s">
        <v>763</v>
      </c>
      <c r="E10287" s="501">
        <v>-186103093.09999999</v>
      </c>
      <c r="F10287" s="502" t="s">
        <v>878</v>
      </c>
      <c r="G10287" s="100">
        <v>117820848</v>
      </c>
      <c r="H10287" s="530"/>
      <c r="I10287" s="422" t="s">
        <v>690</v>
      </c>
      <c r="J10287" s="484"/>
      <c r="K10287" s="548"/>
      <c r="L10287" s="548"/>
      <c r="M10287" s="548"/>
      <c r="N10287" s="552">
        <v>207576</v>
      </c>
      <c r="R10287" s="539">
        <v>896.55399999999997</v>
      </c>
      <c r="S10287" s="539">
        <v>896.93473330250094</v>
      </c>
      <c r="T10287" s="538">
        <v>15.5002</v>
      </c>
      <c r="U10287" s="538">
        <v>279.14999999999998</v>
      </c>
      <c r="V10287" s="538">
        <v>139.58000000000001</v>
      </c>
    </row>
    <row r="10288" spans="1:22">
      <c r="A10288" s="499">
        <v>45841</v>
      </c>
      <c r="B10288" s="499">
        <v>45841</v>
      </c>
      <c r="C10288" s="500" t="s">
        <v>173</v>
      </c>
      <c r="D10288" s="500" t="s">
        <v>763</v>
      </c>
      <c r="E10288" s="501">
        <v>-134102120.33</v>
      </c>
      <c r="F10288" s="502" t="s">
        <v>878</v>
      </c>
      <c r="G10288" s="100">
        <v>117820851</v>
      </c>
      <c r="H10288" s="530"/>
      <c r="I10288" s="422" t="s">
        <v>598</v>
      </c>
      <c r="J10288" s="484"/>
      <c r="K10288" s="548"/>
      <c r="L10288" s="548"/>
      <c r="M10288" s="548"/>
      <c r="N10288" s="552">
        <v>131588</v>
      </c>
      <c r="R10288" s="539">
        <v>1019.106</v>
      </c>
      <c r="S10288" s="539">
        <v>1019.53877663617</v>
      </c>
      <c r="T10288" s="538">
        <v>15.5002</v>
      </c>
      <c r="U10288" s="538">
        <v>201.15</v>
      </c>
      <c r="V10288" s="538">
        <v>100.58</v>
      </c>
    </row>
    <row r="10289" spans="1:22">
      <c r="A10289" s="499">
        <v>45841</v>
      </c>
      <c r="B10289" s="499">
        <v>45841</v>
      </c>
      <c r="C10289" s="500" t="s">
        <v>173</v>
      </c>
      <c r="D10289" s="500" t="s">
        <v>763</v>
      </c>
      <c r="E10289" s="501">
        <v>-95038195.700000003</v>
      </c>
      <c r="F10289" s="502" t="s">
        <v>878</v>
      </c>
      <c r="G10289" s="100">
        <v>117820854</v>
      </c>
      <c r="H10289" s="530"/>
      <c r="I10289" s="422" t="s">
        <v>715</v>
      </c>
      <c r="J10289" s="484"/>
      <c r="K10289" s="548"/>
      <c r="L10289" s="548"/>
      <c r="M10289" s="548"/>
      <c r="N10289" s="552">
        <v>126350</v>
      </c>
      <c r="R10289" s="539">
        <v>752.18200000000002</v>
      </c>
      <c r="S10289" s="539">
        <v>752.50142390185999</v>
      </c>
      <c r="T10289" s="538">
        <v>15.5002</v>
      </c>
      <c r="U10289" s="538">
        <v>142.56</v>
      </c>
      <c r="V10289" s="538">
        <v>71.28</v>
      </c>
    </row>
    <row r="10290" spans="1:22">
      <c r="A10290" s="499">
        <v>45841</v>
      </c>
      <c r="B10290" s="499">
        <v>45841</v>
      </c>
      <c r="C10290" s="500" t="s">
        <v>173</v>
      </c>
      <c r="D10290" s="500" t="s">
        <v>763</v>
      </c>
      <c r="E10290" s="501">
        <v>-41025189.740000002</v>
      </c>
      <c r="F10290" s="502" t="s">
        <v>878</v>
      </c>
      <c r="G10290" s="100">
        <v>117820857</v>
      </c>
      <c r="H10290" s="530"/>
      <c r="I10290" s="422" t="s">
        <v>693</v>
      </c>
      <c r="J10290" s="484"/>
      <c r="K10290" s="548"/>
      <c r="L10290" s="548"/>
      <c r="M10290" s="548"/>
      <c r="N10290" s="552">
        <v>50512</v>
      </c>
      <c r="R10290" s="539">
        <v>812.18700000000001</v>
      </c>
      <c r="S10290" s="539">
        <v>812.53190568577804</v>
      </c>
      <c r="T10290" s="538">
        <v>15.5002</v>
      </c>
      <c r="U10290" s="538">
        <v>61.54</v>
      </c>
      <c r="V10290" s="538">
        <v>39.32</v>
      </c>
    </row>
    <row r="10291" spans="1:22">
      <c r="A10291" s="499">
        <v>45841</v>
      </c>
      <c r="B10291" s="499">
        <v>45841</v>
      </c>
      <c r="C10291" s="500" t="s">
        <v>173</v>
      </c>
      <c r="D10291" s="500" t="s">
        <v>763</v>
      </c>
      <c r="E10291" s="501">
        <v>-36023625.289999999</v>
      </c>
      <c r="F10291" s="502" t="s">
        <v>878</v>
      </c>
      <c r="G10291" s="100">
        <v>117820860</v>
      </c>
      <c r="H10291" s="530"/>
      <c r="I10291" s="422" t="s">
        <v>590</v>
      </c>
      <c r="J10291" s="484"/>
      <c r="K10291" s="548"/>
      <c r="L10291" s="548"/>
      <c r="M10291" s="548"/>
      <c r="N10291" s="552">
        <v>41256</v>
      </c>
      <c r="R10291" s="539">
        <v>873.173</v>
      </c>
      <c r="S10291" s="539">
        <v>873.54380429513299</v>
      </c>
      <c r="T10291" s="538">
        <v>15.5002</v>
      </c>
      <c r="U10291" s="538">
        <v>54.04</v>
      </c>
      <c r="V10291" s="538">
        <v>39.32</v>
      </c>
    </row>
    <row r="10292" spans="1:22">
      <c r="A10292" s="499">
        <v>45841</v>
      </c>
      <c r="B10292" s="499">
        <v>45841</v>
      </c>
      <c r="C10292" s="500" t="s">
        <v>173</v>
      </c>
      <c r="D10292" s="500" t="s">
        <v>763</v>
      </c>
      <c r="E10292" s="501">
        <v>-31018409.07</v>
      </c>
      <c r="F10292" s="502" t="s">
        <v>878</v>
      </c>
      <c r="G10292" s="100">
        <v>117820863</v>
      </c>
      <c r="H10292" s="530"/>
      <c r="I10292" s="422" t="s">
        <v>823</v>
      </c>
      <c r="J10292" s="484"/>
      <c r="K10292" s="548"/>
      <c r="L10292" s="548"/>
      <c r="M10292" s="548"/>
      <c r="N10292" s="552">
        <v>28613</v>
      </c>
      <c r="R10292" s="539">
        <v>1084.067</v>
      </c>
      <c r="S10292" s="539">
        <v>1084.52736308671</v>
      </c>
      <c r="T10292" s="538">
        <v>15.5002</v>
      </c>
      <c r="U10292" s="538">
        <v>46.53</v>
      </c>
      <c r="V10292" s="538">
        <v>39.32</v>
      </c>
    </row>
    <row r="10293" spans="1:22">
      <c r="A10293" s="499">
        <v>45841</v>
      </c>
      <c r="B10293" s="499">
        <v>45841</v>
      </c>
      <c r="C10293" s="500" t="s">
        <v>173</v>
      </c>
      <c r="D10293" s="500" t="s">
        <v>763</v>
      </c>
      <c r="E10293" s="501">
        <v>-29024569.73</v>
      </c>
      <c r="F10293" s="502" t="s">
        <v>878</v>
      </c>
      <c r="G10293" s="100">
        <v>117820866</v>
      </c>
      <c r="H10293" s="530"/>
      <c r="I10293" s="422" t="s">
        <v>821</v>
      </c>
      <c r="J10293" s="484"/>
      <c r="K10293" s="548"/>
      <c r="L10293" s="548"/>
      <c r="M10293" s="548"/>
      <c r="N10293" s="552">
        <v>26796</v>
      </c>
      <c r="R10293" s="539">
        <v>1083.1679999999999</v>
      </c>
      <c r="S10293" s="539">
        <v>1083.6279814151401</v>
      </c>
      <c r="T10293" s="538">
        <v>15.5002</v>
      </c>
      <c r="U10293" s="538">
        <v>43.54</v>
      </c>
      <c r="V10293" s="538">
        <v>39.32</v>
      </c>
    </row>
    <row r="10294" spans="1:22">
      <c r="A10294" s="499">
        <v>45841</v>
      </c>
      <c r="B10294" s="499">
        <v>45841</v>
      </c>
      <c r="C10294" s="500" t="s">
        <v>173</v>
      </c>
      <c r="D10294" s="500" t="s">
        <v>763</v>
      </c>
      <c r="E10294" s="501">
        <v>-29015015.329999998</v>
      </c>
      <c r="F10294" s="502" t="s">
        <v>878</v>
      </c>
      <c r="G10294" s="100">
        <v>117820869</v>
      </c>
      <c r="H10294" s="530"/>
      <c r="I10294" s="422" t="s">
        <v>550</v>
      </c>
      <c r="J10294" s="484"/>
      <c r="K10294" s="548"/>
      <c r="L10294" s="548"/>
      <c r="M10294" s="548"/>
      <c r="N10294" s="552">
        <v>55100</v>
      </c>
      <c r="R10294" s="539">
        <v>526.5883</v>
      </c>
      <c r="S10294" s="539">
        <v>526.81192250453705</v>
      </c>
      <c r="T10294" s="538">
        <v>15.5002</v>
      </c>
      <c r="U10294" s="538">
        <v>43.52</v>
      </c>
      <c r="V10294" s="538">
        <v>39.32</v>
      </c>
    </row>
    <row r="10295" spans="1:22">
      <c r="A10295" s="499">
        <v>45841</v>
      </c>
      <c r="B10295" s="499">
        <v>45841</v>
      </c>
      <c r="C10295" s="500" t="s">
        <v>173</v>
      </c>
      <c r="D10295" s="500" t="s">
        <v>763</v>
      </c>
      <c r="E10295" s="501">
        <v>-27010855.620000001</v>
      </c>
      <c r="F10295" s="502" t="s">
        <v>878</v>
      </c>
      <c r="G10295" s="100">
        <v>117820872</v>
      </c>
      <c r="H10295" s="530"/>
      <c r="I10295" s="422" t="s">
        <v>715</v>
      </c>
      <c r="J10295" s="484"/>
      <c r="K10295" s="548"/>
      <c r="L10295" s="548"/>
      <c r="M10295" s="548"/>
      <c r="N10295" s="552">
        <v>35910</v>
      </c>
      <c r="R10295" s="539">
        <v>752.18200000000002</v>
      </c>
      <c r="S10295" s="539">
        <v>752.50142383737102</v>
      </c>
      <c r="T10295" s="538">
        <v>15.5002</v>
      </c>
      <c r="U10295" s="538">
        <v>40.520000000000003</v>
      </c>
      <c r="V10295" s="538">
        <v>39.32</v>
      </c>
    </row>
    <row r="10296" spans="1:22">
      <c r="A10296" s="499">
        <v>45841</v>
      </c>
      <c r="B10296" s="499">
        <v>45841</v>
      </c>
      <c r="C10296" s="500" t="s">
        <v>173</v>
      </c>
      <c r="D10296" s="500" t="s">
        <v>763</v>
      </c>
      <c r="E10296" s="501">
        <v>-25010051.5</v>
      </c>
      <c r="F10296" s="502" t="s">
        <v>878</v>
      </c>
      <c r="G10296" s="100">
        <v>117820875</v>
      </c>
      <c r="H10296" s="530"/>
      <c r="I10296" s="422" t="s">
        <v>715</v>
      </c>
      <c r="J10296" s="484"/>
      <c r="K10296" s="548"/>
      <c r="L10296" s="548"/>
      <c r="M10296" s="548"/>
      <c r="N10296" s="552">
        <v>33250</v>
      </c>
      <c r="R10296" s="539">
        <v>752.18200000000002</v>
      </c>
      <c r="S10296" s="539">
        <v>752.50142375939799</v>
      </c>
      <c r="T10296" s="538">
        <v>15.5002</v>
      </c>
      <c r="U10296" s="538">
        <v>39.32</v>
      </c>
      <c r="V10296" s="538">
        <v>39.32</v>
      </c>
    </row>
    <row r="10297" spans="1:22">
      <c r="A10297" s="499">
        <v>45841</v>
      </c>
      <c r="B10297" s="499">
        <v>45841</v>
      </c>
      <c r="C10297" s="500" t="s">
        <v>173</v>
      </c>
      <c r="D10297" s="500" t="s">
        <v>763</v>
      </c>
      <c r="E10297" s="501">
        <v>-24005473.219999999</v>
      </c>
      <c r="F10297" s="502" t="s">
        <v>878</v>
      </c>
      <c r="G10297" s="100">
        <v>117820878</v>
      </c>
      <c r="H10297" s="530"/>
      <c r="I10297" s="422" t="s">
        <v>588</v>
      </c>
      <c r="J10297" s="484"/>
      <c r="K10297" s="548"/>
      <c r="L10297" s="548"/>
      <c r="M10297" s="548"/>
      <c r="N10297" s="552">
        <v>26088</v>
      </c>
      <c r="R10297" s="539">
        <v>920.173</v>
      </c>
      <c r="S10297" s="539">
        <v>920.56376341612997</v>
      </c>
      <c r="T10297" s="538">
        <v>15.5002</v>
      </c>
      <c r="U10297" s="538">
        <v>39.32</v>
      </c>
      <c r="V10297" s="538">
        <v>39.32</v>
      </c>
    </row>
    <row r="10298" spans="1:22">
      <c r="A10298" s="499">
        <v>45841</v>
      </c>
      <c r="B10298" s="499">
        <v>45841</v>
      </c>
      <c r="C10298" s="500" t="s">
        <v>173</v>
      </c>
      <c r="D10298" s="500" t="s">
        <v>763</v>
      </c>
      <c r="E10298" s="501">
        <v>-18009319.859999999</v>
      </c>
      <c r="F10298" s="502" t="s">
        <v>878</v>
      </c>
      <c r="G10298" s="100">
        <v>117820881</v>
      </c>
      <c r="H10298" s="530"/>
      <c r="I10298" s="422" t="s">
        <v>550</v>
      </c>
      <c r="J10298" s="484"/>
      <c r="K10298" s="548"/>
      <c r="L10298" s="548"/>
      <c r="M10298" s="548"/>
      <c r="N10298" s="552">
        <v>34200</v>
      </c>
      <c r="R10298" s="539">
        <v>526.5883</v>
      </c>
      <c r="S10298" s="539">
        <v>526.81192251462005</v>
      </c>
      <c r="T10298" s="538">
        <v>15.5002</v>
      </c>
      <c r="U10298" s="538">
        <v>39.32</v>
      </c>
      <c r="V10298" s="538">
        <v>39.32</v>
      </c>
    </row>
    <row r="10299" spans="1:22">
      <c r="A10299" s="499">
        <v>45841</v>
      </c>
      <c r="B10299" s="499">
        <v>45841</v>
      </c>
      <c r="C10299" s="500" t="s">
        <v>173</v>
      </c>
      <c r="D10299" s="500" t="s">
        <v>763</v>
      </c>
      <c r="E10299" s="501">
        <v>-8001622.9800000004</v>
      </c>
      <c r="F10299" s="502" t="s">
        <v>878</v>
      </c>
      <c r="G10299" s="100">
        <v>117820884</v>
      </c>
      <c r="H10299" s="530"/>
      <c r="I10299" s="422" t="s">
        <v>658</v>
      </c>
      <c r="J10299" s="484"/>
      <c r="K10299" s="548"/>
      <c r="L10299" s="548"/>
      <c r="M10299" s="548"/>
      <c r="N10299" s="552">
        <v>8032</v>
      </c>
      <c r="R10299" s="539">
        <v>996.21799999999996</v>
      </c>
      <c r="S10299" s="539">
        <v>996.64105702191205</v>
      </c>
      <c r="T10299" s="538">
        <v>15.5002</v>
      </c>
      <c r="U10299" s="538">
        <v>39.32</v>
      </c>
      <c r="V10299" s="538">
        <v>39.32</v>
      </c>
    </row>
    <row r="10300" spans="1:22">
      <c r="A10300" s="499">
        <v>45841</v>
      </c>
      <c r="B10300" s="499">
        <v>45841</v>
      </c>
      <c r="C10300" s="500" t="s">
        <v>173</v>
      </c>
      <c r="D10300" s="500" t="s">
        <v>763</v>
      </c>
      <c r="E10300" s="501">
        <v>-4000728.92</v>
      </c>
      <c r="F10300" s="502" t="s">
        <v>878</v>
      </c>
      <c r="G10300" s="100">
        <v>117820887</v>
      </c>
      <c r="H10300" s="530"/>
      <c r="I10300" s="422" t="s">
        <v>673</v>
      </c>
      <c r="J10300" s="484"/>
      <c r="K10300" s="548"/>
      <c r="L10300" s="548"/>
      <c r="M10300" s="548"/>
      <c r="N10300" s="552">
        <v>4516</v>
      </c>
      <c r="R10300" s="539">
        <v>885.90099999999995</v>
      </c>
      <c r="S10300" s="539">
        <v>886.27720992028298</v>
      </c>
      <c r="T10300" s="538">
        <v>15.5002</v>
      </c>
      <c r="U10300" s="538">
        <v>39.32</v>
      </c>
      <c r="V10300" s="538">
        <v>39.32</v>
      </c>
    </row>
    <row r="10301" spans="1:22">
      <c r="A10301" s="499">
        <v>45841</v>
      </c>
      <c r="B10301" s="499">
        <v>45841</v>
      </c>
      <c r="C10301" s="500" t="s">
        <v>173</v>
      </c>
      <c r="D10301" s="500" t="s">
        <v>763</v>
      </c>
      <c r="E10301" s="501">
        <v>-1000228.05</v>
      </c>
      <c r="F10301" s="502" t="s">
        <v>878</v>
      </c>
      <c r="G10301" s="100">
        <v>117820890</v>
      </c>
      <c r="H10301" s="530"/>
      <c r="I10301" s="422" t="s">
        <v>588</v>
      </c>
      <c r="J10301" s="484"/>
      <c r="K10301" s="548"/>
      <c r="L10301" s="548"/>
      <c r="M10301" s="548"/>
      <c r="N10301" s="552">
        <v>1087</v>
      </c>
      <c r="R10301" s="539">
        <v>920.173</v>
      </c>
      <c r="S10301" s="539">
        <v>920.56376264949404</v>
      </c>
      <c r="T10301" s="538">
        <v>15.5002</v>
      </c>
      <c r="U10301" s="538">
        <v>39.32</v>
      </c>
      <c r="V10301" s="538">
        <v>39.32</v>
      </c>
    </row>
    <row r="10302" spans="1:22">
      <c r="A10302" s="499">
        <v>45841</v>
      </c>
      <c r="B10302" s="499">
        <v>45841</v>
      </c>
      <c r="C10302" s="500" t="s">
        <v>173</v>
      </c>
      <c r="D10302" s="500" t="s">
        <v>763</v>
      </c>
      <c r="E10302" s="501">
        <v>-19003147.420000002</v>
      </c>
      <c r="F10302" s="502" t="s">
        <v>878</v>
      </c>
      <c r="G10302" s="100">
        <v>117820893</v>
      </c>
      <c r="H10302" s="530"/>
      <c r="I10302" s="422" t="s">
        <v>833</v>
      </c>
      <c r="J10302" s="484"/>
      <c r="K10302" s="548"/>
      <c r="L10302" s="548"/>
      <c r="M10302" s="548"/>
      <c r="N10302" s="552">
        <v>31445</v>
      </c>
      <c r="R10302" s="539">
        <v>604.3297</v>
      </c>
      <c r="S10302" s="539">
        <v>604.58633646048702</v>
      </c>
      <c r="T10302" s="538">
        <v>15.5002</v>
      </c>
      <c r="U10302" s="538">
        <v>39.32</v>
      </c>
      <c r="V10302" s="538">
        <v>39.32</v>
      </c>
    </row>
    <row r="10303" spans="1:22">
      <c r="A10303" s="499">
        <v>45841</v>
      </c>
      <c r="B10303" s="499">
        <v>45841</v>
      </c>
      <c r="C10303" s="500" t="s">
        <v>173</v>
      </c>
      <c r="D10303" s="500" t="s">
        <v>763</v>
      </c>
      <c r="E10303" s="501">
        <v>-119019712.77</v>
      </c>
      <c r="F10303" s="502" t="s">
        <v>878</v>
      </c>
      <c r="G10303" s="100">
        <v>117820896</v>
      </c>
      <c r="H10303" s="530"/>
      <c r="I10303" s="422" t="s">
        <v>833</v>
      </c>
      <c r="J10303" s="484"/>
      <c r="K10303" s="548"/>
      <c r="L10303" s="548"/>
      <c r="M10303" s="548"/>
      <c r="N10303" s="552">
        <v>196945</v>
      </c>
      <c r="R10303" s="539">
        <v>604.3297</v>
      </c>
      <c r="S10303" s="539">
        <v>604.58633648988302</v>
      </c>
      <c r="T10303" s="538">
        <v>15.5002</v>
      </c>
      <c r="U10303" s="538">
        <v>178.53</v>
      </c>
      <c r="V10303" s="538">
        <v>89.26</v>
      </c>
    </row>
    <row r="10304" spans="1:22">
      <c r="A10304" s="499">
        <v>45841</v>
      </c>
      <c r="B10304" s="499">
        <v>45841</v>
      </c>
      <c r="C10304" s="500" t="s">
        <v>173</v>
      </c>
      <c r="D10304" s="500" t="s">
        <v>763</v>
      </c>
      <c r="E10304" s="501">
        <v>-193031971.13</v>
      </c>
      <c r="F10304" s="502" t="s">
        <v>878</v>
      </c>
      <c r="G10304" s="100">
        <v>117820899</v>
      </c>
      <c r="H10304" s="530"/>
      <c r="I10304" s="422" t="s">
        <v>833</v>
      </c>
      <c r="J10304" s="484"/>
      <c r="K10304" s="548"/>
      <c r="L10304" s="548"/>
      <c r="M10304" s="548"/>
      <c r="N10304" s="552">
        <v>319415</v>
      </c>
      <c r="R10304" s="539">
        <v>604.3297</v>
      </c>
      <c r="S10304" s="539">
        <v>604.58633649014598</v>
      </c>
      <c r="T10304" s="538">
        <v>15.5002</v>
      </c>
      <c r="U10304" s="538">
        <v>289.55</v>
      </c>
      <c r="V10304" s="538">
        <v>144.77000000000001</v>
      </c>
    </row>
    <row r="10305" spans="1:22">
      <c r="A10305" s="499">
        <v>45841</v>
      </c>
      <c r="B10305" s="499">
        <v>45841</v>
      </c>
      <c r="C10305" s="500" t="s">
        <v>173</v>
      </c>
      <c r="D10305" s="500" t="s">
        <v>763</v>
      </c>
      <c r="E10305" s="501">
        <v>-30026709.120000001</v>
      </c>
      <c r="F10305" s="502" t="s">
        <v>878</v>
      </c>
      <c r="G10305" s="100">
        <v>117820902</v>
      </c>
      <c r="H10305" s="530"/>
      <c r="I10305" s="422" t="s">
        <v>656</v>
      </c>
      <c r="J10305" s="484"/>
      <c r="K10305" s="548"/>
      <c r="L10305" s="548"/>
      <c r="M10305" s="548"/>
      <c r="N10305" s="552">
        <v>29760</v>
      </c>
      <c r="R10305" s="539">
        <v>1008.962</v>
      </c>
      <c r="S10305" s="539">
        <v>1009.39046875</v>
      </c>
      <c r="T10305" s="538">
        <v>15.5002</v>
      </c>
      <c r="U10305" s="538">
        <v>45.04</v>
      </c>
      <c r="V10305" s="538">
        <v>39.32</v>
      </c>
    </row>
    <row r="10306" spans="1:22">
      <c r="A10306" s="499">
        <v>45841</v>
      </c>
      <c r="B10306" s="499">
        <v>45841</v>
      </c>
      <c r="C10306" s="500" t="s">
        <v>173</v>
      </c>
      <c r="D10306" s="500" t="s">
        <v>763</v>
      </c>
      <c r="E10306" s="501">
        <v>-89058406.959999993</v>
      </c>
      <c r="F10306" s="502" t="s">
        <v>878</v>
      </c>
      <c r="G10306" s="100">
        <v>117820905</v>
      </c>
      <c r="H10306" s="530"/>
      <c r="I10306" s="422" t="s">
        <v>590</v>
      </c>
      <c r="J10306" s="484"/>
      <c r="K10306" s="548"/>
      <c r="L10306" s="548"/>
      <c r="M10306" s="548"/>
      <c r="N10306" s="552">
        <v>101994</v>
      </c>
      <c r="R10306" s="539">
        <v>873.173</v>
      </c>
      <c r="S10306" s="539">
        <v>873.54380424338694</v>
      </c>
      <c r="T10306" s="538">
        <v>15.5002</v>
      </c>
      <c r="U10306" s="538">
        <v>133.59</v>
      </c>
      <c r="V10306" s="538">
        <v>66.790000000000006</v>
      </c>
    </row>
    <row r="10307" spans="1:22">
      <c r="A10307" s="499">
        <v>45841</v>
      </c>
      <c r="B10307" s="499">
        <v>45841</v>
      </c>
      <c r="C10307" s="500" t="s">
        <v>173</v>
      </c>
      <c r="D10307" s="500" t="s">
        <v>763</v>
      </c>
      <c r="E10307" s="501">
        <v>-133077211.55</v>
      </c>
      <c r="F10307" s="502" t="s">
        <v>878</v>
      </c>
      <c r="G10307" s="100">
        <v>117820908</v>
      </c>
      <c r="H10307" s="530"/>
      <c r="I10307" s="422" t="s">
        <v>687</v>
      </c>
      <c r="J10307" s="484"/>
      <c r="K10307" s="548"/>
      <c r="L10307" s="548"/>
      <c r="M10307" s="548"/>
      <c r="N10307" s="552">
        <v>158403</v>
      </c>
      <c r="R10307" s="539">
        <v>840.11800000000005</v>
      </c>
      <c r="S10307" s="539">
        <v>840.47476701830101</v>
      </c>
      <c r="T10307" s="538">
        <v>15.5002</v>
      </c>
      <c r="U10307" s="538">
        <v>199.62</v>
      </c>
      <c r="V10307" s="538">
        <v>99.81</v>
      </c>
    </row>
    <row r="10308" spans="1:22">
      <c r="A10308" s="499">
        <v>45841</v>
      </c>
      <c r="B10308" s="499">
        <v>45841</v>
      </c>
      <c r="C10308" s="500" t="s">
        <v>173</v>
      </c>
      <c r="D10308" s="500" t="s">
        <v>763</v>
      </c>
      <c r="E10308" s="501">
        <v>-350057978.73000002</v>
      </c>
      <c r="F10308" s="502" t="s">
        <v>878</v>
      </c>
      <c r="G10308" s="100">
        <v>117820911</v>
      </c>
      <c r="H10308" s="530"/>
      <c r="I10308" s="422" t="s">
        <v>833</v>
      </c>
      <c r="J10308" s="484"/>
      <c r="K10308" s="548"/>
      <c r="L10308" s="548"/>
      <c r="M10308" s="548"/>
      <c r="N10308" s="552">
        <v>579250</v>
      </c>
      <c r="R10308" s="539">
        <v>604.3297</v>
      </c>
      <c r="S10308" s="539">
        <v>604.58633482952098</v>
      </c>
      <c r="T10308" s="538">
        <v>15.5001</v>
      </c>
      <c r="U10308" s="538">
        <v>525.09</v>
      </c>
      <c r="V10308" s="538">
        <v>262.54000000000002</v>
      </c>
    </row>
    <row r="10309" spans="1:22">
      <c r="A10309" s="499">
        <v>45841</v>
      </c>
      <c r="B10309" s="499">
        <v>45841</v>
      </c>
      <c r="C10309" s="500" t="s">
        <v>173</v>
      </c>
      <c r="D10309" s="500" t="s">
        <v>763</v>
      </c>
      <c r="E10309" s="501">
        <v>-441060036.42000002</v>
      </c>
      <c r="F10309" s="502" t="s">
        <v>878</v>
      </c>
      <c r="G10309" s="100">
        <v>117820914</v>
      </c>
      <c r="H10309" s="530"/>
      <c r="I10309" s="422" t="s">
        <v>633</v>
      </c>
      <c r="J10309" s="484"/>
      <c r="K10309" s="548"/>
      <c r="L10309" s="548"/>
      <c r="M10309" s="548"/>
      <c r="N10309" s="552">
        <v>831285</v>
      </c>
      <c r="R10309" s="539">
        <v>530.57619999999997</v>
      </c>
      <c r="S10309" s="539">
        <v>530.80151464299297</v>
      </c>
      <c r="T10309" s="538">
        <v>15.5001</v>
      </c>
      <c r="U10309" s="538">
        <v>661.59</v>
      </c>
      <c r="V10309" s="538">
        <v>330.8</v>
      </c>
    </row>
    <row r="10310" spans="1:22">
      <c r="A10310" s="499">
        <v>45841</v>
      </c>
      <c r="B10310" s="499">
        <v>45841</v>
      </c>
      <c r="C10310" s="500" t="s">
        <v>173</v>
      </c>
      <c r="D10310" s="500" t="s">
        <v>763</v>
      </c>
      <c r="E10310" s="501">
        <v>-34004628.659999996</v>
      </c>
      <c r="F10310" s="502" t="s">
        <v>878</v>
      </c>
      <c r="G10310" s="100">
        <v>117820985</v>
      </c>
      <c r="H10310" s="530"/>
      <c r="I10310" s="422" t="s">
        <v>633</v>
      </c>
      <c r="J10310" s="484"/>
      <c r="K10310" s="548"/>
      <c r="L10310" s="548"/>
      <c r="M10310" s="548"/>
      <c r="N10310" s="552">
        <v>64090</v>
      </c>
      <c r="R10310" s="539">
        <v>530.57619999999997</v>
      </c>
      <c r="S10310" s="539">
        <v>530.80151458885905</v>
      </c>
      <c r="T10310" s="538">
        <v>15.5001</v>
      </c>
      <c r="U10310" s="538">
        <v>51.01</v>
      </c>
      <c r="V10310" s="538">
        <v>39.32</v>
      </c>
    </row>
    <row r="10311" spans="1:22">
      <c r="A10311" s="499">
        <v>45841</v>
      </c>
      <c r="B10311" s="499">
        <v>45842</v>
      </c>
      <c r="C10311" s="500" t="s">
        <v>173</v>
      </c>
      <c r="D10311" s="500" t="s">
        <v>763</v>
      </c>
      <c r="E10311" s="501">
        <v>1400109429.1700001</v>
      </c>
      <c r="F10311" s="502" t="s">
        <v>878</v>
      </c>
      <c r="G10311" s="100">
        <v>117820833</v>
      </c>
      <c r="H10311" s="100">
        <v>117820833</v>
      </c>
      <c r="I10311" s="422" t="s">
        <v>635</v>
      </c>
      <c r="J10311" s="484"/>
      <c r="K10311" s="548"/>
      <c r="L10311" s="548"/>
      <c r="M10311" s="548"/>
      <c r="N10311" s="552">
        <v>2350320</v>
      </c>
      <c r="R10311" s="539">
        <v>595.45709999999997</v>
      </c>
      <c r="S10311" s="539">
        <v>595.71012848037697</v>
      </c>
      <c r="T10311" s="538">
        <v>15.51</v>
      </c>
      <c r="U10311" s="538">
        <v>2099.27</v>
      </c>
      <c r="V10311" s="538">
        <v>1049.6400000000001</v>
      </c>
    </row>
    <row r="10312" spans="1:22">
      <c r="A10312" s="499">
        <v>45841</v>
      </c>
      <c r="B10312" s="499">
        <v>45842</v>
      </c>
      <c r="C10312" s="500" t="s">
        <v>173</v>
      </c>
      <c r="D10312" s="500" t="s">
        <v>763</v>
      </c>
      <c r="E10312" s="501">
        <v>1000424772.8</v>
      </c>
      <c r="F10312" s="502" t="s">
        <v>878</v>
      </c>
      <c r="G10312" s="100">
        <v>117820836</v>
      </c>
      <c r="H10312" s="100">
        <v>117820836</v>
      </c>
      <c r="I10312" s="422" t="s">
        <v>2543</v>
      </c>
      <c r="J10312" s="484"/>
      <c r="K10312" s="548"/>
      <c r="L10312" s="548"/>
      <c r="M10312" s="548"/>
      <c r="N10312" s="552">
        <v>976086000</v>
      </c>
      <c r="R10312" s="539">
        <v>1.0245</v>
      </c>
      <c r="S10312" s="539">
        <v>1.02493507006555</v>
      </c>
      <c r="T10312" s="538">
        <v>15.500299999999999</v>
      </c>
      <c r="U10312" s="538">
        <v>1500</v>
      </c>
      <c r="V10312" s="538">
        <v>750</v>
      </c>
    </row>
    <row r="10313" spans="1:22">
      <c r="A10313" s="499">
        <v>45841</v>
      </c>
      <c r="B10313" s="499">
        <v>45842</v>
      </c>
      <c r="C10313" s="500" t="s">
        <v>173</v>
      </c>
      <c r="D10313" s="500" t="s">
        <v>763</v>
      </c>
      <c r="E10313" s="501">
        <v>719470939.09000003</v>
      </c>
      <c r="F10313" s="502" t="s">
        <v>878</v>
      </c>
      <c r="G10313" s="100">
        <v>117820839</v>
      </c>
      <c r="H10313" s="100">
        <v>117820839</v>
      </c>
      <c r="I10313" s="422" t="s">
        <v>604</v>
      </c>
      <c r="J10313" s="484"/>
      <c r="K10313" s="548"/>
      <c r="L10313" s="548"/>
      <c r="M10313" s="548"/>
      <c r="N10313" s="552">
        <v>719719</v>
      </c>
      <c r="R10313" s="539">
        <v>999.23099999999999</v>
      </c>
      <c r="S10313" s="539">
        <v>999.65533644380696</v>
      </c>
      <c r="T10313" s="538">
        <v>15.5002</v>
      </c>
      <c r="U10313" s="538">
        <v>1078.75</v>
      </c>
      <c r="V10313" s="538">
        <v>539.37</v>
      </c>
    </row>
    <row r="10314" spans="1:22">
      <c r="A10314" s="499">
        <v>45841</v>
      </c>
      <c r="B10314" s="499">
        <v>45842</v>
      </c>
      <c r="C10314" s="500" t="s">
        <v>173</v>
      </c>
      <c r="D10314" s="500" t="s">
        <v>763</v>
      </c>
      <c r="E10314" s="501">
        <v>497311927.72000003</v>
      </c>
      <c r="F10314" s="502" t="s">
        <v>878</v>
      </c>
      <c r="G10314" s="100">
        <v>117820842</v>
      </c>
      <c r="H10314" s="100">
        <v>117820842</v>
      </c>
      <c r="I10314" s="422" t="s">
        <v>658</v>
      </c>
      <c r="J10314" s="484"/>
      <c r="K10314" s="548"/>
      <c r="L10314" s="548"/>
      <c r="M10314" s="548"/>
      <c r="N10314" s="552">
        <v>498988</v>
      </c>
      <c r="R10314" s="539">
        <v>996.21799999999996</v>
      </c>
      <c r="S10314" s="539">
        <v>996.641056939245</v>
      </c>
      <c r="T10314" s="538">
        <v>15.5002</v>
      </c>
      <c r="U10314" s="538">
        <v>745.65</v>
      </c>
      <c r="V10314" s="538">
        <v>372.83</v>
      </c>
    </row>
    <row r="10315" spans="1:22">
      <c r="A10315" s="499">
        <v>45841</v>
      </c>
      <c r="B10315" s="499">
        <v>45842</v>
      </c>
      <c r="C10315" s="500" t="s">
        <v>173</v>
      </c>
      <c r="D10315" s="500" t="s">
        <v>763</v>
      </c>
      <c r="E10315" s="501">
        <v>243273040.08000001</v>
      </c>
      <c r="F10315" s="502" t="s">
        <v>878</v>
      </c>
      <c r="G10315" s="100">
        <v>117820845</v>
      </c>
      <c r="H10315" s="100">
        <v>117820845</v>
      </c>
      <c r="I10315" s="422" t="s">
        <v>692</v>
      </c>
      <c r="J10315" s="484"/>
      <c r="K10315" s="548"/>
      <c r="L10315" s="548"/>
      <c r="M10315" s="548"/>
      <c r="N10315" s="552">
        <v>322461</v>
      </c>
      <c r="R10315" s="539">
        <v>754.10599999999999</v>
      </c>
      <c r="S10315" s="539">
        <v>754.42624094076496</v>
      </c>
      <c r="T10315" s="538">
        <v>15.5002</v>
      </c>
      <c r="U10315" s="538">
        <v>364.75</v>
      </c>
      <c r="V10315" s="538">
        <v>182.38</v>
      </c>
    </row>
    <row r="10316" spans="1:22">
      <c r="A10316" s="499">
        <v>45841</v>
      </c>
      <c r="B10316" s="499">
        <v>45842</v>
      </c>
      <c r="C10316" s="500" t="s">
        <v>173</v>
      </c>
      <c r="D10316" s="500" t="s">
        <v>763</v>
      </c>
      <c r="E10316" s="501">
        <v>186182124.19999999</v>
      </c>
      <c r="F10316" s="502" t="s">
        <v>878</v>
      </c>
      <c r="G10316" s="100">
        <v>117820848</v>
      </c>
      <c r="H10316" s="100">
        <v>117820848</v>
      </c>
      <c r="I10316" s="422" t="s">
        <v>690</v>
      </c>
      <c r="J10316" s="484"/>
      <c r="K10316" s="548"/>
      <c r="L10316" s="548"/>
      <c r="M10316" s="548"/>
      <c r="N10316" s="552">
        <v>207576</v>
      </c>
      <c r="R10316" s="539">
        <v>896.55399999999997</v>
      </c>
      <c r="S10316" s="539">
        <v>896.93473330250094</v>
      </c>
      <c r="T10316" s="538">
        <v>15.5002</v>
      </c>
      <c r="U10316" s="538">
        <v>279.14999999999998</v>
      </c>
      <c r="V10316" s="538">
        <v>139.58000000000001</v>
      </c>
    </row>
    <row r="10317" spans="1:22">
      <c r="A10317" s="499">
        <v>45841</v>
      </c>
      <c r="B10317" s="499">
        <v>45842</v>
      </c>
      <c r="C10317" s="500" t="s">
        <v>173</v>
      </c>
      <c r="D10317" s="500" t="s">
        <v>763</v>
      </c>
      <c r="E10317" s="501">
        <v>134159068.54000001</v>
      </c>
      <c r="F10317" s="502" t="s">
        <v>878</v>
      </c>
      <c r="G10317" s="100">
        <v>117820851</v>
      </c>
      <c r="H10317" s="100">
        <v>117820851</v>
      </c>
      <c r="I10317" s="422" t="s">
        <v>598</v>
      </c>
      <c r="J10317" s="484"/>
      <c r="K10317" s="548"/>
      <c r="L10317" s="548"/>
      <c r="M10317" s="548"/>
      <c r="N10317" s="552">
        <v>131588</v>
      </c>
      <c r="R10317" s="539">
        <v>1019.106</v>
      </c>
      <c r="S10317" s="539">
        <v>1019.53877663617</v>
      </c>
      <c r="T10317" s="538">
        <v>15.5002</v>
      </c>
      <c r="U10317" s="538">
        <v>201.15</v>
      </c>
      <c r="V10317" s="538">
        <v>100.58</v>
      </c>
    </row>
    <row r="10318" spans="1:22">
      <c r="A10318" s="499">
        <v>45841</v>
      </c>
      <c r="B10318" s="499">
        <v>45842</v>
      </c>
      <c r="C10318" s="500" t="s">
        <v>173</v>
      </c>
      <c r="D10318" s="500" t="s">
        <v>763</v>
      </c>
      <c r="E10318" s="501">
        <v>95078554.909999996</v>
      </c>
      <c r="F10318" s="502" t="s">
        <v>878</v>
      </c>
      <c r="G10318" s="100">
        <v>117820854</v>
      </c>
      <c r="H10318" s="100">
        <v>117820854</v>
      </c>
      <c r="I10318" s="422" t="s">
        <v>715</v>
      </c>
      <c r="J10318" s="484"/>
      <c r="K10318" s="548"/>
      <c r="L10318" s="548"/>
      <c r="M10318" s="548"/>
      <c r="N10318" s="552">
        <v>126350</v>
      </c>
      <c r="R10318" s="539">
        <v>752.18200000000002</v>
      </c>
      <c r="S10318" s="539">
        <v>752.50142390185999</v>
      </c>
      <c r="T10318" s="538">
        <v>15.5002</v>
      </c>
      <c r="U10318" s="538">
        <v>142.56</v>
      </c>
      <c r="V10318" s="538">
        <v>71.28</v>
      </c>
    </row>
    <row r="10319" spans="1:22">
      <c r="A10319" s="499">
        <v>45841</v>
      </c>
      <c r="B10319" s="499">
        <v>45842</v>
      </c>
      <c r="C10319" s="500" t="s">
        <v>173</v>
      </c>
      <c r="D10319" s="500" t="s">
        <v>763</v>
      </c>
      <c r="E10319" s="501">
        <v>41042611.619999997</v>
      </c>
      <c r="F10319" s="502" t="s">
        <v>878</v>
      </c>
      <c r="G10319" s="100">
        <v>117820857</v>
      </c>
      <c r="H10319" s="100">
        <v>117820857</v>
      </c>
      <c r="I10319" s="422" t="s">
        <v>693</v>
      </c>
      <c r="J10319" s="484"/>
      <c r="K10319" s="548"/>
      <c r="L10319" s="548"/>
      <c r="M10319" s="548"/>
      <c r="N10319" s="552">
        <v>50512</v>
      </c>
      <c r="R10319" s="539">
        <v>812.18700000000001</v>
      </c>
      <c r="S10319" s="539">
        <v>812.53190568577804</v>
      </c>
      <c r="T10319" s="538">
        <v>15.5002</v>
      </c>
      <c r="U10319" s="538">
        <v>61.54</v>
      </c>
      <c r="V10319" s="538">
        <v>39.32</v>
      </c>
    </row>
    <row r="10320" spans="1:22">
      <c r="A10320" s="499">
        <v>45841</v>
      </c>
      <c r="B10320" s="499">
        <v>45842</v>
      </c>
      <c r="C10320" s="500" t="s">
        <v>173</v>
      </c>
      <c r="D10320" s="500" t="s">
        <v>763</v>
      </c>
      <c r="E10320" s="501">
        <v>36038923.189999998</v>
      </c>
      <c r="F10320" s="502" t="s">
        <v>878</v>
      </c>
      <c r="G10320" s="100">
        <v>117820860</v>
      </c>
      <c r="H10320" s="100">
        <v>117820860</v>
      </c>
      <c r="I10320" s="422" t="s">
        <v>590</v>
      </c>
      <c r="J10320" s="484"/>
      <c r="K10320" s="548"/>
      <c r="L10320" s="548"/>
      <c r="M10320" s="548"/>
      <c r="N10320" s="552">
        <v>41256</v>
      </c>
      <c r="R10320" s="539">
        <v>873.173</v>
      </c>
      <c r="S10320" s="539">
        <v>873.54380429513299</v>
      </c>
      <c r="T10320" s="538">
        <v>15.5002</v>
      </c>
      <c r="U10320" s="538">
        <v>54.04</v>
      </c>
      <c r="V10320" s="538">
        <v>39.32</v>
      </c>
    </row>
    <row r="10321" spans="1:22">
      <c r="A10321" s="499">
        <v>45841</v>
      </c>
      <c r="B10321" s="499">
        <v>45842</v>
      </c>
      <c r="C10321" s="500" t="s">
        <v>173</v>
      </c>
      <c r="D10321" s="500" t="s">
        <v>763</v>
      </c>
      <c r="E10321" s="501">
        <v>31031581.440000001</v>
      </c>
      <c r="F10321" s="502" t="s">
        <v>878</v>
      </c>
      <c r="G10321" s="100">
        <v>117820863</v>
      </c>
      <c r="H10321" s="100">
        <v>117820863</v>
      </c>
      <c r="I10321" s="422" t="s">
        <v>823</v>
      </c>
      <c r="J10321" s="484"/>
      <c r="K10321" s="548"/>
      <c r="L10321" s="548"/>
      <c r="M10321" s="548"/>
      <c r="N10321" s="552">
        <v>28613</v>
      </c>
      <c r="R10321" s="539">
        <v>1084.067</v>
      </c>
      <c r="S10321" s="539">
        <v>1084.52736308671</v>
      </c>
      <c r="T10321" s="538">
        <v>15.5002</v>
      </c>
      <c r="U10321" s="538">
        <v>46.53</v>
      </c>
      <c r="V10321" s="538">
        <v>39.32</v>
      </c>
    </row>
    <row r="10322" spans="1:22">
      <c r="A10322" s="499">
        <v>45841</v>
      </c>
      <c r="B10322" s="499">
        <v>45842</v>
      </c>
      <c r="C10322" s="500" t="s">
        <v>173</v>
      </c>
      <c r="D10322" s="500" t="s">
        <v>763</v>
      </c>
      <c r="E10322" s="501">
        <v>29036895.390000001</v>
      </c>
      <c r="F10322" s="502" t="s">
        <v>878</v>
      </c>
      <c r="G10322" s="100">
        <v>117820866</v>
      </c>
      <c r="H10322" s="100">
        <v>117820866</v>
      </c>
      <c r="I10322" s="422" t="s">
        <v>821</v>
      </c>
      <c r="J10322" s="484"/>
      <c r="K10322" s="548"/>
      <c r="L10322" s="548"/>
      <c r="M10322" s="548"/>
      <c r="N10322" s="552">
        <v>26796</v>
      </c>
      <c r="R10322" s="539">
        <v>1083.1679999999999</v>
      </c>
      <c r="S10322" s="539">
        <v>1083.6279814151401</v>
      </c>
      <c r="T10322" s="538">
        <v>15.5002</v>
      </c>
      <c r="U10322" s="538">
        <v>43.54</v>
      </c>
      <c r="V10322" s="538">
        <v>39.32</v>
      </c>
    </row>
    <row r="10323" spans="1:22">
      <c r="A10323" s="499">
        <v>45841</v>
      </c>
      <c r="B10323" s="499">
        <v>45842</v>
      </c>
      <c r="C10323" s="500" t="s">
        <v>173</v>
      </c>
      <c r="D10323" s="500" t="s">
        <v>763</v>
      </c>
      <c r="E10323" s="501">
        <v>29027336.93</v>
      </c>
      <c r="F10323" s="502" t="s">
        <v>878</v>
      </c>
      <c r="G10323" s="100">
        <v>117820869</v>
      </c>
      <c r="H10323" s="100">
        <v>117820869</v>
      </c>
      <c r="I10323" s="422" t="s">
        <v>550</v>
      </c>
      <c r="J10323" s="484"/>
      <c r="K10323" s="548"/>
      <c r="L10323" s="548"/>
      <c r="M10323" s="548"/>
      <c r="N10323" s="552">
        <v>55100</v>
      </c>
      <c r="R10323" s="539">
        <v>526.5883</v>
      </c>
      <c r="S10323" s="539">
        <v>526.81192250453705</v>
      </c>
      <c r="T10323" s="538">
        <v>15.5002</v>
      </c>
      <c r="U10323" s="538">
        <v>43.52</v>
      </c>
      <c r="V10323" s="538">
        <v>39.32</v>
      </c>
    </row>
    <row r="10324" spans="1:22">
      <c r="A10324" s="499">
        <v>45841</v>
      </c>
      <c r="B10324" s="499">
        <v>45842</v>
      </c>
      <c r="C10324" s="500" t="s">
        <v>173</v>
      </c>
      <c r="D10324" s="500" t="s">
        <v>763</v>
      </c>
      <c r="E10324" s="501">
        <v>27022326.129999999</v>
      </c>
      <c r="F10324" s="502" t="s">
        <v>878</v>
      </c>
      <c r="G10324" s="100">
        <v>117820872</v>
      </c>
      <c r="H10324" s="100">
        <v>117820872</v>
      </c>
      <c r="I10324" s="422" t="s">
        <v>715</v>
      </c>
      <c r="J10324" s="484"/>
      <c r="K10324" s="548"/>
      <c r="L10324" s="548"/>
      <c r="M10324" s="548"/>
      <c r="N10324" s="552">
        <v>35910</v>
      </c>
      <c r="R10324" s="539">
        <v>752.18200000000002</v>
      </c>
      <c r="S10324" s="539">
        <v>752.50142383737102</v>
      </c>
      <c r="T10324" s="538">
        <v>15.5002</v>
      </c>
      <c r="U10324" s="538">
        <v>40.520000000000003</v>
      </c>
      <c r="V10324" s="538">
        <v>39.32</v>
      </c>
    </row>
    <row r="10325" spans="1:22">
      <c r="A10325" s="499">
        <v>45841</v>
      </c>
      <c r="B10325" s="499">
        <v>45842</v>
      </c>
      <c r="C10325" s="500" t="s">
        <v>173</v>
      </c>
      <c r="D10325" s="500" t="s">
        <v>763</v>
      </c>
      <c r="E10325" s="501">
        <v>25020672.34</v>
      </c>
      <c r="F10325" s="502" t="s">
        <v>878</v>
      </c>
      <c r="G10325" s="100">
        <v>117820875</v>
      </c>
      <c r="H10325" s="100">
        <v>117820875</v>
      </c>
      <c r="I10325" s="422" t="s">
        <v>715</v>
      </c>
      <c r="J10325" s="484"/>
      <c r="K10325" s="548"/>
      <c r="L10325" s="548"/>
      <c r="M10325" s="548"/>
      <c r="N10325" s="552">
        <v>33250</v>
      </c>
      <c r="R10325" s="539">
        <v>752.18200000000002</v>
      </c>
      <c r="S10325" s="539">
        <v>752.50142375939799</v>
      </c>
      <c r="T10325" s="538">
        <v>15.5002</v>
      </c>
      <c r="U10325" s="538">
        <v>39.32</v>
      </c>
      <c r="V10325" s="538">
        <v>39.32</v>
      </c>
    </row>
    <row r="10326" spans="1:22">
      <c r="A10326" s="499">
        <v>45841</v>
      </c>
      <c r="B10326" s="499">
        <v>45842</v>
      </c>
      <c r="C10326" s="500" t="s">
        <v>173</v>
      </c>
      <c r="D10326" s="500" t="s">
        <v>763</v>
      </c>
      <c r="E10326" s="501">
        <v>24015667.460000001</v>
      </c>
      <c r="F10326" s="502" t="s">
        <v>878</v>
      </c>
      <c r="G10326" s="100">
        <v>117820878</v>
      </c>
      <c r="H10326" s="100">
        <v>117820878</v>
      </c>
      <c r="I10326" s="422" t="s">
        <v>588</v>
      </c>
      <c r="J10326" s="484"/>
      <c r="K10326" s="548"/>
      <c r="L10326" s="548"/>
      <c r="M10326" s="548"/>
      <c r="N10326" s="552">
        <v>26088</v>
      </c>
      <c r="R10326" s="539">
        <v>920.173</v>
      </c>
      <c r="S10326" s="539">
        <v>920.56376341612997</v>
      </c>
      <c r="T10326" s="538">
        <v>15.5002</v>
      </c>
      <c r="U10326" s="538">
        <v>39.32</v>
      </c>
      <c r="V10326" s="538">
        <v>39.32</v>
      </c>
    </row>
    <row r="10327" spans="1:22">
      <c r="A10327" s="499">
        <v>45841</v>
      </c>
      <c r="B10327" s="499">
        <v>45842</v>
      </c>
      <c r="C10327" s="500" t="s">
        <v>173</v>
      </c>
      <c r="D10327" s="500" t="s">
        <v>763</v>
      </c>
      <c r="E10327" s="501">
        <v>18016967.75</v>
      </c>
      <c r="F10327" s="502" t="s">
        <v>878</v>
      </c>
      <c r="G10327" s="100">
        <v>117820881</v>
      </c>
      <c r="H10327" s="100">
        <v>117820881</v>
      </c>
      <c r="I10327" s="422" t="s">
        <v>550</v>
      </c>
      <c r="J10327" s="484"/>
      <c r="K10327" s="548"/>
      <c r="L10327" s="548"/>
      <c r="M10327" s="548"/>
      <c r="N10327" s="552">
        <v>34200</v>
      </c>
      <c r="R10327" s="539">
        <v>526.5883</v>
      </c>
      <c r="S10327" s="539">
        <v>526.81192251462005</v>
      </c>
      <c r="T10327" s="538">
        <v>15.5002</v>
      </c>
      <c r="U10327" s="538">
        <v>39.32</v>
      </c>
      <c r="V10327" s="538">
        <v>39.32</v>
      </c>
    </row>
    <row r="10328" spans="1:22">
      <c r="A10328" s="499">
        <v>45841</v>
      </c>
      <c r="B10328" s="499">
        <v>45842</v>
      </c>
      <c r="C10328" s="500" t="s">
        <v>173</v>
      </c>
      <c r="D10328" s="500" t="s">
        <v>763</v>
      </c>
      <c r="E10328" s="501">
        <v>8005020.9699999997</v>
      </c>
      <c r="F10328" s="502" t="s">
        <v>878</v>
      </c>
      <c r="G10328" s="100">
        <v>117820884</v>
      </c>
      <c r="H10328" s="100">
        <v>117820884</v>
      </c>
      <c r="I10328" s="422" t="s">
        <v>658</v>
      </c>
      <c r="J10328" s="484"/>
      <c r="K10328" s="548"/>
      <c r="L10328" s="548"/>
      <c r="M10328" s="548"/>
      <c r="N10328" s="552">
        <v>8032</v>
      </c>
      <c r="R10328" s="539">
        <v>996.21799999999996</v>
      </c>
      <c r="S10328" s="539">
        <v>996.64105702191205</v>
      </c>
      <c r="T10328" s="538">
        <v>15.5002</v>
      </c>
      <c r="U10328" s="538">
        <v>39.32</v>
      </c>
      <c r="V10328" s="538">
        <v>39.32</v>
      </c>
    </row>
    <row r="10329" spans="1:22">
      <c r="A10329" s="499">
        <v>45841</v>
      </c>
      <c r="B10329" s="499">
        <v>45842</v>
      </c>
      <c r="C10329" s="500" t="s">
        <v>173</v>
      </c>
      <c r="D10329" s="500" t="s">
        <v>763</v>
      </c>
      <c r="E10329" s="501">
        <v>4002427.88</v>
      </c>
      <c r="F10329" s="502" t="s">
        <v>878</v>
      </c>
      <c r="G10329" s="100">
        <v>117820887</v>
      </c>
      <c r="H10329" s="100">
        <v>117820887</v>
      </c>
      <c r="I10329" s="422" t="s">
        <v>673</v>
      </c>
      <c r="J10329" s="484"/>
      <c r="K10329" s="548"/>
      <c r="L10329" s="548"/>
      <c r="M10329" s="548"/>
      <c r="N10329" s="552">
        <v>4516</v>
      </c>
      <c r="R10329" s="539">
        <v>885.90099999999995</v>
      </c>
      <c r="S10329" s="539">
        <v>886.27720992028298</v>
      </c>
      <c r="T10329" s="538">
        <v>15.5002</v>
      </c>
      <c r="U10329" s="538">
        <v>39.32</v>
      </c>
      <c r="V10329" s="538">
        <v>39.32</v>
      </c>
    </row>
    <row r="10330" spans="1:22">
      <c r="A10330" s="499">
        <v>45841</v>
      </c>
      <c r="B10330" s="499">
        <v>45842</v>
      </c>
      <c r="C10330" s="500" t="s">
        <v>173</v>
      </c>
      <c r="D10330" s="500" t="s">
        <v>763</v>
      </c>
      <c r="E10330" s="501">
        <v>1000652.81</v>
      </c>
      <c r="F10330" s="502" t="s">
        <v>878</v>
      </c>
      <c r="G10330" s="100">
        <v>117820890</v>
      </c>
      <c r="H10330" s="100">
        <v>117820890</v>
      </c>
      <c r="I10330" s="422" t="s">
        <v>588</v>
      </c>
      <c r="J10330" s="484"/>
      <c r="K10330" s="548"/>
      <c r="L10330" s="548"/>
      <c r="M10330" s="548"/>
      <c r="N10330" s="552">
        <v>1087</v>
      </c>
      <c r="R10330" s="539">
        <v>920.173</v>
      </c>
      <c r="S10330" s="539">
        <v>920.56376264949404</v>
      </c>
      <c r="T10330" s="538">
        <v>15.5002</v>
      </c>
      <c r="U10330" s="538">
        <v>39.32</v>
      </c>
      <c r="V10330" s="538">
        <v>39.32</v>
      </c>
    </row>
    <row r="10331" spans="1:22">
      <c r="A10331" s="499">
        <v>45841</v>
      </c>
      <c r="B10331" s="499">
        <v>45842</v>
      </c>
      <c r="C10331" s="500" t="s">
        <v>173</v>
      </c>
      <c r="D10331" s="500" t="s">
        <v>763</v>
      </c>
      <c r="E10331" s="501">
        <v>19011217.350000001</v>
      </c>
      <c r="F10331" s="502" t="s">
        <v>878</v>
      </c>
      <c r="G10331" s="100">
        <v>117820893</v>
      </c>
      <c r="H10331" s="100">
        <v>117820893</v>
      </c>
      <c r="I10331" s="422" t="s">
        <v>833</v>
      </c>
      <c r="J10331" s="484"/>
      <c r="K10331" s="548"/>
      <c r="L10331" s="548"/>
      <c r="M10331" s="548"/>
      <c r="N10331" s="552">
        <v>31445</v>
      </c>
      <c r="R10331" s="539">
        <v>604.3297</v>
      </c>
      <c r="S10331" s="539">
        <v>604.58633646048702</v>
      </c>
      <c r="T10331" s="538">
        <v>15.5002</v>
      </c>
      <c r="U10331" s="538">
        <v>39.32</v>
      </c>
      <c r="V10331" s="538">
        <v>39.32</v>
      </c>
    </row>
    <row r="10332" spans="1:22">
      <c r="A10332" s="499">
        <v>45841</v>
      </c>
      <c r="B10332" s="499">
        <v>45842</v>
      </c>
      <c r="C10332" s="500" t="s">
        <v>173</v>
      </c>
      <c r="D10332" s="500" t="s">
        <v>763</v>
      </c>
      <c r="E10332" s="501">
        <v>119070256.04000001</v>
      </c>
      <c r="F10332" s="502" t="s">
        <v>878</v>
      </c>
      <c r="G10332" s="100">
        <v>117820896</v>
      </c>
      <c r="H10332" s="100">
        <v>117820896</v>
      </c>
      <c r="I10332" s="422" t="s">
        <v>833</v>
      </c>
      <c r="J10332" s="484"/>
      <c r="K10332" s="548"/>
      <c r="L10332" s="548"/>
      <c r="M10332" s="548"/>
      <c r="N10332" s="552">
        <v>196945</v>
      </c>
      <c r="R10332" s="539">
        <v>604.3297</v>
      </c>
      <c r="S10332" s="539">
        <v>604.58633648988302</v>
      </c>
      <c r="T10332" s="538">
        <v>15.5002</v>
      </c>
      <c r="U10332" s="538">
        <v>178.53</v>
      </c>
      <c r="V10332" s="538">
        <v>89.26</v>
      </c>
    </row>
    <row r="10333" spans="1:22">
      <c r="A10333" s="499">
        <v>45841</v>
      </c>
      <c r="B10333" s="499">
        <v>45842</v>
      </c>
      <c r="C10333" s="500" t="s">
        <v>173</v>
      </c>
      <c r="D10333" s="500" t="s">
        <v>763</v>
      </c>
      <c r="E10333" s="501">
        <v>193113944.66999999</v>
      </c>
      <c r="F10333" s="502" t="s">
        <v>878</v>
      </c>
      <c r="G10333" s="100">
        <v>117820899</v>
      </c>
      <c r="H10333" s="100">
        <v>117820899</v>
      </c>
      <c r="I10333" s="422" t="s">
        <v>833</v>
      </c>
      <c r="J10333" s="484"/>
      <c r="K10333" s="548"/>
      <c r="L10333" s="548"/>
      <c r="M10333" s="548"/>
      <c r="N10333" s="552">
        <v>319415</v>
      </c>
      <c r="R10333" s="539">
        <v>604.3297</v>
      </c>
      <c r="S10333" s="539">
        <v>604.58633649014598</v>
      </c>
      <c r="T10333" s="538">
        <v>15.5002</v>
      </c>
      <c r="U10333" s="538">
        <v>289.55</v>
      </c>
      <c r="V10333" s="538">
        <v>144.77000000000001</v>
      </c>
    </row>
    <row r="10334" spans="1:22">
      <c r="A10334" s="499">
        <v>45841</v>
      </c>
      <c r="B10334" s="499">
        <v>45842</v>
      </c>
      <c r="C10334" s="500" t="s">
        <v>173</v>
      </c>
      <c r="D10334" s="500" t="s">
        <v>763</v>
      </c>
      <c r="E10334" s="501">
        <v>30039460.350000001</v>
      </c>
      <c r="F10334" s="502" t="s">
        <v>878</v>
      </c>
      <c r="G10334" s="100">
        <v>117820902</v>
      </c>
      <c r="H10334" s="100">
        <v>117820902</v>
      </c>
      <c r="I10334" s="422" t="s">
        <v>656</v>
      </c>
      <c r="J10334" s="484"/>
      <c r="K10334" s="548"/>
      <c r="L10334" s="548"/>
      <c r="M10334" s="548"/>
      <c r="N10334" s="552">
        <v>29760</v>
      </c>
      <c r="R10334" s="539">
        <v>1008.962</v>
      </c>
      <c r="S10334" s="539">
        <v>1009.39046875</v>
      </c>
      <c r="T10334" s="538">
        <v>15.5002</v>
      </c>
      <c r="U10334" s="538">
        <v>45.04</v>
      </c>
      <c r="V10334" s="538">
        <v>39.32</v>
      </c>
    </row>
    <row r="10335" spans="1:22">
      <c r="A10335" s="499">
        <v>45841</v>
      </c>
      <c r="B10335" s="499">
        <v>45842</v>
      </c>
      <c r="C10335" s="500" t="s">
        <v>173</v>
      </c>
      <c r="D10335" s="500" t="s">
        <v>763</v>
      </c>
      <c r="E10335" s="501">
        <v>89096226.769999996</v>
      </c>
      <c r="F10335" s="502" t="s">
        <v>878</v>
      </c>
      <c r="G10335" s="100">
        <v>117820905</v>
      </c>
      <c r="H10335" s="100">
        <v>117820905</v>
      </c>
      <c r="I10335" s="422" t="s">
        <v>590</v>
      </c>
      <c r="J10335" s="484"/>
      <c r="K10335" s="548"/>
      <c r="L10335" s="548"/>
      <c r="M10335" s="548"/>
      <c r="N10335" s="552">
        <v>101994</v>
      </c>
      <c r="R10335" s="539">
        <v>873.173</v>
      </c>
      <c r="S10335" s="539">
        <v>873.54380424338694</v>
      </c>
      <c r="T10335" s="538">
        <v>15.5002</v>
      </c>
      <c r="U10335" s="538">
        <v>133.59</v>
      </c>
      <c r="V10335" s="538">
        <v>66.790000000000006</v>
      </c>
    </row>
    <row r="10336" spans="1:22">
      <c r="A10336" s="499">
        <v>45841</v>
      </c>
      <c r="B10336" s="499">
        <v>45842</v>
      </c>
      <c r="C10336" s="500" t="s">
        <v>173</v>
      </c>
      <c r="D10336" s="500" t="s">
        <v>763</v>
      </c>
      <c r="E10336" s="501">
        <v>133133724.52</v>
      </c>
      <c r="F10336" s="502" t="s">
        <v>878</v>
      </c>
      <c r="G10336" s="100">
        <v>117820908</v>
      </c>
      <c r="H10336" s="100">
        <v>117820908</v>
      </c>
      <c r="I10336" s="422" t="s">
        <v>687</v>
      </c>
      <c r="J10336" s="484"/>
      <c r="K10336" s="548"/>
      <c r="L10336" s="548"/>
      <c r="M10336" s="548"/>
      <c r="N10336" s="552">
        <v>158403</v>
      </c>
      <c r="R10336" s="539">
        <v>840.11800000000005</v>
      </c>
      <c r="S10336" s="539">
        <v>840.47476701830101</v>
      </c>
      <c r="T10336" s="538">
        <v>15.5002</v>
      </c>
      <c r="U10336" s="538">
        <v>199.62</v>
      </c>
      <c r="V10336" s="538">
        <v>99.81</v>
      </c>
    </row>
    <row r="10337" spans="1:22">
      <c r="A10337" s="499">
        <v>45841</v>
      </c>
      <c r="B10337" s="499">
        <v>45842</v>
      </c>
      <c r="C10337" s="500" t="s">
        <v>173</v>
      </c>
      <c r="D10337" s="500" t="s">
        <v>763</v>
      </c>
      <c r="E10337" s="501">
        <v>350206634.44999999</v>
      </c>
      <c r="F10337" s="502" t="s">
        <v>878</v>
      </c>
      <c r="G10337" s="100">
        <v>117820911</v>
      </c>
      <c r="H10337" s="100">
        <v>117820911</v>
      </c>
      <c r="I10337" s="422" t="s">
        <v>833</v>
      </c>
      <c r="J10337" s="484"/>
      <c r="K10337" s="548"/>
      <c r="L10337" s="548"/>
      <c r="M10337" s="548"/>
      <c r="N10337" s="552">
        <v>579250</v>
      </c>
      <c r="R10337" s="539">
        <v>604.3297</v>
      </c>
      <c r="S10337" s="539">
        <v>604.58633482952098</v>
      </c>
      <c r="T10337" s="538">
        <v>15.5001</v>
      </c>
      <c r="U10337" s="538">
        <v>525.09</v>
      </c>
      <c r="V10337" s="538">
        <v>262.54000000000002</v>
      </c>
    </row>
    <row r="10338" spans="1:22">
      <c r="A10338" s="499">
        <v>45841</v>
      </c>
      <c r="B10338" s="499">
        <v>45842</v>
      </c>
      <c r="C10338" s="500" t="s">
        <v>173</v>
      </c>
      <c r="D10338" s="500" t="s">
        <v>763</v>
      </c>
      <c r="E10338" s="501">
        <v>441247337.10000002</v>
      </c>
      <c r="F10338" s="502" t="s">
        <v>878</v>
      </c>
      <c r="G10338" s="100">
        <v>117820914</v>
      </c>
      <c r="H10338" s="100">
        <v>117820914</v>
      </c>
      <c r="I10338" s="422" t="s">
        <v>633</v>
      </c>
      <c r="J10338" s="484"/>
      <c r="K10338" s="548"/>
      <c r="L10338" s="548"/>
      <c r="M10338" s="548"/>
      <c r="N10338" s="552">
        <v>831285</v>
      </c>
      <c r="R10338" s="539">
        <v>530.57619999999997</v>
      </c>
      <c r="S10338" s="539">
        <v>530.80151464299297</v>
      </c>
      <c r="T10338" s="538">
        <v>15.5001</v>
      </c>
      <c r="U10338" s="538">
        <v>661.59</v>
      </c>
      <c r="V10338" s="538">
        <v>330.8</v>
      </c>
    </row>
    <row r="10339" spans="1:22">
      <c r="A10339" s="499">
        <v>45841</v>
      </c>
      <c r="B10339" s="499">
        <v>45842</v>
      </c>
      <c r="C10339" s="500" t="s">
        <v>173</v>
      </c>
      <c r="D10339" s="500" t="s">
        <v>763</v>
      </c>
      <c r="E10339" s="501">
        <v>34019069.07</v>
      </c>
      <c r="F10339" s="502" t="s">
        <v>878</v>
      </c>
      <c r="G10339" s="100">
        <v>117820985</v>
      </c>
      <c r="H10339" s="100">
        <v>117820985</v>
      </c>
      <c r="I10339" s="422" t="s">
        <v>633</v>
      </c>
      <c r="J10339" s="484"/>
      <c r="K10339" s="548"/>
      <c r="L10339" s="548"/>
      <c r="M10339" s="548"/>
      <c r="N10339" s="552">
        <v>64090</v>
      </c>
      <c r="R10339" s="539">
        <v>530.57619999999997</v>
      </c>
      <c r="S10339" s="539">
        <v>530.80151458885905</v>
      </c>
      <c r="T10339" s="538">
        <v>15.5001</v>
      </c>
      <c r="U10339" s="538">
        <v>51.01</v>
      </c>
      <c r="V10339" s="538">
        <v>39.32</v>
      </c>
    </row>
    <row r="10340" spans="1:22">
      <c r="A10340" s="499">
        <v>45842</v>
      </c>
      <c r="B10340" s="499">
        <v>45842</v>
      </c>
      <c r="C10340" s="500" t="s">
        <v>173</v>
      </c>
      <c r="D10340" s="500" t="s">
        <v>762</v>
      </c>
      <c r="E10340" s="501">
        <v>-1557350122.5899999</v>
      </c>
      <c r="F10340" s="502" t="s">
        <v>878</v>
      </c>
      <c r="G10340" s="100">
        <v>117850750</v>
      </c>
      <c r="H10340" s="530"/>
      <c r="I10340" s="422" t="s">
        <v>704</v>
      </c>
      <c r="J10340" s="484"/>
      <c r="K10340" s="548"/>
      <c r="L10340" s="548"/>
      <c r="M10340" s="548"/>
      <c r="N10340" s="552">
        <v>1921338</v>
      </c>
      <c r="R10340" s="539">
        <v>810.55499999999995</v>
      </c>
      <c r="S10340" s="539">
        <v>811.93272143162699</v>
      </c>
      <c r="T10340" s="538">
        <v>15.51</v>
      </c>
      <c r="U10340" s="538">
        <v>9344.1</v>
      </c>
      <c r="V10340" s="538">
        <v>4672.05</v>
      </c>
    </row>
    <row r="10341" spans="1:22">
      <c r="A10341" s="499">
        <v>45842</v>
      </c>
      <c r="B10341" s="499">
        <v>45846</v>
      </c>
      <c r="C10341" s="500" t="s">
        <v>173</v>
      </c>
      <c r="D10341" s="500" t="s">
        <v>762</v>
      </c>
      <c r="E10341" s="501">
        <v>1559997191.1300001</v>
      </c>
      <c r="F10341" s="502" t="s">
        <v>878</v>
      </c>
      <c r="G10341" s="100">
        <v>117850750</v>
      </c>
      <c r="H10341" s="100">
        <v>117850750</v>
      </c>
      <c r="I10341" s="422" t="s">
        <v>704</v>
      </c>
      <c r="J10341" s="484"/>
      <c r="K10341" s="548"/>
      <c r="L10341" s="548"/>
      <c r="M10341" s="548"/>
      <c r="N10341" s="552">
        <v>1921338</v>
      </c>
      <c r="R10341" s="539">
        <v>810.55499999999995</v>
      </c>
      <c r="S10341" s="539">
        <v>811.93272143162699</v>
      </c>
      <c r="T10341" s="538">
        <v>15.51</v>
      </c>
      <c r="U10341" s="538">
        <v>9344.1</v>
      </c>
      <c r="V10341" s="538">
        <v>4672.05</v>
      </c>
    </row>
    <row r="10342" spans="1:22">
      <c r="A10342" s="499">
        <v>45842</v>
      </c>
      <c r="B10342" s="499">
        <v>45842</v>
      </c>
      <c r="C10342" s="500" t="s">
        <v>173</v>
      </c>
      <c r="D10342" s="500" t="s">
        <v>760</v>
      </c>
      <c r="E10342" s="501">
        <v>-1304128243.05</v>
      </c>
      <c r="F10342" s="502" t="s">
        <v>878</v>
      </c>
      <c r="G10342" s="100">
        <v>117845904</v>
      </c>
      <c r="H10342" s="530"/>
      <c r="I10342" s="422" t="s">
        <v>635</v>
      </c>
      <c r="J10342" s="484"/>
      <c r="K10342" s="548"/>
      <c r="L10342" s="548"/>
      <c r="M10342" s="548"/>
      <c r="N10342" s="552">
        <v>2178984</v>
      </c>
      <c r="R10342" s="539">
        <v>598.50289999999995</v>
      </c>
      <c r="S10342" s="539">
        <v>599.52248658090195</v>
      </c>
      <c r="T10342" s="538">
        <v>15.545</v>
      </c>
      <c r="U10342" s="538">
        <v>7824.77</v>
      </c>
      <c r="V10342" s="538">
        <v>3912.38</v>
      </c>
    </row>
    <row r="10343" spans="1:22">
      <c r="A10343" s="499">
        <v>45842</v>
      </c>
      <c r="B10343" s="499">
        <v>45842</v>
      </c>
      <c r="C10343" s="500" t="s">
        <v>173</v>
      </c>
      <c r="D10343" s="500" t="s">
        <v>760</v>
      </c>
      <c r="E10343" s="501">
        <v>-8001359.9500000002</v>
      </c>
      <c r="F10343" s="502" t="s">
        <v>878</v>
      </c>
      <c r="G10343" s="100">
        <v>117846698</v>
      </c>
      <c r="H10343" s="530"/>
      <c r="I10343" s="422" t="s">
        <v>675</v>
      </c>
      <c r="J10343" s="484"/>
      <c r="K10343" s="548"/>
      <c r="L10343" s="548"/>
      <c r="M10343" s="548"/>
      <c r="N10343" s="552">
        <v>8664</v>
      </c>
      <c r="R10343" s="539">
        <v>923.51800000000003</v>
      </c>
      <c r="S10343" s="539">
        <v>925.09126962142204</v>
      </c>
      <c r="T10343" s="538">
        <v>15.545</v>
      </c>
      <c r="U10343" s="538">
        <v>48.01</v>
      </c>
      <c r="V10343" s="538">
        <v>24</v>
      </c>
    </row>
    <row r="10344" spans="1:22">
      <c r="A10344" s="499">
        <v>45842</v>
      </c>
      <c r="B10344" s="499">
        <v>45846</v>
      </c>
      <c r="C10344" s="500" t="s">
        <v>173</v>
      </c>
      <c r="D10344" s="500" t="s">
        <v>760</v>
      </c>
      <c r="E10344" s="501">
        <v>1306349905.9000001</v>
      </c>
      <c r="F10344" s="502" t="s">
        <v>878</v>
      </c>
      <c r="G10344" s="100">
        <v>117845904</v>
      </c>
      <c r="H10344" s="100">
        <v>117845904</v>
      </c>
      <c r="I10344" s="422" t="s">
        <v>635</v>
      </c>
      <c r="J10344" s="484"/>
      <c r="K10344" s="548"/>
      <c r="L10344" s="548"/>
      <c r="M10344" s="548"/>
      <c r="N10344" s="552">
        <v>2178984</v>
      </c>
      <c r="R10344" s="539">
        <v>598.50289999999995</v>
      </c>
      <c r="S10344" s="539">
        <v>599.52248658090195</v>
      </c>
      <c r="T10344" s="538">
        <v>15.545</v>
      </c>
      <c r="U10344" s="538">
        <v>7824.77</v>
      </c>
      <c r="V10344" s="538">
        <v>3912.38</v>
      </c>
    </row>
    <row r="10345" spans="1:22">
      <c r="A10345" s="499">
        <v>45842</v>
      </c>
      <c r="B10345" s="499">
        <v>45846</v>
      </c>
      <c r="C10345" s="500" t="s">
        <v>173</v>
      </c>
      <c r="D10345" s="500" t="s">
        <v>760</v>
      </c>
      <c r="E10345" s="501">
        <v>8014990.7599999998</v>
      </c>
      <c r="F10345" s="502" t="s">
        <v>878</v>
      </c>
      <c r="G10345" s="100">
        <v>117846698</v>
      </c>
      <c r="H10345" s="100">
        <v>117846698</v>
      </c>
      <c r="I10345" s="422" t="s">
        <v>675</v>
      </c>
      <c r="J10345" s="484"/>
      <c r="K10345" s="548"/>
      <c r="L10345" s="548"/>
      <c r="M10345" s="548"/>
      <c r="N10345" s="552">
        <v>8664</v>
      </c>
      <c r="R10345" s="539">
        <v>923.51800000000003</v>
      </c>
      <c r="S10345" s="539">
        <v>925.09126962142204</v>
      </c>
      <c r="T10345" s="538">
        <v>15.545</v>
      </c>
      <c r="U10345" s="538">
        <v>48.01</v>
      </c>
      <c r="V10345" s="538">
        <v>24</v>
      </c>
    </row>
    <row r="10346" spans="1:22">
      <c r="A10346" s="499">
        <v>45842</v>
      </c>
      <c r="B10346" s="499">
        <v>45842</v>
      </c>
      <c r="C10346" s="500" t="s">
        <v>173</v>
      </c>
      <c r="D10346" s="500" t="s">
        <v>761</v>
      </c>
      <c r="E10346" s="501">
        <v>-2127361577.24</v>
      </c>
      <c r="F10346" s="502" t="s">
        <v>878</v>
      </c>
      <c r="G10346" s="100">
        <v>117846631</v>
      </c>
      <c r="H10346" s="530"/>
      <c r="I10346" s="422" t="s">
        <v>675</v>
      </c>
      <c r="J10346" s="484"/>
      <c r="K10346" s="548"/>
      <c r="L10346" s="548"/>
      <c r="M10346" s="548"/>
      <c r="N10346" s="552">
        <v>2303541</v>
      </c>
      <c r="R10346" s="539">
        <v>923.51800000086826</v>
      </c>
      <c r="S10346" s="539">
        <v>925.08975173005399</v>
      </c>
      <c r="T10346" s="538">
        <v>15.53</v>
      </c>
      <c r="U10346" s="538">
        <v>12764.17</v>
      </c>
      <c r="V10346" s="538">
        <v>6382.08</v>
      </c>
    </row>
    <row r="10347" spans="1:22">
      <c r="A10347" s="499">
        <v>45842</v>
      </c>
      <c r="B10347" s="499">
        <v>45842</v>
      </c>
      <c r="C10347" s="500" t="s">
        <v>173</v>
      </c>
      <c r="D10347" s="500" t="s">
        <v>761</v>
      </c>
      <c r="E10347" s="501">
        <v>-18007072.920000002</v>
      </c>
      <c r="F10347" s="502" t="s">
        <v>878</v>
      </c>
      <c r="G10347" s="100">
        <v>117848936</v>
      </c>
      <c r="H10347" s="530"/>
      <c r="I10347" s="422" t="s">
        <v>691</v>
      </c>
      <c r="J10347" s="484"/>
      <c r="K10347" s="548"/>
      <c r="L10347" s="548"/>
      <c r="M10347" s="548"/>
      <c r="N10347" s="552">
        <v>21204</v>
      </c>
      <c r="R10347" s="539">
        <v>849.23000000000013</v>
      </c>
      <c r="S10347" s="539">
        <v>850.67718119222798</v>
      </c>
      <c r="T10347" s="538">
        <v>15.55</v>
      </c>
      <c r="U10347" s="538">
        <v>108.04</v>
      </c>
      <c r="V10347" s="538">
        <v>54.02</v>
      </c>
    </row>
    <row r="10348" spans="1:22">
      <c r="A10348" s="499">
        <v>45842</v>
      </c>
      <c r="B10348" s="499">
        <v>45846</v>
      </c>
      <c r="C10348" s="500" t="s">
        <v>173</v>
      </c>
      <c r="D10348" s="500" t="s">
        <v>761</v>
      </c>
      <c r="E10348" s="501">
        <v>2130982171.79</v>
      </c>
      <c r="F10348" s="502" t="s">
        <v>878</v>
      </c>
      <c r="G10348" s="100">
        <v>117846631</v>
      </c>
      <c r="H10348" s="100">
        <v>117846631</v>
      </c>
      <c r="I10348" s="422" t="s">
        <v>675</v>
      </c>
      <c r="J10348" s="484"/>
      <c r="K10348" s="548"/>
      <c r="L10348" s="548"/>
      <c r="M10348" s="548"/>
      <c r="N10348" s="552">
        <v>2303541</v>
      </c>
      <c r="R10348" s="539">
        <v>923.51800000086826</v>
      </c>
      <c r="S10348" s="539">
        <v>925.08975173005399</v>
      </c>
      <c r="T10348" s="538">
        <v>15.53</v>
      </c>
      <c r="U10348" s="538">
        <v>12764.17</v>
      </c>
      <c r="V10348" s="538">
        <v>6382.08</v>
      </c>
    </row>
    <row r="10349" spans="1:22">
      <c r="A10349" s="499">
        <v>45842</v>
      </c>
      <c r="B10349" s="499">
        <v>45846</v>
      </c>
      <c r="C10349" s="500" t="s">
        <v>173</v>
      </c>
      <c r="D10349" s="500" t="s">
        <v>761</v>
      </c>
      <c r="E10349" s="501">
        <v>18037758.949999999</v>
      </c>
      <c r="F10349" s="502" t="s">
        <v>878</v>
      </c>
      <c r="G10349" s="100">
        <v>117848936</v>
      </c>
      <c r="H10349" s="100">
        <v>117848936</v>
      </c>
      <c r="I10349" s="422" t="s">
        <v>691</v>
      </c>
      <c r="J10349" s="484"/>
      <c r="K10349" s="548"/>
      <c r="L10349" s="548"/>
      <c r="M10349" s="548"/>
      <c r="N10349" s="552">
        <v>21204</v>
      </c>
      <c r="R10349" s="539">
        <v>849.23000000000013</v>
      </c>
      <c r="S10349" s="539">
        <v>850.67718119222798</v>
      </c>
      <c r="T10349" s="538">
        <v>15.55</v>
      </c>
      <c r="U10349" s="538">
        <v>108.04</v>
      </c>
      <c r="V10349" s="538">
        <v>54.02</v>
      </c>
    </row>
    <row r="10350" spans="1:22">
      <c r="A10350" s="499">
        <v>45842</v>
      </c>
      <c r="B10350" s="499">
        <v>45842</v>
      </c>
      <c r="C10350" s="500" t="s">
        <v>173</v>
      </c>
      <c r="D10350" s="500" t="s">
        <v>759</v>
      </c>
      <c r="E10350" s="501">
        <v>-2014342367.9200001</v>
      </c>
      <c r="F10350" s="502" t="s">
        <v>878</v>
      </c>
      <c r="G10350" s="100">
        <v>117846628</v>
      </c>
      <c r="H10350" s="530"/>
      <c r="I10350" s="422" t="s">
        <v>675</v>
      </c>
      <c r="J10350" s="484"/>
      <c r="K10350" s="548"/>
      <c r="L10350" s="548"/>
      <c r="M10350" s="548"/>
      <c r="N10350" s="552">
        <v>2181162</v>
      </c>
      <c r="R10350" s="539">
        <v>923.51800000183391</v>
      </c>
      <c r="S10350" s="539">
        <v>925.08975173324995</v>
      </c>
      <c r="T10350" s="538">
        <v>15.53</v>
      </c>
      <c r="U10350" s="538">
        <v>12086.05</v>
      </c>
      <c r="V10350" s="538">
        <v>6043.03</v>
      </c>
    </row>
    <row r="10351" spans="1:22">
      <c r="A10351" s="499">
        <v>45842</v>
      </c>
      <c r="B10351" s="499">
        <v>45842</v>
      </c>
      <c r="C10351" s="500" t="s">
        <v>173</v>
      </c>
      <c r="D10351" s="500" t="s">
        <v>759</v>
      </c>
      <c r="E10351" s="501">
        <v>-12010246.25</v>
      </c>
      <c r="F10351" s="502" t="s">
        <v>878</v>
      </c>
      <c r="G10351" s="100">
        <v>117850067</v>
      </c>
      <c r="H10351" s="530"/>
      <c r="I10351" s="422" t="s">
        <v>604</v>
      </c>
      <c r="J10351" s="484"/>
      <c r="K10351" s="548"/>
      <c r="L10351" s="548"/>
      <c r="M10351" s="548"/>
      <c r="N10351" s="552">
        <v>12012</v>
      </c>
      <c r="R10351" s="539">
        <v>999.85400016650021</v>
      </c>
      <c r="S10351" s="539">
        <v>1001.55239343989</v>
      </c>
      <c r="T10351" s="538">
        <v>15.5001</v>
      </c>
      <c r="U10351" s="538">
        <v>72.06</v>
      </c>
      <c r="V10351" s="538">
        <v>36.03</v>
      </c>
    </row>
    <row r="10352" spans="1:22">
      <c r="A10352" s="499">
        <v>45842</v>
      </c>
      <c r="B10352" s="499">
        <v>45846</v>
      </c>
      <c r="C10352" s="500" t="s">
        <v>173</v>
      </c>
      <c r="D10352" s="500" t="s">
        <v>759</v>
      </c>
      <c r="E10352" s="501">
        <v>2017770613.0699999</v>
      </c>
      <c r="F10352" s="502" t="s">
        <v>878</v>
      </c>
      <c r="G10352" s="100">
        <v>117846628</v>
      </c>
      <c r="H10352" s="100">
        <v>117846628</v>
      </c>
      <c r="I10352" s="422" t="s">
        <v>675</v>
      </c>
      <c r="J10352" s="484"/>
      <c r="K10352" s="548"/>
      <c r="L10352" s="548"/>
      <c r="M10352" s="548"/>
      <c r="N10352" s="552">
        <v>2181162</v>
      </c>
      <c r="R10352" s="539">
        <v>923.51800000183391</v>
      </c>
      <c r="S10352" s="539">
        <v>925.08975173324995</v>
      </c>
      <c r="T10352" s="538">
        <v>15.53</v>
      </c>
      <c r="U10352" s="538">
        <v>12086.05</v>
      </c>
      <c r="V10352" s="538">
        <v>6043.03</v>
      </c>
    </row>
    <row r="10353" spans="1:22">
      <c r="A10353" s="499">
        <v>45842</v>
      </c>
      <c r="B10353" s="499">
        <v>45846</v>
      </c>
      <c r="C10353" s="500" t="s">
        <v>173</v>
      </c>
      <c r="D10353" s="500" t="s">
        <v>759</v>
      </c>
      <c r="E10353" s="501">
        <v>12030647.35</v>
      </c>
      <c r="F10353" s="502" t="s">
        <v>878</v>
      </c>
      <c r="G10353" s="100">
        <v>117850067</v>
      </c>
      <c r="H10353" s="100">
        <v>117850067</v>
      </c>
      <c r="I10353" s="422" t="s">
        <v>604</v>
      </c>
      <c r="J10353" s="484"/>
      <c r="K10353" s="548"/>
      <c r="L10353" s="548"/>
      <c r="M10353" s="548"/>
      <c r="N10353" s="552">
        <v>12012</v>
      </c>
      <c r="R10353" s="539">
        <v>999.85400016650021</v>
      </c>
      <c r="S10353" s="539">
        <v>1001.55239343989</v>
      </c>
      <c r="T10353" s="538">
        <v>15.5001</v>
      </c>
      <c r="U10353" s="538">
        <v>72.06</v>
      </c>
      <c r="V10353" s="538">
        <v>36.03</v>
      </c>
    </row>
    <row r="10354" spans="1:22">
      <c r="A10354" s="499">
        <v>45842</v>
      </c>
      <c r="B10354" s="499">
        <v>45842</v>
      </c>
      <c r="C10354" s="500" t="s">
        <v>173</v>
      </c>
      <c r="D10354" s="500" t="s">
        <v>763</v>
      </c>
      <c r="E10354" s="501">
        <v>-3698070394.6300001</v>
      </c>
      <c r="F10354" s="502" t="s">
        <v>878</v>
      </c>
      <c r="G10354" s="100">
        <v>117845724</v>
      </c>
      <c r="H10354" s="530"/>
      <c r="I10354" s="422" t="s">
        <v>1013</v>
      </c>
      <c r="J10354" s="484"/>
      <c r="K10354" s="548"/>
      <c r="L10354" s="548"/>
      <c r="M10354" s="548"/>
      <c r="N10354" s="552">
        <v>7223938</v>
      </c>
      <c r="R10354" s="539">
        <v>511.91890000000001</v>
      </c>
      <c r="S10354" s="539">
        <v>512.78958849591504</v>
      </c>
      <c r="T10354" s="538">
        <v>15.520099999999999</v>
      </c>
      <c r="U10354" s="538">
        <v>22188.42</v>
      </c>
      <c r="V10354" s="538">
        <v>11094.21</v>
      </c>
    </row>
    <row r="10355" spans="1:22">
      <c r="A10355" s="499">
        <v>45842</v>
      </c>
      <c r="B10355" s="499">
        <v>45842</v>
      </c>
      <c r="C10355" s="500" t="s">
        <v>173</v>
      </c>
      <c r="D10355" s="500" t="s">
        <v>763</v>
      </c>
      <c r="E10355" s="501">
        <v>-1861787591.95</v>
      </c>
      <c r="F10355" s="502" t="s">
        <v>878</v>
      </c>
      <c r="G10355" s="100">
        <v>117845727</v>
      </c>
      <c r="H10355" s="530"/>
      <c r="I10355" s="422" t="s">
        <v>633</v>
      </c>
      <c r="J10355" s="484"/>
      <c r="K10355" s="548"/>
      <c r="L10355" s="548"/>
      <c r="M10355" s="548"/>
      <c r="N10355" s="552">
        <v>3502402</v>
      </c>
      <c r="R10355" s="539">
        <v>531.57449999999994</v>
      </c>
      <c r="S10355" s="539">
        <v>532.47861938749497</v>
      </c>
      <c r="T10355" s="538">
        <v>15.520099999999999</v>
      </c>
      <c r="U10355" s="538">
        <v>11170.73</v>
      </c>
      <c r="V10355" s="538">
        <v>5585.36</v>
      </c>
    </row>
    <row r="10356" spans="1:22">
      <c r="A10356" s="499">
        <v>45842</v>
      </c>
      <c r="B10356" s="499">
        <v>45842</v>
      </c>
      <c r="C10356" s="500" t="s">
        <v>173</v>
      </c>
      <c r="D10356" s="500" t="s">
        <v>763</v>
      </c>
      <c r="E10356" s="501">
        <v>-351048001.63999999</v>
      </c>
      <c r="F10356" s="502" t="s">
        <v>878</v>
      </c>
      <c r="G10356" s="100">
        <v>117845730</v>
      </c>
      <c r="H10356" s="530"/>
      <c r="I10356" s="422" t="s">
        <v>833</v>
      </c>
      <c r="J10356" s="484"/>
      <c r="K10356" s="548"/>
      <c r="L10356" s="548"/>
      <c r="M10356" s="548"/>
      <c r="N10356" s="552">
        <v>578448</v>
      </c>
      <c r="R10356" s="539">
        <v>606.87909999999999</v>
      </c>
      <c r="S10356" s="539">
        <v>607.91129992670005</v>
      </c>
      <c r="T10356" s="538">
        <v>15.520099999999999</v>
      </c>
      <c r="U10356" s="538">
        <v>2106.29</v>
      </c>
      <c r="V10356" s="538">
        <v>1053.1400000000001</v>
      </c>
    </row>
    <row r="10357" spans="1:22">
      <c r="A10357" s="499">
        <v>45842</v>
      </c>
      <c r="B10357" s="499">
        <v>45842</v>
      </c>
      <c r="C10357" s="500" t="s">
        <v>173</v>
      </c>
      <c r="D10357" s="500" t="s">
        <v>763</v>
      </c>
      <c r="E10357" s="501">
        <v>-1062476810.39</v>
      </c>
      <c r="F10357" s="502" t="s">
        <v>878</v>
      </c>
      <c r="G10357" s="100">
        <v>117845733</v>
      </c>
      <c r="H10357" s="530"/>
      <c r="I10357" s="422" t="s">
        <v>716</v>
      </c>
      <c r="J10357" s="484"/>
      <c r="K10357" s="548"/>
      <c r="L10357" s="548"/>
      <c r="M10357" s="548"/>
      <c r="N10357" s="552">
        <v>1488924</v>
      </c>
      <c r="R10357" s="539">
        <v>713.58699999999999</v>
      </c>
      <c r="S10357" s="539">
        <v>714.800684413711</v>
      </c>
      <c r="T10357" s="538">
        <v>15.52</v>
      </c>
      <c r="U10357" s="538">
        <v>6374.86</v>
      </c>
      <c r="V10357" s="538">
        <v>3187.43</v>
      </c>
    </row>
    <row r="10358" spans="1:22">
      <c r="A10358" s="499">
        <v>45842</v>
      </c>
      <c r="B10358" s="499">
        <v>45842</v>
      </c>
      <c r="C10358" s="500" t="s">
        <v>173</v>
      </c>
      <c r="D10358" s="500" t="s">
        <v>763</v>
      </c>
      <c r="E10358" s="501">
        <v>-39001945.979999997</v>
      </c>
      <c r="F10358" s="502" t="s">
        <v>878</v>
      </c>
      <c r="G10358" s="100">
        <v>117845776</v>
      </c>
      <c r="H10358" s="530"/>
      <c r="I10358" s="422" t="s">
        <v>631</v>
      </c>
      <c r="J10358" s="484"/>
      <c r="K10358" s="548"/>
      <c r="L10358" s="548"/>
      <c r="M10358" s="548"/>
      <c r="N10358" s="552">
        <v>82446</v>
      </c>
      <c r="R10358" s="539">
        <v>473.06049999999999</v>
      </c>
      <c r="S10358" s="539">
        <v>473.86510200616198</v>
      </c>
      <c r="T10358" s="538">
        <v>15.520200000000001</v>
      </c>
      <c r="U10358" s="538">
        <v>234.01</v>
      </c>
      <c r="V10358" s="538">
        <v>117.01</v>
      </c>
    </row>
    <row r="10359" spans="1:22">
      <c r="A10359" s="499">
        <v>45842</v>
      </c>
      <c r="B10359" s="499">
        <v>45842</v>
      </c>
      <c r="C10359" s="500" t="s">
        <v>173</v>
      </c>
      <c r="D10359" s="500" t="s">
        <v>763</v>
      </c>
      <c r="E10359" s="501">
        <v>-1000049.9</v>
      </c>
      <c r="F10359" s="502" t="s">
        <v>878</v>
      </c>
      <c r="G10359" s="100">
        <v>117845833</v>
      </c>
      <c r="H10359" s="530"/>
      <c r="I10359" s="422" t="s">
        <v>631</v>
      </c>
      <c r="J10359" s="484"/>
      <c r="K10359" s="548"/>
      <c r="L10359" s="548"/>
      <c r="M10359" s="548"/>
      <c r="N10359" s="552">
        <v>2114</v>
      </c>
      <c r="R10359" s="539">
        <v>473.06049999999999</v>
      </c>
      <c r="S10359" s="539">
        <v>473.86510406811698</v>
      </c>
      <c r="T10359" s="538">
        <v>15.520200000000001</v>
      </c>
      <c r="U10359" s="538">
        <v>39.32</v>
      </c>
      <c r="V10359" s="538">
        <v>39.32</v>
      </c>
    </row>
    <row r="10360" spans="1:22">
      <c r="A10360" s="499">
        <v>45842</v>
      </c>
      <c r="B10360" s="499">
        <v>45846</v>
      </c>
      <c r="C10360" s="500" t="s">
        <v>173</v>
      </c>
      <c r="D10360" s="500" t="s">
        <v>763</v>
      </c>
      <c r="E10360" s="501">
        <v>3704360194.3400002</v>
      </c>
      <c r="F10360" s="502" t="s">
        <v>878</v>
      </c>
      <c r="G10360" s="100">
        <v>117845724</v>
      </c>
      <c r="H10360" s="100">
        <v>117845724</v>
      </c>
      <c r="I10360" s="422" t="s">
        <v>1013</v>
      </c>
      <c r="J10360" s="484"/>
      <c r="K10360" s="548"/>
      <c r="L10360" s="548"/>
      <c r="M10360" s="548"/>
      <c r="N10360" s="552">
        <v>7223938</v>
      </c>
      <c r="R10360" s="539">
        <v>511.91890000000001</v>
      </c>
      <c r="S10360" s="539">
        <v>512.78958849591504</v>
      </c>
      <c r="T10360" s="538">
        <v>15.520099999999999</v>
      </c>
      <c r="U10360" s="538">
        <v>22188.42</v>
      </c>
      <c r="V10360" s="538">
        <v>11094.21</v>
      </c>
    </row>
    <row r="10361" spans="1:22">
      <c r="A10361" s="499">
        <v>45842</v>
      </c>
      <c r="B10361" s="499">
        <v>45846</v>
      </c>
      <c r="C10361" s="500" t="s">
        <v>173</v>
      </c>
      <c r="D10361" s="500" t="s">
        <v>763</v>
      </c>
      <c r="E10361" s="501">
        <v>1864954181.5</v>
      </c>
      <c r="F10361" s="502" t="s">
        <v>878</v>
      </c>
      <c r="G10361" s="100">
        <v>117845727</v>
      </c>
      <c r="H10361" s="100">
        <v>117845727</v>
      </c>
      <c r="I10361" s="422" t="s">
        <v>633</v>
      </c>
      <c r="J10361" s="484"/>
      <c r="K10361" s="548"/>
      <c r="L10361" s="548"/>
      <c r="M10361" s="548"/>
      <c r="N10361" s="552">
        <v>3502402</v>
      </c>
      <c r="R10361" s="539">
        <v>531.57449999999994</v>
      </c>
      <c r="S10361" s="539">
        <v>532.47861938749497</v>
      </c>
      <c r="T10361" s="538">
        <v>15.520099999999999</v>
      </c>
      <c r="U10361" s="538">
        <v>11170.73</v>
      </c>
      <c r="V10361" s="538">
        <v>5585.36</v>
      </c>
    </row>
    <row r="10362" spans="1:22">
      <c r="A10362" s="499">
        <v>45842</v>
      </c>
      <c r="B10362" s="499">
        <v>45846</v>
      </c>
      <c r="C10362" s="500" t="s">
        <v>173</v>
      </c>
      <c r="D10362" s="500" t="s">
        <v>763</v>
      </c>
      <c r="E10362" s="501">
        <v>351645075.62</v>
      </c>
      <c r="F10362" s="502" t="s">
        <v>878</v>
      </c>
      <c r="G10362" s="100">
        <v>117845730</v>
      </c>
      <c r="H10362" s="100">
        <v>117845730</v>
      </c>
      <c r="I10362" s="422" t="s">
        <v>833</v>
      </c>
      <c r="J10362" s="484"/>
      <c r="K10362" s="548"/>
      <c r="L10362" s="548"/>
      <c r="M10362" s="548"/>
      <c r="N10362" s="552">
        <v>578448</v>
      </c>
      <c r="R10362" s="539">
        <v>606.87909999999999</v>
      </c>
      <c r="S10362" s="539">
        <v>607.91129992670005</v>
      </c>
      <c r="T10362" s="538">
        <v>15.520099999999999</v>
      </c>
      <c r="U10362" s="538">
        <v>2106.29</v>
      </c>
      <c r="V10362" s="538">
        <v>1053.1400000000001</v>
      </c>
    </row>
    <row r="10363" spans="1:22">
      <c r="A10363" s="499">
        <v>45842</v>
      </c>
      <c r="B10363" s="499">
        <v>45846</v>
      </c>
      <c r="C10363" s="500" t="s">
        <v>173</v>
      </c>
      <c r="D10363" s="500" t="s">
        <v>763</v>
      </c>
      <c r="E10363" s="501">
        <v>1064283894.24</v>
      </c>
      <c r="F10363" s="502" t="s">
        <v>878</v>
      </c>
      <c r="G10363" s="100">
        <v>117845733</v>
      </c>
      <c r="H10363" s="100">
        <v>117845733</v>
      </c>
      <c r="I10363" s="422" t="s">
        <v>716</v>
      </c>
      <c r="J10363" s="484"/>
      <c r="K10363" s="548"/>
      <c r="L10363" s="548"/>
      <c r="M10363" s="548"/>
      <c r="N10363" s="552">
        <v>1488924</v>
      </c>
      <c r="R10363" s="539">
        <v>713.58699999999999</v>
      </c>
      <c r="S10363" s="539">
        <v>714.800684413711</v>
      </c>
      <c r="T10363" s="538">
        <v>15.52</v>
      </c>
      <c r="U10363" s="538">
        <v>6374.86</v>
      </c>
      <c r="V10363" s="538">
        <v>3187.43</v>
      </c>
    </row>
    <row r="10364" spans="1:22">
      <c r="A10364" s="499">
        <v>45842</v>
      </c>
      <c r="B10364" s="499">
        <v>45846</v>
      </c>
      <c r="C10364" s="500" t="s">
        <v>173</v>
      </c>
      <c r="D10364" s="500" t="s">
        <v>763</v>
      </c>
      <c r="E10364" s="501">
        <v>39068282.200000003</v>
      </c>
      <c r="F10364" s="502" t="s">
        <v>878</v>
      </c>
      <c r="G10364" s="100">
        <v>117845776</v>
      </c>
      <c r="H10364" s="100">
        <v>117845776</v>
      </c>
      <c r="I10364" s="422" t="s">
        <v>631</v>
      </c>
      <c r="J10364" s="484"/>
      <c r="K10364" s="548"/>
      <c r="L10364" s="548"/>
      <c r="M10364" s="548"/>
      <c r="N10364" s="552">
        <v>82446</v>
      </c>
      <c r="R10364" s="539">
        <v>473.06049999999999</v>
      </c>
      <c r="S10364" s="539">
        <v>473.86510200616198</v>
      </c>
      <c r="T10364" s="538">
        <v>15.520200000000001</v>
      </c>
      <c r="U10364" s="538">
        <v>234.01</v>
      </c>
      <c r="V10364" s="538">
        <v>117.01</v>
      </c>
    </row>
    <row r="10365" spans="1:22">
      <c r="A10365" s="499">
        <v>45842</v>
      </c>
      <c r="B10365" s="499">
        <v>45846</v>
      </c>
      <c r="C10365" s="500" t="s">
        <v>173</v>
      </c>
      <c r="D10365" s="500" t="s">
        <v>763</v>
      </c>
      <c r="E10365" s="501">
        <v>1001750.83</v>
      </c>
      <c r="F10365" s="502" t="s">
        <v>878</v>
      </c>
      <c r="G10365" s="100">
        <v>117845833</v>
      </c>
      <c r="H10365" s="100">
        <v>117845833</v>
      </c>
      <c r="I10365" s="422" t="s">
        <v>631</v>
      </c>
      <c r="J10365" s="484"/>
      <c r="K10365" s="548"/>
      <c r="L10365" s="548"/>
      <c r="M10365" s="548"/>
      <c r="N10365" s="552">
        <v>2114</v>
      </c>
      <c r="R10365" s="539">
        <v>473.06049999999999</v>
      </c>
      <c r="S10365" s="539">
        <v>473.86510406811698</v>
      </c>
      <c r="T10365" s="538">
        <v>15.520200000000001</v>
      </c>
      <c r="U10365" s="538">
        <v>39.32</v>
      </c>
      <c r="V10365" s="538">
        <v>39.32</v>
      </c>
    </row>
    <row r="10366" spans="1:22">
      <c r="A10366" s="499">
        <v>45846</v>
      </c>
      <c r="B10366" s="499">
        <v>45846</v>
      </c>
      <c r="C10366" s="500" t="s">
        <v>173</v>
      </c>
      <c r="D10366" s="500" t="s">
        <v>762</v>
      </c>
      <c r="E10366" s="501">
        <v>-1559393416</v>
      </c>
      <c r="F10366" s="502" t="s">
        <v>878</v>
      </c>
      <c r="G10366" s="100">
        <v>117880613</v>
      </c>
      <c r="H10366" s="530"/>
      <c r="I10366" s="422" t="s">
        <v>675</v>
      </c>
      <c r="J10366" s="484"/>
      <c r="K10366" s="548"/>
      <c r="L10366" s="548"/>
      <c r="M10366" s="548"/>
      <c r="N10366" s="552">
        <v>1685756</v>
      </c>
      <c r="R10366" s="539">
        <v>925.04100000000005</v>
      </c>
      <c r="S10366" s="539">
        <v>925.43509281295701</v>
      </c>
      <c r="T10366" s="538">
        <v>15.55</v>
      </c>
      <c r="U10366" s="538">
        <v>2339.09</v>
      </c>
      <c r="V10366" s="538">
        <v>1169.55</v>
      </c>
    </row>
    <row r="10367" spans="1:22">
      <c r="A10367" s="499">
        <v>45846</v>
      </c>
      <c r="B10367" s="499">
        <v>45847</v>
      </c>
      <c r="C10367" s="500" t="s">
        <v>173</v>
      </c>
      <c r="D10367" s="500" t="s">
        <v>762</v>
      </c>
      <c r="E10367" s="501">
        <v>1560057760.3199999</v>
      </c>
      <c r="F10367" s="502" t="s">
        <v>878</v>
      </c>
      <c r="G10367" s="100">
        <v>117880614</v>
      </c>
      <c r="H10367" s="100">
        <v>117880613</v>
      </c>
      <c r="I10367" s="422" t="s">
        <v>675</v>
      </c>
      <c r="J10367" s="484"/>
      <c r="K10367" s="548"/>
      <c r="L10367" s="548"/>
      <c r="M10367" s="548"/>
      <c r="N10367" s="552">
        <v>1685756</v>
      </c>
      <c r="R10367" s="539">
        <v>925.04100000000005</v>
      </c>
      <c r="S10367" s="539">
        <v>925.43509281295701</v>
      </c>
      <c r="T10367" s="538">
        <v>15.55</v>
      </c>
      <c r="U10367" s="538">
        <v>2339.09</v>
      </c>
      <c r="V10367" s="538">
        <v>1169.55</v>
      </c>
    </row>
    <row r="10368" spans="1:22">
      <c r="A10368" s="499">
        <v>45846</v>
      </c>
      <c r="B10368" s="499">
        <v>45846</v>
      </c>
      <c r="C10368" s="500" t="s">
        <v>173</v>
      </c>
      <c r="D10368" s="500" t="s">
        <v>761</v>
      </c>
      <c r="E10368" s="501">
        <v>-1000606.9</v>
      </c>
      <c r="F10368" s="502" t="s">
        <v>878</v>
      </c>
      <c r="G10368" s="100">
        <v>117872781</v>
      </c>
      <c r="H10368" s="530"/>
      <c r="I10368" s="422" t="s">
        <v>656</v>
      </c>
      <c r="J10368" s="484"/>
      <c r="K10368" s="548"/>
      <c r="L10368" s="548"/>
      <c r="M10368" s="548"/>
      <c r="N10368" s="552">
        <v>989</v>
      </c>
      <c r="R10368" s="539">
        <v>1011.7359959555106</v>
      </c>
      <c r="S10368" s="539">
        <v>1012.16591506572</v>
      </c>
      <c r="T10368" s="538">
        <v>15.5101</v>
      </c>
      <c r="U10368" s="538">
        <v>39.32</v>
      </c>
      <c r="V10368" s="538">
        <v>0.75</v>
      </c>
    </row>
    <row r="10369" spans="1:25">
      <c r="A10369" s="499">
        <v>45846</v>
      </c>
      <c r="B10369" s="499">
        <v>45846</v>
      </c>
      <c r="C10369" s="500" t="s">
        <v>173</v>
      </c>
      <c r="D10369" s="500" t="s">
        <v>761</v>
      </c>
      <c r="E10369" s="501">
        <v>-2135251964.1600001</v>
      </c>
      <c r="F10369" s="502" t="s">
        <v>878</v>
      </c>
      <c r="G10369" s="100">
        <v>117872784</v>
      </c>
      <c r="H10369" s="530"/>
      <c r="I10369" s="422" t="s">
        <v>716</v>
      </c>
      <c r="J10369" s="484"/>
      <c r="K10369" s="548"/>
      <c r="L10369" s="548"/>
      <c r="M10369" s="548"/>
      <c r="N10369" s="552">
        <v>2984730</v>
      </c>
      <c r="R10369" s="539">
        <v>715.39200000000005</v>
      </c>
      <c r="S10369" s="539">
        <v>715.69599259899599</v>
      </c>
      <c r="T10369" s="538">
        <v>15.51</v>
      </c>
      <c r="U10369" s="538">
        <v>3202.88</v>
      </c>
      <c r="V10369" s="538">
        <v>1601.44</v>
      </c>
    </row>
    <row r="10370" spans="1:25">
      <c r="A10370" s="499">
        <v>45846</v>
      </c>
      <c r="B10370" s="499">
        <v>45846</v>
      </c>
      <c r="C10370" s="500" t="s">
        <v>173</v>
      </c>
      <c r="D10370" s="500" t="s">
        <v>761</v>
      </c>
      <c r="E10370" s="501">
        <v>-13001534.210000001</v>
      </c>
      <c r="F10370" s="502" t="s">
        <v>878</v>
      </c>
      <c r="G10370" s="100">
        <v>117872796</v>
      </c>
      <c r="H10370" s="530"/>
      <c r="I10370" s="422" t="s">
        <v>716</v>
      </c>
      <c r="J10370" s="484"/>
      <c r="K10370" s="548"/>
      <c r="L10370" s="548"/>
      <c r="M10370" s="548"/>
      <c r="N10370" s="552">
        <v>18174</v>
      </c>
      <c r="R10370" s="539">
        <v>715.39200011004732</v>
      </c>
      <c r="S10370" s="539">
        <v>715.69599262683005</v>
      </c>
      <c r="T10370" s="538">
        <v>15.51</v>
      </c>
      <c r="U10370" s="538">
        <v>39.32</v>
      </c>
      <c r="V10370" s="538">
        <v>9.75</v>
      </c>
    </row>
    <row r="10371" spans="1:25">
      <c r="A10371" s="499">
        <v>45846</v>
      </c>
      <c r="B10371" s="499">
        <v>45847</v>
      </c>
      <c r="C10371" s="500" t="s">
        <v>173</v>
      </c>
      <c r="D10371" s="500" t="s">
        <v>761</v>
      </c>
      <c r="E10371" s="501">
        <v>1001032.09</v>
      </c>
      <c r="F10371" s="502" t="s">
        <v>878</v>
      </c>
      <c r="G10371" s="100">
        <v>117872781</v>
      </c>
      <c r="H10371" s="100">
        <v>117872781</v>
      </c>
      <c r="I10371" s="422" t="s">
        <v>656</v>
      </c>
      <c r="J10371" s="484"/>
      <c r="K10371" s="548"/>
      <c r="L10371" s="548"/>
      <c r="M10371" s="548"/>
      <c r="N10371" s="552">
        <v>989</v>
      </c>
      <c r="R10371" s="539">
        <v>1011.7359959555106</v>
      </c>
      <c r="S10371" s="539">
        <v>1012.16591506572</v>
      </c>
      <c r="T10371" s="538">
        <v>15.5101</v>
      </c>
      <c r="U10371" s="538">
        <v>39.32</v>
      </c>
      <c r="V10371" s="538">
        <v>0.75</v>
      </c>
    </row>
    <row r="10372" spans="1:25">
      <c r="A10372" s="499">
        <v>45846</v>
      </c>
      <c r="B10372" s="499">
        <v>45847</v>
      </c>
      <c r="C10372" s="500" t="s">
        <v>173</v>
      </c>
      <c r="D10372" s="500" t="s">
        <v>761</v>
      </c>
      <c r="E10372" s="501">
        <v>2136159299.99</v>
      </c>
      <c r="F10372" s="502" t="s">
        <v>878</v>
      </c>
      <c r="G10372" s="100">
        <v>117872784</v>
      </c>
      <c r="H10372" s="100">
        <v>117872784</v>
      </c>
      <c r="I10372" s="422" t="s">
        <v>716</v>
      </c>
      <c r="J10372" s="484"/>
      <c r="K10372" s="548"/>
      <c r="L10372" s="548"/>
      <c r="M10372" s="548"/>
      <c r="N10372" s="552">
        <v>2984730</v>
      </c>
      <c r="R10372" s="539">
        <v>715.39200000000005</v>
      </c>
      <c r="S10372" s="539">
        <v>715.69599259899599</v>
      </c>
      <c r="T10372" s="538">
        <v>15.51</v>
      </c>
      <c r="U10372" s="538">
        <v>3202.88</v>
      </c>
      <c r="V10372" s="538">
        <v>1601.44</v>
      </c>
    </row>
    <row r="10373" spans="1:25">
      <c r="A10373" s="499">
        <v>45846</v>
      </c>
      <c r="B10373" s="499">
        <v>45847</v>
      </c>
      <c r="C10373" s="500" t="s">
        <v>173</v>
      </c>
      <c r="D10373" s="500" t="s">
        <v>761</v>
      </c>
      <c r="E10373" s="501">
        <v>13007058.970000001</v>
      </c>
      <c r="F10373" s="502" t="s">
        <v>878</v>
      </c>
      <c r="G10373" s="100">
        <v>117872796</v>
      </c>
      <c r="H10373" s="100">
        <v>117872796</v>
      </c>
      <c r="I10373" s="422" t="s">
        <v>716</v>
      </c>
      <c r="J10373" s="484"/>
      <c r="K10373" s="548"/>
      <c r="L10373" s="548"/>
      <c r="M10373" s="548"/>
      <c r="N10373" s="552">
        <v>18174</v>
      </c>
      <c r="R10373" s="539">
        <v>715.39200011004732</v>
      </c>
      <c r="S10373" s="539">
        <v>715.69599262683005</v>
      </c>
      <c r="T10373" s="538">
        <v>15.51</v>
      </c>
      <c r="U10373" s="538">
        <v>39.32</v>
      </c>
      <c r="V10373" s="538">
        <v>9.75</v>
      </c>
    </row>
    <row r="10374" spans="1:25">
      <c r="A10374" s="499">
        <v>45846</v>
      </c>
      <c r="B10374" s="499">
        <v>45848</v>
      </c>
      <c r="C10374" s="500" t="s">
        <v>173</v>
      </c>
      <c r="D10374" s="500" t="s">
        <v>761</v>
      </c>
      <c r="E10374" s="501">
        <v>-453416805.56</v>
      </c>
      <c r="F10374" s="502" t="s">
        <v>906</v>
      </c>
      <c r="G10374" s="100" t="s">
        <v>2617</v>
      </c>
      <c r="H10374" s="530"/>
      <c r="I10374" s="422" t="s">
        <v>2616</v>
      </c>
      <c r="J10374" s="484"/>
      <c r="K10374" s="548">
        <v>117904007</v>
      </c>
      <c r="L10374" s="549">
        <v>89.278499999999994</v>
      </c>
      <c r="M10374" s="549">
        <f>E10374*(-1)/(N10374*O10374)*100</f>
        <v>90.683361112</v>
      </c>
      <c r="N10374" s="549">
        <v>500000</v>
      </c>
      <c r="O10374" s="539">
        <f>VLOOKUP(G10374,Справочник!A:J,10,0)</f>
        <v>1000</v>
      </c>
      <c r="P10374" s="557">
        <v>93.173299999999998</v>
      </c>
      <c r="T10374" s="538">
        <v>16.989999999999998</v>
      </c>
      <c r="U10374" s="538">
        <v>0</v>
      </c>
      <c r="V10374" s="538">
        <v>45341.68</v>
      </c>
      <c r="W10374" s="550">
        <f>VLOOKUP(G10374,Справочник!A:C,3,0)</f>
        <v>0.14449999999999999</v>
      </c>
      <c r="X10374" s="539" t="str">
        <f>VLOOKUP(G10374,Справочник!A:G,7,0)</f>
        <v>Министерство финансов Республики Казахстан</v>
      </c>
      <c r="Y10374" s="551">
        <f>VLOOKUP(G10374,Справочник!A:B,2,0)</f>
        <v>48735</v>
      </c>
    </row>
    <row r="10375" spans="1:25">
      <c r="A10375" s="499">
        <v>45846</v>
      </c>
      <c r="B10375" s="499">
        <v>45846</v>
      </c>
      <c r="C10375" s="500" t="s">
        <v>173</v>
      </c>
      <c r="D10375" s="500" t="s">
        <v>759</v>
      </c>
      <c r="E10375" s="501">
        <v>-1995776981.02</v>
      </c>
      <c r="F10375" s="502" t="s">
        <v>878</v>
      </c>
      <c r="G10375" s="100">
        <v>117874315</v>
      </c>
      <c r="H10375" s="530"/>
      <c r="I10375" s="422" t="s">
        <v>672</v>
      </c>
      <c r="J10375" s="484"/>
      <c r="K10375" s="548"/>
      <c r="L10375" s="548"/>
      <c r="M10375" s="548"/>
      <c r="N10375" s="552">
        <v>2177448</v>
      </c>
      <c r="R10375" s="539">
        <v>916.56700000183696</v>
      </c>
      <c r="S10375" s="539">
        <v>916.95648071044604</v>
      </c>
      <c r="T10375" s="538">
        <v>15.5101</v>
      </c>
      <c r="U10375" s="538">
        <v>2993.67</v>
      </c>
      <c r="V10375" s="538">
        <v>1496.83</v>
      </c>
    </row>
    <row r="10376" spans="1:25">
      <c r="A10376" s="499">
        <v>45846</v>
      </c>
      <c r="B10376" s="499">
        <v>45846</v>
      </c>
      <c r="C10376" s="500" t="s">
        <v>173</v>
      </c>
      <c r="D10376" s="500" t="s">
        <v>759</v>
      </c>
      <c r="E10376" s="501">
        <v>-6039377653.6999998</v>
      </c>
      <c r="F10376" s="502" t="s">
        <v>878</v>
      </c>
      <c r="G10376" s="100">
        <v>117874433</v>
      </c>
      <c r="H10376" s="530"/>
      <c r="I10376" s="422" t="s">
        <v>550</v>
      </c>
      <c r="J10376" s="484"/>
      <c r="K10376" s="548"/>
      <c r="L10376" s="548"/>
      <c r="M10376" s="548"/>
      <c r="N10376" s="552">
        <v>11419749</v>
      </c>
      <c r="R10376" s="539">
        <v>528.85380000033274</v>
      </c>
      <c r="S10376" s="539">
        <v>530.43601465671395</v>
      </c>
      <c r="T10376" s="538">
        <v>15.6</v>
      </c>
      <c r="U10376" s="538">
        <v>63413.47</v>
      </c>
      <c r="V10376" s="538">
        <v>31706.73</v>
      </c>
    </row>
    <row r="10377" spans="1:25">
      <c r="A10377" s="499">
        <v>45846</v>
      </c>
      <c r="B10377" s="499">
        <v>45846</v>
      </c>
      <c r="C10377" s="500" t="s">
        <v>173</v>
      </c>
      <c r="D10377" s="500" t="s">
        <v>759</v>
      </c>
      <c r="E10377" s="501">
        <v>-1861554021.5599999</v>
      </c>
      <c r="F10377" s="502" t="s">
        <v>878</v>
      </c>
      <c r="G10377" s="100">
        <v>117874445</v>
      </c>
      <c r="H10377" s="530"/>
      <c r="I10377" s="422" t="s">
        <v>1013</v>
      </c>
      <c r="J10377" s="484"/>
      <c r="K10377" s="548"/>
      <c r="L10377" s="548"/>
      <c r="M10377" s="548"/>
      <c r="N10377" s="552">
        <v>3718278</v>
      </c>
      <c r="R10377" s="539">
        <v>500.64949999973106</v>
      </c>
      <c r="S10377" s="539">
        <v>502.14733357215403</v>
      </c>
      <c r="T10377" s="538">
        <v>15.6</v>
      </c>
      <c r="U10377" s="538">
        <v>19546.32</v>
      </c>
      <c r="V10377" s="538">
        <v>9773.16</v>
      </c>
    </row>
    <row r="10378" spans="1:25">
      <c r="A10378" s="499">
        <v>45846</v>
      </c>
      <c r="B10378" s="499">
        <v>45846</v>
      </c>
      <c r="C10378" s="500" t="s">
        <v>173</v>
      </c>
      <c r="D10378" s="500" t="s">
        <v>759</v>
      </c>
      <c r="E10378" s="501">
        <v>-57034593.530000001</v>
      </c>
      <c r="F10378" s="502" t="s">
        <v>878</v>
      </c>
      <c r="G10378" s="100">
        <v>117874913</v>
      </c>
      <c r="H10378" s="530"/>
      <c r="I10378" s="422" t="s">
        <v>656</v>
      </c>
      <c r="J10378" s="484"/>
      <c r="K10378" s="548"/>
      <c r="L10378" s="548"/>
      <c r="M10378" s="548"/>
      <c r="N10378" s="552">
        <v>56373</v>
      </c>
      <c r="R10378" s="539">
        <v>1011.736000035478</v>
      </c>
      <c r="S10378" s="539">
        <v>1012.16595178543</v>
      </c>
      <c r="T10378" s="538">
        <v>15.511200000000001</v>
      </c>
      <c r="U10378" s="538">
        <v>85.55</v>
      </c>
      <c r="V10378" s="538">
        <v>42.78</v>
      </c>
    </row>
    <row r="10379" spans="1:25">
      <c r="A10379" s="499">
        <v>45846</v>
      </c>
      <c r="B10379" s="499">
        <v>45847</v>
      </c>
      <c r="C10379" s="500" t="s">
        <v>173</v>
      </c>
      <c r="D10379" s="500" t="s">
        <v>759</v>
      </c>
      <c r="E10379" s="501">
        <v>1996625055.01</v>
      </c>
      <c r="F10379" s="502" t="s">
        <v>878</v>
      </c>
      <c r="G10379" s="100">
        <v>117874315</v>
      </c>
      <c r="H10379" s="100">
        <v>117874315</v>
      </c>
      <c r="I10379" s="422" t="s">
        <v>672</v>
      </c>
      <c r="J10379" s="484"/>
      <c r="K10379" s="548"/>
      <c r="L10379" s="548"/>
      <c r="M10379" s="548"/>
      <c r="N10379" s="552">
        <v>2177448</v>
      </c>
      <c r="R10379" s="539">
        <v>916.56700000183696</v>
      </c>
      <c r="S10379" s="539">
        <v>916.95648071044604</v>
      </c>
      <c r="T10379" s="538">
        <v>15.5101</v>
      </c>
      <c r="U10379" s="538">
        <v>2993.67</v>
      </c>
      <c r="V10379" s="538">
        <v>1496.83</v>
      </c>
    </row>
    <row r="10380" spans="1:25">
      <c r="A10380" s="499">
        <v>45846</v>
      </c>
      <c r="B10380" s="499">
        <v>45853</v>
      </c>
      <c r="C10380" s="500" t="s">
        <v>173</v>
      </c>
      <c r="D10380" s="500" t="s">
        <v>759</v>
      </c>
      <c r="E10380" s="501">
        <v>6057446147.9399996</v>
      </c>
      <c r="F10380" s="502" t="s">
        <v>878</v>
      </c>
      <c r="G10380" s="100">
        <v>117874433</v>
      </c>
      <c r="H10380" s="100">
        <v>117874433</v>
      </c>
      <c r="I10380" s="422" t="s">
        <v>550</v>
      </c>
      <c r="J10380" s="484"/>
      <c r="K10380" s="548"/>
      <c r="L10380" s="548"/>
      <c r="M10380" s="548"/>
      <c r="N10380" s="552">
        <v>11419749</v>
      </c>
      <c r="R10380" s="539">
        <v>528.85380000033274</v>
      </c>
      <c r="S10380" s="539">
        <v>530.43601465671395</v>
      </c>
      <c r="T10380" s="538">
        <v>15.6</v>
      </c>
      <c r="U10380" s="538">
        <v>63413.47</v>
      </c>
      <c r="V10380" s="538">
        <v>31706.73</v>
      </c>
    </row>
    <row r="10381" spans="1:25">
      <c r="A10381" s="499">
        <v>45846</v>
      </c>
      <c r="B10381" s="499">
        <v>45853</v>
      </c>
      <c r="C10381" s="500" t="s">
        <v>173</v>
      </c>
      <c r="D10381" s="500" t="s">
        <v>759</v>
      </c>
      <c r="E10381" s="501">
        <v>1867123383.1800001</v>
      </c>
      <c r="F10381" s="502" t="s">
        <v>878</v>
      </c>
      <c r="G10381" s="100">
        <v>117874445</v>
      </c>
      <c r="H10381" s="100">
        <v>117874445</v>
      </c>
      <c r="I10381" s="422" t="s">
        <v>1013</v>
      </c>
      <c r="J10381" s="484"/>
      <c r="K10381" s="548"/>
      <c r="L10381" s="548"/>
      <c r="M10381" s="548"/>
      <c r="N10381" s="552">
        <v>3718278</v>
      </c>
      <c r="R10381" s="539">
        <v>500.64949999973106</v>
      </c>
      <c r="S10381" s="539">
        <v>502.14733357215403</v>
      </c>
      <c r="T10381" s="538">
        <v>15.6</v>
      </c>
      <c r="U10381" s="538">
        <v>19546.32</v>
      </c>
      <c r="V10381" s="538">
        <v>9773.16</v>
      </c>
    </row>
    <row r="10382" spans="1:25">
      <c r="A10382" s="499">
        <v>45846</v>
      </c>
      <c r="B10382" s="499">
        <v>45847</v>
      </c>
      <c r="C10382" s="500" t="s">
        <v>173</v>
      </c>
      <c r="D10382" s="500" t="s">
        <v>759</v>
      </c>
      <c r="E10382" s="501">
        <v>57058831.200000003</v>
      </c>
      <c r="F10382" s="502" t="s">
        <v>878</v>
      </c>
      <c r="G10382" s="100">
        <v>117874913</v>
      </c>
      <c r="H10382" s="100">
        <v>117874913</v>
      </c>
      <c r="I10382" s="422" t="s">
        <v>656</v>
      </c>
      <c r="J10382" s="484"/>
      <c r="K10382" s="548"/>
      <c r="L10382" s="548"/>
      <c r="M10382" s="548"/>
      <c r="N10382" s="552">
        <v>56373</v>
      </c>
      <c r="R10382" s="539">
        <v>1011.736000035478</v>
      </c>
      <c r="S10382" s="539">
        <v>1012.16595178543</v>
      </c>
      <c r="T10382" s="538">
        <v>15.511200000000001</v>
      </c>
      <c r="U10382" s="538">
        <v>85.55</v>
      </c>
      <c r="V10382" s="538">
        <v>42.78</v>
      </c>
    </row>
    <row r="10383" spans="1:25">
      <c r="A10383" s="499">
        <v>45846</v>
      </c>
      <c r="B10383" s="499">
        <v>45846</v>
      </c>
      <c r="C10383" s="500" t="s">
        <v>173</v>
      </c>
      <c r="D10383" s="500" t="s">
        <v>760</v>
      </c>
      <c r="E10383" s="501">
        <v>-1300070551.6500001</v>
      </c>
      <c r="F10383" s="502" t="s">
        <v>878</v>
      </c>
      <c r="G10383" s="100">
        <v>117874281</v>
      </c>
      <c r="H10383" s="530"/>
      <c r="I10383" s="422" t="s">
        <v>2556</v>
      </c>
      <c r="J10383" s="484"/>
      <c r="K10383" s="548"/>
      <c r="L10383" s="548"/>
      <c r="M10383" s="548"/>
      <c r="N10383" s="552">
        <v>14907100</v>
      </c>
      <c r="R10383" s="539">
        <v>87.211500000000001</v>
      </c>
      <c r="S10383" s="539">
        <v>87.248654488129802</v>
      </c>
      <c r="T10383" s="538">
        <v>15.55</v>
      </c>
      <c r="U10383" s="538">
        <v>1950.11</v>
      </c>
      <c r="V10383" s="538">
        <v>975.05</v>
      </c>
    </row>
    <row r="10384" spans="1:25">
      <c r="A10384" s="499">
        <v>45846</v>
      </c>
      <c r="B10384" s="499">
        <v>45846</v>
      </c>
      <c r="C10384" s="500" t="s">
        <v>173</v>
      </c>
      <c r="D10384" s="500" t="s">
        <v>760</v>
      </c>
      <c r="E10384" s="501">
        <v>-14004551.75</v>
      </c>
      <c r="F10384" s="502" t="s">
        <v>878</v>
      </c>
      <c r="G10384" s="100">
        <v>117876702</v>
      </c>
      <c r="H10384" s="530"/>
      <c r="I10384" s="422" t="s">
        <v>680</v>
      </c>
      <c r="J10384" s="484"/>
      <c r="K10384" s="548"/>
      <c r="L10384" s="548"/>
      <c r="M10384" s="548"/>
      <c r="N10384" s="552">
        <v>15050</v>
      </c>
      <c r="R10384" s="539">
        <v>930.53499999999997</v>
      </c>
      <c r="S10384" s="539">
        <v>930.93043920265802</v>
      </c>
      <c r="T10384" s="538">
        <v>15.510999999999999</v>
      </c>
      <c r="U10384" s="538">
        <v>39.32</v>
      </c>
      <c r="V10384" s="538">
        <v>10.5</v>
      </c>
    </row>
    <row r="10385" spans="1:25">
      <c r="A10385" s="499">
        <v>45846</v>
      </c>
      <c r="B10385" s="499">
        <v>45847</v>
      </c>
      <c r="C10385" s="500" t="s">
        <v>173</v>
      </c>
      <c r="D10385" s="500" t="s">
        <v>760</v>
      </c>
      <c r="E10385" s="501">
        <v>1300624417.3199999</v>
      </c>
      <c r="F10385" s="502" t="s">
        <v>878</v>
      </c>
      <c r="G10385" s="100">
        <v>117874281</v>
      </c>
      <c r="H10385" s="100">
        <v>117874281</v>
      </c>
      <c r="I10385" s="422" t="s">
        <v>2556</v>
      </c>
      <c r="J10385" s="484"/>
      <c r="K10385" s="548"/>
      <c r="L10385" s="548"/>
      <c r="M10385" s="548"/>
      <c r="N10385" s="552">
        <v>14907100</v>
      </c>
      <c r="R10385" s="539">
        <v>87.211500000000001</v>
      </c>
      <c r="S10385" s="539">
        <v>87.248654488129802</v>
      </c>
      <c r="T10385" s="538">
        <v>15.55</v>
      </c>
      <c r="U10385" s="538">
        <v>1950.11</v>
      </c>
      <c r="V10385" s="538">
        <v>975.05</v>
      </c>
    </row>
    <row r="10386" spans="1:25">
      <c r="A10386" s="499">
        <v>45846</v>
      </c>
      <c r="B10386" s="499">
        <v>45847</v>
      </c>
      <c r="C10386" s="500" t="s">
        <v>173</v>
      </c>
      <c r="D10386" s="500" t="s">
        <v>760</v>
      </c>
      <c r="E10386" s="501">
        <v>14010503.109999999</v>
      </c>
      <c r="F10386" s="502" t="s">
        <v>878</v>
      </c>
      <c r="G10386" s="100">
        <v>117876702</v>
      </c>
      <c r="H10386" s="100">
        <v>117876702</v>
      </c>
      <c r="I10386" s="422" t="s">
        <v>680</v>
      </c>
      <c r="J10386" s="484"/>
      <c r="K10386" s="548"/>
      <c r="L10386" s="548"/>
      <c r="M10386" s="548"/>
      <c r="N10386" s="552">
        <v>15050</v>
      </c>
      <c r="R10386" s="539">
        <v>930.53499999999997</v>
      </c>
      <c r="S10386" s="539">
        <v>930.93043920265802</v>
      </c>
      <c r="T10386" s="538">
        <v>15.510999999999999</v>
      </c>
      <c r="U10386" s="538">
        <v>39.32</v>
      </c>
      <c r="V10386" s="538">
        <v>10.5</v>
      </c>
    </row>
    <row r="10387" spans="1:25">
      <c r="A10387" s="499">
        <v>45846</v>
      </c>
      <c r="B10387" s="499">
        <v>45846</v>
      </c>
      <c r="C10387" s="500" t="s">
        <v>173</v>
      </c>
      <c r="D10387" s="500" t="s">
        <v>764</v>
      </c>
      <c r="E10387" s="501">
        <v>-4789222376.3999996</v>
      </c>
      <c r="F10387" s="502" t="s">
        <v>878</v>
      </c>
      <c r="G10387" s="100">
        <v>117876927</v>
      </c>
      <c r="H10387" s="530"/>
      <c r="I10387" s="422" t="s">
        <v>670</v>
      </c>
      <c r="J10387" s="484"/>
      <c r="K10387" s="548"/>
      <c r="L10387" s="548"/>
      <c r="M10387" s="548"/>
      <c r="N10387" s="552">
        <v>5266800</v>
      </c>
      <c r="R10387" s="539">
        <v>909.32299999999998</v>
      </c>
      <c r="S10387" s="539">
        <v>912.04352998974696</v>
      </c>
      <c r="T10387" s="538">
        <v>15.600199999999999</v>
      </c>
      <c r="U10387" s="538">
        <v>50286.83</v>
      </c>
      <c r="V10387" s="538">
        <v>25143.42</v>
      </c>
    </row>
    <row r="10388" spans="1:25">
      <c r="A10388" s="499">
        <v>45846</v>
      </c>
      <c r="B10388" s="499">
        <v>45846</v>
      </c>
      <c r="C10388" s="500" t="s">
        <v>173</v>
      </c>
      <c r="D10388" s="500" t="s">
        <v>764</v>
      </c>
      <c r="E10388" s="501">
        <v>-28007148.399999999</v>
      </c>
      <c r="F10388" s="502" t="s">
        <v>878</v>
      </c>
      <c r="G10388" s="100">
        <v>117876967</v>
      </c>
      <c r="H10388" s="530"/>
      <c r="I10388" s="422" t="s">
        <v>670</v>
      </c>
      <c r="J10388" s="484"/>
      <c r="K10388" s="548"/>
      <c r="L10388" s="548"/>
      <c r="M10388" s="548"/>
      <c r="N10388" s="552">
        <v>30800</v>
      </c>
      <c r="R10388" s="539">
        <v>909.32299999999998</v>
      </c>
      <c r="S10388" s="539">
        <v>912.04352987012999</v>
      </c>
      <c r="T10388" s="538">
        <v>15.600199999999999</v>
      </c>
      <c r="U10388" s="538">
        <v>294.08</v>
      </c>
      <c r="V10388" s="538">
        <v>147.04</v>
      </c>
    </row>
    <row r="10389" spans="1:25">
      <c r="A10389" s="499">
        <v>45846</v>
      </c>
      <c r="B10389" s="499">
        <v>45853</v>
      </c>
      <c r="C10389" s="500" t="s">
        <v>173</v>
      </c>
      <c r="D10389" s="500" t="s">
        <v>764</v>
      </c>
      <c r="E10389" s="501">
        <v>4803550863.75</v>
      </c>
      <c r="F10389" s="502" t="s">
        <v>878</v>
      </c>
      <c r="G10389" s="100">
        <v>117876927</v>
      </c>
      <c r="H10389" s="100">
        <v>117876927</v>
      </c>
      <c r="I10389" s="422" t="s">
        <v>670</v>
      </c>
      <c r="J10389" s="484"/>
      <c r="K10389" s="548"/>
      <c r="L10389" s="548"/>
      <c r="M10389" s="548"/>
      <c r="N10389" s="552">
        <v>5266800</v>
      </c>
      <c r="R10389" s="539">
        <v>909.32299999999998</v>
      </c>
      <c r="S10389" s="539">
        <v>912.04352998974696</v>
      </c>
      <c r="T10389" s="538">
        <v>15.600199999999999</v>
      </c>
      <c r="U10389" s="538">
        <v>50286.83</v>
      </c>
      <c r="V10389" s="538">
        <v>25143.42</v>
      </c>
    </row>
    <row r="10390" spans="1:25">
      <c r="A10390" s="499">
        <v>45846</v>
      </c>
      <c r="B10390" s="499">
        <v>45853</v>
      </c>
      <c r="C10390" s="500" t="s">
        <v>173</v>
      </c>
      <c r="D10390" s="500" t="s">
        <v>764</v>
      </c>
      <c r="E10390" s="501">
        <v>28090940.719999999</v>
      </c>
      <c r="F10390" s="502" t="s">
        <v>878</v>
      </c>
      <c r="G10390" s="100">
        <v>117876967</v>
      </c>
      <c r="H10390" s="100">
        <v>117876967</v>
      </c>
      <c r="I10390" s="422" t="s">
        <v>670</v>
      </c>
      <c r="J10390" s="484"/>
      <c r="K10390" s="548"/>
      <c r="L10390" s="548"/>
      <c r="M10390" s="548"/>
      <c r="N10390" s="552">
        <v>30800</v>
      </c>
      <c r="R10390" s="539">
        <v>909.32299999999998</v>
      </c>
      <c r="S10390" s="539">
        <v>912.04352987012999</v>
      </c>
      <c r="T10390" s="538">
        <v>15.600199999999999</v>
      </c>
      <c r="U10390" s="538">
        <v>294.08</v>
      </c>
      <c r="V10390" s="538">
        <v>147.04</v>
      </c>
    </row>
    <row r="10391" spans="1:25">
      <c r="A10391" s="499">
        <v>45846</v>
      </c>
      <c r="B10391" s="499">
        <v>45846</v>
      </c>
      <c r="C10391" s="500" t="s">
        <v>173</v>
      </c>
      <c r="D10391" s="500" t="s">
        <v>763</v>
      </c>
      <c r="E10391" s="501">
        <v>-4991622373.75</v>
      </c>
      <c r="F10391" s="502" t="s">
        <v>878</v>
      </c>
      <c r="G10391" s="100">
        <v>117878439</v>
      </c>
      <c r="H10391" s="530"/>
      <c r="I10391" s="422" t="s">
        <v>680</v>
      </c>
      <c r="J10391" s="484"/>
      <c r="K10391" s="548"/>
      <c r="L10391" s="548"/>
      <c r="M10391" s="548"/>
      <c r="N10391" s="552">
        <v>5364250</v>
      </c>
      <c r="R10391" s="539">
        <v>930.53499999999997</v>
      </c>
      <c r="S10391" s="539">
        <v>930.93016379736196</v>
      </c>
      <c r="T10391" s="538">
        <v>15.5002</v>
      </c>
      <c r="U10391" s="538">
        <v>7487.43</v>
      </c>
      <c r="V10391" s="538">
        <v>3743.72</v>
      </c>
    </row>
    <row r="10392" spans="1:25">
      <c r="A10392" s="499">
        <v>45846</v>
      </c>
      <c r="B10392" s="499">
        <v>45846</v>
      </c>
      <c r="C10392" s="500" t="s">
        <v>173</v>
      </c>
      <c r="D10392" s="500" t="s">
        <v>763</v>
      </c>
      <c r="E10392" s="501">
        <v>-1992065441.1800001</v>
      </c>
      <c r="F10392" s="502" t="s">
        <v>878</v>
      </c>
      <c r="G10392" s="100">
        <v>117878442</v>
      </c>
      <c r="H10392" s="530"/>
      <c r="I10392" s="422" t="s">
        <v>674</v>
      </c>
      <c r="J10392" s="484"/>
      <c r="K10392" s="548"/>
      <c r="L10392" s="548"/>
      <c r="M10392" s="548"/>
      <c r="N10392" s="552">
        <v>2175264</v>
      </c>
      <c r="R10392" s="539">
        <v>915.78099999999995</v>
      </c>
      <c r="S10392" s="539">
        <v>916.16989831579099</v>
      </c>
      <c r="T10392" s="538">
        <v>15.5002</v>
      </c>
      <c r="U10392" s="538">
        <v>2988.1</v>
      </c>
      <c r="V10392" s="538">
        <v>1494.05</v>
      </c>
    </row>
    <row r="10393" spans="1:25">
      <c r="A10393" s="499">
        <v>45846</v>
      </c>
      <c r="B10393" s="499">
        <v>45846</v>
      </c>
      <c r="C10393" s="500" t="s">
        <v>173</v>
      </c>
      <c r="D10393" s="500" t="s">
        <v>763</v>
      </c>
      <c r="E10393" s="501">
        <v>-41001346.93</v>
      </c>
      <c r="F10393" s="502" t="s">
        <v>878</v>
      </c>
      <c r="G10393" s="100">
        <v>117878502</v>
      </c>
      <c r="H10393" s="530"/>
      <c r="I10393" s="422" t="s">
        <v>674</v>
      </c>
      <c r="J10393" s="484"/>
      <c r="K10393" s="548"/>
      <c r="L10393" s="548"/>
      <c r="M10393" s="548"/>
      <c r="N10393" s="552">
        <v>44772</v>
      </c>
      <c r="R10393" s="539">
        <v>915.78099999999995</v>
      </c>
      <c r="S10393" s="539">
        <v>916.16989837398398</v>
      </c>
      <c r="T10393" s="538">
        <v>15.5002</v>
      </c>
      <c r="U10393" s="538">
        <v>61.5</v>
      </c>
      <c r="V10393" s="538">
        <v>39.32</v>
      </c>
    </row>
    <row r="10394" spans="1:25">
      <c r="A10394" s="499">
        <v>45846</v>
      </c>
      <c r="B10394" s="499">
        <v>45847</v>
      </c>
      <c r="C10394" s="500" t="s">
        <v>173</v>
      </c>
      <c r="D10394" s="500" t="s">
        <v>763</v>
      </c>
      <c r="E10394" s="501">
        <v>4993742131.1499996</v>
      </c>
      <c r="F10394" s="502" t="s">
        <v>878</v>
      </c>
      <c r="G10394" s="100">
        <v>117878439</v>
      </c>
      <c r="H10394" s="100">
        <v>117878439</v>
      </c>
      <c r="I10394" s="422" t="s">
        <v>680</v>
      </c>
      <c r="J10394" s="484"/>
      <c r="K10394" s="548"/>
      <c r="L10394" s="548"/>
      <c r="M10394" s="548"/>
      <c r="N10394" s="552">
        <v>5364250</v>
      </c>
      <c r="R10394" s="539">
        <v>930.53499999999997</v>
      </c>
      <c r="S10394" s="539">
        <v>930.93016379736196</v>
      </c>
      <c r="T10394" s="538">
        <v>15.5002</v>
      </c>
      <c r="U10394" s="538">
        <v>7487.43</v>
      </c>
      <c r="V10394" s="538">
        <v>3743.72</v>
      </c>
    </row>
    <row r="10395" spans="1:25">
      <c r="A10395" s="499">
        <v>45846</v>
      </c>
      <c r="B10395" s="499">
        <v>45847</v>
      </c>
      <c r="C10395" s="500" t="s">
        <v>173</v>
      </c>
      <c r="D10395" s="500" t="s">
        <v>763</v>
      </c>
      <c r="E10395" s="501">
        <v>1992911397.6900001</v>
      </c>
      <c r="F10395" s="502" t="s">
        <v>878</v>
      </c>
      <c r="G10395" s="100">
        <v>117878442</v>
      </c>
      <c r="H10395" s="100">
        <v>117878442</v>
      </c>
      <c r="I10395" s="422" t="s">
        <v>674</v>
      </c>
      <c r="J10395" s="484"/>
      <c r="K10395" s="548"/>
      <c r="L10395" s="548"/>
      <c r="M10395" s="548"/>
      <c r="N10395" s="552">
        <v>2175264</v>
      </c>
      <c r="R10395" s="539">
        <v>915.78099999999995</v>
      </c>
      <c r="S10395" s="539">
        <v>916.16989831579099</v>
      </c>
      <c r="T10395" s="538">
        <v>15.5002</v>
      </c>
      <c r="U10395" s="538">
        <v>2988.1</v>
      </c>
      <c r="V10395" s="538">
        <v>1494.05</v>
      </c>
    </row>
    <row r="10396" spans="1:25">
      <c r="A10396" s="499">
        <v>45846</v>
      </c>
      <c r="B10396" s="499">
        <v>45847</v>
      </c>
      <c r="C10396" s="500" t="s">
        <v>173</v>
      </c>
      <c r="D10396" s="500" t="s">
        <v>763</v>
      </c>
      <c r="E10396" s="501">
        <v>41018758.689999998</v>
      </c>
      <c r="F10396" s="502" t="s">
        <v>878</v>
      </c>
      <c r="G10396" s="100">
        <v>117878502</v>
      </c>
      <c r="H10396" s="100">
        <v>117878502</v>
      </c>
      <c r="I10396" s="422" t="s">
        <v>674</v>
      </c>
      <c r="J10396" s="484"/>
      <c r="K10396" s="548"/>
      <c r="L10396" s="548"/>
      <c r="M10396" s="548"/>
      <c r="N10396" s="552">
        <v>44772</v>
      </c>
      <c r="R10396" s="539">
        <v>915.78099999999995</v>
      </c>
      <c r="S10396" s="539">
        <v>916.16989837398398</v>
      </c>
      <c r="T10396" s="538">
        <v>15.5002</v>
      </c>
      <c r="U10396" s="538">
        <v>61.5</v>
      </c>
      <c r="V10396" s="538">
        <v>39.32</v>
      </c>
    </row>
    <row r="10397" spans="1:25">
      <c r="A10397" s="499">
        <v>45846</v>
      </c>
      <c r="B10397" s="499">
        <v>45848</v>
      </c>
      <c r="C10397" s="500" t="s">
        <v>173</v>
      </c>
      <c r="D10397" s="500" t="s">
        <v>763</v>
      </c>
      <c r="E10397" s="501">
        <v>-1999929514</v>
      </c>
      <c r="F10397" s="502" t="s">
        <v>906</v>
      </c>
      <c r="G10397" s="100" t="s">
        <v>78</v>
      </c>
      <c r="H10397" s="530"/>
      <c r="I10397" s="422" t="s">
        <v>705</v>
      </c>
      <c r="K10397" s="548">
        <v>117894057</v>
      </c>
      <c r="L10397" s="549">
        <v>74.009200000000007</v>
      </c>
      <c r="M10397" s="549">
        <f>E10397*(-1)/(N10397*O10397)*100</f>
        <v>80.985200000000006</v>
      </c>
      <c r="N10397" s="549">
        <v>2469500</v>
      </c>
      <c r="O10397" s="539">
        <f>VLOOKUP(G10397,Справочник!A:J,10,0)</f>
        <v>1000</v>
      </c>
      <c r="P10397" s="557">
        <v>74.626400000000004</v>
      </c>
      <c r="T10397" s="538">
        <v>16.98</v>
      </c>
      <c r="U10397" s="538">
        <v>0</v>
      </c>
      <c r="V10397" s="538">
        <v>199992.95</v>
      </c>
      <c r="W10397" s="550">
        <f>VLOOKUP(G10397,Справочник!A:C,3,0)</f>
        <v>7.6799999999999993E-2</v>
      </c>
      <c r="X10397" s="539" t="str">
        <f>VLOOKUP(G10397,Справочник!A:G,7,0)</f>
        <v>Министерство финансов Республики Казахстан</v>
      </c>
      <c r="Y10397" s="551" t="str">
        <f>VLOOKUP(G10397,Справочник!A:B,2,0)</f>
        <v>13.08.2029</v>
      </c>
    </row>
    <row r="10398" spans="1:25">
      <c r="A10398" s="499">
        <v>45847</v>
      </c>
      <c r="B10398" s="499">
        <v>45847</v>
      </c>
      <c r="C10398" s="500" t="s">
        <v>173</v>
      </c>
      <c r="D10398" s="500" t="s">
        <v>762</v>
      </c>
      <c r="E10398" s="501">
        <v>-1560516834.24</v>
      </c>
      <c r="F10398" s="502" t="s">
        <v>878</v>
      </c>
      <c r="G10398" s="100">
        <v>117914098</v>
      </c>
      <c r="H10398" s="530"/>
      <c r="I10398" s="422" t="s">
        <v>635</v>
      </c>
      <c r="J10398" s="484"/>
      <c r="K10398" s="548"/>
      <c r="L10398" s="548"/>
      <c r="M10398" s="548"/>
      <c r="N10398" s="552"/>
      <c r="R10398" s="539">
        <v>595.43529999999998</v>
      </c>
      <c r="S10398" s="539">
        <v>595.68831921932201</v>
      </c>
      <c r="T10398" s="538">
        <v>15.51</v>
      </c>
      <c r="U10398" s="538">
        <v>2340.7800000000002</v>
      </c>
      <c r="V10398" s="538">
        <v>1170.3900000000001</v>
      </c>
    </row>
    <row r="10399" spans="1:25">
      <c r="A10399" s="499">
        <v>45847</v>
      </c>
      <c r="B10399" s="499">
        <v>45848</v>
      </c>
      <c r="C10399" s="500" t="s">
        <v>173</v>
      </c>
      <c r="D10399" s="500" t="s">
        <v>762</v>
      </c>
      <c r="E10399" s="501">
        <v>1561179947.01</v>
      </c>
      <c r="F10399" s="502" t="s">
        <v>878</v>
      </c>
      <c r="G10399" s="100">
        <v>117914098</v>
      </c>
      <c r="H10399" s="100">
        <v>117914098</v>
      </c>
      <c r="I10399" s="422" t="s">
        <v>635</v>
      </c>
      <c r="J10399" s="484"/>
      <c r="K10399" s="548"/>
      <c r="L10399" s="548"/>
      <c r="M10399" s="548"/>
      <c r="N10399" s="552"/>
      <c r="R10399" s="539">
        <v>595.43529999999998</v>
      </c>
      <c r="S10399" s="539">
        <v>595.68831921932201</v>
      </c>
      <c r="T10399" s="538">
        <v>15.51</v>
      </c>
      <c r="U10399" s="538">
        <v>2340.7800000000002</v>
      </c>
      <c r="V10399" s="538">
        <v>1170.3900000000001</v>
      </c>
    </row>
    <row r="10400" spans="1:25">
      <c r="A10400" s="499">
        <v>45847</v>
      </c>
      <c r="B10400" s="499">
        <v>45847</v>
      </c>
      <c r="C10400" s="500" t="s">
        <v>173</v>
      </c>
      <c r="D10400" s="500" t="s">
        <v>761</v>
      </c>
      <c r="E10400" s="501">
        <v>-2138700171.5599999</v>
      </c>
      <c r="F10400" s="502" t="s">
        <v>878</v>
      </c>
      <c r="G10400" s="100">
        <v>117907945</v>
      </c>
      <c r="H10400" s="530"/>
      <c r="I10400" s="422" t="s">
        <v>656</v>
      </c>
      <c r="J10400" s="484"/>
      <c r="K10400" s="548"/>
      <c r="L10400" s="548"/>
      <c r="M10400" s="548"/>
      <c r="N10400" s="552">
        <v>2111356</v>
      </c>
      <c r="R10400" s="539">
        <v>1012.9510000018945</v>
      </c>
      <c r="S10400" s="539">
        <v>1013.38143757377</v>
      </c>
      <c r="T10400" s="538">
        <v>15.5101</v>
      </c>
      <c r="U10400" s="538">
        <v>3208.05</v>
      </c>
      <c r="V10400" s="538">
        <v>1604.03</v>
      </c>
    </row>
    <row r="10401" spans="1:22">
      <c r="A10401" s="499">
        <v>45847</v>
      </c>
      <c r="B10401" s="499">
        <v>45847</v>
      </c>
      <c r="C10401" s="500" t="s">
        <v>173</v>
      </c>
      <c r="D10401" s="500" t="s">
        <v>761</v>
      </c>
      <c r="E10401" s="501">
        <v>-11008751.470000001</v>
      </c>
      <c r="F10401" s="502" t="s">
        <v>878</v>
      </c>
      <c r="G10401" s="100">
        <v>117907953</v>
      </c>
      <c r="H10401" s="530"/>
      <c r="I10401" s="422" t="s">
        <v>656</v>
      </c>
      <c r="J10401" s="484"/>
      <c r="K10401" s="548"/>
      <c r="L10401" s="548"/>
      <c r="M10401" s="548"/>
      <c r="N10401" s="552">
        <v>10868</v>
      </c>
      <c r="R10401" s="539">
        <v>1012.9510001840266</v>
      </c>
      <c r="S10401" s="539">
        <v>1013.3814381671</v>
      </c>
      <c r="T10401" s="538">
        <v>15.5101</v>
      </c>
      <c r="U10401" s="538">
        <v>39.32</v>
      </c>
      <c r="V10401" s="538">
        <v>8.26</v>
      </c>
    </row>
    <row r="10402" spans="1:22">
      <c r="A10402" s="499">
        <v>45847</v>
      </c>
      <c r="B10402" s="499">
        <v>45848</v>
      </c>
      <c r="C10402" s="500" t="s">
        <v>173</v>
      </c>
      <c r="D10402" s="500" t="s">
        <v>761</v>
      </c>
      <c r="E10402" s="501">
        <v>2139608978.51</v>
      </c>
      <c r="F10402" s="502" t="s">
        <v>878</v>
      </c>
      <c r="G10402" s="100">
        <v>117907945</v>
      </c>
      <c r="H10402" s="100">
        <v>117907945</v>
      </c>
      <c r="I10402" s="422" t="s">
        <v>656</v>
      </c>
      <c r="J10402" s="484"/>
      <c r="K10402" s="548"/>
      <c r="L10402" s="548"/>
      <c r="M10402" s="548"/>
      <c r="N10402" s="552">
        <v>2111356</v>
      </c>
      <c r="R10402" s="539">
        <v>1012.9510000018945</v>
      </c>
      <c r="S10402" s="539">
        <v>1013.38143757377</v>
      </c>
      <c r="T10402" s="538">
        <v>15.5101</v>
      </c>
      <c r="U10402" s="538">
        <v>3208.05</v>
      </c>
      <c r="V10402" s="538">
        <v>1604.03</v>
      </c>
    </row>
    <row r="10403" spans="1:22">
      <c r="A10403" s="499">
        <v>45847</v>
      </c>
      <c r="B10403" s="499">
        <v>45848</v>
      </c>
      <c r="C10403" s="500" t="s">
        <v>173</v>
      </c>
      <c r="D10403" s="500" t="s">
        <v>761</v>
      </c>
      <c r="E10403" s="501">
        <v>11013429.470000001</v>
      </c>
      <c r="F10403" s="502" t="s">
        <v>878</v>
      </c>
      <c r="G10403" s="100">
        <v>117907953</v>
      </c>
      <c r="H10403" s="100">
        <v>117907953</v>
      </c>
      <c r="I10403" s="422" t="s">
        <v>656</v>
      </c>
      <c r="J10403" s="484"/>
      <c r="K10403" s="548"/>
      <c r="L10403" s="548"/>
      <c r="M10403" s="548"/>
      <c r="N10403" s="552">
        <v>10868</v>
      </c>
      <c r="R10403" s="539">
        <v>1012.9510001840266</v>
      </c>
      <c r="S10403" s="539">
        <v>1013.3814381671</v>
      </c>
      <c r="T10403" s="538">
        <v>15.5101</v>
      </c>
      <c r="U10403" s="538">
        <v>39.32</v>
      </c>
      <c r="V10403" s="538">
        <v>8.26</v>
      </c>
    </row>
    <row r="10404" spans="1:22">
      <c r="A10404" s="499">
        <v>45847</v>
      </c>
      <c r="B10404" s="499">
        <v>45847</v>
      </c>
      <c r="C10404" s="500" t="s">
        <v>173</v>
      </c>
      <c r="D10404" s="500" t="s">
        <v>759</v>
      </c>
      <c r="E10404" s="501">
        <v>-87037144.560000002</v>
      </c>
      <c r="F10404" s="502" t="s">
        <v>878</v>
      </c>
      <c r="G10404" s="100">
        <v>117908822</v>
      </c>
      <c r="H10404" s="530"/>
      <c r="I10404" s="422" t="s">
        <v>704</v>
      </c>
      <c r="J10404" s="484"/>
      <c r="K10404" s="548"/>
      <c r="L10404" s="548"/>
      <c r="M10404" s="548"/>
      <c r="N10404" s="552">
        <v>108489</v>
      </c>
      <c r="R10404" s="539">
        <v>802.26699997234743</v>
      </c>
      <c r="S10404" s="539">
        <v>802.60812828950395</v>
      </c>
      <c r="T10404" s="538">
        <v>15.52</v>
      </c>
      <c r="U10404" s="538">
        <v>130.56</v>
      </c>
      <c r="V10404" s="538">
        <v>65.28</v>
      </c>
    </row>
    <row r="10405" spans="1:22">
      <c r="A10405" s="499">
        <v>45847</v>
      </c>
      <c r="B10405" s="499">
        <v>45847</v>
      </c>
      <c r="C10405" s="500" t="s">
        <v>173</v>
      </c>
      <c r="D10405" s="500" t="s">
        <v>759</v>
      </c>
      <c r="E10405" s="501">
        <v>-1956247219.6199999</v>
      </c>
      <c r="F10405" s="502" t="s">
        <v>878</v>
      </c>
      <c r="G10405" s="100">
        <v>117908896</v>
      </c>
      <c r="H10405" s="530"/>
      <c r="I10405" s="422" t="s">
        <v>691</v>
      </c>
      <c r="J10405" s="484"/>
      <c r="K10405" s="548"/>
      <c r="L10405" s="548"/>
      <c r="M10405" s="548"/>
      <c r="N10405" s="552">
        <v>2302990</v>
      </c>
      <c r="R10405" s="539">
        <v>849.43799999999999</v>
      </c>
      <c r="S10405" s="539">
        <v>849.79918569338099</v>
      </c>
      <c r="T10405" s="538">
        <v>15.52</v>
      </c>
      <c r="U10405" s="538">
        <v>2934.37</v>
      </c>
      <c r="V10405" s="538">
        <v>1467.19</v>
      </c>
    </row>
    <row r="10406" spans="1:22">
      <c r="A10406" s="499">
        <v>45847</v>
      </c>
      <c r="B10406" s="499">
        <v>45847</v>
      </c>
      <c r="C10406" s="500" t="s">
        <v>173</v>
      </c>
      <c r="D10406" s="500" t="s">
        <v>759</v>
      </c>
      <c r="E10406" s="501">
        <v>-11001454.460000001</v>
      </c>
      <c r="F10406" s="502" t="s">
        <v>878</v>
      </c>
      <c r="G10406" s="100">
        <v>117909346</v>
      </c>
      <c r="H10406" s="530"/>
      <c r="I10406" s="422" t="s">
        <v>675</v>
      </c>
      <c r="J10406" s="484"/>
      <c r="K10406" s="548"/>
      <c r="L10406" s="548"/>
      <c r="M10406" s="548"/>
      <c r="N10406" s="552">
        <v>12012</v>
      </c>
      <c r="R10406" s="539">
        <v>915.87199966699973</v>
      </c>
      <c r="S10406" s="539">
        <v>916.26143356643399</v>
      </c>
      <c r="T10406" s="538">
        <v>15.52</v>
      </c>
      <c r="U10406" s="538">
        <v>39.32</v>
      </c>
      <c r="V10406" s="538">
        <v>8.25</v>
      </c>
    </row>
    <row r="10407" spans="1:22">
      <c r="A10407" s="499">
        <v>45847</v>
      </c>
      <c r="B10407" s="499">
        <v>45848</v>
      </c>
      <c r="C10407" s="500" t="s">
        <v>173</v>
      </c>
      <c r="D10407" s="500" t="s">
        <v>759</v>
      </c>
      <c r="E10407" s="501">
        <v>87074153.230000004</v>
      </c>
      <c r="F10407" s="502" t="s">
        <v>878</v>
      </c>
      <c r="G10407" s="100">
        <v>117908822</v>
      </c>
      <c r="H10407" s="100">
        <v>117908822</v>
      </c>
      <c r="I10407" s="422" t="s">
        <v>704</v>
      </c>
      <c r="J10407" s="484"/>
      <c r="K10407" s="548"/>
      <c r="L10407" s="548"/>
      <c r="M10407" s="548"/>
      <c r="N10407" s="552">
        <v>108489</v>
      </c>
      <c r="R10407" s="539">
        <v>802.26699997234743</v>
      </c>
      <c r="S10407" s="539">
        <v>802.60812828950395</v>
      </c>
      <c r="T10407" s="538">
        <v>15.52</v>
      </c>
      <c r="U10407" s="538">
        <v>130.56</v>
      </c>
      <c r="V10407" s="538">
        <v>65.28</v>
      </c>
    </row>
    <row r="10408" spans="1:22">
      <c r="A10408" s="499">
        <v>45847</v>
      </c>
      <c r="B10408" s="499">
        <v>45848</v>
      </c>
      <c r="C10408" s="500" t="s">
        <v>173</v>
      </c>
      <c r="D10408" s="500" t="s">
        <v>759</v>
      </c>
      <c r="E10408" s="501">
        <v>1957079026.6600001</v>
      </c>
      <c r="F10408" s="502" t="s">
        <v>878</v>
      </c>
      <c r="G10408" s="100">
        <v>117908896</v>
      </c>
      <c r="H10408" s="100">
        <v>117908896</v>
      </c>
      <c r="I10408" s="422" t="s">
        <v>691</v>
      </c>
      <c r="J10408" s="484"/>
      <c r="K10408" s="548"/>
      <c r="L10408" s="548"/>
      <c r="M10408" s="548"/>
      <c r="N10408" s="552">
        <v>2302990</v>
      </c>
      <c r="R10408" s="539">
        <v>849.43799999999999</v>
      </c>
      <c r="S10408" s="539">
        <v>849.79918569338099</v>
      </c>
      <c r="T10408" s="538">
        <v>15.52</v>
      </c>
      <c r="U10408" s="538">
        <v>2934.37</v>
      </c>
      <c r="V10408" s="538">
        <v>1467.19</v>
      </c>
    </row>
    <row r="10409" spans="1:22">
      <c r="A10409" s="499">
        <v>45847</v>
      </c>
      <c r="B10409" s="499">
        <v>45848</v>
      </c>
      <c r="C10409" s="500" t="s">
        <v>173</v>
      </c>
      <c r="D10409" s="500" t="s">
        <v>759</v>
      </c>
      <c r="E10409" s="501">
        <v>11006132.34</v>
      </c>
      <c r="F10409" s="502" t="s">
        <v>878</v>
      </c>
      <c r="G10409" s="100">
        <v>117909346</v>
      </c>
      <c r="H10409" s="100">
        <v>117909346</v>
      </c>
      <c r="I10409" s="422" t="s">
        <v>675</v>
      </c>
      <c r="J10409" s="484"/>
      <c r="K10409" s="548"/>
      <c r="L10409" s="548"/>
      <c r="M10409" s="548"/>
      <c r="N10409" s="552">
        <v>12012</v>
      </c>
      <c r="R10409" s="539">
        <v>915.87199966699973</v>
      </c>
      <c r="S10409" s="539">
        <v>916.26143356643399</v>
      </c>
      <c r="T10409" s="538">
        <v>15.52</v>
      </c>
      <c r="U10409" s="538">
        <v>39.32</v>
      </c>
      <c r="V10409" s="538">
        <v>8.25</v>
      </c>
    </row>
    <row r="10410" spans="1:22">
      <c r="A10410" s="499">
        <v>45847</v>
      </c>
      <c r="B10410" s="499">
        <v>45847</v>
      </c>
      <c r="C10410" s="500" t="s">
        <v>173</v>
      </c>
      <c r="D10410" s="500" t="s">
        <v>760</v>
      </c>
      <c r="E10410" s="501">
        <v>-8004718.4800000004</v>
      </c>
      <c r="F10410" s="502" t="s">
        <v>878</v>
      </c>
      <c r="G10410" s="100">
        <v>117908857</v>
      </c>
      <c r="H10410" s="530"/>
      <c r="I10410" s="422" t="s">
        <v>604</v>
      </c>
      <c r="J10410" s="484"/>
      <c r="K10410" s="548"/>
      <c r="L10410" s="548"/>
      <c r="M10410" s="548"/>
      <c r="N10410" s="552">
        <v>7984</v>
      </c>
      <c r="R10410" s="539">
        <v>1002.595</v>
      </c>
      <c r="S10410" s="539">
        <v>1003.02106212425</v>
      </c>
      <c r="T10410" s="538">
        <v>15.510999999999999</v>
      </c>
      <c r="U10410" s="538">
        <v>39.32</v>
      </c>
      <c r="V10410" s="538">
        <v>6</v>
      </c>
    </row>
    <row r="10411" spans="1:22">
      <c r="A10411" s="499">
        <v>45847</v>
      </c>
      <c r="B10411" s="499">
        <v>45847</v>
      </c>
      <c r="C10411" s="500" t="s">
        <v>173</v>
      </c>
      <c r="D10411" s="500" t="s">
        <v>760</v>
      </c>
      <c r="E10411" s="501">
        <v>-45012579.479999997</v>
      </c>
      <c r="F10411" s="502" t="s">
        <v>878</v>
      </c>
      <c r="G10411" s="100">
        <v>117908445</v>
      </c>
      <c r="H10411" s="530"/>
      <c r="I10411" s="422" t="s">
        <v>653</v>
      </c>
      <c r="J10411" s="484"/>
      <c r="K10411" s="548"/>
      <c r="L10411" s="548"/>
      <c r="M10411" s="548"/>
      <c r="N10411" s="552">
        <v>44055</v>
      </c>
      <c r="R10411" s="539">
        <v>1021.736</v>
      </c>
      <c r="S10411" s="539">
        <v>1022.17044489842</v>
      </c>
      <c r="T10411" s="538">
        <v>15.5199</v>
      </c>
      <c r="U10411" s="538">
        <v>67.52</v>
      </c>
      <c r="V10411" s="538">
        <v>33.76</v>
      </c>
    </row>
    <row r="10412" spans="1:22">
      <c r="A10412" s="499">
        <v>45847</v>
      </c>
      <c r="B10412" s="499">
        <v>45847</v>
      </c>
      <c r="C10412" s="500" t="s">
        <v>173</v>
      </c>
      <c r="D10412" s="500" t="s">
        <v>760</v>
      </c>
      <c r="E10412" s="501">
        <v>-1261538382.6900001</v>
      </c>
      <c r="F10412" s="502" t="s">
        <v>878</v>
      </c>
      <c r="G10412" s="100">
        <v>117908700</v>
      </c>
      <c r="H10412" s="530"/>
      <c r="I10412" s="422" t="s">
        <v>704</v>
      </c>
      <c r="J10412" s="484"/>
      <c r="K10412" s="548"/>
      <c r="L10412" s="548"/>
      <c r="M10412" s="548"/>
      <c r="N10412" s="552">
        <v>1572467</v>
      </c>
      <c r="R10412" s="539">
        <v>802.26700000000005</v>
      </c>
      <c r="S10412" s="539">
        <v>802.60812612919699</v>
      </c>
      <c r="T10412" s="538">
        <v>15.5199</v>
      </c>
      <c r="U10412" s="538">
        <v>1892.31</v>
      </c>
      <c r="V10412" s="538">
        <v>946.15</v>
      </c>
    </row>
    <row r="10413" spans="1:22">
      <c r="A10413" s="499">
        <v>45847</v>
      </c>
      <c r="B10413" s="499">
        <v>45848</v>
      </c>
      <c r="C10413" s="500" t="s">
        <v>173</v>
      </c>
      <c r="D10413" s="500" t="s">
        <v>760</v>
      </c>
      <c r="E10413" s="501">
        <v>8008120.1600000001</v>
      </c>
      <c r="F10413" s="502" t="s">
        <v>878</v>
      </c>
      <c r="G10413" s="100">
        <v>117908857</v>
      </c>
      <c r="H10413" s="100">
        <v>117908857</v>
      </c>
      <c r="I10413" s="422" t="s">
        <v>604</v>
      </c>
      <c r="J10413" s="484"/>
      <c r="K10413" s="548"/>
      <c r="L10413" s="548"/>
      <c r="M10413" s="548"/>
      <c r="N10413" s="552">
        <v>7984</v>
      </c>
      <c r="R10413" s="539">
        <v>1002.595</v>
      </c>
      <c r="S10413" s="539">
        <v>1003.02106212425</v>
      </c>
      <c r="T10413" s="538">
        <v>15.510999999999999</v>
      </c>
      <c r="U10413" s="538">
        <v>39.32</v>
      </c>
      <c r="V10413" s="538">
        <v>6</v>
      </c>
    </row>
    <row r="10414" spans="1:22">
      <c r="A10414" s="499">
        <v>45847</v>
      </c>
      <c r="B10414" s="499">
        <v>45848</v>
      </c>
      <c r="C10414" s="500" t="s">
        <v>173</v>
      </c>
      <c r="D10414" s="500" t="s">
        <v>760</v>
      </c>
      <c r="E10414" s="501">
        <v>45031718.950000003</v>
      </c>
      <c r="F10414" s="502" t="s">
        <v>878</v>
      </c>
      <c r="G10414" s="100">
        <v>117908445</v>
      </c>
      <c r="H10414" s="100">
        <v>117908445</v>
      </c>
      <c r="I10414" s="422" t="s">
        <v>653</v>
      </c>
      <c r="J10414" s="484"/>
      <c r="K10414" s="548"/>
      <c r="L10414" s="548"/>
      <c r="M10414" s="548"/>
      <c r="N10414" s="552">
        <v>44055</v>
      </c>
      <c r="R10414" s="539">
        <v>1021.736</v>
      </c>
      <c r="S10414" s="539">
        <v>1022.17044489842</v>
      </c>
      <c r="T10414" s="538">
        <v>15.5199</v>
      </c>
      <c r="U10414" s="538">
        <v>67.52</v>
      </c>
      <c r="V10414" s="538">
        <v>33.76</v>
      </c>
    </row>
    <row r="10415" spans="1:22">
      <c r="A10415" s="499">
        <v>45847</v>
      </c>
      <c r="B10415" s="499">
        <v>45848</v>
      </c>
      <c r="C10415" s="500" t="s">
        <v>173</v>
      </c>
      <c r="D10415" s="500" t="s">
        <v>760</v>
      </c>
      <c r="E10415" s="501">
        <v>1262074792.27</v>
      </c>
      <c r="F10415" s="502" t="s">
        <v>878</v>
      </c>
      <c r="G10415" s="100">
        <v>117908700</v>
      </c>
      <c r="H10415" s="100">
        <v>117908700</v>
      </c>
      <c r="I10415" s="422" t="s">
        <v>704</v>
      </c>
      <c r="J10415" s="484"/>
      <c r="K10415" s="548"/>
      <c r="L10415" s="548"/>
      <c r="M10415" s="548"/>
      <c r="N10415" s="552">
        <v>1572467</v>
      </c>
      <c r="R10415" s="539">
        <v>802.26700000000005</v>
      </c>
      <c r="S10415" s="539">
        <v>802.60812612919699</v>
      </c>
      <c r="T10415" s="538">
        <v>15.5199</v>
      </c>
      <c r="U10415" s="538">
        <v>1892.31</v>
      </c>
      <c r="V10415" s="538">
        <v>946.15</v>
      </c>
    </row>
    <row r="10416" spans="1:22">
      <c r="A10416" s="499">
        <v>45847</v>
      </c>
      <c r="B10416" s="499">
        <v>45847</v>
      </c>
      <c r="C10416" s="500" t="s">
        <v>173</v>
      </c>
      <c r="D10416" s="500" t="s">
        <v>763</v>
      </c>
      <c r="E10416" s="501">
        <v>-3801240688.1900001</v>
      </c>
      <c r="F10416" s="502" t="s">
        <v>878</v>
      </c>
      <c r="G10416" s="100">
        <v>117913031</v>
      </c>
      <c r="H10416" s="530"/>
      <c r="I10416" s="422" t="s">
        <v>604</v>
      </c>
      <c r="J10416" s="484"/>
      <c r="K10416" s="548"/>
      <c r="L10416" s="548"/>
      <c r="M10416" s="548"/>
      <c r="N10416" s="552">
        <v>3791402</v>
      </c>
      <c r="R10416" s="539">
        <v>1002.595</v>
      </c>
      <c r="S10416" s="539">
        <v>1003.02109188896</v>
      </c>
      <c r="T10416" s="538">
        <v>15.5121</v>
      </c>
      <c r="U10416" s="538">
        <v>5701.86</v>
      </c>
      <c r="V10416" s="538">
        <v>2850.93</v>
      </c>
    </row>
    <row r="10417" spans="1:22">
      <c r="A10417" s="499">
        <v>45847</v>
      </c>
      <c r="B10417" s="499">
        <v>45847</v>
      </c>
      <c r="C10417" s="500" t="s">
        <v>173</v>
      </c>
      <c r="D10417" s="500" t="s">
        <v>763</v>
      </c>
      <c r="E10417" s="501">
        <v>-3186998406.3800001</v>
      </c>
      <c r="F10417" s="502" t="s">
        <v>878</v>
      </c>
      <c r="G10417" s="100">
        <v>117913034</v>
      </c>
      <c r="H10417" s="530"/>
      <c r="I10417" s="422" t="s">
        <v>674</v>
      </c>
      <c r="J10417" s="484"/>
      <c r="K10417" s="548"/>
      <c r="L10417" s="548"/>
      <c r="M10417" s="548"/>
      <c r="N10417" s="552">
        <v>3577878</v>
      </c>
      <c r="R10417" s="539">
        <v>890.75099999999998</v>
      </c>
      <c r="S10417" s="539">
        <v>891.12955697483301</v>
      </c>
      <c r="T10417" s="538">
        <v>15.512</v>
      </c>
      <c r="U10417" s="538">
        <v>4780.5</v>
      </c>
      <c r="V10417" s="538">
        <v>2390.25</v>
      </c>
    </row>
    <row r="10418" spans="1:22">
      <c r="A10418" s="499">
        <v>45847</v>
      </c>
      <c r="B10418" s="499">
        <v>45847</v>
      </c>
      <c r="C10418" s="500" t="s">
        <v>173</v>
      </c>
      <c r="D10418" s="500" t="s">
        <v>763</v>
      </c>
      <c r="E10418" s="501">
        <v>-39031027.93</v>
      </c>
      <c r="F10418" s="502" t="s">
        <v>878</v>
      </c>
      <c r="G10418" s="100">
        <v>117913071</v>
      </c>
      <c r="H10418" s="530"/>
      <c r="I10418" s="422" t="s">
        <v>656</v>
      </c>
      <c r="J10418" s="484"/>
      <c r="K10418" s="548"/>
      <c r="L10418" s="548"/>
      <c r="M10418" s="548"/>
      <c r="N10418" s="552">
        <v>38532</v>
      </c>
      <c r="R10418" s="539">
        <v>1012.951</v>
      </c>
      <c r="S10418" s="539">
        <v>1013.38149304474</v>
      </c>
      <c r="T10418" s="538">
        <v>15.5121</v>
      </c>
      <c r="U10418" s="538">
        <v>58.55</v>
      </c>
      <c r="V10418" s="538">
        <v>39.32</v>
      </c>
    </row>
    <row r="10419" spans="1:22">
      <c r="A10419" s="499">
        <v>45847</v>
      </c>
      <c r="B10419" s="499">
        <v>45847</v>
      </c>
      <c r="C10419" s="500" t="s">
        <v>173</v>
      </c>
      <c r="D10419" s="500" t="s">
        <v>763</v>
      </c>
      <c r="E10419" s="501">
        <v>-1000635.17</v>
      </c>
      <c r="F10419" s="502" t="s">
        <v>878</v>
      </c>
      <c r="G10419" s="100">
        <v>117913111</v>
      </c>
      <c r="H10419" s="530"/>
      <c r="I10419" s="422" t="s">
        <v>592</v>
      </c>
      <c r="J10419" s="484"/>
      <c r="K10419" s="548"/>
      <c r="L10419" s="548"/>
      <c r="M10419" s="548"/>
      <c r="N10419" s="552">
        <v>1302</v>
      </c>
      <c r="R10419" s="539">
        <v>768.53700000000003</v>
      </c>
      <c r="S10419" s="539">
        <v>768.86361751152106</v>
      </c>
      <c r="T10419" s="538">
        <v>15.5123</v>
      </c>
      <c r="U10419" s="538">
        <v>39.32</v>
      </c>
      <c r="V10419" s="538">
        <v>39.32</v>
      </c>
    </row>
    <row r="10420" spans="1:22">
      <c r="A10420" s="499">
        <v>45847</v>
      </c>
      <c r="B10420" s="499">
        <v>45848</v>
      </c>
      <c r="C10420" s="500" t="s">
        <v>173</v>
      </c>
      <c r="D10420" s="500" t="s">
        <v>763</v>
      </c>
      <c r="E10420" s="501">
        <v>3802856173.8299999</v>
      </c>
      <c r="F10420" s="502" t="s">
        <v>878</v>
      </c>
      <c r="G10420" s="100">
        <v>117913031</v>
      </c>
      <c r="H10420" s="484">
        <v>117913031</v>
      </c>
      <c r="I10420" s="422" t="s">
        <v>604</v>
      </c>
      <c r="J10420" s="484"/>
      <c r="K10420" s="548"/>
      <c r="L10420" s="548"/>
      <c r="M10420" s="548"/>
      <c r="N10420" s="552">
        <v>3791402</v>
      </c>
      <c r="R10420" s="539">
        <v>1002.595</v>
      </c>
      <c r="S10420" s="539">
        <v>1003.02109188896</v>
      </c>
      <c r="T10420" s="538">
        <v>15.5121</v>
      </c>
      <c r="U10420" s="538">
        <v>5701.86</v>
      </c>
      <c r="V10420" s="538">
        <v>2850.93</v>
      </c>
    </row>
    <row r="10421" spans="1:22">
      <c r="A10421" s="499">
        <v>45847</v>
      </c>
      <c r="B10421" s="499">
        <v>45848</v>
      </c>
      <c r="C10421" s="500" t="s">
        <v>173</v>
      </c>
      <c r="D10421" s="500" t="s">
        <v>763</v>
      </c>
      <c r="E10421" s="501">
        <v>3188352837.0500002</v>
      </c>
      <c r="F10421" s="502" t="s">
        <v>878</v>
      </c>
      <c r="G10421" s="100">
        <v>117913034</v>
      </c>
      <c r="H10421" s="484">
        <v>117913034</v>
      </c>
      <c r="I10421" s="422" t="s">
        <v>674</v>
      </c>
      <c r="J10421" s="484"/>
      <c r="K10421" s="548"/>
      <c r="L10421" s="548"/>
      <c r="M10421" s="548"/>
      <c r="N10421" s="552">
        <v>3577878</v>
      </c>
      <c r="R10421" s="539">
        <v>890.75099999999998</v>
      </c>
      <c r="S10421" s="539">
        <v>891.12955697483301</v>
      </c>
      <c r="T10421" s="538">
        <v>15.512</v>
      </c>
      <c r="U10421" s="538">
        <v>4780.5</v>
      </c>
      <c r="V10421" s="538">
        <v>2390.25</v>
      </c>
    </row>
    <row r="10422" spans="1:22">
      <c r="A10422" s="499">
        <v>45847</v>
      </c>
      <c r="B10422" s="499">
        <v>45848</v>
      </c>
      <c r="C10422" s="500" t="s">
        <v>173</v>
      </c>
      <c r="D10422" s="500" t="s">
        <v>763</v>
      </c>
      <c r="E10422" s="501">
        <v>39047615.689999998</v>
      </c>
      <c r="F10422" s="502" t="s">
        <v>878</v>
      </c>
      <c r="G10422" s="100">
        <v>117913071</v>
      </c>
      <c r="H10422" s="484">
        <v>117913071</v>
      </c>
      <c r="I10422" s="422" t="s">
        <v>656</v>
      </c>
      <c r="J10422" s="484"/>
      <c r="K10422" s="548"/>
      <c r="L10422" s="548"/>
      <c r="M10422" s="548"/>
      <c r="N10422" s="552">
        <v>38532</v>
      </c>
      <c r="R10422" s="539">
        <v>1012.951</v>
      </c>
      <c r="S10422" s="539">
        <v>1013.38149304474</v>
      </c>
      <c r="T10422" s="538">
        <v>15.5121</v>
      </c>
      <c r="U10422" s="538">
        <v>58.55</v>
      </c>
      <c r="V10422" s="538">
        <v>39.32</v>
      </c>
    </row>
    <row r="10423" spans="1:22">
      <c r="A10423" s="499">
        <v>45847</v>
      </c>
      <c r="B10423" s="499">
        <v>45848</v>
      </c>
      <c r="C10423" s="500" t="s">
        <v>173</v>
      </c>
      <c r="D10423" s="500" t="s">
        <v>763</v>
      </c>
      <c r="E10423" s="501">
        <v>1001060.43</v>
      </c>
      <c r="F10423" s="502" t="s">
        <v>878</v>
      </c>
      <c r="G10423" s="100">
        <v>117913111</v>
      </c>
      <c r="H10423" s="484">
        <v>117913111</v>
      </c>
      <c r="I10423" s="422" t="s">
        <v>592</v>
      </c>
      <c r="J10423" s="484"/>
      <c r="K10423" s="548"/>
      <c r="L10423" s="548"/>
      <c r="M10423" s="548"/>
      <c r="N10423" s="552">
        <v>1302</v>
      </c>
      <c r="R10423" s="539">
        <v>768.53700000000003</v>
      </c>
      <c r="S10423" s="539">
        <v>768.86361751152106</v>
      </c>
      <c r="T10423" s="538">
        <v>15.5123</v>
      </c>
      <c r="U10423" s="538">
        <v>39.32</v>
      </c>
      <c r="V10423" s="538">
        <v>39.32</v>
      </c>
    </row>
    <row r="10424" spans="1:22">
      <c r="A10424" s="499">
        <v>45848</v>
      </c>
      <c r="B10424" s="499">
        <v>45848</v>
      </c>
      <c r="C10424" s="500" t="s">
        <v>173</v>
      </c>
      <c r="D10424" s="500" t="s">
        <v>762</v>
      </c>
      <c r="E10424" s="501">
        <v>-1560510048.24</v>
      </c>
      <c r="F10424" s="502" t="s">
        <v>878</v>
      </c>
      <c r="G10424" s="100">
        <v>117947572</v>
      </c>
      <c r="H10424" s="530"/>
      <c r="I10424" s="422" t="s">
        <v>674</v>
      </c>
      <c r="J10424" s="484"/>
      <c r="K10424" s="548"/>
      <c r="L10424" s="548"/>
      <c r="M10424" s="548"/>
      <c r="N10424" s="552">
        <v>1750320</v>
      </c>
      <c r="R10424" s="538">
        <v>891.55700000000002</v>
      </c>
      <c r="S10424" s="538">
        <v>891.93683992069998</v>
      </c>
      <c r="T10424" s="538">
        <v>15.5505</v>
      </c>
      <c r="U10424" s="538">
        <v>2340.77</v>
      </c>
      <c r="V10424" s="538">
        <v>1170.3800000000001</v>
      </c>
    </row>
    <row r="10425" spans="1:22">
      <c r="A10425" s="499">
        <v>45848</v>
      </c>
      <c r="B10425" s="499">
        <v>45849</v>
      </c>
      <c r="C10425" s="500" t="s">
        <v>173</v>
      </c>
      <c r="D10425" s="500" t="s">
        <v>762</v>
      </c>
      <c r="E10425" s="501">
        <v>1561174889.6500001</v>
      </c>
      <c r="F10425" s="502" t="s">
        <v>878</v>
      </c>
      <c r="G10425" s="100">
        <v>117947572</v>
      </c>
      <c r="H10425" s="100">
        <v>117947572</v>
      </c>
      <c r="I10425" s="422" t="s">
        <v>674</v>
      </c>
      <c r="J10425" s="484"/>
      <c r="K10425" s="548"/>
      <c r="L10425" s="548"/>
      <c r="M10425" s="548"/>
      <c r="N10425" s="552">
        <v>1750320</v>
      </c>
      <c r="R10425" s="538">
        <v>891.55700000000002</v>
      </c>
      <c r="S10425" s="538">
        <v>891.93683992069998</v>
      </c>
      <c r="T10425" s="538">
        <v>15.5505</v>
      </c>
      <c r="U10425" s="538">
        <v>2340.77</v>
      </c>
      <c r="V10425" s="538">
        <v>1170.3800000000001</v>
      </c>
    </row>
    <row r="10426" spans="1:22">
      <c r="A10426" s="499">
        <v>45848</v>
      </c>
      <c r="B10426" s="499">
        <v>45848</v>
      </c>
      <c r="C10426" s="500" t="s">
        <v>173</v>
      </c>
      <c r="D10426" s="500" t="s">
        <v>761</v>
      </c>
      <c r="E10426" s="501">
        <v>-1690000251.8099999</v>
      </c>
      <c r="F10426" s="502" t="s">
        <v>878</v>
      </c>
      <c r="G10426" s="100">
        <v>117937820</v>
      </c>
      <c r="H10426" s="530"/>
      <c r="I10426" s="422" t="s">
        <v>1282</v>
      </c>
      <c r="J10426" s="484"/>
      <c r="K10426" s="548"/>
      <c r="L10426" s="548"/>
      <c r="M10426" s="548"/>
      <c r="N10426" s="552">
        <v>2032471740</v>
      </c>
      <c r="R10426" s="539">
        <v>0.83150000000000002</v>
      </c>
      <c r="S10426" s="539">
        <v>0.83185424178148704</v>
      </c>
      <c r="T10426" s="538">
        <v>15.55</v>
      </c>
      <c r="U10426" s="538">
        <v>2535</v>
      </c>
      <c r="V10426" s="538">
        <v>1267.5</v>
      </c>
    </row>
    <row r="10427" spans="1:22">
      <c r="A10427" s="499">
        <v>45848</v>
      </c>
      <c r="B10427" s="499">
        <v>45848</v>
      </c>
      <c r="C10427" s="500" t="s">
        <v>173</v>
      </c>
      <c r="D10427" s="500" t="s">
        <v>761</v>
      </c>
      <c r="E10427" s="501">
        <v>-6003270</v>
      </c>
      <c r="F10427" s="502" t="s">
        <v>878</v>
      </c>
      <c r="G10427" s="100">
        <v>117937878</v>
      </c>
      <c r="H10427" s="530"/>
      <c r="I10427" s="422" t="s">
        <v>675</v>
      </c>
      <c r="J10427" s="484"/>
      <c r="K10427" s="548"/>
      <c r="L10427" s="548"/>
      <c r="M10427" s="548"/>
      <c r="N10427" s="552">
        <v>6552</v>
      </c>
      <c r="R10427" s="539">
        <v>916.25</v>
      </c>
      <c r="S10427" s="539">
        <v>916.64160256410298</v>
      </c>
      <c r="T10427" s="538">
        <v>15.6</v>
      </c>
      <c r="U10427" s="538">
        <v>39.32</v>
      </c>
      <c r="V10427" s="538">
        <v>4.5</v>
      </c>
    </row>
    <row r="10428" spans="1:22">
      <c r="A10428" s="499">
        <v>45848</v>
      </c>
      <c r="B10428" s="499">
        <v>45849</v>
      </c>
      <c r="C10428" s="500" t="s">
        <v>173</v>
      </c>
      <c r="D10428" s="500" t="s">
        <v>761</v>
      </c>
      <c r="E10428" s="501">
        <v>1690720238.22</v>
      </c>
      <c r="F10428" s="502" t="s">
        <v>878</v>
      </c>
      <c r="G10428" s="100">
        <v>117937820</v>
      </c>
      <c r="H10428" s="100">
        <v>117937820</v>
      </c>
      <c r="I10428" s="422" t="s">
        <v>1282</v>
      </c>
      <c r="J10428" s="484"/>
      <c r="K10428" s="548"/>
      <c r="L10428" s="548"/>
      <c r="M10428" s="548"/>
      <c r="N10428" s="552">
        <v>2032471740</v>
      </c>
      <c r="R10428" s="539">
        <v>0.83150000000000002</v>
      </c>
      <c r="S10428" s="539">
        <v>0.83185424178148704</v>
      </c>
      <c r="T10428" s="538">
        <v>15.55</v>
      </c>
      <c r="U10428" s="538">
        <v>2535</v>
      </c>
      <c r="V10428" s="538">
        <v>1267.5</v>
      </c>
    </row>
    <row r="10429" spans="1:22">
      <c r="A10429" s="499">
        <v>45848</v>
      </c>
      <c r="B10429" s="499">
        <v>45849</v>
      </c>
      <c r="C10429" s="500" t="s">
        <v>173</v>
      </c>
      <c r="D10429" s="500" t="s">
        <v>761</v>
      </c>
      <c r="E10429" s="501">
        <v>6005835.7800000003</v>
      </c>
      <c r="F10429" s="502" t="s">
        <v>878</v>
      </c>
      <c r="G10429" s="100">
        <v>117937878</v>
      </c>
      <c r="H10429" s="100">
        <v>117937878</v>
      </c>
      <c r="I10429" s="422" t="s">
        <v>675</v>
      </c>
      <c r="J10429" s="484"/>
      <c r="K10429" s="548"/>
      <c r="L10429" s="548"/>
      <c r="M10429" s="548"/>
      <c r="N10429" s="552">
        <v>6552</v>
      </c>
      <c r="R10429" s="539">
        <v>916.25</v>
      </c>
      <c r="S10429" s="539">
        <v>916.64160256410298</v>
      </c>
      <c r="T10429" s="538">
        <v>15.6</v>
      </c>
      <c r="U10429" s="538">
        <v>39.32</v>
      </c>
      <c r="V10429" s="538">
        <v>4.5</v>
      </c>
    </row>
    <row r="10430" spans="1:22">
      <c r="A10430" s="499">
        <v>45848</v>
      </c>
      <c r="B10430" s="499">
        <v>45848</v>
      </c>
      <c r="C10430" s="500" t="s">
        <v>173</v>
      </c>
      <c r="D10430" s="500" t="s">
        <v>759</v>
      </c>
      <c r="E10430" s="501">
        <v>-2000148976</v>
      </c>
      <c r="F10430" s="502" t="s">
        <v>878</v>
      </c>
      <c r="G10430" s="100">
        <v>117937070</v>
      </c>
      <c r="H10430" s="530"/>
      <c r="I10430" s="422" t="s">
        <v>704</v>
      </c>
      <c r="J10430" s="484"/>
      <c r="K10430" s="548"/>
      <c r="L10430" s="548"/>
      <c r="M10430" s="548"/>
      <c r="N10430" s="552">
        <v>2492000</v>
      </c>
      <c r="R10430" s="539">
        <v>802.62800000000004</v>
      </c>
      <c r="S10430" s="539">
        <v>802.96928182183001</v>
      </c>
      <c r="T10430" s="538">
        <v>15.52</v>
      </c>
      <c r="U10430" s="538">
        <v>3000.22</v>
      </c>
      <c r="V10430" s="538">
        <v>1500.11</v>
      </c>
    </row>
    <row r="10431" spans="1:22">
      <c r="A10431" s="499">
        <v>45848</v>
      </c>
      <c r="B10431" s="499">
        <v>45848</v>
      </c>
      <c r="C10431" s="500" t="s">
        <v>173</v>
      </c>
      <c r="D10431" s="500" t="s">
        <v>759</v>
      </c>
      <c r="E10431" s="501">
        <v>-43000168.43</v>
      </c>
      <c r="F10431" s="502" t="s">
        <v>878</v>
      </c>
      <c r="G10431" s="100">
        <v>117937122</v>
      </c>
      <c r="H10431" s="530"/>
      <c r="I10431" s="422" t="s">
        <v>691</v>
      </c>
      <c r="J10431" s="484"/>
      <c r="K10431" s="548"/>
      <c r="L10431" s="548"/>
      <c r="M10431" s="548"/>
      <c r="N10431" s="552">
        <v>50611</v>
      </c>
      <c r="R10431" s="539">
        <v>849.62099998024144</v>
      </c>
      <c r="S10431" s="539">
        <v>849.98226353954703</v>
      </c>
      <c r="T10431" s="538">
        <v>15.52</v>
      </c>
      <c r="U10431" s="538">
        <v>64.5</v>
      </c>
      <c r="V10431" s="538">
        <v>32.25</v>
      </c>
    </row>
    <row r="10432" spans="1:22">
      <c r="A10432" s="499">
        <v>45848</v>
      </c>
      <c r="B10432" s="499">
        <v>45848</v>
      </c>
      <c r="C10432" s="500" t="s">
        <v>173</v>
      </c>
      <c r="D10432" s="500" t="s">
        <v>759</v>
      </c>
      <c r="E10432" s="501">
        <v>-12001762.550000001</v>
      </c>
      <c r="F10432" s="502" t="s">
        <v>878</v>
      </c>
      <c r="G10432" s="100">
        <v>117937362</v>
      </c>
      <c r="H10432" s="530"/>
      <c r="I10432" s="422" t="s">
        <v>1013</v>
      </c>
      <c r="J10432" s="484"/>
      <c r="K10432" s="548"/>
      <c r="L10432" s="548"/>
      <c r="M10432" s="548"/>
      <c r="N10432" s="552">
        <v>23580</v>
      </c>
      <c r="R10432" s="539">
        <v>508.9806000848177</v>
      </c>
      <c r="S10432" s="539">
        <v>509.19702290076299</v>
      </c>
      <c r="T10432" s="538">
        <v>15.520099999999999</v>
      </c>
      <c r="U10432" s="538">
        <v>39.32</v>
      </c>
      <c r="V10432" s="538">
        <v>9</v>
      </c>
    </row>
    <row r="10433" spans="1:22">
      <c r="A10433" s="499">
        <v>45848</v>
      </c>
      <c r="B10433" s="499">
        <v>45849</v>
      </c>
      <c r="C10433" s="500" t="s">
        <v>173</v>
      </c>
      <c r="D10433" s="500" t="s">
        <v>759</v>
      </c>
      <c r="E10433" s="501">
        <v>2000999450.3</v>
      </c>
      <c r="F10433" s="502" t="s">
        <v>878</v>
      </c>
      <c r="G10433" s="100">
        <v>117937070</v>
      </c>
      <c r="H10433" s="100">
        <v>117937070</v>
      </c>
      <c r="I10433" s="422" t="s">
        <v>704</v>
      </c>
      <c r="J10433" s="484"/>
      <c r="K10433" s="548"/>
      <c r="L10433" s="548"/>
      <c r="M10433" s="548"/>
      <c r="N10433" s="552">
        <v>2492000</v>
      </c>
      <c r="R10433" s="539">
        <v>802.62800000000004</v>
      </c>
      <c r="S10433" s="539">
        <v>802.96928182183001</v>
      </c>
      <c r="T10433" s="538">
        <v>15.52</v>
      </c>
      <c r="U10433" s="538">
        <v>3000.22</v>
      </c>
      <c r="V10433" s="538">
        <v>1500.11</v>
      </c>
    </row>
    <row r="10434" spans="1:22">
      <c r="A10434" s="499">
        <v>45848</v>
      </c>
      <c r="B10434" s="499">
        <v>45849</v>
      </c>
      <c r="C10434" s="500" t="s">
        <v>173</v>
      </c>
      <c r="D10434" s="500" t="s">
        <v>759</v>
      </c>
      <c r="E10434" s="501">
        <v>43018452.340000004</v>
      </c>
      <c r="F10434" s="502" t="s">
        <v>878</v>
      </c>
      <c r="G10434" s="100">
        <v>117937122</v>
      </c>
      <c r="H10434" s="100">
        <v>117937122</v>
      </c>
      <c r="I10434" s="422" t="s">
        <v>691</v>
      </c>
      <c r="J10434" s="484"/>
      <c r="K10434" s="548"/>
      <c r="L10434" s="548"/>
      <c r="M10434" s="548"/>
      <c r="N10434" s="552">
        <v>50611</v>
      </c>
      <c r="R10434" s="539">
        <v>849.62099998024144</v>
      </c>
      <c r="S10434" s="539">
        <v>849.98226353954703</v>
      </c>
      <c r="T10434" s="538">
        <v>15.52</v>
      </c>
      <c r="U10434" s="538">
        <v>64.5</v>
      </c>
      <c r="V10434" s="538">
        <v>32.25</v>
      </c>
    </row>
    <row r="10435" spans="1:22">
      <c r="A10435" s="499">
        <v>45848</v>
      </c>
      <c r="B10435" s="499">
        <v>45849</v>
      </c>
      <c r="C10435" s="500" t="s">
        <v>173</v>
      </c>
      <c r="D10435" s="500" t="s">
        <v>759</v>
      </c>
      <c r="E10435" s="501">
        <v>12006865.800000001</v>
      </c>
      <c r="F10435" s="502" t="s">
        <v>878</v>
      </c>
      <c r="G10435" s="100">
        <v>117937362</v>
      </c>
      <c r="H10435" s="100">
        <v>117937362</v>
      </c>
      <c r="I10435" s="422" t="s">
        <v>1013</v>
      </c>
      <c r="J10435" s="484"/>
      <c r="K10435" s="548"/>
      <c r="L10435" s="548"/>
      <c r="M10435" s="548"/>
      <c r="N10435" s="552">
        <v>23580</v>
      </c>
      <c r="R10435" s="539">
        <v>508.9806000848177</v>
      </c>
      <c r="S10435" s="539">
        <v>509.19702290076299</v>
      </c>
      <c r="T10435" s="538">
        <v>15.520099999999999</v>
      </c>
      <c r="U10435" s="538">
        <v>39.32</v>
      </c>
      <c r="V10435" s="538">
        <v>9</v>
      </c>
    </row>
    <row r="10436" spans="1:22">
      <c r="A10436" s="499">
        <v>45848</v>
      </c>
      <c r="B10436" s="499">
        <v>45848</v>
      </c>
      <c r="C10436" s="500" t="s">
        <v>173</v>
      </c>
      <c r="D10436" s="500" t="s">
        <v>760</v>
      </c>
      <c r="E10436" s="501">
        <v>-1313715585</v>
      </c>
      <c r="F10436" s="502" t="s">
        <v>878</v>
      </c>
      <c r="G10436" s="100">
        <v>117937809</v>
      </c>
      <c r="H10436" s="530"/>
      <c r="I10436" s="422" t="s">
        <v>675</v>
      </c>
      <c r="J10436" s="484"/>
      <c r="K10436" s="548"/>
      <c r="L10436" s="548"/>
      <c r="M10436" s="548"/>
      <c r="N10436" s="552">
        <v>1433796</v>
      </c>
      <c r="R10436" s="539">
        <v>916.25</v>
      </c>
      <c r="S10436" s="539">
        <v>916.64160273846505</v>
      </c>
      <c r="T10436" s="538">
        <v>15.6</v>
      </c>
      <c r="U10436" s="538">
        <v>1970.57</v>
      </c>
      <c r="V10436" s="538">
        <v>985.29</v>
      </c>
    </row>
    <row r="10437" spans="1:22">
      <c r="A10437" s="499">
        <v>45848</v>
      </c>
      <c r="B10437" s="499">
        <v>45848</v>
      </c>
      <c r="C10437" s="500" t="s">
        <v>173</v>
      </c>
      <c r="D10437" s="500" t="s">
        <v>760</v>
      </c>
      <c r="E10437" s="501">
        <v>-7003815</v>
      </c>
      <c r="F10437" s="502" t="s">
        <v>878</v>
      </c>
      <c r="G10437" s="100">
        <v>117937913</v>
      </c>
      <c r="H10437" s="530"/>
      <c r="I10437" s="422" t="s">
        <v>675</v>
      </c>
      <c r="J10437" s="484"/>
      <c r="K10437" s="548"/>
      <c r="L10437" s="548"/>
      <c r="M10437" s="548"/>
      <c r="N10437" s="552">
        <v>7644</v>
      </c>
      <c r="R10437" s="539">
        <v>916.25</v>
      </c>
      <c r="S10437" s="539">
        <v>916.64160256410298</v>
      </c>
      <c r="T10437" s="538">
        <v>15.6</v>
      </c>
      <c r="U10437" s="538">
        <v>39.32</v>
      </c>
      <c r="V10437" s="538">
        <v>5.25</v>
      </c>
    </row>
    <row r="10438" spans="1:22">
      <c r="A10438" s="499">
        <v>45848</v>
      </c>
      <c r="B10438" s="499">
        <v>45849</v>
      </c>
      <c r="C10438" s="500" t="s">
        <v>173</v>
      </c>
      <c r="D10438" s="500" t="s">
        <v>760</v>
      </c>
      <c r="E10438" s="501">
        <v>1314277063.4400001</v>
      </c>
      <c r="F10438" s="502" t="s">
        <v>878</v>
      </c>
      <c r="G10438" s="100">
        <v>117937809</v>
      </c>
      <c r="H10438" s="100">
        <v>117937809</v>
      </c>
      <c r="I10438" s="422" t="s">
        <v>675</v>
      </c>
      <c r="J10438" s="484"/>
      <c r="K10438" s="548"/>
      <c r="L10438" s="548"/>
      <c r="M10438" s="548"/>
      <c r="N10438" s="552">
        <v>1433796</v>
      </c>
      <c r="R10438" s="539">
        <v>916.25</v>
      </c>
      <c r="S10438" s="539">
        <v>916.64160273846505</v>
      </c>
      <c r="T10438" s="538">
        <v>15.6</v>
      </c>
      <c r="U10438" s="538">
        <v>1970.57</v>
      </c>
      <c r="V10438" s="538">
        <v>985.29</v>
      </c>
    </row>
    <row r="10439" spans="1:22">
      <c r="A10439" s="499">
        <v>45848</v>
      </c>
      <c r="B10439" s="499">
        <v>45849</v>
      </c>
      <c r="C10439" s="500" t="s">
        <v>173</v>
      </c>
      <c r="D10439" s="500" t="s">
        <v>760</v>
      </c>
      <c r="E10439" s="501">
        <v>7006808.4100000001</v>
      </c>
      <c r="F10439" s="502" t="s">
        <v>878</v>
      </c>
      <c r="G10439" s="100">
        <v>117937913</v>
      </c>
      <c r="H10439" s="100">
        <v>117937913</v>
      </c>
      <c r="I10439" s="422" t="s">
        <v>675</v>
      </c>
      <c r="J10439" s="484"/>
      <c r="K10439" s="548"/>
      <c r="L10439" s="548"/>
      <c r="M10439" s="548"/>
      <c r="N10439" s="552">
        <v>7644</v>
      </c>
      <c r="R10439" s="539">
        <v>916.25</v>
      </c>
      <c r="S10439" s="539">
        <v>916.64160256410298</v>
      </c>
      <c r="T10439" s="538">
        <v>15.6</v>
      </c>
      <c r="U10439" s="538">
        <v>39.32</v>
      </c>
      <c r="V10439" s="538">
        <v>5.25</v>
      </c>
    </row>
    <row r="10440" spans="1:22">
      <c r="A10440" s="499">
        <v>45848</v>
      </c>
      <c r="B10440" s="499">
        <v>45848</v>
      </c>
      <c r="C10440" s="500" t="s">
        <v>173</v>
      </c>
      <c r="D10440" s="500" t="s">
        <v>763</v>
      </c>
      <c r="E10440" s="501">
        <v>-74001428.870000005</v>
      </c>
      <c r="F10440" s="502" t="s">
        <v>878</v>
      </c>
      <c r="G10440" s="100">
        <v>117941151</v>
      </c>
      <c r="H10440" s="530"/>
      <c r="I10440" s="422" t="s">
        <v>633</v>
      </c>
      <c r="J10440" s="484"/>
      <c r="K10440" s="548"/>
      <c r="L10440" s="548"/>
      <c r="M10440" s="548"/>
      <c r="N10440" s="552">
        <v>139342</v>
      </c>
      <c r="R10440" s="539">
        <v>531.07770000000005</v>
      </c>
      <c r="S10440" s="539">
        <v>531.30396233727095</v>
      </c>
      <c r="T10440" s="538">
        <v>15.550599999999999</v>
      </c>
      <c r="U10440" s="538">
        <v>111</v>
      </c>
      <c r="V10440" s="538">
        <v>55.5</v>
      </c>
    </row>
    <row r="10441" spans="1:22">
      <c r="A10441" s="499">
        <v>45848</v>
      </c>
      <c r="B10441" s="499">
        <v>45848</v>
      </c>
      <c r="C10441" s="500" t="s">
        <v>173</v>
      </c>
      <c r="D10441" s="500" t="s">
        <v>763</v>
      </c>
      <c r="E10441" s="501">
        <v>-70001351.640000001</v>
      </c>
      <c r="F10441" s="502" t="s">
        <v>878</v>
      </c>
      <c r="G10441" s="100">
        <v>117941154</v>
      </c>
      <c r="H10441" s="530"/>
      <c r="I10441" s="422" t="s">
        <v>633</v>
      </c>
      <c r="J10441" s="484"/>
      <c r="K10441" s="548"/>
      <c r="L10441" s="548"/>
      <c r="M10441" s="548"/>
      <c r="N10441" s="552">
        <v>131810</v>
      </c>
      <c r="R10441" s="539">
        <v>531.07770000000005</v>
      </c>
      <c r="S10441" s="539">
        <v>531.30396237007801</v>
      </c>
      <c r="T10441" s="538">
        <v>15.550599999999999</v>
      </c>
      <c r="U10441" s="538">
        <v>105</v>
      </c>
      <c r="V10441" s="538">
        <v>52.5</v>
      </c>
    </row>
    <row r="10442" spans="1:22">
      <c r="A10442" s="499">
        <v>45848</v>
      </c>
      <c r="B10442" s="499">
        <v>45848</v>
      </c>
      <c r="C10442" s="500" t="s">
        <v>173</v>
      </c>
      <c r="D10442" s="500" t="s">
        <v>763</v>
      </c>
      <c r="E10442" s="501">
        <v>-4857587688.6199999</v>
      </c>
      <c r="F10442" s="502" t="s">
        <v>878</v>
      </c>
      <c r="G10442" s="100">
        <v>117941157</v>
      </c>
      <c r="H10442" s="530"/>
      <c r="I10442" s="422" t="s">
        <v>674</v>
      </c>
      <c r="J10442" s="484"/>
      <c r="K10442" s="548"/>
      <c r="L10442" s="548"/>
      <c r="M10442" s="548"/>
      <c r="N10442" s="552">
        <v>5448432</v>
      </c>
      <c r="R10442" s="539">
        <v>891.55700000000002</v>
      </c>
      <c r="S10442" s="539">
        <v>891.93683992018305</v>
      </c>
      <c r="T10442" s="538">
        <v>15.5505</v>
      </c>
      <c r="U10442" s="538">
        <v>7286.38</v>
      </c>
      <c r="V10442" s="538">
        <v>3643.19</v>
      </c>
    </row>
    <row r="10443" spans="1:22">
      <c r="A10443" s="499">
        <v>45848</v>
      </c>
      <c r="B10443" s="499">
        <v>45848</v>
      </c>
      <c r="C10443" s="500" t="s">
        <v>173</v>
      </c>
      <c r="D10443" s="500" t="s">
        <v>763</v>
      </c>
      <c r="E10443" s="501">
        <v>-29009481.670000002</v>
      </c>
      <c r="F10443" s="502" t="s">
        <v>878</v>
      </c>
      <c r="G10443" s="100">
        <v>117941236</v>
      </c>
      <c r="H10443" s="530"/>
      <c r="I10443" s="422" t="s">
        <v>674</v>
      </c>
      <c r="J10443" s="484"/>
      <c r="K10443" s="548"/>
      <c r="L10443" s="548"/>
      <c r="M10443" s="548"/>
      <c r="N10443" s="552">
        <v>32538</v>
      </c>
      <c r="R10443" s="539">
        <v>891.55700000000002</v>
      </c>
      <c r="S10443" s="539">
        <v>891.93684000245901</v>
      </c>
      <c r="T10443" s="538">
        <v>15.5505</v>
      </c>
      <c r="U10443" s="538">
        <v>43.51</v>
      </c>
      <c r="V10443" s="538">
        <v>39.32</v>
      </c>
    </row>
    <row r="10444" spans="1:22">
      <c r="A10444" s="499">
        <v>45848</v>
      </c>
      <c r="B10444" s="499">
        <v>45849</v>
      </c>
      <c r="C10444" s="500" t="s">
        <v>173</v>
      </c>
      <c r="D10444" s="500" t="s">
        <v>763</v>
      </c>
      <c r="E10444" s="501">
        <v>74032956.719999999</v>
      </c>
      <c r="F10444" s="502" t="s">
        <v>878</v>
      </c>
      <c r="G10444" s="100">
        <v>117941151</v>
      </c>
      <c r="H10444" s="484">
        <v>117941151</v>
      </c>
      <c r="I10444" s="422" t="s">
        <v>633</v>
      </c>
      <c r="J10444" s="484"/>
      <c r="K10444" s="548"/>
      <c r="L10444" s="548"/>
      <c r="M10444" s="548"/>
      <c r="N10444" s="552">
        <v>139342</v>
      </c>
      <c r="R10444" s="539">
        <v>531.07770000000005</v>
      </c>
      <c r="S10444" s="539">
        <v>531.30396233727095</v>
      </c>
      <c r="T10444" s="538">
        <v>15.550599999999999</v>
      </c>
      <c r="U10444" s="538">
        <v>111</v>
      </c>
      <c r="V10444" s="538">
        <v>55.5</v>
      </c>
    </row>
    <row r="10445" spans="1:22">
      <c r="A10445" s="499">
        <v>45848</v>
      </c>
      <c r="B10445" s="499">
        <v>45849</v>
      </c>
      <c r="C10445" s="500" t="s">
        <v>173</v>
      </c>
      <c r="D10445" s="500" t="s">
        <v>763</v>
      </c>
      <c r="E10445" s="501">
        <v>70031175.280000001</v>
      </c>
      <c r="F10445" s="502" t="s">
        <v>878</v>
      </c>
      <c r="G10445" s="100">
        <v>117941154</v>
      </c>
      <c r="H10445" s="484">
        <v>117941154</v>
      </c>
      <c r="I10445" s="422" t="s">
        <v>633</v>
      </c>
      <c r="J10445" s="484"/>
      <c r="K10445" s="548"/>
      <c r="L10445" s="548"/>
      <c r="M10445" s="548"/>
      <c r="N10445" s="552">
        <v>131810</v>
      </c>
      <c r="R10445" s="539">
        <v>531.07770000000005</v>
      </c>
      <c r="S10445" s="539">
        <v>531.30396237007801</v>
      </c>
      <c r="T10445" s="538">
        <v>15.550599999999999</v>
      </c>
      <c r="U10445" s="538">
        <v>105</v>
      </c>
      <c r="V10445" s="538">
        <v>52.5</v>
      </c>
    </row>
    <row r="10446" spans="1:22">
      <c r="A10446" s="499">
        <v>45848</v>
      </c>
      <c r="B10446" s="499">
        <v>45849</v>
      </c>
      <c r="C10446" s="500" t="s">
        <v>173</v>
      </c>
      <c r="D10446" s="500" t="s">
        <v>763</v>
      </c>
      <c r="E10446" s="501">
        <v>4859657220.6000004</v>
      </c>
      <c r="F10446" s="502" t="s">
        <v>878</v>
      </c>
      <c r="G10446" s="100">
        <v>117941157</v>
      </c>
      <c r="H10446" s="484">
        <v>117941157</v>
      </c>
      <c r="I10446" s="422" t="s">
        <v>674</v>
      </c>
      <c r="J10446" s="484"/>
      <c r="K10446" s="548"/>
      <c r="L10446" s="548"/>
      <c r="M10446" s="548"/>
      <c r="N10446" s="552">
        <v>5448432</v>
      </c>
      <c r="R10446" s="539">
        <v>891.55700000000002</v>
      </c>
      <c r="S10446" s="539">
        <v>891.93683992018305</v>
      </c>
      <c r="T10446" s="538">
        <v>15.5505</v>
      </c>
      <c r="U10446" s="538">
        <v>7286.38</v>
      </c>
      <c r="V10446" s="538">
        <v>3643.19</v>
      </c>
    </row>
    <row r="10447" spans="1:22">
      <c r="A10447" s="499">
        <v>45848</v>
      </c>
      <c r="B10447" s="499">
        <v>45849</v>
      </c>
      <c r="C10447" s="500" t="s">
        <v>173</v>
      </c>
      <c r="D10447" s="500" t="s">
        <v>763</v>
      </c>
      <c r="E10447" s="501">
        <v>29021840.899999999</v>
      </c>
      <c r="F10447" s="502" t="s">
        <v>878</v>
      </c>
      <c r="G10447" s="100">
        <v>117941236</v>
      </c>
      <c r="H10447" s="484">
        <v>117941236</v>
      </c>
      <c r="I10447" s="422" t="s">
        <v>674</v>
      </c>
      <c r="J10447" s="484"/>
      <c r="K10447" s="548"/>
      <c r="L10447" s="548"/>
      <c r="M10447" s="548"/>
      <c r="N10447" s="552">
        <v>32538</v>
      </c>
      <c r="R10447" s="539">
        <v>891.55700000000002</v>
      </c>
      <c r="S10447" s="539">
        <v>891.93684000245901</v>
      </c>
      <c r="T10447" s="538">
        <v>15.5505</v>
      </c>
      <c r="U10447" s="538">
        <v>43.51</v>
      </c>
      <c r="V10447" s="538">
        <v>39.32</v>
      </c>
    </row>
    <row r="10448" spans="1:22">
      <c r="A10448" s="499">
        <v>45849</v>
      </c>
      <c r="B10448" s="499">
        <v>45849</v>
      </c>
      <c r="C10448" s="500" t="s">
        <v>173</v>
      </c>
      <c r="D10448" s="500" t="s">
        <v>762</v>
      </c>
      <c r="E10448" s="501">
        <v>-1562138296.8099999</v>
      </c>
      <c r="F10448" s="502" t="s">
        <v>878</v>
      </c>
      <c r="G10448" s="100">
        <v>117982346</v>
      </c>
      <c r="H10448" s="530"/>
      <c r="I10448" s="422" t="s">
        <v>706</v>
      </c>
      <c r="J10448" s="484"/>
      <c r="K10448" s="548"/>
      <c r="L10448" s="548"/>
      <c r="M10448" s="548"/>
      <c r="N10448" s="552">
        <v>2049593</v>
      </c>
      <c r="R10448" s="539">
        <v>762.17</v>
      </c>
      <c r="S10448" s="539">
        <v>763.14098996239704</v>
      </c>
      <c r="T10448" s="538">
        <v>15.5001</v>
      </c>
      <c r="U10448" s="538">
        <v>7029.62</v>
      </c>
      <c r="V10448" s="538">
        <v>3514.81</v>
      </c>
    </row>
    <row r="10449" spans="1:22">
      <c r="A10449" s="499">
        <v>45849</v>
      </c>
      <c r="B10449" s="499">
        <v>45852</v>
      </c>
      <c r="C10449" s="500" t="s">
        <v>173</v>
      </c>
      <c r="D10449" s="500" t="s">
        <v>762</v>
      </c>
      <c r="E10449" s="501">
        <v>1564128431.04</v>
      </c>
      <c r="F10449" s="502" t="s">
        <v>878</v>
      </c>
      <c r="G10449" s="100">
        <v>117982346</v>
      </c>
      <c r="H10449" s="100">
        <v>117982346</v>
      </c>
      <c r="I10449" s="422" t="s">
        <v>706</v>
      </c>
      <c r="J10449" s="484"/>
      <c r="K10449" s="548"/>
      <c r="L10449" s="548"/>
      <c r="M10449" s="548"/>
      <c r="N10449" s="552">
        <v>2049593</v>
      </c>
      <c r="R10449" s="539">
        <v>762.17</v>
      </c>
      <c r="S10449" s="539">
        <v>763.14098996239704</v>
      </c>
      <c r="T10449" s="538">
        <v>15.5001</v>
      </c>
      <c r="U10449" s="538">
        <v>7029.62</v>
      </c>
      <c r="V10449" s="538">
        <v>3514.81</v>
      </c>
    </row>
    <row r="10450" spans="1:22">
      <c r="A10450" s="499">
        <v>45849</v>
      </c>
      <c r="B10450" s="499">
        <v>45849</v>
      </c>
      <c r="C10450" s="500" t="s">
        <v>173</v>
      </c>
      <c r="D10450" s="500" t="s">
        <v>759</v>
      </c>
      <c r="E10450" s="501">
        <v>-2043102071.55</v>
      </c>
      <c r="F10450" s="502" t="s">
        <v>878</v>
      </c>
      <c r="G10450" s="100">
        <v>117976819</v>
      </c>
      <c r="H10450" s="530"/>
      <c r="I10450" s="422" t="s">
        <v>2556</v>
      </c>
      <c r="J10450" s="484"/>
      <c r="K10450" s="548"/>
      <c r="L10450" s="548"/>
      <c r="M10450" s="548"/>
      <c r="N10450" s="552">
        <v>23380092</v>
      </c>
      <c r="R10450" s="539">
        <v>87.386400000051324</v>
      </c>
      <c r="S10450" s="539">
        <v>87.498087001539602</v>
      </c>
      <c r="T10450" s="538">
        <v>15.55</v>
      </c>
      <c r="U10450" s="538">
        <v>9193.9599999999991</v>
      </c>
      <c r="V10450" s="538">
        <v>4596.9799999999996</v>
      </c>
    </row>
    <row r="10451" spans="1:22">
      <c r="A10451" s="499">
        <v>45849</v>
      </c>
      <c r="B10451" s="499">
        <v>45849</v>
      </c>
      <c r="C10451" s="500" t="s">
        <v>173</v>
      </c>
      <c r="D10451" s="500" t="s">
        <v>759</v>
      </c>
      <c r="E10451" s="501">
        <v>-13000649.5</v>
      </c>
      <c r="F10451" s="502" t="s">
        <v>878</v>
      </c>
      <c r="G10451" s="100">
        <v>117976940</v>
      </c>
      <c r="H10451" s="530"/>
      <c r="I10451" s="422" t="s">
        <v>2556</v>
      </c>
      <c r="J10451" s="484"/>
      <c r="K10451" s="548"/>
      <c r="L10451" s="548"/>
      <c r="M10451" s="548"/>
      <c r="N10451" s="552">
        <v>148772</v>
      </c>
      <c r="R10451" s="539">
        <v>87.38639999462265</v>
      </c>
      <c r="S10451" s="539">
        <v>87.498087005619297</v>
      </c>
      <c r="T10451" s="538">
        <v>15.55</v>
      </c>
      <c r="U10451" s="538">
        <v>58.5</v>
      </c>
      <c r="V10451" s="538">
        <v>29.25</v>
      </c>
    </row>
    <row r="10452" spans="1:22">
      <c r="A10452" s="499">
        <v>45849</v>
      </c>
      <c r="B10452" s="499">
        <v>45852</v>
      </c>
      <c r="C10452" s="500" t="s">
        <v>173</v>
      </c>
      <c r="D10452" s="500" t="s">
        <v>759</v>
      </c>
      <c r="E10452" s="501">
        <v>2045713323.9200001</v>
      </c>
      <c r="F10452" s="502" t="s">
        <v>878</v>
      </c>
      <c r="G10452" s="100">
        <v>117976819</v>
      </c>
      <c r="H10452" s="100">
        <v>117976819</v>
      </c>
      <c r="I10452" s="422" t="s">
        <v>2556</v>
      </c>
      <c r="J10452" s="484"/>
      <c r="K10452" s="548"/>
      <c r="L10452" s="548"/>
      <c r="M10452" s="548"/>
      <c r="N10452" s="552">
        <v>23380092</v>
      </c>
      <c r="R10452" s="539">
        <v>87.386400000051324</v>
      </c>
      <c r="S10452" s="539">
        <v>87.498087001539602</v>
      </c>
      <c r="T10452" s="538">
        <v>15.55</v>
      </c>
      <c r="U10452" s="538">
        <v>9193.9599999999991</v>
      </c>
      <c r="V10452" s="538">
        <v>4596.9799999999996</v>
      </c>
    </row>
    <row r="10453" spans="1:22">
      <c r="A10453" s="499">
        <v>45849</v>
      </c>
      <c r="B10453" s="499">
        <v>45852</v>
      </c>
      <c r="C10453" s="500" t="s">
        <v>173</v>
      </c>
      <c r="D10453" s="500" t="s">
        <v>759</v>
      </c>
      <c r="E10453" s="501">
        <v>13017265.4</v>
      </c>
      <c r="F10453" s="502" t="s">
        <v>878</v>
      </c>
      <c r="G10453" s="100">
        <v>117976940</v>
      </c>
      <c r="H10453" s="100">
        <v>117976940</v>
      </c>
      <c r="I10453" s="422" t="s">
        <v>2556</v>
      </c>
      <c r="J10453" s="484"/>
      <c r="K10453" s="548"/>
      <c r="L10453" s="548"/>
      <c r="M10453" s="548"/>
      <c r="N10453" s="552">
        <v>148772</v>
      </c>
      <c r="R10453" s="539">
        <v>87.38639999462265</v>
      </c>
      <c r="S10453" s="539">
        <v>87.498087005619297</v>
      </c>
      <c r="T10453" s="538">
        <v>15.55</v>
      </c>
      <c r="U10453" s="538">
        <v>58.5</v>
      </c>
      <c r="V10453" s="538">
        <v>29.25</v>
      </c>
    </row>
    <row r="10454" spans="1:22">
      <c r="A10454" s="499">
        <v>45849</v>
      </c>
      <c r="B10454" s="499">
        <v>45849</v>
      </c>
      <c r="C10454" s="500" t="s">
        <v>173</v>
      </c>
      <c r="D10454" s="500" t="s">
        <v>760</v>
      </c>
      <c r="E10454" s="501">
        <v>-20000999.23</v>
      </c>
      <c r="F10454" s="502" t="s">
        <v>878</v>
      </c>
      <c r="G10454" s="100">
        <v>117976825</v>
      </c>
      <c r="H10454" s="530"/>
      <c r="I10454" s="422" t="s">
        <v>2556</v>
      </c>
      <c r="J10454" s="484"/>
      <c r="K10454" s="548"/>
      <c r="L10454" s="548"/>
      <c r="M10454" s="548"/>
      <c r="N10454" s="552">
        <v>228880</v>
      </c>
      <c r="R10454" s="539">
        <v>87.386399999999995</v>
      </c>
      <c r="S10454" s="539">
        <v>87.498373558196405</v>
      </c>
      <c r="T10454" s="538">
        <v>15.5899</v>
      </c>
      <c r="U10454" s="538">
        <v>90</v>
      </c>
      <c r="V10454" s="538">
        <v>45</v>
      </c>
    </row>
    <row r="10455" spans="1:22">
      <c r="A10455" s="499">
        <v>45849</v>
      </c>
      <c r="B10455" s="499">
        <v>45849</v>
      </c>
      <c r="C10455" s="500" t="s">
        <v>173</v>
      </c>
      <c r="D10455" s="500" t="s">
        <v>760</v>
      </c>
      <c r="E10455" s="501">
        <v>-1300686441.5999999</v>
      </c>
      <c r="F10455" s="502" t="s">
        <v>878</v>
      </c>
      <c r="G10455" s="100">
        <v>117975862</v>
      </c>
      <c r="H10455" s="530"/>
      <c r="I10455" s="422" t="s">
        <v>704</v>
      </c>
      <c r="J10455" s="484"/>
      <c r="K10455" s="548"/>
      <c r="L10455" s="548"/>
      <c r="M10455" s="548"/>
      <c r="N10455" s="552">
        <v>1619800</v>
      </c>
      <c r="R10455" s="539">
        <v>802.99199999999996</v>
      </c>
      <c r="S10455" s="539">
        <v>804.02158313989401</v>
      </c>
      <c r="T10455" s="538">
        <v>15.5999</v>
      </c>
      <c r="U10455" s="538">
        <v>5853.09</v>
      </c>
      <c r="V10455" s="538">
        <v>2926.54</v>
      </c>
    </row>
    <row r="10456" spans="1:22">
      <c r="A10456" s="499">
        <v>45849</v>
      </c>
      <c r="B10456" s="499">
        <v>45852</v>
      </c>
      <c r="C10456" s="500" t="s">
        <v>173</v>
      </c>
      <c r="D10456" s="500" t="s">
        <v>760</v>
      </c>
      <c r="E10456" s="501">
        <v>20026627.739999998</v>
      </c>
      <c r="F10456" s="502" t="s">
        <v>878</v>
      </c>
      <c r="G10456" s="100">
        <v>117976825</v>
      </c>
      <c r="H10456" s="100">
        <v>117976825</v>
      </c>
      <c r="I10456" s="422" t="s">
        <v>2556</v>
      </c>
      <c r="J10456" s="484"/>
      <c r="K10456" s="548"/>
      <c r="L10456" s="548"/>
      <c r="M10456" s="548"/>
      <c r="N10456" s="552">
        <v>228880</v>
      </c>
      <c r="R10456" s="539">
        <v>87.386399999999995</v>
      </c>
      <c r="S10456" s="539">
        <v>87.498373558196405</v>
      </c>
      <c r="T10456" s="538">
        <v>15.5899</v>
      </c>
      <c r="U10456" s="538">
        <v>90</v>
      </c>
      <c r="V10456" s="538">
        <v>45</v>
      </c>
    </row>
    <row r="10457" spans="1:22">
      <c r="A10457" s="499">
        <v>45849</v>
      </c>
      <c r="B10457" s="499">
        <v>45852</v>
      </c>
      <c r="C10457" s="500" t="s">
        <v>173</v>
      </c>
      <c r="D10457" s="500" t="s">
        <v>760</v>
      </c>
      <c r="E10457" s="501">
        <v>1302354160.3699999</v>
      </c>
      <c r="F10457" s="502" t="s">
        <v>878</v>
      </c>
      <c r="G10457" s="100">
        <v>117975862</v>
      </c>
      <c r="H10457" s="100">
        <v>117975862</v>
      </c>
      <c r="I10457" s="422" t="s">
        <v>704</v>
      </c>
      <c r="J10457" s="484"/>
      <c r="K10457" s="548"/>
      <c r="L10457" s="548"/>
      <c r="M10457" s="548"/>
      <c r="N10457" s="552">
        <v>1619800</v>
      </c>
      <c r="R10457" s="539">
        <v>802.99199999999996</v>
      </c>
      <c r="S10457" s="539">
        <v>804.02158313989401</v>
      </c>
      <c r="T10457" s="538">
        <v>15.5999</v>
      </c>
      <c r="U10457" s="538">
        <v>5853.09</v>
      </c>
      <c r="V10457" s="538">
        <v>2926.54</v>
      </c>
    </row>
    <row r="10458" spans="1:22">
      <c r="A10458" s="499">
        <v>45849</v>
      </c>
      <c r="B10458" s="499">
        <v>45849</v>
      </c>
      <c r="C10458" s="500" t="s">
        <v>173</v>
      </c>
      <c r="D10458" s="500" t="s">
        <v>761</v>
      </c>
      <c r="E10458" s="501">
        <v>-1688891318.02</v>
      </c>
      <c r="F10458" s="502" t="s">
        <v>878</v>
      </c>
      <c r="G10458" s="100">
        <v>117975842</v>
      </c>
      <c r="H10458" s="530"/>
      <c r="I10458" s="422" t="s">
        <v>704</v>
      </c>
      <c r="J10458" s="484"/>
      <c r="K10458" s="548"/>
      <c r="L10458" s="548"/>
      <c r="M10458" s="548"/>
      <c r="N10458" s="552">
        <v>2103248</v>
      </c>
      <c r="R10458" s="539">
        <v>802.99200000190183</v>
      </c>
      <c r="S10458" s="539">
        <v>804.02026975896297</v>
      </c>
      <c r="T10458" s="538">
        <v>15.58</v>
      </c>
      <c r="U10458" s="538">
        <v>7600.01</v>
      </c>
      <c r="V10458" s="538">
        <v>3800.01</v>
      </c>
    </row>
    <row r="10459" spans="1:22">
      <c r="A10459" s="499">
        <v>45849</v>
      </c>
      <c r="B10459" s="499">
        <v>45849</v>
      </c>
      <c r="C10459" s="500" t="s">
        <v>173</v>
      </c>
      <c r="D10459" s="500" t="s">
        <v>761</v>
      </c>
      <c r="E10459" s="501">
        <v>-9002878.7899999991</v>
      </c>
      <c r="F10459" s="502" t="s">
        <v>878</v>
      </c>
      <c r="G10459" s="100">
        <v>117980579</v>
      </c>
      <c r="H10459" s="530"/>
      <c r="I10459" s="422" t="s">
        <v>674</v>
      </c>
      <c r="J10459" s="484"/>
      <c r="K10459" s="548"/>
      <c r="L10459" s="548"/>
      <c r="M10459" s="548"/>
      <c r="N10459" s="552">
        <v>10089</v>
      </c>
      <c r="R10459" s="539">
        <v>892.34599960352853</v>
      </c>
      <c r="S10459" s="539">
        <v>893.48283080582803</v>
      </c>
      <c r="T10459" s="538">
        <v>15.5001</v>
      </c>
      <c r="U10459" s="538">
        <v>40.51</v>
      </c>
      <c r="V10459" s="538">
        <v>20.260000000000002</v>
      </c>
    </row>
    <row r="10460" spans="1:22">
      <c r="A10460" s="499">
        <v>45849</v>
      </c>
      <c r="B10460" s="499">
        <v>45852</v>
      </c>
      <c r="C10460" s="500" t="s">
        <v>173</v>
      </c>
      <c r="D10460" s="500" t="s">
        <v>761</v>
      </c>
      <c r="E10460" s="501">
        <v>1691054024.3299999</v>
      </c>
      <c r="F10460" s="502" t="s">
        <v>878</v>
      </c>
      <c r="G10460" s="100">
        <v>117975842</v>
      </c>
      <c r="H10460" s="100">
        <v>117975842</v>
      </c>
      <c r="I10460" s="422" t="s">
        <v>704</v>
      </c>
      <c r="J10460" s="484"/>
      <c r="K10460" s="548"/>
      <c r="L10460" s="548"/>
      <c r="M10460" s="548"/>
      <c r="N10460" s="552">
        <v>2103248</v>
      </c>
      <c r="R10460" s="539">
        <v>802.99200000190183</v>
      </c>
      <c r="S10460" s="539">
        <v>804.02026975896297</v>
      </c>
      <c r="T10460" s="538">
        <v>15.58</v>
      </c>
      <c r="U10460" s="538">
        <v>7600.01</v>
      </c>
      <c r="V10460" s="538">
        <v>3800.01</v>
      </c>
    </row>
    <row r="10461" spans="1:22">
      <c r="A10461" s="499">
        <v>45849</v>
      </c>
      <c r="B10461" s="499">
        <v>45852</v>
      </c>
      <c r="C10461" s="500" t="s">
        <v>173</v>
      </c>
      <c r="D10461" s="500" t="s">
        <v>761</v>
      </c>
      <c r="E10461" s="501">
        <v>9014348.2799999993</v>
      </c>
      <c r="F10461" s="502" t="s">
        <v>878</v>
      </c>
      <c r="G10461" s="100">
        <v>117980579</v>
      </c>
      <c r="H10461" s="100">
        <v>117980579</v>
      </c>
      <c r="I10461" s="422" t="s">
        <v>674</v>
      </c>
      <c r="J10461" s="484"/>
      <c r="K10461" s="548"/>
      <c r="L10461" s="548"/>
      <c r="M10461" s="548"/>
      <c r="N10461" s="552">
        <v>10089</v>
      </c>
      <c r="R10461" s="539">
        <v>892.34599960352853</v>
      </c>
      <c r="S10461" s="539">
        <v>893.48283080582803</v>
      </c>
      <c r="T10461" s="538">
        <v>15.5001</v>
      </c>
      <c r="U10461" s="538">
        <v>40.51</v>
      </c>
      <c r="V10461" s="538">
        <v>20.260000000000002</v>
      </c>
    </row>
    <row r="10462" spans="1:22">
      <c r="A10462" s="499">
        <v>45849</v>
      </c>
      <c r="B10462" s="499">
        <v>45849</v>
      </c>
      <c r="C10462" s="500" t="s">
        <v>173</v>
      </c>
      <c r="D10462" s="500" t="s">
        <v>763</v>
      </c>
      <c r="E10462" s="501">
        <v>-5001173045</v>
      </c>
      <c r="F10462" s="502" t="s">
        <v>878</v>
      </c>
      <c r="G10462" s="100">
        <v>117975939</v>
      </c>
      <c r="H10462" s="530"/>
      <c r="I10462" s="422" t="s">
        <v>691</v>
      </c>
      <c r="J10462" s="484"/>
      <c r="K10462" s="548"/>
      <c r="L10462" s="548"/>
      <c r="M10462" s="548"/>
      <c r="N10462" s="552">
        <v>5885000</v>
      </c>
      <c r="R10462" s="539">
        <v>849.81700000000001</v>
      </c>
      <c r="S10462" s="539">
        <v>850.90383445369605</v>
      </c>
      <c r="T10462" s="538">
        <v>15.56</v>
      </c>
      <c r="U10462" s="538">
        <v>22505.279999999999</v>
      </c>
      <c r="V10462" s="538">
        <v>11252.64</v>
      </c>
    </row>
    <row r="10463" spans="1:22">
      <c r="A10463" s="499">
        <v>45849</v>
      </c>
      <c r="B10463" s="499">
        <v>45849</v>
      </c>
      <c r="C10463" s="500" t="s">
        <v>173</v>
      </c>
      <c r="D10463" s="500" t="s">
        <v>763</v>
      </c>
      <c r="E10463" s="501">
        <v>-2000000.42</v>
      </c>
      <c r="F10463" s="502" t="s">
        <v>878</v>
      </c>
      <c r="G10463" s="100">
        <v>117975942</v>
      </c>
      <c r="H10463" s="530"/>
      <c r="I10463" s="422" t="s">
        <v>1048</v>
      </c>
      <c r="J10463" s="484"/>
      <c r="K10463" s="548"/>
      <c r="L10463" s="548"/>
      <c r="M10463" s="548"/>
      <c r="N10463" s="552">
        <v>1959632</v>
      </c>
      <c r="R10463" s="539">
        <v>1.0206</v>
      </c>
      <c r="S10463" s="539">
        <v>1.02190273990219</v>
      </c>
      <c r="T10463" s="538">
        <v>15.530099999999999</v>
      </c>
      <c r="U10463" s="538">
        <v>39.32</v>
      </c>
      <c r="V10463" s="538">
        <v>39.32</v>
      </c>
    </row>
    <row r="10464" spans="1:22">
      <c r="A10464" s="499">
        <v>45849</v>
      </c>
      <c r="B10464" s="499">
        <v>45849</v>
      </c>
      <c r="C10464" s="500" t="s">
        <v>173</v>
      </c>
      <c r="D10464" s="500" t="s">
        <v>763</v>
      </c>
      <c r="E10464" s="501">
        <v>-30000006.289999999</v>
      </c>
      <c r="F10464" s="502" t="s">
        <v>878</v>
      </c>
      <c r="G10464" s="100">
        <v>117976024</v>
      </c>
      <c r="H10464" s="530"/>
      <c r="I10464" s="422" t="s">
        <v>1048</v>
      </c>
      <c r="J10464" s="484"/>
      <c r="K10464" s="548"/>
      <c r="L10464" s="548"/>
      <c r="M10464" s="548"/>
      <c r="N10464" s="552">
        <v>29394480</v>
      </c>
      <c r="R10464" s="539">
        <v>1.0206</v>
      </c>
      <c r="S10464" s="539">
        <v>1.0219027416031901</v>
      </c>
      <c r="T10464" s="538">
        <v>15.530099999999999</v>
      </c>
      <c r="U10464" s="538">
        <v>135</v>
      </c>
      <c r="V10464" s="538">
        <v>67.5</v>
      </c>
    </row>
    <row r="10465" spans="1:22">
      <c r="A10465" s="499">
        <v>45849</v>
      </c>
      <c r="B10465" s="499">
        <v>45852</v>
      </c>
      <c r="C10465" s="500" t="s">
        <v>173</v>
      </c>
      <c r="D10465" s="500" t="s">
        <v>763</v>
      </c>
      <c r="E10465" s="501">
        <v>5007569065.7600002</v>
      </c>
      <c r="F10465" s="502" t="s">
        <v>878</v>
      </c>
      <c r="G10465" s="100">
        <v>117975939</v>
      </c>
      <c r="H10465" s="484">
        <v>117975939</v>
      </c>
      <c r="I10465" s="422" t="s">
        <v>691</v>
      </c>
      <c r="J10465" s="484"/>
      <c r="K10465" s="548"/>
      <c r="L10465" s="548"/>
      <c r="M10465" s="548"/>
      <c r="N10465" s="552">
        <v>5885000</v>
      </c>
      <c r="R10465" s="539">
        <v>849.81700000000001</v>
      </c>
      <c r="S10465" s="539">
        <v>850.90383445369605</v>
      </c>
      <c r="T10465" s="538">
        <v>15.56</v>
      </c>
      <c r="U10465" s="538">
        <v>22505.279999999999</v>
      </c>
      <c r="V10465" s="538">
        <v>11252.64</v>
      </c>
    </row>
    <row r="10466" spans="1:22">
      <c r="A10466" s="499">
        <v>45849</v>
      </c>
      <c r="B10466" s="499">
        <v>45852</v>
      </c>
      <c r="C10466" s="500" t="s">
        <v>173</v>
      </c>
      <c r="D10466" s="500" t="s">
        <v>763</v>
      </c>
      <c r="E10466" s="501">
        <v>2002553.31</v>
      </c>
      <c r="F10466" s="502" t="s">
        <v>878</v>
      </c>
      <c r="G10466" s="100">
        <v>117975942</v>
      </c>
      <c r="H10466" s="484">
        <v>117975942</v>
      </c>
      <c r="I10466" s="422" t="s">
        <v>1048</v>
      </c>
      <c r="J10466" s="484"/>
      <c r="K10466" s="548"/>
      <c r="L10466" s="548"/>
      <c r="M10466" s="548"/>
      <c r="N10466" s="552">
        <v>1959632</v>
      </c>
      <c r="R10466" s="539">
        <v>1.0206</v>
      </c>
      <c r="S10466" s="539">
        <v>1.02190273990219</v>
      </c>
      <c r="T10466" s="538">
        <v>15.530099999999999</v>
      </c>
      <c r="U10466" s="538">
        <v>39.32</v>
      </c>
      <c r="V10466" s="538">
        <v>39.32</v>
      </c>
    </row>
    <row r="10467" spans="1:22">
      <c r="A10467" s="499">
        <v>45849</v>
      </c>
      <c r="B10467" s="499">
        <v>45852</v>
      </c>
      <c r="C10467" s="500" t="s">
        <v>173</v>
      </c>
      <c r="D10467" s="500" t="s">
        <v>763</v>
      </c>
      <c r="E10467" s="501">
        <v>30038299.699999999</v>
      </c>
      <c r="F10467" s="502" t="s">
        <v>878</v>
      </c>
      <c r="G10467" s="100">
        <v>117976024</v>
      </c>
      <c r="H10467" s="484">
        <v>117976024</v>
      </c>
      <c r="I10467" s="422" t="s">
        <v>1048</v>
      </c>
      <c r="J10467" s="484"/>
      <c r="K10467" s="548"/>
      <c r="L10467" s="548"/>
      <c r="M10467" s="548"/>
      <c r="N10467" s="552">
        <v>29394480</v>
      </c>
      <c r="R10467" s="539">
        <v>1.0206</v>
      </c>
      <c r="S10467" s="539">
        <v>1.0219027416031901</v>
      </c>
      <c r="T10467" s="538">
        <v>15.530099999999999</v>
      </c>
      <c r="U10467" s="538">
        <v>135</v>
      </c>
      <c r="V10467" s="538">
        <v>67.5</v>
      </c>
    </row>
    <row r="10468" spans="1:22">
      <c r="A10468" s="499">
        <v>45852</v>
      </c>
      <c r="B10468" s="499">
        <v>45852</v>
      </c>
      <c r="C10468" s="500" t="s">
        <v>173</v>
      </c>
      <c r="D10468" s="500" t="s">
        <v>762</v>
      </c>
      <c r="E10468" s="501">
        <v>-169000012.30000001</v>
      </c>
      <c r="F10468" s="502" t="s">
        <v>878</v>
      </c>
      <c r="G10468" s="100">
        <v>118026210</v>
      </c>
      <c r="H10468" s="530"/>
      <c r="I10468" s="422" t="s">
        <v>811</v>
      </c>
      <c r="J10468" s="484" t="s">
        <v>906</v>
      </c>
      <c r="K10468" s="548"/>
      <c r="L10468" s="548"/>
      <c r="M10468" s="548"/>
      <c r="N10468" s="552">
        <v>167858574</v>
      </c>
      <c r="R10468" s="558">
        <v>1.0067999999999999</v>
      </c>
      <c r="S10468" s="558">
        <v>1.0072283754775599</v>
      </c>
      <c r="T10468" s="538">
        <v>15.530099999999999</v>
      </c>
      <c r="U10468" s="538">
        <v>253.5</v>
      </c>
      <c r="V10468" s="538">
        <v>126.75</v>
      </c>
    </row>
    <row r="10469" spans="1:22">
      <c r="A10469" s="499">
        <v>45852</v>
      </c>
      <c r="B10469" s="499">
        <v>45852</v>
      </c>
      <c r="C10469" s="500" t="s">
        <v>173</v>
      </c>
      <c r="D10469" s="500" t="s">
        <v>762</v>
      </c>
      <c r="E10469" s="501">
        <v>-386023891.86000001</v>
      </c>
      <c r="F10469" s="502" t="s">
        <v>878</v>
      </c>
      <c r="G10469" s="100">
        <v>118026213</v>
      </c>
      <c r="H10469" s="530"/>
      <c r="I10469" s="422" t="s">
        <v>678</v>
      </c>
      <c r="J10469" s="484" t="s">
        <v>906</v>
      </c>
      <c r="K10469" s="548"/>
      <c r="L10469" s="548"/>
      <c r="M10469" s="548"/>
      <c r="N10469" s="552">
        <v>410318</v>
      </c>
      <c r="R10469" s="558">
        <v>940.79200000000003</v>
      </c>
      <c r="S10469" s="558">
        <v>941.19229024805099</v>
      </c>
      <c r="T10469" s="538">
        <v>15.530099999999999</v>
      </c>
      <c r="U10469" s="538">
        <v>579.04</v>
      </c>
      <c r="V10469" s="538">
        <v>289.52</v>
      </c>
    </row>
    <row r="10470" spans="1:22">
      <c r="A10470" s="499">
        <v>45852</v>
      </c>
      <c r="B10470" s="499">
        <v>45852</v>
      </c>
      <c r="C10470" s="500" t="s">
        <v>173</v>
      </c>
      <c r="D10470" s="500" t="s">
        <v>762</v>
      </c>
      <c r="E10470" s="501">
        <v>-386023891.86000001</v>
      </c>
      <c r="F10470" s="502" t="s">
        <v>878</v>
      </c>
      <c r="G10470" s="100">
        <v>118026216</v>
      </c>
      <c r="H10470" s="530"/>
      <c r="I10470" s="422" t="s">
        <v>678</v>
      </c>
      <c r="J10470" s="484" t="s">
        <v>906</v>
      </c>
      <c r="K10470" s="548"/>
      <c r="L10470" s="548"/>
      <c r="M10470" s="548"/>
      <c r="N10470" s="552">
        <v>410318</v>
      </c>
      <c r="R10470" s="558">
        <v>940.79200000000003</v>
      </c>
      <c r="S10470" s="558">
        <v>941.19229024805099</v>
      </c>
      <c r="T10470" s="538">
        <v>15.530099999999999</v>
      </c>
      <c r="U10470" s="538">
        <v>579.04</v>
      </c>
      <c r="V10470" s="538">
        <v>289.52</v>
      </c>
    </row>
    <row r="10471" spans="1:22">
      <c r="A10471" s="499">
        <v>45852</v>
      </c>
      <c r="B10471" s="499">
        <v>45852</v>
      </c>
      <c r="C10471" s="500" t="s">
        <v>173</v>
      </c>
      <c r="D10471" s="500" t="s">
        <v>762</v>
      </c>
      <c r="E10471" s="501">
        <v>-167029104.75999999</v>
      </c>
      <c r="F10471" s="502" t="s">
        <v>878</v>
      </c>
      <c r="G10471" s="100">
        <v>118026219</v>
      </c>
      <c r="H10471" s="530"/>
      <c r="I10471" s="422" t="s">
        <v>816</v>
      </c>
      <c r="J10471" s="484" t="s">
        <v>906</v>
      </c>
      <c r="K10471" s="548"/>
      <c r="L10471" s="548"/>
      <c r="M10471" s="548"/>
      <c r="N10471" s="552">
        <v>163660</v>
      </c>
      <c r="R10471" s="558">
        <v>1020.586</v>
      </c>
      <c r="S10471" s="558">
        <v>1021.0202411707201</v>
      </c>
      <c r="T10471" s="538">
        <v>15.530099999999999</v>
      </c>
      <c r="U10471" s="538">
        <v>250.54</v>
      </c>
      <c r="V10471" s="538">
        <v>125.27</v>
      </c>
    </row>
    <row r="10472" spans="1:22">
      <c r="A10472" s="499">
        <v>45852</v>
      </c>
      <c r="B10472" s="499">
        <v>45852</v>
      </c>
      <c r="C10472" s="500" t="s">
        <v>173</v>
      </c>
      <c r="D10472" s="500" t="s">
        <v>762</v>
      </c>
      <c r="E10472" s="501">
        <v>-456172084.37</v>
      </c>
      <c r="F10472" s="502" t="s">
        <v>878</v>
      </c>
      <c r="G10472" s="100">
        <v>118026222</v>
      </c>
      <c r="H10472" s="530"/>
      <c r="I10472" s="422" t="s">
        <v>635</v>
      </c>
      <c r="J10472" s="484" t="s">
        <v>906</v>
      </c>
      <c r="K10472" s="548"/>
      <c r="L10472" s="548"/>
      <c r="M10472" s="548"/>
      <c r="N10472" s="552">
        <v>763344</v>
      </c>
      <c r="R10472" s="558">
        <v>597.59699999999998</v>
      </c>
      <c r="S10472" s="558">
        <v>597.85110152172501</v>
      </c>
      <c r="T10472" s="538">
        <v>15.52</v>
      </c>
      <c r="U10472" s="538">
        <v>684.26</v>
      </c>
      <c r="V10472" s="538">
        <v>342.13</v>
      </c>
    </row>
    <row r="10473" spans="1:22">
      <c r="A10473" s="499">
        <v>45852</v>
      </c>
      <c r="B10473" s="499">
        <v>45853</v>
      </c>
      <c r="C10473" s="500" t="s">
        <v>173</v>
      </c>
      <c r="D10473" s="500" t="s">
        <v>762</v>
      </c>
      <c r="E10473" s="501">
        <v>169071918.80000001</v>
      </c>
      <c r="F10473" s="502" t="s">
        <v>878</v>
      </c>
      <c r="G10473" s="100">
        <v>118026210</v>
      </c>
      <c r="H10473" s="484">
        <v>118026210</v>
      </c>
      <c r="I10473" s="422" t="s">
        <v>811</v>
      </c>
      <c r="J10473" s="484" t="s">
        <v>912</v>
      </c>
      <c r="K10473" s="548"/>
      <c r="L10473" s="548"/>
      <c r="M10473" s="548"/>
      <c r="N10473" s="552">
        <v>167858574</v>
      </c>
      <c r="R10473" s="558">
        <v>1.0067999999999999</v>
      </c>
      <c r="S10473" s="558">
        <v>1.0072283754775599</v>
      </c>
      <c r="T10473" s="538">
        <v>15.530099999999999</v>
      </c>
      <c r="U10473" s="538">
        <v>253.5</v>
      </c>
      <c r="V10473" s="538">
        <v>126.75</v>
      </c>
    </row>
    <row r="10474" spans="1:22">
      <c r="A10474" s="499">
        <v>45852</v>
      </c>
      <c r="B10474" s="499">
        <v>45853</v>
      </c>
      <c r="C10474" s="500" t="s">
        <v>173</v>
      </c>
      <c r="D10474" s="500" t="s">
        <v>762</v>
      </c>
      <c r="E10474" s="501">
        <v>386188138.14999998</v>
      </c>
      <c r="F10474" s="502" t="s">
        <v>878</v>
      </c>
      <c r="G10474" s="100">
        <v>118026213</v>
      </c>
      <c r="H10474" s="484">
        <v>118026213</v>
      </c>
      <c r="I10474" s="422" t="s">
        <v>678</v>
      </c>
      <c r="J10474" s="484" t="s">
        <v>912</v>
      </c>
      <c r="K10474" s="548"/>
      <c r="L10474" s="548"/>
      <c r="M10474" s="548"/>
      <c r="N10474" s="552">
        <v>410318</v>
      </c>
      <c r="R10474" s="558">
        <v>940.79200000000003</v>
      </c>
      <c r="S10474" s="558">
        <v>941.19229024805099</v>
      </c>
      <c r="T10474" s="538">
        <v>15.530099999999999</v>
      </c>
      <c r="U10474" s="538">
        <v>579.04</v>
      </c>
      <c r="V10474" s="538">
        <v>289.52</v>
      </c>
    </row>
    <row r="10475" spans="1:22">
      <c r="A10475" s="499">
        <v>45852</v>
      </c>
      <c r="B10475" s="499">
        <v>45853</v>
      </c>
      <c r="C10475" s="500" t="s">
        <v>173</v>
      </c>
      <c r="D10475" s="500" t="s">
        <v>762</v>
      </c>
      <c r="E10475" s="501">
        <v>386188138.14999998</v>
      </c>
      <c r="F10475" s="502" t="s">
        <v>878</v>
      </c>
      <c r="G10475" s="100">
        <v>118026216</v>
      </c>
      <c r="H10475" s="484">
        <v>118026216</v>
      </c>
      <c r="I10475" s="422" t="s">
        <v>678</v>
      </c>
      <c r="J10475" s="484" t="s">
        <v>912</v>
      </c>
      <c r="K10475" s="548"/>
      <c r="L10475" s="548"/>
      <c r="M10475" s="548"/>
      <c r="N10475" s="552">
        <v>410318</v>
      </c>
      <c r="R10475" s="558">
        <v>940.79200000000003</v>
      </c>
      <c r="S10475" s="558">
        <v>941.19229024805099</v>
      </c>
      <c r="T10475" s="538">
        <v>15.530099999999999</v>
      </c>
      <c r="U10475" s="538">
        <v>579.04</v>
      </c>
      <c r="V10475" s="538">
        <v>289.52</v>
      </c>
    </row>
    <row r="10476" spans="1:22">
      <c r="A10476" s="499">
        <v>45852</v>
      </c>
      <c r="B10476" s="499">
        <v>45853</v>
      </c>
      <c r="C10476" s="500" t="s">
        <v>173</v>
      </c>
      <c r="D10476" s="500" t="s">
        <v>762</v>
      </c>
      <c r="E10476" s="501">
        <v>167100172.66999999</v>
      </c>
      <c r="F10476" s="502" t="s">
        <v>878</v>
      </c>
      <c r="G10476" s="100">
        <v>118026219</v>
      </c>
      <c r="H10476" s="484">
        <v>118026219</v>
      </c>
      <c r="I10476" s="422" t="s">
        <v>816</v>
      </c>
      <c r="J10476" s="484" t="s">
        <v>912</v>
      </c>
      <c r="K10476" s="548"/>
      <c r="L10476" s="548"/>
      <c r="M10476" s="548"/>
      <c r="N10476" s="552">
        <v>163660</v>
      </c>
      <c r="R10476" s="558">
        <v>1020.586</v>
      </c>
      <c r="S10476" s="558">
        <v>1021.0202411707201</v>
      </c>
      <c r="T10476" s="538">
        <v>15.530099999999999</v>
      </c>
      <c r="U10476" s="538">
        <v>250.54</v>
      </c>
      <c r="V10476" s="538">
        <v>125.27</v>
      </c>
    </row>
    <row r="10477" spans="1:22">
      <c r="A10477" s="499">
        <v>45852</v>
      </c>
      <c r="B10477" s="499">
        <v>45853</v>
      </c>
      <c r="C10477" s="500" t="s">
        <v>173</v>
      </c>
      <c r="D10477" s="500" t="s">
        <v>762</v>
      </c>
      <c r="E10477" s="501">
        <v>456366051.24000001</v>
      </c>
      <c r="F10477" s="502" t="s">
        <v>878</v>
      </c>
      <c r="G10477" s="100">
        <v>118026222</v>
      </c>
      <c r="H10477" s="484">
        <v>118026222</v>
      </c>
      <c r="I10477" s="422" t="s">
        <v>635</v>
      </c>
      <c r="J10477" s="484" t="s">
        <v>912</v>
      </c>
      <c r="K10477" s="548"/>
      <c r="L10477" s="548"/>
      <c r="M10477" s="548"/>
      <c r="N10477" s="552">
        <v>763344</v>
      </c>
      <c r="R10477" s="558">
        <v>597.59699999999998</v>
      </c>
      <c r="S10477" s="558">
        <v>597.85110152172501</v>
      </c>
      <c r="T10477" s="538">
        <v>15.52</v>
      </c>
      <c r="U10477" s="538">
        <v>684.26</v>
      </c>
      <c r="V10477" s="538">
        <v>342.13</v>
      </c>
    </row>
    <row r="10478" spans="1:22">
      <c r="A10478" s="499">
        <v>45852</v>
      </c>
      <c r="B10478" s="499">
        <v>45852</v>
      </c>
      <c r="C10478" s="500" t="s">
        <v>173</v>
      </c>
      <c r="D10478" s="500" t="s">
        <v>761</v>
      </c>
      <c r="E10478" s="501">
        <v>-1690504380.5</v>
      </c>
      <c r="F10478" s="502" t="s">
        <v>878</v>
      </c>
      <c r="G10478" s="100">
        <v>118022414</v>
      </c>
      <c r="H10478" s="530"/>
      <c r="I10478" s="422" t="s">
        <v>675</v>
      </c>
      <c r="J10478" s="484" t="s">
        <v>906</v>
      </c>
      <c r="K10478" s="548"/>
      <c r="L10478" s="548"/>
      <c r="M10478" s="548"/>
      <c r="N10478" s="552">
        <v>1842100</v>
      </c>
      <c r="R10478" s="539">
        <v>917.70500000000004</v>
      </c>
      <c r="S10478" s="539">
        <v>918.09571604690302</v>
      </c>
      <c r="T10478" s="538">
        <v>15.54</v>
      </c>
      <c r="U10478" s="538">
        <v>2535.7600000000002</v>
      </c>
      <c r="V10478" s="538">
        <v>1267.8800000000001</v>
      </c>
    </row>
    <row r="10479" spans="1:22">
      <c r="A10479" s="499">
        <v>45852</v>
      </c>
      <c r="B10479" s="499">
        <v>45852</v>
      </c>
      <c r="C10479" s="500" t="s">
        <v>173</v>
      </c>
      <c r="D10479" s="500" t="s">
        <v>761</v>
      </c>
      <c r="E10479" s="501">
        <v>-10002984.5</v>
      </c>
      <c r="F10479" s="502" t="s">
        <v>878</v>
      </c>
      <c r="G10479" s="100">
        <v>118022425</v>
      </c>
      <c r="H10479" s="530"/>
      <c r="I10479" s="422" t="s">
        <v>675</v>
      </c>
      <c r="J10479" s="484" t="s">
        <v>906</v>
      </c>
      <c r="K10479" s="548"/>
      <c r="L10479" s="548"/>
      <c r="M10479" s="548"/>
      <c r="N10479" s="552">
        <v>10900</v>
      </c>
      <c r="R10479" s="539">
        <v>917.70500000000004</v>
      </c>
      <c r="S10479" s="539">
        <v>918.09571559633002</v>
      </c>
      <c r="T10479" s="538">
        <v>15.54</v>
      </c>
      <c r="U10479" s="538">
        <v>39.32</v>
      </c>
      <c r="V10479" s="538">
        <v>7.5</v>
      </c>
    </row>
    <row r="10480" spans="1:22">
      <c r="A10480" s="499">
        <v>45852</v>
      </c>
      <c r="B10480" s="499">
        <v>45853</v>
      </c>
      <c r="C10480" s="500" t="s">
        <v>173</v>
      </c>
      <c r="D10480" s="500" t="s">
        <v>761</v>
      </c>
      <c r="E10480" s="501">
        <v>1691224118.53</v>
      </c>
      <c r="F10480" s="502" t="s">
        <v>878</v>
      </c>
      <c r="G10480" s="100">
        <v>118022414</v>
      </c>
      <c r="H10480" s="100">
        <v>118022414</v>
      </c>
      <c r="I10480" s="422" t="s">
        <v>675</v>
      </c>
      <c r="J10480" s="484" t="s">
        <v>912</v>
      </c>
      <c r="K10480" s="548"/>
      <c r="L10480" s="548"/>
      <c r="M10480" s="548"/>
      <c r="N10480" s="552">
        <v>1842100</v>
      </c>
      <c r="R10480" s="539">
        <v>917.70500000000004</v>
      </c>
      <c r="S10480" s="539">
        <v>918.09571604690302</v>
      </c>
      <c r="T10480" s="538">
        <v>15.54</v>
      </c>
      <c r="U10480" s="538">
        <v>2535.7600000000002</v>
      </c>
      <c r="V10480" s="538">
        <v>1267.8800000000001</v>
      </c>
    </row>
    <row r="10481" spans="1:22">
      <c r="A10481" s="499">
        <v>45852</v>
      </c>
      <c r="B10481" s="499">
        <v>45853</v>
      </c>
      <c r="C10481" s="500" t="s">
        <v>173</v>
      </c>
      <c r="D10481" s="500" t="s">
        <v>761</v>
      </c>
      <c r="E10481" s="501">
        <v>10007243.300000001</v>
      </c>
      <c r="F10481" s="502" t="s">
        <v>878</v>
      </c>
      <c r="G10481" s="100">
        <v>118022425</v>
      </c>
      <c r="H10481" s="100">
        <v>118022425</v>
      </c>
      <c r="I10481" s="422" t="s">
        <v>675</v>
      </c>
      <c r="J10481" s="484" t="s">
        <v>912</v>
      </c>
      <c r="K10481" s="548"/>
      <c r="L10481" s="548"/>
      <c r="M10481" s="548"/>
      <c r="N10481" s="552">
        <v>10900</v>
      </c>
      <c r="R10481" s="539">
        <v>917.70500000000004</v>
      </c>
      <c r="S10481" s="539">
        <v>918.09571559633002</v>
      </c>
      <c r="T10481" s="538">
        <v>15.54</v>
      </c>
      <c r="U10481" s="538">
        <v>39.32</v>
      </c>
      <c r="V10481" s="538">
        <v>7.5</v>
      </c>
    </row>
    <row r="10482" spans="1:22">
      <c r="A10482" s="499">
        <v>45852</v>
      </c>
      <c r="B10482" s="499">
        <v>45852</v>
      </c>
      <c r="C10482" s="500" t="s">
        <v>173</v>
      </c>
      <c r="D10482" s="500" t="s">
        <v>759</v>
      </c>
      <c r="E10482" s="501">
        <v>-1159790515.6500001</v>
      </c>
      <c r="F10482" s="502" t="s">
        <v>878</v>
      </c>
      <c r="G10482" s="100">
        <v>118020810</v>
      </c>
      <c r="H10482" s="530"/>
      <c r="I10482" s="422" t="s">
        <v>658</v>
      </c>
      <c r="J10482" s="484" t="s">
        <v>906</v>
      </c>
      <c r="K10482" s="548"/>
      <c r="L10482" s="548"/>
      <c r="M10482" s="548"/>
      <c r="N10482" s="552">
        <v>1162477</v>
      </c>
      <c r="R10482" s="539">
        <v>997.68899999741939</v>
      </c>
      <c r="S10482" s="539">
        <v>998.11404284127798</v>
      </c>
      <c r="T10482" s="538">
        <v>15.55</v>
      </c>
      <c r="U10482" s="538">
        <v>1739.69</v>
      </c>
      <c r="V10482" s="538">
        <v>869.84</v>
      </c>
    </row>
    <row r="10483" spans="1:22">
      <c r="A10483" s="499">
        <v>45852</v>
      </c>
      <c r="B10483" s="499">
        <v>45852</v>
      </c>
      <c r="C10483" s="500" t="s">
        <v>173</v>
      </c>
      <c r="D10483" s="500" t="s">
        <v>759</v>
      </c>
      <c r="E10483" s="501">
        <v>-886264426.70000005</v>
      </c>
      <c r="F10483" s="502" t="s">
        <v>878</v>
      </c>
      <c r="G10483" s="100">
        <v>118020852</v>
      </c>
      <c r="H10483" s="530"/>
      <c r="I10483" s="422" t="s">
        <v>675</v>
      </c>
      <c r="J10483" s="484" t="s">
        <v>906</v>
      </c>
      <c r="K10483" s="548"/>
      <c r="L10483" s="548"/>
      <c r="M10483" s="548"/>
      <c r="N10483" s="552">
        <v>965740</v>
      </c>
      <c r="R10483" s="539">
        <v>917.70500000000004</v>
      </c>
      <c r="S10483" s="539">
        <v>918.095967475718</v>
      </c>
      <c r="T10483" s="538">
        <v>15.55</v>
      </c>
      <c r="U10483" s="538">
        <v>1329.4</v>
      </c>
      <c r="V10483" s="538">
        <v>664.7</v>
      </c>
    </row>
    <row r="10484" spans="1:22">
      <c r="A10484" s="499">
        <v>45852</v>
      </c>
      <c r="B10484" s="499">
        <v>45852</v>
      </c>
      <c r="C10484" s="500" t="s">
        <v>173</v>
      </c>
      <c r="D10484" s="500" t="s">
        <v>759</v>
      </c>
      <c r="E10484" s="501">
        <v>-12004528.539999999</v>
      </c>
      <c r="F10484" s="502" t="s">
        <v>878</v>
      </c>
      <c r="G10484" s="100">
        <v>118027570</v>
      </c>
      <c r="H10484" s="530"/>
      <c r="I10484" s="422" t="s">
        <v>635</v>
      </c>
      <c r="J10484" s="484" t="s">
        <v>906</v>
      </c>
      <c r="K10484" s="548"/>
      <c r="L10484" s="548"/>
      <c r="M10484" s="548"/>
      <c r="N10484" s="552">
        <v>20088</v>
      </c>
      <c r="R10484" s="539">
        <v>597.59700019912384</v>
      </c>
      <c r="S10484" s="539">
        <v>597.85110165272795</v>
      </c>
      <c r="T10484" s="538">
        <v>15.52</v>
      </c>
      <c r="U10484" s="538">
        <v>39.32</v>
      </c>
      <c r="V10484" s="538">
        <v>9</v>
      </c>
    </row>
    <row r="10485" spans="1:22">
      <c r="A10485" s="499">
        <v>45852</v>
      </c>
      <c r="B10485" s="499">
        <v>45853</v>
      </c>
      <c r="C10485" s="500" t="s">
        <v>173</v>
      </c>
      <c r="D10485" s="500" t="s">
        <v>759</v>
      </c>
      <c r="E10485" s="501">
        <v>1160284618.1800001</v>
      </c>
      <c r="F10485" s="502" t="s">
        <v>878</v>
      </c>
      <c r="G10485" s="100">
        <v>118020810</v>
      </c>
      <c r="H10485" s="100">
        <v>118020810</v>
      </c>
      <c r="I10485" s="422" t="s">
        <v>658</v>
      </c>
      <c r="J10485" s="484" t="s">
        <v>912</v>
      </c>
      <c r="K10485" s="548"/>
      <c r="L10485" s="548"/>
      <c r="M10485" s="548"/>
      <c r="N10485" s="552">
        <v>1162477</v>
      </c>
      <c r="R10485" s="539">
        <v>997.68899999741939</v>
      </c>
      <c r="S10485" s="539">
        <v>998.11404284127798</v>
      </c>
      <c r="T10485" s="538">
        <v>15.55</v>
      </c>
      <c r="U10485" s="538">
        <v>1739.69</v>
      </c>
      <c r="V10485" s="538">
        <v>869.84</v>
      </c>
    </row>
    <row r="10486" spans="1:22">
      <c r="A10486" s="499">
        <v>45852</v>
      </c>
      <c r="B10486" s="499">
        <v>45853</v>
      </c>
      <c r="C10486" s="500" t="s">
        <v>173</v>
      </c>
      <c r="D10486" s="500" t="s">
        <v>759</v>
      </c>
      <c r="E10486" s="501">
        <v>886641999.63</v>
      </c>
      <c r="F10486" s="502" t="s">
        <v>878</v>
      </c>
      <c r="G10486" s="100">
        <v>118020852</v>
      </c>
      <c r="H10486" s="100">
        <v>118020852</v>
      </c>
      <c r="I10486" s="422" t="s">
        <v>675</v>
      </c>
      <c r="J10486" s="484" t="s">
        <v>912</v>
      </c>
      <c r="K10486" s="548"/>
      <c r="L10486" s="548"/>
      <c r="M10486" s="548"/>
      <c r="N10486" s="552">
        <v>965740</v>
      </c>
      <c r="R10486" s="539">
        <v>917.70500000000004</v>
      </c>
      <c r="S10486" s="539">
        <v>918.095967475718</v>
      </c>
      <c r="T10486" s="538">
        <v>15.55</v>
      </c>
      <c r="U10486" s="538">
        <v>1329.4</v>
      </c>
      <c r="V10486" s="538">
        <v>664.7</v>
      </c>
    </row>
    <row r="10487" spans="1:22">
      <c r="A10487" s="499">
        <v>45852</v>
      </c>
      <c r="B10487" s="499">
        <v>45853</v>
      </c>
      <c r="C10487" s="500" t="s">
        <v>173</v>
      </c>
      <c r="D10487" s="500" t="s">
        <v>759</v>
      </c>
      <c r="E10487" s="501">
        <v>12009632.93</v>
      </c>
      <c r="F10487" s="502" t="s">
        <v>878</v>
      </c>
      <c r="G10487" s="100">
        <v>118027570</v>
      </c>
      <c r="H10487" s="100">
        <v>118027570</v>
      </c>
      <c r="I10487" s="422" t="s">
        <v>635</v>
      </c>
      <c r="J10487" s="484" t="s">
        <v>912</v>
      </c>
      <c r="K10487" s="548"/>
      <c r="L10487" s="548"/>
      <c r="M10487" s="548"/>
      <c r="N10487" s="552">
        <v>20088</v>
      </c>
      <c r="R10487" s="539">
        <v>597.59700019912384</v>
      </c>
      <c r="S10487" s="539">
        <v>597.85110165272795</v>
      </c>
      <c r="T10487" s="538">
        <v>15.52</v>
      </c>
      <c r="U10487" s="538">
        <v>39.32</v>
      </c>
      <c r="V10487" s="538">
        <v>9</v>
      </c>
    </row>
    <row r="10488" spans="1:22">
      <c r="A10488" s="499">
        <v>45852</v>
      </c>
      <c r="B10488" s="499">
        <v>45852</v>
      </c>
      <c r="C10488" s="500" t="s">
        <v>173</v>
      </c>
      <c r="D10488" s="500" t="s">
        <v>763</v>
      </c>
      <c r="E10488" s="501">
        <v>-4036204245.75</v>
      </c>
      <c r="F10488" s="502" t="s">
        <v>878</v>
      </c>
      <c r="G10488" s="522">
        <v>118020864</v>
      </c>
      <c r="H10488" s="530"/>
      <c r="I10488" s="422" t="s">
        <v>675</v>
      </c>
      <c r="J10488" s="484" t="s">
        <v>906</v>
      </c>
      <c r="K10488" s="548"/>
      <c r="L10488" s="548"/>
      <c r="M10488" s="548"/>
      <c r="N10488" s="552">
        <v>4398150</v>
      </c>
      <c r="R10488" s="561">
        <v>917.70500000000004</v>
      </c>
      <c r="S10488" s="561">
        <v>918.09596747268699</v>
      </c>
      <c r="T10488" s="562">
        <v>15.55</v>
      </c>
      <c r="U10488" s="562">
        <v>6054.31</v>
      </c>
      <c r="V10488" s="562">
        <v>3027.15</v>
      </c>
    </row>
    <row r="10489" spans="1:22">
      <c r="A10489" s="499">
        <v>45852</v>
      </c>
      <c r="B10489" s="499">
        <v>45852</v>
      </c>
      <c r="C10489" s="500" t="s">
        <v>173</v>
      </c>
      <c r="D10489" s="500" t="s">
        <v>763</v>
      </c>
      <c r="E10489" s="501">
        <v>-973593054.20000005</v>
      </c>
      <c r="F10489" s="502" t="s">
        <v>878</v>
      </c>
      <c r="G10489" s="522">
        <v>118020867</v>
      </c>
      <c r="H10489" s="530"/>
      <c r="I10489" s="422" t="s">
        <v>716</v>
      </c>
      <c r="J10489" s="484" t="s">
        <v>906</v>
      </c>
      <c r="K10489" s="548"/>
      <c r="L10489" s="548"/>
      <c r="M10489" s="548"/>
      <c r="N10489" s="552">
        <v>1441013</v>
      </c>
      <c r="R10489" s="561">
        <v>675.63099999999997</v>
      </c>
      <c r="S10489" s="561">
        <v>675.918470804913</v>
      </c>
      <c r="T10489" s="562">
        <v>15.530200000000001</v>
      </c>
      <c r="U10489" s="562">
        <v>1460.39</v>
      </c>
      <c r="V10489" s="562">
        <v>730.19</v>
      </c>
    </row>
    <row r="10490" spans="1:22">
      <c r="A10490" s="499">
        <v>45852</v>
      </c>
      <c r="B10490" s="499">
        <v>45852</v>
      </c>
      <c r="C10490" s="500" t="s">
        <v>173</v>
      </c>
      <c r="D10490" s="500" t="s">
        <v>763</v>
      </c>
      <c r="E10490" s="501">
        <v>-29008655.050000001</v>
      </c>
      <c r="F10490" s="502" t="s">
        <v>878</v>
      </c>
      <c r="G10490" s="522">
        <v>118020905</v>
      </c>
      <c r="H10490" s="530"/>
      <c r="I10490" s="422" t="s">
        <v>675</v>
      </c>
      <c r="J10490" s="484" t="s">
        <v>906</v>
      </c>
      <c r="K10490" s="548"/>
      <c r="L10490" s="548"/>
      <c r="M10490" s="548"/>
      <c r="N10490" s="552">
        <v>31610</v>
      </c>
      <c r="R10490" s="561">
        <v>917.70500000000004</v>
      </c>
      <c r="S10490" s="561">
        <v>918.09571591268605</v>
      </c>
      <c r="T10490" s="562">
        <v>15.54</v>
      </c>
      <c r="U10490" s="562">
        <v>43.51</v>
      </c>
      <c r="V10490" s="562">
        <v>39.32</v>
      </c>
    </row>
    <row r="10491" spans="1:22">
      <c r="A10491" s="499">
        <v>45852</v>
      </c>
      <c r="B10491" s="499">
        <v>45852</v>
      </c>
      <c r="C10491" s="500" t="s">
        <v>173</v>
      </c>
      <c r="D10491" s="500" t="s">
        <v>763</v>
      </c>
      <c r="E10491" s="501">
        <v>-1000298.45</v>
      </c>
      <c r="F10491" s="502" t="s">
        <v>878</v>
      </c>
      <c r="G10491" s="522">
        <v>118020947</v>
      </c>
      <c r="H10491" s="530"/>
      <c r="I10491" s="422" t="s">
        <v>675</v>
      </c>
      <c r="J10491" s="484" t="s">
        <v>906</v>
      </c>
      <c r="K10491" s="548"/>
      <c r="L10491" s="548"/>
      <c r="M10491" s="548"/>
      <c r="N10491" s="552">
        <v>1090</v>
      </c>
      <c r="R10491" s="561">
        <v>917.70500000000004</v>
      </c>
      <c r="S10491" s="561">
        <v>918.09571559633002</v>
      </c>
      <c r="T10491" s="562">
        <v>15.54</v>
      </c>
      <c r="U10491" s="562">
        <v>39.32</v>
      </c>
      <c r="V10491" s="562">
        <v>39.32</v>
      </c>
    </row>
    <row r="10492" spans="1:22">
      <c r="A10492" s="499">
        <v>45852</v>
      </c>
      <c r="B10492" s="499">
        <v>45853</v>
      </c>
      <c r="C10492" s="500" t="s">
        <v>173</v>
      </c>
      <c r="D10492" s="500" t="s">
        <v>763</v>
      </c>
      <c r="E10492" s="501">
        <v>4037923779.3400002</v>
      </c>
      <c r="F10492" s="502" t="s">
        <v>878</v>
      </c>
      <c r="G10492" s="522">
        <v>118020864</v>
      </c>
      <c r="H10492" s="522">
        <v>118020864</v>
      </c>
      <c r="I10492" s="422" t="s">
        <v>675</v>
      </c>
      <c r="J10492" s="484" t="s">
        <v>912</v>
      </c>
      <c r="K10492" s="548"/>
      <c r="L10492" s="548"/>
      <c r="M10492" s="548"/>
      <c r="N10492" s="552">
        <v>4398150</v>
      </c>
      <c r="R10492" s="561">
        <v>917.70500000000004</v>
      </c>
      <c r="S10492" s="561">
        <v>918.09596747268699</v>
      </c>
      <c r="T10492" s="562">
        <v>15.55</v>
      </c>
      <c r="U10492" s="562">
        <v>6054.31</v>
      </c>
      <c r="V10492" s="562">
        <v>3027.15</v>
      </c>
    </row>
    <row r="10493" spans="1:22">
      <c r="A10493" s="499">
        <v>45852</v>
      </c>
      <c r="B10493" s="499">
        <v>45853</v>
      </c>
      <c r="C10493" s="500" t="s">
        <v>173</v>
      </c>
      <c r="D10493" s="500" t="s">
        <v>763</v>
      </c>
      <c r="E10493" s="501">
        <v>974007303.37</v>
      </c>
      <c r="F10493" s="502" t="s">
        <v>878</v>
      </c>
      <c r="G10493" s="522">
        <v>118020867</v>
      </c>
      <c r="H10493" s="522">
        <v>118020867</v>
      </c>
      <c r="I10493" s="422" t="s">
        <v>716</v>
      </c>
      <c r="J10493" s="484" t="s">
        <v>912</v>
      </c>
      <c r="K10493" s="548"/>
      <c r="L10493" s="548"/>
      <c r="M10493" s="548"/>
      <c r="N10493" s="552">
        <v>1441013</v>
      </c>
      <c r="R10493" s="561">
        <v>675.63099999999997</v>
      </c>
      <c r="S10493" s="561">
        <v>675.918470804913</v>
      </c>
      <c r="T10493" s="562">
        <v>15.530200000000001</v>
      </c>
      <c r="U10493" s="562">
        <v>1460.39</v>
      </c>
      <c r="V10493" s="562">
        <v>730.19</v>
      </c>
    </row>
    <row r="10494" spans="1:22">
      <c r="A10494" s="499">
        <v>45852</v>
      </c>
      <c r="B10494" s="499">
        <v>45853</v>
      </c>
      <c r="C10494" s="500" t="s">
        <v>173</v>
      </c>
      <c r="D10494" s="500" t="s">
        <v>763</v>
      </c>
      <c r="E10494" s="501">
        <v>29021005.579999998</v>
      </c>
      <c r="F10494" s="502" t="s">
        <v>878</v>
      </c>
      <c r="G10494" s="522">
        <v>118020905</v>
      </c>
      <c r="H10494" s="522">
        <v>118020905</v>
      </c>
      <c r="I10494" s="422" t="s">
        <v>675</v>
      </c>
      <c r="J10494" s="484" t="s">
        <v>912</v>
      </c>
      <c r="K10494" s="548"/>
      <c r="L10494" s="548"/>
      <c r="M10494" s="548"/>
      <c r="N10494" s="552">
        <v>31610</v>
      </c>
      <c r="R10494" s="561">
        <v>917.70500000000004</v>
      </c>
      <c r="S10494" s="561">
        <v>918.09571591268605</v>
      </c>
      <c r="T10494" s="562">
        <v>15.54</v>
      </c>
      <c r="U10494" s="562">
        <v>43.51</v>
      </c>
      <c r="V10494" s="562">
        <v>39.32</v>
      </c>
    </row>
    <row r="10495" spans="1:22">
      <c r="A10495" s="499">
        <v>45852</v>
      </c>
      <c r="B10495" s="499">
        <v>45853</v>
      </c>
      <c r="C10495" s="500" t="s">
        <v>173</v>
      </c>
      <c r="D10495" s="500" t="s">
        <v>763</v>
      </c>
      <c r="E10495" s="501">
        <v>1000724.33</v>
      </c>
      <c r="F10495" s="502" t="s">
        <v>878</v>
      </c>
      <c r="G10495" s="522">
        <v>118020947</v>
      </c>
      <c r="H10495" s="522">
        <v>118020947</v>
      </c>
      <c r="I10495" s="422" t="s">
        <v>675</v>
      </c>
      <c r="J10495" s="484" t="s">
        <v>912</v>
      </c>
      <c r="K10495" s="548"/>
      <c r="L10495" s="548"/>
      <c r="M10495" s="548"/>
      <c r="N10495" s="552">
        <v>1090</v>
      </c>
      <c r="R10495" s="561">
        <v>917.70500000000004</v>
      </c>
      <c r="S10495" s="561">
        <v>918.09571559633002</v>
      </c>
      <c r="T10495" s="562">
        <v>15.54</v>
      </c>
      <c r="U10495" s="562">
        <v>39.32</v>
      </c>
      <c r="V10495" s="562">
        <v>39.32</v>
      </c>
    </row>
    <row r="10496" spans="1:22">
      <c r="A10496" s="499">
        <v>45852</v>
      </c>
      <c r="B10496" s="499">
        <v>45852</v>
      </c>
      <c r="C10496" s="500" t="s">
        <v>173</v>
      </c>
      <c r="D10496" s="500" t="s">
        <v>760</v>
      </c>
      <c r="E10496" s="501">
        <v>-1300886687.0999999</v>
      </c>
      <c r="F10496" s="502" t="s">
        <v>878</v>
      </c>
      <c r="G10496" s="100">
        <v>118020801</v>
      </c>
      <c r="H10496" s="530"/>
      <c r="I10496" s="422" t="s">
        <v>658</v>
      </c>
      <c r="J10496" s="484" t="s">
        <v>906</v>
      </c>
      <c r="K10496" s="548"/>
      <c r="L10496" s="548"/>
      <c r="M10496" s="548"/>
      <c r="N10496" s="552">
        <v>1303900</v>
      </c>
      <c r="R10496" s="539">
        <v>997.68899999999996</v>
      </c>
      <c r="S10496" s="539">
        <v>998.11404011810703</v>
      </c>
      <c r="T10496" s="538">
        <v>15.549899999999999</v>
      </c>
      <c r="U10496" s="538">
        <v>1951.33</v>
      </c>
      <c r="V10496" s="538">
        <v>975.67</v>
      </c>
    </row>
    <row r="10497" spans="1:22">
      <c r="A10497" s="499">
        <v>45852</v>
      </c>
      <c r="B10497" s="499">
        <v>45852</v>
      </c>
      <c r="C10497" s="500" t="s">
        <v>173</v>
      </c>
      <c r="D10497" s="500" t="s">
        <v>760</v>
      </c>
      <c r="E10497" s="501">
        <v>-21006267.449999999</v>
      </c>
      <c r="F10497" s="502" t="s">
        <v>878</v>
      </c>
      <c r="G10497" s="100">
        <v>118022499</v>
      </c>
      <c r="H10497" s="530"/>
      <c r="I10497" s="422" t="s">
        <v>675</v>
      </c>
      <c r="J10497" s="484" t="s">
        <v>906</v>
      </c>
      <c r="K10497" s="548"/>
      <c r="L10497" s="548"/>
      <c r="M10497" s="548"/>
      <c r="N10497" s="552">
        <v>22890</v>
      </c>
      <c r="R10497" s="539">
        <v>917.70500000000004</v>
      </c>
      <c r="S10497" s="539">
        <v>918.09571603320205</v>
      </c>
      <c r="T10497" s="538">
        <v>15.54</v>
      </c>
      <c r="U10497" s="538">
        <v>39.32</v>
      </c>
      <c r="V10497" s="538">
        <v>15.75</v>
      </c>
    </row>
    <row r="10498" spans="1:22">
      <c r="A10498" s="499">
        <v>45852</v>
      </c>
      <c r="B10498" s="499">
        <v>45853</v>
      </c>
      <c r="C10498" s="500" t="s">
        <v>173</v>
      </c>
      <c r="D10498" s="500" t="s">
        <v>760</v>
      </c>
      <c r="E10498" s="501">
        <v>1301440896.9100001</v>
      </c>
      <c r="F10498" s="502" t="s">
        <v>878</v>
      </c>
      <c r="G10498" s="100">
        <v>118020801</v>
      </c>
      <c r="H10498" s="100">
        <v>118020801</v>
      </c>
      <c r="I10498" s="422" t="s">
        <v>658</v>
      </c>
      <c r="J10498" s="484" t="s">
        <v>912</v>
      </c>
      <c r="K10498" s="548"/>
      <c r="L10498" s="548"/>
      <c r="M10498" s="548"/>
      <c r="N10498" s="552">
        <v>1303900</v>
      </c>
      <c r="R10498" s="539">
        <v>997.68899999999996</v>
      </c>
      <c r="S10498" s="539">
        <v>998.11404011810703</v>
      </c>
      <c r="T10498" s="538">
        <v>15.549899999999999</v>
      </c>
      <c r="U10498" s="538">
        <v>1951.33</v>
      </c>
      <c r="V10498" s="538">
        <v>975.67</v>
      </c>
    </row>
    <row r="10499" spans="1:22">
      <c r="A10499" s="499">
        <v>45852</v>
      </c>
      <c r="B10499" s="499">
        <v>45853</v>
      </c>
      <c r="C10499" s="500" t="s">
        <v>173</v>
      </c>
      <c r="D10499" s="500" t="s">
        <v>760</v>
      </c>
      <c r="E10499" s="501">
        <v>21015210.940000001</v>
      </c>
      <c r="F10499" s="502" t="s">
        <v>878</v>
      </c>
      <c r="G10499" s="100">
        <v>118022499</v>
      </c>
      <c r="H10499" s="100">
        <v>118022499</v>
      </c>
      <c r="I10499" s="422" t="s">
        <v>675</v>
      </c>
      <c r="J10499" s="484" t="s">
        <v>912</v>
      </c>
      <c r="K10499" s="548"/>
      <c r="L10499" s="548"/>
      <c r="M10499" s="548"/>
      <c r="N10499" s="552">
        <v>22890</v>
      </c>
      <c r="R10499" s="539">
        <v>917.70500000000004</v>
      </c>
      <c r="S10499" s="539">
        <v>918.09571603320205</v>
      </c>
      <c r="T10499" s="538">
        <v>15.54</v>
      </c>
      <c r="U10499" s="538">
        <v>39.32</v>
      </c>
      <c r="V10499" s="538">
        <v>15.75</v>
      </c>
    </row>
    <row r="10500" spans="1:22">
      <c r="A10500" s="499">
        <v>45853</v>
      </c>
      <c r="B10500" s="499">
        <v>45853</v>
      </c>
      <c r="C10500" s="500" t="s">
        <v>173</v>
      </c>
      <c r="D10500" s="500" t="s">
        <v>761</v>
      </c>
      <c r="E10500" s="501">
        <v>-1691617198.1800001</v>
      </c>
      <c r="F10500" s="502" t="s">
        <v>878</v>
      </c>
      <c r="G10500" s="100">
        <v>118054180</v>
      </c>
      <c r="H10500" s="530"/>
      <c r="I10500" s="422" t="s">
        <v>658</v>
      </c>
      <c r="J10500" s="484" t="s">
        <v>906</v>
      </c>
      <c r="K10500" s="548"/>
      <c r="L10500" s="548"/>
      <c r="M10500" s="548"/>
      <c r="N10500" s="552">
        <v>1700140</v>
      </c>
      <c r="R10500" s="539">
        <v>994.98700000000008</v>
      </c>
      <c r="S10500" s="539">
        <v>995.41034652440396</v>
      </c>
      <c r="T10500" s="538">
        <v>15.53</v>
      </c>
      <c r="U10500" s="538">
        <v>2537.4299999999998</v>
      </c>
      <c r="V10500" s="538">
        <v>1268.71</v>
      </c>
    </row>
    <row r="10501" spans="1:22">
      <c r="A10501" s="499">
        <v>45853</v>
      </c>
      <c r="B10501" s="499">
        <v>45853</v>
      </c>
      <c r="C10501" s="500" t="s">
        <v>173</v>
      </c>
      <c r="D10501" s="500" t="s">
        <v>761</v>
      </c>
      <c r="E10501" s="501">
        <v>-9008612.3000000007</v>
      </c>
      <c r="F10501" s="502" t="s">
        <v>878</v>
      </c>
      <c r="G10501" s="100">
        <v>118054205</v>
      </c>
      <c r="H10501" s="530"/>
      <c r="I10501" s="422" t="s">
        <v>658</v>
      </c>
      <c r="J10501" s="484" t="s">
        <v>906</v>
      </c>
      <c r="K10501" s="548"/>
      <c r="L10501" s="548"/>
      <c r="M10501" s="548"/>
      <c r="N10501" s="552">
        <v>9054</v>
      </c>
      <c r="R10501" s="539">
        <v>994.9870002208969</v>
      </c>
      <c r="S10501" s="539">
        <v>995.41034680804103</v>
      </c>
      <c r="T10501" s="538">
        <v>15.53</v>
      </c>
      <c r="U10501" s="538">
        <v>39.32</v>
      </c>
      <c r="V10501" s="538">
        <v>6.76</v>
      </c>
    </row>
    <row r="10502" spans="1:22">
      <c r="A10502" s="499">
        <v>45853</v>
      </c>
      <c r="B10502" s="499">
        <v>45854</v>
      </c>
      <c r="C10502" s="500" t="s">
        <v>173</v>
      </c>
      <c r="D10502" s="500" t="s">
        <v>761</v>
      </c>
      <c r="E10502" s="501">
        <v>1692336946.54</v>
      </c>
      <c r="F10502" s="502" t="s">
        <v>878</v>
      </c>
      <c r="G10502" s="100">
        <v>118054180</v>
      </c>
      <c r="H10502" s="100">
        <v>118054180</v>
      </c>
      <c r="I10502" s="422" t="s">
        <v>658</v>
      </c>
      <c r="J10502" s="484" t="s">
        <v>912</v>
      </c>
      <c r="K10502" s="548"/>
      <c r="L10502" s="548"/>
      <c r="M10502" s="548"/>
      <c r="N10502" s="552">
        <v>1700140</v>
      </c>
      <c r="R10502" s="539">
        <v>994.98700000000008</v>
      </c>
      <c r="S10502" s="539">
        <v>995.41034652440396</v>
      </c>
      <c r="T10502" s="538">
        <v>15.53</v>
      </c>
      <c r="U10502" s="538">
        <v>2537.4299999999998</v>
      </c>
      <c r="V10502" s="538">
        <v>1268.71</v>
      </c>
    </row>
    <row r="10503" spans="1:22">
      <c r="A10503" s="499">
        <v>45853</v>
      </c>
      <c r="B10503" s="499">
        <v>45854</v>
      </c>
      <c r="C10503" s="500" t="s">
        <v>173</v>
      </c>
      <c r="D10503" s="500" t="s">
        <v>761</v>
      </c>
      <c r="E10503" s="501">
        <v>9012445.2799999993</v>
      </c>
      <c r="F10503" s="502" t="s">
        <v>878</v>
      </c>
      <c r="G10503" s="100">
        <v>118054205</v>
      </c>
      <c r="H10503" s="100">
        <v>118054205</v>
      </c>
      <c r="I10503" s="422" t="s">
        <v>658</v>
      </c>
      <c r="J10503" s="484" t="s">
        <v>912</v>
      </c>
      <c r="K10503" s="548"/>
      <c r="L10503" s="548"/>
      <c r="M10503" s="548"/>
      <c r="N10503" s="552">
        <v>9054</v>
      </c>
      <c r="R10503" s="539">
        <v>994.9870002208969</v>
      </c>
      <c r="S10503" s="539">
        <v>995.41034680804103</v>
      </c>
      <c r="T10503" s="538">
        <v>15.53</v>
      </c>
      <c r="U10503" s="538">
        <v>39.32</v>
      </c>
      <c r="V10503" s="538">
        <v>6.76</v>
      </c>
    </row>
    <row r="10504" spans="1:22">
      <c r="A10504" s="499">
        <v>45853</v>
      </c>
      <c r="B10504" s="499">
        <v>45853</v>
      </c>
      <c r="C10504" s="500" t="s">
        <v>173</v>
      </c>
      <c r="D10504" s="500" t="s">
        <v>762</v>
      </c>
      <c r="E10504" s="501">
        <v>-357285463.63</v>
      </c>
      <c r="F10504" s="502" t="s">
        <v>878</v>
      </c>
      <c r="G10504" s="100">
        <v>118057776</v>
      </c>
      <c r="H10504" s="530"/>
      <c r="I10504" s="422" t="s">
        <v>678</v>
      </c>
      <c r="J10504" s="484" t="s">
        <v>906</v>
      </c>
      <c r="K10504" s="548"/>
      <c r="L10504" s="548"/>
      <c r="M10504" s="548"/>
      <c r="N10504" s="552">
        <v>379491</v>
      </c>
      <c r="R10504" s="558">
        <v>941.48599999999999</v>
      </c>
      <c r="S10504" s="558">
        <v>941.88606965646102</v>
      </c>
      <c r="T10504" s="538">
        <v>15.5101</v>
      </c>
      <c r="U10504" s="538">
        <v>535.92999999999995</v>
      </c>
      <c r="V10504" s="538">
        <v>267.95999999999998</v>
      </c>
    </row>
    <row r="10505" spans="1:22">
      <c r="A10505" s="499">
        <v>45853</v>
      </c>
      <c r="B10505" s="499">
        <v>45853</v>
      </c>
      <c r="C10505" s="500" t="s">
        <v>173</v>
      </c>
      <c r="D10505" s="500" t="s">
        <v>762</v>
      </c>
      <c r="E10505" s="501">
        <v>-147097937.28</v>
      </c>
      <c r="F10505" s="502" t="s">
        <v>878</v>
      </c>
      <c r="G10505" s="100">
        <v>118057779</v>
      </c>
      <c r="H10505" s="530"/>
      <c r="I10505" s="422" t="s">
        <v>816</v>
      </c>
      <c r="J10505" s="484" t="s">
        <v>906</v>
      </c>
      <c r="K10505" s="548"/>
      <c r="L10505" s="548"/>
      <c r="M10505" s="548"/>
      <c r="N10505" s="552">
        <v>144060</v>
      </c>
      <c r="R10505" s="558">
        <v>1021.088</v>
      </c>
      <c r="S10505" s="558">
        <v>1021.52189525198</v>
      </c>
      <c r="T10505" s="538">
        <v>15.5101</v>
      </c>
      <c r="U10505" s="538">
        <v>220.65</v>
      </c>
      <c r="V10505" s="538">
        <v>110.32</v>
      </c>
    </row>
    <row r="10506" spans="1:22">
      <c r="A10506" s="499">
        <v>45853</v>
      </c>
      <c r="B10506" s="499">
        <v>45853</v>
      </c>
      <c r="C10506" s="500" t="s">
        <v>173</v>
      </c>
      <c r="D10506" s="500" t="s">
        <v>762</v>
      </c>
      <c r="E10506" s="501">
        <v>-1059705548.16</v>
      </c>
      <c r="F10506" s="502" t="s">
        <v>878</v>
      </c>
      <c r="G10506" s="100">
        <v>118057782</v>
      </c>
      <c r="H10506" s="530"/>
      <c r="I10506" s="422" t="s">
        <v>816</v>
      </c>
      <c r="J10506" s="484" t="s">
        <v>906</v>
      </c>
      <c r="K10506" s="548"/>
      <c r="L10506" s="548"/>
      <c r="M10506" s="548"/>
      <c r="N10506" s="552">
        <v>1037820</v>
      </c>
      <c r="R10506" s="558">
        <v>1021.088</v>
      </c>
      <c r="S10506" s="558">
        <v>1021.5218924669</v>
      </c>
      <c r="T10506" s="538">
        <v>15.51</v>
      </c>
      <c r="U10506" s="538">
        <v>1589.56</v>
      </c>
      <c r="V10506" s="538">
        <v>794.78</v>
      </c>
    </row>
    <row r="10507" spans="1:22">
      <c r="A10507" s="499">
        <v>45853</v>
      </c>
      <c r="B10507" s="499">
        <v>45854</v>
      </c>
      <c r="C10507" s="500" t="s">
        <v>173</v>
      </c>
      <c r="D10507" s="500" t="s">
        <v>762</v>
      </c>
      <c r="E10507" s="501">
        <v>357437286.45999998</v>
      </c>
      <c r="F10507" s="502" t="s">
        <v>878</v>
      </c>
      <c r="G10507" s="100">
        <v>118057776</v>
      </c>
      <c r="H10507" s="484">
        <v>118057776</v>
      </c>
      <c r="I10507" s="422" t="s">
        <v>678</v>
      </c>
      <c r="J10507" s="484" t="s">
        <v>912</v>
      </c>
      <c r="K10507" s="548"/>
      <c r="L10507" s="548"/>
      <c r="M10507" s="548"/>
      <c r="N10507" s="552">
        <v>379491</v>
      </c>
      <c r="R10507" s="558">
        <v>941.48599999999999</v>
      </c>
      <c r="S10507" s="558">
        <v>941.88606965646102</v>
      </c>
      <c r="T10507" s="538">
        <v>15.5101</v>
      </c>
      <c r="U10507" s="538">
        <v>535.92999999999995</v>
      </c>
      <c r="V10507" s="538">
        <v>267.95999999999998</v>
      </c>
    </row>
    <row r="10508" spans="1:22">
      <c r="A10508" s="499">
        <v>45853</v>
      </c>
      <c r="B10508" s="499">
        <v>45854</v>
      </c>
      <c r="C10508" s="500" t="s">
        <v>173</v>
      </c>
      <c r="D10508" s="500" t="s">
        <v>762</v>
      </c>
      <c r="E10508" s="501">
        <v>147160444.22999999</v>
      </c>
      <c r="F10508" s="502" t="s">
        <v>878</v>
      </c>
      <c r="G10508" s="100">
        <v>118057779</v>
      </c>
      <c r="H10508" s="484">
        <v>118057779</v>
      </c>
      <c r="I10508" s="422" t="s">
        <v>816</v>
      </c>
      <c r="J10508" s="484" t="s">
        <v>912</v>
      </c>
      <c r="K10508" s="548"/>
      <c r="L10508" s="548"/>
      <c r="M10508" s="548"/>
      <c r="N10508" s="552">
        <v>144060</v>
      </c>
      <c r="R10508" s="558">
        <v>1021.088</v>
      </c>
      <c r="S10508" s="558">
        <v>1021.52189525198</v>
      </c>
      <c r="T10508" s="538">
        <v>15.5101</v>
      </c>
      <c r="U10508" s="538">
        <v>220.65</v>
      </c>
      <c r="V10508" s="538">
        <v>110.32</v>
      </c>
    </row>
    <row r="10509" spans="1:22">
      <c r="A10509" s="499">
        <v>45853</v>
      </c>
      <c r="B10509" s="499">
        <v>45854</v>
      </c>
      <c r="C10509" s="500" t="s">
        <v>173</v>
      </c>
      <c r="D10509" s="500" t="s">
        <v>762</v>
      </c>
      <c r="E10509" s="501">
        <v>1060155850.4400001</v>
      </c>
      <c r="F10509" s="502" t="s">
        <v>878</v>
      </c>
      <c r="G10509" s="100">
        <v>118057782</v>
      </c>
      <c r="H10509" s="484">
        <v>118057782</v>
      </c>
      <c r="I10509" s="422" t="s">
        <v>816</v>
      </c>
      <c r="J10509" s="484" t="s">
        <v>912</v>
      </c>
      <c r="K10509" s="548"/>
      <c r="L10509" s="548"/>
      <c r="M10509" s="548"/>
      <c r="N10509" s="552">
        <v>1037820</v>
      </c>
      <c r="R10509" s="558">
        <v>1021.088</v>
      </c>
      <c r="S10509" s="558">
        <v>1021.5218924669</v>
      </c>
      <c r="T10509" s="538">
        <v>15.51</v>
      </c>
      <c r="U10509" s="538">
        <v>1589.56</v>
      </c>
      <c r="V10509" s="538">
        <v>794.78</v>
      </c>
    </row>
    <row r="10510" spans="1:22">
      <c r="A10510" s="499">
        <v>45853</v>
      </c>
      <c r="B10510" s="499">
        <v>45853</v>
      </c>
      <c r="C10510" s="500" t="s">
        <v>173</v>
      </c>
      <c r="D10510" s="500" t="s">
        <v>759</v>
      </c>
      <c r="E10510" s="501">
        <v>-2001913844</v>
      </c>
      <c r="F10510" s="502" t="s">
        <v>878</v>
      </c>
      <c r="G10510" s="100">
        <v>118054901</v>
      </c>
      <c r="H10510" s="530"/>
      <c r="I10510" s="422" t="s">
        <v>658</v>
      </c>
      <c r="J10510" s="484" t="s">
        <v>906</v>
      </c>
      <c r="K10510" s="548"/>
      <c r="L10510" s="548"/>
      <c r="M10510" s="548"/>
      <c r="N10510" s="552">
        <v>2012000</v>
      </c>
      <c r="R10510" s="539">
        <v>994.98699999999997</v>
      </c>
      <c r="S10510" s="539">
        <v>995.41061639661996</v>
      </c>
      <c r="T10510" s="538">
        <v>15.539899999999999</v>
      </c>
      <c r="U10510" s="538">
        <v>3002.87</v>
      </c>
      <c r="V10510" s="538">
        <v>1501.44</v>
      </c>
    </row>
    <row r="10511" spans="1:22">
      <c r="A10511" s="499">
        <v>45853</v>
      </c>
      <c r="B10511" s="499">
        <v>45853</v>
      </c>
      <c r="C10511" s="500" t="s">
        <v>173</v>
      </c>
      <c r="D10511" s="500" t="s">
        <v>759</v>
      </c>
      <c r="E10511" s="501">
        <v>-4902391582.1999998</v>
      </c>
      <c r="F10511" s="502" t="s">
        <v>878</v>
      </c>
      <c r="G10511" s="100">
        <v>118055450</v>
      </c>
      <c r="H10511" s="530"/>
      <c r="I10511" s="422" t="s">
        <v>686</v>
      </c>
      <c r="J10511" s="484" t="s">
        <v>906</v>
      </c>
      <c r="K10511" s="548"/>
      <c r="L10511" s="548"/>
      <c r="M10511" s="548"/>
      <c r="N10511" s="552">
        <v>5649700</v>
      </c>
      <c r="R10511" s="539">
        <v>867.726</v>
      </c>
      <c r="S10511" s="539">
        <v>872.92471525567703</v>
      </c>
      <c r="T10511" s="538">
        <v>15.619899999999999</v>
      </c>
      <c r="U10511" s="538">
        <v>102950.22</v>
      </c>
      <c r="V10511" s="538">
        <v>51475.11</v>
      </c>
    </row>
    <row r="10512" spans="1:22">
      <c r="A10512" s="499">
        <v>45853</v>
      </c>
      <c r="B10512" s="499">
        <v>45853</v>
      </c>
      <c r="C10512" s="500" t="s">
        <v>173</v>
      </c>
      <c r="D10512" s="500" t="s">
        <v>759</v>
      </c>
      <c r="E10512" s="501">
        <v>-3002534394</v>
      </c>
      <c r="F10512" s="502" t="s">
        <v>878</v>
      </c>
      <c r="G10512" s="100">
        <v>118055643</v>
      </c>
      <c r="H10512" s="530"/>
      <c r="I10512" s="422" t="s">
        <v>675</v>
      </c>
      <c r="J10512" s="484" t="s">
        <v>906</v>
      </c>
      <c r="K10512" s="548"/>
      <c r="L10512" s="548"/>
      <c r="M10512" s="548"/>
      <c r="N10512" s="552">
        <v>3279000</v>
      </c>
      <c r="R10512" s="539">
        <v>915.68600000000004</v>
      </c>
      <c r="S10512" s="539">
        <v>918.41673370234798</v>
      </c>
      <c r="T10512" s="538">
        <v>15.549899999999999</v>
      </c>
      <c r="U10512" s="538">
        <v>31526.61</v>
      </c>
      <c r="V10512" s="538">
        <v>15763.31</v>
      </c>
    </row>
    <row r="10513" spans="1:25">
      <c r="A10513" s="499">
        <v>45853</v>
      </c>
      <c r="B10513" s="499">
        <v>45853</v>
      </c>
      <c r="C10513" s="500" t="s">
        <v>173</v>
      </c>
      <c r="D10513" s="500" t="s">
        <v>759</v>
      </c>
      <c r="E10513" s="501">
        <v>-77010352.650000006</v>
      </c>
      <c r="F10513" s="502" t="s">
        <v>878</v>
      </c>
      <c r="G10513" s="100">
        <v>118059425</v>
      </c>
      <c r="H10513" s="530"/>
      <c r="I10513" s="422" t="s">
        <v>1522</v>
      </c>
      <c r="J10513" s="484" t="s">
        <v>906</v>
      </c>
      <c r="K10513" s="548"/>
      <c r="L10513" s="548"/>
      <c r="M10513" s="548"/>
      <c r="N10513" s="552">
        <v>80850</v>
      </c>
      <c r="R10513" s="539">
        <v>952.50900000000013</v>
      </c>
      <c r="S10513" s="539">
        <v>958.20894434137301</v>
      </c>
      <c r="T10513" s="538">
        <v>15.6015</v>
      </c>
      <c r="U10513" s="538">
        <v>1617.22</v>
      </c>
      <c r="V10513" s="538">
        <v>808.61</v>
      </c>
    </row>
    <row r="10514" spans="1:25" ht="15">
      <c r="A10514" s="499">
        <v>45853</v>
      </c>
      <c r="B10514" s="499">
        <v>45854</v>
      </c>
      <c r="C10514" s="500" t="s">
        <v>173</v>
      </c>
      <c r="D10514" s="500" t="s">
        <v>759</v>
      </c>
      <c r="E10514" s="501">
        <v>2002766160.1900001</v>
      </c>
      <c r="F10514" s="502" t="s">
        <v>878</v>
      </c>
      <c r="G10514" s="100">
        <v>118054901</v>
      </c>
      <c r="H10514" s="100">
        <v>118054901</v>
      </c>
      <c r="I10514" s="422" t="s">
        <v>658</v>
      </c>
      <c r="J10514" s="484" t="s">
        <v>912</v>
      </c>
      <c r="K10514" s="548"/>
      <c r="L10514" s="548"/>
      <c r="M10514" s="548"/>
      <c r="N10514" s="552">
        <v>2012000</v>
      </c>
      <c r="R10514" s="560">
        <v>994.98699999999997</v>
      </c>
      <c r="S10514" s="560">
        <v>995.41061639661996</v>
      </c>
      <c r="T10514" s="538">
        <v>15.539899999999999</v>
      </c>
      <c r="U10514" s="538">
        <v>3002.87</v>
      </c>
      <c r="V10514" s="538">
        <v>1501.44</v>
      </c>
    </row>
    <row r="10515" spans="1:25" ht="15">
      <c r="A10515" s="499">
        <v>45853</v>
      </c>
      <c r="B10515" s="499">
        <v>45867</v>
      </c>
      <c r="C10515" s="500" t="s">
        <v>173</v>
      </c>
      <c r="D10515" s="500" t="s">
        <v>759</v>
      </c>
      <c r="E10515" s="501">
        <v>4931762763.7799997</v>
      </c>
      <c r="F10515" s="502" t="s">
        <v>878</v>
      </c>
      <c r="G10515" s="100">
        <v>118055450</v>
      </c>
      <c r="H10515" s="100">
        <v>118055450</v>
      </c>
      <c r="I10515" s="422" t="s">
        <v>686</v>
      </c>
      <c r="J10515" s="484" t="s">
        <v>912</v>
      </c>
      <c r="K10515" s="548"/>
      <c r="L10515" s="548"/>
      <c r="M10515" s="548"/>
      <c r="N10515" s="552">
        <v>5649700</v>
      </c>
      <c r="R10515" s="560">
        <v>867.726</v>
      </c>
      <c r="S10515" s="560">
        <v>872.92471525567703</v>
      </c>
      <c r="T10515" s="538">
        <v>15.619899999999999</v>
      </c>
      <c r="U10515" s="538">
        <v>102950.22</v>
      </c>
      <c r="V10515" s="538">
        <v>51475.11</v>
      </c>
    </row>
    <row r="10516" spans="1:25" ht="15">
      <c r="A10516" s="499">
        <v>45853</v>
      </c>
      <c r="B10516" s="499">
        <v>45860</v>
      </c>
      <c r="C10516" s="500" t="s">
        <v>173</v>
      </c>
      <c r="D10516" s="500" t="s">
        <v>759</v>
      </c>
      <c r="E10516" s="501">
        <v>3011488469.8099999</v>
      </c>
      <c r="F10516" s="502" t="s">
        <v>878</v>
      </c>
      <c r="G10516" s="100">
        <v>118055643</v>
      </c>
      <c r="H10516" s="100">
        <v>118055643</v>
      </c>
      <c r="I10516" s="422" t="s">
        <v>675</v>
      </c>
      <c r="J10516" s="484" t="s">
        <v>912</v>
      </c>
      <c r="K10516" s="548"/>
      <c r="L10516" s="548"/>
      <c r="M10516" s="548"/>
      <c r="N10516" s="552">
        <v>3279000</v>
      </c>
      <c r="R10516" s="560">
        <v>915.68600000000004</v>
      </c>
      <c r="S10516" s="560">
        <v>918.41673370234798</v>
      </c>
      <c r="T10516" s="538">
        <v>15.549899999999999</v>
      </c>
      <c r="U10516" s="538">
        <v>31526.61</v>
      </c>
      <c r="V10516" s="538">
        <v>15763.31</v>
      </c>
    </row>
    <row r="10517" spans="1:25" ht="15">
      <c r="A10517" s="499">
        <v>45853</v>
      </c>
      <c r="B10517" s="499">
        <v>45867</v>
      </c>
      <c r="C10517" s="500" t="s">
        <v>173</v>
      </c>
      <c r="D10517" s="500" t="s">
        <v>759</v>
      </c>
      <c r="E10517" s="501">
        <v>77471193.150000006</v>
      </c>
      <c r="F10517" s="502" t="s">
        <v>878</v>
      </c>
      <c r="G10517" s="100">
        <v>118059425</v>
      </c>
      <c r="H10517" s="100">
        <v>118059425</v>
      </c>
      <c r="I10517" s="422" t="s">
        <v>1522</v>
      </c>
      <c r="J10517" s="484" t="s">
        <v>912</v>
      </c>
      <c r="K10517" s="548"/>
      <c r="L10517" s="548"/>
      <c r="M10517" s="548"/>
      <c r="N10517" s="552">
        <v>80850</v>
      </c>
      <c r="R10517" s="560">
        <v>952.50900000000013</v>
      </c>
      <c r="S10517" s="560">
        <v>958.20894434137301</v>
      </c>
      <c r="T10517" s="538">
        <v>15.6015</v>
      </c>
      <c r="U10517" s="538">
        <v>1617.22</v>
      </c>
      <c r="V10517" s="538">
        <v>808.61</v>
      </c>
    </row>
    <row r="10518" spans="1:25">
      <c r="A10518" s="499">
        <v>45853</v>
      </c>
      <c r="B10518" s="499">
        <v>45853</v>
      </c>
      <c r="C10518" s="500" t="s">
        <v>173</v>
      </c>
      <c r="D10518" s="500" t="s">
        <v>760</v>
      </c>
      <c r="E10518" s="501">
        <v>-1300617884.8</v>
      </c>
      <c r="F10518" s="502" t="s">
        <v>878</v>
      </c>
      <c r="G10518" s="100">
        <v>118053723</v>
      </c>
      <c r="H10518" s="530"/>
      <c r="I10518" s="422" t="s">
        <v>672</v>
      </c>
      <c r="J10518" s="484" t="s">
        <v>906</v>
      </c>
      <c r="K10518" s="548"/>
      <c r="L10518" s="548"/>
      <c r="M10518" s="548"/>
      <c r="N10518" s="552">
        <v>1445600</v>
      </c>
      <c r="R10518" s="539">
        <v>899.70799999999997</v>
      </c>
      <c r="S10518" s="539">
        <v>900.09056323326001</v>
      </c>
      <c r="T10518" s="538">
        <v>15.520099999999999</v>
      </c>
      <c r="U10518" s="538">
        <v>1950.93</v>
      </c>
      <c r="V10518" s="538">
        <v>975.46</v>
      </c>
      <c r="Y10518" s="563"/>
    </row>
    <row r="10519" spans="1:25">
      <c r="A10519" s="499">
        <v>45853</v>
      </c>
      <c r="B10519" s="499">
        <v>45853</v>
      </c>
      <c r="C10519" s="500" t="s">
        <v>173</v>
      </c>
      <c r="D10519" s="500" t="s">
        <v>760</v>
      </c>
      <c r="E10519" s="501">
        <v>-21009981.219999999</v>
      </c>
      <c r="F10519" s="502" t="s">
        <v>878</v>
      </c>
      <c r="G10519" s="100">
        <v>118053795</v>
      </c>
      <c r="H10519" s="530"/>
      <c r="I10519" s="422" t="s">
        <v>672</v>
      </c>
      <c r="J10519" s="484" t="s">
        <v>906</v>
      </c>
      <c r="K10519" s="548"/>
      <c r="L10519" s="548"/>
      <c r="M10519" s="548"/>
      <c r="N10519" s="552">
        <v>23352</v>
      </c>
      <c r="R10519" s="539">
        <v>899.70799999999997</v>
      </c>
      <c r="S10519" s="539">
        <v>900.09056354916095</v>
      </c>
      <c r="T10519" s="538">
        <v>15.520099999999999</v>
      </c>
      <c r="U10519" s="538">
        <v>39.32</v>
      </c>
      <c r="V10519" s="538">
        <v>15.76</v>
      </c>
      <c r="Y10519" s="563"/>
    </row>
    <row r="10520" spans="1:25">
      <c r="A10520" s="499">
        <v>45853</v>
      </c>
      <c r="B10520" s="499">
        <v>45854</v>
      </c>
      <c r="C10520" s="500" t="s">
        <v>173</v>
      </c>
      <c r="D10520" s="500" t="s">
        <v>760</v>
      </c>
      <c r="E10520" s="501">
        <v>1301170918.21</v>
      </c>
      <c r="F10520" s="502" t="s">
        <v>878</v>
      </c>
      <c r="G10520" s="100">
        <v>118053723</v>
      </c>
      <c r="H10520" s="100">
        <v>118053723</v>
      </c>
      <c r="I10520" s="422" t="s">
        <v>672</v>
      </c>
      <c r="J10520" s="484" t="s">
        <v>912</v>
      </c>
      <c r="K10520" s="548"/>
      <c r="L10520" s="548"/>
      <c r="M10520" s="548"/>
      <c r="N10520" s="552">
        <v>1445600</v>
      </c>
      <c r="R10520" s="539">
        <v>899.70799999999997</v>
      </c>
      <c r="S10520" s="539">
        <v>900.09056323326001</v>
      </c>
      <c r="T10520" s="538">
        <v>15.520099999999999</v>
      </c>
      <c r="U10520" s="538">
        <v>1950.93</v>
      </c>
      <c r="V10520" s="538">
        <v>975.46</v>
      </c>
      <c r="Y10520" s="563"/>
    </row>
    <row r="10521" spans="1:25">
      <c r="A10521" s="499">
        <v>45853</v>
      </c>
      <c r="B10521" s="499">
        <v>45854</v>
      </c>
      <c r="C10521" s="500" t="s">
        <v>173</v>
      </c>
      <c r="D10521" s="500" t="s">
        <v>760</v>
      </c>
      <c r="E10521" s="501">
        <v>21018914.84</v>
      </c>
      <c r="F10521" s="502" t="s">
        <v>878</v>
      </c>
      <c r="G10521" s="100">
        <v>118053795</v>
      </c>
      <c r="H10521" s="100">
        <v>118053795</v>
      </c>
      <c r="I10521" s="422" t="s">
        <v>672</v>
      </c>
      <c r="J10521" s="484" t="s">
        <v>912</v>
      </c>
      <c r="K10521" s="548"/>
      <c r="L10521" s="548"/>
      <c r="M10521" s="548"/>
      <c r="N10521" s="552">
        <v>23352</v>
      </c>
      <c r="R10521" s="539">
        <v>899.70799999999997</v>
      </c>
      <c r="S10521" s="539">
        <v>900.09056354916095</v>
      </c>
      <c r="T10521" s="538">
        <v>15.520099999999999</v>
      </c>
      <c r="U10521" s="538">
        <v>39.32</v>
      </c>
      <c r="V10521" s="538">
        <v>15.76</v>
      </c>
      <c r="Y10521" s="563"/>
    </row>
    <row r="10522" spans="1:25">
      <c r="A10522" s="499">
        <v>45853</v>
      </c>
      <c r="B10522" s="499">
        <v>45853</v>
      </c>
      <c r="C10522" s="500" t="s">
        <v>173</v>
      </c>
      <c r="D10522" s="500" t="s">
        <v>764</v>
      </c>
      <c r="E10522" s="501">
        <v>-4275030939.8099999</v>
      </c>
      <c r="F10522" s="502" t="s">
        <v>878</v>
      </c>
      <c r="G10522" s="100">
        <v>118056315</v>
      </c>
      <c r="H10522" s="530"/>
      <c r="I10522" s="422" t="s">
        <v>672</v>
      </c>
      <c r="J10522" s="484" t="s">
        <v>906</v>
      </c>
      <c r="K10522" s="548"/>
      <c r="L10522" s="548"/>
      <c r="M10522" s="548"/>
      <c r="N10522" s="552">
        <v>4751576</v>
      </c>
      <c r="R10522" s="539">
        <v>899.70800000042095</v>
      </c>
      <c r="S10522" s="539">
        <v>902.38937633534601</v>
      </c>
      <c r="T10522" s="538">
        <v>15.54</v>
      </c>
      <c r="U10522" s="538">
        <v>44887.82</v>
      </c>
      <c r="V10522" s="538">
        <v>22443.91</v>
      </c>
      <c r="Y10522" s="563"/>
    </row>
    <row r="10523" spans="1:25">
      <c r="A10523" s="499">
        <v>45853</v>
      </c>
      <c r="B10523" s="499">
        <v>45853</v>
      </c>
      <c r="C10523" s="500" t="s">
        <v>173</v>
      </c>
      <c r="D10523" s="500" t="s">
        <v>764</v>
      </c>
      <c r="E10523" s="501">
        <v>-24003087.600000001</v>
      </c>
      <c r="F10523" s="502" t="s">
        <v>878</v>
      </c>
      <c r="G10523" s="100">
        <v>118056941</v>
      </c>
      <c r="H10523" s="530"/>
      <c r="I10523" s="422" t="s">
        <v>2854</v>
      </c>
      <c r="J10523" s="484" t="s">
        <v>906</v>
      </c>
      <c r="K10523" s="548"/>
      <c r="L10523" s="548"/>
      <c r="M10523" s="548"/>
      <c r="N10523" s="552">
        <v>45600</v>
      </c>
      <c r="R10523" s="539">
        <v>526.38350000000003</v>
      </c>
      <c r="S10523" s="539">
        <v>527.95226710526299</v>
      </c>
      <c r="T10523" s="538">
        <v>15.54</v>
      </c>
      <c r="U10523" s="538">
        <v>252.03</v>
      </c>
      <c r="V10523" s="538">
        <v>126.02</v>
      </c>
      <c r="Y10523" s="563"/>
    </row>
    <row r="10524" spans="1:25">
      <c r="A10524" s="499">
        <v>45853</v>
      </c>
      <c r="B10524" s="499">
        <v>45853</v>
      </c>
      <c r="C10524" s="500" t="s">
        <v>173</v>
      </c>
      <c r="D10524" s="500" t="s">
        <v>764</v>
      </c>
      <c r="E10524" s="501">
        <v>-530423797.54000002</v>
      </c>
      <c r="F10524" s="502" t="s">
        <v>878</v>
      </c>
      <c r="G10524" s="100">
        <v>118059498</v>
      </c>
      <c r="H10524" s="530"/>
      <c r="I10524" s="422" t="s">
        <v>678</v>
      </c>
      <c r="J10524" s="484" t="s">
        <v>906</v>
      </c>
      <c r="K10524" s="548"/>
      <c r="L10524" s="548"/>
      <c r="M10524" s="548"/>
      <c r="N10524" s="552">
        <v>563390</v>
      </c>
      <c r="R10524" s="539">
        <v>941.48599999999999</v>
      </c>
      <c r="S10524" s="539">
        <v>941.88581171124804</v>
      </c>
      <c r="T10524" s="538">
        <v>15.5001</v>
      </c>
      <c r="U10524" s="538">
        <v>795.64</v>
      </c>
      <c r="V10524" s="538">
        <v>397.82</v>
      </c>
      <c r="Y10524" s="563"/>
    </row>
    <row r="10525" spans="1:25">
      <c r="A10525" s="499">
        <v>45853</v>
      </c>
      <c r="B10525" s="499">
        <v>45860</v>
      </c>
      <c r="C10525" s="500" t="s">
        <v>173</v>
      </c>
      <c r="D10525" s="500" t="s">
        <v>764</v>
      </c>
      <c r="E10525" s="501">
        <v>4287771703.25</v>
      </c>
      <c r="F10525" s="502" t="s">
        <v>878</v>
      </c>
      <c r="G10525" s="100">
        <v>118056315</v>
      </c>
      <c r="H10525" s="100">
        <v>118056315</v>
      </c>
      <c r="I10525" s="422" t="s">
        <v>672</v>
      </c>
      <c r="J10525" s="484" t="s">
        <v>912</v>
      </c>
      <c r="K10525" s="548"/>
      <c r="L10525" s="548"/>
      <c r="M10525" s="548"/>
      <c r="N10525" s="552">
        <v>4751576</v>
      </c>
      <c r="R10525" s="539">
        <v>899.70800000042095</v>
      </c>
      <c r="S10525" s="539">
        <v>902.38937633534601</v>
      </c>
      <c r="T10525" s="538">
        <v>15.54</v>
      </c>
      <c r="U10525" s="538">
        <v>44887.82</v>
      </c>
      <c r="V10525" s="538">
        <v>22443.91</v>
      </c>
      <c r="Y10525" s="563"/>
    </row>
    <row r="10526" spans="1:25">
      <c r="A10526" s="499">
        <v>45853</v>
      </c>
      <c r="B10526" s="499">
        <v>45860</v>
      </c>
      <c r="C10526" s="500" t="s">
        <v>173</v>
      </c>
      <c r="D10526" s="500" t="s">
        <v>764</v>
      </c>
      <c r="E10526" s="501">
        <v>24074623.379999999</v>
      </c>
      <c r="F10526" s="502" t="s">
        <v>878</v>
      </c>
      <c r="G10526" s="100">
        <v>118056941</v>
      </c>
      <c r="H10526" s="100">
        <v>118056941</v>
      </c>
      <c r="I10526" s="422" t="s">
        <v>2854</v>
      </c>
      <c r="J10526" s="484" t="s">
        <v>912</v>
      </c>
      <c r="K10526" s="548"/>
      <c r="L10526" s="548"/>
      <c r="M10526" s="548"/>
      <c r="N10526" s="552">
        <v>45600</v>
      </c>
      <c r="R10526" s="539">
        <v>526.38350000000003</v>
      </c>
      <c r="S10526" s="539">
        <v>527.95226710526299</v>
      </c>
      <c r="T10526" s="538">
        <v>15.54</v>
      </c>
      <c r="U10526" s="538">
        <v>252.03</v>
      </c>
      <c r="V10526" s="538">
        <v>126.02</v>
      </c>
      <c r="Y10526" s="563"/>
    </row>
    <row r="10527" spans="1:25">
      <c r="A10527" s="499">
        <v>45853</v>
      </c>
      <c r="B10527" s="499">
        <v>45854</v>
      </c>
      <c r="C10527" s="500" t="s">
        <v>173</v>
      </c>
      <c r="D10527" s="500" t="s">
        <v>764</v>
      </c>
      <c r="E10527" s="501">
        <v>530649047.45999998</v>
      </c>
      <c r="F10527" s="502" t="s">
        <v>878</v>
      </c>
      <c r="G10527" s="100">
        <v>118059498</v>
      </c>
      <c r="H10527" s="100">
        <v>118059498</v>
      </c>
      <c r="I10527" s="422" t="s">
        <v>678</v>
      </c>
      <c r="J10527" s="484" t="s">
        <v>912</v>
      </c>
      <c r="K10527" s="548"/>
      <c r="L10527" s="548"/>
      <c r="M10527" s="548"/>
      <c r="N10527" s="552">
        <v>563390</v>
      </c>
      <c r="R10527" s="539">
        <v>941.48599999999999</v>
      </c>
      <c r="S10527" s="539">
        <v>941.88581171124804</v>
      </c>
      <c r="T10527" s="538">
        <v>15.5001</v>
      </c>
      <c r="U10527" s="538">
        <v>795.64</v>
      </c>
      <c r="V10527" s="538">
        <v>397.82</v>
      </c>
      <c r="Y10527" s="563"/>
    </row>
    <row r="10528" spans="1:25">
      <c r="A10528" s="499">
        <v>45853</v>
      </c>
      <c r="B10528" s="499">
        <v>45853</v>
      </c>
      <c r="C10528" s="500" t="s">
        <v>173</v>
      </c>
      <c r="D10528" s="500" t="s">
        <v>763</v>
      </c>
      <c r="E10528" s="501">
        <v>-2338235369.79</v>
      </c>
      <c r="F10528" s="502" t="s">
        <v>878</v>
      </c>
      <c r="G10528" s="100">
        <v>118054324</v>
      </c>
      <c r="H10528" s="530"/>
      <c r="I10528" s="422" t="s">
        <v>658</v>
      </c>
      <c r="J10528" s="484" t="s">
        <v>906</v>
      </c>
      <c r="K10528" s="548"/>
      <c r="L10528" s="548"/>
      <c r="M10528" s="548"/>
      <c r="N10528" s="552">
        <v>2350016</v>
      </c>
      <c r="R10528" s="539">
        <v>994.98699999999997</v>
      </c>
      <c r="S10528" s="539">
        <v>995.41034652104497</v>
      </c>
      <c r="T10528" s="538">
        <v>15.53</v>
      </c>
      <c r="U10528" s="538">
        <v>3507.35</v>
      </c>
      <c r="V10528" s="538">
        <v>1753.68</v>
      </c>
    </row>
    <row r="10529" spans="1:22">
      <c r="A10529" s="499">
        <v>45853</v>
      </c>
      <c r="B10529" s="499">
        <v>45853</v>
      </c>
      <c r="C10529" s="500" t="s">
        <v>173</v>
      </c>
      <c r="D10529" s="500" t="s">
        <v>763</v>
      </c>
      <c r="E10529" s="501">
        <v>-1517721024.03</v>
      </c>
      <c r="F10529" s="502" t="s">
        <v>878</v>
      </c>
      <c r="G10529" s="100">
        <v>118054327</v>
      </c>
      <c r="H10529" s="530"/>
      <c r="I10529" s="422" t="s">
        <v>672</v>
      </c>
      <c r="J10529" s="484" t="s">
        <v>906</v>
      </c>
      <c r="K10529" s="548"/>
      <c r="L10529" s="548"/>
      <c r="M10529" s="548"/>
      <c r="N10529" s="552">
        <v>1686904</v>
      </c>
      <c r="R10529" s="539">
        <v>899.70799999999997</v>
      </c>
      <c r="S10529" s="539">
        <v>900.09056323300001</v>
      </c>
      <c r="T10529" s="538">
        <v>15.520099999999999</v>
      </c>
      <c r="U10529" s="538">
        <v>2276.58</v>
      </c>
      <c r="V10529" s="538">
        <v>1138.29</v>
      </c>
    </row>
    <row r="10530" spans="1:22">
      <c r="A10530" s="499">
        <v>45853</v>
      </c>
      <c r="B10530" s="499">
        <v>45853</v>
      </c>
      <c r="C10530" s="500" t="s">
        <v>173</v>
      </c>
      <c r="D10530" s="500" t="s">
        <v>763</v>
      </c>
      <c r="E10530" s="501">
        <v>-119059015.91</v>
      </c>
      <c r="F10530" s="502" t="s">
        <v>878</v>
      </c>
      <c r="G10530" s="100">
        <v>118054330</v>
      </c>
      <c r="H10530" s="530"/>
      <c r="I10530" s="422" t="s">
        <v>633</v>
      </c>
      <c r="J10530" s="484" t="s">
        <v>906</v>
      </c>
      <c r="K10530" s="548"/>
      <c r="L10530" s="548"/>
      <c r="M10530" s="548"/>
      <c r="N10530" s="552">
        <v>221459</v>
      </c>
      <c r="R10530" s="539">
        <v>537.61199999999997</v>
      </c>
      <c r="S10530" s="539">
        <v>537.84059704053595</v>
      </c>
      <c r="T10530" s="538">
        <v>15.520099999999999</v>
      </c>
      <c r="U10530" s="538">
        <v>178.59</v>
      </c>
      <c r="V10530" s="538">
        <v>89.29</v>
      </c>
    </row>
    <row r="10531" spans="1:22">
      <c r="A10531" s="499">
        <v>45853</v>
      </c>
      <c r="B10531" s="499">
        <v>45853</v>
      </c>
      <c r="C10531" s="500" t="s">
        <v>173</v>
      </c>
      <c r="D10531" s="500" t="s">
        <v>763</v>
      </c>
      <c r="E10531" s="501">
        <v>-897427264.50999999</v>
      </c>
      <c r="F10531" s="502" t="s">
        <v>878</v>
      </c>
      <c r="G10531" s="100">
        <v>118054333</v>
      </c>
      <c r="H10531" s="530"/>
      <c r="I10531" s="422" t="s">
        <v>635</v>
      </c>
      <c r="J10531" s="484" t="s">
        <v>906</v>
      </c>
      <c r="K10531" s="548"/>
      <c r="L10531" s="548"/>
      <c r="M10531" s="548"/>
      <c r="N10531" s="552">
        <v>1498887</v>
      </c>
      <c r="R10531" s="539">
        <v>598.72910000000002</v>
      </c>
      <c r="S10531" s="539">
        <v>598.98368289270604</v>
      </c>
      <c r="T10531" s="538">
        <v>15.52</v>
      </c>
      <c r="U10531" s="538">
        <v>1346.14</v>
      </c>
      <c r="V10531" s="538">
        <v>673.07</v>
      </c>
    </row>
    <row r="10532" spans="1:22">
      <c r="A10532" s="499">
        <v>45853</v>
      </c>
      <c r="B10532" s="499">
        <v>45853</v>
      </c>
      <c r="C10532" s="500" t="s">
        <v>173</v>
      </c>
      <c r="D10532" s="500" t="s">
        <v>763</v>
      </c>
      <c r="E10532" s="501">
        <v>-42009616.850000001</v>
      </c>
      <c r="F10532" s="502" t="s">
        <v>878</v>
      </c>
      <c r="G10532" s="100">
        <v>118054336</v>
      </c>
      <c r="H10532" s="530"/>
      <c r="I10532" s="422" t="s">
        <v>631</v>
      </c>
      <c r="J10532" s="484" t="s">
        <v>906</v>
      </c>
      <c r="K10532" s="548"/>
      <c r="L10532" s="548"/>
      <c r="M10532" s="548"/>
      <c r="N10532" s="552">
        <v>88830</v>
      </c>
      <c r="R10532" s="539">
        <v>472.92149999999998</v>
      </c>
      <c r="S10532" s="539">
        <v>473.12258887763102</v>
      </c>
      <c r="T10532" s="538">
        <v>15.52</v>
      </c>
      <c r="U10532" s="538">
        <v>63.01</v>
      </c>
      <c r="V10532" s="538">
        <v>39.32</v>
      </c>
    </row>
    <row r="10533" spans="1:22">
      <c r="A10533" s="499">
        <v>45853</v>
      </c>
      <c r="B10533" s="499">
        <v>45853</v>
      </c>
      <c r="C10533" s="500" t="s">
        <v>173</v>
      </c>
      <c r="D10533" s="500" t="s">
        <v>763</v>
      </c>
      <c r="E10533" s="501">
        <v>-53016754.170000002</v>
      </c>
      <c r="F10533" s="502" t="s">
        <v>878</v>
      </c>
      <c r="G10533" s="100">
        <v>118054339</v>
      </c>
      <c r="H10533" s="530"/>
      <c r="I10533" s="422" t="s">
        <v>1013</v>
      </c>
      <c r="J10533" s="484" t="s">
        <v>906</v>
      </c>
      <c r="K10533" s="548"/>
      <c r="L10533" s="548"/>
      <c r="M10533" s="548"/>
      <c r="N10533" s="552">
        <v>103244</v>
      </c>
      <c r="R10533" s="539">
        <v>513.50930000000005</v>
      </c>
      <c r="S10533" s="539">
        <v>513.72764693347801</v>
      </c>
      <c r="T10533" s="538">
        <v>15.52</v>
      </c>
      <c r="U10533" s="538">
        <v>79.53</v>
      </c>
      <c r="V10533" s="538">
        <v>39.76</v>
      </c>
    </row>
    <row r="10534" spans="1:22">
      <c r="A10534" s="499">
        <v>45853</v>
      </c>
      <c r="B10534" s="499">
        <v>45853</v>
      </c>
      <c r="C10534" s="500" t="s">
        <v>173</v>
      </c>
      <c r="D10534" s="500" t="s">
        <v>763</v>
      </c>
      <c r="E10534" s="501">
        <v>-46010532.740000002</v>
      </c>
      <c r="F10534" s="502" t="s">
        <v>878</v>
      </c>
      <c r="G10534" s="100">
        <v>118054342</v>
      </c>
      <c r="H10534" s="530"/>
      <c r="I10534" s="422" t="s">
        <v>631</v>
      </c>
      <c r="J10534" s="484" t="s">
        <v>906</v>
      </c>
      <c r="K10534" s="548"/>
      <c r="L10534" s="548"/>
      <c r="M10534" s="548"/>
      <c r="N10534" s="552">
        <v>97290</v>
      </c>
      <c r="R10534" s="539">
        <v>472.92149999999998</v>
      </c>
      <c r="S10534" s="539">
        <v>473.12258885805301</v>
      </c>
      <c r="T10534" s="538">
        <v>15.52</v>
      </c>
      <c r="U10534" s="538">
        <v>69.02</v>
      </c>
      <c r="V10534" s="538">
        <v>39.32</v>
      </c>
    </row>
    <row r="10535" spans="1:22">
      <c r="A10535" s="499">
        <v>45853</v>
      </c>
      <c r="B10535" s="499">
        <v>45853</v>
      </c>
      <c r="C10535" s="500" t="s">
        <v>173</v>
      </c>
      <c r="D10535" s="500" t="s">
        <v>763</v>
      </c>
      <c r="E10535" s="501">
        <v>-28026793.82</v>
      </c>
      <c r="F10535" s="502" t="s">
        <v>878</v>
      </c>
      <c r="G10535" s="100">
        <v>118054418</v>
      </c>
      <c r="H10535" s="530"/>
      <c r="I10535" s="422" t="s">
        <v>658</v>
      </c>
      <c r="J10535" s="484" t="s">
        <v>906</v>
      </c>
      <c r="K10535" s="548"/>
      <c r="L10535" s="548"/>
      <c r="M10535" s="548"/>
      <c r="N10535" s="552">
        <v>28168</v>
      </c>
      <c r="R10535" s="539">
        <v>994.98699999999997</v>
      </c>
      <c r="S10535" s="539">
        <v>995.41034649247399</v>
      </c>
      <c r="T10535" s="538">
        <v>15.53</v>
      </c>
      <c r="U10535" s="538">
        <v>42.04</v>
      </c>
      <c r="V10535" s="538">
        <v>39.32</v>
      </c>
    </row>
    <row r="10536" spans="1:22">
      <c r="A10536" s="499">
        <v>45853</v>
      </c>
      <c r="B10536" s="499">
        <v>45854</v>
      </c>
      <c r="C10536" s="500" t="s">
        <v>173</v>
      </c>
      <c r="D10536" s="500" t="s">
        <v>763</v>
      </c>
      <c r="E10536" s="501">
        <v>2339230240.8899999</v>
      </c>
      <c r="F10536" s="502" t="s">
        <v>878</v>
      </c>
      <c r="G10536" s="100">
        <v>118054324</v>
      </c>
      <c r="H10536" s="100">
        <v>118054324</v>
      </c>
      <c r="I10536" s="422" t="s">
        <v>658</v>
      </c>
      <c r="J10536" s="484" t="s">
        <v>912</v>
      </c>
      <c r="K10536" s="548"/>
      <c r="L10536" s="548"/>
      <c r="M10536" s="548"/>
      <c r="N10536" s="552">
        <v>2350016</v>
      </c>
      <c r="R10536" s="539">
        <v>994.98699999999997</v>
      </c>
      <c r="S10536" s="539">
        <v>995.41034652104497</v>
      </c>
      <c r="T10536" s="538">
        <v>15.53</v>
      </c>
      <c r="U10536" s="538">
        <v>3507.35</v>
      </c>
      <c r="V10536" s="538">
        <v>1753.68</v>
      </c>
    </row>
    <row r="10537" spans="1:22">
      <c r="A10537" s="499">
        <v>45853</v>
      </c>
      <c r="B10537" s="499">
        <v>45854</v>
      </c>
      <c r="C10537" s="500" t="s">
        <v>173</v>
      </c>
      <c r="D10537" s="500" t="s">
        <v>763</v>
      </c>
      <c r="E10537" s="501">
        <v>1518366371.48</v>
      </c>
      <c r="F10537" s="502" t="s">
        <v>878</v>
      </c>
      <c r="G10537" s="100">
        <v>118054327</v>
      </c>
      <c r="H10537" s="100">
        <v>118054327</v>
      </c>
      <c r="I10537" s="422" t="s">
        <v>672</v>
      </c>
      <c r="J10537" s="484" t="s">
        <v>912</v>
      </c>
      <c r="K10537" s="548"/>
      <c r="L10537" s="548"/>
      <c r="M10537" s="548"/>
      <c r="N10537" s="552">
        <v>1686904</v>
      </c>
      <c r="R10537" s="539">
        <v>899.70799999999997</v>
      </c>
      <c r="S10537" s="539">
        <v>900.09056323300001</v>
      </c>
      <c r="T10537" s="538">
        <v>15.520099999999999</v>
      </c>
      <c r="U10537" s="538">
        <v>2276.58</v>
      </c>
      <c r="V10537" s="538">
        <v>1138.29</v>
      </c>
    </row>
    <row r="10538" spans="1:22">
      <c r="A10538" s="499">
        <v>45853</v>
      </c>
      <c r="B10538" s="499">
        <v>45854</v>
      </c>
      <c r="C10538" s="500" t="s">
        <v>173</v>
      </c>
      <c r="D10538" s="500" t="s">
        <v>763</v>
      </c>
      <c r="E10538" s="501">
        <v>119109640.78</v>
      </c>
      <c r="F10538" s="502" t="s">
        <v>878</v>
      </c>
      <c r="G10538" s="100">
        <v>118054330</v>
      </c>
      <c r="H10538" s="100">
        <v>118054330</v>
      </c>
      <c r="I10538" s="422" t="s">
        <v>633</v>
      </c>
      <c r="J10538" s="484" t="s">
        <v>912</v>
      </c>
      <c r="K10538" s="548"/>
      <c r="L10538" s="548"/>
      <c r="M10538" s="548"/>
      <c r="N10538" s="552">
        <v>221459</v>
      </c>
      <c r="R10538" s="539">
        <v>537.61199999999997</v>
      </c>
      <c r="S10538" s="539">
        <v>537.84059704053595</v>
      </c>
      <c r="T10538" s="538">
        <v>15.520099999999999</v>
      </c>
      <c r="U10538" s="538">
        <v>178.59</v>
      </c>
      <c r="V10538" s="538">
        <v>89.29</v>
      </c>
    </row>
    <row r="10539" spans="1:22">
      <c r="A10539" s="499">
        <v>45853</v>
      </c>
      <c r="B10539" s="499">
        <v>45854</v>
      </c>
      <c r="C10539" s="500" t="s">
        <v>173</v>
      </c>
      <c r="D10539" s="500" t="s">
        <v>763</v>
      </c>
      <c r="E10539" s="501">
        <v>897808855.5</v>
      </c>
      <c r="F10539" s="502" t="s">
        <v>878</v>
      </c>
      <c r="G10539" s="100">
        <v>118054333</v>
      </c>
      <c r="H10539" s="100">
        <v>118054333</v>
      </c>
      <c r="I10539" s="422" t="s">
        <v>635</v>
      </c>
      <c r="J10539" s="484" t="s">
        <v>912</v>
      </c>
      <c r="K10539" s="548"/>
      <c r="L10539" s="548"/>
      <c r="M10539" s="548"/>
      <c r="N10539" s="552">
        <v>1498887</v>
      </c>
      <c r="R10539" s="539">
        <v>598.72910000000002</v>
      </c>
      <c r="S10539" s="539">
        <v>598.98368289270604</v>
      </c>
      <c r="T10539" s="538">
        <v>15.52</v>
      </c>
      <c r="U10539" s="538">
        <v>1346.14</v>
      </c>
      <c r="V10539" s="538">
        <v>673.07</v>
      </c>
    </row>
    <row r="10540" spans="1:22">
      <c r="A10540" s="499">
        <v>45853</v>
      </c>
      <c r="B10540" s="499">
        <v>45854</v>
      </c>
      <c r="C10540" s="500" t="s">
        <v>173</v>
      </c>
      <c r="D10540" s="500" t="s">
        <v>763</v>
      </c>
      <c r="E10540" s="501">
        <v>42027479.57</v>
      </c>
      <c r="F10540" s="502" t="s">
        <v>878</v>
      </c>
      <c r="G10540" s="100">
        <v>118054336</v>
      </c>
      <c r="H10540" s="100">
        <v>118054336</v>
      </c>
      <c r="I10540" s="422" t="s">
        <v>631</v>
      </c>
      <c r="J10540" s="484" t="s">
        <v>912</v>
      </c>
      <c r="K10540" s="548"/>
      <c r="L10540" s="548"/>
      <c r="M10540" s="548"/>
      <c r="N10540" s="552">
        <v>88830</v>
      </c>
      <c r="R10540" s="539">
        <v>472.92149999999998</v>
      </c>
      <c r="S10540" s="539">
        <v>473.12258887763102</v>
      </c>
      <c r="T10540" s="538">
        <v>15.52</v>
      </c>
      <c r="U10540" s="538">
        <v>63.01</v>
      </c>
      <c r="V10540" s="538">
        <v>39.32</v>
      </c>
    </row>
    <row r="10541" spans="1:22">
      <c r="A10541" s="499">
        <v>45853</v>
      </c>
      <c r="B10541" s="499">
        <v>45854</v>
      </c>
      <c r="C10541" s="500" t="s">
        <v>173</v>
      </c>
      <c r="D10541" s="500" t="s">
        <v>763</v>
      </c>
      <c r="E10541" s="501">
        <v>53039297.18</v>
      </c>
      <c r="F10541" s="502" t="s">
        <v>878</v>
      </c>
      <c r="G10541" s="100">
        <v>118054339</v>
      </c>
      <c r="H10541" s="100">
        <v>118054339</v>
      </c>
      <c r="I10541" s="422" t="s">
        <v>1013</v>
      </c>
      <c r="J10541" s="484" t="s">
        <v>912</v>
      </c>
      <c r="K10541" s="548"/>
      <c r="L10541" s="548"/>
      <c r="M10541" s="548"/>
      <c r="N10541" s="552">
        <v>103244</v>
      </c>
      <c r="R10541" s="539">
        <v>513.50930000000005</v>
      </c>
      <c r="S10541" s="539">
        <v>513.72764693347801</v>
      </c>
      <c r="T10541" s="538">
        <v>15.52</v>
      </c>
      <c r="U10541" s="538">
        <v>79.53</v>
      </c>
      <c r="V10541" s="538">
        <v>39.76</v>
      </c>
    </row>
    <row r="10542" spans="1:22">
      <c r="A10542" s="499">
        <v>45853</v>
      </c>
      <c r="B10542" s="499">
        <v>45854</v>
      </c>
      <c r="C10542" s="500" t="s">
        <v>173</v>
      </c>
      <c r="D10542" s="500" t="s">
        <v>763</v>
      </c>
      <c r="E10542" s="501">
        <v>46030096.670000002</v>
      </c>
      <c r="F10542" s="502" t="s">
        <v>878</v>
      </c>
      <c r="G10542" s="100">
        <v>118054342</v>
      </c>
      <c r="H10542" s="100">
        <v>118054342</v>
      </c>
      <c r="I10542" s="422" t="s">
        <v>631</v>
      </c>
      <c r="J10542" s="484" t="s">
        <v>912</v>
      </c>
      <c r="K10542" s="548"/>
      <c r="L10542" s="548"/>
      <c r="M10542" s="548"/>
      <c r="N10542" s="552">
        <v>97290</v>
      </c>
      <c r="R10542" s="539">
        <v>472.92149999999998</v>
      </c>
      <c r="S10542" s="539">
        <v>473.12258885805301</v>
      </c>
      <c r="T10542" s="538">
        <v>15.52</v>
      </c>
      <c r="U10542" s="538">
        <v>69.02</v>
      </c>
      <c r="V10542" s="538">
        <v>39.32</v>
      </c>
    </row>
    <row r="10543" spans="1:22">
      <c r="A10543" s="499">
        <v>45853</v>
      </c>
      <c r="B10543" s="499">
        <v>45854</v>
      </c>
      <c r="C10543" s="500" t="s">
        <v>173</v>
      </c>
      <c r="D10543" s="500" t="s">
        <v>763</v>
      </c>
      <c r="E10543" s="501">
        <v>28038718.640000001</v>
      </c>
      <c r="F10543" s="502" t="s">
        <v>878</v>
      </c>
      <c r="G10543" s="100">
        <v>118054418</v>
      </c>
      <c r="H10543" s="100">
        <v>118054418</v>
      </c>
      <c r="I10543" s="422" t="s">
        <v>658</v>
      </c>
      <c r="J10543" s="484" t="s">
        <v>912</v>
      </c>
      <c r="K10543" s="548"/>
      <c r="L10543" s="548"/>
      <c r="M10543" s="548"/>
      <c r="N10543" s="552">
        <v>28168</v>
      </c>
      <c r="R10543" s="539">
        <v>994.98699999999997</v>
      </c>
      <c r="S10543" s="539">
        <v>995.41034649247399</v>
      </c>
      <c r="T10543" s="538">
        <v>15.53</v>
      </c>
      <c r="U10543" s="538">
        <v>42.04</v>
      </c>
      <c r="V10543" s="538">
        <v>39.32</v>
      </c>
    </row>
    <row r="10544" spans="1:22">
      <c r="A10544" s="499">
        <v>45854</v>
      </c>
      <c r="B10544" s="499">
        <v>45854</v>
      </c>
      <c r="C10544" s="500" t="s">
        <v>173</v>
      </c>
      <c r="D10544" s="500" t="s">
        <v>762</v>
      </c>
      <c r="E10544" s="501">
        <v>-1052161986.96</v>
      </c>
      <c r="F10544" s="502" t="s">
        <v>878</v>
      </c>
      <c r="G10544" s="100">
        <v>118083926</v>
      </c>
      <c r="H10544" s="530"/>
      <c r="I10544" s="422" t="s">
        <v>673</v>
      </c>
      <c r="J10544" s="484" t="s">
        <v>906</v>
      </c>
      <c r="K10544" s="548"/>
      <c r="L10544" s="548"/>
      <c r="M10544" s="548"/>
      <c r="N10544" s="552">
        <v>1192968</v>
      </c>
      <c r="R10544" s="539">
        <v>881.97</v>
      </c>
      <c r="S10544" s="539">
        <v>884.60191204625801</v>
      </c>
      <c r="T10544" s="538">
        <v>15.5601</v>
      </c>
      <c r="U10544" s="538">
        <v>11047.7</v>
      </c>
      <c r="V10544" s="538">
        <v>5523.85</v>
      </c>
    </row>
    <row r="10545" spans="1:22">
      <c r="A10545" s="499">
        <v>45854</v>
      </c>
      <c r="B10545" s="499">
        <v>45854</v>
      </c>
      <c r="C10545" s="500" t="s">
        <v>173</v>
      </c>
      <c r="D10545" s="500" t="s">
        <v>762</v>
      </c>
      <c r="E10545" s="501">
        <v>-512245684.22000003</v>
      </c>
      <c r="F10545" s="502" t="s">
        <v>878</v>
      </c>
      <c r="G10545" s="100">
        <v>118083929</v>
      </c>
      <c r="H10545" s="530"/>
      <c r="I10545" s="422" t="s">
        <v>1013</v>
      </c>
      <c r="J10545" s="484" t="s">
        <v>906</v>
      </c>
      <c r="K10545" s="548"/>
      <c r="L10545" s="548"/>
      <c r="M10545" s="548"/>
      <c r="N10545" s="552">
        <v>1000960</v>
      </c>
      <c r="R10545" s="539">
        <v>511.75439999999998</v>
      </c>
      <c r="S10545" s="539">
        <v>513.28154102062001</v>
      </c>
      <c r="T10545" s="538">
        <v>15.5601</v>
      </c>
      <c r="U10545" s="538">
        <v>5378.58</v>
      </c>
      <c r="V10545" s="538">
        <v>2689.29</v>
      </c>
    </row>
    <row r="10546" spans="1:22">
      <c r="A10546" s="499">
        <v>45854</v>
      </c>
      <c r="B10546" s="499">
        <v>45854</v>
      </c>
      <c r="C10546" s="500" t="s">
        <v>173</v>
      </c>
      <c r="D10546" s="500" t="s">
        <v>762</v>
      </c>
      <c r="E10546" s="501">
        <v>-10004798.52</v>
      </c>
      <c r="F10546" s="502" t="s">
        <v>878</v>
      </c>
      <c r="G10546" s="100">
        <v>118084030</v>
      </c>
      <c r="H10546" s="530"/>
      <c r="I10546" s="422" t="s">
        <v>1013</v>
      </c>
      <c r="J10546" s="484" t="s">
        <v>906</v>
      </c>
      <c r="K10546" s="548"/>
      <c r="L10546" s="548"/>
      <c r="M10546" s="548"/>
      <c r="N10546" s="552">
        <v>19550</v>
      </c>
      <c r="R10546" s="539">
        <v>511.75439999999998</v>
      </c>
      <c r="S10546" s="539">
        <v>513.28156061381105</v>
      </c>
      <c r="T10546" s="538">
        <v>15.5603</v>
      </c>
      <c r="U10546" s="538">
        <v>105.05</v>
      </c>
      <c r="V10546" s="538">
        <v>52.53</v>
      </c>
    </row>
    <row r="10547" spans="1:22">
      <c r="A10547" s="499">
        <v>45854</v>
      </c>
      <c r="B10547" s="499">
        <v>45861</v>
      </c>
      <c r="C10547" s="500" t="s">
        <v>173</v>
      </c>
      <c r="D10547" s="500" t="s">
        <v>762</v>
      </c>
      <c r="E10547" s="501">
        <v>1055301773.8099999</v>
      </c>
      <c r="F10547" s="502" t="s">
        <v>878</v>
      </c>
      <c r="G10547" s="100">
        <v>118083926</v>
      </c>
      <c r="H10547" s="484">
        <v>118083926</v>
      </c>
      <c r="I10547" s="422" t="s">
        <v>673</v>
      </c>
      <c r="J10547" s="484" t="s">
        <v>912</v>
      </c>
      <c r="K10547" s="548"/>
      <c r="L10547" s="548"/>
      <c r="M10547" s="548"/>
      <c r="N10547" s="552">
        <v>1192968</v>
      </c>
      <c r="R10547" s="539">
        <v>881.97</v>
      </c>
      <c r="S10547" s="539">
        <v>884.60191204625801</v>
      </c>
      <c r="T10547" s="538">
        <v>15.5601</v>
      </c>
      <c r="U10547" s="538">
        <v>11047.7</v>
      </c>
      <c r="V10547" s="538">
        <v>5523.85</v>
      </c>
    </row>
    <row r="10548" spans="1:22">
      <c r="A10548" s="499">
        <v>45854</v>
      </c>
      <c r="B10548" s="499">
        <v>45861</v>
      </c>
      <c r="C10548" s="500" t="s">
        <v>173</v>
      </c>
      <c r="D10548" s="500" t="s">
        <v>762</v>
      </c>
      <c r="E10548" s="501">
        <v>513774291.30000001</v>
      </c>
      <c r="F10548" s="502" t="s">
        <v>878</v>
      </c>
      <c r="G10548" s="100">
        <v>118083929</v>
      </c>
      <c r="H10548" s="484">
        <v>118083929</v>
      </c>
      <c r="I10548" s="422" t="s">
        <v>1013</v>
      </c>
      <c r="J10548" s="484" t="s">
        <v>912</v>
      </c>
      <c r="K10548" s="548"/>
      <c r="L10548" s="548"/>
      <c r="M10548" s="548"/>
      <c r="N10548" s="552">
        <v>1000960</v>
      </c>
      <c r="R10548" s="539">
        <v>511.75439999999998</v>
      </c>
      <c r="S10548" s="539">
        <v>513.28154102062001</v>
      </c>
      <c r="T10548" s="538">
        <v>15.5601</v>
      </c>
      <c r="U10548" s="538">
        <v>5378.58</v>
      </c>
      <c r="V10548" s="538">
        <v>2689.29</v>
      </c>
    </row>
    <row r="10549" spans="1:22">
      <c r="A10549" s="499">
        <v>45854</v>
      </c>
      <c r="B10549" s="499">
        <v>45861</v>
      </c>
      <c r="C10549" s="500" t="s">
        <v>173</v>
      </c>
      <c r="D10549" s="500" t="s">
        <v>762</v>
      </c>
      <c r="E10549" s="501">
        <v>10034654.51</v>
      </c>
      <c r="F10549" s="502" t="s">
        <v>878</v>
      </c>
      <c r="G10549" s="100">
        <v>118084030</v>
      </c>
      <c r="H10549" s="484">
        <v>118084030</v>
      </c>
      <c r="I10549" s="422" t="s">
        <v>1013</v>
      </c>
      <c r="J10549" s="484" t="s">
        <v>912</v>
      </c>
      <c r="K10549" s="548"/>
      <c r="L10549" s="548"/>
      <c r="M10549" s="548"/>
      <c r="N10549" s="552">
        <v>19550</v>
      </c>
      <c r="R10549" s="539">
        <v>511.75439999999998</v>
      </c>
      <c r="S10549" s="539">
        <v>513.28156061381105</v>
      </c>
      <c r="T10549" s="538">
        <v>15.5603</v>
      </c>
      <c r="U10549" s="538">
        <v>105.05</v>
      </c>
      <c r="V10549" s="538">
        <v>52.53</v>
      </c>
    </row>
    <row r="10550" spans="1:22">
      <c r="A10550" s="499">
        <v>45854</v>
      </c>
      <c r="B10550" s="499">
        <v>45854</v>
      </c>
      <c r="C10550" s="500" t="s">
        <v>173</v>
      </c>
      <c r="D10550" s="500" t="s">
        <v>761</v>
      </c>
      <c r="E10550" s="501">
        <v>-1691038124.95</v>
      </c>
      <c r="F10550" s="502" t="s">
        <v>878</v>
      </c>
      <c r="G10550" s="100">
        <v>118081804</v>
      </c>
      <c r="H10550" s="530"/>
      <c r="I10550" s="422" t="s">
        <v>2556</v>
      </c>
      <c r="J10550" s="484" t="s">
        <v>906</v>
      </c>
      <c r="K10550" s="548"/>
      <c r="L10550" s="548"/>
      <c r="M10550" s="548"/>
      <c r="N10550" s="552">
        <v>19343349</v>
      </c>
      <c r="R10550" s="539">
        <v>87.422200000113733</v>
      </c>
      <c r="S10550" s="539">
        <v>87.459444252388806</v>
      </c>
      <c r="T10550" s="538">
        <v>15.55</v>
      </c>
      <c r="U10550" s="538">
        <v>2536.56</v>
      </c>
      <c r="V10550" s="538">
        <v>1268.28</v>
      </c>
    </row>
    <row r="10551" spans="1:22">
      <c r="A10551" s="499">
        <v>45854</v>
      </c>
      <c r="B10551" s="499">
        <v>45854</v>
      </c>
      <c r="C10551" s="500" t="s">
        <v>173</v>
      </c>
      <c r="D10551" s="500" t="s">
        <v>761</v>
      </c>
      <c r="E10551" s="501">
        <v>-11001708.890000001</v>
      </c>
      <c r="F10551" s="502" t="s">
        <v>878</v>
      </c>
      <c r="G10551" s="100">
        <v>118083160</v>
      </c>
      <c r="H10551" s="530"/>
      <c r="I10551" s="422" t="s">
        <v>635</v>
      </c>
      <c r="J10551" s="484" t="s">
        <v>906</v>
      </c>
      <c r="K10551" s="548"/>
      <c r="L10551" s="548"/>
      <c r="M10551" s="548"/>
      <c r="N10551" s="552">
        <v>18304</v>
      </c>
      <c r="R10551" s="539">
        <v>601.0549000218532</v>
      </c>
      <c r="S10551" s="539">
        <v>601.31096590909101</v>
      </c>
      <c r="T10551" s="538">
        <v>15.55</v>
      </c>
      <c r="U10551" s="538">
        <v>39.32</v>
      </c>
      <c r="V10551" s="538">
        <v>8.25</v>
      </c>
    </row>
    <row r="10552" spans="1:22">
      <c r="A10552" s="499">
        <v>45854</v>
      </c>
      <c r="B10552" s="499">
        <v>45855</v>
      </c>
      <c r="C10552" s="500" t="s">
        <v>173</v>
      </c>
      <c r="D10552" s="500" t="s">
        <v>761</v>
      </c>
      <c r="E10552" s="501">
        <v>1691758553.52</v>
      </c>
      <c r="F10552" s="502" t="s">
        <v>878</v>
      </c>
      <c r="G10552" s="100">
        <v>118081804</v>
      </c>
      <c r="H10552" s="100">
        <v>118081804</v>
      </c>
      <c r="I10552" s="422" t="s">
        <v>2556</v>
      </c>
      <c r="J10552" s="484" t="s">
        <v>912</v>
      </c>
      <c r="K10552" s="548"/>
      <c r="L10552" s="548"/>
      <c r="M10552" s="548"/>
      <c r="N10552" s="552">
        <v>19343349</v>
      </c>
      <c r="R10552" s="539">
        <v>87.422200000113733</v>
      </c>
      <c r="S10552" s="539">
        <v>87.459444252388806</v>
      </c>
      <c r="T10552" s="538">
        <v>15.55</v>
      </c>
      <c r="U10552" s="538">
        <v>2536.56</v>
      </c>
      <c r="V10552" s="538">
        <v>1268.28</v>
      </c>
    </row>
    <row r="10553" spans="1:22">
      <c r="A10553" s="499">
        <v>45854</v>
      </c>
      <c r="B10553" s="499">
        <v>45855</v>
      </c>
      <c r="C10553" s="500" t="s">
        <v>173</v>
      </c>
      <c r="D10553" s="500" t="s">
        <v>761</v>
      </c>
      <c r="E10553" s="501">
        <v>11006395.92</v>
      </c>
      <c r="F10553" s="502" t="s">
        <v>878</v>
      </c>
      <c r="G10553" s="100">
        <v>118083160</v>
      </c>
      <c r="H10553" s="100">
        <v>118083160</v>
      </c>
      <c r="I10553" s="422" t="s">
        <v>635</v>
      </c>
      <c r="J10553" s="484" t="s">
        <v>912</v>
      </c>
      <c r="K10553" s="548"/>
      <c r="L10553" s="548"/>
      <c r="M10553" s="548"/>
      <c r="N10553" s="552">
        <v>18304</v>
      </c>
      <c r="R10553" s="539">
        <v>601.0549000218532</v>
      </c>
      <c r="S10553" s="539">
        <v>601.31096590909101</v>
      </c>
      <c r="T10553" s="538">
        <v>15.55</v>
      </c>
      <c r="U10553" s="538">
        <v>39.32</v>
      </c>
      <c r="V10553" s="538">
        <v>8.25</v>
      </c>
    </row>
    <row r="10554" spans="1:22">
      <c r="A10554" s="499">
        <v>45854</v>
      </c>
      <c r="B10554" s="499">
        <v>45854</v>
      </c>
      <c r="C10554" s="500" t="s">
        <v>173</v>
      </c>
      <c r="D10554" s="500" t="s">
        <v>760</v>
      </c>
      <c r="E10554" s="501">
        <v>-1118025206.2</v>
      </c>
      <c r="F10554" s="502" t="s">
        <v>878</v>
      </c>
      <c r="G10554" s="100">
        <v>118081810</v>
      </c>
      <c r="H10554" s="530"/>
      <c r="I10554" s="422" t="s">
        <v>2556</v>
      </c>
      <c r="J10554" s="484" t="s">
        <v>906</v>
      </c>
      <c r="K10554" s="548"/>
      <c r="L10554" s="548"/>
      <c r="M10554" s="548"/>
      <c r="N10554" s="552">
        <v>12788802</v>
      </c>
      <c r="R10554" s="539">
        <v>87.422200000000004</v>
      </c>
      <c r="S10554" s="539">
        <v>87.459444252088701</v>
      </c>
      <c r="T10554" s="538">
        <v>15.55</v>
      </c>
      <c r="U10554" s="538">
        <v>1677.04</v>
      </c>
      <c r="V10554" s="538">
        <v>838.52</v>
      </c>
    </row>
    <row r="10555" spans="1:22">
      <c r="A10555" s="499">
        <v>45854</v>
      </c>
      <c r="B10555" s="499">
        <v>45854</v>
      </c>
      <c r="C10555" s="500" t="s">
        <v>173</v>
      </c>
      <c r="D10555" s="500" t="s">
        <v>760</v>
      </c>
      <c r="E10555" s="501">
        <v>-195004396.43000001</v>
      </c>
      <c r="F10555" s="502" t="s">
        <v>878</v>
      </c>
      <c r="G10555" s="100">
        <v>118081843</v>
      </c>
      <c r="H10555" s="530"/>
      <c r="I10555" s="422" t="s">
        <v>2556</v>
      </c>
      <c r="J10555" s="484" t="s">
        <v>906</v>
      </c>
      <c r="K10555" s="548"/>
      <c r="L10555" s="548"/>
      <c r="M10555" s="548"/>
      <c r="N10555" s="552">
        <v>2230605</v>
      </c>
      <c r="R10555" s="539">
        <v>87.422200000000004</v>
      </c>
      <c r="S10555" s="539">
        <v>87.459444253913205</v>
      </c>
      <c r="T10555" s="538">
        <v>15.55</v>
      </c>
      <c r="U10555" s="538">
        <v>292.51</v>
      </c>
      <c r="V10555" s="538">
        <v>146.25</v>
      </c>
    </row>
    <row r="10556" spans="1:22">
      <c r="A10556" s="499">
        <v>45854</v>
      </c>
      <c r="B10556" s="499">
        <v>45854</v>
      </c>
      <c r="C10556" s="500" t="s">
        <v>173</v>
      </c>
      <c r="D10556" s="500" t="s">
        <v>760</v>
      </c>
      <c r="E10556" s="501">
        <v>-9001398.1799999997</v>
      </c>
      <c r="F10556" s="502" t="s">
        <v>878</v>
      </c>
      <c r="G10556" s="100">
        <v>118083157</v>
      </c>
      <c r="H10556" s="530"/>
      <c r="I10556" s="422" t="s">
        <v>635</v>
      </c>
      <c r="J10556" s="484" t="s">
        <v>906</v>
      </c>
      <c r="K10556" s="548"/>
      <c r="L10556" s="548"/>
      <c r="M10556" s="548"/>
      <c r="N10556" s="552">
        <v>14976</v>
      </c>
      <c r="R10556" s="539">
        <v>601.05489999999998</v>
      </c>
      <c r="S10556" s="539">
        <v>601.31096554487203</v>
      </c>
      <c r="T10556" s="538">
        <v>15.55</v>
      </c>
      <c r="U10556" s="538">
        <v>39.32</v>
      </c>
      <c r="V10556" s="538">
        <v>6.75</v>
      </c>
    </row>
    <row r="10557" spans="1:22">
      <c r="A10557" s="499">
        <v>45854</v>
      </c>
      <c r="B10557" s="499">
        <v>45855</v>
      </c>
      <c r="C10557" s="500" t="s">
        <v>173</v>
      </c>
      <c r="D10557" s="500" t="s">
        <v>760</v>
      </c>
      <c r="E10557" s="501">
        <v>1118501515.5699999</v>
      </c>
      <c r="F10557" s="502" t="s">
        <v>878</v>
      </c>
      <c r="G10557" s="100">
        <v>118081810</v>
      </c>
      <c r="H10557" s="100">
        <v>118081810</v>
      </c>
      <c r="I10557" s="422" t="s">
        <v>2556</v>
      </c>
      <c r="J10557" s="484" t="s">
        <v>912</v>
      </c>
      <c r="K10557" s="548"/>
      <c r="L10557" s="548"/>
      <c r="M10557" s="548"/>
      <c r="N10557" s="552">
        <v>12788802</v>
      </c>
      <c r="R10557" s="539">
        <v>87.422200000000004</v>
      </c>
      <c r="S10557" s="539">
        <v>87.459444252088701</v>
      </c>
      <c r="T10557" s="538">
        <v>15.55</v>
      </c>
      <c r="U10557" s="538">
        <v>1677.04</v>
      </c>
      <c r="V10557" s="538">
        <v>838.52</v>
      </c>
    </row>
    <row r="10558" spans="1:22">
      <c r="A10558" s="499">
        <v>45854</v>
      </c>
      <c r="B10558" s="499">
        <v>45855</v>
      </c>
      <c r="C10558" s="500" t="s">
        <v>173</v>
      </c>
      <c r="D10558" s="500" t="s">
        <v>760</v>
      </c>
      <c r="E10558" s="501">
        <v>195087473.65000001</v>
      </c>
      <c r="F10558" s="502" t="s">
        <v>878</v>
      </c>
      <c r="G10558" s="100">
        <v>118081843</v>
      </c>
      <c r="H10558" s="100">
        <v>118081843</v>
      </c>
      <c r="I10558" s="422" t="s">
        <v>2556</v>
      </c>
      <c r="J10558" s="484" t="s">
        <v>912</v>
      </c>
      <c r="K10558" s="548"/>
      <c r="L10558" s="548"/>
      <c r="M10558" s="548"/>
      <c r="N10558" s="552">
        <v>2230605</v>
      </c>
      <c r="R10558" s="539">
        <v>87.422200000000004</v>
      </c>
      <c r="S10558" s="539">
        <v>87.459444253913205</v>
      </c>
      <c r="T10558" s="538">
        <v>15.55</v>
      </c>
      <c r="U10558" s="538">
        <v>292.51</v>
      </c>
      <c r="V10558" s="538">
        <v>146.25</v>
      </c>
    </row>
    <row r="10559" spans="1:22">
      <c r="A10559" s="499">
        <v>45854</v>
      </c>
      <c r="B10559" s="499">
        <v>45855</v>
      </c>
      <c r="C10559" s="500" t="s">
        <v>173</v>
      </c>
      <c r="D10559" s="500" t="s">
        <v>760</v>
      </c>
      <c r="E10559" s="501">
        <v>9005233.0199999996</v>
      </c>
      <c r="F10559" s="502" t="s">
        <v>878</v>
      </c>
      <c r="G10559" s="100">
        <v>118083157</v>
      </c>
      <c r="H10559" s="100">
        <v>118083157</v>
      </c>
      <c r="I10559" s="422" t="s">
        <v>635</v>
      </c>
      <c r="J10559" s="484" t="s">
        <v>912</v>
      </c>
      <c r="K10559" s="548"/>
      <c r="L10559" s="548"/>
      <c r="M10559" s="548"/>
      <c r="N10559" s="552">
        <v>14976</v>
      </c>
      <c r="R10559" s="539">
        <v>601.05489999999998</v>
      </c>
      <c r="S10559" s="539">
        <v>601.31096554487203</v>
      </c>
      <c r="T10559" s="538">
        <v>15.55</v>
      </c>
      <c r="U10559" s="538">
        <v>39.32</v>
      </c>
      <c r="V10559" s="538">
        <v>6.75</v>
      </c>
    </row>
    <row r="10560" spans="1:22">
      <c r="A10560" s="499">
        <v>45854</v>
      </c>
      <c r="B10560" s="499">
        <v>45854</v>
      </c>
      <c r="C10560" s="500" t="s">
        <v>173</v>
      </c>
      <c r="D10560" s="500" t="s">
        <v>763</v>
      </c>
      <c r="E10560" s="501">
        <v>-5004073200</v>
      </c>
      <c r="F10560" s="502" t="s">
        <v>878</v>
      </c>
      <c r="G10560" s="100">
        <v>118082093</v>
      </c>
      <c r="H10560" s="530"/>
      <c r="I10560" s="422" t="s">
        <v>691</v>
      </c>
      <c r="J10560" s="484" t="s">
        <v>906</v>
      </c>
      <c r="K10560" s="548"/>
      <c r="L10560" s="548"/>
      <c r="M10560" s="548"/>
      <c r="N10560" s="552">
        <v>5900000</v>
      </c>
      <c r="R10560" s="539">
        <v>848.14800000000002</v>
      </c>
      <c r="S10560" s="539">
        <v>848.50886954576299</v>
      </c>
      <c r="T10560" s="538">
        <v>15.53</v>
      </c>
      <c r="U10560" s="538">
        <v>7506.11</v>
      </c>
      <c r="V10560" s="538">
        <v>3753.05</v>
      </c>
    </row>
    <row r="10561" spans="1:22">
      <c r="A10561" s="499">
        <v>45854</v>
      </c>
      <c r="B10561" s="499">
        <v>45854</v>
      </c>
      <c r="C10561" s="500" t="s">
        <v>173</v>
      </c>
      <c r="D10561" s="500" t="s">
        <v>763</v>
      </c>
      <c r="E10561" s="501">
        <v>-12000009.18</v>
      </c>
      <c r="F10561" s="502" t="s">
        <v>878</v>
      </c>
      <c r="G10561" s="100">
        <v>118082096</v>
      </c>
      <c r="H10561" s="530"/>
      <c r="I10561" s="422" t="s">
        <v>1048</v>
      </c>
      <c r="J10561" s="484" t="s">
        <v>906</v>
      </c>
      <c r="K10561" s="548"/>
      <c r="L10561" s="548"/>
      <c r="M10561" s="548"/>
      <c r="N10561" s="552">
        <v>11732508</v>
      </c>
      <c r="R10561" s="539">
        <v>1.0227999999999999</v>
      </c>
      <c r="S10561" s="539">
        <v>1.0232349059553201</v>
      </c>
      <c r="T10561" s="538">
        <v>15.520200000000001</v>
      </c>
      <c r="U10561" s="538">
        <v>39.32</v>
      </c>
      <c r="V10561" s="538">
        <v>39.32</v>
      </c>
    </row>
    <row r="10562" spans="1:22">
      <c r="A10562" s="499">
        <v>45854</v>
      </c>
      <c r="B10562" s="499">
        <v>45854</v>
      </c>
      <c r="C10562" s="500" t="s">
        <v>173</v>
      </c>
      <c r="D10562" s="500" t="s">
        <v>763</v>
      </c>
      <c r="E10562" s="501">
        <v>-27021995.280000001</v>
      </c>
      <c r="F10562" s="502" t="s">
        <v>878</v>
      </c>
      <c r="G10562" s="100">
        <v>118082145</v>
      </c>
      <c r="H10562" s="530"/>
      <c r="I10562" s="422" t="s">
        <v>691</v>
      </c>
      <c r="J10562" s="484" t="s">
        <v>906</v>
      </c>
      <c r="K10562" s="548"/>
      <c r="L10562" s="548"/>
      <c r="M10562" s="548"/>
      <c r="N10562" s="552">
        <v>31860</v>
      </c>
      <c r="R10562" s="539">
        <v>848.14800000000002</v>
      </c>
      <c r="S10562" s="539">
        <v>848.50886942875104</v>
      </c>
      <c r="T10562" s="538">
        <v>15.53</v>
      </c>
      <c r="U10562" s="538">
        <v>40.53</v>
      </c>
      <c r="V10562" s="538">
        <v>39.32</v>
      </c>
    </row>
    <row r="10563" spans="1:22">
      <c r="A10563" s="499">
        <v>45854</v>
      </c>
      <c r="B10563" s="499">
        <v>45854</v>
      </c>
      <c r="C10563" s="500" t="s">
        <v>173</v>
      </c>
      <c r="D10563" s="500" t="s">
        <v>763</v>
      </c>
      <c r="E10563" s="501">
        <v>-1000814.64</v>
      </c>
      <c r="F10563" s="502" t="s">
        <v>878</v>
      </c>
      <c r="G10563" s="100">
        <v>118082213</v>
      </c>
      <c r="H10563" s="530"/>
      <c r="I10563" s="422" t="s">
        <v>691</v>
      </c>
      <c r="J10563" s="484" t="s">
        <v>906</v>
      </c>
      <c r="K10563" s="548"/>
      <c r="L10563" s="548"/>
      <c r="M10563" s="548"/>
      <c r="N10563" s="552">
        <v>1180</v>
      </c>
      <c r="R10563" s="539">
        <v>848.14800000000002</v>
      </c>
      <c r="S10563" s="539">
        <v>848.50887288135596</v>
      </c>
      <c r="T10563" s="538">
        <v>15.53</v>
      </c>
      <c r="U10563" s="538">
        <v>39.32</v>
      </c>
      <c r="V10563" s="538">
        <v>39.32</v>
      </c>
    </row>
    <row r="10564" spans="1:22">
      <c r="A10564" s="499">
        <v>45854</v>
      </c>
      <c r="B10564" s="499">
        <v>45855</v>
      </c>
      <c r="C10564" s="500" t="s">
        <v>173</v>
      </c>
      <c r="D10564" s="500" t="s">
        <v>763</v>
      </c>
      <c r="E10564" s="501">
        <v>5006202330.3199997</v>
      </c>
      <c r="F10564" s="502" t="s">
        <v>878</v>
      </c>
      <c r="G10564" s="100">
        <v>118082093</v>
      </c>
      <c r="H10564" s="100">
        <v>118082093</v>
      </c>
      <c r="I10564" s="422" t="s">
        <v>691</v>
      </c>
      <c r="J10564" s="484" t="s">
        <v>912</v>
      </c>
      <c r="K10564" s="548"/>
      <c r="L10564" s="548"/>
      <c r="M10564" s="548"/>
      <c r="N10564" s="552">
        <v>5900000</v>
      </c>
      <c r="R10564" s="539">
        <v>848.14800000000002</v>
      </c>
      <c r="S10564" s="539">
        <v>848.50886954576299</v>
      </c>
      <c r="T10564" s="538">
        <v>15.53</v>
      </c>
      <c r="U10564" s="538">
        <v>7506.11</v>
      </c>
      <c r="V10564" s="538">
        <v>3753.05</v>
      </c>
    </row>
    <row r="10565" spans="1:22">
      <c r="A10565" s="499">
        <v>45854</v>
      </c>
      <c r="B10565" s="499">
        <v>45855</v>
      </c>
      <c r="C10565" s="500" t="s">
        <v>173</v>
      </c>
      <c r="D10565" s="500" t="s">
        <v>763</v>
      </c>
      <c r="E10565" s="501">
        <v>12005111.720000001</v>
      </c>
      <c r="F10565" s="502" t="s">
        <v>878</v>
      </c>
      <c r="G10565" s="100">
        <v>118082096</v>
      </c>
      <c r="H10565" s="100">
        <v>118082096</v>
      </c>
      <c r="I10565" s="422" t="s">
        <v>1048</v>
      </c>
      <c r="J10565" s="484" t="s">
        <v>912</v>
      </c>
      <c r="K10565" s="548"/>
      <c r="L10565" s="548"/>
      <c r="M10565" s="548"/>
      <c r="N10565" s="552">
        <v>11732508</v>
      </c>
      <c r="R10565" s="539">
        <v>1.0227999999999999</v>
      </c>
      <c r="S10565" s="539">
        <v>1.0232349059553201</v>
      </c>
      <c r="T10565" s="538">
        <v>15.520200000000001</v>
      </c>
      <c r="U10565" s="538">
        <v>39.32</v>
      </c>
      <c r="V10565" s="538">
        <v>39.32</v>
      </c>
    </row>
    <row r="10566" spans="1:22">
      <c r="A10566" s="499">
        <v>45854</v>
      </c>
      <c r="B10566" s="499">
        <v>45855</v>
      </c>
      <c r="C10566" s="500" t="s">
        <v>173</v>
      </c>
      <c r="D10566" s="500" t="s">
        <v>763</v>
      </c>
      <c r="E10566" s="501">
        <v>27033492.579999998</v>
      </c>
      <c r="F10566" s="502" t="s">
        <v>878</v>
      </c>
      <c r="G10566" s="100">
        <v>118082145</v>
      </c>
      <c r="H10566" s="100">
        <v>118082145</v>
      </c>
      <c r="I10566" s="422" t="s">
        <v>691</v>
      </c>
      <c r="J10566" s="484" t="s">
        <v>912</v>
      </c>
      <c r="K10566" s="548"/>
      <c r="L10566" s="548"/>
      <c r="M10566" s="548"/>
      <c r="N10566" s="552">
        <v>31860</v>
      </c>
      <c r="R10566" s="539">
        <v>848.14800000000002</v>
      </c>
      <c r="S10566" s="539">
        <v>848.50886942875104</v>
      </c>
      <c r="T10566" s="538">
        <v>15.53</v>
      </c>
      <c r="U10566" s="538">
        <v>40.53</v>
      </c>
      <c r="V10566" s="538">
        <v>39.32</v>
      </c>
    </row>
    <row r="10567" spans="1:22">
      <c r="A10567" s="499">
        <v>45854</v>
      </c>
      <c r="B10567" s="499">
        <v>45855</v>
      </c>
      <c r="C10567" s="500" t="s">
        <v>173</v>
      </c>
      <c r="D10567" s="500" t="s">
        <v>763</v>
      </c>
      <c r="E10567" s="501">
        <v>1001240.47</v>
      </c>
      <c r="F10567" s="502" t="s">
        <v>878</v>
      </c>
      <c r="G10567" s="100">
        <v>118082213</v>
      </c>
      <c r="H10567" s="100">
        <v>118082213</v>
      </c>
      <c r="I10567" s="422" t="s">
        <v>691</v>
      </c>
      <c r="J10567" s="484" t="s">
        <v>912</v>
      </c>
      <c r="K10567" s="548"/>
      <c r="L10567" s="548"/>
      <c r="M10567" s="548"/>
      <c r="N10567" s="552">
        <v>1180</v>
      </c>
      <c r="R10567" s="539">
        <v>848.14800000000002</v>
      </c>
      <c r="S10567" s="539">
        <v>848.50887288135596</v>
      </c>
      <c r="T10567" s="538">
        <v>15.53</v>
      </c>
      <c r="U10567" s="538">
        <v>39.32</v>
      </c>
      <c r="V10567" s="538">
        <v>39.32</v>
      </c>
    </row>
    <row r="10568" spans="1:22">
      <c r="A10568" s="499">
        <v>45854</v>
      </c>
      <c r="B10568" s="499">
        <v>45854</v>
      </c>
      <c r="C10568" s="500" t="s">
        <v>173</v>
      </c>
      <c r="D10568" s="500" t="s">
        <v>759</v>
      </c>
      <c r="E10568" s="501">
        <v>-217109082.43000001</v>
      </c>
      <c r="F10568" s="502" t="s">
        <v>878</v>
      </c>
      <c r="G10568" s="100">
        <v>118084639</v>
      </c>
      <c r="H10568" s="530"/>
      <c r="I10568" s="422" t="s">
        <v>592</v>
      </c>
      <c r="J10568" s="484" t="s">
        <v>906</v>
      </c>
      <c r="K10568" s="548"/>
      <c r="L10568" s="548"/>
      <c r="M10568" s="548"/>
      <c r="N10568" s="552">
        <v>280798</v>
      </c>
      <c r="R10568" s="539">
        <v>773.18600000712263</v>
      </c>
      <c r="S10568" s="539">
        <v>773.51539843588603</v>
      </c>
      <c r="T10568" s="538">
        <v>15.55</v>
      </c>
      <c r="U10568" s="538">
        <v>325.66000000000003</v>
      </c>
      <c r="V10568" s="538">
        <v>162.83000000000001</v>
      </c>
    </row>
    <row r="10569" spans="1:22">
      <c r="A10569" s="499">
        <v>45854</v>
      </c>
      <c r="B10569" s="499">
        <v>45854</v>
      </c>
      <c r="C10569" s="500" t="s">
        <v>173</v>
      </c>
      <c r="D10569" s="500" t="s">
        <v>759</v>
      </c>
      <c r="E10569" s="501">
        <v>-272221582.07999998</v>
      </c>
      <c r="F10569" s="502" t="s">
        <v>878</v>
      </c>
      <c r="G10569" s="100">
        <v>118084642</v>
      </c>
      <c r="H10569" s="530"/>
      <c r="I10569" s="422" t="s">
        <v>691</v>
      </c>
      <c r="J10569" s="484" t="s">
        <v>906</v>
      </c>
      <c r="K10569" s="548"/>
      <c r="L10569" s="548"/>
      <c r="M10569" s="548"/>
      <c r="N10569" s="552">
        <v>320960</v>
      </c>
      <c r="R10569" s="539">
        <v>848.14799999999991</v>
      </c>
      <c r="S10569" s="539">
        <v>848.50933427841505</v>
      </c>
      <c r="T10569" s="538">
        <v>15.55</v>
      </c>
      <c r="U10569" s="538">
        <v>408.33</v>
      </c>
      <c r="V10569" s="538">
        <v>204.17</v>
      </c>
    </row>
    <row r="10570" spans="1:22">
      <c r="A10570" s="499">
        <v>45854</v>
      </c>
      <c r="B10570" s="499">
        <v>45854</v>
      </c>
      <c r="C10570" s="500" t="s">
        <v>173</v>
      </c>
      <c r="D10570" s="500" t="s">
        <v>759</v>
      </c>
      <c r="E10570" s="501">
        <v>-303004104.44</v>
      </c>
      <c r="F10570" s="502" t="s">
        <v>878</v>
      </c>
      <c r="G10570" s="100">
        <v>118084645</v>
      </c>
      <c r="H10570" s="530"/>
      <c r="I10570" s="422" t="s">
        <v>692</v>
      </c>
      <c r="J10570" s="484" t="s">
        <v>906</v>
      </c>
      <c r="K10570" s="548"/>
      <c r="L10570" s="548"/>
      <c r="M10570" s="548"/>
      <c r="N10570" s="552">
        <v>411474</v>
      </c>
      <c r="R10570" s="539">
        <v>736.38700000486062</v>
      </c>
      <c r="S10570" s="539">
        <v>736.70072104191297</v>
      </c>
      <c r="T10570" s="538">
        <v>15.55</v>
      </c>
      <c r="U10570" s="538">
        <v>454.51</v>
      </c>
      <c r="V10570" s="538">
        <v>227.25</v>
      </c>
    </row>
    <row r="10571" spans="1:22">
      <c r="A10571" s="499">
        <v>45854</v>
      </c>
      <c r="B10571" s="499">
        <v>45854</v>
      </c>
      <c r="C10571" s="500" t="s">
        <v>173</v>
      </c>
      <c r="D10571" s="500" t="s">
        <v>759</v>
      </c>
      <c r="E10571" s="501">
        <v>-397316396.30000001</v>
      </c>
      <c r="F10571" s="502" t="s">
        <v>878</v>
      </c>
      <c r="G10571" s="100">
        <v>118084648</v>
      </c>
      <c r="H10571" s="530"/>
      <c r="I10571" s="422" t="s">
        <v>658</v>
      </c>
      <c r="J10571" s="484" t="s">
        <v>906</v>
      </c>
      <c r="K10571" s="548"/>
      <c r="L10571" s="548"/>
      <c r="M10571" s="548"/>
      <c r="N10571" s="552">
        <v>399382</v>
      </c>
      <c r="R10571" s="539">
        <v>994.82800001001556</v>
      </c>
      <c r="S10571" s="539">
        <v>995.25182399306902</v>
      </c>
      <c r="T10571" s="538">
        <v>15.55</v>
      </c>
      <c r="U10571" s="538">
        <v>595.97</v>
      </c>
      <c r="V10571" s="538">
        <v>297.99</v>
      </c>
    </row>
    <row r="10572" spans="1:22">
      <c r="A10572" s="499">
        <v>45854</v>
      </c>
      <c r="B10572" s="499">
        <v>45854</v>
      </c>
      <c r="C10572" s="500" t="s">
        <v>173</v>
      </c>
      <c r="D10572" s="500" t="s">
        <v>759</v>
      </c>
      <c r="E10572" s="501">
        <v>-420219933</v>
      </c>
      <c r="F10572" s="502" t="s">
        <v>878</v>
      </c>
      <c r="G10572" s="100">
        <v>118084651</v>
      </c>
      <c r="H10572" s="530"/>
      <c r="I10572" s="422" t="s">
        <v>705</v>
      </c>
      <c r="J10572" s="484" t="s">
        <v>906</v>
      </c>
      <c r="K10572" s="548"/>
      <c r="L10572" s="548"/>
      <c r="M10572" s="548"/>
      <c r="N10572" s="552">
        <v>514500</v>
      </c>
      <c r="R10572" s="539">
        <v>816.75400000000002</v>
      </c>
      <c r="S10572" s="539">
        <v>817.10195957240001</v>
      </c>
      <c r="T10572" s="538">
        <v>15.55</v>
      </c>
      <c r="U10572" s="538">
        <v>630.33000000000004</v>
      </c>
      <c r="V10572" s="538">
        <v>315.16000000000003</v>
      </c>
    </row>
    <row r="10573" spans="1:22">
      <c r="A10573" s="499">
        <v>45854</v>
      </c>
      <c r="B10573" s="499">
        <v>45854</v>
      </c>
      <c r="C10573" s="500" t="s">
        <v>173</v>
      </c>
      <c r="D10573" s="500" t="s">
        <v>759</v>
      </c>
      <c r="E10573" s="501">
        <v>-381304841.14999998</v>
      </c>
      <c r="F10573" s="502" t="s">
        <v>878</v>
      </c>
      <c r="G10573" s="100">
        <v>118084654</v>
      </c>
      <c r="H10573" s="530"/>
      <c r="I10573" s="422" t="s">
        <v>676</v>
      </c>
      <c r="J10573" s="484" t="s">
        <v>906</v>
      </c>
      <c r="K10573" s="548"/>
      <c r="L10573" s="548"/>
      <c r="M10573" s="548"/>
      <c r="N10573" s="552">
        <v>410718</v>
      </c>
      <c r="R10573" s="539">
        <v>928.38600000486952</v>
      </c>
      <c r="S10573" s="539">
        <v>928.78151787844695</v>
      </c>
      <c r="T10573" s="538">
        <v>15.55</v>
      </c>
      <c r="U10573" s="538">
        <v>571.96</v>
      </c>
      <c r="V10573" s="538">
        <v>285.98</v>
      </c>
    </row>
    <row r="10574" spans="1:22">
      <c r="A10574" s="499">
        <v>45854</v>
      </c>
      <c r="B10574" s="499">
        <v>45854</v>
      </c>
      <c r="C10574" s="500" t="s">
        <v>173</v>
      </c>
      <c r="D10574" s="500" t="s">
        <v>759</v>
      </c>
      <c r="E10574" s="501">
        <v>-12001064.02</v>
      </c>
      <c r="F10574" s="502" t="s">
        <v>878</v>
      </c>
      <c r="G10574" s="100">
        <v>118087152</v>
      </c>
      <c r="H10574" s="530"/>
      <c r="I10574" s="422" t="s">
        <v>604</v>
      </c>
      <c r="J10574" s="484" t="s">
        <v>906</v>
      </c>
      <c r="K10574" s="548"/>
      <c r="L10574" s="548"/>
      <c r="M10574" s="548"/>
      <c r="N10574" s="552">
        <v>11868</v>
      </c>
      <c r="R10574" s="539">
        <v>1011.2120003370408</v>
      </c>
      <c r="S10574" s="539">
        <v>1011.64557465453</v>
      </c>
      <c r="T10574" s="538">
        <v>15.65</v>
      </c>
      <c r="U10574" s="538">
        <v>39.32</v>
      </c>
      <c r="V10574" s="538">
        <v>9</v>
      </c>
    </row>
    <row r="10575" spans="1:22">
      <c r="A10575" s="499">
        <v>45854</v>
      </c>
      <c r="B10575" s="499">
        <v>45855</v>
      </c>
      <c r="C10575" s="500" t="s">
        <v>173</v>
      </c>
      <c r="D10575" s="500" t="s">
        <v>759</v>
      </c>
      <c r="E10575" s="501">
        <v>217201576.84999999</v>
      </c>
      <c r="F10575" s="502" t="s">
        <v>878</v>
      </c>
      <c r="G10575" s="100">
        <v>118084639</v>
      </c>
      <c r="H10575" s="100">
        <v>118084639</v>
      </c>
      <c r="I10575" s="422" t="s">
        <v>592</v>
      </c>
      <c r="J10575" s="484" t="s">
        <v>912</v>
      </c>
      <c r="K10575" s="548"/>
      <c r="L10575" s="548"/>
      <c r="M10575" s="548"/>
      <c r="N10575" s="552">
        <v>280798</v>
      </c>
      <c r="R10575" s="539">
        <v>773.18600000712263</v>
      </c>
      <c r="S10575" s="539">
        <v>773.51539843588603</v>
      </c>
      <c r="T10575" s="538">
        <v>15.55</v>
      </c>
      <c r="U10575" s="538">
        <v>325.66000000000003</v>
      </c>
      <c r="V10575" s="538">
        <v>162.83000000000001</v>
      </c>
    </row>
    <row r="10576" spans="1:22">
      <c r="A10576" s="499">
        <v>45854</v>
      </c>
      <c r="B10576" s="499">
        <v>45855</v>
      </c>
      <c r="C10576" s="500" t="s">
        <v>173</v>
      </c>
      <c r="D10576" s="500" t="s">
        <v>759</v>
      </c>
      <c r="E10576" s="501">
        <v>272337555.93000001</v>
      </c>
      <c r="F10576" s="502" t="s">
        <v>878</v>
      </c>
      <c r="G10576" s="100">
        <v>118084642</v>
      </c>
      <c r="H10576" s="100">
        <v>118084642</v>
      </c>
      <c r="I10576" s="422" t="s">
        <v>691</v>
      </c>
      <c r="J10576" s="484" t="s">
        <v>912</v>
      </c>
      <c r="K10576" s="548"/>
      <c r="L10576" s="548"/>
      <c r="M10576" s="548"/>
      <c r="N10576" s="552">
        <v>320960</v>
      </c>
      <c r="R10576" s="539">
        <v>848.14799999999991</v>
      </c>
      <c r="S10576" s="539">
        <v>848.50933427841505</v>
      </c>
      <c r="T10576" s="538">
        <v>15.55</v>
      </c>
      <c r="U10576" s="538">
        <v>408.33</v>
      </c>
      <c r="V10576" s="538">
        <v>204.17</v>
      </c>
    </row>
    <row r="10577" spans="1:22">
      <c r="A10577" s="499">
        <v>45854</v>
      </c>
      <c r="B10577" s="499">
        <v>45855</v>
      </c>
      <c r="C10577" s="500" t="s">
        <v>173</v>
      </c>
      <c r="D10577" s="500" t="s">
        <v>759</v>
      </c>
      <c r="E10577" s="501">
        <v>303133192.49000001</v>
      </c>
      <c r="F10577" s="502" t="s">
        <v>878</v>
      </c>
      <c r="G10577" s="100">
        <v>118084645</v>
      </c>
      <c r="H10577" s="100">
        <v>118084645</v>
      </c>
      <c r="I10577" s="422" t="s">
        <v>692</v>
      </c>
      <c r="J10577" s="484" t="s">
        <v>912</v>
      </c>
      <c r="K10577" s="548"/>
      <c r="L10577" s="548"/>
      <c r="M10577" s="548"/>
      <c r="N10577" s="552">
        <v>411474</v>
      </c>
      <c r="R10577" s="539">
        <v>736.38700000486062</v>
      </c>
      <c r="S10577" s="539">
        <v>736.70072104191297</v>
      </c>
      <c r="T10577" s="538">
        <v>15.55</v>
      </c>
      <c r="U10577" s="538">
        <v>454.51</v>
      </c>
      <c r="V10577" s="538">
        <v>227.25</v>
      </c>
    </row>
    <row r="10578" spans="1:22">
      <c r="A10578" s="499">
        <v>45854</v>
      </c>
      <c r="B10578" s="499">
        <v>45855</v>
      </c>
      <c r="C10578" s="500" t="s">
        <v>173</v>
      </c>
      <c r="D10578" s="500" t="s">
        <v>759</v>
      </c>
      <c r="E10578" s="501">
        <v>397485663.97000003</v>
      </c>
      <c r="F10578" s="502" t="s">
        <v>878</v>
      </c>
      <c r="G10578" s="100">
        <v>118084648</v>
      </c>
      <c r="H10578" s="100">
        <v>118084648</v>
      </c>
      <c r="I10578" s="422" t="s">
        <v>658</v>
      </c>
      <c r="J10578" s="484" t="s">
        <v>912</v>
      </c>
      <c r="K10578" s="548"/>
      <c r="L10578" s="548"/>
      <c r="M10578" s="548"/>
      <c r="N10578" s="552">
        <v>399382</v>
      </c>
      <c r="R10578" s="539">
        <v>994.82800001001556</v>
      </c>
      <c r="S10578" s="539">
        <v>995.25182399306902</v>
      </c>
      <c r="T10578" s="538">
        <v>15.55</v>
      </c>
      <c r="U10578" s="538">
        <v>595.97</v>
      </c>
      <c r="V10578" s="538">
        <v>297.99</v>
      </c>
    </row>
    <row r="10579" spans="1:22">
      <c r="A10579" s="499">
        <v>45854</v>
      </c>
      <c r="B10579" s="499">
        <v>45855</v>
      </c>
      <c r="C10579" s="500" t="s">
        <v>173</v>
      </c>
      <c r="D10579" s="500" t="s">
        <v>759</v>
      </c>
      <c r="E10579" s="501">
        <v>420398958.19999999</v>
      </c>
      <c r="F10579" s="502" t="s">
        <v>878</v>
      </c>
      <c r="G10579" s="100">
        <v>118084651</v>
      </c>
      <c r="H10579" s="100">
        <v>118084651</v>
      </c>
      <c r="I10579" s="422" t="s">
        <v>705</v>
      </c>
      <c r="J10579" s="484" t="s">
        <v>912</v>
      </c>
      <c r="K10579" s="548"/>
      <c r="L10579" s="548"/>
      <c r="M10579" s="548"/>
      <c r="N10579" s="552">
        <v>514500</v>
      </c>
      <c r="R10579" s="539">
        <v>816.75400000000002</v>
      </c>
      <c r="S10579" s="539">
        <v>817.10195957240001</v>
      </c>
      <c r="T10579" s="538">
        <v>15.55</v>
      </c>
      <c r="U10579" s="538">
        <v>630.33000000000004</v>
      </c>
      <c r="V10579" s="538">
        <v>315.16000000000003</v>
      </c>
    </row>
    <row r="10580" spans="1:22">
      <c r="A10580" s="499">
        <v>45854</v>
      </c>
      <c r="B10580" s="499">
        <v>45855</v>
      </c>
      <c r="C10580" s="500" t="s">
        <v>173</v>
      </c>
      <c r="D10580" s="500" t="s">
        <v>759</v>
      </c>
      <c r="E10580" s="501">
        <v>381467287.45999998</v>
      </c>
      <c r="F10580" s="502" t="s">
        <v>878</v>
      </c>
      <c r="G10580" s="100">
        <v>118084654</v>
      </c>
      <c r="H10580" s="100">
        <v>118084654</v>
      </c>
      <c r="I10580" s="422" t="s">
        <v>676</v>
      </c>
      <c r="J10580" s="484" t="s">
        <v>912</v>
      </c>
      <c r="K10580" s="548"/>
      <c r="L10580" s="548"/>
      <c r="M10580" s="548"/>
      <c r="N10580" s="552">
        <v>410718</v>
      </c>
      <c r="R10580" s="539">
        <v>928.38600000486952</v>
      </c>
      <c r="S10580" s="539">
        <v>928.78151787844695</v>
      </c>
      <c r="T10580" s="538">
        <v>15.55</v>
      </c>
      <c r="U10580" s="538">
        <v>571.96</v>
      </c>
      <c r="V10580" s="538">
        <v>285.98</v>
      </c>
    </row>
    <row r="10581" spans="1:22">
      <c r="A10581" s="499">
        <v>45854</v>
      </c>
      <c r="B10581" s="499">
        <v>45855</v>
      </c>
      <c r="C10581" s="500" t="s">
        <v>173</v>
      </c>
      <c r="D10581" s="500" t="s">
        <v>759</v>
      </c>
      <c r="E10581" s="501">
        <v>12006209.68</v>
      </c>
      <c r="F10581" s="502" t="s">
        <v>878</v>
      </c>
      <c r="G10581" s="100">
        <v>118087152</v>
      </c>
      <c r="H10581" s="100">
        <v>118087152</v>
      </c>
      <c r="I10581" s="422" t="s">
        <v>604</v>
      </c>
      <c r="J10581" s="484" t="s">
        <v>912</v>
      </c>
      <c r="K10581" s="548"/>
      <c r="L10581" s="548"/>
      <c r="M10581" s="548"/>
      <c r="N10581" s="552">
        <v>11868</v>
      </c>
      <c r="R10581" s="539">
        <v>1011.2120003370408</v>
      </c>
      <c r="S10581" s="539">
        <v>1011.64557465453</v>
      </c>
      <c r="T10581" s="538">
        <v>15.65</v>
      </c>
      <c r="U10581" s="538">
        <v>39.32</v>
      </c>
      <c r="V10581" s="538">
        <v>9</v>
      </c>
    </row>
    <row r="10582" spans="1:22">
      <c r="A10582" s="499">
        <v>45854</v>
      </c>
      <c r="B10582" s="499">
        <v>45854</v>
      </c>
      <c r="C10582" s="500" t="s">
        <v>173</v>
      </c>
      <c r="D10582" s="500" t="s">
        <v>764</v>
      </c>
      <c r="E10582" s="501">
        <v>-526428500.63999999</v>
      </c>
      <c r="F10582" s="502" t="s">
        <v>878</v>
      </c>
      <c r="G10582" s="100">
        <v>118083683</v>
      </c>
      <c r="H10582" s="530"/>
      <c r="I10582" s="422" t="s">
        <v>691</v>
      </c>
      <c r="J10582" s="484" t="s">
        <v>906</v>
      </c>
      <c r="K10582" s="548"/>
      <c r="L10582" s="548"/>
      <c r="M10582" s="548"/>
      <c r="N10582" s="552">
        <v>620680</v>
      </c>
      <c r="R10582" s="539">
        <v>848.14800000000002</v>
      </c>
      <c r="S10582" s="539">
        <v>848.509101920474</v>
      </c>
      <c r="T10582" s="538">
        <v>15.54</v>
      </c>
      <c r="U10582" s="538">
        <v>789.64</v>
      </c>
      <c r="V10582" s="538">
        <v>394.82</v>
      </c>
    </row>
    <row r="10583" spans="1:22">
      <c r="A10583" s="499">
        <v>45854</v>
      </c>
      <c r="B10583" s="499">
        <v>45854</v>
      </c>
      <c r="C10583" s="500" t="s">
        <v>173</v>
      </c>
      <c r="D10583" s="500" t="s">
        <v>764</v>
      </c>
      <c r="E10583" s="501">
        <v>-7003358.96</v>
      </c>
      <c r="F10583" s="502" t="s">
        <v>878</v>
      </c>
      <c r="G10583" s="100">
        <v>118084401</v>
      </c>
      <c r="H10583" s="530"/>
      <c r="I10583" s="422" t="s">
        <v>1013</v>
      </c>
      <c r="J10583" s="484" t="s">
        <v>906</v>
      </c>
      <c r="K10583" s="548"/>
      <c r="L10583" s="548"/>
      <c r="M10583" s="548"/>
      <c r="N10583" s="552">
        <v>13685</v>
      </c>
      <c r="R10583" s="539">
        <v>511.75439970770918</v>
      </c>
      <c r="S10583" s="539">
        <v>511.97214614541502</v>
      </c>
      <c r="T10583" s="538">
        <v>15.5304</v>
      </c>
      <c r="U10583" s="538">
        <v>39.32</v>
      </c>
      <c r="V10583" s="538">
        <v>5.25</v>
      </c>
    </row>
    <row r="10584" spans="1:22">
      <c r="A10584" s="499">
        <v>45854</v>
      </c>
      <c r="B10584" s="499">
        <v>45855</v>
      </c>
      <c r="C10584" s="500" t="s">
        <v>173</v>
      </c>
      <c r="D10584" s="500" t="s">
        <v>764</v>
      </c>
      <c r="E10584" s="501">
        <v>526652629.38</v>
      </c>
      <c r="F10584" s="502" t="s">
        <v>878</v>
      </c>
      <c r="G10584" s="100">
        <v>118083683</v>
      </c>
      <c r="H10584" s="100">
        <v>118083683</v>
      </c>
      <c r="I10584" s="422" t="s">
        <v>691</v>
      </c>
      <c r="J10584" s="484" t="s">
        <v>912</v>
      </c>
      <c r="K10584" s="548"/>
      <c r="L10584" s="548"/>
      <c r="M10584" s="548"/>
      <c r="N10584" s="552">
        <v>620680</v>
      </c>
      <c r="R10584" s="539">
        <v>848.14800000000002</v>
      </c>
      <c r="S10584" s="539">
        <v>848.509101920474</v>
      </c>
      <c r="T10584" s="538">
        <v>15.54</v>
      </c>
      <c r="U10584" s="538">
        <v>789.64</v>
      </c>
      <c r="V10584" s="538">
        <v>394.82</v>
      </c>
    </row>
    <row r="10585" spans="1:22">
      <c r="A10585" s="499">
        <v>45854</v>
      </c>
      <c r="B10585" s="499">
        <v>45855</v>
      </c>
      <c r="C10585" s="500" t="s">
        <v>173</v>
      </c>
      <c r="D10585" s="500" t="s">
        <v>764</v>
      </c>
      <c r="E10585" s="501">
        <v>7006338.8200000003</v>
      </c>
      <c r="F10585" s="502" t="s">
        <v>878</v>
      </c>
      <c r="G10585" s="100">
        <v>118084401</v>
      </c>
      <c r="H10585" s="100">
        <v>118084401</v>
      </c>
      <c r="I10585" s="422" t="s">
        <v>1013</v>
      </c>
      <c r="J10585" s="484" t="s">
        <v>912</v>
      </c>
      <c r="K10585" s="548"/>
      <c r="L10585" s="548"/>
      <c r="M10585" s="548"/>
      <c r="N10585" s="552">
        <v>13685</v>
      </c>
      <c r="R10585" s="539">
        <v>511.75439970770918</v>
      </c>
      <c r="S10585" s="539">
        <v>511.97214614541502</v>
      </c>
      <c r="T10585" s="538">
        <v>15.5304</v>
      </c>
      <c r="U10585" s="538">
        <v>39.32</v>
      </c>
      <c r="V10585" s="538">
        <v>5.25</v>
      </c>
    </row>
    <row r="10586" spans="1:22">
      <c r="A10586" s="499">
        <v>45855</v>
      </c>
      <c r="B10586" s="499">
        <v>45855</v>
      </c>
      <c r="C10586" s="500" t="s">
        <v>173</v>
      </c>
      <c r="D10586" s="500" t="s">
        <v>763</v>
      </c>
      <c r="E10586" s="501">
        <v>-5000946615</v>
      </c>
      <c r="F10586" s="502" t="s">
        <v>878</v>
      </c>
      <c r="G10586" s="100">
        <v>118107379</v>
      </c>
      <c r="H10586" s="530"/>
      <c r="I10586" s="422" t="s">
        <v>691</v>
      </c>
      <c r="J10586" s="484" t="s">
        <v>906</v>
      </c>
      <c r="K10586" s="548"/>
      <c r="L10586" s="548"/>
      <c r="M10586" s="548"/>
      <c r="N10586" s="552">
        <v>5895000</v>
      </c>
      <c r="R10586" s="539">
        <v>848.33699999999999</v>
      </c>
      <c r="S10586" s="539">
        <v>848.70120385750602</v>
      </c>
      <c r="T10586" s="538">
        <v>15.67</v>
      </c>
      <c r="U10586" s="538">
        <v>7501.42</v>
      </c>
      <c r="V10586" s="538">
        <v>3750.71</v>
      </c>
    </row>
    <row r="10587" spans="1:22">
      <c r="A10587" s="499">
        <v>45855</v>
      </c>
      <c r="B10587" s="499">
        <v>45855</v>
      </c>
      <c r="C10587" s="500" t="s">
        <v>173</v>
      </c>
      <c r="D10587" s="500" t="s">
        <v>763</v>
      </c>
      <c r="E10587" s="501">
        <v>-14011444.439999999</v>
      </c>
      <c r="F10587" s="502" t="s">
        <v>878</v>
      </c>
      <c r="G10587" s="100">
        <v>118107382</v>
      </c>
      <c r="H10587" s="530"/>
      <c r="I10587" s="422" t="s">
        <v>699</v>
      </c>
      <c r="J10587" s="484" t="s">
        <v>906</v>
      </c>
      <c r="K10587" s="548"/>
      <c r="L10587" s="548"/>
      <c r="M10587" s="548"/>
      <c r="N10587" s="552">
        <v>14952</v>
      </c>
      <c r="R10587" s="539">
        <v>937.09500000000003</v>
      </c>
      <c r="S10587" s="539">
        <v>937.496818485821</v>
      </c>
      <c r="T10587" s="538">
        <v>15.6509</v>
      </c>
      <c r="U10587" s="538">
        <v>39.32</v>
      </c>
      <c r="V10587" s="538">
        <v>39.32</v>
      </c>
    </row>
    <row r="10588" spans="1:22">
      <c r="A10588" s="499">
        <v>45855</v>
      </c>
      <c r="B10588" s="499">
        <v>45855</v>
      </c>
      <c r="C10588" s="500" t="s">
        <v>173</v>
      </c>
      <c r="D10588" s="500" t="s">
        <v>763</v>
      </c>
      <c r="E10588" s="501">
        <v>-31005869.010000002</v>
      </c>
      <c r="F10588" s="502" t="s">
        <v>878</v>
      </c>
      <c r="G10588" s="100">
        <v>118107391</v>
      </c>
      <c r="H10588" s="530"/>
      <c r="I10588" s="422" t="s">
        <v>691</v>
      </c>
      <c r="J10588" s="484" t="s">
        <v>906</v>
      </c>
      <c r="K10588" s="548"/>
      <c r="L10588" s="548"/>
      <c r="M10588" s="548"/>
      <c r="N10588" s="552">
        <v>36549</v>
      </c>
      <c r="R10588" s="539">
        <v>848.33699999999999</v>
      </c>
      <c r="S10588" s="539">
        <v>848.70097129880401</v>
      </c>
      <c r="T10588" s="538">
        <v>15.66</v>
      </c>
      <c r="U10588" s="538">
        <v>46.51</v>
      </c>
      <c r="V10588" s="538">
        <v>39.32</v>
      </c>
    </row>
    <row r="10589" spans="1:22">
      <c r="A10589" s="499">
        <v>45855</v>
      </c>
      <c r="B10589" s="499">
        <v>45856</v>
      </c>
      <c r="C10589" s="500" t="s">
        <v>173</v>
      </c>
      <c r="D10589" s="500" t="s">
        <v>763</v>
      </c>
      <c r="E10589" s="501">
        <v>5003093596.7399998</v>
      </c>
      <c r="F10589" s="502" t="s">
        <v>878</v>
      </c>
      <c r="G10589" s="100">
        <v>118107379</v>
      </c>
      <c r="H10589" s="100">
        <v>118107379</v>
      </c>
      <c r="I10589" s="422" t="s">
        <v>691</v>
      </c>
      <c r="J10589" s="484" t="s">
        <v>912</v>
      </c>
      <c r="K10589" s="548"/>
      <c r="L10589" s="548"/>
      <c r="M10589" s="548"/>
      <c r="N10589" s="552">
        <v>5895000</v>
      </c>
      <c r="R10589" s="539">
        <v>848.33699999999999</v>
      </c>
      <c r="S10589" s="539">
        <v>848.70120385750602</v>
      </c>
      <c r="T10589" s="538">
        <v>15.67</v>
      </c>
      <c r="U10589" s="538">
        <v>7501.42</v>
      </c>
      <c r="V10589" s="538">
        <v>3750.71</v>
      </c>
    </row>
    <row r="10590" spans="1:22">
      <c r="A10590" s="499">
        <v>45855</v>
      </c>
      <c r="B10590" s="499">
        <v>45856</v>
      </c>
      <c r="C10590" s="500" t="s">
        <v>173</v>
      </c>
      <c r="D10590" s="500" t="s">
        <v>763</v>
      </c>
      <c r="E10590" s="501">
        <v>14017452.43</v>
      </c>
      <c r="F10590" s="502" t="s">
        <v>878</v>
      </c>
      <c r="G10590" s="100">
        <v>118107382</v>
      </c>
      <c r="H10590" s="100">
        <v>118107382</v>
      </c>
      <c r="I10590" s="422" t="s">
        <v>699</v>
      </c>
      <c r="J10590" s="484" t="s">
        <v>912</v>
      </c>
      <c r="K10590" s="548"/>
      <c r="L10590" s="548"/>
      <c r="M10590" s="548"/>
      <c r="N10590" s="552">
        <v>14952</v>
      </c>
      <c r="R10590" s="539">
        <v>937.09500000000003</v>
      </c>
      <c r="S10590" s="539">
        <v>937.496818485821</v>
      </c>
      <c r="T10590" s="538">
        <v>15.6509</v>
      </c>
      <c r="U10590" s="538">
        <v>39.32</v>
      </c>
      <c r="V10590" s="538">
        <v>39.32</v>
      </c>
    </row>
    <row r="10591" spans="1:22">
      <c r="A10591" s="499">
        <v>45855</v>
      </c>
      <c r="B10591" s="499">
        <v>45856</v>
      </c>
      <c r="C10591" s="500" t="s">
        <v>173</v>
      </c>
      <c r="D10591" s="500" t="s">
        <v>763</v>
      </c>
      <c r="E10591" s="501">
        <v>31019171.800000001</v>
      </c>
      <c r="F10591" s="502" t="s">
        <v>878</v>
      </c>
      <c r="G10591" s="100">
        <v>118107391</v>
      </c>
      <c r="H10591" s="100">
        <v>118107391</v>
      </c>
      <c r="I10591" s="422" t="s">
        <v>691</v>
      </c>
      <c r="J10591" s="484" t="s">
        <v>912</v>
      </c>
      <c r="K10591" s="548"/>
      <c r="L10591" s="548"/>
      <c r="M10591" s="548"/>
      <c r="N10591" s="552">
        <v>36549</v>
      </c>
      <c r="R10591" s="539">
        <v>848.33699999999999</v>
      </c>
      <c r="S10591" s="539">
        <v>848.70097129880401</v>
      </c>
      <c r="T10591" s="538">
        <v>15.66</v>
      </c>
      <c r="U10591" s="538">
        <v>46.51</v>
      </c>
      <c r="V10591" s="538">
        <v>39.32</v>
      </c>
    </row>
    <row r="10592" spans="1:22">
      <c r="A10592" s="499">
        <v>45855</v>
      </c>
      <c r="B10592" s="499">
        <v>45855</v>
      </c>
      <c r="C10592" s="500" t="s">
        <v>173</v>
      </c>
      <c r="D10592" s="500" t="s">
        <v>764</v>
      </c>
      <c r="E10592" s="501">
        <v>-488000481.36000001</v>
      </c>
      <c r="F10592" s="502" t="s">
        <v>878</v>
      </c>
      <c r="G10592" s="100">
        <v>118105592</v>
      </c>
      <c r="H10592" s="530"/>
      <c r="I10592" s="422" t="s">
        <v>1048</v>
      </c>
      <c r="J10592" s="484" t="s">
        <v>906</v>
      </c>
      <c r="K10592" s="548"/>
      <c r="L10592" s="548"/>
      <c r="M10592" s="548"/>
      <c r="N10592" s="552">
        <v>476935576</v>
      </c>
      <c r="R10592" s="539">
        <v>1.0231999999932906</v>
      </c>
      <c r="S10592" s="539">
        <v>1.02363731847087</v>
      </c>
      <c r="T10592" s="538">
        <v>15.600199999999999</v>
      </c>
      <c r="U10592" s="538">
        <v>732</v>
      </c>
      <c r="V10592" s="538">
        <v>366</v>
      </c>
    </row>
    <row r="10593" spans="1:22">
      <c r="A10593" s="499">
        <v>45855</v>
      </c>
      <c r="B10593" s="499">
        <v>45855</v>
      </c>
      <c r="C10593" s="500" t="s">
        <v>173</v>
      </c>
      <c r="D10593" s="500" t="s">
        <v>764</v>
      </c>
      <c r="E10593" s="501">
        <v>-42023829.829999998</v>
      </c>
      <c r="F10593" s="502" t="s">
        <v>878</v>
      </c>
      <c r="G10593" s="100">
        <v>118105595</v>
      </c>
      <c r="H10593" s="530"/>
      <c r="I10593" s="422" t="s">
        <v>635</v>
      </c>
      <c r="J10593" s="484" t="s">
        <v>906</v>
      </c>
      <c r="K10593" s="548"/>
      <c r="L10593" s="548"/>
      <c r="M10593" s="548"/>
      <c r="N10593" s="552">
        <v>70308</v>
      </c>
      <c r="R10593" s="539">
        <v>597.71049994310749</v>
      </c>
      <c r="S10593" s="539">
        <v>597.96596134152605</v>
      </c>
      <c r="T10593" s="538">
        <v>15.600099999999999</v>
      </c>
      <c r="U10593" s="538">
        <v>63.04</v>
      </c>
      <c r="V10593" s="538">
        <v>31.52</v>
      </c>
    </row>
    <row r="10594" spans="1:22">
      <c r="A10594" s="499">
        <v>45855</v>
      </c>
      <c r="B10594" s="499">
        <v>45856</v>
      </c>
      <c r="C10594" s="500" t="s">
        <v>173</v>
      </c>
      <c r="D10594" s="500" t="s">
        <v>764</v>
      </c>
      <c r="E10594" s="501">
        <v>488209054.10000002</v>
      </c>
      <c r="F10594" s="502" t="s">
        <v>878</v>
      </c>
      <c r="G10594" s="100">
        <v>118105592</v>
      </c>
      <c r="H10594" s="100">
        <v>118105592</v>
      </c>
      <c r="I10594" s="422" t="s">
        <v>1048</v>
      </c>
      <c r="J10594" s="484" t="s">
        <v>912</v>
      </c>
      <c r="K10594" s="548"/>
      <c r="L10594" s="548"/>
      <c r="M10594" s="548"/>
      <c r="N10594" s="552">
        <v>476935576</v>
      </c>
      <c r="R10594" s="539">
        <v>1.0231999999932906</v>
      </c>
      <c r="S10594" s="539">
        <v>1.02363731847087</v>
      </c>
      <c r="T10594" s="538">
        <v>15.600199999999999</v>
      </c>
      <c r="U10594" s="538">
        <v>732</v>
      </c>
      <c r="V10594" s="538">
        <v>366</v>
      </c>
    </row>
    <row r="10595" spans="1:22">
      <c r="A10595" s="499">
        <v>45855</v>
      </c>
      <c r="B10595" s="499">
        <v>45856</v>
      </c>
      <c r="C10595" s="500" t="s">
        <v>173</v>
      </c>
      <c r="D10595" s="500" t="s">
        <v>764</v>
      </c>
      <c r="E10595" s="501">
        <v>42041790.810000002</v>
      </c>
      <c r="F10595" s="502" t="s">
        <v>878</v>
      </c>
      <c r="G10595" s="100">
        <v>118105595</v>
      </c>
      <c r="H10595" s="100">
        <v>118105595</v>
      </c>
      <c r="I10595" s="422" t="s">
        <v>635</v>
      </c>
      <c r="J10595" s="484" t="s">
        <v>912</v>
      </c>
      <c r="K10595" s="548"/>
      <c r="L10595" s="548"/>
      <c r="M10595" s="548"/>
      <c r="N10595" s="552">
        <v>70308</v>
      </c>
      <c r="R10595" s="539">
        <v>597.71049994310749</v>
      </c>
      <c r="S10595" s="539">
        <v>597.96596134152605</v>
      </c>
      <c r="T10595" s="538">
        <v>15.600099999999999</v>
      </c>
      <c r="U10595" s="538">
        <v>63.04</v>
      </c>
      <c r="V10595" s="538">
        <v>31.52</v>
      </c>
    </row>
    <row r="10596" spans="1:22">
      <c r="A10596" s="499">
        <v>45855</v>
      </c>
      <c r="B10596" s="499">
        <v>45855</v>
      </c>
      <c r="C10596" s="500" t="s">
        <v>173</v>
      </c>
      <c r="D10596" s="500" t="s">
        <v>761</v>
      </c>
      <c r="E10596" s="501">
        <v>-1692002671.3299999</v>
      </c>
      <c r="F10596" s="502" t="s">
        <v>878</v>
      </c>
      <c r="G10596" s="100">
        <v>118105386</v>
      </c>
      <c r="H10596" s="530"/>
      <c r="I10596" s="422" t="s">
        <v>2556</v>
      </c>
      <c r="J10596" s="484" t="s">
        <v>906</v>
      </c>
      <c r="K10596" s="548"/>
      <c r="L10596" s="548"/>
      <c r="M10596" s="548"/>
      <c r="N10596" s="552">
        <v>19349712</v>
      </c>
      <c r="R10596" s="539">
        <v>87.44330000002067</v>
      </c>
      <c r="S10596" s="539">
        <v>87.480673027071404</v>
      </c>
      <c r="T10596" s="538">
        <v>15.6</v>
      </c>
      <c r="U10596" s="538">
        <v>2538</v>
      </c>
      <c r="V10596" s="538">
        <v>1269</v>
      </c>
    </row>
    <row r="10597" spans="1:22">
      <c r="A10597" s="499">
        <v>45855</v>
      </c>
      <c r="B10597" s="499">
        <v>45855</v>
      </c>
      <c r="C10597" s="500" t="s">
        <v>173</v>
      </c>
      <c r="D10597" s="500" t="s">
        <v>761</v>
      </c>
      <c r="E10597" s="501">
        <v>-10000015.789999999</v>
      </c>
      <c r="F10597" s="502" t="s">
        <v>878</v>
      </c>
      <c r="G10597" s="100">
        <v>118105402</v>
      </c>
      <c r="H10597" s="530"/>
      <c r="I10597" s="422" t="s">
        <v>2556</v>
      </c>
      <c r="J10597" s="484" t="s">
        <v>906</v>
      </c>
      <c r="K10597" s="548"/>
      <c r="L10597" s="548"/>
      <c r="M10597" s="548"/>
      <c r="N10597" s="552">
        <v>114360</v>
      </c>
      <c r="R10597" s="539">
        <v>87.443300017488625</v>
      </c>
      <c r="S10597" s="539">
        <v>87.480673050017501</v>
      </c>
      <c r="T10597" s="538">
        <v>15.6</v>
      </c>
      <c r="U10597" s="538">
        <v>39.32</v>
      </c>
      <c r="V10597" s="538">
        <v>7.5</v>
      </c>
    </row>
    <row r="10598" spans="1:22">
      <c r="A10598" s="499">
        <v>45855</v>
      </c>
      <c r="B10598" s="499">
        <v>45856</v>
      </c>
      <c r="C10598" s="500" t="s">
        <v>173</v>
      </c>
      <c r="D10598" s="500" t="s">
        <v>761</v>
      </c>
      <c r="E10598" s="501">
        <v>1692725828.6400001</v>
      </c>
      <c r="F10598" s="502" t="s">
        <v>878</v>
      </c>
      <c r="G10598" s="100">
        <v>118105386</v>
      </c>
      <c r="H10598" s="100">
        <v>118105386</v>
      </c>
      <c r="I10598" s="422" t="s">
        <v>2556</v>
      </c>
      <c r="J10598" s="484" t="s">
        <v>912</v>
      </c>
      <c r="K10598" s="548"/>
      <c r="L10598" s="548"/>
      <c r="M10598" s="548"/>
      <c r="N10598" s="552">
        <v>19349712</v>
      </c>
      <c r="R10598" s="539">
        <v>87.44330000002067</v>
      </c>
      <c r="S10598" s="539">
        <v>87.480673027071404</v>
      </c>
      <c r="T10598" s="538">
        <v>15.6</v>
      </c>
      <c r="U10598" s="538">
        <v>2538</v>
      </c>
      <c r="V10598" s="538">
        <v>1269</v>
      </c>
    </row>
    <row r="10599" spans="1:22">
      <c r="A10599" s="499">
        <v>45855</v>
      </c>
      <c r="B10599" s="499">
        <v>45856</v>
      </c>
      <c r="C10599" s="500" t="s">
        <v>173</v>
      </c>
      <c r="D10599" s="500" t="s">
        <v>761</v>
      </c>
      <c r="E10599" s="501">
        <v>10004289.77</v>
      </c>
      <c r="F10599" s="502" t="s">
        <v>878</v>
      </c>
      <c r="G10599" s="100">
        <v>118105402</v>
      </c>
      <c r="H10599" s="100">
        <v>118105402</v>
      </c>
      <c r="I10599" s="422" t="s">
        <v>2556</v>
      </c>
      <c r="J10599" s="484" t="s">
        <v>912</v>
      </c>
      <c r="K10599" s="548"/>
      <c r="L10599" s="548"/>
      <c r="M10599" s="548"/>
      <c r="N10599" s="552">
        <v>114360</v>
      </c>
      <c r="R10599" s="539">
        <v>87.443300017488625</v>
      </c>
      <c r="S10599" s="539">
        <v>87.480673050017501</v>
      </c>
      <c r="T10599" s="538">
        <v>15.6</v>
      </c>
      <c r="U10599" s="538">
        <v>39.32</v>
      </c>
      <c r="V10599" s="538">
        <v>7.5</v>
      </c>
    </row>
    <row r="10600" spans="1:22">
      <c r="A10600" s="499">
        <v>45855</v>
      </c>
      <c r="B10600" s="499">
        <v>45855</v>
      </c>
      <c r="C10600" s="500" t="s">
        <v>173</v>
      </c>
      <c r="D10600" s="500" t="s">
        <v>759</v>
      </c>
      <c r="E10600" s="501">
        <v>-1991222334.77</v>
      </c>
      <c r="F10600" s="502" t="s">
        <v>878</v>
      </c>
      <c r="G10600" s="100">
        <v>118105775</v>
      </c>
      <c r="H10600" s="530"/>
      <c r="I10600" s="422" t="s">
        <v>1013</v>
      </c>
      <c r="J10600" s="484" t="s">
        <v>906</v>
      </c>
      <c r="K10600" s="548"/>
      <c r="L10600" s="548"/>
      <c r="M10600" s="548"/>
      <c r="N10600" s="552">
        <v>3884441</v>
      </c>
      <c r="R10600" s="539">
        <v>512.61489999976834</v>
      </c>
      <c r="S10600" s="539">
        <v>512.83539462692295</v>
      </c>
      <c r="T10600" s="538">
        <v>15.7</v>
      </c>
      <c r="U10600" s="538">
        <v>2986.83</v>
      </c>
      <c r="V10600" s="538">
        <v>1493.42</v>
      </c>
    </row>
    <row r="10601" spans="1:22">
      <c r="A10601" s="499">
        <v>45855</v>
      </c>
      <c r="B10601" s="499">
        <v>45855</v>
      </c>
      <c r="C10601" s="500" t="s">
        <v>173</v>
      </c>
      <c r="D10601" s="500" t="s">
        <v>759</v>
      </c>
      <c r="E10601" s="501">
        <v>-13007539.119999999</v>
      </c>
      <c r="F10601" s="502" t="s">
        <v>878</v>
      </c>
      <c r="G10601" s="100">
        <v>118110079</v>
      </c>
      <c r="H10601" s="530"/>
      <c r="I10601" s="422" t="s">
        <v>672</v>
      </c>
      <c r="J10601" s="484" t="s">
        <v>906</v>
      </c>
      <c r="K10601" s="548"/>
      <c r="L10601" s="548"/>
      <c r="M10601" s="548"/>
      <c r="N10601" s="552">
        <v>14443</v>
      </c>
      <c r="R10601" s="539">
        <v>900.61200027695077</v>
      </c>
      <c r="S10601" s="539">
        <v>901.00678875579899</v>
      </c>
      <c r="T10601" s="538">
        <v>16</v>
      </c>
      <c r="U10601" s="538">
        <v>39.32</v>
      </c>
      <c r="V10601" s="538">
        <v>9.76</v>
      </c>
    </row>
    <row r="10602" spans="1:22">
      <c r="A10602" s="499">
        <v>45855</v>
      </c>
      <c r="B10602" s="499">
        <v>45856</v>
      </c>
      <c r="C10602" s="500" t="s">
        <v>173</v>
      </c>
      <c r="D10602" s="500" t="s">
        <v>759</v>
      </c>
      <c r="E10602" s="501">
        <v>1992078833.1400001</v>
      </c>
      <c r="F10602" s="502" t="s">
        <v>878</v>
      </c>
      <c r="G10602" s="100">
        <v>118105775</v>
      </c>
      <c r="H10602" s="100">
        <v>118105775</v>
      </c>
      <c r="I10602" s="422" t="s">
        <v>1013</v>
      </c>
      <c r="J10602" s="484" t="s">
        <v>912</v>
      </c>
      <c r="K10602" s="548"/>
      <c r="L10602" s="548"/>
      <c r="M10602" s="548"/>
      <c r="N10602" s="552">
        <v>3884441</v>
      </c>
      <c r="R10602" s="539">
        <v>512.61489999976834</v>
      </c>
      <c r="S10602" s="539">
        <v>512.83539462692295</v>
      </c>
      <c r="T10602" s="538">
        <v>15.7</v>
      </c>
      <c r="U10602" s="538">
        <v>2986.83</v>
      </c>
      <c r="V10602" s="538">
        <v>1493.42</v>
      </c>
    </row>
    <row r="10603" spans="1:22">
      <c r="A10603" s="499">
        <v>45855</v>
      </c>
      <c r="B10603" s="499">
        <v>45856</v>
      </c>
      <c r="C10603" s="500" t="s">
        <v>173</v>
      </c>
      <c r="D10603" s="500" t="s">
        <v>759</v>
      </c>
      <c r="E10603" s="501">
        <v>13013241.050000001</v>
      </c>
      <c r="F10603" s="502" t="s">
        <v>878</v>
      </c>
      <c r="G10603" s="100">
        <v>118110079</v>
      </c>
      <c r="H10603" s="100">
        <v>118110079</v>
      </c>
      <c r="I10603" s="422" t="s">
        <v>672</v>
      </c>
      <c r="J10603" s="484" t="s">
        <v>912</v>
      </c>
      <c r="K10603" s="548"/>
      <c r="L10603" s="548"/>
      <c r="M10603" s="548"/>
      <c r="N10603" s="552">
        <v>14443</v>
      </c>
      <c r="R10603" s="539">
        <v>900.61200027695077</v>
      </c>
      <c r="S10603" s="539">
        <v>901.00678875579899</v>
      </c>
      <c r="T10603" s="538">
        <v>16</v>
      </c>
      <c r="U10603" s="538">
        <v>39.32</v>
      </c>
      <c r="V10603" s="538">
        <v>9.76</v>
      </c>
    </row>
    <row r="10604" spans="1:22">
      <c r="A10604" s="499">
        <v>45855</v>
      </c>
      <c r="B10604" s="499">
        <v>45855</v>
      </c>
      <c r="C10604" s="500" t="s">
        <v>173</v>
      </c>
      <c r="D10604" s="500" t="s">
        <v>760</v>
      </c>
      <c r="E10604" s="501">
        <v>-1300002052.4400001</v>
      </c>
      <c r="F10604" s="502" t="s">
        <v>878</v>
      </c>
      <c r="G10604" s="100">
        <v>118105559</v>
      </c>
      <c r="H10604" s="530"/>
      <c r="I10604" s="422" t="s">
        <v>2556</v>
      </c>
      <c r="J10604" s="484" t="s">
        <v>906</v>
      </c>
      <c r="K10604" s="548"/>
      <c r="L10604" s="548"/>
      <c r="M10604" s="548"/>
      <c r="N10604" s="552">
        <v>14866800</v>
      </c>
      <c r="R10604" s="539">
        <v>87.443299999999994</v>
      </c>
      <c r="S10604" s="539">
        <v>87.480792572712303</v>
      </c>
      <c r="T10604" s="538">
        <v>15.649900000000001</v>
      </c>
      <c r="U10604" s="538">
        <v>1950</v>
      </c>
      <c r="V10604" s="538">
        <v>975</v>
      </c>
    </row>
    <row r="10605" spans="1:22">
      <c r="A10605" s="499">
        <v>45855</v>
      </c>
      <c r="B10605" s="499">
        <v>45855</v>
      </c>
      <c r="C10605" s="500" t="s">
        <v>173</v>
      </c>
      <c r="D10605" s="500" t="s">
        <v>760</v>
      </c>
      <c r="E10605" s="501">
        <v>-22001439.899999999</v>
      </c>
      <c r="F10605" s="502" t="s">
        <v>878</v>
      </c>
      <c r="G10605" s="100">
        <v>118105626</v>
      </c>
      <c r="H10605" s="530"/>
      <c r="I10605" s="422" t="s">
        <v>658</v>
      </c>
      <c r="J10605" s="484" t="s">
        <v>906</v>
      </c>
      <c r="K10605" s="548"/>
      <c r="L10605" s="548"/>
      <c r="M10605" s="548"/>
      <c r="N10605" s="552">
        <v>22110</v>
      </c>
      <c r="R10605" s="539">
        <v>995.09</v>
      </c>
      <c r="S10605" s="539">
        <v>995.51665897783801</v>
      </c>
      <c r="T10605" s="538">
        <v>15.649900000000001</v>
      </c>
      <c r="U10605" s="538">
        <v>39.32</v>
      </c>
      <c r="V10605" s="538">
        <v>16.5</v>
      </c>
    </row>
    <row r="10606" spans="1:22">
      <c r="A10606" s="499">
        <v>45855</v>
      </c>
      <c r="B10606" s="499">
        <v>45856</v>
      </c>
      <c r="C10606" s="500" t="s">
        <v>173</v>
      </c>
      <c r="D10606" s="500" t="s">
        <v>760</v>
      </c>
      <c r="E10606" s="501">
        <v>1300559447.02</v>
      </c>
      <c r="F10606" s="502" t="s">
        <v>878</v>
      </c>
      <c r="G10606" s="100">
        <v>118105559</v>
      </c>
      <c r="H10606" s="100">
        <v>118105559</v>
      </c>
      <c r="I10606" s="422" t="s">
        <v>2556</v>
      </c>
      <c r="J10606" s="484" t="s">
        <v>912</v>
      </c>
      <c r="K10606" s="548"/>
      <c r="L10606" s="548"/>
      <c r="M10606" s="548"/>
      <c r="N10606" s="552">
        <v>14866800</v>
      </c>
      <c r="R10606" s="539">
        <v>87.443299999999994</v>
      </c>
      <c r="S10606" s="539">
        <v>87.480792572712303</v>
      </c>
      <c r="T10606" s="538">
        <v>15.649900000000001</v>
      </c>
      <c r="U10606" s="538">
        <v>1950</v>
      </c>
      <c r="V10606" s="538">
        <v>975</v>
      </c>
    </row>
    <row r="10607" spans="1:22">
      <c r="A10607" s="499">
        <v>45855</v>
      </c>
      <c r="B10607" s="499">
        <v>45856</v>
      </c>
      <c r="C10607" s="500" t="s">
        <v>173</v>
      </c>
      <c r="D10607" s="500" t="s">
        <v>760</v>
      </c>
      <c r="E10607" s="501">
        <v>22010873.329999998</v>
      </c>
      <c r="F10607" s="502" t="s">
        <v>878</v>
      </c>
      <c r="G10607" s="100">
        <v>118105626</v>
      </c>
      <c r="H10607" s="100">
        <v>118105626</v>
      </c>
      <c r="I10607" s="422" t="s">
        <v>658</v>
      </c>
      <c r="J10607" s="484" t="s">
        <v>912</v>
      </c>
      <c r="K10607" s="548"/>
      <c r="L10607" s="548"/>
      <c r="M10607" s="548"/>
      <c r="N10607" s="552">
        <v>22110</v>
      </c>
      <c r="R10607" s="539">
        <v>995.09</v>
      </c>
      <c r="S10607" s="539">
        <v>995.51665897783801</v>
      </c>
      <c r="T10607" s="538">
        <v>15.649900000000001</v>
      </c>
      <c r="U10607" s="538">
        <v>39.32</v>
      </c>
      <c r="V10607" s="538">
        <v>16.5</v>
      </c>
    </row>
    <row r="10608" spans="1:22">
      <c r="A10608" s="499">
        <v>45856</v>
      </c>
      <c r="B10608" s="499">
        <v>45856</v>
      </c>
      <c r="C10608" s="500" t="s">
        <v>173</v>
      </c>
      <c r="D10608" s="500" t="s">
        <v>761</v>
      </c>
      <c r="E10608" s="501">
        <v>-1692661456.9400001</v>
      </c>
      <c r="F10608" s="502" t="s">
        <v>878</v>
      </c>
      <c r="G10608" s="100">
        <v>118129198</v>
      </c>
      <c r="H10608" s="530"/>
      <c r="I10608" s="422" t="s">
        <v>691</v>
      </c>
      <c r="J10608" s="484" t="s">
        <v>906</v>
      </c>
      <c r="K10608" s="548"/>
      <c r="L10608" s="548"/>
      <c r="M10608" s="548"/>
      <c r="N10608" s="552">
        <v>1994868</v>
      </c>
      <c r="R10608" s="539">
        <v>848.50799999799483</v>
      </c>
      <c r="S10608" s="539">
        <v>849.60292401802997</v>
      </c>
      <c r="T10608" s="538">
        <v>15.7</v>
      </c>
      <c r="U10608" s="538">
        <v>7616.98</v>
      </c>
      <c r="V10608" s="538">
        <v>3808.49</v>
      </c>
    </row>
    <row r="10609" spans="1:22">
      <c r="A10609" s="499">
        <v>45856</v>
      </c>
      <c r="B10609" s="499">
        <v>45856</v>
      </c>
      <c r="C10609" s="500" t="s">
        <v>173</v>
      </c>
      <c r="D10609" s="500" t="s">
        <v>761</v>
      </c>
      <c r="E10609" s="501">
        <v>-10003909.32</v>
      </c>
      <c r="F10609" s="502" t="s">
        <v>878</v>
      </c>
      <c r="G10609" s="100">
        <v>118129243</v>
      </c>
      <c r="H10609" s="530"/>
      <c r="I10609" s="422" t="s">
        <v>691</v>
      </c>
      <c r="J10609" s="484" t="s">
        <v>906</v>
      </c>
      <c r="K10609" s="548"/>
      <c r="L10609" s="548"/>
      <c r="M10609" s="548"/>
      <c r="N10609" s="552">
        <v>11790</v>
      </c>
      <c r="R10609" s="539">
        <v>848.50800000000004</v>
      </c>
      <c r="S10609" s="539">
        <v>849.60292366412205</v>
      </c>
      <c r="T10609" s="538">
        <v>15.7</v>
      </c>
      <c r="U10609" s="538">
        <v>45.02</v>
      </c>
      <c r="V10609" s="538">
        <v>22.51</v>
      </c>
    </row>
    <row r="10610" spans="1:22">
      <c r="A10610" s="499">
        <v>45856</v>
      </c>
      <c r="B10610" s="499">
        <v>45859</v>
      </c>
      <c r="C10610" s="500" t="s">
        <v>173</v>
      </c>
      <c r="D10610" s="500" t="s">
        <v>761</v>
      </c>
      <c r="E10610" s="501">
        <v>1694845685.8299999</v>
      </c>
      <c r="F10610" s="502" t="s">
        <v>878</v>
      </c>
      <c r="G10610" s="100">
        <v>118129198</v>
      </c>
      <c r="H10610" s="100">
        <v>118129198</v>
      </c>
      <c r="I10610" s="422" t="s">
        <v>691</v>
      </c>
      <c r="J10610" s="484" t="s">
        <v>912</v>
      </c>
      <c r="K10610" s="548"/>
      <c r="L10610" s="548"/>
      <c r="M10610" s="548"/>
      <c r="N10610" s="552">
        <v>1994868</v>
      </c>
      <c r="R10610" s="539">
        <v>848.50799999799483</v>
      </c>
      <c r="S10610" s="539">
        <v>849.60292401802997</v>
      </c>
      <c r="T10610" s="538">
        <v>15.7</v>
      </c>
      <c r="U10610" s="538">
        <v>7616.98</v>
      </c>
      <c r="V10610" s="538">
        <v>3808.49</v>
      </c>
    </row>
    <row r="10611" spans="1:22">
      <c r="A10611" s="499">
        <v>45856</v>
      </c>
      <c r="B10611" s="499">
        <v>45859</v>
      </c>
      <c r="C10611" s="500" t="s">
        <v>173</v>
      </c>
      <c r="D10611" s="500" t="s">
        <v>761</v>
      </c>
      <c r="E10611" s="501">
        <v>10016818.470000001</v>
      </c>
      <c r="F10611" s="502" t="s">
        <v>878</v>
      </c>
      <c r="G10611" s="100">
        <v>118129243</v>
      </c>
      <c r="H10611" s="100">
        <v>118129243</v>
      </c>
      <c r="I10611" s="422" t="s">
        <v>691</v>
      </c>
      <c r="J10611" s="484" t="s">
        <v>912</v>
      </c>
      <c r="K10611" s="548"/>
      <c r="L10611" s="548"/>
      <c r="M10611" s="548"/>
      <c r="N10611" s="552">
        <v>11790</v>
      </c>
      <c r="R10611" s="539">
        <v>848.50800000000004</v>
      </c>
      <c r="S10611" s="539">
        <v>849.60292366412205</v>
      </c>
      <c r="T10611" s="538">
        <v>15.7</v>
      </c>
      <c r="U10611" s="538">
        <v>45.02</v>
      </c>
      <c r="V10611" s="538">
        <v>22.51</v>
      </c>
    </row>
    <row r="10612" spans="1:22">
      <c r="A10612" s="499">
        <v>45856</v>
      </c>
      <c r="B10612" s="499">
        <v>45856</v>
      </c>
      <c r="C10612" s="500" t="s">
        <v>173</v>
      </c>
      <c r="D10612" s="500" t="s">
        <v>759</v>
      </c>
      <c r="E10612" s="501">
        <v>-1992453725.8099999</v>
      </c>
      <c r="F10612" s="502" t="s">
        <v>878</v>
      </c>
      <c r="G10612" s="100">
        <v>118130642</v>
      </c>
      <c r="H10612" s="530"/>
      <c r="I10612" s="422" t="s">
        <v>656</v>
      </c>
      <c r="J10612" s="484" t="s">
        <v>906</v>
      </c>
      <c r="K10612" s="548"/>
      <c r="L10612" s="548"/>
      <c r="M10612" s="548"/>
      <c r="N10612" s="552">
        <v>1966104</v>
      </c>
      <c r="R10612" s="539">
        <v>1013.4020000010172</v>
      </c>
      <c r="S10612" s="539">
        <v>1014.71386971391</v>
      </c>
      <c r="T10612" s="538">
        <v>15.75</v>
      </c>
      <c r="U10612" s="538">
        <v>8966.0400000000009</v>
      </c>
      <c r="V10612" s="538">
        <v>4483.0200000000004</v>
      </c>
    </row>
    <row r="10613" spans="1:22">
      <c r="A10613" s="499">
        <v>45856</v>
      </c>
      <c r="B10613" s="499">
        <v>45856</v>
      </c>
      <c r="C10613" s="500" t="s">
        <v>173</v>
      </c>
      <c r="D10613" s="500" t="s">
        <v>759</v>
      </c>
      <c r="E10613" s="501">
        <v>-12009462.189999999</v>
      </c>
      <c r="F10613" s="502" t="s">
        <v>878</v>
      </c>
      <c r="G10613" s="100">
        <v>118133309</v>
      </c>
      <c r="H10613" s="530"/>
      <c r="I10613" s="422" t="s">
        <v>675</v>
      </c>
      <c r="J10613" s="484" t="s">
        <v>906</v>
      </c>
      <c r="K10613" s="548"/>
      <c r="L10613" s="548"/>
      <c r="M10613" s="548"/>
      <c r="N10613" s="552">
        <v>13104</v>
      </c>
      <c r="R10613" s="539">
        <v>916.47299984737481</v>
      </c>
      <c r="S10613" s="539">
        <v>917.660914224664</v>
      </c>
      <c r="T10613" s="538">
        <v>15.770200000000001</v>
      </c>
      <c r="U10613" s="538">
        <v>54.04</v>
      </c>
      <c r="V10613" s="538">
        <v>27.02</v>
      </c>
    </row>
    <row r="10614" spans="1:22">
      <c r="A10614" s="499">
        <v>45856</v>
      </c>
      <c r="B10614" s="499">
        <v>45859</v>
      </c>
      <c r="C10614" s="500" t="s">
        <v>173</v>
      </c>
      <c r="D10614" s="500" t="s">
        <v>759</v>
      </c>
      <c r="E10614" s="501">
        <v>1995032998.0999999</v>
      </c>
      <c r="F10614" s="502" t="s">
        <v>878</v>
      </c>
      <c r="G10614" s="100">
        <v>118130642</v>
      </c>
      <c r="H10614" s="100">
        <v>118130642</v>
      </c>
      <c r="I10614" s="422" t="s">
        <v>656</v>
      </c>
      <c r="J10614" s="484" t="s">
        <v>912</v>
      </c>
      <c r="K10614" s="548"/>
      <c r="L10614" s="548"/>
      <c r="M10614" s="548"/>
      <c r="N10614" s="552">
        <v>1966104</v>
      </c>
      <c r="R10614" s="539">
        <v>1013.4020000010172</v>
      </c>
      <c r="S10614" s="539">
        <v>1014.71386971391</v>
      </c>
      <c r="T10614" s="538">
        <v>15.75</v>
      </c>
      <c r="U10614" s="538">
        <v>8966.0400000000009</v>
      </c>
      <c r="V10614" s="538">
        <v>4483.0200000000004</v>
      </c>
    </row>
    <row r="10615" spans="1:22">
      <c r="A10615" s="499">
        <v>45856</v>
      </c>
      <c r="B10615" s="499">
        <v>45859</v>
      </c>
      <c r="C10615" s="500" t="s">
        <v>173</v>
      </c>
      <c r="D10615" s="500" t="s">
        <v>759</v>
      </c>
      <c r="E10615" s="501">
        <v>12025028.619999999</v>
      </c>
      <c r="F10615" s="502" t="s">
        <v>878</v>
      </c>
      <c r="G10615" s="100">
        <v>118133309</v>
      </c>
      <c r="H10615" s="100">
        <v>118133309</v>
      </c>
      <c r="I10615" s="422" t="s">
        <v>675</v>
      </c>
      <c r="J10615" s="484" t="s">
        <v>912</v>
      </c>
      <c r="K10615" s="548"/>
      <c r="L10615" s="548"/>
      <c r="M10615" s="548"/>
      <c r="N10615" s="552">
        <v>13104</v>
      </c>
      <c r="R10615" s="539">
        <v>916.47299984737481</v>
      </c>
      <c r="S10615" s="539">
        <v>917.660914224664</v>
      </c>
      <c r="T10615" s="538">
        <v>15.770200000000001</v>
      </c>
      <c r="U10615" s="538">
        <v>54.04</v>
      </c>
      <c r="V10615" s="538">
        <v>27.02</v>
      </c>
    </row>
    <row r="10616" spans="1:22">
      <c r="A10616" s="499">
        <v>45856</v>
      </c>
      <c r="B10616" s="499">
        <v>45856</v>
      </c>
      <c r="C10616" s="500" t="s">
        <v>173</v>
      </c>
      <c r="D10616" s="500" t="s">
        <v>760</v>
      </c>
      <c r="E10616" s="501">
        <v>-1300662144.5999999</v>
      </c>
      <c r="F10616" s="502" t="s">
        <v>878</v>
      </c>
      <c r="G10616" s="100">
        <v>118129108</v>
      </c>
      <c r="H10616" s="530"/>
      <c r="I10616" s="422" t="s">
        <v>704</v>
      </c>
      <c r="J10616" s="484" t="s">
        <v>906</v>
      </c>
      <c r="K10616" s="548"/>
      <c r="L10616" s="548"/>
      <c r="M10616" s="548"/>
      <c r="N10616" s="552">
        <v>1619800</v>
      </c>
      <c r="R10616" s="539">
        <v>802.97699999999998</v>
      </c>
      <c r="S10616" s="539">
        <v>804.01316371774305</v>
      </c>
      <c r="T10616" s="538">
        <v>15.6999</v>
      </c>
      <c r="U10616" s="538">
        <v>5852.98</v>
      </c>
      <c r="V10616" s="538">
        <v>2926.49</v>
      </c>
    </row>
    <row r="10617" spans="1:22">
      <c r="A10617" s="499">
        <v>45856</v>
      </c>
      <c r="B10617" s="499">
        <v>45856</v>
      </c>
      <c r="C10617" s="500" t="s">
        <v>173</v>
      </c>
      <c r="D10617" s="500" t="s">
        <v>760</v>
      </c>
      <c r="E10617" s="501">
        <v>-21008209.57</v>
      </c>
      <c r="F10617" s="502" t="s">
        <v>878</v>
      </c>
      <c r="G10617" s="100">
        <v>118129188</v>
      </c>
      <c r="H10617" s="530"/>
      <c r="I10617" s="422" t="s">
        <v>691</v>
      </c>
      <c r="J10617" s="484" t="s">
        <v>906</v>
      </c>
      <c r="K10617" s="548"/>
      <c r="L10617" s="548"/>
      <c r="M10617" s="548"/>
      <c r="N10617" s="552">
        <v>24759</v>
      </c>
      <c r="R10617" s="539">
        <v>848.50800000000004</v>
      </c>
      <c r="S10617" s="539">
        <v>849.60291691910004</v>
      </c>
      <c r="T10617" s="538">
        <v>15.6999</v>
      </c>
      <c r="U10617" s="538">
        <v>94.54</v>
      </c>
      <c r="V10617" s="538">
        <v>47.27</v>
      </c>
    </row>
    <row r="10618" spans="1:22">
      <c r="A10618" s="499">
        <v>45856</v>
      </c>
      <c r="B10618" s="499">
        <v>45859</v>
      </c>
      <c r="C10618" s="500" t="s">
        <v>173</v>
      </c>
      <c r="D10618" s="500" t="s">
        <v>760</v>
      </c>
      <c r="E10618" s="501">
        <v>1302340522.5899999</v>
      </c>
      <c r="F10618" s="502" t="s">
        <v>878</v>
      </c>
      <c r="G10618" s="100">
        <v>118129108</v>
      </c>
      <c r="H10618" s="100">
        <v>118129108</v>
      </c>
      <c r="I10618" s="422" t="s">
        <v>704</v>
      </c>
      <c r="J10618" s="484" t="s">
        <v>912</v>
      </c>
      <c r="K10618" s="548"/>
      <c r="L10618" s="548"/>
      <c r="M10618" s="548"/>
      <c r="N10618" s="552">
        <v>1619800</v>
      </c>
      <c r="R10618" s="539">
        <v>802.97699999999998</v>
      </c>
      <c r="S10618" s="539">
        <v>804.01316371774305</v>
      </c>
      <c r="T10618" s="538">
        <v>15.6999</v>
      </c>
      <c r="U10618" s="538">
        <v>5852.98</v>
      </c>
      <c r="V10618" s="538">
        <v>2926.49</v>
      </c>
    </row>
    <row r="10619" spans="1:22">
      <c r="A10619" s="499">
        <v>45856</v>
      </c>
      <c r="B10619" s="499">
        <v>45859</v>
      </c>
      <c r="C10619" s="500" t="s">
        <v>173</v>
      </c>
      <c r="D10619" s="500" t="s">
        <v>760</v>
      </c>
      <c r="E10619" s="501">
        <v>21035318.620000001</v>
      </c>
      <c r="F10619" s="502" t="s">
        <v>878</v>
      </c>
      <c r="G10619" s="100">
        <v>118129188</v>
      </c>
      <c r="H10619" s="100">
        <v>118129188</v>
      </c>
      <c r="I10619" s="422" t="s">
        <v>691</v>
      </c>
      <c r="J10619" s="484" t="s">
        <v>912</v>
      </c>
      <c r="K10619" s="548"/>
      <c r="L10619" s="548"/>
      <c r="M10619" s="548"/>
      <c r="N10619" s="552">
        <v>24759</v>
      </c>
      <c r="R10619" s="539">
        <v>848.50800000000004</v>
      </c>
      <c r="S10619" s="539">
        <v>849.60291691910004</v>
      </c>
      <c r="T10619" s="538">
        <v>15.6999</v>
      </c>
      <c r="U10619" s="538">
        <v>94.54</v>
      </c>
      <c r="V10619" s="538">
        <v>47.27</v>
      </c>
    </row>
    <row r="10620" spans="1:22">
      <c r="A10620" s="499">
        <v>45856</v>
      </c>
      <c r="B10620" s="499">
        <v>45856</v>
      </c>
      <c r="C10620" s="500" t="s">
        <v>173</v>
      </c>
      <c r="D10620" s="500" t="s">
        <v>764</v>
      </c>
      <c r="E10620" s="501">
        <v>-526205630.23000002</v>
      </c>
      <c r="F10620" s="502" t="s">
        <v>878</v>
      </c>
      <c r="G10620" s="100">
        <v>118129814</v>
      </c>
      <c r="H10620" s="530"/>
      <c r="I10620" s="422" t="s">
        <v>691</v>
      </c>
      <c r="J10620" s="484" t="s">
        <v>906</v>
      </c>
      <c r="K10620" s="548"/>
      <c r="L10620" s="548"/>
      <c r="M10620" s="548"/>
      <c r="N10620" s="552">
        <v>620154</v>
      </c>
      <c r="R10620" s="539">
        <v>848.50799999677497</v>
      </c>
      <c r="S10620" s="539">
        <v>849.60989805757902</v>
      </c>
      <c r="T10620" s="538">
        <v>15.8</v>
      </c>
      <c r="U10620" s="538">
        <v>2367.9299999999998</v>
      </c>
      <c r="V10620" s="538">
        <v>1183.96</v>
      </c>
    </row>
    <row r="10621" spans="1:22">
      <c r="A10621" s="499">
        <v>45856</v>
      </c>
      <c r="B10621" s="499">
        <v>45856</v>
      </c>
      <c r="C10621" s="500" t="s">
        <v>173</v>
      </c>
      <c r="D10621" s="500" t="s">
        <v>764</v>
      </c>
      <c r="E10621" s="501">
        <v>-7005519.6100000003</v>
      </c>
      <c r="F10621" s="502" t="s">
        <v>878</v>
      </c>
      <c r="G10621" s="100">
        <v>118130291</v>
      </c>
      <c r="H10621" s="530"/>
      <c r="I10621" s="422" t="s">
        <v>675</v>
      </c>
      <c r="J10621" s="484" t="s">
        <v>906</v>
      </c>
      <c r="K10621" s="548"/>
      <c r="L10621" s="548"/>
      <c r="M10621" s="548"/>
      <c r="N10621" s="552">
        <v>7644</v>
      </c>
      <c r="R10621" s="539">
        <v>916.47299973835698</v>
      </c>
      <c r="S10621" s="539">
        <v>917.65562663526998</v>
      </c>
      <c r="T10621" s="538">
        <v>15.7</v>
      </c>
      <c r="U10621" s="538">
        <v>39.32</v>
      </c>
      <c r="V10621" s="538">
        <v>15.76</v>
      </c>
    </row>
    <row r="10622" spans="1:22">
      <c r="A10622" s="499">
        <v>45856</v>
      </c>
      <c r="B10622" s="499">
        <v>45859</v>
      </c>
      <c r="C10622" s="500" t="s">
        <v>173</v>
      </c>
      <c r="D10622" s="500" t="s">
        <v>764</v>
      </c>
      <c r="E10622" s="501">
        <v>526888976.72000003</v>
      </c>
      <c r="F10622" s="502" t="s">
        <v>878</v>
      </c>
      <c r="G10622" s="100">
        <v>118129814</v>
      </c>
      <c r="H10622" s="100">
        <v>118129814</v>
      </c>
      <c r="I10622" s="422" t="s">
        <v>691</v>
      </c>
      <c r="J10622" s="484" t="s">
        <v>912</v>
      </c>
      <c r="K10622" s="548"/>
      <c r="L10622" s="548"/>
      <c r="M10622" s="548"/>
      <c r="N10622" s="552">
        <v>620154</v>
      </c>
      <c r="R10622" s="539">
        <v>848.50799999677497</v>
      </c>
      <c r="S10622" s="539">
        <v>849.60989805757902</v>
      </c>
      <c r="T10622" s="538">
        <v>15.8</v>
      </c>
      <c r="U10622" s="538">
        <v>2367.9299999999998</v>
      </c>
      <c r="V10622" s="538">
        <v>1183.96</v>
      </c>
    </row>
    <row r="10623" spans="1:22">
      <c r="A10623" s="499">
        <v>45856</v>
      </c>
      <c r="B10623" s="499">
        <v>45859</v>
      </c>
      <c r="C10623" s="500" t="s">
        <v>173</v>
      </c>
      <c r="D10623" s="500" t="s">
        <v>764</v>
      </c>
      <c r="E10623" s="501">
        <v>7014559.6100000003</v>
      </c>
      <c r="F10623" s="502" t="s">
        <v>878</v>
      </c>
      <c r="G10623" s="100">
        <v>118130291</v>
      </c>
      <c r="H10623" s="100">
        <v>118130291</v>
      </c>
      <c r="I10623" s="422" t="s">
        <v>675</v>
      </c>
      <c r="J10623" s="484" t="s">
        <v>912</v>
      </c>
      <c r="K10623" s="548"/>
      <c r="L10623" s="548"/>
      <c r="M10623" s="548"/>
      <c r="N10623" s="552">
        <v>7644</v>
      </c>
      <c r="R10623" s="539">
        <v>916.47299973835698</v>
      </c>
      <c r="S10623" s="539">
        <v>917.65562663526998</v>
      </c>
      <c r="T10623" s="538">
        <v>15.7</v>
      </c>
      <c r="U10623" s="538">
        <v>39.32</v>
      </c>
      <c r="V10623" s="538">
        <v>15.76</v>
      </c>
    </row>
    <row r="10624" spans="1:22">
      <c r="A10624" s="499">
        <v>45856</v>
      </c>
      <c r="B10624" s="499">
        <v>45856</v>
      </c>
      <c r="C10624" s="500" t="s">
        <v>173</v>
      </c>
      <c r="D10624" s="500" t="s">
        <v>763</v>
      </c>
      <c r="E10624" s="501">
        <v>-4843219917.6899996</v>
      </c>
      <c r="F10624" s="502" t="s">
        <v>878</v>
      </c>
      <c r="G10624" s="100">
        <v>118130425</v>
      </c>
      <c r="H10624" s="530"/>
      <c r="I10624" s="422" t="s">
        <v>681</v>
      </c>
      <c r="J10624" s="484" t="s">
        <v>906</v>
      </c>
      <c r="K10624" s="548"/>
      <c r="L10624" s="548"/>
      <c r="M10624" s="548"/>
      <c r="N10624" s="552">
        <v>5524722</v>
      </c>
      <c r="R10624" s="539">
        <v>876.64499999999998</v>
      </c>
      <c r="S10624" s="539">
        <v>877.77407793007501</v>
      </c>
      <c r="T10624" s="538">
        <v>15.6701</v>
      </c>
      <c r="U10624" s="538">
        <v>21794.49</v>
      </c>
      <c r="V10624" s="538">
        <v>10897.24</v>
      </c>
    </row>
    <row r="10625" spans="1:22">
      <c r="A10625" s="499">
        <v>45856</v>
      </c>
      <c r="B10625" s="499">
        <v>45856</v>
      </c>
      <c r="C10625" s="500" t="s">
        <v>173</v>
      </c>
      <c r="D10625" s="500" t="s">
        <v>763</v>
      </c>
      <c r="E10625" s="501">
        <v>-174004810.13</v>
      </c>
      <c r="F10625" s="502" t="s">
        <v>878</v>
      </c>
      <c r="G10625" s="100">
        <v>118130428</v>
      </c>
      <c r="H10625" s="530"/>
      <c r="I10625" s="422" t="s">
        <v>833</v>
      </c>
      <c r="J10625" s="484" t="s">
        <v>906</v>
      </c>
      <c r="K10625" s="548"/>
      <c r="L10625" s="548"/>
      <c r="M10625" s="548"/>
      <c r="N10625" s="552">
        <v>284142</v>
      </c>
      <c r="R10625" s="539">
        <v>612.38679999999999</v>
      </c>
      <c r="S10625" s="539">
        <v>613.17552568786004</v>
      </c>
      <c r="T10625" s="538">
        <v>15.6701</v>
      </c>
      <c r="U10625" s="538">
        <v>783.02</v>
      </c>
      <c r="V10625" s="538">
        <v>391.51</v>
      </c>
    </row>
    <row r="10626" spans="1:22">
      <c r="A10626" s="499">
        <v>45856</v>
      </c>
      <c r="B10626" s="499">
        <v>45856</v>
      </c>
      <c r="C10626" s="500" t="s">
        <v>173</v>
      </c>
      <c r="D10626" s="500" t="s">
        <v>763</v>
      </c>
      <c r="E10626" s="501">
        <v>-31024444</v>
      </c>
      <c r="F10626" s="502" t="s">
        <v>878</v>
      </c>
      <c r="G10626" s="100">
        <v>118130535</v>
      </c>
      <c r="H10626" s="530"/>
      <c r="I10626" s="422" t="s">
        <v>675</v>
      </c>
      <c r="J10626" s="484" t="s">
        <v>906</v>
      </c>
      <c r="K10626" s="548"/>
      <c r="L10626" s="548"/>
      <c r="M10626" s="548"/>
      <c r="N10626" s="552">
        <v>33852</v>
      </c>
      <c r="R10626" s="539">
        <v>916.47299999999996</v>
      </c>
      <c r="S10626" s="539">
        <v>917.65562684627196</v>
      </c>
      <c r="T10626" s="538">
        <v>15.7</v>
      </c>
      <c r="U10626" s="538">
        <v>139.61000000000001</v>
      </c>
      <c r="V10626" s="538">
        <v>69.8</v>
      </c>
    </row>
    <row r="10627" spans="1:22">
      <c r="A10627" s="499">
        <v>45856</v>
      </c>
      <c r="B10627" s="499">
        <v>45859</v>
      </c>
      <c r="C10627" s="500" t="s">
        <v>173</v>
      </c>
      <c r="D10627" s="500" t="s">
        <v>763</v>
      </c>
      <c r="E10627" s="501">
        <v>4849457759.3699999</v>
      </c>
      <c r="F10627" s="502" t="s">
        <v>878</v>
      </c>
      <c r="G10627" s="100">
        <v>118130425</v>
      </c>
      <c r="H10627" s="100">
        <v>118130425</v>
      </c>
      <c r="I10627" s="422" t="s">
        <v>681</v>
      </c>
      <c r="J10627" s="484" t="s">
        <v>912</v>
      </c>
      <c r="K10627" s="548"/>
      <c r="L10627" s="548"/>
      <c r="M10627" s="548"/>
      <c r="N10627" s="552">
        <v>5524722</v>
      </c>
      <c r="R10627" s="539">
        <v>876.64499999999998</v>
      </c>
      <c r="S10627" s="539">
        <v>877.77407793007501</v>
      </c>
      <c r="T10627" s="538">
        <v>15.6701</v>
      </c>
      <c r="U10627" s="538">
        <v>21794.49</v>
      </c>
      <c r="V10627" s="538">
        <v>10897.24</v>
      </c>
    </row>
    <row r="10628" spans="1:22">
      <c r="A10628" s="499">
        <v>45856</v>
      </c>
      <c r="B10628" s="499">
        <v>45859</v>
      </c>
      <c r="C10628" s="500" t="s">
        <v>173</v>
      </c>
      <c r="D10628" s="500" t="s">
        <v>763</v>
      </c>
      <c r="E10628" s="501">
        <v>174228920.22</v>
      </c>
      <c r="F10628" s="502" t="s">
        <v>878</v>
      </c>
      <c r="G10628" s="100">
        <v>118130428</v>
      </c>
      <c r="H10628" s="100">
        <v>118130428</v>
      </c>
      <c r="I10628" s="422" t="s">
        <v>833</v>
      </c>
      <c r="J10628" s="484" t="s">
        <v>912</v>
      </c>
      <c r="K10628" s="548"/>
      <c r="L10628" s="548"/>
      <c r="M10628" s="548"/>
      <c r="N10628" s="552">
        <v>284142</v>
      </c>
      <c r="R10628" s="539">
        <v>612.38679999999999</v>
      </c>
      <c r="S10628" s="539">
        <v>613.17552568786004</v>
      </c>
      <c r="T10628" s="538">
        <v>15.6701</v>
      </c>
      <c r="U10628" s="538">
        <v>783.02</v>
      </c>
      <c r="V10628" s="538">
        <v>391.51</v>
      </c>
    </row>
    <row r="10629" spans="1:22">
      <c r="A10629" s="499">
        <v>45856</v>
      </c>
      <c r="B10629" s="499">
        <v>45859</v>
      </c>
      <c r="C10629" s="500" t="s">
        <v>173</v>
      </c>
      <c r="D10629" s="500" t="s">
        <v>763</v>
      </c>
      <c r="E10629" s="501">
        <v>31064478.280000001</v>
      </c>
      <c r="F10629" s="502" t="s">
        <v>878</v>
      </c>
      <c r="G10629" s="100">
        <v>118130535</v>
      </c>
      <c r="H10629" s="100">
        <v>118130535</v>
      </c>
      <c r="I10629" s="422" t="s">
        <v>675</v>
      </c>
      <c r="J10629" s="484" t="s">
        <v>912</v>
      </c>
      <c r="K10629" s="548"/>
      <c r="L10629" s="548"/>
      <c r="M10629" s="548"/>
      <c r="N10629" s="552">
        <v>33852</v>
      </c>
      <c r="R10629" s="539">
        <v>916.47299999999996</v>
      </c>
      <c r="S10629" s="539">
        <v>917.65562684627196</v>
      </c>
      <c r="T10629" s="538">
        <v>15.7</v>
      </c>
      <c r="U10629" s="538">
        <v>139.61000000000001</v>
      </c>
      <c r="V10629" s="538">
        <v>69.8</v>
      </c>
    </row>
    <row r="10630" spans="1:22">
      <c r="A10630" s="499">
        <v>45859</v>
      </c>
      <c r="B10630" s="499">
        <v>45859</v>
      </c>
      <c r="C10630" s="500" t="s">
        <v>173</v>
      </c>
      <c r="D10630" s="500" t="s">
        <v>761</v>
      </c>
      <c r="E10630" s="501">
        <v>-1695829377.0599999</v>
      </c>
      <c r="F10630" s="502" t="s">
        <v>878</v>
      </c>
      <c r="G10630" s="100">
        <v>118153234</v>
      </c>
      <c r="H10630" s="530"/>
      <c r="I10630" s="422" t="s">
        <v>675</v>
      </c>
      <c r="J10630" s="484" t="s">
        <v>906</v>
      </c>
      <c r="K10630" s="548"/>
      <c r="L10630" s="548"/>
      <c r="M10630" s="548"/>
      <c r="N10630" s="552">
        <v>1850940</v>
      </c>
      <c r="R10630" s="539">
        <v>916.19899999999996</v>
      </c>
      <c r="S10630" s="539">
        <v>916.59434614304098</v>
      </c>
      <c r="T10630" s="538">
        <v>15.75</v>
      </c>
      <c r="U10630" s="538">
        <v>2543.7399999999998</v>
      </c>
      <c r="V10630" s="538">
        <v>1271.8699999999999</v>
      </c>
    </row>
    <row r="10631" spans="1:22">
      <c r="A10631" s="499">
        <v>45859</v>
      </c>
      <c r="B10631" s="499">
        <v>45859</v>
      </c>
      <c r="C10631" s="500" t="s">
        <v>173</v>
      </c>
      <c r="D10631" s="500" t="s">
        <v>761</v>
      </c>
      <c r="E10631" s="501">
        <v>-9001477.8000000007</v>
      </c>
      <c r="F10631" s="502" t="s">
        <v>878</v>
      </c>
      <c r="G10631" s="100">
        <v>118154888</v>
      </c>
      <c r="H10631" s="530"/>
      <c r="I10631" s="422" t="s">
        <v>704</v>
      </c>
      <c r="J10631" s="484" t="s">
        <v>906</v>
      </c>
      <c r="K10631" s="548"/>
      <c r="L10631" s="548"/>
      <c r="M10631" s="548"/>
      <c r="N10631" s="552">
        <v>11214</v>
      </c>
      <c r="R10631" s="539">
        <v>802.7</v>
      </c>
      <c r="S10631" s="539">
        <v>803.044831460674</v>
      </c>
      <c r="T10631" s="538">
        <v>15.68</v>
      </c>
      <c r="U10631" s="538">
        <v>39.32</v>
      </c>
      <c r="V10631" s="538">
        <v>6.75</v>
      </c>
    </row>
    <row r="10632" spans="1:22">
      <c r="A10632" s="499">
        <v>45859</v>
      </c>
      <c r="B10632" s="499">
        <v>45860</v>
      </c>
      <c r="C10632" s="500" t="s">
        <v>173</v>
      </c>
      <c r="D10632" s="500" t="s">
        <v>761</v>
      </c>
      <c r="E10632" s="501">
        <v>1696561139.05</v>
      </c>
      <c r="F10632" s="502" t="s">
        <v>878</v>
      </c>
      <c r="G10632" s="100">
        <v>118153234</v>
      </c>
      <c r="H10632" s="100">
        <v>118153234</v>
      </c>
      <c r="I10632" s="422" t="s">
        <v>675</v>
      </c>
      <c r="J10632" s="484" t="s">
        <v>912</v>
      </c>
      <c r="K10632" s="548"/>
      <c r="L10632" s="548"/>
      <c r="M10632" s="548"/>
      <c r="N10632" s="552">
        <v>1850940</v>
      </c>
      <c r="R10632" s="539">
        <v>916.19899999999996</v>
      </c>
      <c r="S10632" s="539">
        <v>916.59434614304098</v>
      </c>
      <c r="T10632" s="538">
        <v>15.75</v>
      </c>
      <c r="U10632" s="538">
        <v>2543.7399999999998</v>
      </c>
      <c r="V10632" s="538">
        <v>1271.8699999999999</v>
      </c>
    </row>
    <row r="10633" spans="1:22">
      <c r="A10633" s="499">
        <v>45859</v>
      </c>
      <c r="B10633" s="499">
        <v>45860</v>
      </c>
      <c r="C10633" s="500" t="s">
        <v>173</v>
      </c>
      <c r="D10633" s="500" t="s">
        <v>761</v>
      </c>
      <c r="E10633" s="501">
        <v>9005344.7400000002</v>
      </c>
      <c r="F10633" s="502" t="s">
        <v>878</v>
      </c>
      <c r="G10633" s="100">
        <v>118154888</v>
      </c>
      <c r="H10633" s="100">
        <v>118154888</v>
      </c>
      <c r="I10633" s="422" t="s">
        <v>704</v>
      </c>
      <c r="J10633" s="484" t="s">
        <v>912</v>
      </c>
      <c r="K10633" s="548"/>
      <c r="L10633" s="548"/>
      <c r="M10633" s="548"/>
      <c r="N10633" s="552">
        <v>11214</v>
      </c>
      <c r="R10633" s="539">
        <v>802.7</v>
      </c>
      <c r="S10633" s="539">
        <v>803.044831460674</v>
      </c>
      <c r="T10633" s="538">
        <v>15.68</v>
      </c>
      <c r="U10633" s="538">
        <v>39.32</v>
      </c>
      <c r="V10633" s="538">
        <v>6.75</v>
      </c>
    </row>
    <row r="10634" spans="1:22">
      <c r="A10634" s="499">
        <v>45859</v>
      </c>
      <c r="B10634" s="499">
        <v>45859</v>
      </c>
      <c r="C10634" s="500" t="s">
        <v>173</v>
      </c>
      <c r="D10634" s="500" t="s">
        <v>760</v>
      </c>
      <c r="E10634" s="501">
        <v>-1300110305.52</v>
      </c>
      <c r="F10634" s="502" t="s">
        <v>878</v>
      </c>
      <c r="G10634" s="100">
        <v>118151109</v>
      </c>
      <c r="H10634" s="530"/>
      <c r="I10634" s="422" t="s">
        <v>2556</v>
      </c>
      <c r="J10634" s="484" t="s">
        <v>906</v>
      </c>
      <c r="K10634" s="548"/>
      <c r="L10634" s="548"/>
      <c r="M10634" s="548"/>
      <c r="N10634" s="552">
        <v>14856400</v>
      </c>
      <c r="R10634" s="539">
        <v>87.511799999999994</v>
      </c>
      <c r="S10634" s="539">
        <v>87.549442062007003</v>
      </c>
      <c r="T10634" s="538">
        <v>15.7</v>
      </c>
      <c r="U10634" s="538">
        <v>1950.17</v>
      </c>
      <c r="V10634" s="538">
        <v>975.08</v>
      </c>
    </row>
    <row r="10635" spans="1:22">
      <c r="A10635" s="499">
        <v>45859</v>
      </c>
      <c r="B10635" s="499">
        <v>45859</v>
      </c>
      <c r="C10635" s="500" t="s">
        <v>173</v>
      </c>
      <c r="D10635" s="500" t="s">
        <v>760</v>
      </c>
      <c r="E10635" s="501">
        <v>-23001951.559999999</v>
      </c>
      <c r="F10635" s="502" t="s">
        <v>878</v>
      </c>
      <c r="G10635" s="100">
        <v>118151211</v>
      </c>
      <c r="H10635" s="530"/>
      <c r="I10635" s="422" t="s">
        <v>2556</v>
      </c>
      <c r="J10635" s="484" t="s">
        <v>906</v>
      </c>
      <c r="K10635" s="548"/>
      <c r="L10635" s="548"/>
      <c r="M10635" s="548"/>
      <c r="N10635" s="552">
        <v>262844</v>
      </c>
      <c r="R10635" s="539">
        <v>87.511799999999994</v>
      </c>
      <c r="S10635" s="539">
        <v>87.549561717216307</v>
      </c>
      <c r="T10635" s="538">
        <v>15.7499</v>
      </c>
      <c r="U10635" s="538">
        <v>39.32</v>
      </c>
      <c r="V10635" s="538">
        <v>17.25</v>
      </c>
    </row>
    <row r="10636" spans="1:22">
      <c r="A10636" s="499">
        <v>45859</v>
      </c>
      <c r="B10636" s="499">
        <v>45859</v>
      </c>
      <c r="C10636" s="500" t="s">
        <v>173</v>
      </c>
      <c r="D10636" s="500" t="s">
        <v>760</v>
      </c>
      <c r="E10636" s="501">
        <v>-164000107.90000001</v>
      </c>
      <c r="F10636" s="502" t="s">
        <v>878</v>
      </c>
      <c r="G10636" s="100">
        <v>118155992</v>
      </c>
      <c r="H10636" s="530"/>
      <c r="I10636" s="422" t="s">
        <v>809</v>
      </c>
      <c r="J10636" s="484" t="s">
        <v>906</v>
      </c>
      <c r="K10636" s="548"/>
      <c r="L10636" s="548"/>
      <c r="M10636" s="548"/>
      <c r="N10636" s="552">
        <v>158899436</v>
      </c>
      <c r="R10636" s="539">
        <v>1.0321</v>
      </c>
      <c r="S10636" s="539">
        <v>1.0325431017892299</v>
      </c>
      <c r="T10636" s="538">
        <v>15.670199999999999</v>
      </c>
      <c r="U10636" s="538">
        <v>246</v>
      </c>
      <c r="V10636" s="538">
        <v>123</v>
      </c>
    </row>
    <row r="10637" spans="1:22">
      <c r="A10637" s="499">
        <v>45859</v>
      </c>
      <c r="B10637" s="499">
        <v>45860</v>
      </c>
      <c r="C10637" s="500" t="s">
        <v>173</v>
      </c>
      <c r="D10637" s="500" t="s">
        <v>760</v>
      </c>
      <c r="E10637" s="501">
        <v>1300669531.05</v>
      </c>
      <c r="F10637" s="502" t="s">
        <v>878</v>
      </c>
      <c r="G10637" s="100">
        <v>118151109</v>
      </c>
      <c r="H10637" s="100">
        <v>118151109</v>
      </c>
      <c r="I10637" s="422" t="s">
        <v>2556</v>
      </c>
      <c r="J10637" s="484" t="s">
        <v>912</v>
      </c>
      <c r="K10637" s="548"/>
      <c r="L10637" s="548"/>
      <c r="M10637" s="548"/>
      <c r="N10637" s="552">
        <v>14856400</v>
      </c>
      <c r="R10637" s="539">
        <v>87.511799999999994</v>
      </c>
      <c r="S10637" s="539">
        <v>87.549442062007003</v>
      </c>
      <c r="T10637" s="538">
        <v>15.7</v>
      </c>
      <c r="U10637" s="538">
        <v>1950.17</v>
      </c>
      <c r="V10637" s="538">
        <v>975.08</v>
      </c>
    </row>
    <row r="10638" spans="1:22">
      <c r="A10638" s="499">
        <v>45859</v>
      </c>
      <c r="B10638" s="499">
        <v>45860</v>
      </c>
      <c r="C10638" s="500" t="s">
        <v>173</v>
      </c>
      <c r="D10638" s="500" t="s">
        <v>760</v>
      </c>
      <c r="E10638" s="501">
        <v>23011877</v>
      </c>
      <c r="F10638" s="502" t="s">
        <v>878</v>
      </c>
      <c r="G10638" s="100">
        <v>118151211</v>
      </c>
      <c r="H10638" s="100">
        <v>118151211</v>
      </c>
      <c r="I10638" s="422" t="s">
        <v>2556</v>
      </c>
      <c r="J10638" s="484" t="s">
        <v>912</v>
      </c>
      <c r="K10638" s="548"/>
      <c r="L10638" s="548"/>
      <c r="M10638" s="548"/>
      <c r="N10638" s="552">
        <v>262844</v>
      </c>
      <c r="R10638" s="539">
        <v>87.511799999999994</v>
      </c>
      <c r="S10638" s="539">
        <v>87.549561717216307</v>
      </c>
      <c r="T10638" s="538">
        <v>15.7499</v>
      </c>
      <c r="U10638" s="538">
        <v>39.32</v>
      </c>
      <c r="V10638" s="538">
        <v>17.25</v>
      </c>
    </row>
    <row r="10639" spans="1:22">
      <c r="A10639" s="499">
        <v>45859</v>
      </c>
      <c r="B10639" s="499">
        <v>45860</v>
      </c>
      <c r="C10639" s="500" t="s">
        <v>173</v>
      </c>
      <c r="D10639" s="500" t="s">
        <v>760</v>
      </c>
      <c r="E10639" s="501">
        <v>164070516.52000001</v>
      </c>
      <c r="F10639" s="502" t="s">
        <v>878</v>
      </c>
      <c r="G10639" s="100">
        <v>118155992</v>
      </c>
      <c r="H10639" s="100">
        <v>118155992</v>
      </c>
      <c r="I10639" s="422" t="s">
        <v>809</v>
      </c>
      <c r="J10639" s="484" t="s">
        <v>912</v>
      </c>
      <c r="K10639" s="548"/>
      <c r="L10639" s="548"/>
      <c r="M10639" s="548"/>
      <c r="N10639" s="552">
        <v>158899436</v>
      </c>
      <c r="R10639" s="539">
        <v>1.0321</v>
      </c>
      <c r="S10639" s="539">
        <v>1.0325431017892299</v>
      </c>
      <c r="T10639" s="538">
        <v>15.670199999999999</v>
      </c>
      <c r="U10639" s="538">
        <v>246</v>
      </c>
      <c r="V10639" s="538">
        <v>123</v>
      </c>
    </row>
    <row r="10640" spans="1:22">
      <c r="A10640" s="499">
        <v>45859</v>
      </c>
      <c r="B10640" s="499">
        <v>45859</v>
      </c>
      <c r="C10640" s="500" t="s">
        <v>173</v>
      </c>
      <c r="D10640" s="500" t="s">
        <v>763</v>
      </c>
      <c r="E10640" s="501">
        <v>-4634112351.3299999</v>
      </c>
      <c r="F10640" s="502" t="s">
        <v>878</v>
      </c>
      <c r="G10640" s="100">
        <v>118152642</v>
      </c>
      <c r="H10640" s="530"/>
      <c r="I10640" s="422" t="s">
        <v>658</v>
      </c>
      <c r="J10640" s="484" t="s">
        <v>906</v>
      </c>
      <c r="K10640" s="548"/>
      <c r="L10640" s="548"/>
      <c r="M10640" s="548"/>
      <c r="N10640" s="552">
        <v>4657170</v>
      </c>
      <c r="R10640" s="539">
        <v>995.04899999999998</v>
      </c>
      <c r="S10640" s="539">
        <v>995.47618952926302</v>
      </c>
      <c r="T10640" s="538">
        <v>15.67</v>
      </c>
      <c r="U10640" s="538">
        <v>6951.17</v>
      </c>
      <c r="V10640" s="538">
        <v>3475.58</v>
      </c>
    </row>
    <row r="10641" spans="1:25">
      <c r="A10641" s="499">
        <v>45859</v>
      </c>
      <c r="B10641" s="499">
        <v>45859</v>
      </c>
      <c r="C10641" s="500" t="s">
        <v>173</v>
      </c>
      <c r="D10641" s="500" t="s">
        <v>763</v>
      </c>
      <c r="E10641" s="501">
        <v>-523234356.30000001</v>
      </c>
      <c r="F10641" s="502" t="s">
        <v>878</v>
      </c>
      <c r="G10641" s="100">
        <v>118152645</v>
      </c>
      <c r="H10641" s="530"/>
      <c r="I10641" s="422" t="s">
        <v>829</v>
      </c>
      <c r="J10641" s="484" t="s">
        <v>906</v>
      </c>
      <c r="K10641" s="548"/>
      <c r="L10641" s="548"/>
      <c r="M10641" s="548"/>
      <c r="N10641" s="552">
        <v>495804</v>
      </c>
      <c r="R10641" s="539">
        <v>1055.325</v>
      </c>
      <c r="S10641" s="539">
        <v>1055.7774944534499</v>
      </c>
      <c r="T10641" s="538">
        <v>15.6502</v>
      </c>
      <c r="U10641" s="538">
        <v>784.85</v>
      </c>
      <c r="V10641" s="538">
        <v>392.43</v>
      </c>
    </row>
    <row r="10642" spans="1:25">
      <c r="A10642" s="499">
        <v>45859</v>
      </c>
      <c r="B10642" s="499">
        <v>45859</v>
      </c>
      <c r="C10642" s="500" t="s">
        <v>173</v>
      </c>
      <c r="D10642" s="500" t="s">
        <v>763</v>
      </c>
      <c r="E10642" s="501">
        <v>-32028164.539999999</v>
      </c>
      <c r="F10642" s="502" t="s">
        <v>878</v>
      </c>
      <c r="G10642" s="100">
        <v>118152810</v>
      </c>
      <c r="H10642" s="530"/>
      <c r="I10642" s="422" t="s">
        <v>654</v>
      </c>
      <c r="J10642" s="484" t="s">
        <v>906</v>
      </c>
      <c r="K10642" s="548"/>
      <c r="L10642" s="548"/>
      <c r="M10642" s="548"/>
      <c r="N10642" s="552">
        <v>32608</v>
      </c>
      <c r="R10642" s="539">
        <v>982.21799999999996</v>
      </c>
      <c r="S10642" s="539">
        <v>982.63968351324797</v>
      </c>
      <c r="T10642" s="538">
        <v>15.6701</v>
      </c>
      <c r="U10642" s="538">
        <v>48.04</v>
      </c>
      <c r="V10642" s="538">
        <v>39.32</v>
      </c>
    </row>
    <row r="10643" spans="1:25">
      <c r="A10643" s="499">
        <v>45859</v>
      </c>
      <c r="B10643" s="499">
        <v>45860</v>
      </c>
      <c r="C10643" s="500" t="s">
        <v>173</v>
      </c>
      <c r="D10643" s="500" t="s">
        <v>763</v>
      </c>
      <c r="E10643" s="501">
        <v>4636101845.5900002</v>
      </c>
      <c r="F10643" s="502" t="s">
        <v>878</v>
      </c>
      <c r="G10643" s="100">
        <v>118152642</v>
      </c>
      <c r="H10643" s="100">
        <v>118152642</v>
      </c>
      <c r="I10643" s="422" t="s">
        <v>658</v>
      </c>
      <c r="J10643" s="484" t="s">
        <v>912</v>
      </c>
      <c r="K10643" s="548"/>
      <c r="L10643" s="548"/>
      <c r="M10643" s="548"/>
      <c r="N10643" s="552">
        <v>4657170</v>
      </c>
      <c r="R10643" s="539">
        <v>995.04899999999998</v>
      </c>
      <c r="S10643" s="539">
        <v>995.47618952926302</v>
      </c>
      <c r="T10643" s="538">
        <v>15.67</v>
      </c>
      <c r="U10643" s="538">
        <v>6951.17</v>
      </c>
      <c r="V10643" s="538">
        <v>3475.58</v>
      </c>
    </row>
    <row r="10644" spans="1:25">
      <c r="A10644" s="499">
        <v>45859</v>
      </c>
      <c r="B10644" s="499">
        <v>45860</v>
      </c>
      <c r="C10644" s="500" t="s">
        <v>173</v>
      </c>
      <c r="D10644" s="500" t="s">
        <v>763</v>
      </c>
      <c r="E10644" s="501">
        <v>523458704.86000001</v>
      </c>
      <c r="F10644" s="502" t="s">
        <v>878</v>
      </c>
      <c r="G10644" s="100">
        <v>118152645</v>
      </c>
      <c r="H10644" s="100">
        <v>118152645</v>
      </c>
      <c r="I10644" s="422" t="s">
        <v>829</v>
      </c>
      <c r="J10644" s="484" t="s">
        <v>912</v>
      </c>
      <c r="K10644" s="548"/>
      <c r="L10644" s="548"/>
      <c r="M10644" s="548"/>
      <c r="N10644" s="552">
        <v>495804</v>
      </c>
      <c r="R10644" s="539">
        <v>1055.325</v>
      </c>
      <c r="S10644" s="539">
        <v>1055.7774944534499</v>
      </c>
      <c r="T10644" s="538">
        <v>15.6502</v>
      </c>
      <c r="U10644" s="538">
        <v>784.85</v>
      </c>
      <c r="V10644" s="538">
        <v>392.43</v>
      </c>
    </row>
    <row r="10645" spans="1:25">
      <c r="A10645" s="499">
        <v>45859</v>
      </c>
      <c r="B10645" s="499">
        <v>45860</v>
      </c>
      <c r="C10645" s="500" t="s">
        <v>173</v>
      </c>
      <c r="D10645" s="500" t="s">
        <v>763</v>
      </c>
      <c r="E10645" s="501">
        <v>32041914.800000001</v>
      </c>
      <c r="F10645" s="502" t="s">
        <v>878</v>
      </c>
      <c r="G10645" s="100">
        <v>118152810</v>
      </c>
      <c r="H10645" s="100">
        <v>118152810</v>
      </c>
      <c r="I10645" s="422" t="s">
        <v>654</v>
      </c>
      <c r="J10645" s="484" t="s">
        <v>912</v>
      </c>
      <c r="K10645" s="548"/>
      <c r="L10645" s="548"/>
      <c r="M10645" s="548"/>
      <c r="N10645" s="552">
        <v>32608</v>
      </c>
      <c r="R10645" s="539">
        <v>982.21799999999996</v>
      </c>
      <c r="S10645" s="539">
        <v>982.63968351324797</v>
      </c>
      <c r="T10645" s="538">
        <v>15.6701</v>
      </c>
      <c r="U10645" s="538">
        <v>48.04</v>
      </c>
      <c r="V10645" s="538">
        <v>39.32</v>
      </c>
    </row>
    <row r="10646" spans="1:25">
      <c r="A10646" s="499">
        <v>45859</v>
      </c>
      <c r="B10646" s="499">
        <v>45859</v>
      </c>
      <c r="C10646" s="500" t="s">
        <v>173</v>
      </c>
      <c r="D10646" s="500" t="s">
        <v>764</v>
      </c>
      <c r="E10646" s="501">
        <v>-141056135.34</v>
      </c>
      <c r="F10646" s="502" t="s">
        <v>878</v>
      </c>
      <c r="G10646" s="100">
        <v>118159248</v>
      </c>
      <c r="H10646" s="530"/>
      <c r="I10646" s="422" t="s">
        <v>718</v>
      </c>
      <c r="J10646" s="484" t="s">
        <v>906</v>
      </c>
      <c r="K10646" s="548"/>
      <c r="L10646" s="548"/>
      <c r="M10646" s="548"/>
      <c r="N10646" s="552">
        <v>211359</v>
      </c>
      <c r="R10646" s="539">
        <v>667.37699998580615</v>
      </c>
      <c r="S10646" s="539">
        <v>669.38031396817701</v>
      </c>
      <c r="T10646" s="538">
        <v>1481.09</v>
      </c>
      <c r="U10646" s="538">
        <v>740.54</v>
      </c>
      <c r="V10646" s="538">
        <v>15.652100000000001</v>
      </c>
    </row>
    <row r="10647" spans="1:25">
      <c r="A10647" s="499">
        <v>45859</v>
      </c>
      <c r="B10647" s="499">
        <v>45866</v>
      </c>
      <c r="C10647" s="500" t="s">
        <v>173</v>
      </c>
      <c r="D10647" s="500" t="s">
        <v>764</v>
      </c>
      <c r="E10647" s="501">
        <v>141479553.78</v>
      </c>
      <c r="F10647" s="502" t="s">
        <v>878</v>
      </c>
      <c r="G10647" s="100">
        <v>118159248</v>
      </c>
      <c r="H10647" s="484">
        <v>118159248</v>
      </c>
      <c r="I10647" s="422" t="s">
        <v>718</v>
      </c>
      <c r="J10647" s="484" t="s">
        <v>912</v>
      </c>
      <c r="K10647" s="548"/>
      <c r="L10647" s="548"/>
      <c r="M10647" s="548"/>
      <c r="N10647" s="552">
        <v>211359</v>
      </c>
      <c r="R10647" s="539">
        <v>667.37699998580615</v>
      </c>
      <c r="S10647" s="539">
        <v>669.38031396817701</v>
      </c>
      <c r="T10647" s="538">
        <v>1481.09</v>
      </c>
      <c r="U10647" s="538">
        <v>740.54</v>
      </c>
      <c r="V10647" s="538">
        <v>15.652100000000001</v>
      </c>
    </row>
    <row r="10648" spans="1:25">
      <c r="A10648" s="499">
        <v>45859</v>
      </c>
      <c r="B10648" s="499">
        <v>45859</v>
      </c>
      <c r="C10648" s="500" t="s">
        <v>173</v>
      </c>
      <c r="D10648" s="500" t="s">
        <v>764</v>
      </c>
      <c r="E10648" s="501">
        <v>-500000000</v>
      </c>
      <c r="F10648" s="502" t="s">
        <v>906</v>
      </c>
      <c r="G10648" s="100" t="s">
        <v>2900</v>
      </c>
      <c r="H10648" s="530"/>
      <c r="I10648" s="422" t="s">
        <v>2899</v>
      </c>
      <c r="K10648" s="548">
        <v>118158601</v>
      </c>
      <c r="L10648" s="549">
        <v>100</v>
      </c>
      <c r="M10648" s="549">
        <f>E10648*(-1)/(N10648*O10648)*100</f>
        <v>100</v>
      </c>
      <c r="N10648" s="549">
        <v>500000</v>
      </c>
      <c r="O10648" s="539">
        <f>VLOOKUP(G10648,Справочник!A:J,10,0)</f>
        <v>1000</v>
      </c>
      <c r="P10648" s="539">
        <v>100</v>
      </c>
      <c r="T10648" s="538">
        <v>17.7</v>
      </c>
      <c r="U10648" s="538">
        <v>0</v>
      </c>
      <c r="V10648" s="538">
        <v>0</v>
      </c>
      <c r="W10648" s="550">
        <f>VLOOKUP(G10648,Справочник!A:C,3,0)</f>
        <v>0.17699999999999999</v>
      </c>
      <c r="X10648" s="539" t="str">
        <f>VLOOKUP(G10648,Справочник!A:G,7,0)</f>
        <v>АО "Национальный управляющий холдинг "Байтерек"</v>
      </c>
      <c r="Y10648" s="551">
        <f>VLOOKUP(G10648,Справочник!A:B,2,0)</f>
        <v>46229</v>
      </c>
    </row>
    <row r="10649" spans="1:25">
      <c r="A10649" s="499">
        <v>45859</v>
      </c>
      <c r="B10649" s="499">
        <v>45859</v>
      </c>
      <c r="C10649" s="500" t="s">
        <v>173</v>
      </c>
      <c r="D10649" s="500" t="s">
        <v>762</v>
      </c>
      <c r="E10649" s="501">
        <v>-256106495.74000001</v>
      </c>
      <c r="F10649" s="502" t="s">
        <v>878</v>
      </c>
      <c r="G10649" s="100">
        <v>118157068</v>
      </c>
      <c r="H10649" s="530"/>
      <c r="I10649" s="422" t="s">
        <v>699</v>
      </c>
      <c r="J10649" s="484" t="s">
        <v>906</v>
      </c>
      <c r="K10649" s="548"/>
      <c r="L10649" s="548"/>
      <c r="M10649" s="548"/>
      <c r="N10649" s="552">
        <v>273152</v>
      </c>
      <c r="R10649" s="539">
        <v>937.59699999999998</v>
      </c>
      <c r="S10649" s="539">
        <v>937.99567138443103</v>
      </c>
      <c r="T10649" s="538">
        <v>15.52</v>
      </c>
      <c r="U10649" s="538">
        <v>384.16</v>
      </c>
      <c r="V10649" s="538">
        <v>192.08</v>
      </c>
    </row>
    <row r="10650" spans="1:25">
      <c r="A10650" s="499">
        <v>45859</v>
      </c>
      <c r="B10650" s="499">
        <v>45860</v>
      </c>
      <c r="C10650" s="500" t="s">
        <v>173</v>
      </c>
      <c r="D10650" s="500" t="s">
        <v>762</v>
      </c>
      <c r="E10650" s="501">
        <v>256215393.63</v>
      </c>
      <c r="F10650" s="502" t="s">
        <v>878</v>
      </c>
      <c r="G10650" s="100">
        <v>118157068</v>
      </c>
      <c r="H10650" s="100">
        <v>118157068</v>
      </c>
      <c r="I10650" s="422" t="s">
        <v>699</v>
      </c>
      <c r="J10650" s="484" t="s">
        <v>912</v>
      </c>
      <c r="K10650" s="548"/>
      <c r="L10650" s="548"/>
      <c r="M10650" s="548"/>
      <c r="N10650" s="552">
        <v>273152</v>
      </c>
      <c r="R10650" s="539">
        <v>937.59699999999998</v>
      </c>
      <c r="S10650" s="539">
        <v>937.99567138443103</v>
      </c>
      <c r="T10650" s="538">
        <v>15.52</v>
      </c>
      <c r="U10650" s="538">
        <v>384.16</v>
      </c>
      <c r="V10650" s="538">
        <v>192.08</v>
      </c>
    </row>
    <row r="10651" spans="1:25">
      <c r="A10651" s="499">
        <v>45859</v>
      </c>
      <c r="B10651" s="499">
        <v>45859</v>
      </c>
      <c r="C10651" s="500" t="s">
        <v>173</v>
      </c>
      <c r="D10651" s="500" t="s">
        <v>759</v>
      </c>
      <c r="E10651" s="501">
        <v>-1084177992.8</v>
      </c>
      <c r="F10651" s="502" t="s">
        <v>878</v>
      </c>
      <c r="G10651" s="100">
        <v>118154989</v>
      </c>
      <c r="H10651" s="530"/>
      <c r="I10651" s="422" t="s">
        <v>704</v>
      </c>
      <c r="J10651" s="484" t="s">
        <v>906</v>
      </c>
      <c r="K10651" s="548"/>
      <c r="L10651" s="548"/>
      <c r="M10651" s="548"/>
      <c r="N10651" s="552">
        <v>1350664</v>
      </c>
      <c r="R10651" s="539">
        <v>802.69999999999993</v>
      </c>
      <c r="S10651" s="539">
        <v>803.045270955619</v>
      </c>
      <c r="T10651" s="538">
        <v>15.7</v>
      </c>
      <c r="U10651" s="538">
        <v>1626.27</v>
      </c>
      <c r="V10651" s="538">
        <v>813.13</v>
      </c>
    </row>
    <row r="10652" spans="1:25">
      <c r="A10652" s="499">
        <v>45859</v>
      </c>
      <c r="B10652" s="499">
        <v>45859</v>
      </c>
      <c r="C10652" s="500" t="s">
        <v>173</v>
      </c>
      <c r="D10652" s="500" t="s">
        <v>759</v>
      </c>
      <c r="E10652" s="501">
        <v>-387020465.72000003</v>
      </c>
      <c r="F10652" s="502" t="s">
        <v>878</v>
      </c>
      <c r="G10652" s="100">
        <v>118155168</v>
      </c>
      <c r="H10652" s="530"/>
      <c r="I10652" s="422" t="s">
        <v>678</v>
      </c>
      <c r="J10652" s="484" t="s">
        <v>906</v>
      </c>
      <c r="K10652" s="548"/>
      <c r="L10652" s="548"/>
      <c r="M10652" s="548"/>
      <c r="N10652" s="552">
        <v>409833</v>
      </c>
      <c r="R10652" s="539">
        <v>944.33699999756004</v>
      </c>
      <c r="S10652" s="539">
        <v>944.74319427669298</v>
      </c>
      <c r="T10652" s="538">
        <v>15.7</v>
      </c>
      <c r="U10652" s="538">
        <v>580.53</v>
      </c>
      <c r="V10652" s="538">
        <v>290.27</v>
      </c>
    </row>
    <row r="10653" spans="1:25">
      <c r="A10653" s="499">
        <v>45859</v>
      </c>
      <c r="B10653" s="499">
        <v>45859</v>
      </c>
      <c r="C10653" s="500" t="s">
        <v>173</v>
      </c>
      <c r="D10653" s="500" t="s">
        <v>759</v>
      </c>
      <c r="E10653" s="501">
        <v>-387020465.72000003</v>
      </c>
      <c r="F10653" s="502" t="s">
        <v>878</v>
      </c>
      <c r="G10653" s="100">
        <v>118155171</v>
      </c>
      <c r="H10653" s="530"/>
      <c r="I10653" s="422" t="s">
        <v>678</v>
      </c>
      <c r="J10653" s="484" t="s">
        <v>906</v>
      </c>
      <c r="K10653" s="548"/>
      <c r="L10653" s="548"/>
      <c r="M10653" s="548"/>
      <c r="N10653" s="552">
        <v>409833</v>
      </c>
      <c r="R10653" s="539">
        <v>944.33699999756004</v>
      </c>
      <c r="S10653" s="539">
        <v>944.74319427669298</v>
      </c>
      <c r="T10653" s="538">
        <v>15.7</v>
      </c>
      <c r="U10653" s="538">
        <v>580.53</v>
      </c>
      <c r="V10653" s="538">
        <v>290.27</v>
      </c>
    </row>
    <row r="10654" spans="1:25">
      <c r="A10654" s="499">
        <v>45859</v>
      </c>
      <c r="B10654" s="499">
        <v>45859</v>
      </c>
      <c r="C10654" s="500" t="s">
        <v>173</v>
      </c>
      <c r="D10654" s="500" t="s">
        <v>759</v>
      </c>
      <c r="E10654" s="501">
        <v>-89000080.170000002</v>
      </c>
      <c r="F10654" s="502" t="s">
        <v>878</v>
      </c>
      <c r="G10654" s="100">
        <v>118155174</v>
      </c>
      <c r="H10654" s="530"/>
      <c r="I10654" s="422" t="s">
        <v>811</v>
      </c>
      <c r="J10654" s="484" t="s">
        <v>906</v>
      </c>
      <c r="K10654" s="548"/>
      <c r="L10654" s="548"/>
      <c r="M10654" s="548"/>
      <c r="N10654" s="552">
        <v>88136344</v>
      </c>
      <c r="R10654" s="539">
        <v>1.0097999999863847</v>
      </c>
      <c r="S10654" s="539">
        <v>1.0102343523575199</v>
      </c>
      <c r="T10654" s="538">
        <v>15.7</v>
      </c>
      <c r="U10654" s="538">
        <v>133.5</v>
      </c>
      <c r="V10654" s="538">
        <v>66.75</v>
      </c>
    </row>
    <row r="10655" spans="1:25">
      <c r="A10655" s="499">
        <v>45859</v>
      </c>
      <c r="B10655" s="499">
        <v>45859</v>
      </c>
      <c r="C10655" s="500" t="s">
        <v>173</v>
      </c>
      <c r="D10655" s="500" t="s">
        <v>759</v>
      </c>
      <c r="E10655" s="501">
        <v>-48024177.07</v>
      </c>
      <c r="F10655" s="502" t="s">
        <v>878</v>
      </c>
      <c r="G10655" s="100">
        <v>118155177</v>
      </c>
      <c r="H10655" s="530"/>
      <c r="I10655" s="422" t="s">
        <v>816</v>
      </c>
      <c r="J10655" s="484" t="s">
        <v>906</v>
      </c>
      <c r="K10655" s="548"/>
      <c r="L10655" s="548"/>
      <c r="M10655" s="548"/>
      <c r="N10655" s="552">
        <v>46896</v>
      </c>
      <c r="R10655" s="539">
        <v>1024.0569999573524</v>
      </c>
      <c r="S10655" s="539">
        <v>1024.4974846468799</v>
      </c>
      <c r="T10655" s="538">
        <v>15.7</v>
      </c>
      <c r="U10655" s="538">
        <v>72.040000000000006</v>
      </c>
      <c r="V10655" s="538">
        <v>36.020000000000003</v>
      </c>
    </row>
    <row r="10656" spans="1:25">
      <c r="A10656" s="499">
        <v>45859</v>
      </c>
      <c r="B10656" s="499">
        <v>45859</v>
      </c>
      <c r="C10656" s="500" t="s">
        <v>173</v>
      </c>
      <c r="D10656" s="500" t="s">
        <v>759</v>
      </c>
      <c r="E10656" s="501">
        <v>-277118719.29000002</v>
      </c>
      <c r="F10656" s="502" t="s">
        <v>878</v>
      </c>
      <c r="G10656" s="100">
        <v>118157757</v>
      </c>
      <c r="H10656" s="530"/>
      <c r="I10656" s="422" t="s">
        <v>1013</v>
      </c>
      <c r="J10656" s="484" t="s">
        <v>906</v>
      </c>
      <c r="K10656" s="548"/>
      <c r="L10656" s="548"/>
      <c r="M10656" s="548"/>
      <c r="N10656" s="552">
        <v>534333</v>
      </c>
      <c r="R10656" s="539">
        <v>518.62549999719283</v>
      </c>
      <c r="S10656" s="539">
        <v>518.84602667250601</v>
      </c>
      <c r="T10656" s="538">
        <v>15.520300000000001</v>
      </c>
      <c r="U10656" s="538">
        <v>415.68</v>
      </c>
      <c r="V10656" s="538">
        <v>207.84</v>
      </c>
    </row>
    <row r="10657" spans="1:22">
      <c r="A10657" s="499">
        <v>45859</v>
      </c>
      <c r="B10657" s="499">
        <v>45859</v>
      </c>
      <c r="C10657" s="500" t="s">
        <v>173</v>
      </c>
      <c r="D10657" s="500" t="s">
        <v>759</v>
      </c>
      <c r="E10657" s="501">
        <v>-2000857.18</v>
      </c>
      <c r="F10657" s="502" t="s">
        <v>878</v>
      </c>
      <c r="G10657" s="100">
        <v>118157848</v>
      </c>
      <c r="H10657" s="530"/>
      <c r="I10657" s="422" t="s">
        <v>1013</v>
      </c>
      <c r="J10657" s="484" t="s">
        <v>906</v>
      </c>
      <c r="K10657" s="548"/>
      <c r="L10657" s="548"/>
      <c r="M10657" s="548"/>
      <c r="N10657" s="552">
        <v>3858</v>
      </c>
      <c r="R10657" s="539">
        <v>518.62550025920166</v>
      </c>
      <c r="S10657" s="539">
        <v>518.84602643856897</v>
      </c>
      <c r="T10657" s="538">
        <v>15.520300000000001</v>
      </c>
      <c r="U10657" s="538">
        <v>39.32</v>
      </c>
      <c r="V10657" s="538">
        <v>1.5</v>
      </c>
    </row>
    <row r="10658" spans="1:22">
      <c r="A10658" s="499">
        <v>45859</v>
      </c>
      <c r="B10658" s="499">
        <v>45860</v>
      </c>
      <c r="C10658" s="500" t="s">
        <v>173</v>
      </c>
      <c r="D10658" s="500" t="s">
        <v>759</v>
      </c>
      <c r="E10658" s="501">
        <v>1084644337.8499999</v>
      </c>
      <c r="F10658" s="502" t="s">
        <v>878</v>
      </c>
      <c r="G10658" s="100">
        <v>118154989</v>
      </c>
      <c r="H10658" s="100">
        <v>118154989</v>
      </c>
      <c r="I10658" s="422" t="s">
        <v>704</v>
      </c>
      <c r="J10658" s="484" t="s">
        <v>912</v>
      </c>
      <c r="K10658" s="548"/>
      <c r="L10658" s="548"/>
      <c r="M10658" s="548"/>
      <c r="N10658" s="552">
        <v>1350664</v>
      </c>
      <c r="R10658" s="539">
        <v>802.69999999999993</v>
      </c>
      <c r="S10658" s="539">
        <v>803.045270955619</v>
      </c>
      <c r="T10658" s="538">
        <v>15.7</v>
      </c>
      <c r="U10658" s="538">
        <v>1626.27</v>
      </c>
      <c r="V10658" s="538">
        <v>813.13</v>
      </c>
    </row>
    <row r="10659" spans="1:22">
      <c r="A10659" s="499">
        <v>45859</v>
      </c>
      <c r="B10659" s="499">
        <v>45860</v>
      </c>
      <c r="C10659" s="500" t="s">
        <v>173</v>
      </c>
      <c r="D10659" s="500" t="s">
        <v>759</v>
      </c>
      <c r="E10659" s="501">
        <v>387186937.54000002</v>
      </c>
      <c r="F10659" s="502" t="s">
        <v>878</v>
      </c>
      <c r="G10659" s="100">
        <v>118155168</v>
      </c>
      <c r="H10659" s="100">
        <v>118155168</v>
      </c>
      <c r="I10659" s="422" t="s">
        <v>678</v>
      </c>
      <c r="J10659" s="484" t="s">
        <v>912</v>
      </c>
      <c r="K10659" s="548"/>
      <c r="L10659" s="548"/>
      <c r="M10659" s="548"/>
      <c r="N10659" s="552">
        <v>409833</v>
      </c>
      <c r="R10659" s="539">
        <v>944.33699999756004</v>
      </c>
      <c r="S10659" s="539">
        <v>944.74319427669298</v>
      </c>
      <c r="T10659" s="538">
        <v>15.7</v>
      </c>
      <c r="U10659" s="538">
        <v>580.53</v>
      </c>
      <c r="V10659" s="538">
        <v>290.27</v>
      </c>
    </row>
    <row r="10660" spans="1:22">
      <c r="A10660" s="499">
        <v>45859</v>
      </c>
      <c r="B10660" s="499">
        <v>45860</v>
      </c>
      <c r="C10660" s="500" t="s">
        <v>173</v>
      </c>
      <c r="D10660" s="500" t="s">
        <v>759</v>
      </c>
      <c r="E10660" s="501">
        <v>387186937.54000002</v>
      </c>
      <c r="F10660" s="502" t="s">
        <v>878</v>
      </c>
      <c r="G10660" s="100">
        <v>118155171</v>
      </c>
      <c r="H10660" s="100">
        <v>118155171</v>
      </c>
      <c r="I10660" s="422" t="s">
        <v>678</v>
      </c>
      <c r="J10660" s="484" t="s">
        <v>912</v>
      </c>
      <c r="K10660" s="548"/>
      <c r="L10660" s="548"/>
      <c r="M10660" s="548"/>
      <c r="N10660" s="552">
        <v>409833</v>
      </c>
      <c r="R10660" s="539">
        <v>944.33699999756004</v>
      </c>
      <c r="S10660" s="539">
        <v>944.74319427669298</v>
      </c>
      <c r="T10660" s="538">
        <v>15.7</v>
      </c>
      <c r="U10660" s="538">
        <v>580.53</v>
      </c>
      <c r="V10660" s="538">
        <v>290.27</v>
      </c>
    </row>
    <row r="10661" spans="1:22">
      <c r="A10661" s="499">
        <v>45859</v>
      </c>
      <c r="B10661" s="499">
        <v>45860</v>
      </c>
      <c r="C10661" s="500" t="s">
        <v>173</v>
      </c>
      <c r="D10661" s="500" t="s">
        <v>759</v>
      </c>
      <c r="E10661" s="501">
        <v>89038362.400000006</v>
      </c>
      <c r="F10661" s="502" t="s">
        <v>878</v>
      </c>
      <c r="G10661" s="100">
        <v>118155174</v>
      </c>
      <c r="H10661" s="100">
        <v>118155174</v>
      </c>
      <c r="I10661" s="422" t="s">
        <v>811</v>
      </c>
      <c r="J10661" s="484" t="s">
        <v>912</v>
      </c>
      <c r="K10661" s="548"/>
      <c r="L10661" s="548"/>
      <c r="M10661" s="548"/>
      <c r="N10661" s="552">
        <v>88136344</v>
      </c>
      <c r="R10661" s="539">
        <v>1.0097999999863847</v>
      </c>
      <c r="S10661" s="539">
        <v>1.0102343523575199</v>
      </c>
      <c r="T10661" s="538">
        <v>15.7</v>
      </c>
      <c r="U10661" s="538">
        <v>133.5</v>
      </c>
      <c r="V10661" s="538">
        <v>66.75</v>
      </c>
    </row>
    <row r="10662" spans="1:22">
      <c r="A10662" s="499">
        <v>45859</v>
      </c>
      <c r="B10662" s="499">
        <v>45860</v>
      </c>
      <c r="C10662" s="500" t="s">
        <v>173</v>
      </c>
      <c r="D10662" s="500" t="s">
        <v>759</v>
      </c>
      <c r="E10662" s="501">
        <v>48044834.039999999</v>
      </c>
      <c r="F10662" s="502" t="s">
        <v>878</v>
      </c>
      <c r="G10662" s="100">
        <v>118155177</v>
      </c>
      <c r="H10662" s="100">
        <v>118155177</v>
      </c>
      <c r="I10662" s="422" t="s">
        <v>816</v>
      </c>
      <c r="J10662" s="484" t="s">
        <v>912</v>
      </c>
      <c r="K10662" s="548"/>
      <c r="L10662" s="548"/>
      <c r="M10662" s="548"/>
      <c r="N10662" s="552">
        <v>46896</v>
      </c>
      <c r="R10662" s="539">
        <v>1024.0569999573524</v>
      </c>
      <c r="S10662" s="539">
        <v>1024.4974846468799</v>
      </c>
      <c r="T10662" s="538">
        <v>15.7</v>
      </c>
      <c r="U10662" s="538">
        <v>72.040000000000006</v>
      </c>
      <c r="V10662" s="538">
        <v>36.020000000000003</v>
      </c>
    </row>
    <row r="10663" spans="1:22">
      <c r="A10663" s="499">
        <v>45859</v>
      </c>
      <c r="B10663" s="499">
        <v>45860</v>
      </c>
      <c r="C10663" s="500" t="s">
        <v>173</v>
      </c>
      <c r="D10663" s="500" t="s">
        <v>759</v>
      </c>
      <c r="E10663" s="501">
        <v>277236553.97000003</v>
      </c>
      <c r="F10663" s="502" t="s">
        <v>878</v>
      </c>
      <c r="G10663" s="100">
        <v>118157757</v>
      </c>
      <c r="H10663" s="100">
        <v>118157757</v>
      </c>
      <c r="I10663" s="422" t="s">
        <v>1013</v>
      </c>
      <c r="J10663" s="484" t="s">
        <v>912</v>
      </c>
      <c r="K10663" s="548"/>
      <c r="L10663" s="548"/>
      <c r="M10663" s="548"/>
      <c r="N10663" s="552">
        <v>534333</v>
      </c>
      <c r="R10663" s="539">
        <v>518.62549999719283</v>
      </c>
      <c r="S10663" s="539">
        <v>518.84602667250601</v>
      </c>
      <c r="T10663" s="538">
        <v>15.520300000000001</v>
      </c>
      <c r="U10663" s="538">
        <v>415.68</v>
      </c>
      <c r="V10663" s="538">
        <v>207.84</v>
      </c>
    </row>
    <row r="10664" spans="1:22">
      <c r="A10664" s="499">
        <v>45859</v>
      </c>
      <c r="B10664" s="499">
        <v>45860</v>
      </c>
      <c r="C10664" s="500" t="s">
        <v>173</v>
      </c>
      <c r="D10664" s="500" t="s">
        <v>759</v>
      </c>
      <c r="E10664" s="501">
        <v>2001707.97</v>
      </c>
      <c r="F10664" s="502" t="s">
        <v>878</v>
      </c>
      <c r="G10664" s="100">
        <v>118157848</v>
      </c>
      <c r="H10664" s="100">
        <v>118157848</v>
      </c>
      <c r="I10664" s="422" t="s">
        <v>1013</v>
      </c>
      <c r="J10664" s="484" t="s">
        <v>912</v>
      </c>
      <c r="K10664" s="548"/>
      <c r="L10664" s="548"/>
      <c r="M10664" s="548"/>
      <c r="N10664" s="552">
        <v>3858</v>
      </c>
      <c r="R10664" s="539">
        <v>518.62550025920166</v>
      </c>
      <c r="S10664" s="539">
        <v>518.84602643856897</v>
      </c>
      <c r="T10664" s="538">
        <v>15.520300000000001</v>
      </c>
      <c r="U10664" s="538">
        <v>39.32</v>
      </c>
      <c r="V10664" s="538">
        <v>1.5</v>
      </c>
    </row>
    <row r="10665" spans="1:22">
      <c r="A10665" s="499">
        <v>45859</v>
      </c>
      <c r="B10665" s="499">
        <v>45859</v>
      </c>
      <c r="C10665" s="500" t="s">
        <v>173</v>
      </c>
      <c r="D10665" s="500" t="s">
        <v>759</v>
      </c>
      <c r="E10665" s="501">
        <v>266750000</v>
      </c>
      <c r="F10665" s="502" t="s">
        <v>381</v>
      </c>
      <c r="G10665" s="100" t="s">
        <v>473</v>
      </c>
      <c r="H10665" s="530"/>
      <c r="I10665" s="422"/>
      <c r="K10665" s="548"/>
      <c r="L10665" s="548"/>
      <c r="M10665" s="548"/>
      <c r="N10665" s="552"/>
    </row>
    <row r="10666" spans="1:22">
      <c r="A10666" s="499">
        <v>45859</v>
      </c>
      <c r="B10666" s="499">
        <v>45859</v>
      </c>
      <c r="C10666" s="500" t="s">
        <v>173</v>
      </c>
      <c r="D10666" s="500" t="s">
        <v>762</v>
      </c>
      <c r="E10666" s="501">
        <v>256613500</v>
      </c>
      <c r="F10666" s="502" t="s">
        <v>381</v>
      </c>
      <c r="G10666" s="100" t="s">
        <v>473</v>
      </c>
      <c r="H10666" s="530"/>
      <c r="I10666" s="422"/>
      <c r="K10666" s="548"/>
      <c r="L10666" s="548"/>
      <c r="M10666" s="548"/>
      <c r="N10666" s="552"/>
    </row>
    <row r="10667" spans="1:22">
      <c r="A10667" s="499">
        <v>45859</v>
      </c>
      <c r="B10667" s="499">
        <v>45859</v>
      </c>
      <c r="C10667" s="500" t="s">
        <v>173</v>
      </c>
      <c r="D10667" s="500" t="s">
        <v>760</v>
      </c>
      <c r="E10667" s="501">
        <v>161117000</v>
      </c>
      <c r="F10667" s="502" t="s">
        <v>381</v>
      </c>
      <c r="G10667" s="100" t="s">
        <v>473</v>
      </c>
      <c r="H10667" s="530"/>
      <c r="I10667" s="422"/>
      <c r="K10667" s="548"/>
      <c r="L10667" s="548"/>
      <c r="M10667" s="548"/>
      <c r="N10667" s="552"/>
    </row>
    <row r="10668" spans="1:22">
      <c r="A10668" s="499">
        <v>45859</v>
      </c>
      <c r="B10668" s="499">
        <v>45859</v>
      </c>
      <c r="C10668" s="500" t="s">
        <v>173</v>
      </c>
      <c r="D10668" s="500" t="s">
        <v>763</v>
      </c>
      <c r="E10668" s="501">
        <v>134975500</v>
      </c>
      <c r="F10668" s="502" t="s">
        <v>381</v>
      </c>
      <c r="G10668" s="100" t="s">
        <v>473</v>
      </c>
      <c r="H10668" s="530"/>
      <c r="I10668" s="422"/>
      <c r="K10668" s="548"/>
      <c r="L10668" s="548"/>
      <c r="M10668" s="548"/>
      <c r="N10668" s="552"/>
    </row>
    <row r="10669" spans="1:22">
      <c r="A10669" s="499">
        <v>45859</v>
      </c>
      <c r="B10669" s="499">
        <v>45859</v>
      </c>
      <c r="C10669" s="500" t="s">
        <v>173</v>
      </c>
      <c r="D10669" s="500" t="s">
        <v>764</v>
      </c>
      <c r="E10669" s="501">
        <v>107287223.45</v>
      </c>
      <c r="F10669" s="502" t="s">
        <v>381</v>
      </c>
      <c r="G10669" s="100" t="s">
        <v>473</v>
      </c>
      <c r="H10669" s="530"/>
      <c r="I10669" s="422"/>
      <c r="K10669" s="548"/>
      <c r="L10669" s="548"/>
      <c r="M10669" s="548"/>
      <c r="N10669" s="552"/>
    </row>
    <row r="10670" spans="1:22">
      <c r="A10670" s="499">
        <v>45860</v>
      </c>
      <c r="B10670" s="499">
        <v>45860</v>
      </c>
      <c r="C10670" s="500" t="s">
        <v>173</v>
      </c>
      <c r="D10670" s="500" t="s">
        <v>762</v>
      </c>
      <c r="E10670" s="501">
        <v>-255107218.83000001</v>
      </c>
      <c r="F10670" s="502" t="s">
        <v>878</v>
      </c>
      <c r="G10670" s="100">
        <v>118180394</v>
      </c>
      <c r="H10670" s="530"/>
      <c r="I10670" s="422" t="s">
        <v>678</v>
      </c>
      <c r="J10670" s="484" t="s">
        <v>906</v>
      </c>
      <c r="K10670" s="548"/>
      <c r="L10670" s="548"/>
      <c r="M10670" s="548"/>
      <c r="N10670" s="552">
        <v>269790</v>
      </c>
      <c r="R10670" s="538">
        <v>945.577</v>
      </c>
      <c r="S10670" s="538">
        <v>945.98010593424499</v>
      </c>
      <c r="T10670" s="538">
        <v>15.5602</v>
      </c>
      <c r="U10670" s="538">
        <v>382.66</v>
      </c>
      <c r="V10670" s="538">
        <v>191.33</v>
      </c>
    </row>
    <row r="10671" spans="1:22">
      <c r="A10671" s="499">
        <v>45860</v>
      </c>
      <c r="B10671" s="499">
        <v>45861</v>
      </c>
      <c r="C10671" s="500" t="s">
        <v>173</v>
      </c>
      <c r="D10671" s="500" t="s">
        <v>762</v>
      </c>
      <c r="E10671" s="501">
        <v>255215972.78</v>
      </c>
      <c r="F10671" s="502" t="s">
        <v>878</v>
      </c>
      <c r="G10671" s="100">
        <v>118180394</v>
      </c>
      <c r="H10671" s="100">
        <v>118180394</v>
      </c>
      <c r="I10671" s="422" t="s">
        <v>678</v>
      </c>
      <c r="J10671" s="484" t="s">
        <v>912</v>
      </c>
      <c r="K10671" s="548"/>
      <c r="L10671" s="548"/>
      <c r="M10671" s="548"/>
      <c r="N10671" s="552">
        <v>269790</v>
      </c>
      <c r="R10671" s="538">
        <v>945.577</v>
      </c>
      <c r="S10671" s="538">
        <v>945.98010593424499</v>
      </c>
      <c r="T10671" s="538">
        <v>15.5602</v>
      </c>
      <c r="U10671" s="538">
        <v>382.66</v>
      </c>
      <c r="V10671" s="538">
        <v>191.33</v>
      </c>
    </row>
    <row r="10672" spans="1:22">
      <c r="A10672" s="499">
        <v>45860</v>
      </c>
      <c r="B10672" s="499">
        <v>45860</v>
      </c>
      <c r="C10672" s="500" t="s">
        <v>173</v>
      </c>
      <c r="D10672" s="500" t="s">
        <v>761</v>
      </c>
      <c r="E10672" s="501">
        <v>-1695780967.8599999</v>
      </c>
      <c r="F10672" s="502" t="s">
        <v>878</v>
      </c>
      <c r="G10672" s="100">
        <v>118175653</v>
      </c>
      <c r="H10672" s="530"/>
      <c r="I10672" s="422" t="s">
        <v>704</v>
      </c>
      <c r="J10672" s="484" t="s">
        <v>906</v>
      </c>
      <c r="K10672" s="548"/>
      <c r="L10672" s="548"/>
      <c r="M10672" s="548"/>
      <c r="N10672" s="552">
        <v>2111970</v>
      </c>
      <c r="R10672" s="539">
        <v>802.93799999999999</v>
      </c>
      <c r="S10672" s="539">
        <v>803.28337113216605</v>
      </c>
      <c r="T10672" s="538">
        <v>15.6999</v>
      </c>
      <c r="U10672" s="538">
        <v>2543.67</v>
      </c>
      <c r="V10672" s="538">
        <v>1271.8399999999999</v>
      </c>
    </row>
    <row r="10673" spans="1:25">
      <c r="A10673" s="499">
        <v>45860</v>
      </c>
      <c r="B10673" s="499">
        <v>45860</v>
      </c>
      <c r="C10673" s="500" t="s">
        <v>173</v>
      </c>
      <c r="D10673" s="500" t="s">
        <v>761</v>
      </c>
      <c r="E10673" s="501">
        <v>-10006047.449999999</v>
      </c>
      <c r="F10673" s="502" t="s">
        <v>878</v>
      </c>
      <c r="G10673" s="100">
        <v>118175987</v>
      </c>
      <c r="H10673" s="530"/>
      <c r="I10673" s="422" t="s">
        <v>653</v>
      </c>
      <c r="J10673" s="484" t="s">
        <v>906</v>
      </c>
      <c r="K10673" s="548"/>
      <c r="L10673" s="548"/>
      <c r="M10673" s="548"/>
      <c r="N10673" s="552">
        <v>10290</v>
      </c>
      <c r="R10673" s="539">
        <v>972.40499999999997</v>
      </c>
      <c r="S10673" s="539">
        <v>972.82327016520901</v>
      </c>
      <c r="T10673" s="538">
        <v>15.700100000000001</v>
      </c>
      <c r="U10673" s="538">
        <v>39.32</v>
      </c>
      <c r="V10673" s="538">
        <v>7.5</v>
      </c>
    </row>
    <row r="10674" spans="1:25">
      <c r="A10674" s="499">
        <v>45860</v>
      </c>
      <c r="B10674" s="499">
        <v>45861</v>
      </c>
      <c r="C10674" s="500" t="s">
        <v>173</v>
      </c>
      <c r="D10674" s="500" t="s">
        <v>761</v>
      </c>
      <c r="E10674" s="501">
        <v>1696510381.3299999</v>
      </c>
      <c r="F10674" s="502" t="s">
        <v>878</v>
      </c>
      <c r="G10674" s="100">
        <v>118175653</v>
      </c>
      <c r="H10674" s="100">
        <v>118175653</v>
      </c>
      <c r="I10674" s="422" t="s">
        <v>704</v>
      </c>
      <c r="J10674" s="484" t="s">
        <v>912</v>
      </c>
      <c r="K10674" s="548"/>
      <c r="L10674" s="548"/>
      <c r="M10674" s="548"/>
      <c r="N10674" s="552">
        <v>2111970</v>
      </c>
      <c r="R10674" s="539">
        <v>802.93799999999999</v>
      </c>
      <c r="S10674" s="539">
        <v>803.28337113216605</v>
      </c>
      <c r="T10674" s="538">
        <v>15.6999</v>
      </c>
      <c r="U10674" s="538">
        <v>2543.67</v>
      </c>
      <c r="V10674" s="538">
        <v>1271.8399999999999</v>
      </c>
    </row>
    <row r="10675" spans="1:25">
      <c r="A10675" s="499">
        <v>45860</v>
      </c>
      <c r="B10675" s="499">
        <v>45861</v>
      </c>
      <c r="C10675" s="500" t="s">
        <v>173</v>
      </c>
      <c r="D10675" s="500" t="s">
        <v>761</v>
      </c>
      <c r="E10675" s="501">
        <v>10010351.449999999</v>
      </c>
      <c r="F10675" s="502" t="s">
        <v>878</v>
      </c>
      <c r="G10675" s="100">
        <v>118175987</v>
      </c>
      <c r="H10675" s="100">
        <v>118175987</v>
      </c>
      <c r="I10675" s="422" t="s">
        <v>653</v>
      </c>
      <c r="J10675" s="484" t="s">
        <v>912</v>
      </c>
      <c r="K10675" s="548"/>
      <c r="L10675" s="548"/>
      <c r="M10675" s="548"/>
      <c r="N10675" s="552">
        <v>10290</v>
      </c>
      <c r="R10675" s="539">
        <v>972.40499999999997</v>
      </c>
      <c r="S10675" s="539">
        <v>972.82327016520901</v>
      </c>
      <c r="T10675" s="538">
        <v>15.700100000000001</v>
      </c>
      <c r="U10675" s="538">
        <v>39.32</v>
      </c>
      <c r="V10675" s="538">
        <v>7.5</v>
      </c>
    </row>
    <row r="10676" spans="1:25">
      <c r="A10676" s="499">
        <v>45860</v>
      </c>
      <c r="B10676" s="499">
        <v>45862</v>
      </c>
      <c r="C10676" s="500" t="s">
        <v>173</v>
      </c>
      <c r="D10676" s="500" t="s">
        <v>761</v>
      </c>
      <c r="E10676" s="501">
        <v>-357881944.44</v>
      </c>
      <c r="F10676" s="502" t="s">
        <v>906</v>
      </c>
      <c r="G10676" s="100" t="s">
        <v>92</v>
      </c>
      <c r="H10676" s="530"/>
      <c r="I10676" s="422" t="s">
        <v>692</v>
      </c>
      <c r="K10676" s="548">
        <v>118190710</v>
      </c>
      <c r="L10676" s="549">
        <v>69.841499999999996</v>
      </c>
      <c r="M10676" s="549">
        <f>E10676*(-1)/(N10676*O10676)*100</f>
        <v>71.576388887999997</v>
      </c>
      <c r="N10676" s="549">
        <v>500000</v>
      </c>
      <c r="O10676" s="539">
        <f>VLOOKUP(G10676,Справочник!A:J,10,0)</f>
        <v>1000</v>
      </c>
      <c r="P10676" s="557">
        <v>70.984200000000001</v>
      </c>
      <c r="T10676" s="538">
        <v>16.989999999999998</v>
      </c>
      <c r="U10676" s="538">
        <v>0</v>
      </c>
      <c r="V10676" s="538">
        <v>35788.19</v>
      </c>
      <c r="W10676" s="550">
        <f>VLOOKUP(G10676,Справочник!A:C,3,0)</f>
        <v>8.4399999999999989E-2</v>
      </c>
      <c r="X10676" s="539" t="str">
        <f>VLOOKUP(G10676,Справочник!A:G,7,0)</f>
        <v>Министерство финансов Республики Казахстан</v>
      </c>
      <c r="Y10676" s="551" t="str">
        <f>VLOOKUP(G10676,Справочник!A:B,2,0)</f>
        <v>10.05.2031</v>
      </c>
    </row>
    <row r="10677" spans="1:25">
      <c r="A10677" s="499">
        <v>45860</v>
      </c>
      <c r="B10677" s="499">
        <v>45860</v>
      </c>
      <c r="C10677" s="500" t="s">
        <v>173</v>
      </c>
      <c r="D10677" s="500" t="s">
        <v>760</v>
      </c>
      <c r="E10677" s="501">
        <v>-1300100220.25</v>
      </c>
      <c r="F10677" s="502" t="s">
        <v>878</v>
      </c>
      <c r="G10677" s="100">
        <v>118175395</v>
      </c>
      <c r="H10677" s="530"/>
      <c r="I10677" s="422" t="s">
        <v>2556</v>
      </c>
      <c r="J10677" s="484" t="s">
        <v>906</v>
      </c>
      <c r="K10677" s="548"/>
      <c r="L10677" s="548"/>
      <c r="M10677" s="548"/>
      <c r="N10677" s="552">
        <v>14852500</v>
      </c>
      <c r="R10677" s="539">
        <v>87.534099999999995</v>
      </c>
      <c r="S10677" s="539">
        <v>87.571751414239998</v>
      </c>
      <c r="T10677" s="538">
        <v>15.6999</v>
      </c>
      <c r="U10677" s="538">
        <v>1950.15</v>
      </c>
      <c r="V10677" s="538">
        <v>975.08</v>
      </c>
    </row>
    <row r="10678" spans="1:25">
      <c r="A10678" s="499">
        <v>45860</v>
      </c>
      <c r="B10678" s="499">
        <v>45860</v>
      </c>
      <c r="C10678" s="500" t="s">
        <v>173</v>
      </c>
      <c r="D10678" s="500" t="s">
        <v>760</v>
      </c>
      <c r="E10678" s="501">
        <v>-186085699.13</v>
      </c>
      <c r="F10678" s="502" t="s">
        <v>878</v>
      </c>
      <c r="G10678" s="100">
        <v>118175656</v>
      </c>
      <c r="H10678" s="530"/>
      <c r="I10678" s="422" t="s">
        <v>704</v>
      </c>
      <c r="J10678" s="484" t="s">
        <v>906</v>
      </c>
      <c r="K10678" s="548"/>
      <c r="L10678" s="548"/>
      <c r="M10678" s="548"/>
      <c r="N10678" s="552">
        <v>231756</v>
      </c>
      <c r="R10678" s="539">
        <v>802.93799999999999</v>
      </c>
      <c r="S10678" s="539">
        <v>803.28337113170801</v>
      </c>
      <c r="T10678" s="538">
        <v>15.6999</v>
      </c>
      <c r="U10678" s="538">
        <v>279.13</v>
      </c>
      <c r="V10678" s="538">
        <v>139.56</v>
      </c>
    </row>
    <row r="10679" spans="1:25">
      <c r="A10679" s="499">
        <v>45860</v>
      </c>
      <c r="B10679" s="499">
        <v>45861</v>
      </c>
      <c r="C10679" s="500" t="s">
        <v>173</v>
      </c>
      <c r="D10679" s="500" t="s">
        <v>760</v>
      </c>
      <c r="E10679" s="501">
        <v>1300659437.8800001</v>
      </c>
      <c r="F10679" s="502" t="s">
        <v>878</v>
      </c>
      <c r="G10679" s="100">
        <v>118175395</v>
      </c>
      <c r="H10679" s="100">
        <v>118175395</v>
      </c>
      <c r="I10679" s="422" t="s">
        <v>2556</v>
      </c>
      <c r="J10679" s="484" t="s">
        <v>912</v>
      </c>
      <c r="K10679" s="548"/>
      <c r="L10679" s="548"/>
      <c r="M10679" s="548"/>
      <c r="N10679" s="552">
        <v>14852500</v>
      </c>
      <c r="R10679" s="539">
        <v>87.534099999999995</v>
      </c>
      <c r="S10679" s="539">
        <v>87.571751414239998</v>
      </c>
      <c r="T10679" s="538">
        <v>15.6999</v>
      </c>
      <c r="U10679" s="538">
        <v>1950.15</v>
      </c>
      <c r="V10679" s="538">
        <v>975.08</v>
      </c>
    </row>
    <row r="10680" spans="1:25">
      <c r="A10680" s="499">
        <v>45860</v>
      </c>
      <c r="B10680" s="499">
        <v>45861</v>
      </c>
      <c r="C10680" s="500" t="s">
        <v>173</v>
      </c>
      <c r="D10680" s="500" t="s">
        <v>760</v>
      </c>
      <c r="E10680" s="501">
        <v>186165740.96000001</v>
      </c>
      <c r="F10680" s="502" t="s">
        <v>878</v>
      </c>
      <c r="G10680" s="100">
        <v>118175656</v>
      </c>
      <c r="H10680" s="100">
        <v>118175656</v>
      </c>
      <c r="I10680" s="422" t="s">
        <v>704</v>
      </c>
      <c r="J10680" s="484" t="s">
        <v>912</v>
      </c>
      <c r="K10680" s="548"/>
      <c r="L10680" s="548"/>
      <c r="M10680" s="548"/>
      <c r="N10680" s="552">
        <v>231756</v>
      </c>
      <c r="R10680" s="539">
        <v>802.93799999999999</v>
      </c>
      <c r="S10680" s="539">
        <v>803.28337113170801</v>
      </c>
      <c r="T10680" s="538">
        <v>15.6999</v>
      </c>
      <c r="U10680" s="538">
        <v>279.13</v>
      </c>
      <c r="V10680" s="538">
        <v>139.56</v>
      </c>
    </row>
    <row r="10681" spans="1:25">
      <c r="A10681" s="499">
        <v>45860</v>
      </c>
      <c r="B10681" s="499">
        <v>45860</v>
      </c>
      <c r="C10681" s="500" t="s">
        <v>173</v>
      </c>
      <c r="D10681" s="500" t="s">
        <v>764</v>
      </c>
      <c r="E10681" s="501">
        <v>-1211552978.9300001</v>
      </c>
      <c r="F10681" s="502" t="s">
        <v>878</v>
      </c>
      <c r="G10681" s="100">
        <v>118175976</v>
      </c>
      <c r="H10681" s="530"/>
      <c r="I10681" s="422" t="s">
        <v>600</v>
      </c>
      <c r="J10681" s="484" t="s">
        <v>906</v>
      </c>
      <c r="K10681" s="548"/>
      <c r="L10681" s="548"/>
      <c r="M10681" s="548"/>
      <c r="N10681" s="552">
        <v>1363586</v>
      </c>
      <c r="R10681" s="539">
        <v>888.505</v>
      </c>
      <c r="S10681" s="539">
        <v>891.18877195131097</v>
      </c>
      <c r="T10681" s="538">
        <v>15.75</v>
      </c>
      <c r="U10681" s="538">
        <v>12721.31</v>
      </c>
      <c r="V10681" s="538">
        <v>6360.65</v>
      </c>
    </row>
    <row r="10682" spans="1:25">
      <c r="A10682" s="499">
        <v>45860</v>
      </c>
      <c r="B10682" s="499">
        <v>45860</v>
      </c>
      <c r="C10682" s="500" t="s">
        <v>173</v>
      </c>
      <c r="D10682" s="500" t="s">
        <v>764</v>
      </c>
      <c r="E10682" s="501">
        <v>-3075858986.1300001</v>
      </c>
      <c r="F10682" s="502" t="s">
        <v>878</v>
      </c>
      <c r="G10682" s="100">
        <v>118175984</v>
      </c>
      <c r="H10682" s="530"/>
      <c r="I10682" s="422" t="s">
        <v>653</v>
      </c>
      <c r="J10682" s="484" t="s">
        <v>906</v>
      </c>
      <c r="K10682" s="548"/>
      <c r="L10682" s="548"/>
      <c r="M10682" s="548"/>
      <c r="N10682" s="552">
        <v>3163146</v>
      </c>
      <c r="R10682" s="539">
        <v>972.40500000000009</v>
      </c>
      <c r="S10682" s="539">
        <v>975.34219592456395</v>
      </c>
      <c r="T10682" s="538">
        <v>15.75</v>
      </c>
      <c r="U10682" s="538">
        <v>32296.52</v>
      </c>
      <c r="V10682" s="538">
        <v>16148.26</v>
      </c>
    </row>
    <row r="10683" spans="1:25">
      <c r="A10683" s="499">
        <v>45860</v>
      </c>
      <c r="B10683" s="499">
        <v>45860</v>
      </c>
      <c r="C10683" s="500" t="s">
        <v>173</v>
      </c>
      <c r="D10683" s="500" t="s">
        <v>764</v>
      </c>
      <c r="E10683" s="501">
        <v>-25010006.879999999</v>
      </c>
      <c r="F10683" s="502" t="s">
        <v>878</v>
      </c>
      <c r="G10683" s="100">
        <v>118176355</v>
      </c>
      <c r="H10683" s="530"/>
      <c r="I10683" s="422" t="s">
        <v>681</v>
      </c>
      <c r="J10683" s="484" t="s">
        <v>906</v>
      </c>
      <c r="K10683" s="548"/>
      <c r="L10683" s="548"/>
      <c r="M10683" s="548"/>
      <c r="N10683" s="552">
        <v>28525</v>
      </c>
      <c r="R10683" s="539">
        <v>876.77500017528484</v>
      </c>
      <c r="S10683" s="539">
        <v>879.42334092901001</v>
      </c>
      <c r="T10683" s="538">
        <v>15.75</v>
      </c>
      <c r="U10683" s="538">
        <v>262.61</v>
      </c>
      <c r="V10683" s="538">
        <v>131.30000000000001</v>
      </c>
    </row>
    <row r="10684" spans="1:25">
      <c r="A10684" s="499">
        <v>45860</v>
      </c>
      <c r="B10684" s="499">
        <v>45867</v>
      </c>
      <c r="C10684" s="500" t="s">
        <v>173</v>
      </c>
      <c r="D10684" s="500" t="s">
        <v>764</v>
      </c>
      <c r="E10684" s="501">
        <v>1215212532.79</v>
      </c>
      <c r="F10684" s="502" t="s">
        <v>878</v>
      </c>
      <c r="G10684" s="100">
        <v>118175976</v>
      </c>
      <c r="H10684" s="100">
        <v>118175976</v>
      </c>
      <c r="I10684" s="422" t="s">
        <v>600</v>
      </c>
      <c r="J10684" s="484" t="s">
        <v>912</v>
      </c>
      <c r="K10684" s="548"/>
      <c r="L10684" s="548"/>
      <c r="M10684" s="548"/>
      <c r="N10684" s="552">
        <v>1363586</v>
      </c>
      <c r="R10684" s="539">
        <v>888.505</v>
      </c>
      <c r="S10684" s="539">
        <v>891.18877195131097</v>
      </c>
      <c r="T10684" s="538">
        <v>15.75</v>
      </c>
      <c r="U10684" s="538">
        <v>12721.31</v>
      </c>
      <c r="V10684" s="538">
        <v>6360.65</v>
      </c>
    </row>
    <row r="10685" spans="1:25">
      <c r="A10685" s="499">
        <v>45860</v>
      </c>
      <c r="B10685" s="499">
        <v>45867</v>
      </c>
      <c r="C10685" s="500" t="s">
        <v>173</v>
      </c>
      <c r="D10685" s="500" t="s">
        <v>764</v>
      </c>
      <c r="E10685" s="501">
        <v>3085149765.6700001</v>
      </c>
      <c r="F10685" s="502" t="s">
        <v>878</v>
      </c>
      <c r="G10685" s="100">
        <v>118175984</v>
      </c>
      <c r="H10685" s="100">
        <v>118175984</v>
      </c>
      <c r="I10685" s="422" t="s">
        <v>653</v>
      </c>
      <c r="J10685" s="484" t="s">
        <v>912</v>
      </c>
      <c r="K10685" s="548"/>
      <c r="L10685" s="548"/>
      <c r="M10685" s="548"/>
      <c r="N10685" s="552">
        <v>3163146</v>
      </c>
      <c r="R10685" s="539">
        <v>972.40500000000009</v>
      </c>
      <c r="S10685" s="539">
        <v>975.34219592456395</v>
      </c>
      <c r="T10685" s="538">
        <v>15.75</v>
      </c>
      <c r="U10685" s="538">
        <v>32296.52</v>
      </c>
      <c r="V10685" s="538">
        <v>16148.26</v>
      </c>
    </row>
    <row r="10686" spans="1:25">
      <c r="A10686" s="499">
        <v>45860</v>
      </c>
      <c r="B10686" s="499">
        <v>45867</v>
      </c>
      <c r="C10686" s="500" t="s">
        <v>173</v>
      </c>
      <c r="D10686" s="500" t="s">
        <v>764</v>
      </c>
      <c r="E10686" s="501">
        <v>25085550.800000001</v>
      </c>
      <c r="F10686" s="502" t="s">
        <v>878</v>
      </c>
      <c r="G10686" s="100">
        <v>118176355</v>
      </c>
      <c r="H10686" s="100">
        <v>118176355</v>
      </c>
      <c r="I10686" s="422" t="s">
        <v>681</v>
      </c>
      <c r="J10686" s="484" t="s">
        <v>912</v>
      </c>
      <c r="K10686" s="548"/>
      <c r="L10686" s="548"/>
      <c r="M10686" s="548"/>
      <c r="N10686" s="552">
        <v>28525</v>
      </c>
      <c r="R10686" s="539">
        <v>876.77500017528484</v>
      </c>
      <c r="S10686" s="539">
        <v>879.42334092901001</v>
      </c>
      <c r="T10686" s="538">
        <v>15.75</v>
      </c>
      <c r="U10686" s="538">
        <v>262.61</v>
      </c>
      <c r="V10686" s="538">
        <v>131.30000000000001</v>
      </c>
    </row>
    <row r="10687" spans="1:25">
      <c r="A10687" s="499">
        <v>45860</v>
      </c>
      <c r="B10687" s="499">
        <v>45860</v>
      </c>
      <c r="C10687" s="500" t="s">
        <v>173</v>
      </c>
      <c r="D10687" s="500" t="s">
        <v>759</v>
      </c>
      <c r="E10687" s="501">
        <v>-5253509646.0600004</v>
      </c>
      <c r="F10687" s="502" t="s">
        <v>878</v>
      </c>
      <c r="G10687" s="100">
        <v>118189365</v>
      </c>
      <c r="H10687" s="530"/>
      <c r="I10687" s="422" t="s">
        <v>719</v>
      </c>
      <c r="J10687" s="484" t="s">
        <v>906</v>
      </c>
      <c r="K10687" s="548"/>
      <c r="L10687" s="548"/>
      <c r="M10687" s="548"/>
      <c r="N10687" s="552">
        <v>7711404</v>
      </c>
      <c r="R10687" s="539">
        <v>681.2650000000001</v>
      </c>
      <c r="S10687" s="539">
        <v>681.55430431475304</v>
      </c>
      <c r="T10687" s="538">
        <v>15.5</v>
      </c>
      <c r="U10687" s="538">
        <v>7880.26</v>
      </c>
      <c r="V10687" s="538">
        <v>3940.13</v>
      </c>
    </row>
    <row r="10688" spans="1:25">
      <c r="A10688" s="499">
        <v>45860</v>
      </c>
      <c r="B10688" s="499">
        <v>45860</v>
      </c>
      <c r="C10688" s="500" t="s">
        <v>173</v>
      </c>
      <c r="D10688" s="500" t="s">
        <v>759</v>
      </c>
      <c r="E10688" s="501">
        <v>-33003201.66</v>
      </c>
      <c r="F10688" s="502" t="s">
        <v>878</v>
      </c>
      <c r="G10688" s="100">
        <v>118189731</v>
      </c>
      <c r="H10688" s="530"/>
      <c r="I10688" s="422" t="s">
        <v>719</v>
      </c>
      <c r="J10688" s="484" t="s">
        <v>906</v>
      </c>
      <c r="K10688" s="548"/>
      <c r="L10688" s="548"/>
      <c r="M10688" s="548"/>
      <c r="N10688" s="552">
        <v>48444</v>
      </c>
      <c r="R10688" s="539">
        <v>681.26499999999999</v>
      </c>
      <c r="S10688" s="539">
        <v>681.55430435141602</v>
      </c>
      <c r="T10688" s="538">
        <v>15.5</v>
      </c>
      <c r="U10688" s="538">
        <v>49.5</v>
      </c>
      <c r="V10688" s="538">
        <v>24.75</v>
      </c>
    </row>
    <row r="10689" spans="1:25">
      <c r="A10689" s="499">
        <v>45860</v>
      </c>
      <c r="B10689" s="499">
        <v>45861</v>
      </c>
      <c r="C10689" s="500" t="s">
        <v>173</v>
      </c>
      <c r="D10689" s="500" t="s">
        <v>759</v>
      </c>
      <c r="E10689" s="501">
        <v>5255740588.5100002</v>
      </c>
      <c r="F10689" s="502" t="s">
        <v>878</v>
      </c>
      <c r="G10689" s="100">
        <v>118189365</v>
      </c>
      <c r="H10689" s="100">
        <v>118189365</v>
      </c>
      <c r="I10689" s="422" t="s">
        <v>719</v>
      </c>
      <c r="J10689" s="484" t="s">
        <v>912</v>
      </c>
      <c r="K10689" s="548"/>
      <c r="L10689" s="548"/>
      <c r="M10689" s="548"/>
      <c r="N10689" s="552">
        <v>7711404</v>
      </c>
      <c r="R10689" s="539">
        <v>681.2650000000001</v>
      </c>
      <c r="S10689" s="539">
        <v>681.55430431475304</v>
      </c>
      <c r="T10689" s="538">
        <v>15.5</v>
      </c>
      <c r="U10689" s="538">
        <v>7880.26</v>
      </c>
      <c r="V10689" s="538">
        <v>3940.13</v>
      </c>
    </row>
    <row r="10690" spans="1:25">
      <c r="A10690" s="499">
        <v>45860</v>
      </c>
      <c r="B10690" s="499">
        <v>45861</v>
      </c>
      <c r="C10690" s="500" t="s">
        <v>173</v>
      </c>
      <c r="D10690" s="500" t="s">
        <v>759</v>
      </c>
      <c r="E10690" s="501">
        <v>33017216.719999999</v>
      </c>
      <c r="F10690" s="502" t="s">
        <v>878</v>
      </c>
      <c r="G10690" s="100">
        <v>118189731</v>
      </c>
      <c r="H10690" s="100">
        <v>118189731</v>
      </c>
      <c r="I10690" s="422" t="s">
        <v>719</v>
      </c>
      <c r="J10690" s="484" t="s">
        <v>912</v>
      </c>
      <c r="K10690" s="548"/>
      <c r="L10690" s="548"/>
      <c r="M10690" s="548"/>
      <c r="N10690" s="552">
        <v>48444</v>
      </c>
      <c r="R10690" s="539">
        <v>681.26499999999999</v>
      </c>
      <c r="S10690" s="539">
        <v>681.55430435141602</v>
      </c>
      <c r="T10690" s="538">
        <v>15.5</v>
      </c>
      <c r="U10690" s="538">
        <v>49.5</v>
      </c>
      <c r="V10690" s="538">
        <v>24.75</v>
      </c>
    </row>
    <row r="10691" spans="1:25">
      <c r="A10691" s="499">
        <v>45860</v>
      </c>
      <c r="B10691" s="499">
        <v>45860</v>
      </c>
      <c r="C10691" s="500" t="s">
        <v>173</v>
      </c>
      <c r="D10691" s="500" t="s">
        <v>763</v>
      </c>
      <c r="E10691" s="501">
        <v>-2882002396.96</v>
      </c>
      <c r="F10691" s="502" t="s">
        <v>878</v>
      </c>
      <c r="G10691" s="100">
        <v>118179570</v>
      </c>
      <c r="H10691" s="530"/>
      <c r="I10691" s="422" t="s">
        <v>1282</v>
      </c>
      <c r="J10691" s="484" t="s">
        <v>906</v>
      </c>
      <c r="K10691" s="548"/>
      <c r="L10691" s="548"/>
      <c r="M10691" s="548"/>
      <c r="N10691" s="552">
        <v>3458541218</v>
      </c>
      <c r="R10691" s="539">
        <v>0.83330000000000004</v>
      </c>
      <c r="S10691" s="539">
        <v>0.83365524149725501</v>
      </c>
      <c r="T10691" s="538">
        <v>15.5602</v>
      </c>
      <c r="U10691" s="538">
        <v>4323</v>
      </c>
      <c r="V10691" s="538">
        <v>2161.5</v>
      </c>
    </row>
    <row r="10692" spans="1:25">
      <c r="A10692" s="499">
        <v>45860</v>
      </c>
      <c r="B10692" s="499">
        <v>45860</v>
      </c>
      <c r="C10692" s="500" t="s">
        <v>173</v>
      </c>
      <c r="D10692" s="500" t="s">
        <v>763</v>
      </c>
      <c r="E10692" s="501">
        <v>-2277911426.1799998</v>
      </c>
      <c r="F10692" s="502" t="s">
        <v>878</v>
      </c>
      <c r="G10692" s="100">
        <v>118179573</v>
      </c>
      <c r="H10692" s="530"/>
      <c r="I10692" s="422" t="s">
        <v>681</v>
      </c>
      <c r="J10692" s="484" t="s">
        <v>906</v>
      </c>
      <c r="K10692" s="548"/>
      <c r="L10692" s="548"/>
      <c r="M10692" s="548"/>
      <c r="N10692" s="552">
        <v>2598057</v>
      </c>
      <c r="R10692" s="539">
        <v>876.77499999999998</v>
      </c>
      <c r="S10692" s="539">
        <v>877.14877278673998</v>
      </c>
      <c r="T10692" s="538">
        <v>15.5601</v>
      </c>
      <c r="U10692" s="538">
        <v>3416.87</v>
      </c>
      <c r="V10692" s="538">
        <v>1708.43</v>
      </c>
    </row>
    <row r="10693" spans="1:25">
      <c r="A10693" s="499">
        <v>45860</v>
      </c>
      <c r="B10693" s="499">
        <v>45860</v>
      </c>
      <c r="C10693" s="500" t="s">
        <v>173</v>
      </c>
      <c r="D10693" s="500" t="s">
        <v>763</v>
      </c>
      <c r="E10693" s="501">
        <v>-32012808.800000001</v>
      </c>
      <c r="F10693" s="502" t="s">
        <v>878</v>
      </c>
      <c r="G10693" s="100">
        <v>118179612</v>
      </c>
      <c r="H10693" s="530"/>
      <c r="I10693" s="422" t="s">
        <v>681</v>
      </c>
      <c r="J10693" s="484" t="s">
        <v>906</v>
      </c>
      <c r="K10693" s="548"/>
      <c r="L10693" s="548"/>
      <c r="M10693" s="548"/>
      <c r="N10693" s="552">
        <v>36512</v>
      </c>
      <c r="R10693" s="539">
        <v>876.77499999999998</v>
      </c>
      <c r="S10693" s="539">
        <v>877.14877273225204</v>
      </c>
      <c r="T10693" s="538">
        <v>15.5601</v>
      </c>
      <c r="U10693" s="538">
        <v>48.02</v>
      </c>
      <c r="V10693" s="538">
        <v>39.32</v>
      </c>
    </row>
    <row r="10694" spans="1:25">
      <c r="A10694" s="499">
        <v>45860</v>
      </c>
      <c r="B10694" s="499">
        <v>45861</v>
      </c>
      <c r="C10694" s="500" t="s">
        <v>173</v>
      </c>
      <c r="D10694" s="500" t="s">
        <v>763</v>
      </c>
      <c r="E10694" s="501">
        <v>2883231014.3200002</v>
      </c>
      <c r="F10694" s="502" t="s">
        <v>878</v>
      </c>
      <c r="G10694" s="100">
        <v>118179570</v>
      </c>
      <c r="H10694" s="484">
        <v>118179570</v>
      </c>
      <c r="I10694" s="422" t="s">
        <v>1282</v>
      </c>
      <c r="J10694" s="484" t="s">
        <v>912</v>
      </c>
      <c r="K10694" s="548"/>
      <c r="L10694" s="548"/>
      <c r="M10694" s="548"/>
      <c r="N10694" s="552">
        <v>3458541218</v>
      </c>
      <c r="R10694" s="539">
        <v>0.83330000000000004</v>
      </c>
      <c r="S10694" s="539">
        <v>0.83365524149725501</v>
      </c>
      <c r="T10694" s="538">
        <v>15.5602</v>
      </c>
      <c r="U10694" s="538">
        <v>4323</v>
      </c>
      <c r="V10694" s="538">
        <v>2161.5</v>
      </c>
    </row>
    <row r="10695" spans="1:25">
      <c r="A10695" s="499">
        <v>45860</v>
      </c>
      <c r="B10695" s="499">
        <v>45861</v>
      </c>
      <c r="C10695" s="500" t="s">
        <v>173</v>
      </c>
      <c r="D10695" s="500" t="s">
        <v>763</v>
      </c>
      <c r="E10695" s="501">
        <v>2278882509.1799998</v>
      </c>
      <c r="F10695" s="502" t="s">
        <v>878</v>
      </c>
      <c r="G10695" s="100">
        <v>118179573</v>
      </c>
      <c r="H10695" s="484">
        <v>118179573</v>
      </c>
      <c r="I10695" s="422" t="s">
        <v>681</v>
      </c>
      <c r="J10695" s="484" t="s">
        <v>912</v>
      </c>
      <c r="K10695" s="548"/>
      <c r="L10695" s="548"/>
      <c r="M10695" s="548"/>
      <c r="N10695" s="552">
        <v>2598057</v>
      </c>
      <c r="R10695" s="539">
        <v>876.77499999999998</v>
      </c>
      <c r="S10695" s="539">
        <v>877.14877278673998</v>
      </c>
      <c r="T10695" s="538">
        <v>15.5601</v>
      </c>
      <c r="U10695" s="538">
        <v>3416.87</v>
      </c>
      <c r="V10695" s="538">
        <v>1708.43</v>
      </c>
    </row>
    <row r="10696" spans="1:25">
      <c r="A10696" s="499">
        <v>45860</v>
      </c>
      <c r="B10696" s="499">
        <v>45861</v>
      </c>
      <c r="C10696" s="500" t="s">
        <v>173</v>
      </c>
      <c r="D10696" s="500" t="s">
        <v>763</v>
      </c>
      <c r="E10696" s="501">
        <v>32026455.989999998</v>
      </c>
      <c r="F10696" s="502" t="s">
        <v>878</v>
      </c>
      <c r="G10696" s="100">
        <v>118179612</v>
      </c>
      <c r="H10696" s="484">
        <v>118179612</v>
      </c>
      <c r="I10696" s="422" t="s">
        <v>681</v>
      </c>
      <c r="J10696" s="484" t="s">
        <v>912</v>
      </c>
      <c r="K10696" s="548"/>
      <c r="L10696" s="548"/>
      <c r="M10696" s="548"/>
      <c r="N10696" s="552">
        <v>36512</v>
      </c>
      <c r="R10696" s="539">
        <v>876.77499999999998</v>
      </c>
      <c r="S10696" s="539">
        <v>877.14877273225204</v>
      </c>
      <c r="T10696" s="538">
        <v>15.5601</v>
      </c>
      <c r="U10696" s="538">
        <v>48.02</v>
      </c>
      <c r="V10696" s="538">
        <v>39.32</v>
      </c>
    </row>
    <row r="10697" spans="1:25">
      <c r="A10697" s="499">
        <v>45860</v>
      </c>
      <c r="B10697" s="499">
        <v>45862</v>
      </c>
      <c r="C10697" s="500" t="s">
        <v>173</v>
      </c>
      <c r="D10697" s="500" t="s">
        <v>763</v>
      </c>
      <c r="E10697" s="501">
        <v>-1999901706.72</v>
      </c>
      <c r="F10697" s="502" t="s">
        <v>906</v>
      </c>
      <c r="G10697" s="100" t="s">
        <v>53</v>
      </c>
      <c r="H10697" s="530"/>
      <c r="I10697" s="422" t="s">
        <v>712</v>
      </c>
      <c r="K10697" s="548">
        <v>118190767</v>
      </c>
      <c r="L10697" s="549">
        <v>79.576800000000006</v>
      </c>
      <c r="M10697" s="549">
        <f>E10697*(-1)/(N10697*O10697)*100</f>
        <v>83.625411111018195</v>
      </c>
      <c r="N10697" s="549">
        <v>2391500</v>
      </c>
      <c r="O10697" s="539">
        <f>VLOOKUP(G10697,Справочник!A:J,10,0)</f>
        <v>1000</v>
      </c>
      <c r="P10697" s="557">
        <v>79.4923</v>
      </c>
      <c r="T10697" s="538">
        <v>16.98</v>
      </c>
      <c r="U10697" s="538">
        <v>0</v>
      </c>
      <c r="V10697" s="538">
        <v>199990.17</v>
      </c>
      <c r="W10697" s="550">
        <f>VLOOKUP(G10697,Справочник!A:C,3,0)</f>
        <v>5.2999999999999999E-2</v>
      </c>
      <c r="X10697" s="539" t="str">
        <f>VLOOKUP(G10697,Справочник!A:G,7,0)</f>
        <v>Министерство финансов Республики Казахстан</v>
      </c>
      <c r="Y10697" s="551" t="str">
        <f>VLOOKUP(G10697,Справочник!A:B,2,0)</f>
        <v>19.10.2027</v>
      </c>
    </row>
    <row r="10698" spans="1:25">
      <c r="A10698" s="499">
        <v>45861</v>
      </c>
      <c r="B10698" s="499">
        <v>45861</v>
      </c>
      <c r="C10698" s="500" t="s">
        <v>173</v>
      </c>
      <c r="D10698" s="500" t="s">
        <v>762</v>
      </c>
      <c r="E10698" s="501">
        <v>-1670733036.48</v>
      </c>
      <c r="F10698" s="502" t="s">
        <v>878</v>
      </c>
      <c r="G10698" s="100">
        <v>118207668</v>
      </c>
      <c r="H10698" s="530"/>
      <c r="I10698" s="422" t="s">
        <v>658</v>
      </c>
      <c r="J10698" s="484" t="s">
        <v>906</v>
      </c>
      <c r="L10698" s="539"/>
      <c r="M10698" s="539"/>
      <c r="N10698" s="558">
        <v>1656640</v>
      </c>
      <c r="R10698" s="539">
        <v>1008.5069999999999</v>
      </c>
      <c r="S10698" s="539">
        <v>1008.93805246765</v>
      </c>
      <c r="T10698" s="538">
        <v>15.6007</v>
      </c>
      <c r="U10698" s="538">
        <v>2506.1</v>
      </c>
      <c r="V10698" s="538">
        <v>1253.05</v>
      </c>
    </row>
    <row r="10699" spans="1:25">
      <c r="A10699" s="499">
        <v>45861</v>
      </c>
      <c r="B10699" s="499">
        <v>45861</v>
      </c>
      <c r="C10699" s="500" t="s">
        <v>173</v>
      </c>
      <c r="D10699" s="500" t="s">
        <v>762</v>
      </c>
      <c r="E10699" s="501">
        <v>-152048086.72</v>
      </c>
      <c r="F10699" s="502" t="s">
        <v>878</v>
      </c>
      <c r="G10699" s="100">
        <v>118207671</v>
      </c>
      <c r="H10699" s="530"/>
      <c r="I10699" s="422" t="s">
        <v>681</v>
      </c>
      <c r="J10699" s="484" t="s">
        <v>906</v>
      </c>
      <c r="L10699" s="539"/>
      <c r="M10699" s="539"/>
      <c r="N10699" s="558">
        <v>172520</v>
      </c>
      <c r="R10699" s="539">
        <v>881.33600000000001</v>
      </c>
      <c r="S10699" s="539">
        <v>881.71269267331297</v>
      </c>
      <c r="T10699" s="538">
        <v>15.6005</v>
      </c>
      <c r="U10699" s="538">
        <v>228.07</v>
      </c>
      <c r="V10699" s="538">
        <v>114.04</v>
      </c>
    </row>
    <row r="10700" spans="1:25">
      <c r="A10700" s="499">
        <v>45861</v>
      </c>
      <c r="B10700" s="499">
        <v>45862</v>
      </c>
      <c r="C10700" s="500" t="s">
        <v>173</v>
      </c>
      <c r="D10700" s="500" t="s">
        <v>762</v>
      </c>
      <c r="E10700" s="501">
        <v>1671447135.24</v>
      </c>
      <c r="F10700" s="502" t="s">
        <v>878</v>
      </c>
      <c r="G10700" s="100">
        <v>118207668</v>
      </c>
      <c r="H10700" s="100">
        <v>118207668</v>
      </c>
      <c r="I10700" s="422" t="s">
        <v>658</v>
      </c>
      <c r="J10700" s="484" t="s">
        <v>912</v>
      </c>
      <c r="L10700" s="539"/>
      <c r="M10700" s="539"/>
      <c r="N10700" s="558">
        <v>1656640</v>
      </c>
      <c r="R10700" s="539">
        <v>1008.5069999999999</v>
      </c>
      <c r="S10700" s="539">
        <v>1008.93805246765</v>
      </c>
      <c r="T10700" s="538">
        <v>15.6007</v>
      </c>
      <c r="U10700" s="538">
        <v>2506.1</v>
      </c>
      <c r="V10700" s="538">
        <v>1253.05</v>
      </c>
    </row>
    <row r="10701" spans="1:25">
      <c r="A10701" s="499">
        <v>45861</v>
      </c>
      <c r="B10701" s="499">
        <v>45862</v>
      </c>
      <c r="C10701" s="500" t="s">
        <v>173</v>
      </c>
      <c r="D10701" s="500" t="s">
        <v>762</v>
      </c>
      <c r="E10701" s="501">
        <v>152113073.74000001</v>
      </c>
      <c r="F10701" s="502" t="s">
        <v>878</v>
      </c>
      <c r="G10701" s="100">
        <v>118207671</v>
      </c>
      <c r="H10701" s="100">
        <v>118207671</v>
      </c>
      <c r="I10701" s="422" t="s">
        <v>681</v>
      </c>
      <c r="J10701" s="484" t="s">
        <v>912</v>
      </c>
      <c r="L10701" s="539"/>
      <c r="M10701" s="539"/>
      <c r="N10701" s="558">
        <v>172520</v>
      </c>
      <c r="R10701" s="539">
        <v>881.33600000000001</v>
      </c>
      <c r="S10701" s="539">
        <v>881.71269267331297</v>
      </c>
      <c r="T10701" s="538">
        <v>15.6005</v>
      </c>
      <c r="U10701" s="538">
        <v>228.07</v>
      </c>
      <c r="V10701" s="538">
        <v>114.04</v>
      </c>
    </row>
    <row r="10702" spans="1:25">
      <c r="A10702" s="499">
        <v>45861</v>
      </c>
      <c r="B10702" s="499">
        <v>45861</v>
      </c>
      <c r="C10702" s="500" t="s">
        <v>173</v>
      </c>
      <c r="D10702" s="500" t="s">
        <v>759</v>
      </c>
      <c r="E10702" s="501">
        <v>-2000134759.8</v>
      </c>
      <c r="F10702" s="502" t="s">
        <v>878</v>
      </c>
      <c r="G10702" s="100">
        <v>118205909</v>
      </c>
      <c r="H10702" s="530"/>
      <c r="I10702" s="422" t="s">
        <v>2556</v>
      </c>
      <c r="J10702" s="484" t="s">
        <v>906</v>
      </c>
      <c r="L10702" s="539"/>
      <c r="M10702" s="539"/>
      <c r="N10702" s="539">
        <v>22674000</v>
      </c>
      <c r="R10702" s="539">
        <v>88.212699999999998</v>
      </c>
      <c r="S10702" s="539">
        <v>88.250643545029504</v>
      </c>
      <c r="T10702" s="538">
        <v>15.7</v>
      </c>
      <c r="U10702" s="538">
        <v>3000.2</v>
      </c>
      <c r="V10702" s="538">
        <v>1500.1</v>
      </c>
    </row>
    <row r="10703" spans="1:25">
      <c r="A10703" s="499">
        <v>45861</v>
      </c>
      <c r="B10703" s="499">
        <v>45861</v>
      </c>
      <c r="C10703" s="500" t="s">
        <v>173</v>
      </c>
      <c r="D10703" s="500" t="s">
        <v>759</v>
      </c>
      <c r="E10703" s="501">
        <v>-3255268669</v>
      </c>
      <c r="F10703" s="502" t="s">
        <v>878</v>
      </c>
      <c r="G10703" s="100">
        <v>118207942</v>
      </c>
      <c r="H10703" s="530"/>
      <c r="I10703" s="422" t="s">
        <v>1018</v>
      </c>
      <c r="J10703" s="484" t="s">
        <v>906</v>
      </c>
      <c r="L10703" s="539"/>
      <c r="M10703" s="539"/>
      <c r="N10703" s="539">
        <v>33816195</v>
      </c>
      <c r="R10703" s="539">
        <v>96.263599999940851</v>
      </c>
      <c r="S10703" s="539">
        <v>96.553445743378305</v>
      </c>
      <c r="T10703" s="538">
        <v>15.7</v>
      </c>
      <c r="U10703" s="538">
        <v>34180.32</v>
      </c>
      <c r="V10703" s="538">
        <v>17090.16</v>
      </c>
    </row>
    <row r="10704" spans="1:25">
      <c r="A10704" s="499">
        <v>45861</v>
      </c>
      <c r="B10704" s="499">
        <v>45861</v>
      </c>
      <c r="C10704" s="500" t="s">
        <v>173</v>
      </c>
      <c r="D10704" s="500" t="s">
        <v>759</v>
      </c>
      <c r="E10704" s="501">
        <v>-33012812.449999999</v>
      </c>
      <c r="F10704" s="502" t="s">
        <v>878</v>
      </c>
      <c r="G10704" s="100">
        <v>118209667</v>
      </c>
      <c r="H10704" s="530"/>
      <c r="I10704" s="422" t="s">
        <v>678</v>
      </c>
      <c r="J10704" s="484" t="s">
        <v>906</v>
      </c>
      <c r="L10704" s="539"/>
      <c r="M10704" s="539"/>
      <c r="N10704" s="539">
        <v>35376</v>
      </c>
      <c r="R10704" s="539">
        <v>933.19800005653553</v>
      </c>
      <c r="S10704" s="539">
        <v>933.596866802352</v>
      </c>
      <c r="T10704" s="538">
        <v>15.6008</v>
      </c>
      <c r="U10704" s="538">
        <v>49.52</v>
      </c>
      <c r="V10704" s="538">
        <v>24.76</v>
      </c>
    </row>
    <row r="10705" spans="1:22">
      <c r="A10705" s="499">
        <v>45861</v>
      </c>
      <c r="B10705" s="499">
        <v>45862</v>
      </c>
      <c r="C10705" s="500" t="s">
        <v>173</v>
      </c>
      <c r="D10705" s="500" t="s">
        <v>759</v>
      </c>
      <c r="E10705" s="501">
        <v>2000995091.74</v>
      </c>
      <c r="F10705" s="502" t="s">
        <v>878</v>
      </c>
      <c r="G10705" s="100">
        <v>118205909</v>
      </c>
      <c r="H10705" s="484">
        <v>118205909</v>
      </c>
      <c r="I10705" s="422" t="s">
        <v>2556</v>
      </c>
      <c r="J10705" s="484" t="s">
        <v>912</v>
      </c>
      <c r="L10705" s="539"/>
      <c r="M10705" s="539"/>
      <c r="N10705" s="539">
        <v>22674000</v>
      </c>
      <c r="R10705" s="539">
        <v>88.212699999999998</v>
      </c>
      <c r="S10705" s="539">
        <v>88.250643545029504</v>
      </c>
      <c r="T10705" s="538">
        <v>15.7</v>
      </c>
      <c r="U10705" s="538">
        <v>3000.2</v>
      </c>
      <c r="V10705" s="538">
        <v>1500.1</v>
      </c>
    </row>
    <row r="10706" spans="1:22">
      <c r="A10706" s="499">
        <v>45861</v>
      </c>
      <c r="B10706" s="499">
        <v>45868</v>
      </c>
      <c r="C10706" s="500" t="s">
        <v>173</v>
      </c>
      <c r="D10706" s="500" t="s">
        <v>759</v>
      </c>
      <c r="E10706" s="501">
        <v>3265070149.1799998</v>
      </c>
      <c r="F10706" s="502" t="s">
        <v>878</v>
      </c>
      <c r="G10706" s="100">
        <v>118207942</v>
      </c>
      <c r="H10706" s="484">
        <v>118207942</v>
      </c>
      <c r="I10706" s="422" t="s">
        <v>1018</v>
      </c>
      <c r="J10706" s="484" t="s">
        <v>912</v>
      </c>
      <c r="L10706" s="539"/>
      <c r="M10706" s="539"/>
      <c r="N10706" s="539">
        <v>33816195</v>
      </c>
      <c r="R10706" s="539">
        <v>96.263599999940851</v>
      </c>
      <c r="S10706" s="539">
        <v>96.553445743378305</v>
      </c>
      <c r="T10706" s="538">
        <v>15.7</v>
      </c>
      <c r="U10706" s="538">
        <v>34180.32</v>
      </c>
      <c r="V10706" s="538">
        <v>17090.16</v>
      </c>
    </row>
    <row r="10707" spans="1:22">
      <c r="A10707" s="499">
        <v>45861</v>
      </c>
      <c r="B10707" s="499">
        <v>45862</v>
      </c>
      <c r="C10707" s="500" t="s">
        <v>173</v>
      </c>
      <c r="D10707" s="500" t="s">
        <v>759</v>
      </c>
      <c r="E10707" s="501">
        <v>33026922.760000002</v>
      </c>
      <c r="F10707" s="502" t="s">
        <v>878</v>
      </c>
      <c r="G10707" s="100">
        <v>118209667</v>
      </c>
      <c r="H10707" s="484">
        <v>118209667</v>
      </c>
      <c r="I10707" s="422" t="s">
        <v>678</v>
      </c>
      <c r="J10707" s="484" t="s">
        <v>912</v>
      </c>
      <c r="L10707" s="539"/>
      <c r="M10707" s="539"/>
      <c r="N10707" s="539">
        <v>35376</v>
      </c>
      <c r="R10707" s="539">
        <v>933.19800005653553</v>
      </c>
      <c r="S10707" s="539">
        <v>933.596866802352</v>
      </c>
      <c r="T10707" s="538">
        <v>15.6008</v>
      </c>
      <c r="U10707" s="538">
        <v>49.52</v>
      </c>
      <c r="V10707" s="538">
        <v>24.76</v>
      </c>
    </row>
    <row r="10708" spans="1:22">
      <c r="A10708" s="499">
        <v>45861</v>
      </c>
      <c r="B10708" s="499">
        <v>45861</v>
      </c>
      <c r="C10708" s="500" t="s">
        <v>173</v>
      </c>
      <c r="D10708" s="500" t="s">
        <v>760</v>
      </c>
      <c r="E10708" s="501">
        <v>-1301059000.8</v>
      </c>
      <c r="F10708" s="502" t="s">
        <v>878</v>
      </c>
      <c r="G10708" s="100">
        <v>118203956</v>
      </c>
      <c r="H10708" s="530"/>
      <c r="I10708" s="422" t="s">
        <v>674</v>
      </c>
      <c r="J10708" s="484" t="s">
        <v>906</v>
      </c>
      <c r="L10708" s="539"/>
      <c r="M10708" s="539"/>
      <c r="N10708" s="539">
        <v>1466400</v>
      </c>
      <c r="R10708" s="539">
        <v>887.24699999999996</v>
      </c>
      <c r="S10708" s="539">
        <v>887.62863531778498</v>
      </c>
      <c r="T10708" s="538">
        <v>15.6999</v>
      </c>
      <c r="U10708" s="538">
        <v>1951.59</v>
      </c>
      <c r="V10708" s="538">
        <v>975.79</v>
      </c>
    </row>
    <row r="10709" spans="1:22">
      <c r="A10709" s="499">
        <v>45861</v>
      </c>
      <c r="B10709" s="499">
        <v>45861</v>
      </c>
      <c r="C10709" s="500" t="s">
        <v>173</v>
      </c>
      <c r="D10709" s="500" t="s">
        <v>760</v>
      </c>
      <c r="E10709" s="501">
        <v>-184127726.53999999</v>
      </c>
      <c r="F10709" s="502" t="s">
        <v>878</v>
      </c>
      <c r="G10709" s="100">
        <v>118204168</v>
      </c>
      <c r="H10709" s="530"/>
      <c r="I10709" s="422" t="s">
        <v>675</v>
      </c>
      <c r="J10709" s="484" t="s">
        <v>906</v>
      </c>
      <c r="L10709" s="539"/>
      <c r="M10709" s="539"/>
      <c r="N10709" s="539">
        <v>199272</v>
      </c>
      <c r="R10709" s="539">
        <v>924.00199999999995</v>
      </c>
      <c r="S10709" s="539">
        <v>924.39995373158297</v>
      </c>
      <c r="T10709" s="538">
        <v>15.72</v>
      </c>
      <c r="U10709" s="538">
        <v>276.19</v>
      </c>
      <c r="V10709" s="538">
        <v>138.1</v>
      </c>
    </row>
    <row r="10710" spans="1:22">
      <c r="A10710" s="499">
        <v>45861</v>
      </c>
      <c r="B10710" s="499">
        <v>45862</v>
      </c>
      <c r="C10710" s="500" t="s">
        <v>173</v>
      </c>
      <c r="D10710" s="500" t="s">
        <v>760</v>
      </c>
      <c r="E10710" s="501">
        <v>1301618630.8299999</v>
      </c>
      <c r="F10710" s="502" t="s">
        <v>878</v>
      </c>
      <c r="G10710" s="100">
        <v>118203956</v>
      </c>
      <c r="H10710" s="100">
        <v>118203956</v>
      </c>
      <c r="I10710" s="422" t="s">
        <v>674</v>
      </c>
      <c r="J10710" s="484" t="s">
        <v>912</v>
      </c>
      <c r="L10710" s="539"/>
      <c r="M10710" s="539"/>
      <c r="N10710" s="539">
        <v>1466400</v>
      </c>
      <c r="R10710" s="539">
        <v>887.24699999999996</v>
      </c>
      <c r="S10710" s="539">
        <v>887.62863531778498</v>
      </c>
      <c r="T10710" s="538">
        <v>15.6999</v>
      </c>
      <c r="U10710" s="538">
        <v>1951.59</v>
      </c>
      <c r="V10710" s="538">
        <v>975.79</v>
      </c>
    </row>
    <row r="10711" spans="1:22">
      <c r="A10711" s="499">
        <v>45861</v>
      </c>
      <c r="B10711" s="499">
        <v>45862</v>
      </c>
      <c r="C10711" s="500" t="s">
        <v>173</v>
      </c>
      <c r="D10711" s="500" t="s">
        <v>760</v>
      </c>
      <c r="E10711" s="501">
        <v>184207027.58000001</v>
      </c>
      <c r="F10711" s="502" t="s">
        <v>878</v>
      </c>
      <c r="G10711" s="100">
        <v>118204168</v>
      </c>
      <c r="H10711" s="100">
        <v>118204168</v>
      </c>
      <c r="I10711" s="422" t="s">
        <v>675</v>
      </c>
      <c r="J10711" s="484" t="s">
        <v>912</v>
      </c>
      <c r="L10711" s="539"/>
      <c r="M10711" s="539"/>
      <c r="N10711" s="539">
        <v>199272</v>
      </c>
      <c r="R10711" s="539">
        <v>924.00199999999995</v>
      </c>
      <c r="S10711" s="539">
        <v>924.39995373158297</v>
      </c>
      <c r="T10711" s="538">
        <v>15.72</v>
      </c>
      <c r="U10711" s="538">
        <v>276.19</v>
      </c>
      <c r="V10711" s="538">
        <v>138.1</v>
      </c>
    </row>
    <row r="10712" spans="1:22">
      <c r="A10712" s="499">
        <v>45861</v>
      </c>
      <c r="B10712" s="499">
        <v>45861</v>
      </c>
      <c r="C10712" s="500" t="s">
        <v>173</v>
      </c>
      <c r="D10712" s="500" t="s">
        <v>761</v>
      </c>
      <c r="E10712" s="501">
        <v>-1697177305.54</v>
      </c>
      <c r="F10712" s="502" t="s">
        <v>878</v>
      </c>
      <c r="G10712" s="100">
        <v>118204165</v>
      </c>
      <c r="H10712" s="530"/>
      <c r="I10712" s="422" t="s">
        <v>675</v>
      </c>
      <c r="J10712" s="484" t="s">
        <v>906</v>
      </c>
      <c r="L10712" s="539"/>
      <c r="M10712" s="539"/>
      <c r="N10712" s="539">
        <v>1836768</v>
      </c>
      <c r="R10712" s="539">
        <v>924.00200000217774</v>
      </c>
      <c r="S10712" s="539">
        <v>924.39995373939405</v>
      </c>
      <c r="T10712" s="538">
        <v>15.72</v>
      </c>
      <c r="U10712" s="538">
        <v>2545.77</v>
      </c>
      <c r="V10712" s="538">
        <v>1272.8800000000001</v>
      </c>
    </row>
    <row r="10713" spans="1:22">
      <c r="A10713" s="499">
        <v>45861</v>
      </c>
      <c r="B10713" s="499">
        <v>45861</v>
      </c>
      <c r="C10713" s="500" t="s">
        <v>173</v>
      </c>
      <c r="D10713" s="500" t="s">
        <v>761</v>
      </c>
      <c r="E10713" s="501">
        <v>-10003646.380000001</v>
      </c>
      <c r="F10713" s="502" t="s">
        <v>878</v>
      </c>
      <c r="G10713" s="100">
        <v>118204478</v>
      </c>
      <c r="H10713" s="530"/>
      <c r="I10713" s="422" t="s">
        <v>685</v>
      </c>
      <c r="J10713" s="484" t="s">
        <v>906</v>
      </c>
      <c r="L10713" s="539"/>
      <c r="M10713" s="539"/>
      <c r="N10713" s="539">
        <v>10790</v>
      </c>
      <c r="R10713" s="539">
        <v>927.12200000000007</v>
      </c>
      <c r="S10713" s="539">
        <v>927.52129749768301</v>
      </c>
      <c r="T10713" s="538">
        <v>15.72</v>
      </c>
      <c r="U10713" s="538">
        <v>39.32</v>
      </c>
      <c r="V10713" s="538">
        <v>7.5</v>
      </c>
    </row>
    <row r="10714" spans="1:22">
      <c r="A10714" s="499">
        <v>45861</v>
      </c>
      <c r="B10714" s="499">
        <v>45862</v>
      </c>
      <c r="C10714" s="500" t="s">
        <v>173</v>
      </c>
      <c r="D10714" s="500" t="s">
        <v>761</v>
      </c>
      <c r="E10714" s="501">
        <v>1697908254.23</v>
      </c>
      <c r="F10714" s="502" t="s">
        <v>878</v>
      </c>
      <c r="G10714" s="100">
        <v>118204165</v>
      </c>
      <c r="H10714" s="100">
        <v>118204165</v>
      </c>
      <c r="I10714" s="422" t="s">
        <v>675</v>
      </c>
      <c r="J10714" s="484" t="s">
        <v>912</v>
      </c>
      <c r="L10714" s="539"/>
      <c r="M10714" s="539"/>
      <c r="N10714" s="539">
        <v>1836768</v>
      </c>
      <c r="R10714" s="539">
        <v>924.00200000217774</v>
      </c>
      <c r="S10714" s="539">
        <v>924.39995373939405</v>
      </c>
      <c r="T10714" s="538">
        <v>15.72</v>
      </c>
      <c r="U10714" s="538">
        <v>2545.77</v>
      </c>
      <c r="V10714" s="538">
        <v>1272.8800000000001</v>
      </c>
    </row>
    <row r="10715" spans="1:22">
      <c r="A10715" s="499">
        <v>45861</v>
      </c>
      <c r="B10715" s="499">
        <v>45862</v>
      </c>
      <c r="C10715" s="500" t="s">
        <v>173</v>
      </c>
      <c r="D10715" s="500" t="s">
        <v>761</v>
      </c>
      <c r="E10715" s="501">
        <v>10007954.800000001</v>
      </c>
      <c r="F10715" s="502" t="s">
        <v>878</v>
      </c>
      <c r="G10715" s="100">
        <v>118204478</v>
      </c>
      <c r="H10715" s="100">
        <v>118204478</v>
      </c>
      <c r="I10715" s="422" t="s">
        <v>685</v>
      </c>
      <c r="J10715" s="484" t="s">
        <v>912</v>
      </c>
      <c r="L10715" s="539"/>
      <c r="M10715" s="539"/>
      <c r="N10715" s="539">
        <v>10790</v>
      </c>
      <c r="R10715" s="539">
        <v>927.12200000000007</v>
      </c>
      <c r="S10715" s="539">
        <v>927.52129749768301</v>
      </c>
      <c r="T10715" s="538">
        <v>15.72</v>
      </c>
      <c r="U10715" s="538">
        <v>39.32</v>
      </c>
      <c r="V10715" s="538">
        <v>7.5</v>
      </c>
    </row>
    <row r="10716" spans="1:22">
      <c r="A10716" s="499">
        <v>45861</v>
      </c>
      <c r="B10716" s="499">
        <v>45861</v>
      </c>
      <c r="C10716" s="500" t="s">
        <v>173</v>
      </c>
      <c r="D10716" s="500" t="s">
        <v>763</v>
      </c>
      <c r="E10716" s="501">
        <v>-1970855142.5799999</v>
      </c>
      <c r="F10716" s="502" t="s">
        <v>878</v>
      </c>
      <c r="G10716" s="100">
        <v>118203389</v>
      </c>
      <c r="H10716" s="530"/>
      <c r="I10716" s="422" t="s">
        <v>604</v>
      </c>
      <c r="J10716" s="484" t="s">
        <v>906</v>
      </c>
      <c r="L10716" s="539"/>
      <c r="M10716" s="539"/>
      <c r="N10716" s="539">
        <v>1947341</v>
      </c>
      <c r="R10716" s="539">
        <v>1012.075</v>
      </c>
      <c r="S10716" s="539">
        <v>1012.50617722833</v>
      </c>
      <c r="T10716" s="538">
        <v>15.5502</v>
      </c>
      <c r="U10716" s="538">
        <v>2956.28</v>
      </c>
      <c r="V10716" s="538">
        <v>1478.14</v>
      </c>
    </row>
    <row r="10717" spans="1:22">
      <c r="A10717" s="499">
        <v>45861</v>
      </c>
      <c r="B10717" s="499">
        <v>45861</v>
      </c>
      <c r="C10717" s="500" t="s">
        <v>173</v>
      </c>
      <c r="D10717" s="500" t="s">
        <v>763</v>
      </c>
      <c r="E10717" s="501">
        <v>-3192359366.8499999</v>
      </c>
      <c r="F10717" s="502" t="s">
        <v>878</v>
      </c>
      <c r="G10717" s="100">
        <v>118203392</v>
      </c>
      <c r="H10717" s="530"/>
      <c r="I10717" s="422" t="s">
        <v>631</v>
      </c>
      <c r="J10717" s="484" t="s">
        <v>906</v>
      </c>
      <c r="L10717" s="539"/>
      <c r="M10717" s="539"/>
      <c r="N10717" s="539">
        <v>6549984</v>
      </c>
      <c r="R10717" s="539">
        <v>487.3843</v>
      </c>
      <c r="S10717" s="539">
        <v>487.59194040016001</v>
      </c>
      <c r="T10717" s="538">
        <v>15.5501</v>
      </c>
      <c r="U10717" s="538">
        <v>4788.54</v>
      </c>
      <c r="V10717" s="538">
        <v>2394.27</v>
      </c>
    </row>
    <row r="10718" spans="1:22">
      <c r="A10718" s="499">
        <v>45861</v>
      </c>
      <c r="B10718" s="499">
        <v>45861</v>
      </c>
      <c r="C10718" s="500" t="s">
        <v>173</v>
      </c>
      <c r="D10718" s="500" t="s">
        <v>763</v>
      </c>
      <c r="E10718" s="501">
        <v>-31023170.550000001</v>
      </c>
      <c r="F10718" s="502" t="s">
        <v>878</v>
      </c>
      <c r="G10718" s="100">
        <v>118203431</v>
      </c>
      <c r="H10718" s="530"/>
      <c r="I10718" s="422" t="s">
        <v>590</v>
      </c>
      <c r="J10718" s="484" t="s">
        <v>906</v>
      </c>
      <c r="L10718" s="539"/>
      <c r="M10718" s="539"/>
      <c r="N10718" s="539">
        <v>34689</v>
      </c>
      <c r="R10718" s="539">
        <v>894.32299999999998</v>
      </c>
      <c r="S10718" s="539">
        <v>894.70449854420701</v>
      </c>
      <c r="T10718" s="538">
        <v>15.5701</v>
      </c>
      <c r="U10718" s="538">
        <v>46.53</v>
      </c>
      <c r="V10718" s="538">
        <v>39.32</v>
      </c>
    </row>
    <row r="10719" spans="1:22">
      <c r="A10719" s="499">
        <v>45861</v>
      </c>
      <c r="B10719" s="499">
        <v>45862</v>
      </c>
      <c r="C10719" s="500" t="s">
        <v>173</v>
      </c>
      <c r="D10719" s="500" t="s">
        <v>763</v>
      </c>
      <c r="E10719" s="501">
        <v>1971694791.6700001</v>
      </c>
      <c r="F10719" s="502" t="s">
        <v>878</v>
      </c>
      <c r="G10719" s="100">
        <v>118203389</v>
      </c>
      <c r="H10719" s="484">
        <v>118203389</v>
      </c>
      <c r="I10719" s="422" t="s">
        <v>604</v>
      </c>
      <c r="J10719" s="484" t="s">
        <v>912</v>
      </c>
      <c r="L10719" s="539"/>
      <c r="M10719" s="539"/>
      <c r="N10719" s="539">
        <v>1947341</v>
      </c>
      <c r="R10719" s="539">
        <v>1012.075</v>
      </c>
      <c r="S10719" s="539">
        <v>1012.50617722833</v>
      </c>
      <c r="T10719" s="538">
        <v>15.5502</v>
      </c>
      <c r="U10719" s="538">
        <v>2956.28</v>
      </c>
      <c r="V10719" s="538">
        <v>1478.14</v>
      </c>
    </row>
    <row r="10720" spans="1:22">
      <c r="A10720" s="499">
        <v>45861</v>
      </c>
      <c r="B10720" s="499">
        <v>45862</v>
      </c>
      <c r="C10720" s="500" t="s">
        <v>173</v>
      </c>
      <c r="D10720" s="500" t="s">
        <v>763</v>
      </c>
      <c r="E10720" s="501">
        <v>3193719408.1500001</v>
      </c>
      <c r="F10720" s="502" t="s">
        <v>878</v>
      </c>
      <c r="G10720" s="100">
        <v>118203392</v>
      </c>
      <c r="H10720" s="484">
        <v>118203392</v>
      </c>
      <c r="I10720" s="422" t="s">
        <v>631</v>
      </c>
      <c r="J10720" s="484" t="s">
        <v>912</v>
      </c>
      <c r="L10720" s="539"/>
      <c r="M10720" s="539"/>
      <c r="N10720" s="539">
        <v>6549984</v>
      </c>
      <c r="R10720" s="539">
        <v>487.3843</v>
      </c>
      <c r="S10720" s="539">
        <v>487.59194040016001</v>
      </c>
      <c r="T10720" s="538">
        <v>15.5501</v>
      </c>
      <c r="U10720" s="538">
        <v>4788.54</v>
      </c>
      <c r="V10720" s="538">
        <v>2394.27</v>
      </c>
    </row>
    <row r="10721" spans="1:22">
      <c r="A10721" s="499">
        <v>45861</v>
      </c>
      <c r="B10721" s="499">
        <v>45862</v>
      </c>
      <c r="C10721" s="500" t="s">
        <v>173</v>
      </c>
      <c r="D10721" s="500" t="s">
        <v>763</v>
      </c>
      <c r="E10721" s="501">
        <v>31036404.350000001</v>
      </c>
      <c r="F10721" s="502" t="s">
        <v>878</v>
      </c>
      <c r="G10721" s="100">
        <v>118203431</v>
      </c>
      <c r="H10721" s="484">
        <v>118203431</v>
      </c>
      <c r="I10721" s="422" t="s">
        <v>590</v>
      </c>
      <c r="J10721" s="484" t="s">
        <v>912</v>
      </c>
      <c r="L10721" s="539"/>
      <c r="M10721" s="539"/>
      <c r="N10721" s="539">
        <v>34689</v>
      </c>
      <c r="R10721" s="539">
        <v>894.32299999999998</v>
      </c>
      <c r="S10721" s="539">
        <v>894.70449854420701</v>
      </c>
      <c r="T10721" s="538">
        <v>15.5701</v>
      </c>
      <c r="U10721" s="538">
        <v>46.53</v>
      </c>
      <c r="V10721" s="538">
        <v>39.32</v>
      </c>
    </row>
    <row r="10722" spans="1:22">
      <c r="A10722" s="499">
        <v>45862</v>
      </c>
      <c r="B10722" s="499">
        <v>45862</v>
      </c>
      <c r="C10722" s="500" t="s">
        <v>173</v>
      </c>
      <c r="D10722" s="500" t="s">
        <v>762</v>
      </c>
      <c r="E10722" s="501">
        <v>-1827056158.4000001</v>
      </c>
      <c r="F10722" s="502" t="s">
        <v>878</v>
      </c>
      <c r="G10722" s="100">
        <v>118239017</v>
      </c>
      <c r="H10722" s="530"/>
      <c r="I10722" s="422" t="s">
        <v>717</v>
      </c>
      <c r="J10722" s="484" t="s">
        <v>906</v>
      </c>
      <c r="L10722" s="539"/>
      <c r="M10722" s="539"/>
      <c r="N10722" s="539">
        <v>3126112</v>
      </c>
      <c r="R10722" s="539">
        <v>584.45000000000005</v>
      </c>
      <c r="S10722" s="539">
        <v>586.20975493200501</v>
      </c>
      <c r="T10722" s="538">
        <v>15.7</v>
      </c>
      <c r="U10722" s="538">
        <v>19184.09</v>
      </c>
      <c r="V10722" s="538">
        <v>9592.0400000000009</v>
      </c>
    </row>
    <row r="10723" spans="1:22">
      <c r="A10723" s="499">
        <v>45862</v>
      </c>
      <c r="B10723" s="499">
        <v>45869</v>
      </c>
      <c r="C10723" s="500" t="s">
        <v>173</v>
      </c>
      <c r="D10723" s="500" t="s">
        <v>762</v>
      </c>
      <c r="E10723" s="501">
        <v>1832557349.4100001</v>
      </c>
      <c r="F10723" s="502" t="s">
        <v>878</v>
      </c>
      <c r="G10723" s="100">
        <v>118239017</v>
      </c>
      <c r="H10723" s="100">
        <v>118239017</v>
      </c>
      <c r="I10723" s="422" t="s">
        <v>717</v>
      </c>
      <c r="J10723" s="484" t="s">
        <v>912</v>
      </c>
      <c r="L10723" s="539"/>
      <c r="M10723" s="539"/>
      <c r="N10723" s="539">
        <v>3126112</v>
      </c>
      <c r="R10723" s="539">
        <v>584.45000000000005</v>
      </c>
      <c r="S10723" s="539">
        <v>586.20975493200501</v>
      </c>
      <c r="T10723" s="538">
        <v>15.7</v>
      </c>
      <c r="U10723" s="538">
        <v>19184.09</v>
      </c>
      <c r="V10723" s="538">
        <v>9592.0400000000009</v>
      </c>
    </row>
    <row r="10724" spans="1:22">
      <c r="A10724" s="499">
        <v>45862</v>
      </c>
      <c r="B10724" s="499">
        <v>45862</v>
      </c>
      <c r="C10724" s="500" t="s">
        <v>173</v>
      </c>
      <c r="D10724" s="500" t="s">
        <v>759</v>
      </c>
      <c r="E10724" s="501">
        <v>-605037685.69000006</v>
      </c>
      <c r="F10724" s="502" t="s">
        <v>878</v>
      </c>
      <c r="G10724" s="100">
        <v>118233460</v>
      </c>
      <c r="H10724" s="530"/>
      <c r="I10724" s="422" t="s">
        <v>2556</v>
      </c>
      <c r="J10724" s="484" t="s">
        <v>906</v>
      </c>
      <c r="L10724" s="539"/>
      <c r="M10724" s="539"/>
      <c r="N10724" s="539">
        <v>6857070</v>
      </c>
      <c r="R10724" s="539">
        <v>88.235599999708342</v>
      </c>
      <c r="S10724" s="539">
        <v>88.273553395254794</v>
      </c>
      <c r="T10724" s="538">
        <v>15.7</v>
      </c>
      <c r="U10724" s="538">
        <v>907.56</v>
      </c>
      <c r="V10724" s="538">
        <v>453.78</v>
      </c>
    </row>
    <row r="10725" spans="1:22">
      <c r="A10725" s="499">
        <v>45862</v>
      </c>
      <c r="B10725" s="499">
        <v>45862</v>
      </c>
      <c r="C10725" s="500" t="s">
        <v>173</v>
      </c>
      <c r="D10725" s="500" t="s">
        <v>759</v>
      </c>
      <c r="E10725" s="501">
        <v>-1416088203.21</v>
      </c>
      <c r="F10725" s="502" t="s">
        <v>878</v>
      </c>
      <c r="G10725" s="100">
        <v>118234686</v>
      </c>
      <c r="H10725" s="530"/>
      <c r="I10725" s="422" t="s">
        <v>2556</v>
      </c>
      <c r="J10725" s="484" t="s">
        <v>906</v>
      </c>
      <c r="L10725" s="539"/>
      <c r="M10725" s="539"/>
      <c r="N10725" s="539">
        <v>16048944</v>
      </c>
      <c r="R10725" s="539">
        <v>88.235600000224309</v>
      </c>
      <c r="S10725" s="539">
        <v>88.273505046811806</v>
      </c>
      <c r="T10725" s="538">
        <v>15.68</v>
      </c>
      <c r="U10725" s="538">
        <v>2124.13</v>
      </c>
      <c r="V10725" s="538">
        <v>1062.07</v>
      </c>
    </row>
    <row r="10726" spans="1:22">
      <c r="A10726" s="499">
        <v>45862</v>
      </c>
      <c r="B10726" s="499">
        <v>45862</v>
      </c>
      <c r="C10726" s="500" t="s">
        <v>173</v>
      </c>
      <c r="D10726" s="500" t="s">
        <v>759</v>
      </c>
      <c r="E10726" s="501">
        <v>-13000434.17</v>
      </c>
      <c r="F10726" s="502" t="s">
        <v>878</v>
      </c>
      <c r="G10726" s="100">
        <v>118240112</v>
      </c>
      <c r="H10726" s="530"/>
      <c r="I10726" s="422" t="s">
        <v>678</v>
      </c>
      <c r="J10726" s="484" t="s">
        <v>906</v>
      </c>
      <c r="L10726" s="539"/>
      <c r="M10726" s="539"/>
      <c r="N10726" s="539">
        <v>13923</v>
      </c>
      <c r="R10726" s="539">
        <v>933.73799971270557</v>
      </c>
      <c r="S10726" s="539">
        <v>934.13453925159797</v>
      </c>
      <c r="T10726" s="538">
        <v>15.5008</v>
      </c>
      <c r="U10726" s="538">
        <v>39.32</v>
      </c>
      <c r="V10726" s="538">
        <v>9.75</v>
      </c>
    </row>
    <row r="10727" spans="1:22">
      <c r="A10727" s="499">
        <v>45862</v>
      </c>
      <c r="B10727" s="499">
        <v>45863</v>
      </c>
      <c r="C10727" s="500" t="s">
        <v>173</v>
      </c>
      <c r="D10727" s="500" t="s">
        <v>759</v>
      </c>
      <c r="E10727" s="501">
        <v>605297934.77999997</v>
      </c>
      <c r="F10727" s="502" t="s">
        <v>878</v>
      </c>
      <c r="G10727" s="100">
        <v>118233460</v>
      </c>
      <c r="H10727" s="100">
        <v>118233460</v>
      </c>
      <c r="I10727" s="422" t="s">
        <v>2556</v>
      </c>
      <c r="J10727" s="484" t="s">
        <v>912</v>
      </c>
      <c r="L10727" s="539"/>
      <c r="M10727" s="539"/>
      <c r="N10727" s="539">
        <v>6857070</v>
      </c>
      <c r="R10727" s="539">
        <v>88.235599999708342</v>
      </c>
      <c r="S10727" s="539">
        <v>88.273553395254794</v>
      </c>
      <c r="T10727" s="538">
        <v>15.7</v>
      </c>
      <c r="U10727" s="538">
        <v>907.56</v>
      </c>
      <c r="V10727" s="538">
        <v>453.78</v>
      </c>
    </row>
    <row r="10728" spans="1:22">
      <c r="A10728" s="499">
        <v>45862</v>
      </c>
      <c r="B10728" s="499">
        <v>45863</v>
      </c>
      <c r="C10728" s="500" t="s">
        <v>173</v>
      </c>
      <c r="D10728" s="500" t="s">
        <v>759</v>
      </c>
      <c r="E10728" s="501">
        <v>1416696539.1800001</v>
      </c>
      <c r="F10728" s="502" t="s">
        <v>878</v>
      </c>
      <c r="G10728" s="100">
        <v>118234686</v>
      </c>
      <c r="H10728" s="100">
        <v>118234686</v>
      </c>
      <c r="I10728" s="422" t="s">
        <v>2556</v>
      </c>
      <c r="J10728" s="484" t="s">
        <v>912</v>
      </c>
      <c r="L10728" s="539"/>
      <c r="M10728" s="539"/>
      <c r="N10728" s="539">
        <v>16048944</v>
      </c>
      <c r="R10728" s="539">
        <v>88.235600000224309</v>
      </c>
      <c r="S10728" s="539">
        <v>88.273505046811806</v>
      </c>
      <c r="T10728" s="538">
        <v>15.68</v>
      </c>
      <c r="U10728" s="538">
        <v>2124.13</v>
      </c>
      <c r="V10728" s="538">
        <v>1062.07</v>
      </c>
    </row>
    <row r="10729" spans="1:22">
      <c r="A10729" s="499">
        <v>45862</v>
      </c>
      <c r="B10729" s="499">
        <v>45863</v>
      </c>
      <c r="C10729" s="500" t="s">
        <v>173</v>
      </c>
      <c r="D10729" s="500" t="s">
        <v>759</v>
      </c>
      <c r="E10729" s="501">
        <v>13005955.189999999</v>
      </c>
      <c r="F10729" s="502" t="s">
        <v>878</v>
      </c>
      <c r="G10729" s="100">
        <v>118240112</v>
      </c>
      <c r="H10729" s="100">
        <v>118240112</v>
      </c>
      <c r="I10729" s="422" t="s">
        <v>678</v>
      </c>
      <c r="J10729" s="484" t="s">
        <v>912</v>
      </c>
      <c r="L10729" s="539"/>
      <c r="M10729" s="539"/>
      <c r="N10729" s="539">
        <v>13923</v>
      </c>
      <c r="R10729" s="539">
        <v>933.73799971270557</v>
      </c>
      <c r="S10729" s="539">
        <v>934.13453925159797</v>
      </c>
      <c r="T10729" s="538">
        <v>15.5008</v>
      </c>
      <c r="U10729" s="538">
        <v>39.32</v>
      </c>
      <c r="V10729" s="538">
        <v>9.75</v>
      </c>
    </row>
    <row r="10730" spans="1:22">
      <c r="A10730" s="499">
        <v>45862</v>
      </c>
      <c r="B10730" s="499">
        <v>45862</v>
      </c>
      <c r="C10730" s="500" t="s">
        <v>173</v>
      </c>
      <c r="D10730" s="500" t="s">
        <v>761</v>
      </c>
      <c r="E10730" s="501">
        <v>-1342586027.24</v>
      </c>
      <c r="F10730" s="502" t="s">
        <v>878</v>
      </c>
      <c r="G10730" s="100">
        <v>118233160</v>
      </c>
      <c r="H10730" s="530"/>
      <c r="I10730" s="422" t="s">
        <v>691</v>
      </c>
      <c r="J10730" s="484" t="s">
        <v>906</v>
      </c>
      <c r="L10730" s="539"/>
      <c r="M10730" s="539"/>
      <c r="N10730" s="539">
        <v>1559404</v>
      </c>
      <c r="R10730" s="539">
        <v>860.9609999974349</v>
      </c>
      <c r="S10730" s="539">
        <v>861.33085940525996</v>
      </c>
      <c r="T10730" s="538">
        <v>15.68</v>
      </c>
      <c r="U10730" s="538">
        <v>2013.88</v>
      </c>
      <c r="V10730" s="538">
        <v>1006.94</v>
      </c>
    </row>
    <row r="10731" spans="1:22">
      <c r="A10731" s="499">
        <v>45862</v>
      </c>
      <c r="B10731" s="499">
        <v>45862</v>
      </c>
      <c r="C10731" s="500" t="s">
        <v>173</v>
      </c>
      <c r="D10731" s="500" t="s">
        <v>761</v>
      </c>
      <c r="E10731" s="501">
        <v>-7003253.1500000004</v>
      </c>
      <c r="F10731" s="502" t="s">
        <v>878</v>
      </c>
      <c r="G10731" s="100">
        <v>118233342</v>
      </c>
      <c r="H10731" s="530"/>
      <c r="I10731" s="422" t="s">
        <v>658</v>
      </c>
      <c r="J10731" s="484" t="s">
        <v>906</v>
      </c>
      <c r="L10731" s="539"/>
      <c r="M10731" s="539"/>
      <c r="N10731" s="539">
        <v>6944</v>
      </c>
      <c r="R10731" s="539">
        <v>1008.5329997119816</v>
      </c>
      <c r="S10731" s="539">
        <v>1008.96680443548</v>
      </c>
      <c r="T10731" s="538">
        <v>15.6999</v>
      </c>
      <c r="U10731" s="538">
        <v>39.32</v>
      </c>
      <c r="V10731" s="538">
        <v>5.25</v>
      </c>
    </row>
    <row r="10732" spans="1:22">
      <c r="A10732" s="499">
        <v>45862</v>
      </c>
      <c r="B10732" s="499">
        <v>45863</v>
      </c>
      <c r="C10732" s="500" t="s">
        <v>173</v>
      </c>
      <c r="D10732" s="500" t="s">
        <v>761</v>
      </c>
      <c r="E10732" s="501">
        <v>1343162787.48</v>
      </c>
      <c r="F10732" s="502" t="s">
        <v>878</v>
      </c>
      <c r="G10732" s="100">
        <v>118233160</v>
      </c>
      <c r="H10732" s="100">
        <v>118233160</v>
      </c>
      <c r="I10732" s="422" t="s">
        <v>691</v>
      </c>
      <c r="J10732" s="484" t="s">
        <v>912</v>
      </c>
      <c r="L10732" s="539"/>
      <c r="M10732" s="539"/>
      <c r="N10732" s="539">
        <v>1559404</v>
      </c>
      <c r="R10732" s="539">
        <v>860.9609999974349</v>
      </c>
      <c r="S10732" s="539">
        <v>861.33085940525996</v>
      </c>
      <c r="T10732" s="538">
        <v>15.68</v>
      </c>
      <c r="U10732" s="538">
        <v>2013.88</v>
      </c>
      <c r="V10732" s="538">
        <v>1006.94</v>
      </c>
    </row>
    <row r="10733" spans="1:22">
      <c r="A10733" s="499">
        <v>45862</v>
      </c>
      <c r="B10733" s="499">
        <v>45863</v>
      </c>
      <c r="C10733" s="500" t="s">
        <v>173</v>
      </c>
      <c r="D10733" s="500" t="s">
        <v>761</v>
      </c>
      <c r="E10733" s="501">
        <v>7006265.4900000002</v>
      </c>
      <c r="F10733" s="502" t="s">
        <v>878</v>
      </c>
      <c r="G10733" s="100">
        <v>118233342</v>
      </c>
      <c r="H10733" s="100">
        <v>118233342</v>
      </c>
      <c r="I10733" s="422" t="s">
        <v>658</v>
      </c>
      <c r="J10733" s="484" t="s">
        <v>912</v>
      </c>
      <c r="L10733" s="539"/>
      <c r="M10733" s="539"/>
      <c r="N10733" s="539">
        <v>6944</v>
      </c>
      <c r="R10733" s="539">
        <v>1008.5329997119816</v>
      </c>
      <c r="S10733" s="539">
        <v>1008.96680443548</v>
      </c>
      <c r="T10733" s="538">
        <v>15.6999</v>
      </c>
      <c r="U10733" s="538">
        <v>39.32</v>
      </c>
      <c r="V10733" s="538">
        <v>5.25</v>
      </c>
    </row>
    <row r="10734" spans="1:22">
      <c r="A10734" s="499">
        <v>45862</v>
      </c>
      <c r="B10734" s="499">
        <v>45862</v>
      </c>
      <c r="C10734" s="500" t="s">
        <v>173</v>
      </c>
      <c r="D10734" s="500" t="s">
        <v>760</v>
      </c>
      <c r="E10734" s="501">
        <v>-1300748671.3</v>
      </c>
      <c r="F10734" s="502" t="s">
        <v>878</v>
      </c>
      <c r="G10734" s="100">
        <v>118230903</v>
      </c>
      <c r="H10734" s="530"/>
      <c r="I10734" s="422" t="s">
        <v>704</v>
      </c>
      <c r="J10734" s="484" t="s">
        <v>906</v>
      </c>
      <c r="L10734" s="539"/>
      <c r="M10734" s="539"/>
      <c r="N10734" s="539">
        <v>1608100</v>
      </c>
      <c r="R10734" s="539">
        <v>808.87300000000005</v>
      </c>
      <c r="S10734" s="539">
        <v>809.22203202537196</v>
      </c>
      <c r="T10734" s="538">
        <v>15.7499</v>
      </c>
      <c r="U10734" s="538">
        <v>1951.12</v>
      </c>
      <c r="V10734" s="538">
        <v>975.56</v>
      </c>
    </row>
    <row r="10735" spans="1:22">
      <c r="A10735" s="499">
        <v>45862</v>
      </c>
      <c r="B10735" s="499">
        <v>45862</v>
      </c>
      <c r="C10735" s="500" t="s">
        <v>173</v>
      </c>
      <c r="D10735" s="500" t="s">
        <v>760</v>
      </c>
      <c r="E10735" s="501">
        <v>-183022364.43000001</v>
      </c>
      <c r="F10735" s="502" t="s">
        <v>878</v>
      </c>
      <c r="G10735" s="100">
        <v>118234195</v>
      </c>
      <c r="H10735" s="530"/>
      <c r="I10735" s="422" t="s">
        <v>592</v>
      </c>
      <c r="J10735" s="484" t="s">
        <v>906</v>
      </c>
      <c r="L10735" s="539"/>
      <c r="M10735" s="539"/>
      <c r="N10735" s="539">
        <v>235887</v>
      </c>
      <c r="R10735" s="539">
        <v>775.89</v>
      </c>
      <c r="S10735" s="539">
        <v>776.22267823152595</v>
      </c>
      <c r="T10735" s="538">
        <v>15.6501</v>
      </c>
      <c r="U10735" s="538">
        <v>274.52999999999997</v>
      </c>
      <c r="V10735" s="538">
        <v>137.27000000000001</v>
      </c>
    </row>
    <row r="10736" spans="1:22">
      <c r="A10736" s="499">
        <v>45862</v>
      </c>
      <c r="B10736" s="499">
        <v>45863</v>
      </c>
      <c r="C10736" s="500" t="s">
        <v>173</v>
      </c>
      <c r="D10736" s="500" t="s">
        <v>760</v>
      </c>
      <c r="E10736" s="501">
        <v>1301309949.7</v>
      </c>
      <c r="F10736" s="502" t="s">
        <v>878</v>
      </c>
      <c r="G10736" s="100">
        <v>118230903</v>
      </c>
      <c r="H10736" s="100">
        <v>118230903</v>
      </c>
      <c r="I10736" s="422" t="s">
        <v>704</v>
      </c>
      <c r="J10736" s="484" t="s">
        <v>912</v>
      </c>
      <c r="L10736" s="539"/>
      <c r="M10736" s="539"/>
      <c r="N10736" s="539">
        <v>1608100</v>
      </c>
      <c r="R10736" s="539">
        <v>808.87300000000005</v>
      </c>
      <c r="S10736" s="539">
        <v>809.22203202537196</v>
      </c>
      <c r="T10736" s="538">
        <v>15.7499</v>
      </c>
      <c r="U10736" s="538">
        <v>1951.12</v>
      </c>
      <c r="V10736" s="538">
        <v>975.56</v>
      </c>
    </row>
    <row r="10737" spans="1:22">
      <c r="A10737" s="499">
        <v>45862</v>
      </c>
      <c r="B10737" s="499">
        <v>45863</v>
      </c>
      <c r="C10737" s="500" t="s">
        <v>173</v>
      </c>
      <c r="D10737" s="500" t="s">
        <v>760</v>
      </c>
      <c r="E10737" s="501">
        <v>183100838.90000001</v>
      </c>
      <c r="F10737" s="502" t="s">
        <v>878</v>
      </c>
      <c r="G10737" s="100">
        <v>118234195</v>
      </c>
      <c r="H10737" s="100">
        <v>118234195</v>
      </c>
      <c r="I10737" s="422" t="s">
        <v>592</v>
      </c>
      <c r="J10737" s="484" t="s">
        <v>912</v>
      </c>
      <c r="L10737" s="539"/>
      <c r="M10737" s="539"/>
      <c r="N10737" s="539">
        <v>235887</v>
      </c>
      <c r="R10737" s="539">
        <v>775.89</v>
      </c>
      <c r="S10737" s="539">
        <v>776.22267823152595</v>
      </c>
      <c r="T10737" s="538">
        <v>15.6501</v>
      </c>
      <c r="U10737" s="538">
        <v>274.52999999999997</v>
      </c>
      <c r="V10737" s="538">
        <v>137.27000000000001</v>
      </c>
    </row>
    <row r="10738" spans="1:22">
      <c r="A10738" s="499">
        <v>45862</v>
      </c>
      <c r="B10738" s="499">
        <v>45862</v>
      </c>
      <c r="C10738" s="500" t="s">
        <v>173</v>
      </c>
      <c r="D10738" s="500" t="s">
        <v>763</v>
      </c>
      <c r="E10738" s="501">
        <v>-3177386902.0300002</v>
      </c>
      <c r="F10738" s="502" t="s">
        <v>878</v>
      </c>
      <c r="G10738" s="100">
        <v>118232677</v>
      </c>
      <c r="H10738" s="530"/>
      <c r="I10738" s="422" t="s">
        <v>691</v>
      </c>
      <c r="J10738" s="484" t="s">
        <v>906</v>
      </c>
      <c r="L10738" s="539"/>
      <c r="M10738" s="539"/>
      <c r="N10738" s="539">
        <v>3690512</v>
      </c>
      <c r="R10738" s="539">
        <v>860.96100000000001</v>
      </c>
      <c r="S10738" s="539">
        <v>861.32968001187896</v>
      </c>
      <c r="T10738" s="538">
        <v>15.63</v>
      </c>
      <c r="U10738" s="538">
        <v>4766.08</v>
      </c>
      <c r="V10738" s="538">
        <v>2383.04</v>
      </c>
    </row>
    <row r="10739" spans="1:22">
      <c r="A10739" s="499">
        <v>45862</v>
      </c>
      <c r="B10739" s="499">
        <v>45862</v>
      </c>
      <c r="C10739" s="500" t="s">
        <v>173</v>
      </c>
      <c r="D10739" s="500" t="s">
        <v>763</v>
      </c>
      <c r="E10739" s="501">
        <v>-19008296.960000001</v>
      </c>
      <c r="F10739" s="502" t="s">
        <v>878</v>
      </c>
      <c r="G10739" s="100">
        <v>118232888</v>
      </c>
      <c r="H10739" s="530"/>
      <c r="I10739" s="422" t="s">
        <v>691</v>
      </c>
      <c r="J10739" s="484" t="s">
        <v>906</v>
      </c>
      <c r="L10739" s="539"/>
      <c r="M10739" s="539"/>
      <c r="N10739" s="539">
        <v>22078</v>
      </c>
      <c r="R10739" s="539">
        <v>860.96100000000001</v>
      </c>
      <c r="S10739" s="539">
        <v>861.32968022465798</v>
      </c>
      <c r="T10739" s="538">
        <v>15.63</v>
      </c>
      <c r="U10739" s="538">
        <v>39.32</v>
      </c>
      <c r="V10739" s="538">
        <v>39.32</v>
      </c>
    </row>
    <row r="10740" spans="1:22">
      <c r="A10740" s="499">
        <v>45862</v>
      </c>
      <c r="B10740" s="499">
        <v>45863</v>
      </c>
      <c r="C10740" s="500" t="s">
        <v>173</v>
      </c>
      <c r="D10740" s="500" t="s">
        <v>763</v>
      </c>
      <c r="E10740" s="501">
        <v>3178747520.04</v>
      </c>
      <c r="F10740" s="502" t="s">
        <v>878</v>
      </c>
      <c r="G10740" s="100">
        <v>118232677</v>
      </c>
      <c r="H10740" s="100">
        <v>118232677</v>
      </c>
      <c r="I10740" s="422" t="s">
        <v>691</v>
      </c>
      <c r="J10740" s="484" t="s">
        <v>912</v>
      </c>
      <c r="L10740" s="539"/>
      <c r="M10740" s="539"/>
      <c r="N10740" s="539">
        <v>3690512</v>
      </c>
      <c r="R10740" s="539">
        <v>860.96100000000001</v>
      </c>
      <c r="S10740" s="539">
        <v>861.32968001187896</v>
      </c>
      <c r="T10740" s="538">
        <v>15.63</v>
      </c>
      <c r="U10740" s="538">
        <v>4766.08</v>
      </c>
      <c r="V10740" s="538">
        <v>2383.04</v>
      </c>
    </row>
    <row r="10741" spans="1:22">
      <c r="A10741" s="499">
        <v>45862</v>
      </c>
      <c r="B10741" s="499">
        <v>45863</v>
      </c>
      <c r="C10741" s="500" t="s">
        <v>173</v>
      </c>
      <c r="D10741" s="500" t="s">
        <v>763</v>
      </c>
      <c r="E10741" s="501">
        <v>19016436.68</v>
      </c>
      <c r="F10741" s="502" t="s">
        <v>878</v>
      </c>
      <c r="G10741" s="100">
        <v>118232888</v>
      </c>
      <c r="H10741" s="100">
        <v>118232888</v>
      </c>
      <c r="I10741" s="422" t="s">
        <v>691</v>
      </c>
      <c r="J10741" s="484" t="s">
        <v>912</v>
      </c>
      <c r="L10741" s="539"/>
      <c r="M10741" s="539"/>
      <c r="N10741" s="539">
        <v>22078</v>
      </c>
      <c r="R10741" s="539">
        <v>860.96100000000001</v>
      </c>
      <c r="S10741" s="539">
        <v>861.32968022465798</v>
      </c>
      <c r="T10741" s="538">
        <v>15.63</v>
      </c>
      <c r="U10741" s="538">
        <v>39.32</v>
      </c>
      <c r="V10741" s="538">
        <v>39.32</v>
      </c>
    </row>
    <row r="10742" spans="1:22">
      <c r="A10742" s="499">
        <v>45863</v>
      </c>
      <c r="B10742" s="499">
        <v>45863</v>
      </c>
      <c r="C10742" s="500" t="s">
        <v>173</v>
      </c>
      <c r="D10742" s="500" t="s">
        <v>761</v>
      </c>
      <c r="E10742" s="501">
        <v>59779904.5</v>
      </c>
      <c r="F10742" s="502" t="s">
        <v>381</v>
      </c>
      <c r="G10742" s="100" t="s">
        <v>722</v>
      </c>
      <c r="H10742" s="530"/>
      <c r="I10742" s="422"/>
      <c r="L10742" s="539"/>
      <c r="M10742" s="539"/>
      <c r="N10742" s="539"/>
    </row>
    <row r="10743" spans="1:22">
      <c r="A10743" s="499">
        <v>45863</v>
      </c>
      <c r="B10743" s="499">
        <v>45863</v>
      </c>
      <c r="C10743" s="500" t="s">
        <v>173</v>
      </c>
      <c r="D10743" s="500" t="s">
        <v>761</v>
      </c>
      <c r="E10743" s="501">
        <v>23720095.5</v>
      </c>
      <c r="F10743" s="502" t="s">
        <v>381</v>
      </c>
      <c r="G10743" s="100" t="s">
        <v>722</v>
      </c>
      <c r="H10743" s="530"/>
      <c r="I10743" s="422"/>
      <c r="L10743" s="539"/>
      <c r="M10743" s="539"/>
      <c r="N10743" s="539"/>
    </row>
    <row r="10744" spans="1:22">
      <c r="A10744" s="499">
        <v>45863</v>
      </c>
      <c r="B10744" s="499">
        <v>45863</v>
      </c>
      <c r="C10744" s="500" t="s">
        <v>173</v>
      </c>
      <c r="D10744" s="500" t="s">
        <v>762</v>
      </c>
      <c r="E10744" s="501">
        <v>-9001932.8399999999</v>
      </c>
      <c r="F10744" s="502" t="s">
        <v>878</v>
      </c>
      <c r="G10744" s="100">
        <v>118267383</v>
      </c>
      <c r="H10744" s="530"/>
      <c r="I10744" s="422" t="s">
        <v>2854</v>
      </c>
      <c r="J10744" s="484" t="s">
        <v>906</v>
      </c>
      <c r="L10744" s="539"/>
      <c r="M10744" s="539"/>
      <c r="N10744" s="539">
        <v>16497</v>
      </c>
      <c r="R10744" s="539">
        <v>545.67089999999996</v>
      </c>
      <c r="S10744" s="539">
        <v>546.37055464629896</v>
      </c>
      <c r="T10744" s="538">
        <v>15.6</v>
      </c>
      <c r="U10744" s="538">
        <v>40.51</v>
      </c>
      <c r="V10744" s="538">
        <v>20.25</v>
      </c>
    </row>
    <row r="10745" spans="1:22">
      <c r="A10745" s="499">
        <v>45863</v>
      </c>
      <c r="B10745" s="499">
        <v>45866</v>
      </c>
      <c r="C10745" s="500" t="s">
        <v>173</v>
      </c>
      <c r="D10745" s="500" t="s">
        <v>762</v>
      </c>
      <c r="E10745" s="501">
        <v>9013475.0399999991</v>
      </c>
      <c r="F10745" s="502" t="s">
        <v>878</v>
      </c>
      <c r="G10745" s="100">
        <v>118267383</v>
      </c>
      <c r="H10745" s="100">
        <v>118267383</v>
      </c>
      <c r="I10745" s="422" t="s">
        <v>2854</v>
      </c>
      <c r="J10745" s="484" t="s">
        <v>912</v>
      </c>
      <c r="L10745" s="539"/>
      <c r="M10745" s="539"/>
      <c r="N10745" s="539">
        <v>16497</v>
      </c>
      <c r="R10745" s="539">
        <v>545.67089999999996</v>
      </c>
      <c r="S10745" s="539">
        <v>546.37055464629896</v>
      </c>
      <c r="T10745" s="538">
        <v>15.6</v>
      </c>
      <c r="U10745" s="538">
        <v>40.51</v>
      </c>
      <c r="V10745" s="538">
        <v>20.25</v>
      </c>
    </row>
    <row r="10746" spans="1:22">
      <c r="A10746" s="499">
        <v>45863</v>
      </c>
      <c r="B10746" s="499">
        <v>45863</v>
      </c>
      <c r="C10746" s="500" t="s">
        <v>173</v>
      </c>
      <c r="D10746" s="500" t="s">
        <v>763</v>
      </c>
      <c r="E10746" s="501">
        <v>-2037144398.8599999</v>
      </c>
      <c r="F10746" s="502" t="s">
        <v>878</v>
      </c>
      <c r="G10746" s="100">
        <v>118263623</v>
      </c>
      <c r="H10746" s="530"/>
      <c r="I10746" s="422" t="s">
        <v>1013</v>
      </c>
      <c r="J10746" s="484" t="s">
        <v>906</v>
      </c>
      <c r="L10746" s="539"/>
      <c r="M10746" s="539"/>
      <c r="N10746" s="539">
        <v>3829560</v>
      </c>
      <c r="R10746" s="539">
        <v>531.95259999999996</v>
      </c>
      <c r="S10746" s="539">
        <v>532.64122794524701</v>
      </c>
      <c r="T10746" s="538">
        <v>15.7501</v>
      </c>
      <c r="U10746" s="538">
        <v>9167.15</v>
      </c>
      <c r="V10746" s="538">
        <v>4583.57</v>
      </c>
    </row>
    <row r="10747" spans="1:22">
      <c r="A10747" s="499">
        <v>45863</v>
      </c>
      <c r="B10747" s="499">
        <v>45863</v>
      </c>
      <c r="C10747" s="500" t="s">
        <v>173</v>
      </c>
      <c r="D10747" s="500" t="s">
        <v>763</v>
      </c>
      <c r="E10747" s="501">
        <v>-1140299292.1800001</v>
      </c>
      <c r="F10747" s="502" t="s">
        <v>878</v>
      </c>
      <c r="G10747" s="100">
        <v>118263626</v>
      </c>
      <c r="H10747" s="530"/>
      <c r="I10747" s="422" t="s">
        <v>805</v>
      </c>
      <c r="J10747" s="484" t="s">
        <v>906</v>
      </c>
      <c r="L10747" s="539"/>
      <c r="M10747" s="539"/>
      <c r="N10747" s="539">
        <v>2091900</v>
      </c>
      <c r="R10747" s="539">
        <v>545.10220000000004</v>
      </c>
      <c r="S10747" s="539">
        <v>545.80784599646302</v>
      </c>
      <c r="T10747" s="538">
        <v>15.75</v>
      </c>
      <c r="U10747" s="538">
        <v>5131.3500000000004</v>
      </c>
      <c r="V10747" s="538">
        <v>2565.67</v>
      </c>
    </row>
    <row r="10748" spans="1:22">
      <c r="A10748" s="499">
        <v>45863</v>
      </c>
      <c r="B10748" s="499">
        <v>45863</v>
      </c>
      <c r="C10748" s="500" t="s">
        <v>173</v>
      </c>
      <c r="D10748" s="500" t="s">
        <v>763</v>
      </c>
      <c r="E10748" s="501">
        <v>-20005250.739999998</v>
      </c>
      <c r="F10748" s="502" t="s">
        <v>878</v>
      </c>
      <c r="G10748" s="100">
        <v>118263666</v>
      </c>
      <c r="H10748" s="530"/>
      <c r="I10748" s="422" t="s">
        <v>805</v>
      </c>
      <c r="J10748" s="484" t="s">
        <v>906</v>
      </c>
      <c r="L10748" s="539"/>
      <c r="M10748" s="539"/>
      <c r="N10748" s="539">
        <v>36700</v>
      </c>
      <c r="R10748" s="539">
        <v>545.10220000000004</v>
      </c>
      <c r="S10748" s="539">
        <v>545.80784604904602</v>
      </c>
      <c r="T10748" s="538">
        <v>15.75</v>
      </c>
      <c r="U10748" s="538">
        <v>90.02</v>
      </c>
      <c r="V10748" s="538">
        <v>45.01</v>
      </c>
    </row>
    <row r="10749" spans="1:22">
      <c r="A10749" s="499">
        <v>45863</v>
      </c>
      <c r="B10749" s="499">
        <v>45866</v>
      </c>
      <c r="C10749" s="500" t="s">
        <v>173</v>
      </c>
      <c r="D10749" s="500" t="s">
        <v>763</v>
      </c>
      <c r="E10749" s="501">
        <v>2039781540.8900001</v>
      </c>
      <c r="F10749" s="502" t="s">
        <v>878</v>
      </c>
      <c r="G10749" s="100">
        <v>118263623</v>
      </c>
      <c r="H10749" s="100">
        <v>118263623</v>
      </c>
      <c r="I10749" s="422" t="s">
        <v>1013</v>
      </c>
      <c r="J10749" s="484" t="s">
        <v>912</v>
      </c>
      <c r="L10749" s="539"/>
      <c r="M10749" s="539"/>
      <c r="N10749" s="539">
        <v>3829560</v>
      </c>
      <c r="R10749" s="539">
        <v>531.95259999999996</v>
      </c>
      <c r="S10749" s="539">
        <v>532.64122794524701</v>
      </c>
      <c r="T10749" s="538">
        <v>15.7501</v>
      </c>
      <c r="U10749" s="538">
        <v>9167.15</v>
      </c>
      <c r="V10749" s="538">
        <v>4583.57</v>
      </c>
    </row>
    <row r="10750" spans="1:22">
      <c r="A10750" s="499">
        <v>45863</v>
      </c>
      <c r="B10750" s="499">
        <v>45866</v>
      </c>
      <c r="C10750" s="500" t="s">
        <v>173</v>
      </c>
      <c r="D10750" s="500" t="s">
        <v>763</v>
      </c>
      <c r="E10750" s="501">
        <v>1141775433.04</v>
      </c>
      <c r="F10750" s="502" t="s">
        <v>878</v>
      </c>
      <c r="G10750" s="100">
        <v>118263626</v>
      </c>
      <c r="H10750" s="100">
        <v>118263626</v>
      </c>
      <c r="I10750" s="422" t="s">
        <v>805</v>
      </c>
      <c r="J10750" s="484" t="s">
        <v>912</v>
      </c>
      <c r="L10750" s="539"/>
      <c r="M10750" s="539"/>
      <c r="N10750" s="539">
        <v>2091900</v>
      </c>
      <c r="R10750" s="539">
        <v>545.10220000000004</v>
      </c>
      <c r="S10750" s="539">
        <v>545.80784599646302</v>
      </c>
      <c r="T10750" s="538">
        <v>15.75</v>
      </c>
      <c r="U10750" s="538">
        <v>5131.3500000000004</v>
      </c>
      <c r="V10750" s="538">
        <v>2565.67</v>
      </c>
    </row>
    <row r="10751" spans="1:22">
      <c r="A10751" s="499">
        <v>45863</v>
      </c>
      <c r="B10751" s="499">
        <v>45866</v>
      </c>
      <c r="C10751" s="500" t="s">
        <v>173</v>
      </c>
      <c r="D10751" s="500" t="s">
        <v>763</v>
      </c>
      <c r="E10751" s="501">
        <v>20031147.949999999</v>
      </c>
      <c r="F10751" s="502" t="s">
        <v>878</v>
      </c>
      <c r="G10751" s="100">
        <v>118263666</v>
      </c>
      <c r="H10751" s="100">
        <v>118263666</v>
      </c>
      <c r="I10751" s="422" t="s">
        <v>805</v>
      </c>
      <c r="J10751" s="484" t="s">
        <v>912</v>
      </c>
      <c r="L10751" s="539"/>
      <c r="M10751" s="539"/>
      <c r="N10751" s="539">
        <v>36700</v>
      </c>
      <c r="R10751" s="539">
        <v>545.10220000000004</v>
      </c>
      <c r="S10751" s="539">
        <v>545.80784604904602</v>
      </c>
      <c r="T10751" s="538">
        <v>15.75</v>
      </c>
      <c r="U10751" s="538">
        <v>90.02</v>
      </c>
      <c r="V10751" s="538">
        <v>45.01</v>
      </c>
    </row>
    <row r="10752" spans="1:22">
      <c r="A10752" s="499">
        <v>45863</v>
      </c>
      <c r="B10752" s="499">
        <v>45863</v>
      </c>
      <c r="C10752" s="500" t="s">
        <v>173</v>
      </c>
      <c r="D10752" s="500" t="s">
        <v>760</v>
      </c>
      <c r="E10752" s="501">
        <v>-1300009660.6900001</v>
      </c>
      <c r="F10752" s="502" t="s">
        <v>878</v>
      </c>
      <c r="G10752" s="100">
        <v>118260461</v>
      </c>
      <c r="H10752" s="530"/>
      <c r="I10752" s="422" t="s">
        <v>2556</v>
      </c>
      <c r="J10752" s="484" t="s">
        <v>906</v>
      </c>
      <c r="L10752" s="539"/>
      <c r="M10752" s="539"/>
      <c r="N10752" s="539">
        <v>14727700</v>
      </c>
      <c r="R10752" s="539">
        <v>88.2697</v>
      </c>
      <c r="S10752" s="539">
        <v>88.383603462862496</v>
      </c>
      <c r="T10752" s="538">
        <v>15.6999</v>
      </c>
      <c r="U10752" s="538">
        <v>5850.04</v>
      </c>
      <c r="V10752" s="538">
        <v>2925.02</v>
      </c>
    </row>
    <row r="10753" spans="1:22">
      <c r="A10753" s="499">
        <v>45863</v>
      </c>
      <c r="B10753" s="499">
        <v>45863</v>
      </c>
      <c r="C10753" s="500" t="s">
        <v>173</v>
      </c>
      <c r="D10753" s="500" t="s">
        <v>760</v>
      </c>
      <c r="E10753" s="501">
        <v>-189148393.72999999</v>
      </c>
      <c r="F10753" s="502" t="s">
        <v>878</v>
      </c>
      <c r="G10753" s="100">
        <v>118260781</v>
      </c>
      <c r="H10753" s="530"/>
      <c r="I10753" s="422" t="s">
        <v>658</v>
      </c>
      <c r="J10753" s="484" t="s">
        <v>906</v>
      </c>
      <c r="L10753" s="539"/>
      <c r="M10753" s="539"/>
      <c r="N10753" s="539">
        <v>187488</v>
      </c>
      <c r="R10753" s="539">
        <v>1008.856</v>
      </c>
      <c r="S10753" s="539">
        <v>1010.15782226062</v>
      </c>
      <c r="T10753" s="538">
        <v>15.6998</v>
      </c>
      <c r="U10753" s="538">
        <v>851.17</v>
      </c>
      <c r="V10753" s="538">
        <v>425.58</v>
      </c>
    </row>
    <row r="10754" spans="1:22">
      <c r="A10754" s="499">
        <v>45863</v>
      </c>
      <c r="B10754" s="499">
        <v>45866</v>
      </c>
      <c r="C10754" s="500" t="s">
        <v>173</v>
      </c>
      <c r="D10754" s="500" t="s">
        <v>760</v>
      </c>
      <c r="E10754" s="501">
        <v>1301687196.72</v>
      </c>
      <c r="F10754" s="502" t="s">
        <v>878</v>
      </c>
      <c r="G10754" s="100">
        <v>118260461</v>
      </c>
      <c r="H10754" s="100">
        <v>118260461</v>
      </c>
      <c r="I10754" s="422" t="s">
        <v>2556</v>
      </c>
      <c r="J10754" s="484" t="s">
        <v>912</v>
      </c>
      <c r="L10754" s="539"/>
      <c r="M10754" s="539"/>
      <c r="N10754" s="539">
        <v>14727700</v>
      </c>
      <c r="R10754" s="539">
        <v>88.2697</v>
      </c>
      <c r="S10754" s="539">
        <v>88.383603462862496</v>
      </c>
      <c r="T10754" s="538">
        <v>15.6999</v>
      </c>
      <c r="U10754" s="538">
        <v>5850.04</v>
      </c>
      <c r="V10754" s="538">
        <v>2925.02</v>
      </c>
    </row>
    <row r="10755" spans="1:22">
      <c r="A10755" s="499">
        <v>45863</v>
      </c>
      <c r="B10755" s="499">
        <v>45866</v>
      </c>
      <c r="C10755" s="500" t="s">
        <v>173</v>
      </c>
      <c r="D10755" s="500" t="s">
        <v>760</v>
      </c>
      <c r="E10755" s="501">
        <v>189392469.78</v>
      </c>
      <c r="F10755" s="502" t="s">
        <v>878</v>
      </c>
      <c r="G10755" s="100">
        <v>118260781</v>
      </c>
      <c r="H10755" s="100">
        <v>118260781</v>
      </c>
      <c r="I10755" s="422" t="s">
        <v>658</v>
      </c>
      <c r="J10755" s="484" t="s">
        <v>912</v>
      </c>
      <c r="L10755" s="539"/>
      <c r="M10755" s="539"/>
      <c r="N10755" s="539">
        <v>187488</v>
      </c>
      <c r="R10755" s="539">
        <v>1008.856</v>
      </c>
      <c r="S10755" s="539">
        <v>1010.15782226062</v>
      </c>
      <c r="T10755" s="538">
        <v>15.6998</v>
      </c>
      <c r="U10755" s="538">
        <v>851.17</v>
      </c>
      <c r="V10755" s="538">
        <v>425.58</v>
      </c>
    </row>
    <row r="10756" spans="1:22">
      <c r="A10756" s="499">
        <v>45863</v>
      </c>
      <c r="B10756" s="499">
        <v>45863</v>
      </c>
      <c r="C10756" s="500" t="s">
        <v>173</v>
      </c>
      <c r="D10756" s="500" t="s">
        <v>761</v>
      </c>
      <c r="E10756" s="501">
        <v>-1342095131.7</v>
      </c>
      <c r="F10756" s="502" t="s">
        <v>878</v>
      </c>
      <c r="G10756" s="100">
        <v>118261127</v>
      </c>
      <c r="H10756" s="530"/>
      <c r="I10756" s="422" t="s">
        <v>1013</v>
      </c>
      <c r="J10756" s="484" t="s">
        <v>906</v>
      </c>
      <c r="L10756" s="539"/>
      <c r="M10756" s="539"/>
      <c r="N10756" s="539">
        <v>2522960</v>
      </c>
      <c r="R10756" s="539">
        <v>531.95260000158544</v>
      </c>
      <c r="S10756" s="539">
        <v>532.639911909028</v>
      </c>
      <c r="T10756" s="538">
        <v>15.72</v>
      </c>
      <c r="U10756" s="538">
        <v>6039.43</v>
      </c>
      <c r="V10756" s="538">
        <v>3019.71</v>
      </c>
    </row>
    <row r="10757" spans="1:22">
      <c r="A10757" s="499">
        <v>45863</v>
      </c>
      <c r="B10757" s="499">
        <v>45863</v>
      </c>
      <c r="C10757" s="500" t="s">
        <v>173</v>
      </c>
      <c r="D10757" s="500" t="s">
        <v>761</v>
      </c>
      <c r="E10757" s="501">
        <v>-8000071.9100000001</v>
      </c>
      <c r="F10757" s="502" t="s">
        <v>878</v>
      </c>
      <c r="G10757" s="100">
        <v>118261393</v>
      </c>
      <c r="H10757" s="530"/>
      <c r="I10757" s="422" t="s">
        <v>2903</v>
      </c>
      <c r="J10757" s="484" t="s">
        <v>906</v>
      </c>
      <c r="L10757" s="539"/>
      <c r="M10757" s="539"/>
      <c r="N10757" s="539">
        <v>80840</v>
      </c>
      <c r="R10757" s="539">
        <v>98.96179997525978</v>
      </c>
      <c r="S10757" s="539">
        <v>99.089664027709105</v>
      </c>
      <c r="T10757" s="538">
        <v>15.72</v>
      </c>
      <c r="U10757" s="538">
        <v>39.32</v>
      </c>
      <c r="V10757" s="538">
        <v>18</v>
      </c>
    </row>
    <row r="10758" spans="1:22">
      <c r="A10758" s="499">
        <v>45863</v>
      </c>
      <c r="B10758" s="499">
        <v>45863</v>
      </c>
      <c r="C10758" s="500" t="s">
        <v>173</v>
      </c>
      <c r="D10758" s="500" t="s">
        <v>761</v>
      </c>
      <c r="E10758" s="501">
        <v>-83079008.530000001</v>
      </c>
      <c r="F10758" s="502" t="s">
        <v>878</v>
      </c>
      <c r="G10758" s="100">
        <v>118268181</v>
      </c>
      <c r="H10758" s="530"/>
      <c r="I10758" s="422" t="s">
        <v>1741</v>
      </c>
      <c r="J10758" s="484" t="s">
        <v>906</v>
      </c>
      <c r="L10758" s="539"/>
      <c r="M10758" s="539"/>
      <c r="N10758" s="539">
        <v>84826</v>
      </c>
      <c r="R10758" s="539">
        <v>979.40499999999997</v>
      </c>
      <c r="S10758" s="539">
        <v>980.668834909108</v>
      </c>
      <c r="T10758" s="538">
        <v>15.7</v>
      </c>
      <c r="U10758" s="538">
        <v>373.86</v>
      </c>
      <c r="V10758" s="538">
        <v>186.93</v>
      </c>
    </row>
    <row r="10759" spans="1:22">
      <c r="A10759" s="499">
        <v>45863</v>
      </c>
      <c r="B10759" s="499">
        <v>45866</v>
      </c>
      <c r="C10759" s="500" t="s">
        <v>173</v>
      </c>
      <c r="D10759" s="500" t="s">
        <v>761</v>
      </c>
      <c r="E10759" s="501">
        <v>1343829192.1500001</v>
      </c>
      <c r="F10759" s="502" t="s">
        <v>878</v>
      </c>
      <c r="G10759" s="100">
        <v>118261127</v>
      </c>
      <c r="H10759" s="100">
        <v>118261127</v>
      </c>
      <c r="I10759" s="422" t="s">
        <v>1013</v>
      </c>
      <c r="J10759" s="484" t="s">
        <v>912</v>
      </c>
      <c r="L10759" s="539"/>
      <c r="M10759" s="539"/>
      <c r="N10759" s="539">
        <v>2522960</v>
      </c>
      <c r="R10759" s="539">
        <v>531.95260000158544</v>
      </c>
      <c r="S10759" s="539">
        <v>532.639911909028</v>
      </c>
      <c r="T10759" s="538">
        <v>15.72</v>
      </c>
      <c r="U10759" s="538">
        <v>6039.43</v>
      </c>
      <c r="V10759" s="538">
        <v>3019.71</v>
      </c>
    </row>
    <row r="10760" spans="1:22">
      <c r="A10760" s="499">
        <v>45863</v>
      </c>
      <c r="B10760" s="499">
        <v>45866</v>
      </c>
      <c r="C10760" s="500" t="s">
        <v>173</v>
      </c>
      <c r="D10760" s="500" t="s">
        <v>761</v>
      </c>
      <c r="E10760" s="501">
        <v>8010408.4400000004</v>
      </c>
      <c r="F10760" s="502" t="s">
        <v>878</v>
      </c>
      <c r="G10760" s="100">
        <v>118261393</v>
      </c>
      <c r="H10760" s="100">
        <v>118261393</v>
      </c>
      <c r="I10760" s="422" t="s">
        <v>2903</v>
      </c>
      <c r="J10760" s="484" t="s">
        <v>912</v>
      </c>
      <c r="L10760" s="539"/>
      <c r="M10760" s="539"/>
      <c r="N10760" s="539">
        <v>80840</v>
      </c>
      <c r="R10760" s="539">
        <v>98.96179997525978</v>
      </c>
      <c r="S10760" s="539">
        <v>99.089664027709105</v>
      </c>
      <c r="T10760" s="538">
        <v>15.72</v>
      </c>
      <c r="U10760" s="538">
        <v>39.32</v>
      </c>
      <c r="V10760" s="538">
        <v>18</v>
      </c>
    </row>
    <row r="10761" spans="1:22">
      <c r="A10761" s="499">
        <v>45863</v>
      </c>
      <c r="B10761" s="499">
        <v>45866</v>
      </c>
      <c r="C10761" s="500" t="s">
        <v>173</v>
      </c>
      <c r="D10761" s="500" t="s">
        <v>761</v>
      </c>
      <c r="E10761" s="501">
        <v>83186214.590000004</v>
      </c>
      <c r="F10761" s="502" t="s">
        <v>878</v>
      </c>
      <c r="G10761" s="100">
        <v>118268181</v>
      </c>
      <c r="H10761" s="100">
        <v>118268181</v>
      </c>
      <c r="I10761" s="422" t="s">
        <v>1741</v>
      </c>
      <c r="J10761" s="484" t="s">
        <v>912</v>
      </c>
      <c r="L10761" s="539"/>
      <c r="M10761" s="539"/>
      <c r="N10761" s="539">
        <v>84826</v>
      </c>
      <c r="R10761" s="539">
        <v>979.40499999999997</v>
      </c>
      <c r="S10761" s="539">
        <v>980.668834909108</v>
      </c>
      <c r="T10761" s="538">
        <v>15.7</v>
      </c>
      <c r="U10761" s="538">
        <v>373.86</v>
      </c>
      <c r="V10761" s="538">
        <v>186.93</v>
      </c>
    </row>
    <row r="10762" spans="1:22">
      <c r="A10762" s="499">
        <v>45863</v>
      </c>
      <c r="B10762" s="499">
        <v>45863</v>
      </c>
      <c r="C10762" s="500" t="s">
        <v>173</v>
      </c>
      <c r="D10762" s="500" t="s">
        <v>759</v>
      </c>
      <c r="E10762" s="501">
        <v>-2021018166.77</v>
      </c>
      <c r="F10762" s="502" t="s">
        <v>878</v>
      </c>
      <c r="G10762" s="100">
        <v>118261399</v>
      </c>
      <c r="H10762" s="530"/>
      <c r="I10762" s="422" t="s">
        <v>2903</v>
      </c>
      <c r="J10762" s="484" t="s">
        <v>906</v>
      </c>
      <c r="L10762" s="539"/>
      <c r="M10762" s="539"/>
      <c r="N10762" s="539">
        <v>20422205</v>
      </c>
      <c r="R10762" s="539">
        <v>98.961800000048967</v>
      </c>
      <c r="S10762" s="539">
        <v>99.089664068106302</v>
      </c>
      <c r="T10762" s="538">
        <v>15.72</v>
      </c>
      <c r="U10762" s="538">
        <v>9094.58</v>
      </c>
      <c r="V10762" s="538">
        <v>4547.29</v>
      </c>
    </row>
    <row r="10763" spans="1:22">
      <c r="A10763" s="499">
        <v>45863</v>
      </c>
      <c r="B10763" s="499">
        <v>45863</v>
      </c>
      <c r="C10763" s="500" t="s">
        <v>173</v>
      </c>
      <c r="D10763" s="500" t="s">
        <v>759</v>
      </c>
      <c r="E10763" s="501">
        <v>-13004079.289999999</v>
      </c>
      <c r="F10763" s="502" t="s">
        <v>878</v>
      </c>
      <c r="G10763" s="100">
        <v>118261499</v>
      </c>
      <c r="H10763" s="530"/>
      <c r="I10763" s="422" t="s">
        <v>635</v>
      </c>
      <c r="J10763" s="484" t="s">
        <v>906</v>
      </c>
      <c r="L10763" s="539"/>
      <c r="M10763" s="539"/>
      <c r="N10763" s="539">
        <v>20826</v>
      </c>
      <c r="R10763" s="539">
        <v>624.4156002112743</v>
      </c>
      <c r="S10763" s="539">
        <v>625.22135791798701</v>
      </c>
      <c r="T10763" s="538">
        <v>15.700100000000001</v>
      </c>
      <c r="U10763" s="538">
        <v>58.52</v>
      </c>
      <c r="V10763" s="538">
        <v>29.26</v>
      </c>
    </row>
    <row r="10764" spans="1:22">
      <c r="A10764" s="499">
        <v>45863</v>
      </c>
      <c r="B10764" s="499">
        <v>45866</v>
      </c>
      <c r="C10764" s="500" t="s">
        <v>173</v>
      </c>
      <c r="D10764" s="500" t="s">
        <v>759</v>
      </c>
      <c r="E10764" s="501">
        <v>2023629432.98</v>
      </c>
      <c r="F10764" s="502" t="s">
        <v>878</v>
      </c>
      <c r="G10764" s="100">
        <v>118261399</v>
      </c>
      <c r="H10764" s="100">
        <v>118261399</v>
      </c>
      <c r="I10764" s="422" t="s">
        <v>2903</v>
      </c>
      <c r="J10764" s="484" t="s">
        <v>912</v>
      </c>
      <c r="L10764" s="539"/>
      <c r="M10764" s="539"/>
      <c r="N10764" s="539">
        <v>20422205</v>
      </c>
      <c r="R10764" s="539">
        <v>98.961800000048967</v>
      </c>
      <c r="S10764" s="539">
        <v>99.089664068106302</v>
      </c>
      <c r="T10764" s="538">
        <v>15.72</v>
      </c>
      <c r="U10764" s="538">
        <v>9094.58</v>
      </c>
      <c r="V10764" s="538">
        <v>4547.29</v>
      </c>
    </row>
    <row r="10765" spans="1:22">
      <c r="A10765" s="499">
        <v>45863</v>
      </c>
      <c r="B10765" s="499">
        <v>45866</v>
      </c>
      <c r="C10765" s="500" t="s">
        <v>173</v>
      </c>
      <c r="D10765" s="500" t="s">
        <v>759</v>
      </c>
      <c r="E10765" s="501">
        <v>13020860</v>
      </c>
      <c r="F10765" s="502" t="s">
        <v>878</v>
      </c>
      <c r="G10765" s="100">
        <v>118261499</v>
      </c>
      <c r="H10765" s="100">
        <v>118261499</v>
      </c>
      <c r="I10765" s="422" t="s">
        <v>635</v>
      </c>
      <c r="J10765" s="484" t="s">
        <v>912</v>
      </c>
      <c r="L10765" s="539"/>
      <c r="M10765" s="539"/>
      <c r="N10765" s="539">
        <v>20826</v>
      </c>
      <c r="R10765" s="539">
        <v>624.4156002112743</v>
      </c>
      <c r="S10765" s="539">
        <v>625.22135791798701</v>
      </c>
      <c r="T10765" s="538">
        <v>15.700100000000001</v>
      </c>
      <c r="U10765" s="538">
        <v>58.52</v>
      </c>
      <c r="V10765" s="538">
        <v>29.26</v>
      </c>
    </row>
    <row r="10766" spans="1:22">
      <c r="A10766" s="499">
        <v>45863</v>
      </c>
      <c r="B10766" s="499">
        <v>45863</v>
      </c>
      <c r="C10766" s="500" t="s">
        <v>173</v>
      </c>
      <c r="D10766" s="500" t="s">
        <v>762</v>
      </c>
      <c r="E10766" s="501">
        <v>350000000</v>
      </c>
      <c r="F10766" s="502" t="s">
        <v>2832</v>
      </c>
      <c r="G10766" s="100" t="s">
        <v>903</v>
      </c>
      <c r="H10766" s="530"/>
      <c r="I10766" s="422" t="s">
        <v>1730</v>
      </c>
      <c r="L10766" s="539"/>
      <c r="M10766" s="539"/>
      <c r="N10766" s="539"/>
    </row>
    <row r="10767" spans="1:22">
      <c r="A10767" s="499">
        <v>45863</v>
      </c>
      <c r="B10767" s="499">
        <v>45863</v>
      </c>
      <c r="C10767" s="500" t="s">
        <v>173</v>
      </c>
      <c r="D10767" s="500" t="s">
        <v>762</v>
      </c>
      <c r="E10767" s="501">
        <v>43750000</v>
      </c>
      <c r="F10767" s="502" t="s">
        <v>381</v>
      </c>
      <c r="G10767" s="100" t="s">
        <v>903</v>
      </c>
      <c r="H10767" s="530"/>
      <c r="I10767" s="422" t="s">
        <v>1730</v>
      </c>
      <c r="L10767" s="539"/>
      <c r="M10767" s="539"/>
      <c r="N10767" s="539"/>
    </row>
    <row r="10768" spans="1:22">
      <c r="A10768" s="499">
        <v>45864</v>
      </c>
      <c r="B10768" s="499">
        <v>45866</v>
      </c>
      <c r="C10768" s="500" t="s">
        <v>173</v>
      </c>
      <c r="D10768" s="500" t="s">
        <v>759</v>
      </c>
      <c r="E10768" s="501">
        <v>399375000</v>
      </c>
      <c r="F10768" s="502" t="s">
        <v>381</v>
      </c>
      <c r="G10768" s="100" t="s">
        <v>446</v>
      </c>
      <c r="H10768" s="530"/>
      <c r="I10768" s="422"/>
      <c r="L10768" s="539"/>
      <c r="M10768" s="539"/>
      <c r="N10768" s="539"/>
    </row>
    <row r="10769" spans="1:22">
      <c r="A10769" s="499">
        <v>45864</v>
      </c>
      <c r="B10769" s="499">
        <v>45866</v>
      </c>
      <c r="C10769" s="500" t="s">
        <v>173</v>
      </c>
      <c r="D10769" s="500" t="s">
        <v>762</v>
      </c>
      <c r="E10769" s="501">
        <v>384198750</v>
      </c>
      <c r="F10769" s="502" t="s">
        <v>381</v>
      </c>
      <c r="G10769" s="100" t="s">
        <v>446</v>
      </c>
      <c r="H10769" s="530"/>
      <c r="I10769" s="422"/>
      <c r="L10769" s="539"/>
      <c r="M10769" s="539"/>
      <c r="N10769" s="539"/>
    </row>
    <row r="10770" spans="1:22">
      <c r="A10770" s="499">
        <v>45864</v>
      </c>
      <c r="B10770" s="499">
        <v>45866</v>
      </c>
      <c r="C10770" s="500" t="s">
        <v>173</v>
      </c>
      <c r="D10770" s="500" t="s">
        <v>760</v>
      </c>
      <c r="E10770" s="501">
        <v>241222500</v>
      </c>
      <c r="F10770" s="502" t="s">
        <v>381</v>
      </c>
      <c r="G10770" s="100" t="s">
        <v>446</v>
      </c>
      <c r="H10770" s="530"/>
      <c r="I10770" s="422"/>
      <c r="L10770" s="539"/>
      <c r="M10770" s="539"/>
      <c r="N10770" s="539"/>
    </row>
    <row r="10771" spans="1:22">
      <c r="A10771" s="499">
        <v>45864</v>
      </c>
      <c r="B10771" s="499">
        <v>45866</v>
      </c>
      <c r="C10771" s="500" t="s">
        <v>173</v>
      </c>
      <c r="D10771" s="500" t="s">
        <v>761</v>
      </c>
      <c r="E10771" s="501">
        <v>104583000</v>
      </c>
      <c r="F10771" s="502" t="s">
        <v>381</v>
      </c>
      <c r="G10771" s="100" t="s">
        <v>446</v>
      </c>
      <c r="H10771" s="530"/>
      <c r="I10771" s="422"/>
      <c r="L10771" s="539"/>
      <c r="M10771" s="539"/>
      <c r="N10771" s="539"/>
    </row>
    <row r="10772" spans="1:22">
      <c r="A10772" s="499">
        <v>45864</v>
      </c>
      <c r="B10772" s="499">
        <v>45866</v>
      </c>
      <c r="C10772" s="500" t="s">
        <v>173</v>
      </c>
      <c r="D10772" s="500" t="s">
        <v>761</v>
      </c>
      <c r="E10772" s="501">
        <v>26625000</v>
      </c>
      <c r="F10772" s="502" t="s">
        <v>381</v>
      </c>
      <c r="G10772" s="100" t="s">
        <v>446</v>
      </c>
      <c r="H10772" s="530"/>
      <c r="I10772" s="422"/>
      <c r="L10772" s="539"/>
      <c r="M10772" s="539"/>
      <c r="N10772" s="539"/>
    </row>
    <row r="10773" spans="1:22">
      <c r="A10773" s="499">
        <v>45864</v>
      </c>
      <c r="B10773" s="499">
        <v>45866</v>
      </c>
      <c r="C10773" s="500" t="s">
        <v>173</v>
      </c>
      <c r="D10773" s="500" t="s">
        <v>763</v>
      </c>
      <c r="E10773" s="501">
        <v>202083750</v>
      </c>
      <c r="F10773" s="502" t="s">
        <v>381</v>
      </c>
      <c r="G10773" s="100" t="s">
        <v>446</v>
      </c>
      <c r="H10773" s="530"/>
      <c r="I10773" s="422"/>
      <c r="L10773" s="539"/>
      <c r="M10773" s="539"/>
      <c r="N10773" s="539"/>
    </row>
    <row r="10774" spans="1:22">
      <c r="A10774" s="499">
        <v>45864</v>
      </c>
      <c r="B10774" s="499">
        <v>45866</v>
      </c>
      <c r="C10774" s="500" t="s">
        <v>173</v>
      </c>
      <c r="D10774" s="500" t="s">
        <v>764</v>
      </c>
      <c r="E10774" s="501">
        <v>162945000</v>
      </c>
      <c r="F10774" s="502" t="s">
        <v>381</v>
      </c>
      <c r="G10774" s="100" t="s">
        <v>446</v>
      </c>
      <c r="H10774" s="530"/>
      <c r="I10774" s="422"/>
      <c r="L10774" s="539"/>
      <c r="M10774" s="539"/>
      <c r="N10774" s="539"/>
    </row>
    <row r="10775" spans="1:22">
      <c r="A10775" s="499">
        <v>45866</v>
      </c>
      <c r="B10775" s="499">
        <v>45866</v>
      </c>
      <c r="C10775" s="500" t="s">
        <v>173</v>
      </c>
      <c r="D10775" s="500" t="s">
        <v>762</v>
      </c>
      <c r="E10775" s="501">
        <v>-401000220.70999998</v>
      </c>
      <c r="F10775" s="502" t="s">
        <v>878</v>
      </c>
      <c r="G10775" s="100">
        <v>118291785</v>
      </c>
      <c r="H10775" s="530"/>
      <c r="I10775" s="422" t="s">
        <v>807</v>
      </c>
      <c r="J10775" s="484" t="s">
        <v>906</v>
      </c>
      <c r="L10775" s="539"/>
      <c r="M10775" s="539"/>
      <c r="N10775" s="539">
        <v>375749832</v>
      </c>
      <c r="R10775" s="539">
        <v>1.0671999999999999</v>
      </c>
      <c r="S10775" s="539">
        <v>1.0676561212674101</v>
      </c>
      <c r="T10775" s="538">
        <v>15.600099999999999</v>
      </c>
      <c r="U10775" s="538">
        <v>601.5</v>
      </c>
      <c r="V10775" s="538">
        <v>300.75</v>
      </c>
    </row>
    <row r="10776" spans="1:22">
      <c r="A10776" s="499">
        <v>45866</v>
      </c>
      <c r="B10776" s="499">
        <v>45866</v>
      </c>
      <c r="C10776" s="500" t="s">
        <v>173</v>
      </c>
      <c r="D10776" s="500" t="s">
        <v>762</v>
      </c>
      <c r="E10776" s="501">
        <v>-761187507.96000004</v>
      </c>
      <c r="F10776" s="502" t="s">
        <v>878</v>
      </c>
      <c r="G10776" s="100">
        <v>118299878</v>
      </c>
      <c r="H10776" s="530"/>
      <c r="I10776" s="422" t="s">
        <v>2856</v>
      </c>
      <c r="J10776" s="484" t="s">
        <v>906</v>
      </c>
      <c r="L10776" s="539"/>
      <c r="M10776" s="539"/>
      <c r="N10776" s="539">
        <v>1388064</v>
      </c>
      <c r="R10776" s="539">
        <v>548.38070000000005</v>
      </c>
      <c r="S10776" s="539">
        <v>548.61733002224696</v>
      </c>
      <c r="T10776" s="538">
        <v>15.75</v>
      </c>
      <c r="U10776" s="538">
        <v>1141.78</v>
      </c>
      <c r="V10776" s="538">
        <v>570.89</v>
      </c>
    </row>
    <row r="10777" spans="1:22">
      <c r="A10777" s="499">
        <v>45866</v>
      </c>
      <c r="B10777" s="499">
        <v>45867</v>
      </c>
      <c r="C10777" s="500" t="s">
        <v>173</v>
      </c>
      <c r="D10777" s="500" t="s">
        <v>762</v>
      </c>
      <c r="E10777" s="501">
        <v>401171608.19999999</v>
      </c>
      <c r="F10777" s="502" t="s">
        <v>878</v>
      </c>
      <c r="G10777" s="100">
        <v>118291785</v>
      </c>
      <c r="H10777" s="484">
        <v>118291785</v>
      </c>
      <c r="I10777" s="422" t="s">
        <v>807</v>
      </c>
      <c r="J10777" s="484" t="s">
        <v>912</v>
      </c>
      <c r="L10777" s="539"/>
      <c r="M10777" s="539"/>
      <c r="N10777" s="539">
        <v>375749832</v>
      </c>
      <c r="R10777" s="539">
        <v>1.0671999999999999</v>
      </c>
      <c r="S10777" s="539">
        <v>1.0676561212674101</v>
      </c>
      <c r="T10777" s="538">
        <v>15.600099999999999</v>
      </c>
      <c r="U10777" s="538">
        <v>601.5</v>
      </c>
      <c r="V10777" s="538">
        <v>300.75</v>
      </c>
    </row>
    <row r="10778" spans="1:22">
      <c r="A10778" s="499">
        <v>45866</v>
      </c>
      <c r="B10778" s="499">
        <v>45867</v>
      </c>
      <c r="C10778" s="500" t="s">
        <v>173</v>
      </c>
      <c r="D10778" s="500" t="s">
        <v>762</v>
      </c>
      <c r="E10778" s="501">
        <v>761515965.58000004</v>
      </c>
      <c r="F10778" s="502" t="s">
        <v>878</v>
      </c>
      <c r="G10778" s="100">
        <v>118299878</v>
      </c>
      <c r="H10778" s="484">
        <v>118299878</v>
      </c>
      <c r="I10778" s="422" t="s">
        <v>2856</v>
      </c>
      <c r="J10778" s="484" t="s">
        <v>912</v>
      </c>
      <c r="L10778" s="539"/>
      <c r="M10778" s="539"/>
      <c r="N10778" s="539">
        <v>1388064</v>
      </c>
      <c r="R10778" s="539">
        <v>548.38070000000005</v>
      </c>
      <c r="S10778" s="539">
        <v>548.61733002224696</v>
      </c>
      <c r="T10778" s="538">
        <v>15.75</v>
      </c>
      <c r="U10778" s="538">
        <v>1141.78</v>
      </c>
      <c r="V10778" s="538">
        <v>570.89</v>
      </c>
    </row>
    <row r="10779" spans="1:22">
      <c r="A10779" s="499">
        <v>45866</v>
      </c>
      <c r="B10779" s="499">
        <v>45866</v>
      </c>
      <c r="C10779" s="500" t="s">
        <v>173</v>
      </c>
      <c r="D10779" s="500" t="s">
        <v>764</v>
      </c>
      <c r="E10779" s="501">
        <v>-141003032.22</v>
      </c>
      <c r="F10779" s="502" t="s">
        <v>878</v>
      </c>
      <c r="G10779" s="100">
        <v>118289653</v>
      </c>
      <c r="H10779" s="530"/>
      <c r="I10779" s="422" t="s">
        <v>2903</v>
      </c>
      <c r="J10779" s="484" t="s">
        <v>906</v>
      </c>
      <c r="L10779" s="539"/>
      <c r="M10779" s="539"/>
      <c r="N10779" s="539">
        <v>1423113</v>
      </c>
      <c r="R10779" s="539">
        <v>99.080700000632419</v>
      </c>
      <c r="S10779" s="539">
        <v>99.123263985361703</v>
      </c>
      <c r="T10779" s="538">
        <v>15.68</v>
      </c>
      <c r="U10779" s="538">
        <v>211.5</v>
      </c>
      <c r="V10779" s="538">
        <v>105.75</v>
      </c>
    </row>
    <row r="10780" spans="1:22">
      <c r="A10780" s="499">
        <v>45866</v>
      </c>
      <c r="B10780" s="499">
        <v>45866</v>
      </c>
      <c r="C10780" s="500" t="s">
        <v>173</v>
      </c>
      <c r="D10780" s="500" t="s">
        <v>764</v>
      </c>
      <c r="E10780" s="501">
        <v>-323079586.17000002</v>
      </c>
      <c r="F10780" s="502" t="s">
        <v>878</v>
      </c>
      <c r="G10780" s="100">
        <v>118298740</v>
      </c>
      <c r="H10780" s="530"/>
      <c r="I10780" s="422" t="s">
        <v>2856</v>
      </c>
      <c r="J10780" s="484" t="s">
        <v>906</v>
      </c>
      <c r="L10780" s="539"/>
      <c r="M10780" s="539"/>
      <c r="N10780" s="539">
        <v>589152</v>
      </c>
      <c r="R10780" s="539">
        <v>548.38070000611049</v>
      </c>
      <c r="S10780" s="539">
        <v>548.61733002688595</v>
      </c>
      <c r="T10780" s="538">
        <v>15.75</v>
      </c>
      <c r="U10780" s="538">
        <v>484.62</v>
      </c>
      <c r="V10780" s="538">
        <v>242.31</v>
      </c>
    </row>
    <row r="10781" spans="1:22">
      <c r="A10781" s="499">
        <v>45866</v>
      </c>
      <c r="B10781" s="499">
        <v>45867</v>
      </c>
      <c r="C10781" s="500" t="s">
        <v>173</v>
      </c>
      <c r="D10781" s="500" t="s">
        <v>764</v>
      </c>
      <c r="E10781" s="501">
        <v>141063605.58000001</v>
      </c>
      <c r="F10781" s="502" t="s">
        <v>878</v>
      </c>
      <c r="G10781" s="100">
        <v>118289653</v>
      </c>
      <c r="H10781" s="100">
        <v>118289653</v>
      </c>
      <c r="I10781" s="422" t="s">
        <v>2903</v>
      </c>
      <c r="J10781" s="484" t="s">
        <v>912</v>
      </c>
      <c r="L10781" s="539"/>
      <c r="M10781" s="539"/>
      <c r="N10781" s="539">
        <v>1423113</v>
      </c>
      <c r="R10781" s="539">
        <v>99.080700000632419</v>
      </c>
      <c r="S10781" s="539">
        <v>99.123263985361703</v>
      </c>
      <c r="T10781" s="538">
        <v>15.68</v>
      </c>
      <c r="U10781" s="538">
        <v>211.5</v>
      </c>
      <c r="V10781" s="538">
        <v>105.75</v>
      </c>
    </row>
    <row r="10782" spans="1:22">
      <c r="A10782" s="499">
        <v>45866</v>
      </c>
      <c r="B10782" s="499">
        <v>45867</v>
      </c>
      <c r="C10782" s="500" t="s">
        <v>173</v>
      </c>
      <c r="D10782" s="500" t="s">
        <v>764</v>
      </c>
      <c r="E10782" s="501">
        <v>323218997.22000003</v>
      </c>
      <c r="F10782" s="502" t="s">
        <v>878</v>
      </c>
      <c r="G10782" s="100">
        <v>118298740</v>
      </c>
      <c r="H10782" s="100">
        <v>118298740</v>
      </c>
      <c r="I10782" s="422" t="s">
        <v>2856</v>
      </c>
      <c r="J10782" s="484" t="s">
        <v>912</v>
      </c>
      <c r="L10782" s="539"/>
      <c r="M10782" s="539"/>
      <c r="N10782" s="539">
        <v>589152</v>
      </c>
      <c r="R10782" s="539">
        <v>548.38070000611049</v>
      </c>
      <c r="S10782" s="539">
        <v>548.61733002688595</v>
      </c>
      <c r="T10782" s="538">
        <v>15.75</v>
      </c>
      <c r="U10782" s="538">
        <v>484.62</v>
      </c>
      <c r="V10782" s="538">
        <v>242.31</v>
      </c>
    </row>
    <row r="10783" spans="1:22">
      <c r="A10783" s="499">
        <v>45866</v>
      </c>
      <c r="B10783" s="499">
        <v>45866</v>
      </c>
      <c r="C10783" s="500" t="s">
        <v>173</v>
      </c>
      <c r="D10783" s="500" t="s">
        <v>760</v>
      </c>
      <c r="E10783" s="501">
        <v>-1300722256.5999999</v>
      </c>
      <c r="F10783" s="502" t="s">
        <v>878</v>
      </c>
      <c r="G10783" s="100">
        <v>118288884</v>
      </c>
      <c r="H10783" s="530"/>
      <c r="I10783" s="422" t="s">
        <v>704</v>
      </c>
      <c r="J10783" s="484" t="s">
        <v>906</v>
      </c>
      <c r="L10783" s="539"/>
      <c r="M10783" s="539"/>
      <c r="N10783" s="539">
        <v>1604200</v>
      </c>
      <c r="R10783" s="539">
        <v>810.82299999999998</v>
      </c>
      <c r="S10783" s="539">
        <v>811.17154059967595</v>
      </c>
      <c r="T10783" s="538">
        <v>15.6899</v>
      </c>
      <c r="U10783" s="538">
        <v>1951.08</v>
      </c>
      <c r="V10783" s="538">
        <v>975.54</v>
      </c>
    </row>
    <row r="10784" spans="1:22">
      <c r="A10784" s="499">
        <v>45866</v>
      </c>
      <c r="B10784" s="499">
        <v>45866</v>
      </c>
      <c r="C10784" s="500" t="s">
        <v>173</v>
      </c>
      <c r="D10784" s="500" t="s">
        <v>760</v>
      </c>
      <c r="E10784" s="501">
        <v>-189071457.12</v>
      </c>
      <c r="F10784" s="502" t="s">
        <v>878</v>
      </c>
      <c r="G10784" s="100">
        <v>118289159</v>
      </c>
      <c r="H10784" s="530"/>
      <c r="I10784" s="422" t="s">
        <v>675</v>
      </c>
      <c r="J10784" s="484" t="s">
        <v>906</v>
      </c>
      <c r="L10784" s="539"/>
      <c r="M10784" s="539"/>
      <c r="N10784" s="539">
        <v>204120</v>
      </c>
      <c r="R10784" s="539">
        <v>926.27599999999995</v>
      </c>
      <c r="S10784" s="539">
        <v>926.67416926317799</v>
      </c>
      <c r="T10784" s="538">
        <v>15.6899</v>
      </c>
      <c r="U10784" s="538">
        <v>283.61</v>
      </c>
      <c r="V10784" s="538">
        <v>141.80000000000001</v>
      </c>
    </row>
    <row r="10785" spans="1:22">
      <c r="A10785" s="499">
        <v>45866</v>
      </c>
      <c r="B10785" s="499">
        <v>45866</v>
      </c>
      <c r="C10785" s="500" t="s">
        <v>173</v>
      </c>
      <c r="D10785" s="500" t="s">
        <v>760</v>
      </c>
      <c r="E10785" s="501">
        <v>-500338020</v>
      </c>
      <c r="F10785" s="502" t="s">
        <v>878</v>
      </c>
      <c r="G10785" s="100">
        <v>118300002</v>
      </c>
      <c r="H10785" s="530"/>
      <c r="I10785" s="422" t="s">
        <v>1051</v>
      </c>
      <c r="J10785" s="484" t="s">
        <v>906</v>
      </c>
      <c r="L10785" s="539"/>
      <c r="M10785" s="539"/>
      <c r="N10785" s="539">
        <v>465500</v>
      </c>
      <c r="R10785" s="539">
        <v>1074.8399999999999</v>
      </c>
      <c r="S10785" s="539">
        <v>1075.3023284425301</v>
      </c>
      <c r="T10785" s="538">
        <v>15.7</v>
      </c>
      <c r="U10785" s="538">
        <v>750.51</v>
      </c>
      <c r="V10785" s="538">
        <v>375.25</v>
      </c>
    </row>
    <row r="10786" spans="1:22">
      <c r="A10786" s="499">
        <v>45866</v>
      </c>
      <c r="B10786" s="499">
        <v>45866</v>
      </c>
      <c r="C10786" s="500" t="s">
        <v>173</v>
      </c>
      <c r="D10786" s="500" t="s">
        <v>760</v>
      </c>
      <c r="E10786" s="501">
        <v>-16002920.84</v>
      </c>
      <c r="F10786" s="502" t="s">
        <v>878</v>
      </c>
      <c r="G10786" s="100">
        <v>118300012</v>
      </c>
      <c r="H10786" s="530"/>
      <c r="I10786" s="422" t="s">
        <v>2854</v>
      </c>
      <c r="J10786" s="484" t="s">
        <v>906</v>
      </c>
      <c r="L10786" s="539"/>
      <c r="M10786" s="539"/>
      <c r="N10786" s="539">
        <v>29216</v>
      </c>
      <c r="R10786" s="539">
        <v>547.74509999999998</v>
      </c>
      <c r="S10786" s="539">
        <v>547.98070543537801</v>
      </c>
      <c r="T10786" s="538">
        <v>15.7</v>
      </c>
      <c r="U10786" s="538">
        <v>39.32</v>
      </c>
      <c r="V10786" s="538">
        <v>12</v>
      </c>
    </row>
    <row r="10787" spans="1:22">
      <c r="A10787" s="499">
        <v>45866</v>
      </c>
      <c r="B10787" s="499">
        <v>45866</v>
      </c>
      <c r="C10787" s="500" t="s">
        <v>173</v>
      </c>
      <c r="D10787" s="500" t="s">
        <v>760</v>
      </c>
      <c r="E10787" s="501">
        <v>-186064869.36000001</v>
      </c>
      <c r="F10787" s="502" t="s">
        <v>878</v>
      </c>
      <c r="G10787" s="100">
        <v>118300228</v>
      </c>
      <c r="H10787" s="530"/>
      <c r="I10787" s="422" t="s">
        <v>674</v>
      </c>
      <c r="J10787" s="484" t="s">
        <v>906</v>
      </c>
      <c r="L10787" s="539"/>
      <c r="M10787" s="539"/>
      <c r="N10787" s="539">
        <v>209064</v>
      </c>
      <c r="R10787" s="539">
        <v>889.99</v>
      </c>
      <c r="S10787" s="539">
        <v>890.36795316266796</v>
      </c>
      <c r="T10787" s="538">
        <v>15.500500000000001</v>
      </c>
      <c r="U10787" s="538">
        <v>279.10000000000002</v>
      </c>
      <c r="V10787" s="538">
        <v>139.55000000000001</v>
      </c>
    </row>
    <row r="10788" spans="1:22">
      <c r="A10788" s="499">
        <v>45866</v>
      </c>
      <c r="B10788" s="499">
        <v>45867</v>
      </c>
      <c r="C10788" s="500" t="s">
        <v>173</v>
      </c>
      <c r="D10788" s="500" t="s">
        <v>760</v>
      </c>
      <c r="E10788" s="501">
        <v>1301281385.4300001</v>
      </c>
      <c r="F10788" s="502" t="s">
        <v>878</v>
      </c>
      <c r="G10788" s="100">
        <v>118288884</v>
      </c>
      <c r="H10788" s="100">
        <v>118288884</v>
      </c>
      <c r="I10788" s="422" t="s">
        <v>704</v>
      </c>
      <c r="J10788" s="484" t="s">
        <v>912</v>
      </c>
      <c r="L10788" s="539"/>
      <c r="M10788" s="539"/>
      <c r="N10788" s="539">
        <v>1604200</v>
      </c>
      <c r="R10788" s="539">
        <v>810.82299999999998</v>
      </c>
      <c r="S10788" s="539">
        <v>811.17154059967595</v>
      </c>
      <c r="T10788" s="538">
        <v>15.6899</v>
      </c>
      <c r="U10788" s="538">
        <v>1951.08</v>
      </c>
      <c r="V10788" s="538">
        <v>975.54</v>
      </c>
    </row>
    <row r="10789" spans="1:22">
      <c r="A10789" s="499">
        <v>45866</v>
      </c>
      <c r="B10789" s="499">
        <v>45867</v>
      </c>
      <c r="C10789" s="500" t="s">
        <v>173</v>
      </c>
      <c r="D10789" s="500" t="s">
        <v>760</v>
      </c>
      <c r="E10789" s="501">
        <v>189152731.43000001</v>
      </c>
      <c r="F10789" s="502" t="s">
        <v>878</v>
      </c>
      <c r="G10789" s="100">
        <v>118289159</v>
      </c>
      <c r="H10789" s="100">
        <v>118289159</v>
      </c>
      <c r="I10789" s="422" t="s">
        <v>675</v>
      </c>
      <c r="J10789" s="484" t="s">
        <v>912</v>
      </c>
      <c r="L10789" s="539"/>
      <c r="M10789" s="539"/>
      <c r="N10789" s="539">
        <v>204120</v>
      </c>
      <c r="R10789" s="539">
        <v>926.27599999999995</v>
      </c>
      <c r="S10789" s="539">
        <v>926.67416926317799</v>
      </c>
      <c r="T10789" s="538">
        <v>15.6899</v>
      </c>
      <c r="U10789" s="538">
        <v>283.61</v>
      </c>
      <c r="V10789" s="538">
        <v>141.80000000000001</v>
      </c>
    </row>
    <row r="10790" spans="1:22">
      <c r="A10790" s="499">
        <v>45866</v>
      </c>
      <c r="B10790" s="499">
        <v>45867</v>
      </c>
      <c r="C10790" s="500" t="s">
        <v>173</v>
      </c>
      <c r="D10790" s="500" t="s">
        <v>760</v>
      </c>
      <c r="E10790" s="501">
        <v>500553233.88999999</v>
      </c>
      <c r="F10790" s="502" t="s">
        <v>878</v>
      </c>
      <c r="G10790" s="100">
        <v>118300002</v>
      </c>
      <c r="H10790" s="100">
        <v>118300002</v>
      </c>
      <c r="I10790" s="422" t="s">
        <v>1051</v>
      </c>
      <c r="J10790" s="484" t="s">
        <v>912</v>
      </c>
      <c r="L10790" s="539"/>
      <c r="M10790" s="539"/>
      <c r="N10790" s="539">
        <v>465500</v>
      </c>
      <c r="R10790" s="539">
        <v>1074.8399999999999</v>
      </c>
      <c r="S10790" s="539">
        <v>1075.3023284425301</v>
      </c>
      <c r="T10790" s="538">
        <v>15.7</v>
      </c>
      <c r="U10790" s="538">
        <v>750.51</v>
      </c>
      <c r="V10790" s="538">
        <v>375.25</v>
      </c>
    </row>
    <row r="10791" spans="1:22">
      <c r="A10791" s="499">
        <v>45866</v>
      </c>
      <c r="B10791" s="499">
        <v>45867</v>
      </c>
      <c r="C10791" s="500" t="s">
        <v>173</v>
      </c>
      <c r="D10791" s="500" t="s">
        <v>760</v>
      </c>
      <c r="E10791" s="501">
        <v>16009804.289999999</v>
      </c>
      <c r="F10791" s="502" t="s">
        <v>878</v>
      </c>
      <c r="G10791" s="100">
        <v>118300012</v>
      </c>
      <c r="H10791" s="100">
        <v>118300012</v>
      </c>
      <c r="I10791" s="422" t="s">
        <v>2854</v>
      </c>
      <c r="J10791" s="484" t="s">
        <v>912</v>
      </c>
      <c r="L10791" s="539"/>
      <c r="M10791" s="539"/>
      <c r="N10791" s="539">
        <v>29216</v>
      </c>
      <c r="R10791" s="539">
        <v>547.74509999999998</v>
      </c>
      <c r="S10791" s="539">
        <v>547.98070543537801</v>
      </c>
      <c r="T10791" s="538">
        <v>15.7</v>
      </c>
      <c r="U10791" s="538">
        <v>39.32</v>
      </c>
      <c r="V10791" s="538">
        <v>12</v>
      </c>
    </row>
    <row r="10792" spans="1:22">
      <c r="A10792" s="499">
        <v>45866</v>
      </c>
      <c r="B10792" s="499">
        <v>45867</v>
      </c>
      <c r="C10792" s="500" t="s">
        <v>173</v>
      </c>
      <c r="D10792" s="500" t="s">
        <v>760</v>
      </c>
      <c r="E10792" s="501">
        <v>186143885.75999999</v>
      </c>
      <c r="F10792" s="502" t="s">
        <v>878</v>
      </c>
      <c r="G10792" s="100">
        <v>118300228</v>
      </c>
      <c r="H10792" s="100">
        <v>118300228</v>
      </c>
      <c r="I10792" s="422" t="s">
        <v>674</v>
      </c>
      <c r="J10792" s="484" t="s">
        <v>912</v>
      </c>
      <c r="L10792" s="539"/>
      <c r="M10792" s="539"/>
      <c r="N10792" s="539">
        <v>209064</v>
      </c>
      <c r="R10792" s="539">
        <v>889.99</v>
      </c>
      <c r="S10792" s="539">
        <v>890.36795316266796</v>
      </c>
      <c r="T10792" s="538">
        <v>15.500500000000001</v>
      </c>
      <c r="U10792" s="538">
        <v>279.10000000000002</v>
      </c>
      <c r="V10792" s="538">
        <v>139.55000000000001</v>
      </c>
    </row>
    <row r="10793" spans="1:22">
      <c r="A10793" s="499">
        <v>45866</v>
      </c>
      <c r="B10793" s="499">
        <v>45866</v>
      </c>
      <c r="C10793" s="500" t="s">
        <v>173</v>
      </c>
      <c r="D10793" s="500" t="s">
        <v>759</v>
      </c>
      <c r="E10793" s="501">
        <v>-2023087292.45</v>
      </c>
      <c r="F10793" s="502" t="s">
        <v>878</v>
      </c>
      <c r="G10793" s="100">
        <v>118289012</v>
      </c>
      <c r="H10793" s="530"/>
      <c r="I10793" s="422" t="s">
        <v>691</v>
      </c>
      <c r="J10793" s="484" t="s">
        <v>906</v>
      </c>
      <c r="L10793" s="539"/>
      <c r="M10793" s="539"/>
      <c r="N10793" s="539">
        <v>2344657</v>
      </c>
      <c r="R10793" s="539">
        <v>862.85</v>
      </c>
      <c r="S10793" s="539">
        <v>863.220904938334</v>
      </c>
      <c r="T10793" s="538">
        <v>15.6899</v>
      </c>
      <c r="U10793" s="538">
        <v>3034.63</v>
      </c>
      <c r="V10793" s="538">
        <v>1517.32</v>
      </c>
    </row>
    <row r="10794" spans="1:22">
      <c r="A10794" s="499">
        <v>45866</v>
      </c>
      <c r="B10794" s="499">
        <v>45866</v>
      </c>
      <c r="C10794" s="500" t="s">
        <v>173</v>
      </c>
      <c r="D10794" s="500" t="s">
        <v>759</v>
      </c>
      <c r="E10794" s="501">
        <v>-15005231.4</v>
      </c>
      <c r="F10794" s="502" t="s">
        <v>878</v>
      </c>
      <c r="G10794" s="100">
        <v>118294758</v>
      </c>
      <c r="H10794" s="530"/>
      <c r="I10794" s="422" t="s">
        <v>674</v>
      </c>
      <c r="J10794" s="484" t="s">
        <v>906</v>
      </c>
      <c r="L10794" s="539"/>
      <c r="M10794" s="539"/>
      <c r="N10794" s="539">
        <v>16860</v>
      </c>
      <c r="R10794" s="539">
        <v>889.99</v>
      </c>
      <c r="S10794" s="539">
        <v>890.37038434163696</v>
      </c>
      <c r="T10794" s="538">
        <v>15.600199999999999</v>
      </c>
      <c r="U10794" s="538">
        <v>39.32</v>
      </c>
      <c r="V10794" s="538">
        <v>11.25</v>
      </c>
    </row>
    <row r="10795" spans="1:22">
      <c r="A10795" s="499">
        <v>45866</v>
      </c>
      <c r="B10795" s="499">
        <v>45866</v>
      </c>
      <c r="C10795" s="500" t="s">
        <v>173</v>
      </c>
      <c r="D10795" s="500" t="s">
        <v>759</v>
      </c>
      <c r="E10795" s="501">
        <v>-895028569.29999995</v>
      </c>
      <c r="F10795" s="502" t="s">
        <v>878</v>
      </c>
      <c r="G10795" s="100">
        <v>118301898</v>
      </c>
      <c r="H10795" s="530"/>
      <c r="I10795" s="422" t="s">
        <v>1018</v>
      </c>
      <c r="J10795" s="484" t="s">
        <v>906</v>
      </c>
      <c r="L10795" s="539"/>
      <c r="M10795" s="539"/>
      <c r="N10795" s="539">
        <v>9278465</v>
      </c>
      <c r="R10795" s="539">
        <v>96.463000000538884</v>
      </c>
      <c r="S10795" s="539">
        <v>96.503965326161193</v>
      </c>
      <c r="T10795" s="538">
        <v>15.5006</v>
      </c>
      <c r="U10795" s="538">
        <v>1342.54</v>
      </c>
      <c r="V10795" s="538">
        <v>671.27</v>
      </c>
    </row>
    <row r="10796" spans="1:22">
      <c r="A10796" s="499">
        <v>45866</v>
      </c>
      <c r="B10796" s="499">
        <v>45866</v>
      </c>
      <c r="C10796" s="500" t="s">
        <v>173</v>
      </c>
      <c r="D10796" s="500" t="s">
        <v>759</v>
      </c>
      <c r="E10796" s="501">
        <v>-5000159.6100000003</v>
      </c>
      <c r="F10796" s="502" t="s">
        <v>878</v>
      </c>
      <c r="G10796" s="100">
        <v>118301927</v>
      </c>
      <c r="H10796" s="530"/>
      <c r="I10796" s="422" t="s">
        <v>1018</v>
      </c>
      <c r="J10796" s="484" t="s">
        <v>906</v>
      </c>
      <c r="L10796" s="539"/>
      <c r="M10796" s="539"/>
      <c r="N10796" s="539">
        <v>51835</v>
      </c>
      <c r="R10796" s="539">
        <v>96.463000096459922</v>
      </c>
      <c r="S10796" s="539">
        <v>96.503965467348294</v>
      </c>
      <c r="T10796" s="538">
        <v>15.5006</v>
      </c>
      <c r="U10796" s="538">
        <v>39.32</v>
      </c>
      <c r="V10796" s="538">
        <v>3.75</v>
      </c>
    </row>
    <row r="10797" spans="1:22">
      <c r="A10797" s="499">
        <v>45866</v>
      </c>
      <c r="B10797" s="499">
        <v>45867</v>
      </c>
      <c r="C10797" s="500" t="s">
        <v>173</v>
      </c>
      <c r="D10797" s="500" t="s">
        <v>759</v>
      </c>
      <c r="E10797" s="501">
        <v>2023956937.3099999</v>
      </c>
      <c r="F10797" s="502" t="s">
        <v>878</v>
      </c>
      <c r="G10797" s="100">
        <v>118289012</v>
      </c>
      <c r="H10797" s="100">
        <v>118289012</v>
      </c>
      <c r="I10797" s="422" t="s">
        <v>691</v>
      </c>
      <c r="J10797" s="484" t="s">
        <v>912</v>
      </c>
      <c r="L10797" s="539"/>
      <c r="M10797" s="539"/>
      <c r="N10797" s="539">
        <v>2344657</v>
      </c>
      <c r="R10797" s="539">
        <v>862.85</v>
      </c>
      <c r="S10797" s="539">
        <v>863.220904938334</v>
      </c>
      <c r="T10797" s="538">
        <v>15.6899</v>
      </c>
      <c r="U10797" s="538">
        <v>3034.63</v>
      </c>
      <c r="V10797" s="538">
        <v>1517.32</v>
      </c>
    </row>
    <row r="10798" spans="1:22">
      <c r="A10798" s="499">
        <v>45866</v>
      </c>
      <c r="B10798" s="499">
        <v>45867</v>
      </c>
      <c r="C10798" s="500" t="s">
        <v>173</v>
      </c>
      <c r="D10798" s="500" t="s">
        <v>759</v>
      </c>
      <c r="E10798" s="501">
        <v>15011644.68</v>
      </c>
      <c r="F10798" s="502" t="s">
        <v>878</v>
      </c>
      <c r="G10798" s="100">
        <v>118294758</v>
      </c>
      <c r="H10798" s="100">
        <v>118294758</v>
      </c>
      <c r="I10798" s="422" t="s">
        <v>674</v>
      </c>
      <c r="J10798" s="484" t="s">
        <v>912</v>
      </c>
      <c r="L10798" s="539"/>
      <c r="M10798" s="539"/>
      <c r="N10798" s="539">
        <v>16860</v>
      </c>
      <c r="R10798" s="539">
        <v>889.99</v>
      </c>
      <c r="S10798" s="539">
        <v>890.37038434163696</v>
      </c>
      <c r="T10798" s="538">
        <v>15.600199999999999</v>
      </c>
      <c r="U10798" s="538">
        <v>39.32</v>
      </c>
      <c r="V10798" s="538">
        <v>11.25</v>
      </c>
    </row>
    <row r="10799" spans="1:22">
      <c r="A10799" s="499">
        <v>45866</v>
      </c>
      <c r="B10799" s="499">
        <v>45867</v>
      </c>
      <c r="C10799" s="500" t="s">
        <v>173</v>
      </c>
      <c r="D10799" s="500" t="s">
        <v>759</v>
      </c>
      <c r="E10799" s="501">
        <v>895408664.63999999</v>
      </c>
      <c r="F10799" s="502" t="s">
        <v>878</v>
      </c>
      <c r="G10799" s="100">
        <v>118301898</v>
      </c>
      <c r="H10799" s="100">
        <v>118301898</v>
      </c>
      <c r="I10799" s="422" t="s">
        <v>1018</v>
      </c>
      <c r="J10799" s="484" t="s">
        <v>912</v>
      </c>
      <c r="L10799" s="539"/>
      <c r="M10799" s="539"/>
      <c r="N10799" s="539">
        <v>9278465</v>
      </c>
      <c r="R10799" s="539">
        <v>96.463000000538884</v>
      </c>
      <c r="S10799" s="539">
        <v>96.503965326161193</v>
      </c>
      <c r="T10799" s="538">
        <v>15.5006</v>
      </c>
      <c r="U10799" s="538">
        <v>1342.54</v>
      </c>
      <c r="V10799" s="538">
        <v>671.27</v>
      </c>
    </row>
    <row r="10800" spans="1:22">
      <c r="A10800" s="499">
        <v>45866</v>
      </c>
      <c r="B10800" s="499">
        <v>45867</v>
      </c>
      <c r="C10800" s="500" t="s">
        <v>173</v>
      </c>
      <c r="D10800" s="500" t="s">
        <v>759</v>
      </c>
      <c r="E10800" s="501">
        <v>5002283.05</v>
      </c>
      <c r="F10800" s="502" t="s">
        <v>878</v>
      </c>
      <c r="G10800" s="100">
        <v>118301927</v>
      </c>
      <c r="H10800" s="100">
        <v>118301927</v>
      </c>
      <c r="I10800" s="422" t="s">
        <v>1018</v>
      </c>
      <c r="J10800" s="484" t="s">
        <v>912</v>
      </c>
      <c r="L10800" s="539"/>
      <c r="M10800" s="539"/>
      <c r="N10800" s="539">
        <v>51835</v>
      </c>
      <c r="R10800" s="539">
        <v>96.463000096459922</v>
      </c>
      <c r="S10800" s="539">
        <v>96.503965467348294</v>
      </c>
      <c r="T10800" s="538">
        <v>15.5006</v>
      </c>
      <c r="U10800" s="538">
        <v>39.32</v>
      </c>
      <c r="V10800" s="538">
        <v>3.75</v>
      </c>
    </row>
    <row r="10801" spans="1:22">
      <c r="A10801" s="499">
        <v>45866</v>
      </c>
      <c r="B10801" s="499">
        <v>45866</v>
      </c>
      <c r="C10801" s="500" t="s">
        <v>173</v>
      </c>
      <c r="D10801" s="500" t="s">
        <v>761</v>
      </c>
      <c r="E10801" s="501">
        <v>-1426539142.0799999</v>
      </c>
      <c r="F10801" s="502" t="s">
        <v>878</v>
      </c>
      <c r="G10801" s="100">
        <v>118289162</v>
      </c>
      <c r="H10801" s="530"/>
      <c r="I10801" s="422" t="s">
        <v>675</v>
      </c>
      <c r="J10801" s="484" t="s">
        <v>906</v>
      </c>
      <c r="L10801" s="539"/>
      <c r="M10801" s="539"/>
      <c r="N10801" s="539">
        <v>1540080</v>
      </c>
      <c r="R10801" s="539">
        <v>926.27599999999995</v>
      </c>
      <c r="S10801" s="539">
        <v>926.67416925744101</v>
      </c>
      <c r="T10801" s="538">
        <v>15.6899</v>
      </c>
      <c r="U10801" s="538">
        <v>2139.81</v>
      </c>
      <c r="V10801" s="538">
        <v>1069.9000000000001</v>
      </c>
    </row>
    <row r="10802" spans="1:22">
      <c r="A10802" s="499">
        <v>45866</v>
      </c>
      <c r="B10802" s="499">
        <v>45866</v>
      </c>
      <c r="C10802" s="500" t="s">
        <v>173</v>
      </c>
      <c r="D10802" s="500" t="s">
        <v>761</v>
      </c>
      <c r="E10802" s="501">
        <v>-9005978.5199999996</v>
      </c>
      <c r="F10802" s="502" t="s">
        <v>878</v>
      </c>
      <c r="G10802" s="100">
        <v>118289670</v>
      </c>
      <c r="H10802" s="530"/>
      <c r="I10802" s="422" t="s">
        <v>658</v>
      </c>
      <c r="J10802" s="484" t="s">
        <v>906</v>
      </c>
      <c r="L10802" s="539"/>
      <c r="M10802" s="539"/>
      <c r="N10802" s="539">
        <v>8910</v>
      </c>
      <c r="R10802" s="539">
        <v>1010.7719999999999</v>
      </c>
      <c r="S10802" s="539">
        <v>1011.20649046016</v>
      </c>
      <c r="T10802" s="538">
        <v>15.6899</v>
      </c>
      <c r="U10802" s="538">
        <v>39.32</v>
      </c>
      <c r="V10802" s="538">
        <v>6.75</v>
      </c>
    </row>
    <row r="10803" spans="1:22">
      <c r="A10803" s="499">
        <v>45866</v>
      </c>
      <c r="B10803" s="499">
        <v>45866</v>
      </c>
      <c r="C10803" s="500" t="s">
        <v>173</v>
      </c>
      <c r="D10803" s="500" t="s">
        <v>761</v>
      </c>
      <c r="E10803" s="501">
        <v>-350122066</v>
      </c>
      <c r="F10803" s="502" t="s">
        <v>878</v>
      </c>
      <c r="G10803" s="100">
        <v>118294544</v>
      </c>
      <c r="H10803" s="530"/>
      <c r="I10803" s="422" t="s">
        <v>674</v>
      </c>
      <c r="J10803" s="484" t="s">
        <v>906</v>
      </c>
      <c r="L10803" s="539"/>
      <c r="M10803" s="539"/>
      <c r="N10803" s="539">
        <v>393400</v>
      </c>
      <c r="R10803" s="539">
        <v>889.99</v>
      </c>
      <c r="S10803" s="539">
        <v>890.37038416370103</v>
      </c>
      <c r="T10803" s="538">
        <v>15.600199999999999</v>
      </c>
      <c r="U10803" s="538">
        <v>525.17999999999995</v>
      </c>
      <c r="V10803" s="538">
        <v>262.58999999999997</v>
      </c>
    </row>
    <row r="10804" spans="1:22">
      <c r="A10804" s="499">
        <v>45866</v>
      </c>
      <c r="B10804" s="499">
        <v>45866</v>
      </c>
      <c r="C10804" s="500" t="s">
        <v>173</v>
      </c>
      <c r="D10804" s="500" t="s">
        <v>761</v>
      </c>
      <c r="E10804" s="501">
        <v>-2000697.52</v>
      </c>
      <c r="F10804" s="502" t="s">
        <v>878</v>
      </c>
      <c r="G10804" s="100">
        <v>118294567</v>
      </c>
      <c r="H10804" s="530"/>
      <c r="I10804" s="422" t="s">
        <v>674</v>
      </c>
      <c r="J10804" s="484" t="s">
        <v>906</v>
      </c>
      <c r="L10804" s="539"/>
      <c r="M10804" s="539"/>
      <c r="N10804" s="539">
        <v>2248</v>
      </c>
      <c r="R10804" s="539">
        <v>889.99</v>
      </c>
      <c r="S10804" s="539">
        <v>890.370382562278</v>
      </c>
      <c r="T10804" s="538">
        <v>15.600199999999999</v>
      </c>
      <c r="U10804" s="538">
        <v>39.32</v>
      </c>
      <c r="V10804" s="538">
        <v>1.5</v>
      </c>
    </row>
    <row r="10805" spans="1:22">
      <c r="A10805" s="499">
        <v>45866</v>
      </c>
      <c r="B10805" s="499">
        <v>45867</v>
      </c>
      <c r="C10805" s="500" t="s">
        <v>173</v>
      </c>
      <c r="D10805" s="500" t="s">
        <v>761</v>
      </c>
      <c r="E10805" s="501">
        <v>1427152354.5899999</v>
      </c>
      <c r="F10805" s="502" t="s">
        <v>878</v>
      </c>
      <c r="G10805" s="100">
        <v>118289162</v>
      </c>
      <c r="H10805" s="100">
        <v>118289162</v>
      </c>
      <c r="I10805" s="422" t="s">
        <v>675</v>
      </c>
      <c r="J10805" s="484" t="s">
        <v>912</v>
      </c>
      <c r="L10805" s="539"/>
      <c r="M10805" s="539"/>
      <c r="N10805" s="539">
        <v>1540080</v>
      </c>
      <c r="R10805" s="539">
        <v>926.27599999999995</v>
      </c>
      <c r="S10805" s="539">
        <v>926.67416925744101</v>
      </c>
      <c r="T10805" s="538">
        <v>15.6899</v>
      </c>
      <c r="U10805" s="538">
        <v>2139.81</v>
      </c>
      <c r="V10805" s="538">
        <v>1069.9000000000001</v>
      </c>
    </row>
    <row r="10806" spans="1:22">
      <c r="A10806" s="499">
        <v>45866</v>
      </c>
      <c r="B10806" s="499">
        <v>45867</v>
      </c>
      <c r="C10806" s="500" t="s">
        <v>173</v>
      </c>
      <c r="D10806" s="500" t="s">
        <v>761</v>
      </c>
      <c r="E10806" s="501">
        <v>9009849.8300000001</v>
      </c>
      <c r="F10806" s="502" t="s">
        <v>878</v>
      </c>
      <c r="G10806" s="100">
        <v>118289670</v>
      </c>
      <c r="H10806" s="100">
        <v>118289670</v>
      </c>
      <c r="I10806" s="422" t="s">
        <v>658</v>
      </c>
      <c r="J10806" s="484" t="s">
        <v>912</v>
      </c>
      <c r="L10806" s="539"/>
      <c r="M10806" s="539"/>
      <c r="N10806" s="539">
        <v>8910</v>
      </c>
      <c r="R10806" s="539">
        <v>1010.7719999999999</v>
      </c>
      <c r="S10806" s="539">
        <v>1011.20649046016</v>
      </c>
      <c r="T10806" s="538">
        <v>15.6899</v>
      </c>
      <c r="U10806" s="538">
        <v>39.32</v>
      </c>
      <c r="V10806" s="538">
        <v>6.75</v>
      </c>
    </row>
    <row r="10807" spans="1:22">
      <c r="A10807" s="499">
        <v>45866</v>
      </c>
      <c r="B10807" s="499">
        <v>45867</v>
      </c>
      <c r="C10807" s="500" t="s">
        <v>173</v>
      </c>
      <c r="D10807" s="500" t="s">
        <v>761</v>
      </c>
      <c r="E10807" s="501">
        <v>350271709.13</v>
      </c>
      <c r="F10807" s="502" t="s">
        <v>878</v>
      </c>
      <c r="G10807" s="100">
        <v>118294544</v>
      </c>
      <c r="H10807" s="100">
        <v>118294544</v>
      </c>
      <c r="I10807" s="422" t="s">
        <v>674</v>
      </c>
      <c r="J10807" s="484" t="s">
        <v>912</v>
      </c>
      <c r="L10807" s="539"/>
      <c r="M10807" s="539"/>
      <c r="N10807" s="539">
        <v>393400</v>
      </c>
      <c r="R10807" s="539">
        <v>889.99</v>
      </c>
      <c r="S10807" s="539">
        <v>890.37038416370103</v>
      </c>
      <c r="T10807" s="538">
        <v>15.600199999999999</v>
      </c>
      <c r="U10807" s="538">
        <v>525.17999999999995</v>
      </c>
      <c r="V10807" s="538">
        <v>262.58999999999997</v>
      </c>
    </row>
    <row r="10808" spans="1:22">
      <c r="A10808" s="499">
        <v>45866</v>
      </c>
      <c r="B10808" s="499">
        <v>45867</v>
      </c>
      <c r="C10808" s="500" t="s">
        <v>173</v>
      </c>
      <c r="D10808" s="500" t="s">
        <v>761</v>
      </c>
      <c r="E10808" s="501">
        <v>2001552.62</v>
      </c>
      <c r="F10808" s="502" t="s">
        <v>878</v>
      </c>
      <c r="G10808" s="100">
        <v>118294567</v>
      </c>
      <c r="H10808" s="100">
        <v>118294567</v>
      </c>
      <c r="I10808" s="422" t="s">
        <v>674</v>
      </c>
      <c r="J10808" s="484" t="s">
        <v>912</v>
      </c>
      <c r="L10808" s="539"/>
      <c r="M10808" s="539"/>
      <c r="N10808" s="539">
        <v>2248</v>
      </c>
      <c r="R10808" s="539">
        <v>889.99</v>
      </c>
      <c r="S10808" s="539">
        <v>890.370382562278</v>
      </c>
      <c r="T10808" s="538">
        <v>15.600199999999999</v>
      </c>
      <c r="U10808" s="538">
        <v>39.32</v>
      </c>
      <c r="V10808" s="538">
        <v>1.5</v>
      </c>
    </row>
    <row r="10809" spans="1:22">
      <c r="A10809" s="499">
        <v>45866</v>
      </c>
      <c r="B10809" s="499">
        <v>45866</v>
      </c>
      <c r="C10809" s="500" t="s">
        <v>173</v>
      </c>
      <c r="D10809" s="500" t="s">
        <v>763</v>
      </c>
      <c r="E10809" s="501">
        <v>-3182767306.3400002</v>
      </c>
      <c r="F10809" s="502" t="s">
        <v>878</v>
      </c>
      <c r="G10809" s="317">
        <v>118288744</v>
      </c>
      <c r="H10809" s="530"/>
      <c r="I10809" s="422" t="s">
        <v>704</v>
      </c>
      <c r="J10809" s="484" t="s">
        <v>906</v>
      </c>
      <c r="L10809" s="539"/>
      <c r="M10809" s="539"/>
      <c r="N10809" s="548">
        <v>3925354</v>
      </c>
      <c r="R10809" s="548">
        <v>810.82299999999998</v>
      </c>
      <c r="S10809" s="548">
        <v>811.16998781511199</v>
      </c>
      <c r="T10809" s="549">
        <v>15.62</v>
      </c>
      <c r="U10809" s="549">
        <v>4774.1499999999996</v>
      </c>
      <c r="V10809" s="549">
        <v>2387.08</v>
      </c>
    </row>
    <row r="10810" spans="1:22">
      <c r="A10810" s="499">
        <v>45866</v>
      </c>
      <c r="B10810" s="499">
        <v>45866</v>
      </c>
      <c r="C10810" s="500" t="s">
        <v>173</v>
      </c>
      <c r="D10810" s="500" t="s">
        <v>763</v>
      </c>
      <c r="E10810" s="501">
        <v>-19000408.600000001</v>
      </c>
      <c r="F10810" s="502" t="s">
        <v>878</v>
      </c>
      <c r="G10810" s="317">
        <v>118288780</v>
      </c>
      <c r="H10810" s="530"/>
      <c r="I10810" s="422" t="s">
        <v>2903</v>
      </c>
      <c r="J10810" s="484" t="s">
        <v>906</v>
      </c>
      <c r="L10810" s="539"/>
      <c r="M10810" s="539"/>
      <c r="N10810" s="548">
        <v>191767</v>
      </c>
      <c r="R10810" s="548">
        <v>99.080699999999993</v>
      </c>
      <c r="S10810" s="548">
        <v>99.123182560085993</v>
      </c>
      <c r="T10810" s="549">
        <v>15.65</v>
      </c>
      <c r="U10810" s="549">
        <v>39.32</v>
      </c>
      <c r="V10810" s="549">
        <v>39.32</v>
      </c>
    </row>
    <row r="10811" spans="1:22">
      <c r="A10811" s="499">
        <v>45866</v>
      </c>
      <c r="B10811" s="499">
        <v>45866</v>
      </c>
      <c r="C10811" s="500" t="s">
        <v>173</v>
      </c>
      <c r="D10811" s="500" t="s">
        <v>763</v>
      </c>
      <c r="E10811" s="501">
        <v>-400036520</v>
      </c>
      <c r="F10811" s="502" t="s">
        <v>878</v>
      </c>
      <c r="G10811" s="317">
        <v>118296745</v>
      </c>
      <c r="H10811" s="530"/>
      <c r="I10811" s="422" t="s">
        <v>719</v>
      </c>
      <c r="J10811" s="484" t="s">
        <v>906</v>
      </c>
      <c r="L10811" s="539"/>
      <c r="M10811" s="539"/>
      <c r="N10811" s="548">
        <v>613600</v>
      </c>
      <c r="R10811" s="548">
        <v>651.95000000000005</v>
      </c>
      <c r="S10811" s="548">
        <v>652.22685547588003</v>
      </c>
      <c r="T10811" s="549">
        <v>15.5</v>
      </c>
      <c r="U10811" s="549">
        <v>600.04999999999995</v>
      </c>
      <c r="V10811" s="549">
        <v>300.02999999999997</v>
      </c>
    </row>
    <row r="10812" spans="1:22">
      <c r="A10812" s="499">
        <v>45866</v>
      </c>
      <c r="B10812" s="499">
        <v>45866</v>
      </c>
      <c r="C10812" s="500" t="s">
        <v>173</v>
      </c>
      <c r="D10812" s="500" t="s">
        <v>763</v>
      </c>
      <c r="E10812" s="501">
        <v>-2000182.6</v>
      </c>
      <c r="F10812" s="502" t="s">
        <v>878</v>
      </c>
      <c r="G10812" s="317">
        <v>118296754</v>
      </c>
      <c r="H10812" s="530"/>
      <c r="I10812" s="422" t="s">
        <v>719</v>
      </c>
      <c r="J10812" s="484" t="s">
        <v>906</v>
      </c>
      <c r="L10812" s="539"/>
      <c r="M10812" s="539"/>
      <c r="N10812" s="548">
        <v>3068</v>
      </c>
      <c r="R10812" s="548">
        <v>651.95000000000005</v>
      </c>
      <c r="S10812" s="548">
        <v>652.22685462842196</v>
      </c>
      <c r="T10812" s="549">
        <v>15.5</v>
      </c>
      <c r="U10812" s="549">
        <v>39.32</v>
      </c>
      <c r="V10812" s="549">
        <v>39.32</v>
      </c>
    </row>
    <row r="10813" spans="1:22">
      <c r="A10813" s="499">
        <v>45866</v>
      </c>
      <c r="B10813" s="499">
        <v>45867</v>
      </c>
      <c r="C10813" s="500" t="s">
        <v>173</v>
      </c>
      <c r="D10813" s="500" t="s">
        <v>763</v>
      </c>
      <c r="E10813" s="501">
        <v>3184129356.3499999</v>
      </c>
      <c r="F10813" s="502" t="s">
        <v>878</v>
      </c>
      <c r="G10813" s="317">
        <v>118288744</v>
      </c>
      <c r="H10813" s="317">
        <v>118288744</v>
      </c>
      <c r="I10813" s="422" t="s">
        <v>704</v>
      </c>
      <c r="J10813" s="484" t="s">
        <v>912</v>
      </c>
      <c r="L10813" s="539"/>
      <c r="M10813" s="539"/>
      <c r="N10813" s="548">
        <v>3925354</v>
      </c>
      <c r="R10813" s="548">
        <v>810.82299999999998</v>
      </c>
      <c r="S10813" s="548">
        <v>811.16998781511199</v>
      </c>
      <c r="T10813" s="549">
        <v>15.62</v>
      </c>
      <c r="U10813" s="549">
        <v>4774.1499999999996</v>
      </c>
      <c r="V10813" s="549">
        <v>2387.08</v>
      </c>
    </row>
    <row r="10814" spans="1:22">
      <c r="A10814" s="499">
        <v>45866</v>
      </c>
      <c r="B10814" s="499">
        <v>45867</v>
      </c>
      <c r="C10814" s="500" t="s">
        <v>173</v>
      </c>
      <c r="D10814" s="500" t="s">
        <v>763</v>
      </c>
      <c r="E10814" s="501">
        <v>19008555.350000001</v>
      </c>
      <c r="F10814" s="502" t="s">
        <v>878</v>
      </c>
      <c r="G10814" s="317">
        <v>118288780</v>
      </c>
      <c r="H10814" s="317">
        <v>118288780</v>
      </c>
      <c r="I10814" s="422" t="s">
        <v>2903</v>
      </c>
      <c r="J10814" s="484" t="s">
        <v>912</v>
      </c>
      <c r="L10814" s="539"/>
      <c r="M10814" s="539"/>
      <c r="N10814" s="548">
        <v>191767</v>
      </c>
      <c r="R10814" s="548">
        <v>99.080699999999993</v>
      </c>
      <c r="S10814" s="548">
        <v>99.123182560085993</v>
      </c>
      <c r="T10814" s="549">
        <v>15.65</v>
      </c>
      <c r="U10814" s="549">
        <v>39.32</v>
      </c>
      <c r="V10814" s="549">
        <v>39.32</v>
      </c>
    </row>
    <row r="10815" spans="1:22">
      <c r="A10815" s="499">
        <v>45866</v>
      </c>
      <c r="B10815" s="499">
        <v>45867</v>
      </c>
      <c r="C10815" s="500" t="s">
        <v>173</v>
      </c>
      <c r="D10815" s="500" t="s">
        <v>763</v>
      </c>
      <c r="E10815" s="501">
        <v>400206398.51999998</v>
      </c>
      <c r="F10815" s="502" t="s">
        <v>878</v>
      </c>
      <c r="G10815" s="317">
        <v>118296745</v>
      </c>
      <c r="H10815" s="317">
        <v>118296745</v>
      </c>
      <c r="I10815" s="422" t="s">
        <v>719</v>
      </c>
      <c r="J10815" s="484" t="s">
        <v>912</v>
      </c>
      <c r="L10815" s="539"/>
      <c r="M10815" s="539"/>
      <c r="N10815" s="548">
        <v>613600</v>
      </c>
      <c r="R10815" s="548">
        <v>651.95000000000005</v>
      </c>
      <c r="S10815" s="548">
        <v>652.22685547588003</v>
      </c>
      <c r="T10815" s="549">
        <v>15.5</v>
      </c>
      <c r="U10815" s="549">
        <v>600.04999999999995</v>
      </c>
      <c r="V10815" s="549">
        <v>300.02999999999997</v>
      </c>
    </row>
    <row r="10816" spans="1:22">
      <c r="A10816" s="499">
        <v>45866</v>
      </c>
      <c r="B10816" s="499">
        <v>45867</v>
      </c>
      <c r="C10816" s="500" t="s">
        <v>173</v>
      </c>
      <c r="D10816" s="500" t="s">
        <v>763</v>
      </c>
      <c r="E10816" s="501">
        <v>2001031.99</v>
      </c>
      <c r="F10816" s="502" t="s">
        <v>878</v>
      </c>
      <c r="G10816" s="317">
        <v>118296754</v>
      </c>
      <c r="H10816" s="317">
        <v>118296754</v>
      </c>
      <c r="I10816" s="422" t="s">
        <v>719</v>
      </c>
      <c r="J10816" s="484" t="s">
        <v>912</v>
      </c>
      <c r="L10816" s="539"/>
      <c r="M10816" s="539"/>
      <c r="N10816" s="548">
        <v>3068</v>
      </c>
      <c r="R10816" s="548">
        <v>651.95000000000005</v>
      </c>
      <c r="S10816" s="548">
        <v>652.22685462842196</v>
      </c>
      <c r="T10816" s="549">
        <v>15.5</v>
      </c>
      <c r="U10816" s="549">
        <v>39.32</v>
      </c>
      <c r="V10816" s="549">
        <v>39.32</v>
      </c>
    </row>
    <row r="10817" spans="1:22">
      <c r="A10817" s="499">
        <v>45866</v>
      </c>
      <c r="B10817" s="499">
        <v>45866</v>
      </c>
      <c r="C10817" s="500" t="s">
        <v>173</v>
      </c>
      <c r="D10817" s="500" t="s">
        <v>759</v>
      </c>
      <c r="E10817" s="501">
        <v>395625000</v>
      </c>
      <c r="F10817" s="502" t="s">
        <v>381</v>
      </c>
      <c r="G10817" s="100" t="s">
        <v>448</v>
      </c>
      <c r="H10817" s="530"/>
      <c r="I10817" s="422"/>
      <c r="L10817" s="539"/>
      <c r="M10817" s="539"/>
      <c r="N10817" s="539"/>
    </row>
    <row r="10818" spans="1:22">
      <c r="A10818" s="499">
        <v>45866</v>
      </c>
      <c r="B10818" s="499">
        <v>45866</v>
      </c>
      <c r="C10818" s="500" t="s">
        <v>173</v>
      </c>
      <c r="D10818" s="500" t="s">
        <v>759</v>
      </c>
      <c r="E10818" s="501">
        <v>105500000</v>
      </c>
      <c r="F10818" s="502" t="s">
        <v>381</v>
      </c>
      <c r="G10818" s="100" t="s">
        <v>448</v>
      </c>
      <c r="H10818" s="530"/>
      <c r="I10818" s="422"/>
      <c r="L10818" s="539"/>
      <c r="M10818" s="539"/>
      <c r="N10818" s="539"/>
    </row>
    <row r="10819" spans="1:22">
      <c r="A10819" s="499">
        <v>45866</v>
      </c>
      <c r="B10819" s="499">
        <v>45866</v>
      </c>
      <c r="C10819" s="500" t="s">
        <v>173</v>
      </c>
      <c r="D10819" s="500" t="s">
        <v>762</v>
      </c>
      <c r="E10819" s="501">
        <v>380591250</v>
      </c>
      <c r="F10819" s="502" t="s">
        <v>381</v>
      </c>
      <c r="G10819" s="100" t="s">
        <v>448</v>
      </c>
      <c r="H10819" s="530"/>
      <c r="I10819" s="422"/>
      <c r="L10819" s="539"/>
      <c r="M10819" s="539"/>
      <c r="N10819" s="539"/>
    </row>
    <row r="10820" spans="1:22">
      <c r="A10820" s="499">
        <v>45866</v>
      </c>
      <c r="B10820" s="499">
        <v>45866</v>
      </c>
      <c r="C10820" s="500" t="s">
        <v>173</v>
      </c>
      <c r="D10820" s="500" t="s">
        <v>760</v>
      </c>
      <c r="E10820" s="501">
        <v>238957500</v>
      </c>
      <c r="F10820" s="502" t="s">
        <v>381</v>
      </c>
      <c r="G10820" s="100" t="s">
        <v>448</v>
      </c>
      <c r="H10820" s="530"/>
      <c r="I10820" s="422"/>
      <c r="L10820" s="539"/>
      <c r="M10820" s="539"/>
      <c r="N10820" s="539"/>
    </row>
    <row r="10821" spans="1:22">
      <c r="A10821" s="499">
        <v>45866</v>
      </c>
      <c r="B10821" s="499">
        <v>45866</v>
      </c>
      <c r="C10821" s="500" t="s">
        <v>173</v>
      </c>
      <c r="D10821" s="500" t="s">
        <v>760</v>
      </c>
      <c r="E10821" s="501">
        <v>163698653</v>
      </c>
      <c r="F10821" s="502" t="s">
        <v>381</v>
      </c>
      <c r="G10821" s="100" t="s">
        <v>448</v>
      </c>
      <c r="H10821" s="530"/>
      <c r="I10821" s="422"/>
      <c r="L10821" s="539"/>
      <c r="M10821" s="539"/>
      <c r="N10821" s="539"/>
    </row>
    <row r="10822" spans="1:22">
      <c r="A10822" s="499">
        <v>45866</v>
      </c>
      <c r="B10822" s="499">
        <v>45866</v>
      </c>
      <c r="C10822" s="500" t="s">
        <v>173</v>
      </c>
      <c r="D10822" s="500" t="s">
        <v>760</v>
      </c>
      <c r="E10822" s="501">
        <v>57570506</v>
      </c>
      <c r="F10822" s="502" t="s">
        <v>381</v>
      </c>
      <c r="G10822" s="100" t="s">
        <v>448</v>
      </c>
      <c r="H10822" s="530"/>
      <c r="I10822" s="422"/>
      <c r="L10822" s="539"/>
      <c r="M10822" s="539"/>
      <c r="N10822" s="539"/>
    </row>
    <row r="10823" spans="1:22">
      <c r="A10823" s="499">
        <v>45866</v>
      </c>
      <c r="B10823" s="499">
        <v>45866</v>
      </c>
      <c r="C10823" s="500" t="s">
        <v>173</v>
      </c>
      <c r="D10823" s="500" t="s">
        <v>761</v>
      </c>
      <c r="E10823" s="501">
        <v>199967865</v>
      </c>
      <c r="F10823" s="502" t="s">
        <v>381</v>
      </c>
      <c r="G10823" s="100" t="s">
        <v>448</v>
      </c>
      <c r="H10823" s="530"/>
      <c r="I10823" s="422"/>
      <c r="L10823" s="539"/>
      <c r="M10823" s="539"/>
      <c r="N10823" s="539"/>
    </row>
    <row r="10824" spans="1:22">
      <c r="A10824" s="499">
        <v>45866</v>
      </c>
      <c r="B10824" s="499">
        <v>45866</v>
      </c>
      <c r="C10824" s="500" t="s">
        <v>173</v>
      </c>
      <c r="D10824" s="500" t="s">
        <v>761</v>
      </c>
      <c r="E10824" s="501">
        <v>21100000</v>
      </c>
      <c r="F10824" s="502" t="s">
        <v>381</v>
      </c>
      <c r="G10824" s="100" t="s">
        <v>448</v>
      </c>
      <c r="H10824" s="530"/>
      <c r="I10824" s="422"/>
      <c r="L10824" s="539"/>
      <c r="M10824" s="539"/>
      <c r="N10824" s="539"/>
    </row>
    <row r="10825" spans="1:22">
      <c r="A10825" s="499">
        <v>45866</v>
      </c>
      <c r="B10825" s="499">
        <v>45866</v>
      </c>
      <c r="C10825" s="500" t="s">
        <v>173</v>
      </c>
      <c r="D10825" s="500" t="s">
        <v>763</v>
      </c>
      <c r="E10825" s="501">
        <v>200186250</v>
      </c>
      <c r="F10825" s="502" t="s">
        <v>381</v>
      </c>
      <c r="G10825" s="100" t="s">
        <v>448</v>
      </c>
      <c r="H10825" s="530"/>
      <c r="I10825" s="422"/>
      <c r="L10825" s="539"/>
      <c r="M10825" s="539"/>
      <c r="N10825" s="539"/>
    </row>
    <row r="10826" spans="1:22">
      <c r="A10826" s="499">
        <v>45866</v>
      </c>
      <c r="B10826" s="499">
        <v>45866</v>
      </c>
      <c r="C10826" s="500" t="s">
        <v>173</v>
      </c>
      <c r="D10826" s="500" t="s">
        <v>764</v>
      </c>
      <c r="E10826" s="501">
        <v>161415000</v>
      </c>
      <c r="F10826" s="502" t="s">
        <v>381</v>
      </c>
      <c r="G10826" s="100" t="s">
        <v>448</v>
      </c>
      <c r="H10826" s="530"/>
      <c r="I10826" s="422"/>
      <c r="L10826" s="539"/>
      <c r="M10826" s="539"/>
      <c r="N10826" s="539"/>
    </row>
    <row r="10827" spans="1:22">
      <c r="A10827" s="499">
        <v>45867</v>
      </c>
      <c r="B10827" s="499">
        <v>45867</v>
      </c>
      <c r="C10827" s="500" t="s">
        <v>173</v>
      </c>
      <c r="D10827" s="500" t="s">
        <v>762</v>
      </c>
      <c r="E10827" s="501">
        <v>-1162132205.3900001</v>
      </c>
      <c r="F10827" s="502" t="s">
        <v>878</v>
      </c>
      <c r="G10827" s="317">
        <v>118319597</v>
      </c>
      <c r="H10827" s="530"/>
      <c r="I10827" s="422" t="s">
        <v>674</v>
      </c>
      <c r="J10827" s="484" t="s">
        <v>906</v>
      </c>
      <c r="L10827" s="539"/>
      <c r="M10827" s="539"/>
      <c r="N10827" s="548">
        <v>1303764</v>
      </c>
      <c r="R10827" s="548">
        <v>891.36699999999996</v>
      </c>
      <c r="S10827" s="548">
        <v>891.74797025381895</v>
      </c>
      <c r="T10827" s="549">
        <v>15.600099999999999</v>
      </c>
      <c r="U10827" s="538">
        <v>1743.2</v>
      </c>
      <c r="V10827" s="538">
        <v>871.6</v>
      </c>
    </row>
    <row r="10828" spans="1:22">
      <c r="A10828" s="499">
        <v>45867</v>
      </c>
      <c r="B10828" s="499">
        <v>45868</v>
      </c>
      <c r="C10828" s="500" t="s">
        <v>173</v>
      </c>
      <c r="D10828" s="500" t="s">
        <v>762</v>
      </c>
      <c r="E10828" s="501">
        <v>1162628900.6900001</v>
      </c>
      <c r="F10828" s="502" t="s">
        <v>878</v>
      </c>
      <c r="G10828" s="317">
        <v>118319597</v>
      </c>
      <c r="H10828" s="317">
        <v>118319597</v>
      </c>
      <c r="I10828" s="422" t="s">
        <v>674</v>
      </c>
      <c r="J10828" s="484" t="s">
        <v>912</v>
      </c>
      <c r="L10828" s="539"/>
      <c r="M10828" s="539"/>
      <c r="N10828" s="548">
        <v>1303764</v>
      </c>
      <c r="R10828" s="548">
        <v>891.36699999999996</v>
      </c>
      <c r="S10828" s="548">
        <v>891.74797025381895</v>
      </c>
      <c r="T10828" s="549">
        <v>15.600099999999999</v>
      </c>
      <c r="U10828" s="538">
        <v>1743.2</v>
      </c>
      <c r="V10828" s="538">
        <v>871.6</v>
      </c>
    </row>
    <row r="10829" spans="1:22">
      <c r="A10829" s="499">
        <v>45867</v>
      </c>
      <c r="B10829" s="499">
        <v>45867</v>
      </c>
      <c r="C10829" s="500" t="s">
        <v>173</v>
      </c>
      <c r="D10829" s="500" t="s">
        <v>760</v>
      </c>
      <c r="E10829" s="501">
        <v>-1300043922.8399999</v>
      </c>
      <c r="F10829" s="502" t="s">
        <v>878</v>
      </c>
      <c r="G10829" s="317">
        <v>118317744</v>
      </c>
      <c r="H10829" s="530"/>
      <c r="I10829" s="422" t="s">
        <v>2903</v>
      </c>
      <c r="J10829" s="484" t="s">
        <v>906</v>
      </c>
      <c r="L10829" s="539"/>
      <c r="M10829" s="539"/>
      <c r="N10829" s="548">
        <v>13115700</v>
      </c>
      <c r="R10829" s="548">
        <v>99.121200000000002</v>
      </c>
      <c r="S10829" s="548">
        <v>99.163699640125898</v>
      </c>
      <c r="T10829" s="549">
        <v>15.649900000000001</v>
      </c>
      <c r="U10829" s="549">
        <v>1950.07</v>
      </c>
      <c r="V10829" s="549">
        <v>975.03</v>
      </c>
    </row>
    <row r="10830" spans="1:22">
      <c r="A10830" s="499">
        <v>45867</v>
      </c>
      <c r="B10830" s="499">
        <v>45867</v>
      </c>
      <c r="C10830" s="500" t="s">
        <v>173</v>
      </c>
      <c r="D10830" s="500" t="s">
        <v>760</v>
      </c>
      <c r="E10830" s="501">
        <v>-887029968.88999999</v>
      </c>
      <c r="F10830" s="502" t="s">
        <v>878</v>
      </c>
      <c r="G10830" s="317">
        <v>118318092</v>
      </c>
      <c r="H10830" s="530"/>
      <c r="I10830" s="422" t="s">
        <v>2903</v>
      </c>
      <c r="J10830" s="484" t="s">
        <v>906</v>
      </c>
      <c r="L10830" s="539"/>
      <c r="M10830" s="539"/>
      <c r="N10830" s="548">
        <v>8948943</v>
      </c>
      <c r="R10830" s="548">
        <v>99.121200000000002</v>
      </c>
      <c r="S10830" s="548">
        <v>99.163862850618202</v>
      </c>
      <c r="T10830" s="549">
        <v>15.71</v>
      </c>
      <c r="U10830" s="549">
        <v>1330.54</v>
      </c>
      <c r="V10830" s="549">
        <v>665.27</v>
      </c>
    </row>
    <row r="10831" spans="1:22">
      <c r="A10831" s="499">
        <v>45867</v>
      </c>
      <c r="B10831" s="499">
        <v>45867</v>
      </c>
      <c r="C10831" s="500" t="s">
        <v>173</v>
      </c>
      <c r="D10831" s="500" t="s">
        <v>760</v>
      </c>
      <c r="E10831" s="501">
        <v>-6000202.7199999997</v>
      </c>
      <c r="F10831" s="502" t="s">
        <v>878</v>
      </c>
      <c r="G10831" s="317">
        <v>118318932</v>
      </c>
      <c r="H10831" s="530"/>
      <c r="I10831" s="422" t="s">
        <v>2903</v>
      </c>
      <c r="J10831" s="484" t="s">
        <v>906</v>
      </c>
      <c r="L10831" s="539"/>
      <c r="M10831" s="539"/>
      <c r="N10831" s="548">
        <v>60534</v>
      </c>
      <c r="R10831" s="548">
        <v>99.121200000000002</v>
      </c>
      <c r="S10831" s="548">
        <v>99.163699904186103</v>
      </c>
      <c r="T10831" s="549">
        <v>15.65</v>
      </c>
      <c r="U10831" s="549">
        <v>39.32</v>
      </c>
      <c r="V10831" s="549">
        <v>4.5</v>
      </c>
    </row>
    <row r="10832" spans="1:22">
      <c r="A10832" s="499">
        <v>45867</v>
      </c>
      <c r="B10832" s="499">
        <v>45868</v>
      </c>
      <c r="C10832" s="500" t="s">
        <v>173</v>
      </c>
      <c r="D10832" s="500" t="s">
        <v>760</v>
      </c>
      <c r="E10832" s="501">
        <v>1300601335.3699999</v>
      </c>
      <c r="F10832" s="502" t="s">
        <v>878</v>
      </c>
      <c r="G10832" s="317">
        <v>118317744</v>
      </c>
      <c r="H10832" s="317">
        <v>118317744</v>
      </c>
      <c r="I10832" s="422" t="s">
        <v>2903</v>
      </c>
      <c r="J10832" s="484" t="s">
        <v>912</v>
      </c>
      <c r="L10832" s="539"/>
      <c r="M10832" s="539"/>
      <c r="N10832" s="548">
        <v>13115700</v>
      </c>
      <c r="R10832" s="548">
        <v>99.121200000000002</v>
      </c>
      <c r="S10832" s="548">
        <v>99.163699640125898</v>
      </c>
      <c r="T10832" s="549">
        <v>15.649900000000001</v>
      </c>
      <c r="U10832" s="549">
        <v>1950.07</v>
      </c>
      <c r="V10832" s="549">
        <v>975.03</v>
      </c>
    </row>
    <row r="10833" spans="1:22">
      <c r="A10833" s="499">
        <v>45867</v>
      </c>
      <c r="B10833" s="499">
        <v>45868</v>
      </c>
      <c r="C10833" s="500" t="s">
        <v>173</v>
      </c>
      <c r="D10833" s="500" t="s">
        <v>760</v>
      </c>
      <c r="E10833" s="501">
        <v>887411756.30999994</v>
      </c>
      <c r="F10833" s="502" t="s">
        <v>878</v>
      </c>
      <c r="G10833" s="317">
        <v>118318092</v>
      </c>
      <c r="H10833" s="317">
        <v>118318092</v>
      </c>
      <c r="I10833" s="422" t="s">
        <v>2903</v>
      </c>
      <c r="J10833" s="484" t="s">
        <v>912</v>
      </c>
      <c r="L10833" s="539"/>
      <c r="M10833" s="539"/>
      <c r="N10833" s="548">
        <v>8948943</v>
      </c>
      <c r="R10833" s="548">
        <v>99.121200000000002</v>
      </c>
      <c r="S10833" s="548">
        <v>99.163862850618202</v>
      </c>
      <c r="T10833" s="549">
        <v>15.71</v>
      </c>
      <c r="U10833" s="549">
        <v>1330.54</v>
      </c>
      <c r="V10833" s="549">
        <v>665.27</v>
      </c>
    </row>
    <row r="10834" spans="1:22">
      <c r="A10834" s="499">
        <v>45867</v>
      </c>
      <c r="B10834" s="499">
        <v>45868</v>
      </c>
      <c r="C10834" s="500" t="s">
        <v>173</v>
      </c>
      <c r="D10834" s="500" t="s">
        <v>760</v>
      </c>
      <c r="E10834" s="501">
        <v>6002775.4100000001</v>
      </c>
      <c r="F10834" s="502" t="s">
        <v>878</v>
      </c>
      <c r="G10834" s="317">
        <v>118318932</v>
      </c>
      <c r="H10834" s="317">
        <v>118318932</v>
      </c>
      <c r="I10834" s="422" t="s">
        <v>2903</v>
      </c>
      <c r="J10834" s="484" t="s">
        <v>912</v>
      </c>
      <c r="L10834" s="539"/>
      <c r="M10834" s="539"/>
      <c r="N10834" s="548">
        <v>60534</v>
      </c>
      <c r="R10834" s="548">
        <v>99.121200000000002</v>
      </c>
      <c r="S10834" s="548">
        <v>99.163699904186103</v>
      </c>
      <c r="T10834" s="549">
        <v>15.65</v>
      </c>
      <c r="U10834" s="549">
        <v>39.32</v>
      </c>
      <c r="V10834" s="549">
        <v>4.5</v>
      </c>
    </row>
    <row r="10835" spans="1:22">
      <c r="A10835" s="499">
        <v>45867</v>
      </c>
      <c r="B10835" s="499">
        <v>45867</v>
      </c>
      <c r="C10835" s="500" t="s">
        <v>173</v>
      </c>
      <c r="D10835" s="500" t="s">
        <v>761</v>
      </c>
      <c r="E10835" s="501">
        <v>-272009190.00999999</v>
      </c>
      <c r="F10835" s="502" t="s">
        <v>878</v>
      </c>
      <c r="G10835" s="317">
        <v>118318163</v>
      </c>
      <c r="H10835" s="530"/>
      <c r="I10835" s="422" t="s">
        <v>2903</v>
      </c>
      <c r="J10835" s="484" t="s">
        <v>906</v>
      </c>
      <c r="L10835" s="539"/>
      <c r="M10835" s="539"/>
      <c r="N10835" s="548">
        <v>2744208</v>
      </c>
      <c r="R10835" s="548">
        <v>99.121200000145762</v>
      </c>
      <c r="S10835" s="548">
        <v>99.163862852232796</v>
      </c>
      <c r="T10835" s="549">
        <v>15.71</v>
      </c>
      <c r="U10835" s="549">
        <v>408.01</v>
      </c>
      <c r="V10835" s="549">
        <v>204.01</v>
      </c>
    </row>
    <row r="10836" spans="1:22">
      <c r="A10836" s="499">
        <v>45867</v>
      </c>
      <c r="B10836" s="499">
        <v>45867</v>
      </c>
      <c r="C10836" s="500" t="s">
        <v>173</v>
      </c>
      <c r="D10836" s="500" t="s">
        <v>761</v>
      </c>
      <c r="E10836" s="501">
        <v>-1507019303.1600001</v>
      </c>
      <c r="F10836" s="502" t="s">
        <v>878</v>
      </c>
      <c r="G10836" s="317">
        <v>118318973</v>
      </c>
      <c r="H10836" s="530"/>
      <c r="I10836" s="422" t="s">
        <v>682</v>
      </c>
      <c r="J10836" s="484" t="s">
        <v>906</v>
      </c>
      <c r="L10836" s="539"/>
      <c r="M10836" s="539"/>
      <c r="N10836" s="548">
        <v>1623039</v>
      </c>
      <c r="R10836" s="548">
        <v>928.51699999815162</v>
      </c>
      <c r="S10836" s="548">
        <v>928.91511756033003</v>
      </c>
      <c r="T10836" s="549">
        <v>15.65</v>
      </c>
      <c r="U10836" s="549">
        <v>2260.5300000000002</v>
      </c>
      <c r="V10836" s="549">
        <v>1130.26</v>
      </c>
    </row>
    <row r="10837" spans="1:22">
      <c r="A10837" s="499">
        <v>45867</v>
      </c>
      <c r="B10837" s="499">
        <v>45867</v>
      </c>
      <c r="C10837" s="500" t="s">
        <v>173</v>
      </c>
      <c r="D10837" s="500" t="s">
        <v>761</v>
      </c>
      <c r="E10837" s="501">
        <v>-10000128.09</v>
      </c>
      <c r="F10837" s="502" t="s">
        <v>878</v>
      </c>
      <c r="G10837" s="317">
        <v>118318993</v>
      </c>
      <c r="H10837" s="530"/>
      <c r="I10837" s="422" t="s">
        <v>682</v>
      </c>
      <c r="J10837" s="484" t="s">
        <v>906</v>
      </c>
      <c r="L10837" s="539"/>
      <c r="M10837" s="539"/>
      <c r="N10837" s="548">
        <v>10770</v>
      </c>
      <c r="R10837" s="548">
        <v>928.51699999999994</v>
      </c>
      <c r="S10837" s="548">
        <v>928.91511792014796</v>
      </c>
      <c r="T10837" s="549">
        <v>15.65</v>
      </c>
      <c r="U10837" s="549">
        <v>39.32</v>
      </c>
      <c r="V10837" s="549">
        <v>7.5</v>
      </c>
    </row>
    <row r="10838" spans="1:22">
      <c r="A10838" s="499">
        <v>45867</v>
      </c>
      <c r="B10838" s="499">
        <v>45868</v>
      </c>
      <c r="C10838" s="500" t="s">
        <v>173</v>
      </c>
      <c r="D10838" s="500" t="s">
        <v>761</v>
      </c>
      <c r="E10838" s="501">
        <v>272126265.75</v>
      </c>
      <c r="F10838" s="502" t="s">
        <v>878</v>
      </c>
      <c r="G10838" s="317">
        <v>118318163</v>
      </c>
      <c r="H10838" s="317">
        <v>118318163</v>
      </c>
      <c r="I10838" s="422" t="s">
        <v>2903</v>
      </c>
      <c r="J10838" s="484" t="s">
        <v>912</v>
      </c>
      <c r="L10838" s="539"/>
      <c r="M10838" s="539"/>
      <c r="N10838" s="548">
        <v>2744208</v>
      </c>
      <c r="R10838" s="548">
        <v>99.121200000145762</v>
      </c>
      <c r="S10838" s="548">
        <v>99.163862852232796</v>
      </c>
      <c r="T10838" s="549">
        <v>15.71</v>
      </c>
      <c r="U10838" s="549">
        <v>408.01</v>
      </c>
      <c r="V10838" s="549">
        <v>204.01</v>
      </c>
    </row>
    <row r="10839" spans="1:22">
      <c r="A10839" s="499">
        <v>45867</v>
      </c>
      <c r="B10839" s="499">
        <v>45868</v>
      </c>
      <c r="C10839" s="500" t="s">
        <v>173</v>
      </c>
      <c r="D10839" s="500" t="s">
        <v>761</v>
      </c>
      <c r="E10839" s="501">
        <v>1507665463.49</v>
      </c>
      <c r="F10839" s="502" t="s">
        <v>878</v>
      </c>
      <c r="G10839" s="317">
        <v>118318973</v>
      </c>
      <c r="H10839" s="317">
        <v>118318973</v>
      </c>
      <c r="I10839" s="422" t="s">
        <v>682</v>
      </c>
      <c r="J10839" s="484" t="s">
        <v>912</v>
      </c>
      <c r="L10839" s="539"/>
      <c r="M10839" s="539"/>
      <c r="N10839" s="548">
        <v>1623039</v>
      </c>
      <c r="R10839" s="548">
        <v>928.51699999815162</v>
      </c>
      <c r="S10839" s="548">
        <v>928.91511756033003</v>
      </c>
      <c r="T10839" s="549">
        <v>15.65</v>
      </c>
      <c r="U10839" s="549">
        <v>2260.5300000000002</v>
      </c>
      <c r="V10839" s="549">
        <v>1130.26</v>
      </c>
    </row>
    <row r="10840" spans="1:22">
      <c r="A10840" s="499">
        <v>45867</v>
      </c>
      <c r="B10840" s="499">
        <v>45868</v>
      </c>
      <c r="C10840" s="500" t="s">
        <v>173</v>
      </c>
      <c r="D10840" s="500" t="s">
        <v>761</v>
      </c>
      <c r="E10840" s="501">
        <v>10004415.82</v>
      </c>
      <c r="F10840" s="502" t="s">
        <v>878</v>
      </c>
      <c r="G10840" s="317">
        <v>118318993</v>
      </c>
      <c r="H10840" s="317">
        <v>118318993</v>
      </c>
      <c r="I10840" s="422" t="s">
        <v>682</v>
      </c>
      <c r="J10840" s="484" t="s">
        <v>912</v>
      </c>
      <c r="L10840" s="539"/>
      <c r="M10840" s="539"/>
      <c r="N10840" s="548">
        <v>10770</v>
      </c>
      <c r="R10840" s="548">
        <v>928.51699999999994</v>
      </c>
      <c r="S10840" s="548">
        <v>928.91511792014796</v>
      </c>
      <c r="T10840" s="549">
        <v>15.65</v>
      </c>
      <c r="U10840" s="549">
        <v>39.32</v>
      </c>
      <c r="V10840" s="549">
        <v>7.5</v>
      </c>
    </row>
    <row r="10841" spans="1:22">
      <c r="A10841" s="499">
        <v>45867</v>
      </c>
      <c r="B10841" s="499">
        <v>45867</v>
      </c>
      <c r="C10841" s="500" t="s">
        <v>173</v>
      </c>
      <c r="D10841" s="500" t="s">
        <v>764</v>
      </c>
      <c r="E10841" s="501">
        <v>-3489304481.5900002</v>
      </c>
      <c r="F10841" s="502" t="s">
        <v>878</v>
      </c>
      <c r="G10841" s="100">
        <v>118322002</v>
      </c>
      <c r="H10841" s="530"/>
      <c r="I10841" s="422" t="s">
        <v>704</v>
      </c>
      <c r="J10841" s="484" t="s">
        <v>906</v>
      </c>
      <c r="L10841" s="539"/>
      <c r="M10841" s="539"/>
      <c r="N10841" s="548">
        <v>4299471</v>
      </c>
      <c r="R10841" s="548">
        <v>811.56600000093033</v>
      </c>
      <c r="S10841" s="548">
        <v>811.91286108686404</v>
      </c>
      <c r="T10841" s="549">
        <v>15.6</v>
      </c>
      <c r="U10841" s="549">
        <v>5233.96</v>
      </c>
      <c r="V10841" s="549">
        <v>2616.98</v>
      </c>
    </row>
    <row r="10842" spans="1:22">
      <c r="A10842" s="499">
        <v>45867</v>
      </c>
      <c r="B10842" s="499">
        <v>45867</v>
      </c>
      <c r="C10842" s="500" t="s">
        <v>173</v>
      </c>
      <c r="D10842" s="500" t="s">
        <v>764</v>
      </c>
      <c r="E10842" s="501">
        <v>-1274341774.71</v>
      </c>
      <c r="F10842" s="502" t="s">
        <v>878</v>
      </c>
      <c r="G10842" s="100">
        <v>118322270</v>
      </c>
      <c r="H10842" s="530"/>
      <c r="I10842" s="422" t="s">
        <v>657</v>
      </c>
      <c r="J10842" s="484" t="s">
        <v>906</v>
      </c>
      <c r="L10842" s="539"/>
      <c r="M10842" s="539"/>
      <c r="N10842" s="548">
        <v>1275274</v>
      </c>
      <c r="R10842" s="548">
        <v>999.26900000313663</v>
      </c>
      <c r="S10842" s="548">
        <v>999.69526625650599</v>
      </c>
      <c r="T10842" s="549">
        <v>15.5701</v>
      </c>
      <c r="U10842" s="549">
        <v>1911.51</v>
      </c>
      <c r="V10842" s="549">
        <v>955.76</v>
      </c>
    </row>
    <row r="10843" spans="1:22">
      <c r="A10843" s="499">
        <v>45867</v>
      </c>
      <c r="B10843" s="499">
        <v>45867</v>
      </c>
      <c r="C10843" s="500" t="s">
        <v>173</v>
      </c>
      <c r="D10843" s="500" t="s">
        <v>764</v>
      </c>
      <c r="E10843" s="501">
        <v>-28011767.280000001</v>
      </c>
      <c r="F10843" s="502" t="s">
        <v>878</v>
      </c>
      <c r="G10843" s="100">
        <v>118322291</v>
      </c>
      <c r="H10843" s="530"/>
      <c r="I10843" s="422" t="s">
        <v>671</v>
      </c>
      <c r="J10843" s="484" t="s">
        <v>906</v>
      </c>
      <c r="L10843" s="539"/>
      <c r="M10843" s="539"/>
      <c r="N10843" s="548">
        <v>27440</v>
      </c>
      <c r="R10843" s="548">
        <v>1020.837</v>
      </c>
      <c r="S10843" s="548">
        <v>1021.27246938776</v>
      </c>
      <c r="T10843" s="549">
        <v>15.5702</v>
      </c>
      <c r="U10843" s="549">
        <v>42.02</v>
      </c>
      <c r="V10843" s="549">
        <v>21.01</v>
      </c>
    </row>
    <row r="10844" spans="1:22">
      <c r="A10844" s="499">
        <v>45867</v>
      </c>
      <c r="B10844" s="499">
        <v>45868</v>
      </c>
      <c r="C10844" s="500" t="s">
        <v>173</v>
      </c>
      <c r="D10844" s="500" t="s">
        <v>764</v>
      </c>
      <c r="E10844" s="501">
        <v>3490795800.77</v>
      </c>
      <c r="F10844" s="502" t="s">
        <v>878</v>
      </c>
      <c r="G10844" s="100">
        <v>118322002</v>
      </c>
      <c r="H10844" s="484">
        <v>118322002</v>
      </c>
      <c r="I10844" s="422" t="s">
        <v>704</v>
      </c>
      <c r="J10844" s="484" t="s">
        <v>912</v>
      </c>
      <c r="L10844" s="539"/>
      <c r="M10844" s="539"/>
      <c r="N10844" s="548">
        <v>4299471</v>
      </c>
      <c r="R10844" s="548">
        <v>811.56600000093033</v>
      </c>
      <c r="S10844" s="548">
        <v>811.91286108686404</v>
      </c>
      <c r="T10844" s="549">
        <v>15.6</v>
      </c>
      <c r="U10844" s="549">
        <v>5233.96</v>
      </c>
      <c r="V10844" s="549">
        <v>2616.98</v>
      </c>
    </row>
    <row r="10845" spans="1:22">
      <c r="A10845" s="499">
        <v>45867</v>
      </c>
      <c r="B10845" s="499">
        <v>45868</v>
      </c>
      <c r="C10845" s="500" t="s">
        <v>173</v>
      </c>
      <c r="D10845" s="500" t="s">
        <v>764</v>
      </c>
      <c r="E10845" s="501">
        <v>1274885380.98</v>
      </c>
      <c r="F10845" s="502" t="s">
        <v>878</v>
      </c>
      <c r="G10845" s="100">
        <v>118322270</v>
      </c>
      <c r="H10845" s="484">
        <v>118322270</v>
      </c>
      <c r="I10845" s="422" t="s">
        <v>657</v>
      </c>
      <c r="J10845" s="484" t="s">
        <v>912</v>
      </c>
      <c r="L10845" s="539"/>
      <c r="M10845" s="539"/>
      <c r="N10845" s="548">
        <v>1275274</v>
      </c>
      <c r="R10845" s="548">
        <v>999.26900000313663</v>
      </c>
      <c r="S10845" s="548">
        <v>999.69526625650599</v>
      </c>
      <c r="T10845" s="549">
        <v>15.5701</v>
      </c>
      <c r="U10845" s="549">
        <v>1911.51</v>
      </c>
      <c r="V10845" s="549">
        <v>955.76</v>
      </c>
    </row>
    <row r="10846" spans="1:22">
      <c r="A10846" s="499">
        <v>45867</v>
      </c>
      <c r="B10846" s="499">
        <v>45868</v>
      </c>
      <c r="C10846" s="500" t="s">
        <v>173</v>
      </c>
      <c r="D10846" s="500" t="s">
        <v>764</v>
      </c>
      <c r="E10846" s="501">
        <v>28023716.559999999</v>
      </c>
      <c r="F10846" s="502" t="s">
        <v>878</v>
      </c>
      <c r="G10846" s="100">
        <v>118322291</v>
      </c>
      <c r="H10846" s="484">
        <v>118322291</v>
      </c>
      <c r="I10846" s="422" t="s">
        <v>671</v>
      </c>
      <c r="J10846" s="484" t="s">
        <v>912</v>
      </c>
      <c r="L10846" s="539"/>
      <c r="M10846" s="539"/>
      <c r="N10846" s="548">
        <v>27440</v>
      </c>
      <c r="R10846" s="548">
        <v>1020.837</v>
      </c>
      <c r="S10846" s="548">
        <v>1021.27246938776</v>
      </c>
      <c r="T10846" s="549">
        <v>15.5702</v>
      </c>
      <c r="U10846" s="549">
        <v>42.02</v>
      </c>
      <c r="V10846" s="549">
        <v>21.01</v>
      </c>
    </row>
    <row r="10847" spans="1:22">
      <c r="A10847" s="499">
        <v>45867</v>
      </c>
      <c r="B10847" s="499">
        <v>45867</v>
      </c>
      <c r="C10847" s="500" t="s">
        <v>173</v>
      </c>
      <c r="D10847" s="500" t="s">
        <v>763</v>
      </c>
      <c r="E10847" s="501">
        <v>-3583121058.0999999</v>
      </c>
      <c r="F10847" s="502" t="s">
        <v>878</v>
      </c>
      <c r="G10847" s="317">
        <v>118318640</v>
      </c>
      <c r="H10847" s="530"/>
      <c r="I10847" s="422" t="s">
        <v>2903</v>
      </c>
      <c r="J10847" s="484" t="s">
        <v>906</v>
      </c>
      <c r="L10847" s="539"/>
      <c r="M10847" s="539"/>
      <c r="N10847" s="548">
        <v>36148887</v>
      </c>
      <c r="R10847" s="548">
        <v>99.121200000000002</v>
      </c>
      <c r="S10847" s="548">
        <v>99.1636999117013</v>
      </c>
      <c r="T10847" s="549">
        <v>15.65</v>
      </c>
      <c r="U10847" s="549">
        <v>5374.68</v>
      </c>
      <c r="V10847" s="549">
        <v>2687.34</v>
      </c>
    </row>
    <row r="10848" spans="1:22">
      <c r="A10848" s="499">
        <v>45867</v>
      </c>
      <c r="B10848" s="499">
        <v>45867</v>
      </c>
      <c r="C10848" s="500" t="s">
        <v>173</v>
      </c>
      <c r="D10848" s="500" t="s">
        <v>763</v>
      </c>
      <c r="E10848" s="501">
        <v>-22000743.309999999</v>
      </c>
      <c r="F10848" s="502" t="s">
        <v>878</v>
      </c>
      <c r="G10848" s="317">
        <v>118318663</v>
      </c>
      <c r="H10848" s="530"/>
      <c r="I10848" s="422" t="s">
        <v>2903</v>
      </c>
      <c r="J10848" s="484" t="s">
        <v>906</v>
      </c>
      <c r="L10848" s="539"/>
      <c r="M10848" s="539"/>
      <c r="N10848" s="548">
        <v>221958</v>
      </c>
      <c r="R10848" s="548">
        <v>99.121200000000002</v>
      </c>
      <c r="S10848" s="548">
        <v>99.163699934221796</v>
      </c>
      <c r="T10848" s="549">
        <v>15.65</v>
      </c>
      <c r="U10848" s="549">
        <v>39.32</v>
      </c>
      <c r="V10848" s="549">
        <v>39.32</v>
      </c>
    </row>
    <row r="10849" spans="1:22">
      <c r="A10849" s="499">
        <v>45867</v>
      </c>
      <c r="B10849" s="499">
        <v>45868</v>
      </c>
      <c r="C10849" s="500" t="s">
        <v>173</v>
      </c>
      <c r="D10849" s="500" t="s">
        <v>763</v>
      </c>
      <c r="E10849" s="501">
        <v>3584657382.6100001</v>
      </c>
      <c r="F10849" s="502" t="s">
        <v>878</v>
      </c>
      <c r="G10849" s="317">
        <v>118318640</v>
      </c>
      <c r="H10849" s="317">
        <v>118318640</v>
      </c>
      <c r="I10849" s="422" t="s">
        <v>2903</v>
      </c>
      <c r="J10849" s="484" t="s">
        <v>912</v>
      </c>
      <c r="L10849" s="539"/>
      <c r="M10849" s="539"/>
      <c r="N10849" s="548">
        <v>36148887</v>
      </c>
      <c r="R10849" s="548">
        <v>99.121200000000002</v>
      </c>
      <c r="S10849" s="548">
        <v>99.1636999117013</v>
      </c>
      <c r="T10849" s="549">
        <v>15.65</v>
      </c>
      <c r="U10849" s="549">
        <v>5374.68</v>
      </c>
      <c r="V10849" s="549">
        <v>2687.34</v>
      </c>
    </row>
    <row r="10850" spans="1:22">
      <c r="A10850" s="499">
        <v>45867</v>
      </c>
      <c r="B10850" s="499">
        <v>45868</v>
      </c>
      <c r="C10850" s="500" t="s">
        <v>173</v>
      </c>
      <c r="D10850" s="500" t="s">
        <v>763</v>
      </c>
      <c r="E10850" s="501">
        <v>22010176.510000002</v>
      </c>
      <c r="F10850" s="502" t="s">
        <v>878</v>
      </c>
      <c r="G10850" s="317">
        <v>118318663</v>
      </c>
      <c r="H10850" s="317">
        <v>118318663</v>
      </c>
      <c r="I10850" s="422" t="s">
        <v>2903</v>
      </c>
      <c r="J10850" s="484" t="s">
        <v>912</v>
      </c>
      <c r="L10850" s="539"/>
      <c r="M10850" s="539"/>
      <c r="N10850" s="548">
        <v>221958</v>
      </c>
      <c r="R10850" s="548">
        <v>99.121200000000002</v>
      </c>
      <c r="S10850" s="548">
        <v>99.163699934221796</v>
      </c>
      <c r="T10850" s="549">
        <v>15.65</v>
      </c>
      <c r="U10850" s="549">
        <v>39.32</v>
      </c>
      <c r="V10850" s="549">
        <v>39.32</v>
      </c>
    </row>
    <row r="10851" spans="1:22">
      <c r="A10851" s="499">
        <v>45867</v>
      </c>
      <c r="B10851" s="499">
        <v>45867</v>
      </c>
      <c r="C10851" s="500" t="s">
        <v>173</v>
      </c>
      <c r="D10851" s="500" t="s">
        <v>759</v>
      </c>
      <c r="E10851" s="501">
        <v>-5901574830.9099998</v>
      </c>
      <c r="F10851" s="502" t="s">
        <v>878</v>
      </c>
      <c r="G10851" s="317">
        <v>118318587</v>
      </c>
      <c r="H10851" s="530"/>
      <c r="I10851" s="422" t="s">
        <v>693</v>
      </c>
      <c r="J10851" s="484" t="s">
        <v>906</v>
      </c>
      <c r="L10851" s="539"/>
      <c r="M10851" s="539"/>
      <c r="N10851" s="548">
        <v>7704094</v>
      </c>
      <c r="R10851" s="548">
        <v>766.03099999948074</v>
      </c>
      <c r="S10851" s="548">
        <v>770.67335773161699</v>
      </c>
      <c r="T10851" s="549">
        <v>15.8</v>
      </c>
      <c r="U10851" s="549">
        <v>123933.07</v>
      </c>
      <c r="V10851" s="549">
        <v>61966.54</v>
      </c>
    </row>
    <row r="10852" spans="1:22">
      <c r="A10852" s="499">
        <v>45867</v>
      </c>
      <c r="B10852" s="499">
        <v>45867</v>
      </c>
      <c r="C10852" s="500" t="s">
        <v>173</v>
      </c>
      <c r="D10852" s="500" t="s">
        <v>759</v>
      </c>
      <c r="E10852" s="501">
        <v>-478139225.14999998</v>
      </c>
      <c r="F10852" s="502" t="s">
        <v>878</v>
      </c>
      <c r="G10852" s="317">
        <v>118320532</v>
      </c>
      <c r="H10852" s="530"/>
      <c r="I10852" s="422" t="s">
        <v>675</v>
      </c>
      <c r="J10852" s="484" t="s">
        <v>906</v>
      </c>
      <c r="L10852" s="539"/>
      <c r="M10852" s="539"/>
      <c r="N10852" s="548">
        <v>515762</v>
      </c>
      <c r="R10852" s="548">
        <v>927.05400000387772</v>
      </c>
      <c r="S10852" s="548">
        <v>927.451490280401</v>
      </c>
      <c r="T10852" s="549">
        <v>15.65</v>
      </c>
      <c r="U10852" s="549">
        <v>717.21</v>
      </c>
      <c r="V10852" s="549">
        <v>358.6</v>
      </c>
    </row>
    <row r="10853" spans="1:22">
      <c r="A10853" s="499">
        <v>45867</v>
      </c>
      <c r="B10853" s="499">
        <v>45867</v>
      </c>
      <c r="C10853" s="500" t="s">
        <v>173</v>
      </c>
      <c r="D10853" s="500" t="s">
        <v>759</v>
      </c>
      <c r="E10853" s="501">
        <v>-1522855945.4000001</v>
      </c>
      <c r="F10853" s="502" t="s">
        <v>878</v>
      </c>
      <c r="G10853" s="317">
        <v>118320553</v>
      </c>
      <c r="H10853" s="530"/>
      <c r="I10853" s="422" t="s">
        <v>691</v>
      </c>
      <c r="J10853" s="484" t="s">
        <v>906</v>
      </c>
      <c r="L10853" s="539"/>
      <c r="M10853" s="539"/>
      <c r="N10853" s="548">
        <v>1763998</v>
      </c>
      <c r="R10853" s="548">
        <v>863.29799999773252</v>
      </c>
      <c r="S10853" s="548">
        <v>863.66815379609295</v>
      </c>
      <c r="T10853" s="549">
        <v>15.65</v>
      </c>
      <c r="U10853" s="549">
        <v>2284.2800000000002</v>
      </c>
      <c r="V10853" s="549">
        <v>1142.1400000000001</v>
      </c>
    </row>
    <row r="10854" spans="1:22">
      <c r="A10854" s="499">
        <v>45867</v>
      </c>
      <c r="B10854" s="499">
        <v>45867</v>
      </c>
      <c r="C10854" s="500" t="s">
        <v>173</v>
      </c>
      <c r="D10854" s="500" t="s">
        <v>759</v>
      </c>
      <c r="E10854" s="501">
        <v>-46019039.68</v>
      </c>
      <c r="F10854" s="502" t="s">
        <v>878</v>
      </c>
      <c r="G10854" s="317">
        <v>118323592</v>
      </c>
      <c r="H10854" s="530"/>
      <c r="I10854" s="422" t="s">
        <v>656</v>
      </c>
      <c r="J10854" s="484" t="s">
        <v>906</v>
      </c>
      <c r="L10854" s="539"/>
      <c r="M10854" s="539"/>
      <c r="N10854" s="548">
        <v>44804</v>
      </c>
      <c r="R10854" s="548">
        <v>1027.1190000892777</v>
      </c>
      <c r="S10854" s="548">
        <v>1033.2875223194401</v>
      </c>
      <c r="T10854" s="549">
        <v>15.6576</v>
      </c>
      <c r="U10854" s="549">
        <v>966.4</v>
      </c>
      <c r="V10854" s="549">
        <v>483.2</v>
      </c>
    </row>
    <row r="10855" spans="1:22">
      <c r="A10855" s="499">
        <v>45867</v>
      </c>
      <c r="B10855" s="499">
        <v>45881</v>
      </c>
      <c r="C10855" s="500" t="s">
        <v>173</v>
      </c>
      <c r="D10855" s="500" t="s">
        <v>759</v>
      </c>
      <c r="E10855" s="501">
        <v>5937339991.2600002</v>
      </c>
      <c r="F10855" s="502" t="s">
        <v>878</v>
      </c>
      <c r="G10855" s="317">
        <v>118318587</v>
      </c>
      <c r="H10855" s="317">
        <v>118318587</v>
      </c>
      <c r="I10855" s="422" t="s">
        <v>693</v>
      </c>
      <c r="J10855" s="484" t="s">
        <v>912</v>
      </c>
      <c r="L10855" s="539"/>
      <c r="M10855" s="539"/>
      <c r="N10855" s="548">
        <v>7704094</v>
      </c>
      <c r="R10855" s="548">
        <v>766.03099999948074</v>
      </c>
      <c r="S10855" s="548">
        <v>770.67335773161699</v>
      </c>
      <c r="T10855" s="549">
        <v>15.8</v>
      </c>
      <c r="U10855" s="549">
        <v>123933.07</v>
      </c>
      <c r="V10855" s="549">
        <v>61966.54</v>
      </c>
    </row>
    <row r="10856" spans="1:22">
      <c r="A10856" s="499">
        <v>45867</v>
      </c>
      <c r="B10856" s="499">
        <v>45868</v>
      </c>
      <c r="C10856" s="500" t="s">
        <v>173</v>
      </c>
      <c r="D10856" s="500" t="s">
        <v>759</v>
      </c>
      <c r="E10856" s="501">
        <v>478344235.52999997</v>
      </c>
      <c r="F10856" s="502" t="s">
        <v>878</v>
      </c>
      <c r="G10856" s="317">
        <v>118320532</v>
      </c>
      <c r="H10856" s="317">
        <v>118320532</v>
      </c>
      <c r="I10856" s="422" t="s">
        <v>675</v>
      </c>
      <c r="J10856" s="484" t="s">
        <v>912</v>
      </c>
      <c r="L10856" s="539"/>
      <c r="M10856" s="539"/>
      <c r="N10856" s="548">
        <v>515762</v>
      </c>
      <c r="R10856" s="548">
        <v>927.05400000387772</v>
      </c>
      <c r="S10856" s="548">
        <v>927.451490280401</v>
      </c>
      <c r="T10856" s="549">
        <v>15.65</v>
      </c>
      <c r="U10856" s="549">
        <v>717.21</v>
      </c>
      <c r="V10856" s="549">
        <v>358.6</v>
      </c>
    </row>
    <row r="10857" spans="1:22">
      <c r="A10857" s="499">
        <v>45867</v>
      </c>
      <c r="B10857" s="499">
        <v>45868</v>
      </c>
      <c r="C10857" s="500" t="s">
        <v>173</v>
      </c>
      <c r="D10857" s="500" t="s">
        <v>759</v>
      </c>
      <c r="E10857" s="501">
        <v>1523508895.96</v>
      </c>
      <c r="F10857" s="502" t="s">
        <v>878</v>
      </c>
      <c r="G10857" s="317">
        <v>118320553</v>
      </c>
      <c r="H10857" s="317">
        <v>118320553</v>
      </c>
      <c r="I10857" s="422" t="s">
        <v>691</v>
      </c>
      <c r="J10857" s="484" t="s">
        <v>912</v>
      </c>
      <c r="L10857" s="539"/>
      <c r="M10857" s="539"/>
      <c r="N10857" s="548">
        <v>1763998</v>
      </c>
      <c r="R10857" s="548">
        <v>863.29799999773252</v>
      </c>
      <c r="S10857" s="548">
        <v>863.66815379609295</v>
      </c>
      <c r="T10857" s="549">
        <v>15.65</v>
      </c>
      <c r="U10857" s="549">
        <v>2284.2800000000002</v>
      </c>
      <c r="V10857" s="549">
        <v>1142.1400000000001</v>
      </c>
    </row>
    <row r="10858" spans="1:22">
      <c r="A10858" s="499">
        <v>45867</v>
      </c>
      <c r="B10858" s="499">
        <v>45881</v>
      </c>
      <c r="C10858" s="500" t="s">
        <v>173</v>
      </c>
      <c r="D10858" s="500" t="s">
        <v>759</v>
      </c>
      <c r="E10858" s="501">
        <v>46295414.149999999</v>
      </c>
      <c r="F10858" s="502" t="s">
        <v>878</v>
      </c>
      <c r="G10858" s="317">
        <v>118323592</v>
      </c>
      <c r="H10858" s="317">
        <v>118323592</v>
      </c>
      <c r="I10858" s="422" t="s">
        <v>656</v>
      </c>
      <c r="J10858" s="484" t="s">
        <v>912</v>
      </c>
      <c r="L10858" s="539"/>
      <c r="M10858" s="539"/>
      <c r="N10858" s="548">
        <v>44804</v>
      </c>
      <c r="R10858" s="548">
        <v>1027.1190000892777</v>
      </c>
      <c r="S10858" s="548">
        <v>1033.2875223194401</v>
      </c>
      <c r="T10858" s="549">
        <v>15.6576</v>
      </c>
      <c r="U10858" s="549">
        <v>966.4</v>
      </c>
      <c r="V10858" s="549">
        <v>483.2</v>
      </c>
    </row>
    <row r="10859" spans="1:22">
      <c r="A10859" s="499">
        <v>45868</v>
      </c>
      <c r="B10859" s="499">
        <v>45868</v>
      </c>
      <c r="C10859" s="500" t="s">
        <v>173</v>
      </c>
      <c r="D10859" s="500" t="s">
        <v>762</v>
      </c>
      <c r="E10859" s="501">
        <v>-1162105674.5999999</v>
      </c>
      <c r="F10859" s="502" t="s">
        <v>878</v>
      </c>
      <c r="G10859" s="317">
        <v>118344518</v>
      </c>
      <c r="H10859" s="530"/>
      <c r="I10859" s="422" t="s">
        <v>592</v>
      </c>
      <c r="J10859" s="484" t="s">
        <v>906</v>
      </c>
      <c r="L10859" s="539"/>
      <c r="M10859" s="539"/>
      <c r="N10859" s="548">
        <v>1378132</v>
      </c>
      <c r="R10859" s="548">
        <v>843.24699999999996</v>
      </c>
      <c r="S10859" s="548">
        <v>843.60763479115201</v>
      </c>
      <c r="T10859" s="549">
        <v>15.610099999999999</v>
      </c>
      <c r="U10859" s="549">
        <v>1743.16</v>
      </c>
      <c r="V10859" s="549">
        <v>871.58</v>
      </c>
    </row>
    <row r="10860" spans="1:22">
      <c r="A10860" s="499">
        <v>45868</v>
      </c>
      <c r="B10860" s="499">
        <v>45869</v>
      </c>
      <c r="C10860" s="500" t="s">
        <v>173</v>
      </c>
      <c r="D10860" s="500" t="s">
        <v>762</v>
      </c>
      <c r="E10860" s="501">
        <v>1162602676.95</v>
      </c>
      <c r="F10860" s="502" t="s">
        <v>878</v>
      </c>
      <c r="G10860" s="317">
        <v>118344518</v>
      </c>
      <c r="H10860" s="317">
        <v>118344518</v>
      </c>
      <c r="I10860" s="422" t="s">
        <v>592</v>
      </c>
      <c r="J10860" s="484" t="s">
        <v>912</v>
      </c>
      <c r="L10860" s="539"/>
      <c r="M10860" s="539"/>
      <c r="N10860" s="548">
        <v>1378132</v>
      </c>
      <c r="R10860" s="548">
        <v>843.24699999999996</v>
      </c>
      <c r="S10860" s="548">
        <v>843.60763479115201</v>
      </c>
      <c r="T10860" s="549">
        <v>15.610099999999999</v>
      </c>
      <c r="U10860" s="549">
        <v>1743.16</v>
      </c>
      <c r="V10860" s="549">
        <v>871.58</v>
      </c>
    </row>
    <row r="10861" spans="1:22">
      <c r="A10861" s="499">
        <v>45868</v>
      </c>
      <c r="B10861" s="499">
        <v>45868</v>
      </c>
      <c r="C10861" s="500" t="s">
        <v>173</v>
      </c>
      <c r="D10861" s="500" t="s">
        <v>759</v>
      </c>
      <c r="E10861" s="501">
        <v>-3235628687.6799998</v>
      </c>
      <c r="F10861" s="502" t="s">
        <v>878</v>
      </c>
      <c r="G10861" s="317">
        <v>118343860</v>
      </c>
      <c r="H10861" s="530"/>
      <c r="I10861" s="422" t="s">
        <v>1013</v>
      </c>
      <c r="J10861" s="484" t="s">
        <v>906</v>
      </c>
      <c r="L10861" s="539"/>
      <c r="M10861" s="539"/>
      <c r="N10861" s="548">
        <v>6076686</v>
      </c>
      <c r="R10861" s="548">
        <v>532.46600000065825</v>
      </c>
      <c r="S10861" s="548">
        <v>534.07331791539002</v>
      </c>
      <c r="T10861" s="549">
        <v>15.74</v>
      </c>
      <c r="U10861" s="549">
        <v>33974.1</v>
      </c>
      <c r="V10861" s="549">
        <v>16987.05</v>
      </c>
    </row>
    <row r="10862" spans="1:22">
      <c r="A10862" s="499">
        <v>45868</v>
      </c>
      <c r="B10862" s="499">
        <v>45868</v>
      </c>
      <c r="C10862" s="500" t="s">
        <v>173</v>
      </c>
      <c r="D10862" s="500" t="s">
        <v>759</v>
      </c>
      <c r="E10862" s="501">
        <v>-2001758640</v>
      </c>
      <c r="F10862" s="502" t="s">
        <v>878</v>
      </c>
      <c r="G10862" s="317">
        <v>118345306</v>
      </c>
      <c r="H10862" s="530"/>
      <c r="I10862" s="422" t="s">
        <v>686</v>
      </c>
      <c r="J10862" s="484" t="s">
        <v>906</v>
      </c>
      <c r="L10862" s="539"/>
      <c r="M10862" s="539"/>
      <c r="N10862" s="548">
        <v>2270000</v>
      </c>
      <c r="R10862" s="548">
        <v>881.83199999999999</v>
      </c>
      <c r="S10862" s="548">
        <v>882.20937577533005</v>
      </c>
      <c r="T10862" s="549">
        <v>15.62</v>
      </c>
      <c r="U10862" s="549">
        <v>3002.64</v>
      </c>
      <c r="V10862" s="549">
        <v>1501.32</v>
      </c>
    </row>
    <row r="10863" spans="1:22">
      <c r="A10863" s="499">
        <v>45868</v>
      </c>
      <c r="B10863" s="499">
        <v>45868</v>
      </c>
      <c r="C10863" s="500" t="s">
        <v>173</v>
      </c>
      <c r="D10863" s="500" t="s">
        <v>759</v>
      </c>
      <c r="E10863" s="501">
        <v>-29002278.760000002</v>
      </c>
      <c r="F10863" s="502" t="s">
        <v>878</v>
      </c>
      <c r="G10863" s="317">
        <v>118347131</v>
      </c>
      <c r="H10863" s="530"/>
      <c r="I10863" s="422" t="s">
        <v>1018</v>
      </c>
      <c r="J10863" s="484" t="s">
        <v>906</v>
      </c>
      <c r="L10863" s="539"/>
      <c r="M10863" s="539"/>
      <c r="N10863" s="548">
        <v>300411</v>
      </c>
      <c r="R10863" s="548">
        <v>96.541999993342458</v>
      </c>
      <c r="S10863" s="548">
        <v>96.833054282299898</v>
      </c>
      <c r="T10863" s="549">
        <v>15.72</v>
      </c>
      <c r="U10863" s="549">
        <v>304.52</v>
      </c>
      <c r="V10863" s="549">
        <v>152.26</v>
      </c>
    </row>
    <row r="10864" spans="1:22">
      <c r="A10864" s="499">
        <v>45868</v>
      </c>
      <c r="B10864" s="499">
        <v>45875</v>
      </c>
      <c r="C10864" s="500" t="s">
        <v>173</v>
      </c>
      <c r="D10864" s="500" t="s">
        <v>759</v>
      </c>
      <c r="E10864" s="501">
        <v>3245395853.9499998</v>
      </c>
      <c r="F10864" s="502" t="s">
        <v>878</v>
      </c>
      <c r="G10864" s="317">
        <v>118343860</v>
      </c>
      <c r="H10864" s="317">
        <v>118343860</v>
      </c>
      <c r="I10864" s="422" t="s">
        <v>1013</v>
      </c>
      <c r="J10864" s="484" t="s">
        <v>912</v>
      </c>
      <c r="L10864" s="539"/>
      <c r="M10864" s="539"/>
      <c r="N10864" s="548">
        <v>6076686</v>
      </c>
      <c r="R10864" s="548">
        <v>532.46600000065825</v>
      </c>
      <c r="S10864" s="548">
        <v>534.07331791539002</v>
      </c>
      <c r="T10864" s="549">
        <v>15.74</v>
      </c>
      <c r="U10864" s="549">
        <v>33974.1</v>
      </c>
      <c r="V10864" s="549">
        <v>16987.05</v>
      </c>
    </row>
    <row r="10865" spans="1:22">
      <c r="A10865" s="499">
        <v>45868</v>
      </c>
      <c r="B10865" s="499">
        <v>45869</v>
      </c>
      <c r="C10865" s="500" t="s">
        <v>173</v>
      </c>
      <c r="D10865" s="500" t="s">
        <v>759</v>
      </c>
      <c r="E10865" s="501">
        <v>2002615283.01</v>
      </c>
      <c r="F10865" s="502" t="s">
        <v>878</v>
      </c>
      <c r="G10865" s="317">
        <v>118345306</v>
      </c>
      <c r="H10865" s="317">
        <v>118345306</v>
      </c>
      <c r="I10865" s="422" t="s">
        <v>686</v>
      </c>
      <c r="J10865" s="484" t="s">
        <v>912</v>
      </c>
      <c r="L10865" s="539"/>
      <c r="M10865" s="539"/>
      <c r="N10865" s="548">
        <v>2270000</v>
      </c>
      <c r="R10865" s="548">
        <v>881.83199999999999</v>
      </c>
      <c r="S10865" s="548">
        <v>882.20937577533005</v>
      </c>
      <c r="T10865" s="549">
        <v>15.62</v>
      </c>
      <c r="U10865" s="549">
        <v>3002.64</v>
      </c>
      <c r="V10865" s="549">
        <v>1501.32</v>
      </c>
    </row>
    <row r="10866" spans="1:22">
      <c r="A10866" s="499">
        <v>45868</v>
      </c>
      <c r="B10866" s="499">
        <v>45875</v>
      </c>
      <c r="C10866" s="500" t="s">
        <v>173</v>
      </c>
      <c r="D10866" s="500" t="s">
        <v>759</v>
      </c>
      <c r="E10866" s="501">
        <v>29089714.670000002</v>
      </c>
      <c r="F10866" s="502" t="s">
        <v>878</v>
      </c>
      <c r="G10866" s="317">
        <v>118347131</v>
      </c>
      <c r="H10866" s="317">
        <v>118347131</v>
      </c>
      <c r="I10866" s="422" t="s">
        <v>1018</v>
      </c>
      <c r="J10866" s="484" t="s">
        <v>912</v>
      </c>
      <c r="L10866" s="539"/>
      <c r="M10866" s="539"/>
      <c r="N10866" s="548">
        <v>300411</v>
      </c>
      <c r="R10866" s="548">
        <v>96.541999993342458</v>
      </c>
      <c r="S10866" s="548">
        <v>96.833054282299898</v>
      </c>
      <c r="T10866" s="549">
        <v>15.72</v>
      </c>
      <c r="U10866" s="549">
        <v>304.52</v>
      </c>
      <c r="V10866" s="549">
        <v>152.26</v>
      </c>
    </row>
    <row r="10867" spans="1:22">
      <c r="A10867" s="499">
        <v>45868</v>
      </c>
      <c r="B10867" s="499">
        <v>45868</v>
      </c>
      <c r="C10867" s="500" t="s">
        <v>173</v>
      </c>
      <c r="D10867" s="500" t="s">
        <v>763</v>
      </c>
      <c r="E10867" s="501">
        <v>-3587983433.4200001</v>
      </c>
      <c r="F10867" s="502" t="s">
        <v>878</v>
      </c>
      <c r="G10867" s="317">
        <v>118342348</v>
      </c>
      <c r="H10867" s="530"/>
      <c r="I10867" s="422" t="s">
        <v>674</v>
      </c>
      <c r="J10867" s="484" t="s">
        <v>906</v>
      </c>
      <c r="L10867" s="539"/>
      <c r="M10867" s="539"/>
      <c r="N10867" s="548">
        <v>4025955</v>
      </c>
      <c r="R10867" s="548">
        <v>891.21299999999997</v>
      </c>
      <c r="S10867" s="548">
        <v>891.59390687923701</v>
      </c>
      <c r="T10867" s="549">
        <v>15.600199999999999</v>
      </c>
      <c r="U10867" s="549">
        <v>5381.98</v>
      </c>
      <c r="V10867" s="549">
        <v>2690.99</v>
      </c>
    </row>
    <row r="10868" spans="1:22">
      <c r="A10868" s="499">
        <v>45868</v>
      </c>
      <c r="B10868" s="499">
        <v>45868</v>
      </c>
      <c r="C10868" s="500" t="s">
        <v>173</v>
      </c>
      <c r="D10868" s="500" t="s">
        <v>763</v>
      </c>
      <c r="E10868" s="501">
        <v>-19001099.079999998</v>
      </c>
      <c r="F10868" s="502" t="s">
        <v>878</v>
      </c>
      <c r="G10868" s="317">
        <v>118342384</v>
      </c>
      <c r="H10868" s="530"/>
      <c r="I10868" s="422" t="s">
        <v>2903</v>
      </c>
      <c r="J10868" s="484" t="s">
        <v>906</v>
      </c>
      <c r="L10868" s="539"/>
      <c r="M10868" s="539"/>
      <c r="N10868" s="548">
        <v>191615</v>
      </c>
      <c r="R10868" s="548">
        <v>99.162899999999993</v>
      </c>
      <c r="S10868" s="548">
        <v>99.205417790882805</v>
      </c>
      <c r="T10868" s="549">
        <v>15.65</v>
      </c>
      <c r="U10868" s="549">
        <v>39.32</v>
      </c>
      <c r="V10868" s="549">
        <v>39.32</v>
      </c>
    </row>
    <row r="10869" spans="1:22">
      <c r="A10869" s="499">
        <v>45868</v>
      </c>
      <c r="B10869" s="499">
        <v>45869</v>
      </c>
      <c r="C10869" s="500" t="s">
        <v>173</v>
      </c>
      <c r="D10869" s="500" t="s">
        <v>763</v>
      </c>
      <c r="E10869" s="501">
        <v>3589516947.3699999</v>
      </c>
      <c r="F10869" s="502" t="s">
        <v>878</v>
      </c>
      <c r="G10869" s="317">
        <v>118342348</v>
      </c>
      <c r="H10869" s="317">
        <v>118342348</v>
      </c>
      <c r="I10869" s="422" t="s">
        <v>674</v>
      </c>
      <c r="J10869" s="484" t="s">
        <v>912</v>
      </c>
      <c r="L10869" s="539"/>
      <c r="M10869" s="539"/>
      <c r="N10869" s="548">
        <v>4025955</v>
      </c>
      <c r="R10869" s="548">
        <v>891.21299999999997</v>
      </c>
      <c r="S10869" s="548">
        <v>891.59390687923701</v>
      </c>
      <c r="T10869" s="549">
        <v>15.600199999999999</v>
      </c>
      <c r="U10869" s="549">
        <v>5381.98</v>
      </c>
      <c r="V10869" s="549">
        <v>2690.99</v>
      </c>
    </row>
    <row r="10870" spans="1:22">
      <c r="A10870" s="499">
        <v>45868</v>
      </c>
      <c r="B10870" s="499">
        <v>45869</v>
      </c>
      <c r="C10870" s="500" t="s">
        <v>173</v>
      </c>
      <c r="D10870" s="500" t="s">
        <v>763</v>
      </c>
      <c r="E10870" s="501">
        <v>19009246.129999999</v>
      </c>
      <c r="F10870" s="502" t="s">
        <v>878</v>
      </c>
      <c r="G10870" s="317">
        <v>118342384</v>
      </c>
      <c r="H10870" s="317">
        <v>118342384</v>
      </c>
      <c r="I10870" s="422" t="s">
        <v>2903</v>
      </c>
      <c r="J10870" s="484" t="s">
        <v>912</v>
      </c>
      <c r="L10870" s="539"/>
      <c r="M10870" s="539"/>
      <c r="N10870" s="548">
        <v>191615</v>
      </c>
      <c r="R10870" s="548">
        <v>99.162899999999993</v>
      </c>
      <c r="S10870" s="548">
        <v>99.205417790882805</v>
      </c>
      <c r="T10870" s="549">
        <v>15.65</v>
      </c>
      <c r="U10870" s="549">
        <v>39.32</v>
      </c>
      <c r="V10870" s="549">
        <v>39.32</v>
      </c>
    </row>
    <row r="10871" spans="1:22">
      <c r="A10871" s="499">
        <v>45868</v>
      </c>
      <c r="B10871" s="499">
        <v>45868</v>
      </c>
      <c r="C10871" s="500" t="s">
        <v>173</v>
      </c>
      <c r="D10871" s="500" t="s">
        <v>764</v>
      </c>
      <c r="E10871" s="501">
        <v>-1527769018.5799999</v>
      </c>
      <c r="F10871" s="502" t="s">
        <v>878</v>
      </c>
      <c r="G10871" s="317">
        <v>118342917</v>
      </c>
      <c r="H10871" s="530"/>
      <c r="I10871" s="422" t="s">
        <v>1013</v>
      </c>
      <c r="J10871" s="484" t="s">
        <v>906</v>
      </c>
      <c r="L10871" s="539"/>
      <c r="M10871" s="539"/>
      <c r="N10871" s="548">
        <v>2869233</v>
      </c>
      <c r="R10871" s="548">
        <v>532.46600000069702</v>
      </c>
      <c r="S10871" s="548">
        <v>534.06923324456397</v>
      </c>
      <c r="T10871" s="549">
        <v>15.7</v>
      </c>
      <c r="U10871" s="549">
        <v>16041.57</v>
      </c>
      <c r="V10871" s="549">
        <v>8020.79</v>
      </c>
    </row>
    <row r="10872" spans="1:22">
      <c r="A10872" s="499">
        <v>45868</v>
      </c>
      <c r="B10872" s="499">
        <v>45868</v>
      </c>
      <c r="C10872" s="500" t="s">
        <v>173</v>
      </c>
      <c r="D10872" s="500" t="s">
        <v>764</v>
      </c>
      <c r="E10872" s="501">
        <v>-3238179335.98</v>
      </c>
      <c r="F10872" s="502" t="s">
        <v>878</v>
      </c>
      <c r="G10872" s="317">
        <v>118342949</v>
      </c>
      <c r="H10872" s="530"/>
      <c r="I10872" s="422" t="s">
        <v>1727</v>
      </c>
      <c r="J10872" s="484" t="s">
        <v>906</v>
      </c>
      <c r="L10872" s="539"/>
      <c r="M10872" s="539"/>
      <c r="N10872" s="548">
        <v>2902692</v>
      </c>
      <c r="R10872" s="548">
        <v>1115.5780000013781</v>
      </c>
      <c r="S10872" s="548">
        <v>1118.93695951207</v>
      </c>
      <c r="T10872" s="549">
        <v>15.7</v>
      </c>
      <c r="U10872" s="549">
        <v>34000.879999999997</v>
      </c>
      <c r="V10872" s="549">
        <v>17000.439999999999</v>
      </c>
    </row>
    <row r="10873" spans="1:22">
      <c r="A10873" s="499">
        <v>45868</v>
      </c>
      <c r="B10873" s="499">
        <v>45868</v>
      </c>
      <c r="C10873" s="500" t="s">
        <v>173</v>
      </c>
      <c r="D10873" s="500" t="s">
        <v>764</v>
      </c>
      <c r="E10873" s="501">
        <v>-27018183.579999998</v>
      </c>
      <c r="F10873" s="502" t="s">
        <v>878</v>
      </c>
      <c r="G10873" s="317">
        <v>118342992</v>
      </c>
      <c r="H10873" s="530"/>
      <c r="I10873" s="422" t="s">
        <v>1727</v>
      </c>
      <c r="J10873" s="484" t="s">
        <v>906</v>
      </c>
      <c r="L10873" s="539"/>
      <c r="M10873" s="539"/>
      <c r="N10873" s="548">
        <v>24219</v>
      </c>
      <c r="R10873" s="548">
        <v>1115.5779999174201</v>
      </c>
      <c r="S10873" s="548">
        <v>1118.9369594120301</v>
      </c>
      <c r="T10873" s="549">
        <v>15.7</v>
      </c>
      <c r="U10873" s="549">
        <v>283.69</v>
      </c>
      <c r="V10873" s="549">
        <v>141.85</v>
      </c>
    </row>
    <row r="10874" spans="1:22">
      <c r="A10874" s="499">
        <v>45868</v>
      </c>
      <c r="B10874" s="499">
        <v>45875</v>
      </c>
      <c r="C10874" s="500" t="s">
        <v>173</v>
      </c>
      <c r="D10874" s="500" t="s">
        <v>764</v>
      </c>
      <c r="E10874" s="501">
        <v>1532369068.3099999</v>
      </c>
      <c r="F10874" s="502" t="s">
        <v>878</v>
      </c>
      <c r="G10874" s="317">
        <v>118342917</v>
      </c>
      <c r="H10874" s="317">
        <v>118342917</v>
      </c>
      <c r="I10874" s="422" t="s">
        <v>1013</v>
      </c>
      <c r="J10874" s="484" t="s">
        <v>912</v>
      </c>
      <c r="L10874" s="539"/>
      <c r="M10874" s="539"/>
      <c r="N10874" s="548">
        <v>2869233</v>
      </c>
      <c r="R10874" s="548">
        <v>532.46600000069702</v>
      </c>
      <c r="S10874" s="548">
        <v>534.06923324456397</v>
      </c>
      <c r="T10874" s="549">
        <v>15.7</v>
      </c>
      <c r="U10874" s="549">
        <v>16041.57</v>
      </c>
      <c r="V10874" s="549">
        <v>8020.79</v>
      </c>
    </row>
    <row r="10875" spans="1:22">
      <c r="A10875" s="499">
        <v>45868</v>
      </c>
      <c r="B10875" s="499">
        <v>45875</v>
      </c>
      <c r="C10875" s="500" t="s">
        <v>173</v>
      </c>
      <c r="D10875" s="500" t="s">
        <v>764</v>
      </c>
      <c r="E10875" s="501">
        <v>3247929360.8800001</v>
      </c>
      <c r="F10875" s="502" t="s">
        <v>878</v>
      </c>
      <c r="G10875" s="317">
        <v>118342949</v>
      </c>
      <c r="H10875" s="317">
        <v>118342949</v>
      </c>
      <c r="I10875" s="422" t="s">
        <v>1727</v>
      </c>
      <c r="J10875" s="484" t="s">
        <v>912</v>
      </c>
      <c r="L10875" s="539"/>
      <c r="M10875" s="539"/>
      <c r="N10875" s="548">
        <v>2902692</v>
      </c>
      <c r="R10875" s="548">
        <v>1115.5780000013781</v>
      </c>
      <c r="S10875" s="548">
        <v>1118.93695951207</v>
      </c>
      <c r="T10875" s="549">
        <v>15.7</v>
      </c>
      <c r="U10875" s="549">
        <v>34000.879999999997</v>
      </c>
      <c r="V10875" s="549">
        <v>17000.439999999999</v>
      </c>
    </row>
    <row r="10876" spans="1:22">
      <c r="A10876" s="499">
        <v>45868</v>
      </c>
      <c r="B10876" s="499">
        <v>45875</v>
      </c>
      <c r="C10876" s="500" t="s">
        <v>173</v>
      </c>
      <c r="D10876" s="500" t="s">
        <v>764</v>
      </c>
      <c r="E10876" s="501">
        <v>27099534.219999999</v>
      </c>
      <c r="F10876" s="502" t="s">
        <v>878</v>
      </c>
      <c r="G10876" s="317">
        <v>118342992</v>
      </c>
      <c r="H10876" s="317">
        <v>118342992</v>
      </c>
      <c r="I10876" s="422" t="s">
        <v>1727</v>
      </c>
      <c r="J10876" s="484" t="s">
        <v>912</v>
      </c>
      <c r="L10876" s="539"/>
      <c r="M10876" s="539"/>
      <c r="N10876" s="548">
        <v>24219</v>
      </c>
      <c r="R10876" s="548">
        <v>1115.5779999174201</v>
      </c>
      <c r="S10876" s="548">
        <v>1118.9369594120301</v>
      </c>
      <c r="T10876" s="549">
        <v>15.7</v>
      </c>
      <c r="U10876" s="549">
        <v>283.69</v>
      </c>
      <c r="V10876" s="549">
        <v>141.85</v>
      </c>
    </row>
    <row r="10877" spans="1:22">
      <c r="A10877" s="499">
        <v>45868</v>
      </c>
      <c r="B10877" s="499">
        <v>45868</v>
      </c>
      <c r="C10877" s="500" t="s">
        <v>173</v>
      </c>
      <c r="D10877" s="500" t="s">
        <v>761</v>
      </c>
      <c r="E10877" s="501">
        <v>-1779550337.77</v>
      </c>
      <c r="F10877" s="502" t="s">
        <v>878</v>
      </c>
      <c r="G10877" s="317">
        <v>118343382</v>
      </c>
      <c r="H10877" s="530"/>
      <c r="I10877" s="422" t="s">
        <v>675</v>
      </c>
      <c r="J10877" s="484" t="s">
        <v>906</v>
      </c>
      <c r="L10877" s="539"/>
      <c r="M10877" s="539"/>
      <c r="N10877" s="548">
        <v>1922018</v>
      </c>
      <c r="R10877" s="548">
        <v>925.87600000104055</v>
      </c>
      <c r="S10877" s="548">
        <v>926.27349252192198</v>
      </c>
      <c r="T10877" s="538">
        <v>15.67</v>
      </c>
      <c r="U10877" s="549">
        <v>2669.33</v>
      </c>
      <c r="V10877" s="549">
        <v>1334.66</v>
      </c>
    </row>
    <row r="10878" spans="1:22">
      <c r="A10878" s="499">
        <v>45868</v>
      </c>
      <c r="B10878" s="499">
        <v>45868</v>
      </c>
      <c r="C10878" s="500" t="s">
        <v>173</v>
      </c>
      <c r="D10878" s="500" t="s">
        <v>761</v>
      </c>
      <c r="E10878" s="501">
        <v>-10009640.640000001</v>
      </c>
      <c r="F10878" s="502" t="s">
        <v>878</v>
      </c>
      <c r="G10878" s="317">
        <v>118343467</v>
      </c>
      <c r="H10878" s="530"/>
      <c r="I10878" s="422" t="s">
        <v>821</v>
      </c>
      <c r="J10878" s="484" t="s">
        <v>906</v>
      </c>
      <c r="L10878" s="539"/>
      <c r="M10878" s="539"/>
      <c r="N10878" s="548">
        <v>9960</v>
      </c>
      <c r="R10878" s="548">
        <v>1004.984</v>
      </c>
      <c r="S10878" s="548">
        <v>1005.4154548192799</v>
      </c>
      <c r="T10878" s="538">
        <v>15.67</v>
      </c>
      <c r="U10878" s="549">
        <v>39.32</v>
      </c>
      <c r="V10878" s="549">
        <v>7.51</v>
      </c>
    </row>
    <row r="10879" spans="1:22">
      <c r="A10879" s="499">
        <v>45868</v>
      </c>
      <c r="B10879" s="499">
        <v>45869</v>
      </c>
      <c r="C10879" s="500" t="s">
        <v>173</v>
      </c>
      <c r="D10879" s="500" t="s">
        <v>761</v>
      </c>
      <c r="E10879" s="501">
        <v>1780314325.55</v>
      </c>
      <c r="F10879" s="502" t="s">
        <v>878</v>
      </c>
      <c r="G10879" s="317">
        <v>118343382</v>
      </c>
      <c r="H10879" s="317">
        <v>118343382</v>
      </c>
      <c r="I10879" s="422" t="s">
        <v>675</v>
      </c>
      <c r="J10879" s="484" t="s">
        <v>912</v>
      </c>
      <c r="L10879" s="539"/>
      <c r="M10879" s="539"/>
      <c r="N10879" s="548">
        <v>1922018</v>
      </c>
      <c r="R10879" s="548">
        <v>925.87600000104055</v>
      </c>
      <c r="S10879" s="548">
        <v>926.27349252192198</v>
      </c>
      <c r="T10879" s="538">
        <v>15.67</v>
      </c>
      <c r="U10879" s="549">
        <v>2669.33</v>
      </c>
      <c r="V10879" s="549">
        <v>1334.66</v>
      </c>
    </row>
    <row r="10880" spans="1:22">
      <c r="A10880" s="499">
        <v>45868</v>
      </c>
      <c r="B10880" s="499">
        <v>45869</v>
      </c>
      <c r="C10880" s="500" t="s">
        <v>173</v>
      </c>
      <c r="D10880" s="500" t="s">
        <v>761</v>
      </c>
      <c r="E10880" s="501">
        <v>10013937.93</v>
      </c>
      <c r="F10880" s="502" t="s">
        <v>878</v>
      </c>
      <c r="G10880" s="317">
        <v>118343467</v>
      </c>
      <c r="H10880" s="317">
        <v>118343467</v>
      </c>
      <c r="I10880" s="422" t="s">
        <v>821</v>
      </c>
      <c r="J10880" s="484" t="s">
        <v>912</v>
      </c>
      <c r="L10880" s="539"/>
      <c r="M10880" s="539"/>
      <c r="N10880" s="548">
        <v>9960</v>
      </c>
      <c r="R10880" s="548">
        <v>1004.984</v>
      </c>
      <c r="S10880" s="548">
        <v>1005.4154548192799</v>
      </c>
      <c r="T10880" s="538">
        <v>15.67</v>
      </c>
      <c r="U10880" s="549">
        <v>39.32</v>
      </c>
      <c r="V10880" s="549">
        <v>7.51</v>
      </c>
    </row>
    <row r="10881" spans="1:22">
      <c r="A10881" s="499">
        <v>45868</v>
      </c>
      <c r="B10881" s="499">
        <v>45868</v>
      </c>
      <c r="C10881" s="500" t="s">
        <v>173</v>
      </c>
      <c r="D10881" s="500" t="s">
        <v>760</v>
      </c>
      <c r="E10881" s="501">
        <v>-1300648545.3</v>
      </c>
      <c r="F10881" s="502" t="s">
        <v>878</v>
      </c>
      <c r="G10881" s="317">
        <v>118341660</v>
      </c>
      <c r="H10881" s="530"/>
      <c r="I10881" s="422" t="s">
        <v>2856</v>
      </c>
      <c r="J10881" s="484" t="s">
        <v>906</v>
      </c>
      <c r="L10881" s="539"/>
      <c r="M10881" s="539"/>
      <c r="N10881" s="548">
        <v>2379000</v>
      </c>
      <c r="R10881" s="548">
        <v>546.72069999999997</v>
      </c>
      <c r="S10881" s="548">
        <v>546.95586479613303</v>
      </c>
      <c r="T10881" s="549">
        <v>15.7</v>
      </c>
      <c r="U10881" s="549">
        <v>1950.97</v>
      </c>
      <c r="V10881" s="549">
        <v>975.49</v>
      </c>
    </row>
    <row r="10882" spans="1:22">
      <c r="A10882" s="499">
        <v>45868</v>
      </c>
      <c r="B10882" s="499">
        <v>45868</v>
      </c>
      <c r="C10882" s="500" t="s">
        <v>173</v>
      </c>
      <c r="D10882" s="500" t="s">
        <v>760</v>
      </c>
      <c r="E10882" s="501">
        <v>-887738160.50999999</v>
      </c>
      <c r="F10882" s="502" t="s">
        <v>878</v>
      </c>
      <c r="G10882" s="317">
        <v>118342604</v>
      </c>
      <c r="H10882" s="530"/>
      <c r="I10882" s="422" t="s">
        <v>674</v>
      </c>
      <c r="J10882" s="484" t="s">
        <v>906</v>
      </c>
      <c r="L10882" s="539"/>
      <c r="M10882" s="539"/>
      <c r="N10882" s="548">
        <v>996101</v>
      </c>
      <c r="R10882" s="548">
        <v>891.21299999999997</v>
      </c>
      <c r="S10882" s="548">
        <v>891.595125273441</v>
      </c>
      <c r="T10882" s="549">
        <v>15.6501</v>
      </c>
      <c r="U10882" s="549">
        <v>1331.61</v>
      </c>
      <c r="V10882" s="549">
        <v>665.8</v>
      </c>
    </row>
    <row r="10883" spans="1:22">
      <c r="A10883" s="499">
        <v>45868</v>
      </c>
      <c r="B10883" s="499">
        <v>45868</v>
      </c>
      <c r="C10883" s="500" t="s">
        <v>173</v>
      </c>
      <c r="D10883" s="500" t="s">
        <v>760</v>
      </c>
      <c r="E10883" s="501">
        <v>-5002518.07</v>
      </c>
      <c r="F10883" s="502" t="s">
        <v>878</v>
      </c>
      <c r="G10883" s="317">
        <v>118342726</v>
      </c>
      <c r="H10883" s="530"/>
      <c r="I10883" s="422" t="s">
        <v>1013</v>
      </c>
      <c r="J10883" s="484" t="s">
        <v>906</v>
      </c>
      <c r="L10883" s="539"/>
      <c r="M10883" s="539"/>
      <c r="N10883" s="548">
        <v>9395</v>
      </c>
      <c r="R10883" s="548">
        <v>532.46600000000001</v>
      </c>
      <c r="S10883" s="548">
        <v>532.69430548163905</v>
      </c>
      <c r="T10883" s="549">
        <v>15.6501</v>
      </c>
      <c r="U10883" s="549">
        <v>39.32</v>
      </c>
      <c r="V10883" s="549">
        <v>3.75</v>
      </c>
    </row>
    <row r="10884" spans="1:22">
      <c r="A10884" s="499">
        <v>45868</v>
      </c>
      <c r="B10884" s="499">
        <v>45869</v>
      </c>
      <c r="C10884" s="500" t="s">
        <v>173</v>
      </c>
      <c r="D10884" s="500" t="s">
        <v>760</v>
      </c>
      <c r="E10884" s="501">
        <v>1301208002.3499999</v>
      </c>
      <c r="F10884" s="502" t="s">
        <v>878</v>
      </c>
      <c r="G10884" s="317">
        <v>118341660</v>
      </c>
      <c r="H10884" s="317">
        <v>118341660</v>
      </c>
      <c r="I10884" s="422" t="s">
        <v>2856</v>
      </c>
      <c r="J10884" s="484" t="s">
        <v>912</v>
      </c>
      <c r="L10884" s="539"/>
      <c r="M10884" s="539"/>
      <c r="N10884" s="548">
        <v>2379000</v>
      </c>
      <c r="R10884" s="548">
        <v>546.72069999999997</v>
      </c>
      <c r="S10884" s="548">
        <v>546.95586479613303</v>
      </c>
      <c r="T10884" s="549">
        <v>15.7</v>
      </c>
      <c r="U10884" s="549">
        <v>1950.97</v>
      </c>
      <c r="V10884" s="549">
        <v>975.49</v>
      </c>
    </row>
    <row r="10885" spans="1:22">
      <c r="A10885" s="499">
        <v>45868</v>
      </c>
      <c r="B10885" s="499">
        <v>45869</v>
      </c>
      <c r="C10885" s="500" t="s">
        <v>173</v>
      </c>
      <c r="D10885" s="500" t="s">
        <v>760</v>
      </c>
      <c r="E10885" s="501">
        <v>888118795.88</v>
      </c>
      <c r="F10885" s="502" t="s">
        <v>878</v>
      </c>
      <c r="G10885" s="317">
        <v>118342604</v>
      </c>
      <c r="H10885" s="317">
        <v>118342604</v>
      </c>
      <c r="I10885" s="422" t="s">
        <v>674</v>
      </c>
      <c r="J10885" s="484" t="s">
        <v>912</v>
      </c>
      <c r="L10885" s="539"/>
      <c r="M10885" s="539"/>
      <c r="N10885" s="548">
        <v>996101</v>
      </c>
      <c r="R10885" s="548">
        <v>891.21299999999997</v>
      </c>
      <c r="S10885" s="548">
        <v>891.595125273441</v>
      </c>
      <c r="T10885" s="549">
        <v>15.6501</v>
      </c>
      <c r="U10885" s="549">
        <v>1331.61</v>
      </c>
      <c r="V10885" s="549">
        <v>665.8</v>
      </c>
    </row>
    <row r="10886" spans="1:22">
      <c r="A10886" s="499">
        <v>45868</v>
      </c>
      <c r="B10886" s="499">
        <v>45869</v>
      </c>
      <c r="C10886" s="500" t="s">
        <v>173</v>
      </c>
      <c r="D10886" s="500" t="s">
        <v>760</v>
      </c>
      <c r="E10886" s="501">
        <v>5004663</v>
      </c>
      <c r="F10886" s="502" t="s">
        <v>878</v>
      </c>
      <c r="G10886" s="317">
        <v>118342726</v>
      </c>
      <c r="H10886" s="317">
        <v>118342726</v>
      </c>
      <c r="I10886" s="422" t="s">
        <v>1013</v>
      </c>
      <c r="J10886" s="484" t="s">
        <v>912</v>
      </c>
      <c r="L10886" s="539"/>
      <c r="M10886" s="539"/>
      <c r="N10886" s="548">
        <v>9395</v>
      </c>
      <c r="R10886" s="548">
        <v>532.46600000000001</v>
      </c>
      <c r="S10886" s="548">
        <v>532.69430548163905</v>
      </c>
      <c r="T10886" s="549">
        <v>15.6501</v>
      </c>
      <c r="U10886" s="549">
        <v>39.32</v>
      </c>
      <c r="V10886" s="549">
        <v>3.75</v>
      </c>
    </row>
    <row r="10887" spans="1:22">
      <c r="A10887" s="499">
        <v>45869</v>
      </c>
      <c r="B10887" s="499">
        <v>45869</v>
      </c>
      <c r="C10887" s="500" t="s">
        <v>173</v>
      </c>
      <c r="D10887" s="500" t="s">
        <v>762</v>
      </c>
      <c r="E10887" s="501">
        <v>-2985285647.4499998</v>
      </c>
      <c r="F10887" s="502" t="s">
        <v>878</v>
      </c>
      <c r="G10887" s="100">
        <v>118370329</v>
      </c>
      <c r="H10887" s="530"/>
      <c r="I10887" s="422" t="s">
        <v>719</v>
      </c>
      <c r="J10887" s="484" t="s">
        <v>906</v>
      </c>
      <c r="L10887" s="539"/>
      <c r="M10887" s="539"/>
      <c r="N10887" s="539">
        <v>4556568</v>
      </c>
      <c r="R10887" s="539">
        <v>655.16099999999994</v>
      </c>
      <c r="S10887" s="539">
        <v>655.43921905477998</v>
      </c>
      <c r="T10887" s="538">
        <v>15.5</v>
      </c>
      <c r="U10887" s="538">
        <v>4477.93</v>
      </c>
      <c r="V10887" s="538">
        <v>2238.96</v>
      </c>
    </row>
    <row r="10888" spans="1:22">
      <c r="A10888" s="499">
        <v>45869</v>
      </c>
      <c r="B10888" s="499">
        <v>45869</v>
      </c>
      <c r="C10888" s="500" t="s">
        <v>173</v>
      </c>
      <c r="D10888" s="500" t="s">
        <v>762</v>
      </c>
      <c r="E10888" s="501">
        <v>-17007324.399999999</v>
      </c>
      <c r="F10888" s="502" t="s">
        <v>878</v>
      </c>
      <c r="G10888" s="100">
        <v>118370796</v>
      </c>
      <c r="H10888" s="530"/>
      <c r="I10888" s="422" t="s">
        <v>719</v>
      </c>
      <c r="J10888" s="484" t="s">
        <v>906</v>
      </c>
      <c r="L10888" s="539"/>
      <c r="M10888" s="539"/>
      <c r="N10888" s="539">
        <v>25959</v>
      </c>
      <c r="R10888" s="539">
        <v>655.16099999999994</v>
      </c>
      <c r="S10888" s="539">
        <v>655.43921915327996</v>
      </c>
      <c r="T10888" s="538">
        <v>15.5</v>
      </c>
      <c r="U10888" s="538">
        <v>39.32</v>
      </c>
      <c r="V10888" s="538">
        <v>12.76</v>
      </c>
    </row>
    <row r="10889" spans="1:22">
      <c r="A10889" s="499">
        <v>45869</v>
      </c>
      <c r="B10889" s="499">
        <v>45870</v>
      </c>
      <c r="C10889" s="500" t="s">
        <v>173</v>
      </c>
      <c r="D10889" s="500" t="s">
        <v>762</v>
      </c>
      <c r="E10889" s="501">
        <v>2986553371.4899998</v>
      </c>
      <c r="F10889" s="502" t="s">
        <v>878</v>
      </c>
      <c r="G10889" s="100">
        <v>118370329</v>
      </c>
      <c r="H10889" s="100">
        <v>118370329</v>
      </c>
      <c r="I10889" s="422" t="s">
        <v>719</v>
      </c>
      <c r="J10889" s="484" t="s">
        <v>912</v>
      </c>
      <c r="L10889" s="539"/>
      <c r="M10889" s="539"/>
      <c r="N10889" s="539">
        <v>4556568</v>
      </c>
      <c r="R10889" s="539">
        <v>655.16099999999994</v>
      </c>
      <c r="S10889" s="539">
        <v>655.43921905477998</v>
      </c>
      <c r="T10889" s="538">
        <v>15.5</v>
      </c>
      <c r="U10889" s="538">
        <v>4477.93</v>
      </c>
      <c r="V10889" s="538">
        <v>2238.96</v>
      </c>
    </row>
    <row r="10890" spans="1:22">
      <c r="A10890" s="499">
        <v>45869</v>
      </c>
      <c r="B10890" s="499">
        <v>45870</v>
      </c>
      <c r="C10890" s="500" t="s">
        <v>173</v>
      </c>
      <c r="D10890" s="500" t="s">
        <v>762</v>
      </c>
      <c r="E10890" s="501">
        <v>17014546.690000001</v>
      </c>
      <c r="F10890" s="502" t="s">
        <v>878</v>
      </c>
      <c r="G10890" s="100">
        <v>118370796</v>
      </c>
      <c r="H10890" s="100">
        <v>118370796</v>
      </c>
      <c r="I10890" s="422" t="s">
        <v>719</v>
      </c>
      <c r="J10890" s="484" t="s">
        <v>912</v>
      </c>
      <c r="L10890" s="539"/>
      <c r="M10890" s="539"/>
      <c r="N10890" s="539">
        <v>25959</v>
      </c>
      <c r="R10890" s="539">
        <v>655.16099999999994</v>
      </c>
      <c r="S10890" s="539">
        <v>655.43921915327996</v>
      </c>
      <c r="T10890" s="538">
        <v>15.5</v>
      </c>
      <c r="U10890" s="538">
        <v>39.32</v>
      </c>
      <c r="V10890" s="538">
        <v>12.76</v>
      </c>
    </row>
    <row r="10891" spans="1:22">
      <c r="A10891" s="499">
        <v>45869</v>
      </c>
      <c r="B10891" s="499">
        <v>45869</v>
      </c>
      <c r="C10891" s="500" t="s">
        <v>173</v>
      </c>
      <c r="D10891" s="500" t="s">
        <v>763</v>
      </c>
      <c r="E10891" s="501">
        <v>-1200735321.5999999</v>
      </c>
      <c r="F10891" s="502" t="s">
        <v>878</v>
      </c>
      <c r="G10891" s="317">
        <v>118364471</v>
      </c>
      <c r="H10891" s="530"/>
      <c r="I10891" s="422" t="s">
        <v>604</v>
      </c>
      <c r="J10891" s="484" t="s">
        <v>906</v>
      </c>
      <c r="L10891" s="539"/>
      <c r="M10891" s="539"/>
      <c r="N10891" s="548">
        <v>1171200</v>
      </c>
      <c r="R10891" s="548">
        <v>1025.2180000000001</v>
      </c>
      <c r="S10891" s="548">
        <v>1025.65758258197</v>
      </c>
      <c r="T10891" s="549">
        <v>15.6501</v>
      </c>
      <c r="U10891" s="549">
        <v>1801.1</v>
      </c>
      <c r="V10891" s="549">
        <v>900.55</v>
      </c>
    </row>
    <row r="10892" spans="1:22">
      <c r="A10892" s="499">
        <v>45869</v>
      </c>
      <c r="B10892" s="499">
        <v>45869</v>
      </c>
      <c r="C10892" s="500" t="s">
        <v>173</v>
      </c>
      <c r="D10892" s="500" t="s">
        <v>763</v>
      </c>
      <c r="E10892" s="501">
        <v>-2387722606.0999999</v>
      </c>
      <c r="F10892" s="502" t="s">
        <v>878</v>
      </c>
      <c r="G10892" s="317">
        <v>118364474</v>
      </c>
      <c r="H10892" s="530"/>
      <c r="I10892" s="422" t="s">
        <v>682</v>
      </c>
      <c r="J10892" s="484" t="s">
        <v>906</v>
      </c>
      <c r="L10892" s="539"/>
      <c r="M10892" s="539"/>
      <c r="N10892" s="548">
        <v>2567336</v>
      </c>
      <c r="R10892" s="548">
        <v>930.03899999999999</v>
      </c>
      <c r="S10892" s="548">
        <v>930.43777269122495</v>
      </c>
      <c r="T10892" s="549">
        <v>15.6501</v>
      </c>
      <c r="U10892" s="549">
        <v>3581.58</v>
      </c>
      <c r="V10892" s="549">
        <v>1790.79</v>
      </c>
    </row>
    <row r="10893" spans="1:22">
      <c r="A10893" s="499">
        <v>45869</v>
      </c>
      <c r="B10893" s="499">
        <v>45869</v>
      </c>
      <c r="C10893" s="500" t="s">
        <v>173</v>
      </c>
      <c r="D10893" s="500" t="s">
        <v>763</v>
      </c>
      <c r="E10893" s="501">
        <v>-20014439.280000001</v>
      </c>
      <c r="F10893" s="502" t="s">
        <v>878</v>
      </c>
      <c r="G10893" s="317">
        <v>118364497</v>
      </c>
      <c r="H10893" s="530"/>
      <c r="I10893" s="422" t="s">
        <v>682</v>
      </c>
      <c r="J10893" s="484" t="s">
        <v>906</v>
      </c>
      <c r="L10893" s="539"/>
      <c r="M10893" s="539"/>
      <c r="N10893" s="548">
        <v>21520</v>
      </c>
      <c r="R10893" s="548">
        <v>930.03899999999999</v>
      </c>
      <c r="S10893" s="548">
        <v>930.43777276951698</v>
      </c>
      <c r="T10893" s="549">
        <v>15.6501</v>
      </c>
      <c r="U10893" s="549">
        <v>39.32</v>
      </c>
      <c r="V10893" s="549">
        <v>39.32</v>
      </c>
    </row>
    <row r="10894" spans="1:22">
      <c r="A10894" s="499">
        <v>45869</v>
      </c>
      <c r="B10894" s="499">
        <v>45870</v>
      </c>
      <c r="C10894" s="500" t="s">
        <v>173</v>
      </c>
      <c r="D10894" s="500" t="s">
        <v>763</v>
      </c>
      <c r="E10894" s="501">
        <v>1201250160.72</v>
      </c>
      <c r="F10894" s="502" t="s">
        <v>878</v>
      </c>
      <c r="G10894" s="317">
        <v>118364471</v>
      </c>
      <c r="H10894" s="317">
        <v>118364471</v>
      </c>
      <c r="I10894" s="422" t="s">
        <v>604</v>
      </c>
      <c r="J10894" s="484" t="s">
        <v>912</v>
      </c>
      <c r="L10894" s="539"/>
      <c r="M10894" s="539"/>
      <c r="N10894" s="548">
        <v>1171200</v>
      </c>
      <c r="R10894" s="548">
        <v>1025.2180000000001</v>
      </c>
      <c r="S10894" s="548">
        <v>1025.65758258197</v>
      </c>
      <c r="T10894" s="549">
        <v>15.6501</v>
      </c>
      <c r="U10894" s="549">
        <v>1801.1</v>
      </c>
      <c r="V10894" s="549">
        <v>900.55</v>
      </c>
    </row>
    <row r="10895" spans="1:22">
      <c r="A10895" s="499">
        <v>45869</v>
      </c>
      <c r="B10895" s="499">
        <v>45870</v>
      </c>
      <c r="C10895" s="500" t="s">
        <v>173</v>
      </c>
      <c r="D10895" s="500" t="s">
        <v>763</v>
      </c>
      <c r="E10895" s="501">
        <v>2388746389.5900002</v>
      </c>
      <c r="F10895" s="502" t="s">
        <v>878</v>
      </c>
      <c r="G10895" s="317">
        <v>118364474</v>
      </c>
      <c r="H10895" s="317">
        <v>118364474</v>
      </c>
      <c r="I10895" s="422" t="s">
        <v>682</v>
      </c>
      <c r="J10895" s="484" t="s">
        <v>912</v>
      </c>
      <c r="L10895" s="539"/>
      <c r="M10895" s="539"/>
      <c r="N10895" s="548">
        <v>2567336</v>
      </c>
      <c r="R10895" s="548">
        <v>930.03899999999999</v>
      </c>
      <c r="S10895" s="548">
        <v>930.43777269122495</v>
      </c>
      <c r="T10895" s="549">
        <v>15.6501</v>
      </c>
      <c r="U10895" s="549">
        <v>3581.58</v>
      </c>
      <c r="V10895" s="549">
        <v>1790.79</v>
      </c>
    </row>
    <row r="10896" spans="1:22">
      <c r="A10896" s="499">
        <v>45869</v>
      </c>
      <c r="B10896" s="499">
        <v>45870</v>
      </c>
      <c r="C10896" s="500" t="s">
        <v>173</v>
      </c>
      <c r="D10896" s="500" t="s">
        <v>763</v>
      </c>
      <c r="E10896" s="501">
        <v>20023020.870000001</v>
      </c>
      <c r="F10896" s="502" t="s">
        <v>878</v>
      </c>
      <c r="G10896" s="317">
        <v>118364497</v>
      </c>
      <c r="H10896" s="317">
        <v>118364497</v>
      </c>
      <c r="I10896" s="422" t="s">
        <v>682</v>
      </c>
      <c r="J10896" s="484" t="s">
        <v>912</v>
      </c>
      <c r="L10896" s="539"/>
      <c r="M10896" s="539"/>
      <c r="N10896" s="548">
        <v>21520</v>
      </c>
      <c r="R10896" s="548">
        <v>930.03899999999999</v>
      </c>
      <c r="S10896" s="548">
        <v>930.43777276951698</v>
      </c>
      <c r="T10896" s="549">
        <v>15.6501</v>
      </c>
      <c r="U10896" s="549">
        <v>39.32</v>
      </c>
      <c r="V10896" s="549">
        <v>39.32</v>
      </c>
    </row>
    <row r="10897" spans="1:22">
      <c r="A10897" s="499">
        <v>45869</v>
      </c>
      <c r="B10897" s="499">
        <v>45869</v>
      </c>
      <c r="C10897" s="500" t="s">
        <v>173</v>
      </c>
      <c r="D10897" s="500" t="s">
        <v>760</v>
      </c>
      <c r="E10897" s="501">
        <v>-887002932.69000006</v>
      </c>
      <c r="F10897" s="502" t="s">
        <v>878</v>
      </c>
      <c r="G10897" s="317">
        <v>118364806</v>
      </c>
      <c r="H10897" s="530"/>
      <c r="I10897" s="422" t="s">
        <v>2556</v>
      </c>
      <c r="J10897" s="484" t="s">
        <v>906</v>
      </c>
      <c r="L10897" s="539"/>
      <c r="M10897" s="539"/>
      <c r="N10897" s="548">
        <v>10022213</v>
      </c>
      <c r="R10897" s="548">
        <v>88.503699999999995</v>
      </c>
      <c r="S10897" s="548">
        <v>88.541743982092598</v>
      </c>
      <c r="T10897" s="549">
        <v>15.6898</v>
      </c>
      <c r="U10897" s="549">
        <v>1330.5</v>
      </c>
      <c r="V10897" s="549">
        <v>665.25</v>
      </c>
    </row>
    <row r="10898" spans="1:22">
      <c r="A10898" s="499">
        <v>45869</v>
      </c>
      <c r="B10898" s="499">
        <v>45869</v>
      </c>
      <c r="C10898" s="500" t="s">
        <v>173</v>
      </c>
      <c r="D10898" s="500" t="s">
        <v>760</v>
      </c>
      <c r="E10898" s="501">
        <v>-1300898909.7</v>
      </c>
      <c r="F10898" s="502" t="s">
        <v>878</v>
      </c>
      <c r="G10898" s="317">
        <v>118364531</v>
      </c>
      <c r="H10898" s="530"/>
      <c r="I10898" s="422" t="s">
        <v>672</v>
      </c>
      <c r="J10898" s="484" t="s">
        <v>906</v>
      </c>
      <c r="L10898" s="539"/>
      <c r="M10898" s="539"/>
      <c r="N10898" s="548">
        <v>1439100</v>
      </c>
      <c r="R10898" s="548">
        <v>903.96699999999998</v>
      </c>
      <c r="S10898" s="548">
        <v>904.35533432006105</v>
      </c>
      <c r="T10898" s="549">
        <v>15.68</v>
      </c>
      <c r="U10898" s="549">
        <v>1951.35</v>
      </c>
      <c r="V10898" s="549">
        <v>975.67</v>
      </c>
    </row>
    <row r="10899" spans="1:22">
      <c r="A10899" s="499">
        <v>45869</v>
      </c>
      <c r="B10899" s="499">
        <v>45869</v>
      </c>
      <c r="C10899" s="500" t="s">
        <v>173</v>
      </c>
      <c r="D10899" s="500" t="s">
        <v>760</v>
      </c>
      <c r="E10899" s="501">
        <v>-6005358.29</v>
      </c>
      <c r="F10899" s="502" t="s">
        <v>878</v>
      </c>
      <c r="G10899" s="317">
        <v>118365204</v>
      </c>
      <c r="H10899" s="530"/>
      <c r="I10899" s="422" t="s">
        <v>685</v>
      </c>
      <c r="J10899" s="484" t="s">
        <v>906</v>
      </c>
      <c r="L10899" s="539"/>
      <c r="M10899" s="539"/>
      <c r="N10899" s="548">
        <v>6456</v>
      </c>
      <c r="R10899" s="548">
        <v>930.19799999999998</v>
      </c>
      <c r="S10899" s="548">
        <v>930.596838599752</v>
      </c>
      <c r="T10899" s="549">
        <v>15.65</v>
      </c>
      <c r="U10899" s="549">
        <v>39.32</v>
      </c>
      <c r="V10899" s="549">
        <v>4.5</v>
      </c>
    </row>
    <row r="10900" spans="1:22">
      <c r="A10900" s="499">
        <v>45869</v>
      </c>
      <c r="B10900" s="499">
        <v>45870</v>
      </c>
      <c r="C10900" s="500" t="s">
        <v>173</v>
      </c>
      <c r="D10900" s="500" t="s">
        <v>760</v>
      </c>
      <c r="E10900" s="501">
        <v>887384217.58000004</v>
      </c>
      <c r="F10900" s="502" t="s">
        <v>878</v>
      </c>
      <c r="G10900" s="317">
        <v>118364806</v>
      </c>
      <c r="H10900" s="317">
        <v>118364806</v>
      </c>
      <c r="I10900" s="422" t="s">
        <v>2556</v>
      </c>
      <c r="J10900" s="484" t="s">
        <v>912</v>
      </c>
      <c r="L10900" s="539"/>
      <c r="M10900" s="539"/>
      <c r="N10900" s="548">
        <v>10022213</v>
      </c>
      <c r="R10900" s="548">
        <v>88.503699999999995</v>
      </c>
      <c r="S10900" s="548">
        <v>88.541743982092598</v>
      </c>
      <c r="T10900" s="549">
        <v>15.6898</v>
      </c>
      <c r="U10900" s="549">
        <v>1330.5</v>
      </c>
      <c r="V10900" s="549">
        <v>665.25</v>
      </c>
    </row>
    <row r="10901" spans="1:22">
      <c r="A10901" s="499">
        <v>45869</v>
      </c>
      <c r="B10901" s="499">
        <v>45870</v>
      </c>
      <c r="C10901" s="500" t="s">
        <v>173</v>
      </c>
      <c r="D10901" s="500" t="s">
        <v>760</v>
      </c>
      <c r="E10901" s="501">
        <v>1301457761.6199999</v>
      </c>
      <c r="F10901" s="502" t="s">
        <v>878</v>
      </c>
      <c r="G10901" s="317">
        <v>118364531</v>
      </c>
      <c r="H10901" s="317">
        <v>118364531</v>
      </c>
      <c r="I10901" s="422" t="s">
        <v>672</v>
      </c>
      <c r="J10901" s="484" t="s">
        <v>912</v>
      </c>
      <c r="L10901" s="539"/>
      <c r="M10901" s="539"/>
      <c r="N10901" s="548">
        <v>1439100</v>
      </c>
      <c r="R10901" s="548">
        <v>903.96699999999998</v>
      </c>
      <c r="S10901" s="548">
        <v>904.35533432006105</v>
      </c>
      <c r="T10901" s="549">
        <v>15.68</v>
      </c>
      <c r="U10901" s="549">
        <v>1951.35</v>
      </c>
      <c r="V10901" s="549">
        <v>975.67</v>
      </c>
    </row>
    <row r="10902" spans="1:22">
      <c r="A10902" s="499">
        <v>45869</v>
      </c>
      <c r="B10902" s="499">
        <v>45870</v>
      </c>
      <c r="C10902" s="500" t="s">
        <v>173</v>
      </c>
      <c r="D10902" s="500" t="s">
        <v>760</v>
      </c>
      <c r="E10902" s="501">
        <v>6007933.1900000004</v>
      </c>
      <c r="F10902" s="502" t="s">
        <v>878</v>
      </c>
      <c r="G10902" s="317">
        <v>118365204</v>
      </c>
      <c r="H10902" s="317">
        <v>118365204</v>
      </c>
      <c r="I10902" s="422" t="s">
        <v>685</v>
      </c>
      <c r="J10902" s="484" t="s">
        <v>912</v>
      </c>
      <c r="L10902" s="539"/>
      <c r="M10902" s="539"/>
      <c r="N10902" s="548">
        <v>6456</v>
      </c>
      <c r="R10902" s="548">
        <v>930.19799999999998</v>
      </c>
      <c r="S10902" s="548">
        <v>930.596838599752</v>
      </c>
      <c r="T10902" s="549">
        <v>15.65</v>
      </c>
      <c r="U10902" s="549">
        <v>39.32</v>
      </c>
      <c r="V10902" s="549">
        <v>4.5</v>
      </c>
    </row>
    <row r="10903" spans="1:22">
      <c r="A10903" s="499">
        <v>45869</v>
      </c>
      <c r="B10903" s="499">
        <v>45869</v>
      </c>
      <c r="C10903" s="500" t="s">
        <v>173</v>
      </c>
      <c r="D10903" s="500" t="s">
        <v>761</v>
      </c>
      <c r="E10903" s="501">
        <v>-1779505855.0899999</v>
      </c>
      <c r="F10903" s="502" t="s">
        <v>878</v>
      </c>
      <c r="G10903" s="317">
        <v>118364449</v>
      </c>
      <c r="H10903" s="530"/>
      <c r="I10903" s="422" t="s">
        <v>723</v>
      </c>
      <c r="J10903" s="484" t="s">
        <v>906</v>
      </c>
      <c r="L10903" s="539"/>
      <c r="M10903" s="539"/>
      <c r="N10903" s="548">
        <v>2938908</v>
      </c>
      <c r="R10903" s="548">
        <v>605.49899999931949</v>
      </c>
      <c r="S10903" s="548">
        <v>605.75911573278199</v>
      </c>
      <c r="T10903" s="549">
        <v>15.68</v>
      </c>
      <c r="U10903" s="549">
        <v>2669.26</v>
      </c>
      <c r="V10903" s="549">
        <v>1334.63</v>
      </c>
    </row>
    <row r="10904" spans="1:22">
      <c r="A10904" s="499">
        <v>45869</v>
      </c>
      <c r="B10904" s="499">
        <v>45869</v>
      </c>
      <c r="C10904" s="500" t="s">
        <v>173</v>
      </c>
      <c r="D10904" s="500" t="s">
        <v>761</v>
      </c>
      <c r="E10904" s="501">
        <v>-11000475.91</v>
      </c>
      <c r="F10904" s="502" t="s">
        <v>878</v>
      </c>
      <c r="G10904" s="317">
        <v>118364544</v>
      </c>
      <c r="H10904" s="530"/>
      <c r="I10904" s="422" t="s">
        <v>2903</v>
      </c>
      <c r="J10904" s="484" t="s">
        <v>906</v>
      </c>
      <c r="L10904" s="539"/>
      <c r="M10904" s="539"/>
      <c r="N10904" s="548">
        <v>110891</v>
      </c>
      <c r="R10904" s="548">
        <v>99.200799974749984</v>
      </c>
      <c r="S10904" s="548">
        <v>99.243415516137503</v>
      </c>
      <c r="T10904" s="549">
        <v>15.68</v>
      </c>
      <c r="U10904" s="549">
        <v>39.32</v>
      </c>
      <c r="V10904" s="549">
        <v>8.25</v>
      </c>
    </row>
    <row r="10905" spans="1:22">
      <c r="A10905" s="499">
        <v>45869</v>
      </c>
      <c r="B10905" s="499">
        <v>45870</v>
      </c>
      <c r="C10905" s="500" t="s">
        <v>173</v>
      </c>
      <c r="D10905" s="500" t="s">
        <v>761</v>
      </c>
      <c r="E10905" s="501">
        <v>1780270311.3</v>
      </c>
      <c r="F10905" s="502" t="s">
        <v>878</v>
      </c>
      <c r="G10905" s="317">
        <v>118364449</v>
      </c>
      <c r="H10905" s="317">
        <v>118364449</v>
      </c>
      <c r="I10905" s="422" t="s">
        <v>723</v>
      </c>
      <c r="J10905" s="484" t="s">
        <v>912</v>
      </c>
      <c r="L10905" s="539"/>
      <c r="M10905" s="539"/>
      <c r="N10905" s="548">
        <v>2938908</v>
      </c>
      <c r="R10905" s="548">
        <v>605.49899999931949</v>
      </c>
      <c r="S10905" s="548">
        <v>605.75911573278199</v>
      </c>
      <c r="T10905" s="549">
        <v>15.68</v>
      </c>
      <c r="U10905" s="549">
        <v>2669.26</v>
      </c>
      <c r="V10905" s="549">
        <v>1334.63</v>
      </c>
    </row>
    <row r="10906" spans="1:22">
      <c r="A10906" s="499">
        <v>45869</v>
      </c>
      <c r="B10906" s="499">
        <v>45870</v>
      </c>
      <c r="C10906" s="500" t="s">
        <v>173</v>
      </c>
      <c r="D10906" s="500" t="s">
        <v>761</v>
      </c>
      <c r="E10906" s="501">
        <v>11005201.59</v>
      </c>
      <c r="F10906" s="502" t="s">
        <v>878</v>
      </c>
      <c r="G10906" s="317">
        <v>118364544</v>
      </c>
      <c r="H10906" s="317">
        <v>118364544</v>
      </c>
      <c r="I10906" s="422" t="s">
        <v>2903</v>
      </c>
      <c r="J10906" s="484" t="s">
        <v>912</v>
      </c>
      <c r="L10906" s="539"/>
      <c r="M10906" s="539"/>
      <c r="N10906" s="548">
        <v>110891</v>
      </c>
      <c r="R10906" s="548">
        <v>99.200799974749984</v>
      </c>
      <c r="S10906" s="548">
        <v>99.243415516137503</v>
      </c>
      <c r="T10906" s="549">
        <v>15.68</v>
      </c>
      <c r="U10906" s="549">
        <v>39.32</v>
      </c>
      <c r="V10906" s="549">
        <v>8.25</v>
      </c>
    </row>
    <row r="10907" spans="1:22">
      <c r="A10907" s="499">
        <v>45869</v>
      </c>
      <c r="B10907" s="499">
        <v>45869</v>
      </c>
      <c r="C10907" s="500" t="s">
        <v>173</v>
      </c>
      <c r="D10907" s="500" t="s">
        <v>759</v>
      </c>
      <c r="E10907" s="501">
        <v>-1991710108.0699999</v>
      </c>
      <c r="F10907" s="502" t="s">
        <v>878</v>
      </c>
      <c r="G10907" s="317">
        <v>118367712</v>
      </c>
      <c r="H10907" s="530"/>
      <c r="I10907" s="422" t="s">
        <v>716</v>
      </c>
      <c r="J10907" s="484" t="s">
        <v>906</v>
      </c>
      <c r="L10907" s="539"/>
      <c r="M10907" s="539"/>
      <c r="N10907" s="548">
        <v>3032293</v>
      </c>
      <c r="R10907" s="548">
        <v>656.83300000032978</v>
      </c>
      <c r="S10907" s="548">
        <v>657.11372862384997</v>
      </c>
      <c r="T10907" s="549">
        <v>15.6</v>
      </c>
      <c r="U10907" s="549">
        <v>2987.57</v>
      </c>
      <c r="V10907" s="549">
        <v>1493.78</v>
      </c>
    </row>
    <row r="10908" spans="1:22">
      <c r="A10908" s="499">
        <v>45869</v>
      </c>
      <c r="B10908" s="499">
        <v>45869</v>
      </c>
      <c r="C10908" s="500" t="s">
        <v>173</v>
      </c>
      <c r="D10908" s="500" t="s">
        <v>759</v>
      </c>
      <c r="E10908" s="501">
        <v>-12005170.16</v>
      </c>
      <c r="F10908" s="502" t="s">
        <v>878</v>
      </c>
      <c r="G10908" s="317">
        <v>118369915</v>
      </c>
      <c r="H10908" s="530"/>
      <c r="I10908" s="422" t="s">
        <v>719</v>
      </c>
      <c r="J10908" s="484" t="s">
        <v>906</v>
      </c>
      <c r="L10908" s="539"/>
      <c r="M10908" s="539"/>
      <c r="N10908" s="548">
        <v>18324</v>
      </c>
      <c r="R10908" s="548">
        <v>655.16099978170701</v>
      </c>
      <c r="S10908" s="548">
        <v>655.43921905697403</v>
      </c>
      <c r="T10908" s="549">
        <v>15.5</v>
      </c>
      <c r="U10908" s="549">
        <v>39.32</v>
      </c>
      <c r="V10908" s="549">
        <v>9</v>
      </c>
    </row>
    <row r="10909" spans="1:22">
      <c r="A10909" s="499">
        <v>45869</v>
      </c>
      <c r="B10909" s="499">
        <v>45870</v>
      </c>
      <c r="C10909" s="500" t="s">
        <v>173</v>
      </c>
      <c r="D10909" s="500" t="s">
        <v>759</v>
      </c>
      <c r="E10909" s="501">
        <v>1992561359.51</v>
      </c>
      <c r="F10909" s="502" t="s">
        <v>878</v>
      </c>
      <c r="G10909" s="317">
        <v>118367712</v>
      </c>
      <c r="H10909" s="317">
        <v>118367712</v>
      </c>
      <c r="I10909" s="422" t="s">
        <v>716</v>
      </c>
      <c r="J10909" s="484" t="s">
        <v>912</v>
      </c>
      <c r="L10909" s="539"/>
      <c r="M10909" s="539"/>
      <c r="N10909" s="548">
        <v>3032293</v>
      </c>
      <c r="R10909" s="548">
        <v>656.83300000032978</v>
      </c>
      <c r="S10909" s="548">
        <v>657.11372862384997</v>
      </c>
      <c r="T10909" s="549">
        <v>15.6</v>
      </c>
      <c r="U10909" s="549">
        <v>2987.57</v>
      </c>
      <c r="V10909" s="549">
        <v>1493.78</v>
      </c>
    </row>
    <row r="10910" spans="1:22">
      <c r="A10910" s="499">
        <v>45869</v>
      </c>
      <c r="B10910" s="499">
        <v>45870</v>
      </c>
      <c r="C10910" s="500" t="s">
        <v>173</v>
      </c>
      <c r="D10910" s="500" t="s">
        <v>759</v>
      </c>
      <c r="E10910" s="501">
        <v>12010268.25</v>
      </c>
      <c r="F10910" s="502" t="s">
        <v>878</v>
      </c>
      <c r="G10910" s="317">
        <v>118369915</v>
      </c>
      <c r="H10910" s="317">
        <v>118369915</v>
      </c>
      <c r="I10910" s="422" t="s">
        <v>719</v>
      </c>
      <c r="J10910" s="484" t="s">
        <v>912</v>
      </c>
      <c r="L10910" s="539"/>
      <c r="M10910" s="539"/>
      <c r="N10910" s="548">
        <v>18324</v>
      </c>
      <c r="R10910" s="548">
        <v>655.16099978170701</v>
      </c>
      <c r="S10910" s="548">
        <v>655.43921905697403</v>
      </c>
      <c r="T10910" s="549">
        <v>15.5</v>
      </c>
      <c r="U10910" s="549">
        <v>39.32</v>
      </c>
      <c r="V10910" s="549">
        <v>9</v>
      </c>
    </row>
    <row r="10911" spans="1:22">
      <c r="A10911" s="499">
        <v>45870</v>
      </c>
      <c r="B10911" s="499">
        <v>45870</v>
      </c>
      <c r="C10911" s="500" t="s">
        <v>173</v>
      </c>
      <c r="D10911" s="500" t="s">
        <v>762</v>
      </c>
      <c r="E10911" s="501">
        <v>-78007825.579999998</v>
      </c>
      <c r="F10911" s="502" t="s">
        <v>878</v>
      </c>
      <c r="G10911" s="443">
        <v>118392705</v>
      </c>
      <c r="H10911" s="530"/>
      <c r="I10911" s="422" t="s">
        <v>690</v>
      </c>
      <c r="J10911" s="484" t="s">
        <v>906</v>
      </c>
      <c r="L10911" s="539"/>
      <c r="M10911" s="539"/>
      <c r="N10911" s="601">
        <v>91026</v>
      </c>
      <c r="R10911" s="548">
        <v>856.98400000000004</v>
      </c>
      <c r="S10911" s="548">
        <v>858.07788719706502</v>
      </c>
      <c r="T10911" s="549">
        <v>15.53</v>
      </c>
      <c r="U10911" s="549">
        <v>351.04</v>
      </c>
      <c r="V10911" s="549">
        <v>175.52</v>
      </c>
    </row>
    <row r="10912" spans="1:22">
      <c r="A10912" s="499">
        <v>45870</v>
      </c>
      <c r="B10912" s="499">
        <v>45870</v>
      </c>
      <c r="C10912" s="500" t="s">
        <v>173</v>
      </c>
      <c r="D10912" s="500" t="s">
        <v>762</v>
      </c>
      <c r="E10912" s="501">
        <v>-136133642.30000001</v>
      </c>
      <c r="F10912" s="502" t="s">
        <v>878</v>
      </c>
      <c r="G10912" s="443">
        <v>118392708</v>
      </c>
      <c r="H10912" s="530"/>
      <c r="I10912" s="422" t="s">
        <v>598</v>
      </c>
      <c r="J10912" s="484" t="s">
        <v>906</v>
      </c>
      <c r="L10912" s="539"/>
      <c r="M10912" s="539"/>
      <c r="N10912" s="601">
        <v>131648</v>
      </c>
      <c r="R10912" s="548">
        <v>1034.0730000000001</v>
      </c>
      <c r="S10912" s="548">
        <v>1035.39293039013</v>
      </c>
      <c r="T10912" s="549">
        <v>15.53</v>
      </c>
      <c r="U10912" s="549">
        <v>612.6</v>
      </c>
      <c r="V10912" s="549">
        <v>306.3</v>
      </c>
    </row>
    <row r="10913" spans="1:22">
      <c r="A10913" s="499">
        <v>45870</v>
      </c>
      <c r="B10913" s="499">
        <v>45870</v>
      </c>
      <c r="C10913" s="500" t="s">
        <v>173</v>
      </c>
      <c r="D10913" s="500" t="s">
        <v>762</v>
      </c>
      <c r="E10913" s="501">
        <v>-77038543.430000007</v>
      </c>
      <c r="F10913" s="502" t="s">
        <v>878</v>
      </c>
      <c r="G10913" s="443">
        <v>118392711</v>
      </c>
      <c r="H10913" s="530"/>
      <c r="I10913" s="422" t="s">
        <v>715</v>
      </c>
      <c r="J10913" s="484" t="s">
        <v>906</v>
      </c>
      <c r="L10913" s="539"/>
      <c r="M10913" s="539"/>
      <c r="N10913" s="601">
        <v>125202</v>
      </c>
      <c r="R10913" s="548">
        <v>615.31399999999996</v>
      </c>
      <c r="S10913" s="548">
        <v>616.099410392805</v>
      </c>
      <c r="T10913" s="549">
        <v>15.53</v>
      </c>
      <c r="U10913" s="549">
        <v>346.67</v>
      </c>
      <c r="V10913" s="549">
        <v>173.34</v>
      </c>
    </row>
    <row r="10914" spans="1:22">
      <c r="A10914" s="499">
        <v>45870</v>
      </c>
      <c r="B10914" s="499">
        <v>45870</v>
      </c>
      <c r="C10914" s="500" t="s">
        <v>173</v>
      </c>
      <c r="D10914" s="500" t="s">
        <v>762</v>
      </c>
      <c r="E10914" s="501">
        <v>-39002394.600000001</v>
      </c>
      <c r="F10914" s="502" t="s">
        <v>878</v>
      </c>
      <c r="G10914" s="443">
        <v>118392714</v>
      </c>
      <c r="H10914" s="530"/>
      <c r="I10914" s="422" t="s">
        <v>693</v>
      </c>
      <c r="J10914" s="484" t="s">
        <v>906</v>
      </c>
      <c r="L10914" s="539"/>
      <c r="M10914" s="539"/>
      <c r="N10914" s="601">
        <v>50700</v>
      </c>
      <c r="R10914" s="548">
        <v>769.27800000000002</v>
      </c>
      <c r="S10914" s="548">
        <v>770.25993589743598</v>
      </c>
      <c r="T10914" s="549">
        <v>15.53</v>
      </c>
      <c r="U10914" s="549">
        <v>175.51</v>
      </c>
      <c r="V10914" s="549">
        <v>87.76</v>
      </c>
    </row>
    <row r="10915" spans="1:22">
      <c r="A10915" s="499">
        <v>45870</v>
      </c>
      <c r="B10915" s="499">
        <v>45870</v>
      </c>
      <c r="C10915" s="500" t="s">
        <v>173</v>
      </c>
      <c r="D10915" s="500" t="s">
        <v>762</v>
      </c>
      <c r="E10915" s="501">
        <v>-39032890.07</v>
      </c>
      <c r="F10915" s="502" t="s">
        <v>878</v>
      </c>
      <c r="G10915" s="443">
        <v>118392717</v>
      </c>
      <c r="H10915" s="530"/>
      <c r="I10915" s="422" t="s">
        <v>590</v>
      </c>
      <c r="J10915" s="484" t="s">
        <v>906</v>
      </c>
      <c r="L10915" s="539"/>
      <c r="M10915" s="539"/>
      <c r="N10915" s="601">
        <v>41535</v>
      </c>
      <c r="R10915" s="548">
        <v>939.75900000000001</v>
      </c>
      <c r="S10915" s="548">
        <v>940.95854460093904</v>
      </c>
      <c r="T10915" s="549">
        <v>15.53</v>
      </c>
      <c r="U10915" s="549">
        <v>175.65</v>
      </c>
      <c r="V10915" s="549">
        <v>87.82</v>
      </c>
    </row>
    <row r="10916" spans="1:22">
      <c r="A10916" s="499">
        <v>45870</v>
      </c>
      <c r="B10916" s="499">
        <v>45870</v>
      </c>
      <c r="C10916" s="500" t="s">
        <v>173</v>
      </c>
      <c r="D10916" s="500" t="s">
        <v>762</v>
      </c>
      <c r="E10916" s="501">
        <v>-29000483.780000001</v>
      </c>
      <c r="F10916" s="502" t="s">
        <v>878</v>
      </c>
      <c r="G10916" s="443">
        <v>118392720</v>
      </c>
      <c r="H10916" s="530"/>
      <c r="I10916" s="422" t="s">
        <v>823</v>
      </c>
      <c r="J10916" s="484" t="s">
        <v>906</v>
      </c>
      <c r="L10916" s="539"/>
      <c r="M10916" s="539"/>
      <c r="N10916" s="601">
        <v>28826</v>
      </c>
      <c r="R10916" s="548">
        <v>1006.053</v>
      </c>
      <c r="S10916" s="548">
        <v>1007.33716471241</v>
      </c>
      <c r="T10916" s="549">
        <v>15.53</v>
      </c>
      <c r="U10916" s="549">
        <v>130.5</v>
      </c>
      <c r="V10916" s="549">
        <v>65.25</v>
      </c>
    </row>
    <row r="10917" spans="1:22">
      <c r="A10917" s="499">
        <v>45870</v>
      </c>
      <c r="B10917" s="499">
        <v>45870</v>
      </c>
      <c r="C10917" s="500" t="s">
        <v>173</v>
      </c>
      <c r="D10917" s="500" t="s">
        <v>762</v>
      </c>
      <c r="E10917" s="501">
        <v>-27025840.760000002</v>
      </c>
      <c r="F10917" s="502" t="s">
        <v>878</v>
      </c>
      <c r="G10917" s="443">
        <v>118392723</v>
      </c>
      <c r="H10917" s="530"/>
      <c r="I10917" s="422" t="s">
        <v>821</v>
      </c>
      <c r="J10917" s="484" t="s">
        <v>906</v>
      </c>
      <c r="L10917" s="539"/>
      <c r="M10917" s="539"/>
      <c r="N10917" s="601">
        <v>26865</v>
      </c>
      <c r="R10917" s="548">
        <v>1005.987</v>
      </c>
      <c r="S10917" s="548">
        <v>1007.27108058813</v>
      </c>
      <c r="T10917" s="549">
        <v>15.53</v>
      </c>
      <c r="U10917" s="549">
        <v>121.62</v>
      </c>
      <c r="V10917" s="549">
        <v>60.81</v>
      </c>
    </row>
    <row r="10918" spans="1:22">
      <c r="A10918" s="499">
        <v>45870</v>
      </c>
      <c r="B10918" s="499">
        <v>45870</v>
      </c>
      <c r="C10918" s="500" t="s">
        <v>173</v>
      </c>
      <c r="D10918" s="500" t="s">
        <v>762</v>
      </c>
      <c r="E10918" s="501">
        <v>-26010985.359999999</v>
      </c>
      <c r="F10918" s="502" t="s">
        <v>878</v>
      </c>
      <c r="G10918" s="443">
        <v>118392726</v>
      </c>
      <c r="H10918" s="530"/>
      <c r="I10918" s="422" t="s">
        <v>588</v>
      </c>
      <c r="J10918" s="484" t="s">
        <v>906</v>
      </c>
      <c r="L10918" s="539"/>
      <c r="M10918" s="539"/>
      <c r="N10918" s="601">
        <v>26572</v>
      </c>
      <c r="R10918" s="548">
        <v>978.88699999999994</v>
      </c>
      <c r="S10918" s="548">
        <v>980.136488785187</v>
      </c>
      <c r="T10918" s="549">
        <v>15.53</v>
      </c>
      <c r="U10918" s="549">
        <v>117.05</v>
      </c>
      <c r="V10918" s="549">
        <v>58.52</v>
      </c>
    </row>
    <row r="10919" spans="1:22">
      <c r="A10919" s="499">
        <v>45870</v>
      </c>
      <c r="B10919" s="499">
        <v>45870</v>
      </c>
      <c r="C10919" s="500" t="s">
        <v>173</v>
      </c>
      <c r="D10919" s="500" t="s">
        <v>762</v>
      </c>
      <c r="E10919" s="501">
        <v>-21010511.84</v>
      </c>
      <c r="F10919" s="502" t="s">
        <v>878</v>
      </c>
      <c r="G10919" s="443">
        <v>118392729</v>
      </c>
      <c r="H10919" s="530"/>
      <c r="I10919" s="422" t="s">
        <v>715</v>
      </c>
      <c r="J10919" s="484" t="s">
        <v>906</v>
      </c>
      <c r="L10919" s="539"/>
      <c r="M10919" s="539"/>
      <c r="N10919" s="601">
        <v>34146</v>
      </c>
      <c r="R10919" s="548">
        <v>615.31399999999996</v>
      </c>
      <c r="S10919" s="548">
        <v>616.099410179816</v>
      </c>
      <c r="T10919" s="549">
        <v>15.53</v>
      </c>
      <c r="U10919" s="549">
        <v>94.55</v>
      </c>
      <c r="V10919" s="549">
        <v>47.27</v>
      </c>
    </row>
    <row r="10920" spans="1:22">
      <c r="A10920" s="499">
        <v>45870</v>
      </c>
      <c r="B10920" s="499">
        <v>45870</v>
      </c>
      <c r="C10920" s="500" t="s">
        <v>173</v>
      </c>
      <c r="D10920" s="500" t="s">
        <v>762</v>
      </c>
      <c r="E10920" s="501">
        <v>-19001369.449999999</v>
      </c>
      <c r="F10920" s="502" t="s">
        <v>878</v>
      </c>
      <c r="G10920" s="443">
        <v>118392732</v>
      </c>
      <c r="H10920" s="530"/>
      <c r="I10920" s="624" t="s">
        <v>550</v>
      </c>
      <c r="J10920" s="484" t="s">
        <v>906</v>
      </c>
      <c r="L10920" s="539"/>
      <c r="M10920" s="539"/>
      <c r="N10920" s="601">
        <v>34599</v>
      </c>
      <c r="R10920" s="548">
        <v>549.1884</v>
      </c>
      <c r="S10920" s="548">
        <v>549.88940518512095</v>
      </c>
      <c r="T10920" s="549">
        <v>15.53</v>
      </c>
      <c r="U10920" s="549">
        <v>85.51</v>
      </c>
      <c r="V10920" s="549">
        <v>42.75</v>
      </c>
    </row>
    <row r="10921" spans="1:22">
      <c r="A10921" s="499">
        <v>45870</v>
      </c>
      <c r="B10921" s="499">
        <v>45870</v>
      </c>
      <c r="C10921" s="500" t="s">
        <v>173</v>
      </c>
      <c r="D10921" s="500" t="s">
        <v>762</v>
      </c>
      <c r="E10921" s="501">
        <v>-9000202.3000000007</v>
      </c>
      <c r="F10921" s="502" t="s">
        <v>878</v>
      </c>
      <c r="G10921" s="443">
        <v>118392735</v>
      </c>
      <c r="H10921" s="530"/>
      <c r="I10921" s="422" t="s">
        <v>658</v>
      </c>
      <c r="J10921" s="484" t="s">
        <v>906</v>
      </c>
      <c r="L10921" s="539"/>
      <c r="M10921" s="539"/>
      <c r="N10921" s="601">
        <v>8883</v>
      </c>
      <c r="R10921" s="548">
        <v>1013.194</v>
      </c>
      <c r="S10921" s="548">
        <v>1014.48727907239</v>
      </c>
      <c r="T10921" s="549">
        <v>15.53</v>
      </c>
      <c r="U10921" s="549">
        <v>40.5</v>
      </c>
      <c r="V10921" s="549">
        <v>20.25</v>
      </c>
    </row>
    <row r="10922" spans="1:22">
      <c r="A10922" s="499">
        <v>45870</v>
      </c>
      <c r="B10922" s="499">
        <v>45870</v>
      </c>
      <c r="C10922" s="500" t="s">
        <v>173</v>
      </c>
      <c r="D10922" s="500" t="s">
        <v>762</v>
      </c>
      <c r="E10922" s="501">
        <v>-4000284.88</v>
      </c>
      <c r="F10922" s="502" t="s">
        <v>878</v>
      </c>
      <c r="G10922" s="443">
        <v>118392738</v>
      </c>
      <c r="H10922" s="530"/>
      <c r="I10922" s="422" t="s">
        <v>673</v>
      </c>
      <c r="J10922" s="484" t="s">
        <v>906</v>
      </c>
      <c r="L10922" s="539"/>
      <c r="M10922" s="539"/>
      <c r="N10922" s="601">
        <v>4456</v>
      </c>
      <c r="R10922" s="548">
        <v>897.73</v>
      </c>
      <c r="S10922" s="548">
        <v>898.875897666068</v>
      </c>
      <c r="T10922" s="549">
        <v>15.53</v>
      </c>
      <c r="U10922" s="549">
        <v>39.32</v>
      </c>
      <c r="V10922" s="549">
        <v>9</v>
      </c>
    </row>
    <row r="10923" spans="1:22">
      <c r="A10923" s="499">
        <v>45870</v>
      </c>
      <c r="B10923" s="499">
        <v>45870</v>
      </c>
      <c r="C10923" s="500" t="s">
        <v>173</v>
      </c>
      <c r="D10923" s="500" t="s">
        <v>762</v>
      </c>
      <c r="E10923" s="501">
        <v>-123057843.47</v>
      </c>
      <c r="F10923" s="502" t="s">
        <v>878</v>
      </c>
      <c r="G10923" s="443">
        <v>118392741</v>
      </c>
      <c r="H10923" s="530"/>
      <c r="I10923" s="422" t="s">
        <v>833</v>
      </c>
      <c r="J10923" s="484" t="s">
        <v>906</v>
      </c>
      <c r="L10923" s="539"/>
      <c r="M10923" s="539"/>
      <c r="N10923" s="601">
        <v>199629</v>
      </c>
      <c r="R10923" s="548">
        <v>616.43269999999995</v>
      </c>
      <c r="S10923" s="548">
        <v>617.21953834362705</v>
      </c>
      <c r="T10923" s="549">
        <v>15.53</v>
      </c>
      <c r="U10923" s="549">
        <v>553.76</v>
      </c>
      <c r="V10923" s="549">
        <v>276.88</v>
      </c>
    </row>
    <row r="10924" spans="1:22">
      <c r="A10924" s="499">
        <v>45870</v>
      </c>
      <c r="B10924" s="499">
        <v>45870</v>
      </c>
      <c r="C10924" s="500" t="s">
        <v>173</v>
      </c>
      <c r="D10924" s="500" t="s">
        <v>762</v>
      </c>
      <c r="E10924" s="501">
        <v>-197092643.59999999</v>
      </c>
      <c r="F10924" s="502" t="s">
        <v>878</v>
      </c>
      <c r="G10924" s="443">
        <v>118392744</v>
      </c>
      <c r="H10924" s="530"/>
      <c r="I10924" s="422" t="s">
        <v>833</v>
      </c>
      <c r="J10924" s="484" t="s">
        <v>906</v>
      </c>
      <c r="L10924" s="539"/>
      <c r="M10924" s="539"/>
      <c r="N10924" s="601">
        <v>319731</v>
      </c>
      <c r="R10924" s="548">
        <v>616.43269999999995</v>
      </c>
      <c r="S10924" s="548">
        <v>617.21953833065902</v>
      </c>
      <c r="T10924" s="549">
        <v>15.53</v>
      </c>
      <c r="U10924" s="549">
        <v>886.92</v>
      </c>
      <c r="V10924" s="549">
        <v>443.46</v>
      </c>
    </row>
    <row r="10925" spans="1:22">
      <c r="A10925" s="499">
        <v>45870</v>
      </c>
      <c r="B10925" s="499">
        <v>45870</v>
      </c>
      <c r="C10925" s="500" t="s">
        <v>173</v>
      </c>
      <c r="D10925" s="500" t="s">
        <v>762</v>
      </c>
      <c r="E10925" s="501">
        <v>-91002045.5</v>
      </c>
      <c r="F10925" s="502" t="s">
        <v>878</v>
      </c>
      <c r="G10925" s="443">
        <v>118392747</v>
      </c>
      <c r="H10925" s="530"/>
      <c r="I10925" s="422" t="s">
        <v>658</v>
      </c>
      <c r="J10925" s="484" t="s">
        <v>906</v>
      </c>
      <c r="L10925" s="539"/>
      <c r="M10925" s="539"/>
      <c r="N10925" s="601">
        <v>89817</v>
      </c>
      <c r="R10925" s="548">
        <v>1013.194</v>
      </c>
      <c r="S10925" s="548">
        <v>1014.48727969093</v>
      </c>
      <c r="T10925" s="549">
        <v>15.53</v>
      </c>
      <c r="U10925" s="549">
        <v>409.51</v>
      </c>
      <c r="V10925" s="549">
        <v>204.75</v>
      </c>
    </row>
    <row r="10926" spans="1:22">
      <c r="A10926" s="499">
        <v>45870</v>
      </c>
      <c r="B10926" s="499">
        <v>45870</v>
      </c>
      <c r="C10926" s="500" t="s">
        <v>173</v>
      </c>
      <c r="D10926" s="500" t="s">
        <v>762</v>
      </c>
      <c r="E10926" s="501">
        <v>-30028657.890000001</v>
      </c>
      <c r="F10926" s="502" t="s">
        <v>878</v>
      </c>
      <c r="G10926" s="443">
        <v>118392750</v>
      </c>
      <c r="H10926" s="530"/>
      <c r="I10926" s="422" t="s">
        <v>656</v>
      </c>
      <c r="J10926" s="484" t="s">
        <v>906</v>
      </c>
      <c r="L10926" s="539"/>
      <c r="M10926" s="539"/>
      <c r="N10926" s="601">
        <v>29190</v>
      </c>
      <c r="R10926" s="548">
        <v>1028.731</v>
      </c>
      <c r="S10926" s="548">
        <v>1030.04411168208</v>
      </c>
      <c r="T10926" s="549">
        <v>15.53</v>
      </c>
      <c r="U10926" s="549">
        <v>135.13</v>
      </c>
      <c r="V10926" s="549">
        <v>67.56</v>
      </c>
    </row>
    <row r="10927" spans="1:22">
      <c r="A10927" s="499">
        <v>45870</v>
      </c>
      <c r="B10927" s="499">
        <v>45870</v>
      </c>
      <c r="C10927" s="500" t="s">
        <v>173</v>
      </c>
      <c r="D10927" s="500" t="s">
        <v>762</v>
      </c>
      <c r="E10927" s="501">
        <v>-96080960.159999996</v>
      </c>
      <c r="F10927" s="502" t="s">
        <v>878</v>
      </c>
      <c r="G10927" s="443">
        <v>118392753</v>
      </c>
      <c r="H10927" s="530"/>
      <c r="I10927" s="422" t="s">
        <v>590</v>
      </c>
      <c r="J10927" s="484" t="s">
        <v>906</v>
      </c>
      <c r="L10927" s="539"/>
      <c r="M10927" s="539"/>
      <c r="N10927" s="601">
        <v>102240</v>
      </c>
      <c r="R10927" s="548">
        <v>939.75900000000001</v>
      </c>
      <c r="S10927" s="548">
        <v>940.95854440532105</v>
      </c>
      <c r="T10927" s="549">
        <v>15.53</v>
      </c>
      <c r="U10927" s="549">
        <v>432.36</v>
      </c>
      <c r="V10927" s="549">
        <v>216.18</v>
      </c>
    </row>
    <row r="10928" spans="1:22">
      <c r="A10928" s="499">
        <v>45870</v>
      </c>
      <c r="B10928" s="499">
        <v>45870</v>
      </c>
      <c r="C10928" s="500" t="s">
        <v>173</v>
      </c>
      <c r="D10928" s="500" t="s">
        <v>762</v>
      </c>
      <c r="E10928" s="501">
        <v>-34028673.390000001</v>
      </c>
      <c r="F10928" s="502" t="s">
        <v>878</v>
      </c>
      <c r="G10928" s="443">
        <v>118392756</v>
      </c>
      <c r="H10928" s="530"/>
      <c r="I10928" s="422" t="s">
        <v>590</v>
      </c>
      <c r="J10928" s="484" t="s">
        <v>906</v>
      </c>
      <c r="L10928" s="539"/>
      <c r="M10928" s="539"/>
      <c r="N10928" s="601">
        <v>36210</v>
      </c>
      <c r="R10928" s="548">
        <v>939.75900000000001</v>
      </c>
      <c r="S10928" s="548">
        <v>940.95854432477199</v>
      </c>
      <c r="T10928" s="549">
        <v>15.53</v>
      </c>
      <c r="U10928" s="549">
        <v>153.13</v>
      </c>
      <c r="V10928" s="549">
        <v>76.56</v>
      </c>
    </row>
    <row r="10929" spans="1:22">
      <c r="A10929" s="499">
        <v>45870</v>
      </c>
      <c r="B10929" s="499">
        <v>45870</v>
      </c>
      <c r="C10929" s="500" t="s">
        <v>173</v>
      </c>
      <c r="D10929" s="500" t="s">
        <v>762</v>
      </c>
      <c r="E10929" s="501">
        <v>-131030413.62</v>
      </c>
      <c r="F10929" s="502" t="s">
        <v>878</v>
      </c>
      <c r="G10929" s="443">
        <v>118392759</v>
      </c>
      <c r="H10929" s="530"/>
      <c r="I10929" s="422" t="s">
        <v>687</v>
      </c>
      <c r="J10929" s="484" t="s">
        <v>906</v>
      </c>
      <c r="L10929" s="539"/>
      <c r="M10929" s="539"/>
      <c r="N10929" s="601">
        <v>159689</v>
      </c>
      <c r="R10929" s="548">
        <v>820.53499999999997</v>
      </c>
      <c r="S10929" s="548">
        <v>821.58236240442398</v>
      </c>
      <c r="T10929" s="549">
        <v>15.53</v>
      </c>
      <c r="U10929" s="549">
        <v>589.64</v>
      </c>
      <c r="V10929" s="549">
        <v>294.82</v>
      </c>
    </row>
    <row r="10930" spans="1:22">
      <c r="A10930" s="499">
        <v>45870</v>
      </c>
      <c r="B10930" s="499">
        <v>45870</v>
      </c>
      <c r="C10930" s="500" t="s">
        <v>173</v>
      </c>
      <c r="D10930" s="500" t="s">
        <v>762</v>
      </c>
      <c r="E10930" s="501">
        <v>-499000459.38</v>
      </c>
      <c r="F10930" s="502" t="s">
        <v>878</v>
      </c>
      <c r="G10930" s="443">
        <v>118392762</v>
      </c>
      <c r="H10930" s="530"/>
      <c r="I10930" s="422" t="s">
        <v>811</v>
      </c>
      <c r="J10930" s="484" t="s">
        <v>906</v>
      </c>
      <c r="L10930" s="539"/>
      <c r="M10930" s="539"/>
      <c r="N10930" s="601">
        <v>491819889</v>
      </c>
      <c r="R10930" s="548">
        <v>1.0145999999999999</v>
      </c>
      <c r="S10930" s="548">
        <v>1.01589340651899</v>
      </c>
      <c r="T10930" s="549">
        <v>15.51</v>
      </c>
      <c r="U10930" s="549">
        <v>2245.5</v>
      </c>
      <c r="V10930" s="549">
        <v>1122.75</v>
      </c>
    </row>
    <row r="10931" spans="1:22">
      <c r="A10931" s="499">
        <v>45870</v>
      </c>
      <c r="B10931" s="499">
        <v>45870</v>
      </c>
      <c r="C10931" s="500" t="s">
        <v>173</v>
      </c>
      <c r="D10931" s="500" t="s">
        <v>762</v>
      </c>
      <c r="E10931" s="501">
        <v>-385313528.60000002</v>
      </c>
      <c r="F10931" s="502" t="s">
        <v>878</v>
      </c>
      <c r="G10931" s="443">
        <v>118392765</v>
      </c>
      <c r="H10931" s="530"/>
      <c r="I10931" s="422" t="s">
        <v>678</v>
      </c>
      <c r="J10931" s="484" t="s">
        <v>906</v>
      </c>
      <c r="L10931" s="539"/>
      <c r="M10931" s="539"/>
      <c r="N10931" s="601">
        <v>409640</v>
      </c>
      <c r="R10931" s="548">
        <v>940.61500000000001</v>
      </c>
      <c r="S10931" s="548">
        <v>941.81409083585595</v>
      </c>
      <c r="T10931" s="549">
        <v>15.51</v>
      </c>
      <c r="U10931" s="549">
        <v>1733.91</v>
      </c>
      <c r="V10931" s="549">
        <v>866.96</v>
      </c>
    </row>
    <row r="10932" spans="1:22">
      <c r="A10932" s="499">
        <v>45870</v>
      </c>
      <c r="B10932" s="499">
        <v>45870</v>
      </c>
      <c r="C10932" s="500" t="s">
        <v>173</v>
      </c>
      <c r="D10932" s="500" t="s">
        <v>762</v>
      </c>
      <c r="E10932" s="501">
        <v>-385313528.60000002</v>
      </c>
      <c r="F10932" s="502" t="s">
        <v>878</v>
      </c>
      <c r="G10932" s="443">
        <v>118392768</v>
      </c>
      <c r="H10932" s="530"/>
      <c r="I10932" s="422" t="s">
        <v>678</v>
      </c>
      <c r="J10932" s="484" t="s">
        <v>906</v>
      </c>
      <c r="L10932" s="539"/>
      <c r="M10932" s="539"/>
      <c r="N10932" s="601">
        <v>409640</v>
      </c>
      <c r="R10932" s="548">
        <v>940.61500000000001</v>
      </c>
      <c r="S10932" s="548">
        <v>941.81409083585595</v>
      </c>
      <c r="T10932" s="549">
        <v>15.51</v>
      </c>
      <c r="U10932" s="549">
        <v>1733.91</v>
      </c>
      <c r="V10932" s="549">
        <v>866.96</v>
      </c>
    </row>
    <row r="10933" spans="1:22">
      <c r="A10933" s="499">
        <v>45870</v>
      </c>
      <c r="B10933" s="499">
        <v>45870</v>
      </c>
      <c r="C10933" s="500" t="s">
        <v>173</v>
      </c>
      <c r="D10933" s="500" t="s">
        <v>762</v>
      </c>
      <c r="E10933" s="501">
        <v>-96040199.040000007</v>
      </c>
      <c r="F10933" s="502" t="s">
        <v>878</v>
      </c>
      <c r="G10933" s="443">
        <v>118392771</v>
      </c>
      <c r="H10933" s="530"/>
      <c r="I10933" s="422" t="s">
        <v>700</v>
      </c>
      <c r="J10933" s="484" t="s">
        <v>906</v>
      </c>
      <c r="L10933" s="539"/>
      <c r="M10933" s="539"/>
      <c r="N10933" s="601">
        <v>106368</v>
      </c>
      <c r="R10933" s="548">
        <v>902.90499999999997</v>
      </c>
      <c r="S10933" s="548">
        <v>904.05601835138395</v>
      </c>
      <c r="T10933" s="549">
        <v>15.51</v>
      </c>
      <c r="U10933" s="549">
        <v>432.18</v>
      </c>
      <c r="V10933" s="549">
        <v>216.09</v>
      </c>
    </row>
    <row r="10934" spans="1:22">
      <c r="A10934" s="499">
        <v>45870</v>
      </c>
      <c r="B10934" s="499">
        <v>45870</v>
      </c>
      <c r="C10934" s="500" t="s">
        <v>173</v>
      </c>
      <c r="D10934" s="500" t="s">
        <v>762</v>
      </c>
      <c r="E10934" s="501">
        <v>-415337959.39999998</v>
      </c>
      <c r="F10934" s="502" t="s">
        <v>878</v>
      </c>
      <c r="G10934" s="443">
        <v>118392774</v>
      </c>
      <c r="H10934" s="530"/>
      <c r="I10934" s="422" t="s">
        <v>678</v>
      </c>
      <c r="J10934" s="484" t="s">
        <v>906</v>
      </c>
      <c r="L10934" s="539"/>
      <c r="M10934" s="539"/>
      <c r="N10934" s="601">
        <v>441560</v>
      </c>
      <c r="R10934" s="548">
        <v>940.61500000000001</v>
      </c>
      <c r="S10934" s="548">
        <v>941.81332545973396</v>
      </c>
      <c r="T10934" s="549">
        <v>15.5001</v>
      </c>
      <c r="U10934" s="549">
        <v>1869.02</v>
      </c>
      <c r="V10934" s="549">
        <v>934.51</v>
      </c>
    </row>
    <row r="10935" spans="1:22">
      <c r="A10935" s="499">
        <v>45870</v>
      </c>
      <c r="B10935" s="499">
        <v>45870</v>
      </c>
      <c r="C10935" s="500" t="s">
        <v>173</v>
      </c>
      <c r="D10935" s="500" t="s">
        <v>762</v>
      </c>
      <c r="E10935" s="501">
        <v>-17005205.809999999</v>
      </c>
      <c r="F10935" s="502" t="s">
        <v>878</v>
      </c>
      <c r="G10935" s="443">
        <v>118399475</v>
      </c>
      <c r="H10935" s="530"/>
      <c r="I10935" s="422" t="s">
        <v>706</v>
      </c>
      <c r="J10935" s="484" t="s">
        <v>906</v>
      </c>
      <c r="L10935" s="539"/>
      <c r="M10935" s="539"/>
      <c r="N10935" s="601">
        <v>22168</v>
      </c>
      <c r="R10935" s="548">
        <v>767.10599999999999</v>
      </c>
      <c r="S10935" s="548">
        <v>768.08327228437395</v>
      </c>
      <c r="T10935" s="549">
        <v>15.5</v>
      </c>
      <c r="U10935" s="549">
        <v>76.52</v>
      </c>
      <c r="V10935" s="549">
        <v>38.26</v>
      </c>
    </row>
    <row r="10936" spans="1:22">
      <c r="A10936" s="499">
        <v>45870</v>
      </c>
      <c r="B10936" s="499">
        <v>45873</v>
      </c>
      <c r="C10936" s="500" t="s">
        <v>173</v>
      </c>
      <c r="D10936" s="500" t="s">
        <v>762</v>
      </c>
      <c r="E10936" s="501">
        <v>78107397.760000005</v>
      </c>
      <c r="F10936" s="502" t="s">
        <v>878</v>
      </c>
      <c r="G10936" s="443">
        <v>118392705</v>
      </c>
      <c r="H10936" s="443">
        <v>118392705</v>
      </c>
      <c r="I10936" s="422" t="s">
        <v>690</v>
      </c>
      <c r="J10936" s="484" t="s">
        <v>912</v>
      </c>
      <c r="L10936" s="539"/>
      <c r="M10936" s="539"/>
      <c r="N10936" s="601">
        <v>91026</v>
      </c>
      <c r="R10936" s="548">
        <v>856.98400000000004</v>
      </c>
      <c r="S10936" s="548">
        <v>858.07788719706502</v>
      </c>
      <c r="T10936" s="549">
        <v>15.53</v>
      </c>
      <c r="U10936" s="549">
        <v>351.04</v>
      </c>
      <c r="V10936" s="549">
        <v>175.52</v>
      </c>
    </row>
    <row r="10937" spans="1:22">
      <c r="A10937" s="499">
        <v>45870</v>
      </c>
      <c r="B10937" s="499">
        <v>45873</v>
      </c>
      <c r="C10937" s="500" t="s">
        <v>173</v>
      </c>
      <c r="D10937" s="500" t="s">
        <v>762</v>
      </c>
      <c r="E10937" s="501">
        <v>136307408.5</v>
      </c>
      <c r="F10937" s="502" t="s">
        <v>878</v>
      </c>
      <c r="G10937" s="443">
        <v>118392708</v>
      </c>
      <c r="H10937" s="443">
        <v>118392708</v>
      </c>
      <c r="I10937" s="422" t="s">
        <v>598</v>
      </c>
      <c r="J10937" s="484" t="s">
        <v>912</v>
      </c>
      <c r="L10937" s="539"/>
      <c r="M10937" s="539"/>
      <c r="N10937" s="601">
        <v>131648</v>
      </c>
      <c r="R10937" s="548">
        <v>1034.0730000000001</v>
      </c>
      <c r="S10937" s="548">
        <v>1035.39293039013</v>
      </c>
      <c r="T10937" s="549">
        <v>15.53</v>
      </c>
      <c r="U10937" s="549">
        <v>612.6</v>
      </c>
      <c r="V10937" s="549">
        <v>306.3</v>
      </c>
    </row>
    <row r="10938" spans="1:22">
      <c r="A10938" s="499">
        <v>45870</v>
      </c>
      <c r="B10938" s="499">
        <v>45873</v>
      </c>
      <c r="C10938" s="500" t="s">
        <v>173</v>
      </c>
      <c r="D10938" s="500" t="s">
        <v>762</v>
      </c>
      <c r="E10938" s="501">
        <v>77136878.379999995</v>
      </c>
      <c r="F10938" s="502" t="s">
        <v>878</v>
      </c>
      <c r="G10938" s="443">
        <v>118392711</v>
      </c>
      <c r="H10938" s="443">
        <v>118392711</v>
      </c>
      <c r="I10938" s="422" t="s">
        <v>715</v>
      </c>
      <c r="J10938" s="484" t="s">
        <v>912</v>
      </c>
      <c r="L10938" s="539"/>
      <c r="M10938" s="539"/>
      <c r="N10938" s="601">
        <v>125202</v>
      </c>
      <c r="R10938" s="548">
        <v>615.31399999999996</v>
      </c>
      <c r="S10938" s="548">
        <v>616.099410392805</v>
      </c>
      <c r="T10938" s="549">
        <v>15.53</v>
      </c>
      <c r="U10938" s="549">
        <v>346.67</v>
      </c>
      <c r="V10938" s="549">
        <v>173.34</v>
      </c>
    </row>
    <row r="10939" spans="1:22">
      <c r="A10939" s="499">
        <v>45870</v>
      </c>
      <c r="B10939" s="499">
        <v>45873</v>
      </c>
      <c r="C10939" s="500" t="s">
        <v>173</v>
      </c>
      <c r="D10939" s="500" t="s">
        <v>762</v>
      </c>
      <c r="E10939" s="501">
        <v>39052178.75</v>
      </c>
      <c r="F10939" s="502" t="s">
        <v>878</v>
      </c>
      <c r="G10939" s="443">
        <v>118392714</v>
      </c>
      <c r="H10939" s="443">
        <v>118392714</v>
      </c>
      <c r="I10939" s="422" t="s">
        <v>693</v>
      </c>
      <c r="J10939" s="484" t="s">
        <v>912</v>
      </c>
      <c r="L10939" s="539"/>
      <c r="M10939" s="539"/>
      <c r="N10939" s="601">
        <v>50700</v>
      </c>
      <c r="R10939" s="548">
        <v>769.27800000000002</v>
      </c>
      <c r="S10939" s="548">
        <v>770.25993589743598</v>
      </c>
      <c r="T10939" s="549">
        <v>15.53</v>
      </c>
      <c r="U10939" s="549">
        <v>175.51</v>
      </c>
      <c r="V10939" s="549">
        <v>87.76</v>
      </c>
    </row>
    <row r="10940" spans="1:22">
      <c r="A10940" s="499">
        <v>45870</v>
      </c>
      <c r="B10940" s="499">
        <v>45873</v>
      </c>
      <c r="C10940" s="500" t="s">
        <v>173</v>
      </c>
      <c r="D10940" s="500" t="s">
        <v>762</v>
      </c>
      <c r="E10940" s="501">
        <v>39082713.149999999</v>
      </c>
      <c r="F10940" s="502" t="s">
        <v>878</v>
      </c>
      <c r="G10940" s="443">
        <v>118392717</v>
      </c>
      <c r="H10940" s="443">
        <v>118392717</v>
      </c>
      <c r="I10940" s="422" t="s">
        <v>590</v>
      </c>
      <c r="J10940" s="484" t="s">
        <v>912</v>
      </c>
      <c r="L10940" s="539"/>
      <c r="M10940" s="539"/>
      <c r="N10940" s="601">
        <v>41535</v>
      </c>
      <c r="R10940" s="548">
        <v>939.75900000000001</v>
      </c>
      <c r="S10940" s="548">
        <v>940.95854460093904</v>
      </c>
      <c r="T10940" s="549">
        <v>15.53</v>
      </c>
      <c r="U10940" s="549">
        <v>175.65</v>
      </c>
      <c r="V10940" s="549">
        <v>87.82</v>
      </c>
    </row>
    <row r="10941" spans="1:22">
      <c r="A10941" s="499">
        <v>45870</v>
      </c>
      <c r="B10941" s="499">
        <v>45873</v>
      </c>
      <c r="C10941" s="500" t="s">
        <v>173</v>
      </c>
      <c r="D10941" s="500" t="s">
        <v>762</v>
      </c>
      <c r="E10941" s="501">
        <v>29037501.109999999</v>
      </c>
      <c r="F10941" s="502" t="s">
        <v>878</v>
      </c>
      <c r="G10941" s="443">
        <v>118392720</v>
      </c>
      <c r="H10941" s="443">
        <v>118392720</v>
      </c>
      <c r="I10941" s="422" t="s">
        <v>823</v>
      </c>
      <c r="J10941" s="484" t="s">
        <v>912</v>
      </c>
      <c r="L10941" s="539"/>
      <c r="M10941" s="539"/>
      <c r="N10941" s="601">
        <v>28826</v>
      </c>
      <c r="R10941" s="548">
        <v>1006.053</v>
      </c>
      <c r="S10941" s="548">
        <v>1007.33716471241</v>
      </c>
      <c r="T10941" s="549">
        <v>15.53</v>
      </c>
      <c r="U10941" s="549">
        <v>130.5</v>
      </c>
      <c r="V10941" s="549">
        <v>65.25</v>
      </c>
    </row>
    <row r="10942" spans="1:22">
      <c r="A10942" s="499">
        <v>45870</v>
      </c>
      <c r="B10942" s="499">
        <v>45873</v>
      </c>
      <c r="C10942" s="500" t="s">
        <v>173</v>
      </c>
      <c r="D10942" s="500" t="s">
        <v>762</v>
      </c>
      <c r="E10942" s="501">
        <v>27060337.579999998</v>
      </c>
      <c r="F10942" s="502" t="s">
        <v>878</v>
      </c>
      <c r="G10942" s="443">
        <v>118392723</v>
      </c>
      <c r="H10942" s="443">
        <v>118392723</v>
      </c>
      <c r="I10942" s="422" t="s">
        <v>821</v>
      </c>
      <c r="J10942" s="484" t="s">
        <v>912</v>
      </c>
      <c r="L10942" s="539"/>
      <c r="M10942" s="539"/>
      <c r="N10942" s="601">
        <v>26865</v>
      </c>
      <c r="R10942" s="548">
        <v>1005.987</v>
      </c>
      <c r="S10942" s="548">
        <v>1007.27108058813</v>
      </c>
      <c r="T10942" s="549">
        <v>15.53</v>
      </c>
      <c r="U10942" s="549">
        <v>121.62</v>
      </c>
      <c r="V10942" s="549">
        <v>60.81</v>
      </c>
    </row>
    <row r="10943" spans="1:22">
      <c r="A10943" s="499">
        <v>45870</v>
      </c>
      <c r="B10943" s="499">
        <v>45873</v>
      </c>
      <c r="C10943" s="500" t="s">
        <v>173</v>
      </c>
      <c r="D10943" s="500" t="s">
        <v>762</v>
      </c>
      <c r="E10943" s="501">
        <v>26044186.780000001</v>
      </c>
      <c r="F10943" s="502" t="s">
        <v>878</v>
      </c>
      <c r="G10943" s="443">
        <v>118392726</v>
      </c>
      <c r="H10943" s="443">
        <v>118392726</v>
      </c>
      <c r="I10943" s="422" t="s">
        <v>588</v>
      </c>
      <c r="J10943" s="484" t="s">
        <v>912</v>
      </c>
      <c r="L10943" s="539"/>
      <c r="M10943" s="539"/>
      <c r="N10943" s="601">
        <v>26572</v>
      </c>
      <c r="R10943" s="548">
        <v>978.88699999999994</v>
      </c>
      <c r="S10943" s="548">
        <v>980.136488785187</v>
      </c>
      <c r="T10943" s="549">
        <v>15.53</v>
      </c>
      <c r="U10943" s="549">
        <v>117.05</v>
      </c>
      <c r="V10943" s="549">
        <v>58.52</v>
      </c>
    </row>
    <row r="10944" spans="1:22">
      <c r="A10944" s="499">
        <v>45870</v>
      </c>
      <c r="B10944" s="499">
        <v>45873</v>
      </c>
      <c r="C10944" s="500" t="s">
        <v>173</v>
      </c>
      <c r="D10944" s="500" t="s">
        <v>762</v>
      </c>
      <c r="E10944" s="501">
        <v>21037330.460000001</v>
      </c>
      <c r="F10944" s="502" t="s">
        <v>878</v>
      </c>
      <c r="G10944" s="443">
        <v>118392729</v>
      </c>
      <c r="H10944" s="443">
        <v>118392729</v>
      </c>
      <c r="I10944" s="422" t="s">
        <v>715</v>
      </c>
      <c r="J10944" s="484" t="s">
        <v>912</v>
      </c>
      <c r="L10944" s="539"/>
      <c r="M10944" s="539"/>
      <c r="N10944" s="601">
        <v>34146</v>
      </c>
      <c r="R10944" s="548">
        <v>615.31399999999996</v>
      </c>
      <c r="S10944" s="548">
        <v>616.099410179816</v>
      </c>
      <c r="T10944" s="549">
        <v>15.53</v>
      </c>
      <c r="U10944" s="549">
        <v>94.55</v>
      </c>
      <c r="V10944" s="549">
        <v>47.27</v>
      </c>
    </row>
    <row r="10945" spans="1:22">
      <c r="A10945" s="499">
        <v>45870</v>
      </c>
      <c r="B10945" s="499">
        <v>45873</v>
      </c>
      <c r="C10945" s="500" t="s">
        <v>173</v>
      </c>
      <c r="D10945" s="500" t="s">
        <v>762</v>
      </c>
      <c r="E10945" s="501">
        <v>19025623.530000001</v>
      </c>
      <c r="F10945" s="502" t="s">
        <v>878</v>
      </c>
      <c r="G10945" s="443">
        <v>118392732</v>
      </c>
      <c r="H10945" s="443">
        <v>118392732</v>
      </c>
      <c r="I10945" s="422" t="s">
        <v>550</v>
      </c>
      <c r="J10945" s="484" t="s">
        <v>912</v>
      </c>
      <c r="L10945" s="539"/>
      <c r="M10945" s="539"/>
      <c r="N10945" s="601">
        <v>34599</v>
      </c>
      <c r="R10945" s="548">
        <v>549.1884</v>
      </c>
      <c r="S10945" s="548">
        <v>549.88940518512095</v>
      </c>
      <c r="T10945" s="549">
        <v>15.53</v>
      </c>
      <c r="U10945" s="549">
        <v>85.51</v>
      </c>
      <c r="V10945" s="549">
        <v>42.75</v>
      </c>
    </row>
    <row r="10946" spans="1:22">
      <c r="A10946" s="499">
        <v>45870</v>
      </c>
      <c r="B10946" s="499">
        <v>45873</v>
      </c>
      <c r="C10946" s="500" t="s">
        <v>173</v>
      </c>
      <c r="D10946" s="500" t="s">
        <v>762</v>
      </c>
      <c r="E10946" s="501">
        <v>9011690.5</v>
      </c>
      <c r="F10946" s="502" t="s">
        <v>878</v>
      </c>
      <c r="G10946" s="443">
        <v>118392735</v>
      </c>
      <c r="H10946" s="443">
        <v>118392735</v>
      </c>
      <c r="I10946" s="422" t="s">
        <v>658</v>
      </c>
      <c r="J10946" s="484" t="s">
        <v>912</v>
      </c>
      <c r="L10946" s="539"/>
      <c r="M10946" s="539"/>
      <c r="N10946" s="601">
        <v>8883</v>
      </c>
      <c r="R10946" s="548">
        <v>1013.194</v>
      </c>
      <c r="S10946" s="548">
        <v>1014.48727907239</v>
      </c>
      <c r="T10946" s="549">
        <v>15.53</v>
      </c>
      <c r="U10946" s="549">
        <v>40.5</v>
      </c>
      <c r="V10946" s="549">
        <v>20.25</v>
      </c>
    </row>
    <row r="10947" spans="1:22">
      <c r="A10947" s="499">
        <v>45870</v>
      </c>
      <c r="B10947" s="499">
        <v>45873</v>
      </c>
      <c r="C10947" s="500" t="s">
        <v>173</v>
      </c>
      <c r="D10947" s="500" t="s">
        <v>762</v>
      </c>
      <c r="E10947" s="501">
        <v>4005391</v>
      </c>
      <c r="F10947" s="502" t="s">
        <v>878</v>
      </c>
      <c r="G10947" s="443">
        <v>118392738</v>
      </c>
      <c r="H10947" s="443">
        <v>118392738</v>
      </c>
      <c r="I10947" s="422" t="s">
        <v>673</v>
      </c>
      <c r="J10947" s="484" t="s">
        <v>912</v>
      </c>
      <c r="L10947" s="539"/>
      <c r="M10947" s="539"/>
      <c r="N10947" s="601">
        <v>4456</v>
      </c>
      <c r="R10947" s="548">
        <v>897.73</v>
      </c>
      <c r="S10947" s="548">
        <v>898.875897666068</v>
      </c>
      <c r="T10947" s="549">
        <v>15.53</v>
      </c>
      <c r="U10947" s="549">
        <v>39.32</v>
      </c>
      <c r="V10947" s="549">
        <v>9</v>
      </c>
    </row>
    <row r="10948" spans="1:22">
      <c r="A10948" s="499">
        <v>45870</v>
      </c>
      <c r="B10948" s="499">
        <v>45873</v>
      </c>
      <c r="C10948" s="500" t="s">
        <v>173</v>
      </c>
      <c r="D10948" s="500" t="s">
        <v>762</v>
      </c>
      <c r="E10948" s="501">
        <v>123214919.22</v>
      </c>
      <c r="F10948" s="502" t="s">
        <v>878</v>
      </c>
      <c r="G10948" s="443">
        <v>118392741</v>
      </c>
      <c r="H10948" s="443">
        <v>118392741</v>
      </c>
      <c r="I10948" s="422" t="s">
        <v>833</v>
      </c>
      <c r="J10948" s="484" t="s">
        <v>912</v>
      </c>
      <c r="L10948" s="539"/>
      <c r="M10948" s="539"/>
      <c r="N10948" s="601">
        <v>199629</v>
      </c>
      <c r="R10948" s="548">
        <v>616.43269999999995</v>
      </c>
      <c r="S10948" s="548">
        <v>617.21953834362705</v>
      </c>
      <c r="T10948" s="549">
        <v>15.53</v>
      </c>
      <c r="U10948" s="549">
        <v>553.76</v>
      </c>
      <c r="V10948" s="549">
        <v>276.88</v>
      </c>
    </row>
    <row r="10949" spans="1:22">
      <c r="A10949" s="499">
        <v>45870</v>
      </c>
      <c r="B10949" s="499">
        <v>45873</v>
      </c>
      <c r="C10949" s="500" t="s">
        <v>173</v>
      </c>
      <c r="D10949" s="500" t="s">
        <v>762</v>
      </c>
      <c r="E10949" s="501">
        <v>197344220.21000001</v>
      </c>
      <c r="F10949" s="502" t="s">
        <v>878</v>
      </c>
      <c r="G10949" s="443">
        <v>118392744</v>
      </c>
      <c r="H10949" s="443">
        <v>118392744</v>
      </c>
      <c r="I10949" s="422" t="s">
        <v>833</v>
      </c>
      <c r="J10949" s="484" t="s">
        <v>912</v>
      </c>
      <c r="L10949" s="539"/>
      <c r="M10949" s="539"/>
      <c r="N10949" s="601">
        <v>319731</v>
      </c>
      <c r="R10949" s="548">
        <v>616.43269999999995</v>
      </c>
      <c r="S10949" s="548">
        <v>617.21953833065902</v>
      </c>
      <c r="T10949" s="549">
        <v>15.53</v>
      </c>
      <c r="U10949" s="549">
        <v>886.92</v>
      </c>
      <c r="V10949" s="549">
        <v>443.46</v>
      </c>
    </row>
    <row r="10950" spans="1:22">
      <c r="A10950" s="499">
        <v>45870</v>
      </c>
      <c r="B10950" s="499">
        <v>45873</v>
      </c>
      <c r="C10950" s="500" t="s">
        <v>173</v>
      </c>
      <c r="D10950" s="500" t="s">
        <v>762</v>
      </c>
      <c r="E10950" s="501">
        <v>91118204</v>
      </c>
      <c r="F10950" s="502" t="s">
        <v>878</v>
      </c>
      <c r="G10950" s="443">
        <v>118392747</v>
      </c>
      <c r="H10950" s="443">
        <v>118392747</v>
      </c>
      <c r="I10950" s="422" t="s">
        <v>658</v>
      </c>
      <c r="J10950" s="484" t="s">
        <v>912</v>
      </c>
      <c r="L10950" s="539"/>
      <c r="M10950" s="539"/>
      <c r="N10950" s="601">
        <v>89817</v>
      </c>
      <c r="R10950" s="548">
        <v>1013.194</v>
      </c>
      <c r="S10950" s="548">
        <v>1014.48727969093</v>
      </c>
      <c r="T10950" s="549">
        <v>15.53</v>
      </c>
      <c r="U10950" s="549">
        <v>409.51</v>
      </c>
      <c r="V10950" s="549">
        <v>204.75</v>
      </c>
    </row>
    <row r="10951" spans="1:22">
      <c r="A10951" s="499">
        <v>45870</v>
      </c>
      <c r="B10951" s="499">
        <v>45873</v>
      </c>
      <c r="C10951" s="500" t="s">
        <v>173</v>
      </c>
      <c r="D10951" s="500" t="s">
        <v>762</v>
      </c>
      <c r="E10951" s="501">
        <v>30066987.620000001</v>
      </c>
      <c r="F10951" s="502" t="s">
        <v>878</v>
      </c>
      <c r="G10951" s="443">
        <v>118392750</v>
      </c>
      <c r="H10951" s="443">
        <v>118392750</v>
      </c>
      <c r="I10951" s="422" t="s">
        <v>656</v>
      </c>
      <c r="J10951" s="484" t="s">
        <v>912</v>
      </c>
      <c r="L10951" s="539"/>
      <c r="M10951" s="539"/>
      <c r="N10951" s="601">
        <v>29190</v>
      </c>
      <c r="R10951" s="548">
        <v>1028.731</v>
      </c>
      <c r="S10951" s="548">
        <v>1030.04411168208</v>
      </c>
      <c r="T10951" s="549">
        <v>15.53</v>
      </c>
      <c r="U10951" s="549">
        <v>135.13</v>
      </c>
      <c r="V10951" s="549">
        <v>67.56</v>
      </c>
    </row>
    <row r="10952" spans="1:22">
      <c r="A10952" s="499">
        <v>45870</v>
      </c>
      <c r="B10952" s="499">
        <v>45873</v>
      </c>
      <c r="C10952" s="500" t="s">
        <v>173</v>
      </c>
      <c r="D10952" s="500" t="s">
        <v>762</v>
      </c>
      <c r="E10952" s="501">
        <v>96203601.579999998</v>
      </c>
      <c r="F10952" s="502" t="s">
        <v>878</v>
      </c>
      <c r="G10952" s="443">
        <v>118392753</v>
      </c>
      <c r="H10952" s="443">
        <v>118392753</v>
      </c>
      <c r="I10952" s="422" t="s">
        <v>590</v>
      </c>
      <c r="J10952" s="484" t="s">
        <v>912</v>
      </c>
      <c r="L10952" s="539"/>
      <c r="M10952" s="539"/>
      <c r="N10952" s="601">
        <v>102240</v>
      </c>
      <c r="R10952" s="548">
        <v>939.75900000000001</v>
      </c>
      <c r="S10952" s="548">
        <v>940.95854440532105</v>
      </c>
      <c r="T10952" s="549">
        <v>15.53</v>
      </c>
      <c r="U10952" s="549">
        <v>432.36</v>
      </c>
      <c r="V10952" s="549">
        <v>216.18</v>
      </c>
    </row>
    <row r="10953" spans="1:22">
      <c r="A10953" s="499">
        <v>45870</v>
      </c>
      <c r="B10953" s="499">
        <v>45873</v>
      </c>
      <c r="C10953" s="500" t="s">
        <v>173</v>
      </c>
      <c r="D10953" s="500" t="s">
        <v>762</v>
      </c>
      <c r="E10953" s="501">
        <v>34072108.890000001</v>
      </c>
      <c r="F10953" s="502" t="s">
        <v>878</v>
      </c>
      <c r="G10953" s="443">
        <v>118392756</v>
      </c>
      <c r="H10953" s="443">
        <v>118392756</v>
      </c>
      <c r="I10953" s="422" t="s">
        <v>590</v>
      </c>
      <c r="J10953" s="484" t="s">
        <v>912</v>
      </c>
      <c r="L10953" s="539"/>
      <c r="M10953" s="539"/>
      <c r="N10953" s="601">
        <v>36210</v>
      </c>
      <c r="R10953" s="548">
        <v>939.75900000000001</v>
      </c>
      <c r="S10953" s="548">
        <v>940.95854432477199</v>
      </c>
      <c r="T10953" s="549">
        <v>15.53</v>
      </c>
      <c r="U10953" s="549">
        <v>153.13</v>
      </c>
      <c r="V10953" s="549">
        <v>76.56</v>
      </c>
    </row>
    <row r="10954" spans="1:22">
      <c r="A10954" s="499">
        <v>45870</v>
      </c>
      <c r="B10954" s="499">
        <v>45873</v>
      </c>
      <c r="C10954" s="500" t="s">
        <v>173</v>
      </c>
      <c r="D10954" s="500" t="s">
        <v>762</v>
      </c>
      <c r="E10954" s="501">
        <v>131197665.87</v>
      </c>
      <c r="F10954" s="502" t="s">
        <v>878</v>
      </c>
      <c r="G10954" s="443">
        <v>118392759</v>
      </c>
      <c r="H10954" s="443">
        <v>118392759</v>
      </c>
      <c r="I10954" s="422" t="s">
        <v>687</v>
      </c>
      <c r="J10954" s="484" t="s">
        <v>912</v>
      </c>
      <c r="L10954" s="539"/>
      <c r="M10954" s="539"/>
      <c r="N10954" s="601">
        <v>159689</v>
      </c>
      <c r="R10954" s="548">
        <v>820.53499999999997</v>
      </c>
      <c r="S10954" s="548">
        <v>821.58236240442398</v>
      </c>
      <c r="T10954" s="549">
        <v>15.53</v>
      </c>
      <c r="U10954" s="549">
        <v>589.64</v>
      </c>
      <c r="V10954" s="549">
        <v>294.82</v>
      </c>
    </row>
    <row r="10955" spans="1:22">
      <c r="A10955" s="499">
        <v>45870</v>
      </c>
      <c r="B10955" s="499">
        <v>45873</v>
      </c>
      <c r="C10955" s="500" t="s">
        <v>173</v>
      </c>
      <c r="D10955" s="500" t="s">
        <v>762</v>
      </c>
      <c r="E10955" s="501">
        <v>499636582.43000001</v>
      </c>
      <c r="F10955" s="502" t="s">
        <v>878</v>
      </c>
      <c r="G10955" s="443">
        <v>118392762</v>
      </c>
      <c r="H10955" s="443">
        <v>118392762</v>
      </c>
      <c r="I10955" s="422" t="s">
        <v>811</v>
      </c>
      <c r="J10955" s="484" t="s">
        <v>912</v>
      </c>
      <c r="L10955" s="539"/>
      <c r="M10955" s="539"/>
      <c r="N10955" s="601">
        <v>491819889</v>
      </c>
      <c r="R10955" s="548">
        <v>1.0145999999999999</v>
      </c>
      <c r="S10955" s="548">
        <v>1.01589340651899</v>
      </c>
      <c r="T10955" s="549">
        <v>15.51</v>
      </c>
      <c r="U10955" s="549">
        <v>2245.5</v>
      </c>
      <c r="V10955" s="549">
        <v>1122.75</v>
      </c>
    </row>
    <row r="10956" spans="1:22">
      <c r="A10956" s="499">
        <v>45870</v>
      </c>
      <c r="B10956" s="499">
        <v>45873</v>
      </c>
      <c r="C10956" s="500" t="s">
        <v>173</v>
      </c>
      <c r="D10956" s="500" t="s">
        <v>762</v>
      </c>
      <c r="E10956" s="501">
        <v>385804724.17000002</v>
      </c>
      <c r="F10956" s="502" t="s">
        <v>878</v>
      </c>
      <c r="G10956" s="443">
        <v>118392765</v>
      </c>
      <c r="H10956" s="443">
        <v>118392765</v>
      </c>
      <c r="I10956" s="422" t="s">
        <v>678</v>
      </c>
      <c r="J10956" s="484" t="s">
        <v>912</v>
      </c>
      <c r="L10956" s="539"/>
      <c r="M10956" s="539"/>
      <c r="N10956" s="601">
        <v>409640</v>
      </c>
      <c r="R10956" s="548">
        <v>940.61500000000001</v>
      </c>
      <c r="S10956" s="548">
        <v>941.81409083585595</v>
      </c>
      <c r="T10956" s="549">
        <v>15.51</v>
      </c>
      <c r="U10956" s="549">
        <v>1733.91</v>
      </c>
      <c r="V10956" s="549">
        <v>866.96</v>
      </c>
    </row>
    <row r="10957" spans="1:22">
      <c r="A10957" s="499">
        <v>45870</v>
      </c>
      <c r="B10957" s="499">
        <v>45873</v>
      </c>
      <c r="C10957" s="500" t="s">
        <v>173</v>
      </c>
      <c r="D10957" s="500" t="s">
        <v>762</v>
      </c>
      <c r="E10957" s="501">
        <v>385804724.17000002</v>
      </c>
      <c r="F10957" s="502" t="s">
        <v>878</v>
      </c>
      <c r="G10957" s="443">
        <v>118392768</v>
      </c>
      <c r="H10957" s="443">
        <v>118392768</v>
      </c>
      <c r="I10957" s="422" t="s">
        <v>678</v>
      </c>
      <c r="J10957" s="484" t="s">
        <v>912</v>
      </c>
      <c r="L10957" s="539"/>
      <c r="M10957" s="539"/>
      <c r="N10957" s="601">
        <v>409640</v>
      </c>
      <c r="R10957" s="548">
        <v>940.61500000000001</v>
      </c>
      <c r="S10957" s="548">
        <v>941.81409083585595</v>
      </c>
      <c r="T10957" s="549">
        <v>15.51</v>
      </c>
      <c r="U10957" s="549">
        <v>1733.91</v>
      </c>
      <c r="V10957" s="549">
        <v>866.96</v>
      </c>
    </row>
    <row r="10958" spans="1:22">
      <c r="A10958" s="499">
        <v>45870</v>
      </c>
      <c r="B10958" s="499">
        <v>45873</v>
      </c>
      <c r="C10958" s="500" t="s">
        <v>173</v>
      </c>
      <c r="D10958" s="500" t="s">
        <v>762</v>
      </c>
      <c r="E10958" s="501">
        <v>96162630.560000002</v>
      </c>
      <c r="F10958" s="502" t="s">
        <v>878</v>
      </c>
      <c r="G10958" s="443">
        <v>118392771</v>
      </c>
      <c r="H10958" s="443">
        <v>118392771</v>
      </c>
      <c r="I10958" s="422" t="s">
        <v>700</v>
      </c>
      <c r="J10958" s="484" t="s">
        <v>912</v>
      </c>
      <c r="L10958" s="539"/>
      <c r="M10958" s="539"/>
      <c r="N10958" s="601">
        <v>106368</v>
      </c>
      <c r="R10958" s="548">
        <v>902.90499999999997</v>
      </c>
      <c r="S10958" s="548">
        <v>904.05601835138395</v>
      </c>
      <c r="T10958" s="549">
        <v>15.51</v>
      </c>
      <c r="U10958" s="549">
        <v>432.18</v>
      </c>
      <c r="V10958" s="549">
        <v>216.09</v>
      </c>
    </row>
    <row r="10959" spans="1:22">
      <c r="A10959" s="499">
        <v>45870</v>
      </c>
      <c r="B10959" s="499">
        <v>45873</v>
      </c>
      <c r="C10959" s="500" t="s">
        <v>173</v>
      </c>
      <c r="D10959" s="500" t="s">
        <v>762</v>
      </c>
      <c r="E10959" s="501">
        <v>415867091.99000001</v>
      </c>
      <c r="F10959" s="502" t="s">
        <v>878</v>
      </c>
      <c r="G10959" s="443">
        <v>118392774</v>
      </c>
      <c r="H10959" s="443">
        <v>118392774</v>
      </c>
      <c r="I10959" s="422" t="s">
        <v>678</v>
      </c>
      <c r="J10959" s="484" t="s">
        <v>912</v>
      </c>
      <c r="L10959" s="539"/>
      <c r="M10959" s="539"/>
      <c r="N10959" s="601">
        <v>441560</v>
      </c>
      <c r="R10959" s="548">
        <v>940.61500000000001</v>
      </c>
      <c r="S10959" s="548">
        <v>941.81332545973396</v>
      </c>
      <c r="T10959" s="549">
        <v>15.5001</v>
      </c>
      <c r="U10959" s="549">
        <v>1869.02</v>
      </c>
      <c r="V10959" s="549">
        <v>934.51</v>
      </c>
    </row>
    <row r="10960" spans="1:22">
      <c r="A10960" s="499">
        <v>45870</v>
      </c>
      <c r="B10960" s="499">
        <v>45873</v>
      </c>
      <c r="C10960" s="500" t="s">
        <v>173</v>
      </c>
      <c r="D10960" s="500" t="s">
        <v>762</v>
      </c>
      <c r="E10960" s="501">
        <v>17026869.98</v>
      </c>
      <c r="F10960" s="502" t="s">
        <v>878</v>
      </c>
      <c r="G10960" s="443">
        <v>118399475</v>
      </c>
      <c r="H10960" s="443">
        <v>118399475</v>
      </c>
      <c r="I10960" s="422" t="s">
        <v>706</v>
      </c>
      <c r="J10960" s="484" t="s">
        <v>912</v>
      </c>
      <c r="L10960" s="539"/>
      <c r="M10960" s="539"/>
      <c r="N10960" s="601">
        <v>22168</v>
      </c>
      <c r="R10960" s="548">
        <v>767.10599999999999</v>
      </c>
      <c r="S10960" s="548">
        <v>768.08327228437395</v>
      </c>
      <c r="T10960" s="549">
        <v>15.5</v>
      </c>
      <c r="U10960" s="549">
        <v>76.52</v>
      </c>
      <c r="V10960" s="549">
        <v>38.26</v>
      </c>
    </row>
    <row r="10961" spans="1:22">
      <c r="A10961" s="499">
        <v>45870</v>
      </c>
      <c r="B10961" s="499">
        <v>45870</v>
      </c>
      <c r="C10961" s="500" t="s">
        <v>173</v>
      </c>
      <c r="D10961" s="500" t="s">
        <v>759</v>
      </c>
      <c r="E10961" s="501">
        <v>-1992000433.46</v>
      </c>
      <c r="F10961" s="502" t="s">
        <v>878</v>
      </c>
      <c r="G10961" s="443">
        <v>118389395</v>
      </c>
      <c r="H10961" s="530"/>
      <c r="I10961" s="422" t="s">
        <v>807</v>
      </c>
      <c r="J10961" s="530" t="s">
        <v>906</v>
      </c>
      <c r="L10961" s="539"/>
      <c r="M10961" s="539"/>
      <c r="N10961" s="601">
        <v>1862727168</v>
      </c>
      <c r="R10961" s="548">
        <v>1.0694000000004296</v>
      </c>
      <c r="S10961" s="548">
        <v>1.0707711846826899</v>
      </c>
      <c r="T10961" s="549">
        <v>15.600099999999999</v>
      </c>
      <c r="U10961" s="549">
        <v>8964</v>
      </c>
      <c r="V10961" s="549">
        <v>4482</v>
      </c>
    </row>
    <row r="10962" spans="1:22">
      <c r="A10962" s="499">
        <v>45870</v>
      </c>
      <c r="B10962" s="499">
        <v>45870</v>
      </c>
      <c r="C10962" s="500" t="s">
        <v>173</v>
      </c>
      <c r="D10962" s="500" t="s">
        <v>759</v>
      </c>
      <c r="E10962" s="501">
        <v>-12002470.58</v>
      </c>
      <c r="F10962" s="502" t="s">
        <v>878</v>
      </c>
      <c r="G10962" s="443">
        <v>118393227</v>
      </c>
      <c r="H10962" s="530"/>
      <c r="I10962" s="422" t="s">
        <v>719</v>
      </c>
      <c r="J10962" s="530" t="s">
        <v>906</v>
      </c>
      <c r="L10962" s="539"/>
      <c r="M10962" s="539"/>
      <c r="N10962" s="601">
        <v>18276</v>
      </c>
      <c r="R10962" s="548">
        <v>656.73399978113378</v>
      </c>
      <c r="S10962" s="548">
        <v>657.57066097614404</v>
      </c>
      <c r="T10962" s="549">
        <v>15.5</v>
      </c>
      <c r="U10962" s="549">
        <v>54.01</v>
      </c>
      <c r="V10962" s="549">
        <v>27.01</v>
      </c>
    </row>
    <row r="10963" spans="1:22">
      <c r="A10963" s="499">
        <v>45870</v>
      </c>
      <c r="B10963" s="499">
        <v>45873</v>
      </c>
      <c r="C10963" s="500" t="s">
        <v>173</v>
      </c>
      <c r="D10963" s="500" t="s">
        <v>759</v>
      </c>
      <c r="E10963" s="501">
        <v>1994554576.4200001</v>
      </c>
      <c r="F10963" s="502" t="s">
        <v>878</v>
      </c>
      <c r="G10963" s="443">
        <v>118389395</v>
      </c>
      <c r="H10963" s="443">
        <v>118389395</v>
      </c>
      <c r="I10963" s="422" t="s">
        <v>807</v>
      </c>
      <c r="J10963" s="484" t="s">
        <v>912</v>
      </c>
      <c r="L10963" s="539"/>
      <c r="M10963" s="539"/>
      <c r="N10963" s="601">
        <v>1862727168</v>
      </c>
      <c r="R10963" s="548">
        <v>1.0694000000004296</v>
      </c>
      <c r="S10963" s="548">
        <v>1.0707711846826899</v>
      </c>
      <c r="T10963" s="549">
        <v>15.600099999999999</v>
      </c>
      <c r="U10963" s="549">
        <v>8964</v>
      </c>
      <c r="V10963" s="549">
        <v>4482</v>
      </c>
    </row>
    <row r="10964" spans="1:22">
      <c r="A10964" s="499">
        <v>45870</v>
      </c>
      <c r="B10964" s="499">
        <v>45873</v>
      </c>
      <c r="C10964" s="500" t="s">
        <v>173</v>
      </c>
      <c r="D10964" s="500" t="s">
        <v>759</v>
      </c>
      <c r="E10964" s="501">
        <v>12017761.4</v>
      </c>
      <c r="F10964" s="502" t="s">
        <v>878</v>
      </c>
      <c r="G10964" s="443">
        <v>118393227</v>
      </c>
      <c r="H10964" s="443">
        <v>118393227</v>
      </c>
      <c r="I10964" s="422" t="s">
        <v>719</v>
      </c>
      <c r="J10964" s="484" t="s">
        <v>912</v>
      </c>
      <c r="L10964" s="539"/>
      <c r="M10964" s="539"/>
      <c r="N10964" s="601">
        <v>18276</v>
      </c>
      <c r="R10964" s="548">
        <v>656.73399978113378</v>
      </c>
      <c r="S10964" s="548">
        <v>657.57066097614404</v>
      </c>
      <c r="T10964" s="549">
        <v>15.5</v>
      </c>
      <c r="U10964" s="549">
        <v>54.01</v>
      </c>
      <c r="V10964" s="549">
        <v>27.01</v>
      </c>
    </row>
    <row r="10965" spans="1:22">
      <c r="A10965" s="499">
        <v>45870</v>
      </c>
      <c r="B10965" s="499">
        <v>45870</v>
      </c>
      <c r="C10965" s="500" t="s">
        <v>173</v>
      </c>
      <c r="D10965" s="500" t="s">
        <v>761</v>
      </c>
      <c r="E10965" s="501">
        <v>-1780002828.4200001</v>
      </c>
      <c r="F10965" s="502" t="s">
        <v>878</v>
      </c>
      <c r="G10965" s="443">
        <v>118388979</v>
      </c>
      <c r="H10965" s="530"/>
      <c r="I10965" s="422" t="s">
        <v>2556</v>
      </c>
      <c r="J10965" s="530" t="s">
        <v>906</v>
      </c>
      <c r="L10965" s="539"/>
      <c r="M10965" s="539"/>
      <c r="N10965" s="601">
        <v>20096200</v>
      </c>
      <c r="R10965" s="548">
        <v>88.574100000000001</v>
      </c>
      <c r="S10965" s="548">
        <v>88.687741783521304</v>
      </c>
      <c r="T10965" s="549">
        <v>15.61</v>
      </c>
      <c r="U10965" s="549">
        <v>8010.01</v>
      </c>
      <c r="V10965" s="549">
        <v>4005.01</v>
      </c>
    </row>
    <row r="10966" spans="1:22">
      <c r="A10966" s="499">
        <v>45870</v>
      </c>
      <c r="B10966" s="499">
        <v>45870</v>
      </c>
      <c r="C10966" s="500" t="s">
        <v>173</v>
      </c>
      <c r="D10966" s="500" t="s">
        <v>761</v>
      </c>
      <c r="E10966" s="501">
        <v>-11000017.48</v>
      </c>
      <c r="F10966" s="502" t="s">
        <v>878</v>
      </c>
      <c r="G10966" s="443">
        <v>118388995</v>
      </c>
      <c r="H10966" s="530"/>
      <c r="I10966" s="422" t="s">
        <v>2556</v>
      </c>
      <c r="J10966" s="530" t="s">
        <v>906</v>
      </c>
      <c r="L10966" s="539"/>
      <c r="M10966" s="539"/>
      <c r="N10966" s="601">
        <v>124190</v>
      </c>
      <c r="R10966" s="548">
        <v>88.574100008052184</v>
      </c>
      <c r="S10966" s="548">
        <v>88.687741766647903</v>
      </c>
      <c r="T10966" s="549">
        <v>15.61</v>
      </c>
      <c r="U10966" s="549">
        <v>49.5</v>
      </c>
      <c r="V10966" s="549">
        <v>24.75</v>
      </c>
    </row>
    <row r="10967" spans="1:22">
      <c r="A10967" s="499">
        <v>45870</v>
      </c>
      <c r="B10967" s="499">
        <v>45873</v>
      </c>
      <c r="C10967" s="500" t="s">
        <v>173</v>
      </c>
      <c r="D10967" s="500" t="s">
        <v>761</v>
      </c>
      <c r="E10967" s="501">
        <v>1782286596.4300001</v>
      </c>
      <c r="F10967" s="502" t="s">
        <v>878</v>
      </c>
      <c r="G10967" s="443">
        <v>118388979</v>
      </c>
      <c r="H10967" s="443">
        <v>118388979</v>
      </c>
      <c r="I10967" s="422" t="s">
        <v>2556</v>
      </c>
      <c r="J10967" s="484" t="s">
        <v>912</v>
      </c>
      <c r="L10967" s="539"/>
      <c r="M10967" s="539"/>
      <c r="N10967" s="601">
        <v>20096200</v>
      </c>
      <c r="R10967" s="548">
        <v>88.574100000000001</v>
      </c>
      <c r="S10967" s="548">
        <v>88.687741783521304</v>
      </c>
      <c r="T10967" s="549">
        <v>15.61</v>
      </c>
      <c r="U10967" s="549">
        <v>8010.01</v>
      </c>
      <c r="V10967" s="549">
        <v>4005.01</v>
      </c>
    </row>
    <row r="10968" spans="1:22">
      <c r="A10968" s="499">
        <v>45870</v>
      </c>
      <c r="B10968" s="499">
        <v>45873</v>
      </c>
      <c r="C10968" s="500" t="s">
        <v>173</v>
      </c>
      <c r="D10968" s="500" t="s">
        <v>761</v>
      </c>
      <c r="E10968" s="501">
        <v>11014130.65</v>
      </c>
      <c r="F10968" s="502" t="s">
        <v>878</v>
      </c>
      <c r="G10968" s="443">
        <v>118388995</v>
      </c>
      <c r="H10968" s="443">
        <v>118388995</v>
      </c>
      <c r="I10968" s="422" t="s">
        <v>2556</v>
      </c>
      <c r="J10968" s="484" t="s">
        <v>912</v>
      </c>
      <c r="L10968" s="539"/>
      <c r="M10968" s="539"/>
      <c r="N10968" s="601">
        <v>124190</v>
      </c>
      <c r="R10968" s="548">
        <v>88.574100008052184</v>
      </c>
      <c r="S10968" s="548">
        <v>88.687741766647903</v>
      </c>
      <c r="T10968" s="549">
        <v>15.61</v>
      </c>
      <c r="U10968" s="549">
        <v>49.5</v>
      </c>
      <c r="V10968" s="549">
        <v>24.75</v>
      </c>
    </row>
    <row r="10969" spans="1:22">
      <c r="A10969" s="499">
        <v>45870</v>
      </c>
      <c r="B10969" s="499">
        <v>45870</v>
      </c>
      <c r="C10969" s="500" t="s">
        <v>173</v>
      </c>
      <c r="D10969" s="500" t="s">
        <v>760</v>
      </c>
      <c r="E10969" s="501">
        <v>-225084729.59999999</v>
      </c>
      <c r="F10969" s="502" t="s">
        <v>878</v>
      </c>
      <c r="G10969" s="443">
        <v>118389937</v>
      </c>
      <c r="H10969" s="530"/>
      <c r="I10969" s="422" t="s">
        <v>604</v>
      </c>
      <c r="J10969" s="530" t="s">
        <v>906</v>
      </c>
      <c r="L10969" s="539"/>
      <c r="M10969" s="539"/>
      <c r="N10969" s="601">
        <v>219600</v>
      </c>
      <c r="R10969" s="548">
        <v>1024.9760000000001</v>
      </c>
      <c r="S10969" s="548">
        <v>1026.2843186703101</v>
      </c>
      <c r="T10969" s="549">
        <v>15.53</v>
      </c>
      <c r="U10969" s="549">
        <v>1012.88</v>
      </c>
      <c r="V10969" s="549">
        <v>506.44</v>
      </c>
    </row>
    <row r="10970" spans="1:22">
      <c r="A10970" s="499">
        <v>45870</v>
      </c>
      <c r="B10970" s="499">
        <v>45870</v>
      </c>
      <c r="C10970" s="500" t="s">
        <v>173</v>
      </c>
      <c r="D10970" s="500" t="s">
        <v>760</v>
      </c>
      <c r="E10970" s="501">
        <v>-1300029221.4000001</v>
      </c>
      <c r="F10970" s="502" t="s">
        <v>878</v>
      </c>
      <c r="G10970" s="443">
        <v>118389180</v>
      </c>
      <c r="H10970" s="530"/>
      <c r="I10970" s="422" t="s">
        <v>658</v>
      </c>
      <c r="J10970" s="530" t="s">
        <v>906</v>
      </c>
      <c r="L10970" s="539"/>
      <c r="M10970" s="539"/>
      <c r="N10970" s="601">
        <v>1283100</v>
      </c>
      <c r="R10970" s="548">
        <v>1013.194</v>
      </c>
      <c r="S10970" s="548">
        <v>1014.49477454602</v>
      </c>
      <c r="T10970" s="549">
        <v>15.62</v>
      </c>
      <c r="U10970" s="549">
        <v>5850.13</v>
      </c>
      <c r="V10970" s="549">
        <v>2925.07</v>
      </c>
    </row>
    <row r="10971" spans="1:22">
      <c r="A10971" s="499">
        <v>45870</v>
      </c>
      <c r="B10971" s="499">
        <v>45870</v>
      </c>
      <c r="C10971" s="500" t="s">
        <v>173</v>
      </c>
      <c r="D10971" s="500" t="s">
        <v>760</v>
      </c>
      <c r="E10971" s="501">
        <v>-506011373.87</v>
      </c>
      <c r="F10971" s="502" t="s">
        <v>878</v>
      </c>
      <c r="G10971" s="443">
        <v>118389940</v>
      </c>
      <c r="H10971" s="530"/>
      <c r="I10971" s="422" t="s">
        <v>658</v>
      </c>
      <c r="J10971" s="530" t="s">
        <v>906</v>
      </c>
      <c r="L10971" s="539"/>
      <c r="M10971" s="539"/>
      <c r="N10971" s="601">
        <v>499422</v>
      </c>
      <c r="R10971" s="548">
        <v>1013.194</v>
      </c>
      <c r="S10971" s="548">
        <v>1014.48727969533</v>
      </c>
      <c r="T10971" s="549">
        <v>15.53</v>
      </c>
      <c r="U10971" s="549">
        <v>2277.0500000000002</v>
      </c>
      <c r="V10971" s="549">
        <v>1138.53</v>
      </c>
    </row>
    <row r="10972" spans="1:22">
      <c r="A10972" s="499">
        <v>45870</v>
      </c>
      <c r="B10972" s="499">
        <v>45870</v>
      </c>
      <c r="C10972" s="500" t="s">
        <v>173</v>
      </c>
      <c r="D10972" s="500" t="s">
        <v>760</v>
      </c>
      <c r="E10972" s="501">
        <v>-5000501.6399999997</v>
      </c>
      <c r="F10972" s="502" t="s">
        <v>878</v>
      </c>
      <c r="G10972" s="443">
        <v>118389990</v>
      </c>
      <c r="H10972" s="530"/>
      <c r="I10972" s="422" t="s">
        <v>690</v>
      </c>
      <c r="J10972" s="530" t="s">
        <v>906</v>
      </c>
      <c r="L10972" s="539"/>
      <c r="M10972" s="539"/>
      <c r="N10972" s="601">
        <v>5835</v>
      </c>
      <c r="R10972" s="548">
        <v>856.98400000000004</v>
      </c>
      <c r="S10972" s="548">
        <v>858.07788688946005</v>
      </c>
      <c r="T10972" s="549">
        <v>15.53</v>
      </c>
      <c r="U10972" s="549">
        <v>39.32</v>
      </c>
      <c r="V10972" s="549">
        <v>11.25</v>
      </c>
    </row>
    <row r="10973" spans="1:22">
      <c r="A10973" s="499">
        <v>45870</v>
      </c>
      <c r="B10973" s="499">
        <v>45870</v>
      </c>
      <c r="C10973" s="500" t="s">
        <v>173</v>
      </c>
      <c r="D10973" s="500" t="s">
        <v>760</v>
      </c>
      <c r="E10973" s="501">
        <v>-158059151.25</v>
      </c>
      <c r="F10973" s="502" t="s">
        <v>878</v>
      </c>
      <c r="G10973" s="443">
        <v>118389943</v>
      </c>
      <c r="H10973" s="530"/>
      <c r="I10973" s="422" t="s">
        <v>692</v>
      </c>
      <c r="J10973" s="530" t="s">
        <v>906</v>
      </c>
      <c r="L10973" s="539"/>
      <c r="M10973" s="539"/>
      <c r="N10973" s="601">
        <v>215670</v>
      </c>
      <c r="R10973" s="548">
        <v>732.875</v>
      </c>
      <c r="S10973" s="548">
        <v>733.81046974544404</v>
      </c>
      <c r="T10973" s="549">
        <v>15.53</v>
      </c>
      <c r="U10973" s="549">
        <v>711.27</v>
      </c>
      <c r="V10973" s="549">
        <v>355.63</v>
      </c>
    </row>
    <row r="10974" spans="1:22">
      <c r="A10974" s="499">
        <v>45870</v>
      </c>
      <c r="B10974" s="499">
        <v>45873</v>
      </c>
      <c r="C10974" s="500" t="s">
        <v>173</v>
      </c>
      <c r="D10974" s="500" t="s">
        <v>760</v>
      </c>
      <c r="E10974" s="501">
        <v>225372036.38</v>
      </c>
      <c r="F10974" s="502" t="s">
        <v>878</v>
      </c>
      <c r="G10974" s="443">
        <v>118389937</v>
      </c>
      <c r="H10974" s="443">
        <v>118389937</v>
      </c>
      <c r="I10974" s="422" t="s">
        <v>604</v>
      </c>
      <c r="J10974" s="484" t="s">
        <v>912</v>
      </c>
      <c r="L10974" s="539"/>
      <c r="M10974" s="539"/>
      <c r="N10974" s="601">
        <v>219600</v>
      </c>
      <c r="R10974" s="548">
        <v>1024.9760000000001</v>
      </c>
      <c r="S10974" s="548">
        <v>1026.2843186703101</v>
      </c>
      <c r="T10974" s="549">
        <v>15.53</v>
      </c>
      <c r="U10974" s="549">
        <v>1012.88</v>
      </c>
      <c r="V10974" s="549">
        <v>506.44</v>
      </c>
    </row>
    <row r="10975" spans="1:22">
      <c r="A10975" s="499">
        <v>45870</v>
      </c>
      <c r="B10975" s="499">
        <v>45873</v>
      </c>
      <c r="C10975" s="500" t="s">
        <v>173</v>
      </c>
      <c r="D10975" s="500" t="s">
        <v>760</v>
      </c>
      <c r="E10975" s="501">
        <v>1301698245.22</v>
      </c>
      <c r="F10975" s="502" t="s">
        <v>878</v>
      </c>
      <c r="G10975" s="443">
        <v>118389180</v>
      </c>
      <c r="H10975" s="443">
        <v>118389180</v>
      </c>
      <c r="I10975" s="422" t="s">
        <v>658</v>
      </c>
      <c r="J10975" s="484" t="s">
        <v>912</v>
      </c>
      <c r="L10975" s="539"/>
      <c r="M10975" s="539"/>
      <c r="N10975" s="601">
        <v>1283100</v>
      </c>
      <c r="R10975" s="548">
        <v>1013.194</v>
      </c>
      <c r="S10975" s="548">
        <v>1014.49477454602</v>
      </c>
      <c r="T10975" s="549">
        <v>15.62</v>
      </c>
      <c r="U10975" s="549">
        <v>5850.13</v>
      </c>
      <c r="V10975" s="549">
        <v>2925.07</v>
      </c>
    </row>
    <row r="10976" spans="1:22">
      <c r="A10976" s="499">
        <v>45870</v>
      </c>
      <c r="B10976" s="499">
        <v>45873</v>
      </c>
      <c r="C10976" s="500" t="s">
        <v>173</v>
      </c>
      <c r="D10976" s="500" t="s">
        <v>760</v>
      </c>
      <c r="E10976" s="501">
        <v>506657266.19999999</v>
      </c>
      <c r="F10976" s="502" t="s">
        <v>878</v>
      </c>
      <c r="G10976" s="443">
        <v>118389940</v>
      </c>
      <c r="H10976" s="443">
        <v>118389940</v>
      </c>
      <c r="I10976" s="422" t="s">
        <v>658</v>
      </c>
      <c r="J10976" s="484" t="s">
        <v>912</v>
      </c>
      <c r="L10976" s="539"/>
      <c r="M10976" s="539"/>
      <c r="N10976" s="601">
        <v>499422</v>
      </c>
      <c r="R10976" s="548">
        <v>1013.194</v>
      </c>
      <c r="S10976" s="548">
        <v>1014.48727969533</v>
      </c>
      <c r="T10976" s="549">
        <v>15.53</v>
      </c>
      <c r="U10976" s="549">
        <v>2277.0500000000002</v>
      </c>
      <c r="V10976" s="549">
        <v>1138.53</v>
      </c>
    </row>
    <row r="10977" spans="1:22">
      <c r="A10977" s="499">
        <v>45870</v>
      </c>
      <c r="B10977" s="499">
        <v>45873</v>
      </c>
      <c r="C10977" s="500" t="s">
        <v>173</v>
      </c>
      <c r="D10977" s="500" t="s">
        <v>760</v>
      </c>
      <c r="E10977" s="501">
        <v>5006884.47</v>
      </c>
      <c r="F10977" s="502" t="s">
        <v>878</v>
      </c>
      <c r="G10977" s="443">
        <v>118389990</v>
      </c>
      <c r="H10977" s="443">
        <v>118389990</v>
      </c>
      <c r="I10977" s="422" t="s">
        <v>690</v>
      </c>
      <c r="J10977" s="484" t="s">
        <v>912</v>
      </c>
      <c r="L10977" s="539"/>
      <c r="M10977" s="539"/>
      <c r="N10977" s="601">
        <v>5835</v>
      </c>
      <c r="R10977" s="548">
        <v>856.98400000000004</v>
      </c>
      <c r="S10977" s="548">
        <v>858.07788688946005</v>
      </c>
      <c r="T10977" s="549">
        <v>15.53</v>
      </c>
      <c r="U10977" s="549">
        <v>39.32</v>
      </c>
      <c r="V10977" s="549">
        <v>11.25</v>
      </c>
    </row>
    <row r="10978" spans="1:22">
      <c r="A10978" s="499">
        <v>45870</v>
      </c>
      <c r="B10978" s="499">
        <v>45873</v>
      </c>
      <c r="C10978" s="500" t="s">
        <v>173</v>
      </c>
      <c r="D10978" s="500" t="s">
        <v>760</v>
      </c>
      <c r="E10978" s="501">
        <v>158260904.00999999</v>
      </c>
      <c r="F10978" s="502" t="s">
        <v>878</v>
      </c>
      <c r="G10978" s="443">
        <v>118389943</v>
      </c>
      <c r="H10978" s="443">
        <v>118389943</v>
      </c>
      <c r="I10978" s="422" t="s">
        <v>692</v>
      </c>
      <c r="J10978" s="484" t="s">
        <v>912</v>
      </c>
      <c r="L10978" s="539"/>
      <c r="M10978" s="539"/>
      <c r="N10978" s="601">
        <v>215670</v>
      </c>
      <c r="R10978" s="548">
        <v>732.875</v>
      </c>
      <c r="S10978" s="548">
        <v>733.81046974544404</v>
      </c>
      <c r="T10978" s="549">
        <v>15.53</v>
      </c>
      <c r="U10978" s="549">
        <v>711.27</v>
      </c>
      <c r="V10978" s="549">
        <v>355.63</v>
      </c>
    </row>
    <row r="10979" spans="1:22">
      <c r="A10979" s="499">
        <v>45870</v>
      </c>
      <c r="B10979" s="499">
        <v>45870</v>
      </c>
      <c r="C10979" s="500" t="s">
        <v>173</v>
      </c>
      <c r="D10979" s="500" t="s">
        <v>763</v>
      </c>
      <c r="E10979" s="501">
        <v>-3589038840.04</v>
      </c>
      <c r="F10979" s="502" t="s">
        <v>878</v>
      </c>
      <c r="G10979" s="443">
        <v>118389788</v>
      </c>
      <c r="H10979" s="530"/>
      <c r="I10979" s="422" t="s">
        <v>674</v>
      </c>
      <c r="J10979" s="530" t="s">
        <v>906</v>
      </c>
      <c r="L10979" s="539"/>
      <c r="M10979" s="539"/>
      <c r="N10979" s="601">
        <v>4013853</v>
      </c>
      <c r="R10979" s="548">
        <v>894.16300000000001</v>
      </c>
      <c r="S10979" s="548">
        <v>895.30582115737695</v>
      </c>
      <c r="T10979" s="549">
        <v>15.5501</v>
      </c>
      <c r="U10979" s="549">
        <v>16150.67</v>
      </c>
      <c r="V10979" s="549">
        <v>8075.34</v>
      </c>
    </row>
    <row r="10980" spans="1:22">
      <c r="A10980" s="499">
        <v>45870</v>
      </c>
      <c r="B10980" s="499">
        <v>45870</v>
      </c>
      <c r="C10980" s="500" t="s">
        <v>173</v>
      </c>
      <c r="D10980" s="500" t="s">
        <v>763</v>
      </c>
      <c r="E10980" s="501">
        <v>-21011936.34</v>
      </c>
      <c r="F10980" s="502" t="s">
        <v>878</v>
      </c>
      <c r="G10980" s="443">
        <v>118389832</v>
      </c>
      <c r="H10980" s="530"/>
      <c r="I10980" s="422" t="s">
        <v>674</v>
      </c>
      <c r="J10980" s="530" t="s">
        <v>906</v>
      </c>
      <c r="L10980" s="539"/>
      <c r="M10980" s="539"/>
      <c r="N10980" s="601">
        <v>23499</v>
      </c>
      <c r="R10980" s="548">
        <v>894.16300000000001</v>
      </c>
      <c r="S10980" s="548">
        <v>895.30582109877002</v>
      </c>
      <c r="T10980" s="549">
        <v>15.5501</v>
      </c>
      <c r="U10980" s="549">
        <v>94.55</v>
      </c>
      <c r="V10980" s="549">
        <v>47.28</v>
      </c>
    </row>
    <row r="10981" spans="1:22">
      <c r="A10981" s="499">
        <v>45870</v>
      </c>
      <c r="B10981" s="499">
        <v>45873</v>
      </c>
      <c r="C10981" s="500" t="s">
        <v>173</v>
      </c>
      <c r="D10981" s="500" t="s">
        <v>763</v>
      </c>
      <c r="E10981" s="501">
        <v>3593625956.1700001</v>
      </c>
      <c r="F10981" s="502" t="s">
        <v>878</v>
      </c>
      <c r="G10981" s="443">
        <v>118389788</v>
      </c>
      <c r="H10981" s="443">
        <v>118389788</v>
      </c>
      <c r="I10981" s="422" t="s">
        <v>674</v>
      </c>
      <c r="J10981" s="484" t="s">
        <v>912</v>
      </c>
      <c r="L10981" s="539"/>
      <c r="M10981" s="539"/>
      <c r="N10981" s="601">
        <v>4013853</v>
      </c>
      <c r="R10981" s="548">
        <v>894.16300000000001</v>
      </c>
      <c r="S10981" s="548">
        <v>895.30582115737695</v>
      </c>
      <c r="T10981" s="549">
        <v>15.5501</v>
      </c>
      <c r="U10981" s="549">
        <v>16150.67</v>
      </c>
      <c r="V10981" s="549">
        <v>8075.34</v>
      </c>
    </row>
    <row r="10982" spans="1:22">
      <c r="A10982" s="499">
        <v>45870</v>
      </c>
      <c r="B10982" s="499">
        <v>45873</v>
      </c>
      <c r="C10982" s="500" t="s">
        <v>173</v>
      </c>
      <c r="D10982" s="500" t="s">
        <v>763</v>
      </c>
      <c r="E10982" s="501">
        <v>21038791.489999998</v>
      </c>
      <c r="F10982" s="502" t="s">
        <v>878</v>
      </c>
      <c r="G10982" s="443">
        <v>118389832</v>
      </c>
      <c r="H10982" s="443">
        <v>118389832</v>
      </c>
      <c r="I10982" s="422" t="s">
        <v>674</v>
      </c>
      <c r="J10982" s="484" t="s">
        <v>912</v>
      </c>
      <c r="L10982" s="539"/>
      <c r="M10982" s="539"/>
      <c r="N10982" s="601">
        <v>23499</v>
      </c>
      <c r="R10982" s="548">
        <v>894.16300000000001</v>
      </c>
      <c r="S10982" s="548">
        <v>895.30582109877002</v>
      </c>
      <c r="T10982" s="549">
        <v>15.5501</v>
      </c>
      <c r="U10982" s="549">
        <v>94.55</v>
      </c>
      <c r="V10982" s="549">
        <v>47.28</v>
      </c>
    </row>
    <row r="10983" spans="1:22">
      <c r="A10983" s="499">
        <v>45873</v>
      </c>
      <c r="B10983" s="499">
        <v>45873</v>
      </c>
      <c r="C10983" s="500" t="s">
        <v>173</v>
      </c>
      <c r="D10983" s="500" t="s">
        <v>762</v>
      </c>
      <c r="E10983" s="501">
        <v>-2988296409.5999999</v>
      </c>
      <c r="F10983" s="502" t="s">
        <v>878</v>
      </c>
      <c r="G10983" s="443">
        <v>118415271</v>
      </c>
      <c r="H10983" s="530"/>
      <c r="I10983" s="422" t="s">
        <v>719</v>
      </c>
      <c r="J10983" s="530" t="s">
        <v>906</v>
      </c>
      <c r="L10983" s="539"/>
      <c r="M10983" s="539"/>
      <c r="N10983" s="600">
        <v>4541760</v>
      </c>
      <c r="R10983" s="539">
        <v>657.96</v>
      </c>
      <c r="S10983" s="539">
        <v>658.23940767015404</v>
      </c>
      <c r="T10983" s="538">
        <v>15.5</v>
      </c>
      <c r="U10983" s="538">
        <v>4482.4399999999996</v>
      </c>
      <c r="V10983" s="538">
        <v>2241.2199999999998</v>
      </c>
    </row>
    <row r="10984" spans="1:22">
      <c r="A10984" s="499">
        <v>45873</v>
      </c>
      <c r="B10984" s="499">
        <v>45873</v>
      </c>
      <c r="C10984" s="500" t="s">
        <v>173</v>
      </c>
      <c r="D10984" s="500" t="s">
        <v>762</v>
      </c>
      <c r="E10984" s="501">
        <v>-19001884.800000001</v>
      </c>
      <c r="F10984" s="502" t="s">
        <v>878</v>
      </c>
      <c r="G10984" s="443">
        <v>118415286</v>
      </c>
      <c r="H10984" s="530"/>
      <c r="I10984" s="422" t="s">
        <v>719</v>
      </c>
      <c r="J10984" s="530" t="s">
        <v>906</v>
      </c>
      <c r="L10984" s="539"/>
      <c r="M10984" s="539"/>
      <c r="N10984" s="600">
        <v>28880</v>
      </c>
      <c r="R10984" s="539">
        <v>657.96</v>
      </c>
      <c r="S10984" s="539">
        <v>658.23940754847695</v>
      </c>
      <c r="T10984" s="538">
        <v>15.5</v>
      </c>
      <c r="U10984" s="538">
        <v>39.32</v>
      </c>
      <c r="V10984" s="538">
        <v>14.25</v>
      </c>
    </row>
    <row r="10985" spans="1:22">
      <c r="A10985" s="499">
        <v>45873</v>
      </c>
      <c r="B10985" s="499">
        <v>45874</v>
      </c>
      <c r="C10985" s="500" t="s">
        <v>173</v>
      </c>
      <c r="D10985" s="500" t="s">
        <v>762</v>
      </c>
      <c r="E10985" s="501">
        <v>2989565412.1799998</v>
      </c>
      <c r="F10985" s="502" t="s">
        <v>878</v>
      </c>
      <c r="G10985" s="443">
        <v>118415271</v>
      </c>
      <c r="H10985" s="443">
        <v>118415271</v>
      </c>
      <c r="I10985" s="422" t="s">
        <v>719</v>
      </c>
      <c r="J10985" s="484" t="s">
        <v>912</v>
      </c>
      <c r="L10985" s="539"/>
      <c r="M10985" s="539"/>
      <c r="N10985" s="600">
        <v>4541760</v>
      </c>
      <c r="R10985" s="539">
        <v>657.96</v>
      </c>
      <c r="S10985" s="539">
        <v>658.23940767015404</v>
      </c>
      <c r="T10985" s="538">
        <v>15.5</v>
      </c>
      <c r="U10985" s="538">
        <v>4482.4399999999996</v>
      </c>
      <c r="V10985" s="538">
        <v>2241.2199999999998</v>
      </c>
    </row>
    <row r="10986" spans="1:22">
      <c r="A10986" s="499">
        <v>45873</v>
      </c>
      <c r="B10986" s="499">
        <v>45874</v>
      </c>
      <c r="C10986" s="500" t="s">
        <v>173</v>
      </c>
      <c r="D10986" s="500" t="s">
        <v>762</v>
      </c>
      <c r="E10986" s="501">
        <v>19009954.09</v>
      </c>
      <c r="F10986" s="502" t="s">
        <v>878</v>
      </c>
      <c r="G10986" s="443">
        <v>118415286</v>
      </c>
      <c r="H10986" s="443">
        <v>118415286</v>
      </c>
      <c r="I10986" s="422" t="s">
        <v>719</v>
      </c>
      <c r="J10986" s="484" t="s">
        <v>912</v>
      </c>
      <c r="L10986" s="539"/>
      <c r="M10986" s="539"/>
      <c r="N10986" s="600">
        <v>28880</v>
      </c>
      <c r="R10986" s="539">
        <v>657.96</v>
      </c>
      <c r="S10986" s="539">
        <v>658.23940754847695</v>
      </c>
      <c r="T10986" s="538">
        <v>15.5</v>
      </c>
      <c r="U10986" s="538">
        <v>39.32</v>
      </c>
      <c r="V10986" s="538">
        <v>14.25</v>
      </c>
    </row>
    <row r="10987" spans="1:22">
      <c r="A10987" s="499">
        <v>45873</v>
      </c>
      <c r="B10987" s="499">
        <v>45873</v>
      </c>
      <c r="C10987" s="500" t="s">
        <v>173</v>
      </c>
      <c r="D10987" s="500" t="s">
        <v>761</v>
      </c>
      <c r="E10987" s="501">
        <v>-1783356134.0799999</v>
      </c>
      <c r="F10987" s="502" t="s">
        <v>878</v>
      </c>
      <c r="G10987" s="443">
        <v>118413088</v>
      </c>
      <c r="H10987" s="530"/>
      <c r="I10987" s="422" t="s">
        <v>829</v>
      </c>
      <c r="J10987" s="530" t="s">
        <v>906</v>
      </c>
      <c r="L10987" s="539"/>
      <c r="M10987" s="539"/>
      <c r="N10987" s="601">
        <v>1678644</v>
      </c>
      <c r="R10987" s="548">
        <v>1062.3790000023828</v>
      </c>
      <c r="S10987" s="548">
        <v>1062.83132896552</v>
      </c>
      <c r="T10987" s="549">
        <v>15.5406</v>
      </c>
      <c r="U10987" s="538">
        <v>2675.03</v>
      </c>
      <c r="V10987" s="538">
        <v>1337.52</v>
      </c>
    </row>
    <row r="10988" spans="1:22">
      <c r="A10988" s="499">
        <v>45873</v>
      </c>
      <c r="B10988" s="499">
        <v>45873</v>
      </c>
      <c r="C10988" s="500" t="s">
        <v>173</v>
      </c>
      <c r="D10988" s="500" t="s">
        <v>761</v>
      </c>
      <c r="E10988" s="501">
        <v>-10007610.18</v>
      </c>
      <c r="F10988" s="502" t="s">
        <v>878</v>
      </c>
      <c r="G10988" s="443">
        <v>118413098</v>
      </c>
      <c r="H10988" s="530"/>
      <c r="I10988" s="422" t="s">
        <v>829</v>
      </c>
      <c r="J10988" s="530" t="s">
        <v>906</v>
      </c>
      <c r="L10988" s="539"/>
      <c r="M10988" s="539"/>
      <c r="N10988" s="601">
        <v>9420</v>
      </c>
      <c r="R10988" s="548">
        <v>1062.3789999999999</v>
      </c>
      <c r="S10988" s="548">
        <v>1062.8313290870501</v>
      </c>
      <c r="T10988" s="549">
        <v>15.5406</v>
      </c>
      <c r="U10988" s="549">
        <v>39.32</v>
      </c>
      <c r="V10988" s="549">
        <v>7.51</v>
      </c>
    </row>
    <row r="10989" spans="1:22">
      <c r="A10989" s="499">
        <v>45873</v>
      </c>
      <c r="B10989" s="499">
        <v>45874</v>
      </c>
      <c r="C10989" s="500" t="s">
        <v>173</v>
      </c>
      <c r="D10989" s="500" t="s">
        <v>761</v>
      </c>
      <c r="E10989" s="501">
        <v>1784115433.3800001</v>
      </c>
      <c r="F10989" s="502" t="s">
        <v>878</v>
      </c>
      <c r="G10989" s="443">
        <v>118413088</v>
      </c>
      <c r="H10989" s="443">
        <v>118413088</v>
      </c>
      <c r="I10989" s="422" t="s">
        <v>829</v>
      </c>
      <c r="J10989" s="484" t="s">
        <v>912</v>
      </c>
      <c r="L10989" s="539"/>
      <c r="M10989" s="539"/>
      <c r="N10989" s="601">
        <v>1678644</v>
      </c>
      <c r="R10989" s="548">
        <v>1062.3790000023828</v>
      </c>
      <c r="S10989" s="548">
        <v>1062.83132896552</v>
      </c>
      <c r="T10989" s="549">
        <v>15.5406</v>
      </c>
      <c r="U10989" s="538">
        <v>2675.03</v>
      </c>
      <c r="V10989" s="538">
        <v>1337.52</v>
      </c>
    </row>
    <row r="10990" spans="1:22">
      <c r="A10990" s="499">
        <v>45873</v>
      </c>
      <c r="B10990" s="499">
        <v>45874</v>
      </c>
      <c r="C10990" s="500" t="s">
        <v>173</v>
      </c>
      <c r="D10990" s="500" t="s">
        <v>761</v>
      </c>
      <c r="E10990" s="501">
        <v>10011871.119999999</v>
      </c>
      <c r="F10990" s="502" t="s">
        <v>878</v>
      </c>
      <c r="G10990" s="443">
        <v>118413098</v>
      </c>
      <c r="H10990" s="443">
        <v>118413098</v>
      </c>
      <c r="I10990" s="422" t="s">
        <v>829</v>
      </c>
      <c r="J10990" s="484" t="s">
        <v>912</v>
      </c>
      <c r="L10990" s="539"/>
      <c r="M10990" s="539"/>
      <c r="N10990" s="601">
        <v>9420</v>
      </c>
      <c r="R10990" s="548">
        <v>1062.3789999999999</v>
      </c>
      <c r="S10990" s="548">
        <v>1062.8313290870501</v>
      </c>
      <c r="T10990" s="549">
        <v>15.5406</v>
      </c>
      <c r="U10990" s="549">
        <v>39.32</v>
      </c>
      <c r="V10990" s="549">
        <v>7.51</v>
      </c>
    </row>
    <row r="10991" spans="1:22">
      <c r="A10991" s="499">
        <v>45873</v>
      </c>
      <c r="B10991" s="499">
        <v>45873</v>
      </c>
      <c r="C10991" s="500" t="s">
        <v>173</v>
      </c>
      <c r="D10991" s="500" t="s">
        <v>759</v>
      </c>
      <c r="E10991" s="501">
        <v>-245012898.93000001</v>
      </c>
      <c r="F10991" s="502" t="s">
        <v>878</v>
      </c>
      <c r="G10991" s="443">
        <v>118414389</v>
      </c>
      <c r="H10991" s="530"/>
      <c r="I10991" s="422" t="s">
        <v>1013</v>
      </c>
      <c r="J10991" s="530" t="s">
        <v>906</v>
      </c>
      <c r="L10991" s="539"/>
      <c r="M10991" s="539"/>
      <c r="N10991" s="601">
        <v>459865</v>
      </c>
      <c r="R10991" s="548">
        <v>532.79309999673819</v>
      </c>
      <c r="S10991" s="548">
        <v>533.01993848194604</v>
      </c>
      <c r="T10991" s="549">
        <v>15.54</v>
      </c>
      <c r="U10991" s="549">
        <v>367.52</v>
      </c>
      <c r="V10991" s="549">
        <v>183.76</v>
      </c>
    </row>
    <row r="10992" spans="1:22">
      <c r="A10992" s="499">
        <v>45873</v>
      </c>
      <c r="B10992" s="499">
        <v>45873</v>
      </c>
      <c r="C10992" s="500" t="s">
        <v>173</v>
      </c>
      <c r="D10992" s="500" t="s">
        <v>759</v>
      </c>
      <c r="E10992" s="501">
        <v>-1748173401.5999999</v>
      </c>
      <c r="F10992" s="502" t="s">
        <v>878</v>
      </c>
      <c r="G10992" s="443">
        <v>118415052</v>
      </c>
      <c r="H10992" s="530"/>
      <c r="I10992" s="422" t="s">
        <v>719</v>
      </c>
      <c r="J10992" s="530" t="s">
        <v>906</v>
      </c>
      <c r="L10992" s="539"/>
      <c r="M10992" s="539"/>
      <c r="N10992" s="601">
        <v>2656960</v>
      </c>
      <c r="R10992" s="548">
        <v>657.95999999999992</v>
      </c>
      <c r="S10992" s="548">
        <v>658.23940767267902</v>
      </c>
      <c r="T10992" s="549">
        <v>15.5</v>
      </c>
      <c r="U10992" s="549">
        <v>2622.26</v>
      </c>
      <c r="V10992" s="549">
        <v>1311.13</v>
      </c>
    </row>
    <row r="10993" spans="1:22">
      <c r="A10993" s="499">
        <v>45873</v>
      </c>
      <c r="B10993" s="499">
        <v>45873</v>
      </c>
      <c r="C10993" s="500" t="s">
        <v>173</v>
      </c>
      <c r="D10993" s="500" t="s">
        <v>759</v>
      </c>
      <c r="E10993" s="501">
        <v>-13001289.6</v>
      </c>
      <c r="F10993" s="502" t="s">
        <v>878</v>
      </c>
      <c r="G10993" s="443">
        <v>118415087</v>
      </c>
      <c r="H10993" s="530"/>
      <c r="I10993" s="422" t="s">
        <v>719</v>
      </c>
      <c r="J10993" s="530" t="s">
        <v>906</v>
      </c>
      <c r="L10993" s="539"/>
      <c r="M10993" s="539"/>
      <c r="N10993" s="601">
        <v>19760</v>
      </c>
      <c r="R10993" s="548">
        <v>657.96</v>
      </c>
      <c r="S10993" s="548">
        <v>658.23940789473704</v>
      </c>
      <c r="T10993" s="549">
        <v>15.5</v>
      </c>
      <c r="U10993" s="549">
        <v>39.32</v>
      </c>
      <c r="V10993" s="549">
        <v>9.75</v>
      </c>
    </row>
    <row r="10994" spans="1:22">
      <c r="A10994" s="499">
        <v>45873</v>
      </c>
      <c r="B10994" s="499">
        <v>45874</v>
      </c>
      <c r="C10994" s="500" t="s">
        <v>173</v>
      </c>
      <c r="D10994" s="500" t="s">
        <v>759</v>
      </c>
      <c r="E10994" s="501">
        <v>245117214.00999999</v>
      </c>
      <c r="F10994" s="502" t="s">
        <v>878</v>
      </c>
      <c r="G10994" s="443">
        <v>118414389</v>
      </c>
      <c r="H10994" s="443">
        <v>118414389</v>
      </c>
      <c r="I10994" s="422" t="s">
        <v>1013</v>
      </c>
      <c r="J10994" s="484" t="s">
        <v>912</v>
      </c>
      <c r="L10994" s="539"/>
      <c r="M10994" s="539"/>
      <c r="N10994" s="601">
        <v>459865</v>
      </c>
      <c r="R10994" s="548">
        <v>532.79309999673819</v>
      </c>
      <c r="S10994" s="548">
        <v>533.01993848194604</v>
      </c>
      <c r="T10994" s="549">
        <v>15.54</v>
      </c>
      <c r="U10994" s="549">
        <v>367.52</v>
      </c>
      <c r="V10994" s="549">
        <v>183.76</v>
      </c>
    </row>
    <row r="10995" spans="1:22">
      <c r="A10995" s="499">
        <v>45873</v>
      </c>
      <c r="B10995" s="499">
        <v>45874</v>
      </c>
      <c r="C10995" s="500" t="s">
        <v>173</v>
      </c>
      <c r="D10995" s="500" t="s">
        <v>759</v>
      </c>
      <c r="E10995" s="501">
        <v>1748915776.6099999</v>
      </c>
      <c r="F10995" s="502" t="s">
        <v>878</v>
      </c>
      <c r="G10995" s="443">
        <v>118415052</v>
      </c>
      <c r="H10995" s="443">
        <v>118415052</v>
      </c>
      <c r="I10995" s="422" t="s">
        <v>719</v>
      </c>
      <c r="J10995" s="484" t="s">
        <v>912</v>
      </c>
      <c r="L10995" s="539"/>
      <c r="M10995" s="539"/>
      <c r="N10995" s="601">
        <v>2656960</v>
      </c>
      <c r="R10995" s="548">
        <v>657.95999999999992</v>
      </c>
      <c r="S10995" s="548">
        <v>658.23940767267902</v>
      </c>
      <c r="T10995" s="549">
        <v>15.5</v>
      </c>
      <c r="U10995" s="549">
        <v>2622.26</v>
      </c>
      <c r="V10995" s="549">
        <v>1311.13</v>
      </c>
    </row>
    <row r="10996" spans="1:22">
      <c r="A10996" s="499">
        <v>45873</v>
      </c>
      <c r="B10996" s="499">
        <v>45874</v>
      </c>
      <c r="C10996" s="500" t="s">
        <v>173</v>
      </c>
      <c r="D10996" s="500" t="s">
        <v>759</v>
      </c>
      <c r="E10996" s="501">
        <v>13006810.699999999</v>
      </c>
      <c r="F10996" s="502" t="s">
        <v>878</v>
      </c>
      <c r="G10996" s="443">
        <v>118415087</v>
      </c>
      <c r="H10996" s="443">
        <v>118415087</v>
      </c>
      <c r="I10996" s="422" t="s">
        <v>719</v>
      </c>
      <c r="J10996" s="484" t="s">
        <v>912</v>
      </c>
      <c r="L10996" s="539"/>
      <c r="M10996" s="539"/>
      <c r="N10996" s="601">
        <v>19760</v>
      </c>
      <c r="R10996" s="548">
        <v>657.96</v>
      </c>
      <c r="S10996" s="548">
        <v>658.23940789473704</v>
      </c>
      <c r="T10996" s="549">
        <v>15.5</v>
      </c>
      <c r="U10996" s="549">
        <v>39.32</v>
      </c>
      <c r="V10996" s="549">
        <v>9.75</v>
      </c>
    </row>
    <row r="10997" spans="1:22">
      <c r="A10997" s="499">
        <v>45873</v>
      </c>
      <c r="B10997" s="499">
        <v>45873</v>
      </c>
      <c r="C10997" s="500" t="s">
        <v>173</v>
      </c>
      <c r="D10997" s="500" t="s">
        <v>763</v>
      </c>
      <c r="E10997" s="501">
        <v>-3355433741.52</v>
      </c>
      <c r="F10997" s="502" t="s">
        <v>878</v>
      </c>
      <c r="G10997" s="443">
        <v>118413902</v>
      </c>
      <c r="H10997" s="530"/>
      <c r="I10997" s="422" t="s">
        <v>712</v>
      </c>
      <c r="J10997" s="530" t="s">
        <v>906</v>
      </c>
      <c r="L10997" s="539"/>
      <c r="M10997" s="539"/>
      <c r="N10997" s="601">
        <v>3993423</v>
      </c>
      <c r="R10997" s="548">
        <v>840.24</v>
      </c>
      <c r="S10997" s="548">
        <v>840.59750485485802</v>
      </c>
      <c r="T10997" s="549">
        <v>15.53</v>
      </c>
      <c r="U10997" s="549">
        <v>5033.1499999999996</v>
      </c>
      <c r="V10997" s="549">
        <v>2516.58</v>
      </c>
    </row>
    <row r="10998" spans="1:22">
      <c r="A10998" s="499">
        <v>45873</v>
      </c>
      <c r="B10998" s="499">
        <v>45873</v>
      </c>
      <c r="C10998" s="500" t="s">
        <v>173</v>
      </c>
      <c r="D10998" s="500" t="s">
        <v>763</v>
      </c>
      <c r="E10998" s="501">
        <v>-239173475.75999999</v>
      </c>
      <c r="F10998" s="502" t="s">
        <v>878</v>
      </c>
      <c r="G10998" s="443">
        <v>118413905</v>
      </c>
      <c r="H10998" s="530"/>
      <c r="I10998" s="422" t="s">
        <v>712</v>
      </c>
      <c r="J10998" s="530" t="s">
        <v>906</v>
      </c>
      <c r="L10998" s="539"/>
      <c r="M10998" s="539"/>
      <c r="N10998" s="601">
        <v>284649</v>
      </c>
      <c r="R10998" s="548">
        <v>840.24</v>
      </c>
      <c r="S10998" s="548">
        <v>840.59727464350794</v>
      </c>
      <c r="T10998" s="549">
        <v>15.52</v>
      </c>
      <c r="U10998" s="549">
        <v>358.76</v>
      </c>
      <c r="V10998" s="549">
        <v>179.38</v>
      </c>
    </row>
    <row r="10999" spans="1:22">
      <c r="A10999" s="499">
        <v>45873</v>
      </c>
      <c r="B10999" s="499">
        <v>45873</v>
      </c>
      <c r="C10999" s="500" t="s">
        <v>173</v>
      </c>
      <c r="D10999" s="500" t="s">
        <v>763</v>
      </c>
      <c r="E10999" s="501">
        <v>-20014516.800000001</v>
      </c>
      <c r="F10999" s="502" t="s">
        <v>878</v>
      </c>
      <c r="G10999" s="443">
        <v>118413933</v>
      </c>
      <c r="H10999" s="530"/>
      <c r="I10999" s="422" t="s">
        <v>712</v>
      </c>
      <c r="J10999" s="530" t="s">
        <v>906</v>
      </c>
      <c r="L10999" s="539"/>
      <c r="M10999" s="539"/>
      <c r="N10999" s="601">
        <v>23820</v>
      </c>
      <c r="R10999" s="548">
        <v>840.24</v>
      </c>
      <c r="S10999" s="548">
        <v>840.59727455919403</v>
      </c>
      <c r="T10999" s="549">
        <v>15.52</v>
      </c>
      <c r="U10999" s="549">
        <v>39.32</v>
      </c>
      <c r="V10999" s="549">
        <v>39.32</v>
      </c>
    </row>
    <row r="11000" spans="1:22">
      <c r="A11000" s="499">
        <v>45873</v>
      </c>
      <c r="B11000" s="499">
        <v>45874</v>
      </c>
      <c r="C11000" s="500" t="s">
        <v>173</v>
      </c>
      <c r="D11000" s="500" t="s">
        <v>763</v>
      </c>
      <c r="E11000" s="501">
        <v>3356861409.6300001</v>
      </c>
      <c r="F11000" s="502" t="s">
        <v>878</v>
      </c>
      <c r="G11000" s="443">
        <v>118413902</v>
      </c>
      <c r="H11000" s="443">
        <v>118413902</v>
      </c>
      <c r="I11000" s="422" t="s">
        <v>712</v>
      </c>
      <c r="J11000" s="484" t="s">
        <v>912</v>
      </c>
      <c r="L11000" s="539"/>
      <c r="M11000" s="539"/>
      <c r="N11000" s="601">
        <v>3993423</v>
      </c>
      <c r="R11000" s="548">
        <v>840.24</v>
      </c>
      <c r="S11000" s="548">
        <v>840.59750485485802</v>
      </c>
      <c r="T11000" s="549">
        <v>15.53</v>
      </c>
      <c r="U11000" s="549">
        <v>5033.1499999999996</v>
      </c>
      <c r="V11000" s="549">
        <v>2516.58</v>
      </c>
    </row>
    <row r="11001" spans="1:22">
      <c r="A11001" s="499">
        <v>45873</v>
      </c>
      <c r="B11001" s="499">
        <v>45874</v>
      </c>
      <c r="C11001" s="500" t="s">
        <v>173</v>
      </c>
      <c r="D11001" s="500" t="s">
        <v>763</v>
      </c>
      <c r="E11001" s="501">
        <v>239275173.63</v>
      </c>
      <c r="F11001" s="502" t="s">
        <v>878</v>
      </c>
      <c r="G11001" s="443">
        <v>118413905</v>
      </c>
      <c r="H11001" s="443">
        <v>118413905</v>
      </c>
      <c r="I11001" s="422" t="s">
        <v>712</v>
      </c>
      <c r="J11001" s="484" t="s">
        <v>912</v>
      </c>
      <c r="L11001" s="539"/>
      <c r="M11001" s="539"/>
      <c r="N11001" s="601">
        <v>284649</v>
      </c>
      <c r="R11001" s="548">
        <v>840.24</v>
      </c>
      <c r="S11001" s="548">
        <v>840.59727464350794</v>
      </c>
      <c r="T11001" s="549">
        <v>15.52</v>
      </c>
      <c r="U11001" s="549">
        <v>358.76</v>
      </c>
      <c r="V11001" s="549">
        <v>179.38</v>
      </c>
    </row>
    <row r="11002" spans="1:22">
      <c r="A11002" s="499">
        <v>45873</v>
      </c>
      <c r="B11002" s="499">
        <v>45874</v>
      </c>
      <c r="C11002" s="500" t="s">
        <v>173</v>
      </c>
      <c r="D11002" s="500" t="s">
        <v>763</v>
      </c>
      <c r="E11002" s="501">
        <v>20023027.079999998</v>
      </c>
      <c r="F11002" s="502" t="s">
        <v>878</v>
      </c>
      <c r="G11002" s="443">
        <v>118413933</v>
      </c>
      <c r="H11002" s="443">
        <v>118413933</v>
      </c>
      <c r="I11002" s="422" t="s">
        <v>712</v>
      </c>
      <c r="J11002" s="484" t="s">
        <v>912</v>
      </c>
      <c r="L11002" s="539"/>
      <c r="M11002" s="539"/>
      <c r="N11002" s="601">
        <v>23820</v>
      </c>
      <c r="R11002" s="548">
        <v>840.24</v>
      </c>
      <c r="S11002" s="548">
        <v>840.59727455919403</v>
      </c>
      <c r="T11002" s="549">
        <v>15.52</v>
      </c>
      <c r="U11002" s="549">
        <v>39.32</v>
      </c>
      <c r="V11002" s="549">
        <v>39.32</v>
      </c>
    </row>
    <row r="11003" spans="1:22">
      <c r="A11003" s="499">
        <v>45873</v>
      </c>
      <c r="B11003" s="499">
        <v>45873</v>
      </c>
      <c r="C11003" s="500" t="s">
        <v>173</v>
      </c>
      <c r="D11003" s="500" t="s">
        <v>760</v>
      </c>
      <c r="E11003" s="501">
        <v>-1300068443.3099999</v>
      </c>
      <c r="F11003" s="502" t="s">
        <v>878</v>
      </c>
      <c r="G11003" s="443">
        <v>118411426</v>
      </c>
      <c r="H11003" s="530"/>
      <c r="I11003" s="422" t="s">
        <v>1013</v>
      </c>
      <c r="J11003" s="530" t="s">
        <v>906</v>
      </c>
      <c r="L11003" s="539"/>
      <c r="M11003" s="539"/>
      <c r="N11003" s="601">
        <v>2440100</v>
      </c>
      <c r="R11003" s="548">
        <v>532.79309999999998</v>
      </c>
      <c r="S11003" s="548">
        <v>533.02067271833096</v>
      </c>
      <c r="T11003" s="549">
        <v>15.590299999999999</v>
      </c>
      <c r="U11003" s="549">
        <v>1950.1</v>
      </c>
      <c r="V11003" s="549">
        <v>975.05</v>
      </c>
    </row>
    <row r="11004" spans="1:22">
      <c r="A11004" s="499">
        <v>45873</v>
      </c>
      <c r="B11004" s="499">
        <v>45873</v>
      </c>
      <c r="C11004" s="500" t="s">
        <v>173</v>
      </c>
      <c r="D11004" s="500" t="s">
        <v>760</v>
      </c>
      <c r="E11004" s="501">
        <v>-5000263.24</v>
      </c>
      <c r="F11004" s="502" t="s">
        <v>878</v>
      </c>
      <c r="G11004" s="443">
        <v>118411510</v>
      </c>
      <c r="H11004" s="530"/>
      <c r="I11004" s="422" t="s">
        <v>1013</v>
      </c>
      <c r="J11004" s="530" t="s">
        <v>906</v>
      </c>
      <c r="L11004" s="539"/>
      <c r="M11004" s="539"/>
      <c r="N11004" s="601">
        <v>9385</v>
      </c>
      <c r="R11004" s="548">
        <v>532.79309999999998</v>
      </c>
      <c r="S11004" s="548">
        <v>533.02067234949402</v>
      </c>
      <c r="T11004" s="549">
        <v>15.590299999999999</v>
      </c>
      <c r="U11004" s="549">
        <v>39.32</v>
      </c>
      <c r="V11004" s="549">
        <v>3.75</v>
      </c>
    </row>
    <row r="11005" spans="1:22">
      <c r="A11005" s="499">
        <v>45873</v>
      </c>
      <c r="B11005" s="499">
        <v>45873</v>
      </c>
      <c r="C11005" s="500" t="s">
        <v>173</v>
      </c>
      <c r="D11005" s="500" t="s">
        <v>760</v>
      </c>
      <c r="E11005" s="501">
        <v>-891715173.62</v>
      </c>
      <c r="F11005" s="502" t="s">
        <v>878</v>
      </c>
      <c r="G11005" s="443">
        <v>118411500</v>
      </c>
      <c r="H11005" s="530"/>
      <c r="I11005" s="422" t="s">
        <v>675</v>
      </c>
      <c r="J11005" s="530" t="s">
        <v>906</v>
      </c>
      <c r="L11005" s="539"/>
      <c r="M11005" s="539"/>
      <c r="N11005" s="601">
        <v>958716</v>
      </c>
      <c r="R11005" s="548">
        <v>930.11400000000003</v>
      </c>
      <c r="S11005" s="548">
        <v>930.51140075893204</v>
      </c>
      <c r="T11005" s="549">
        <v>15.595000000000001</v>
      </c>
      <c r="U11005" s="549">
        <v>1337.57</v>
      </c>
      <c r="V11005" s="549">
        <v>668.79</v>
      </c>
    </row>
    <row r="11006" spans="1:22">
      <c r="A11006" s="499">
        <v>45873</v>
      </c>
      <c r="B11006" s="499">
        <v>45874</v>
      </c>
      <c r="C11006" s="500" t="s">
        <v>173</v>
      </c>
      <c r="D11006" s="500" t="s">
        <v>760</v>
      </c>
      <c r="E11006" s="501">
        <v>1300623743.5</v>
      </c>
      <c r="F11006" s="502" t="s">
        <v>878</v>
      </c>
      <c r="G11006" s="443">
        <v>118411426</v>
      </c>
      <c r="H11006" s="443">
        <v>118411426</v>
      </c>
      <c r="I11006" s="422" t="s">
        <v>1013</v>
      </c>
      <c r="J11006" s="484" t="s">
        <v>912</v>
      </c>
      <c r="L11006" s="539"/>
      <c r="M11006" s="539"/>
      <c r="N11006" s="601">
        <v>2440100</v>
      </c>
      <c r="R11006" s="548">
        <v>532.79309999999998</v>
      </c>
      <c r="S11006" s="548">
        <v>533.02067271833096</v>
      </c>
      <c r="T11006" s="549">
        <v>15.590299999999999</v>
      </c>
      <c r="U11006" s="549">
        <v>1950.1</v>
      </c>
      <c r="V11006" s="549">
        <v>975.05</v>
      </c>
    </row>
    <row r="11007" spans="1:22">
      <c r="A11007" s="499">
        <v>45873</v>
      </c>
      <c r="B11007" s="499">
        <v>45874</v>
      </c>
      <c r="C11007" s="500" t="s">
        <v>173</v>
      </c>
      <c r="D11007" s="500" t="s">
        <v>760</v>
      </c>
      <c r="E11007" s="501">
        <v>5002399.01</v>
      </c>
      <c r="F11007" s="502" t="s">
        <v>878</v>
      </c>
      <c r="G11007" s="443">
        <v>118411510</v>
      </c>
      <c r="H11007" s="443">
        <v>118411510</v>
      </c>
      <c r="I11007" s="422" t="s">
        <v>1013</v>
      </c>
      <c r="J11007" s="484" t="s">
        <v>912</v>
      </c>
      <c r="L11007" s="539"/>
      <c r="M11007" s="539"/>
      <c r="N11007" s="601">
        <v>9385</v>
      </c>
      <c r="R11007" s="548">
        <v>532.79309999999998</v>
      </c>
      <c r="S11007" s="548">
        <v>533.02067234949402</v>
      </c>
      <c r="T11007" s="549">
        <v>15.590299999999999</v>
      </c>
      <c r="U11007" s="549">
        <v>39.32</v>
      </c>
      <c r="V11007" s="549">
        <v>3.75</v>
      </c>
    </row>
    <row r="11008" spans="1:22">
      <c r="A11008" s="499">
        <v>45873</v>
      </c>
      <c r="B11008" s="499">
        <v>45874</v>
      </c>
      <c r="C11008" s="500" t="s">
        <v>173</v>
      </c>
      <c r="D11008" s="500" t="s">
        <v>760</v>
      </c>
      <c r="E11008" s="501">
        <v>892096168.09000003</v>
      </c>
      <c r="F11008" s="502" t="s">
        <v>878</v>
      </c>
      <c r="G11008" s="443">
        <v>118411500</v>
      </c>
      <c r="H11008" s="443">
        <v>118411500</v>
      </c>
      <c r="I11008" s="422" t="s">
        <v>675</v>
      </c>
      <c r="J11008" s="484" t="s">
        <v>912</v>
      </c>
      <c r="L11008" s="539"/>
      <c r="M11008" s="539"/>
      <c r="N11008" s="601">
        <v>958716</v>
      </c>
      <c r="R11008" s="548">
        <v>930.11400000000003</v>
      </c>
      <c r="S11008" s="548">
        <v>930.51140075893204</v>
      </c>
      <c r="T11008" s="549">
        <v>15.595000000000001</v>
      </c>
      <c r="U11008" s="549">
        <v>1337.57</v>
      </c>
      <c r="V11008" s="549">
        <v>668.79</v>
      </c>
    </row>
    <row r="11009" spans="1:22">
      <c r="A11009" s="499">
        <v>45874</v>
      </c>
      <c r="B11009" s="499">
        <v>45874</v>
      </c>
      <c r="C11009" s="500" t="s">
        <v>173</v>
      </c>
      <c r="D11009" s="500" t="s">
        <v>759</v>
      </c>
      <c r="E11009" s="501">
        <v>-1995009841.3599999</v>
      </c>
      <c r="F11009" s="502" t="s">
        <v>878</v>
      </c>
      <c r="G11009" s="443">
        <v>118436502</v>
      </c>
      <c r="H11009" s="530"/>
      <c r="I11009" s="422" t="s">
        <v>708</v>
      </c>
      <c r="J11009" s="530" t="s">
        <v>906</v>
      </c>
      <c r="L11009" s="539"/>
      <c r="M11009" s="539"/>
      <c r="N11009" s="601">
        <v>2881330</v>
      </c>
      <c r="R11009" s="548">
        <v>692.39199999999994</v>
      </c>
      <c r="S11009" s="548">
        <v>692.68602947944203</v>
      </c>
      <c r="T11009" s="549">
        <v>15.5</v>
      </c>
      <c r="U11009" s="549">
        <v>2992.51</v>
      </c>
      <c r="V11009" s="549">
        <v>1496.26</v>
      </c>
    </row>
    <row r="11010" spans="1:22">
      <c r="A11010" s="499">
        <v>45874</v>
      </c>
      <c r="B11010" s="499">
        <v>45874</v>
      </c>
      <c r="C11010" s="500" t="s">
        <v>173</v>
      </c>
      <c r="D11010" s="500" t="s">
        <v>759</v>
      </c>
      <c r="E11010" s="501">
        <v>-11005570.84</v>
      </c>
      <c r="F11010" s="502" t="s">
        <v>878</v>
      </c>
      <c r="G11010" s="443">
        <v>118436926</v>
      </c>
      <c r="H11010" s="530"/>
      <c r="I11010" s="422" t="s">
        <v>708</v>
      </c>
      <c r="J11010" s="530" t="s">
        <v>906</v>
      </c>
      <c r="L11010" s="539"/>
      <c r="M11010" s="539"/>
      <c r="N11010" s="601">
        <v>15895</v>
      </c>
      <c r="R11010" s="548">
        <v>692.39199999999994</v>
      </c>
      <c r="S11010" s="548">
        <v>692.68602956904704</v>
      </c>
      <c r="T11010" s="549">
        <v>15.5</v>
      </c>
      <c r="U11010" s="549">
        <v>39.32</v>
      </c>
      <c r="V11010" s="549">
        <v>8.25</v>
      </c>
    </row>
    <row r="11011" spans="1:22">
      <c r="A11011" s="499">
        <v>45874</v>
      </c>
      <c r="B11011" s="499">
        <v>45875</v>
      </c>
      <c r="C11011" s="500" t="s">
        <v>173</v>
      </c>
      <c r="D11011" s="500" t="s">
        <v>759</v>
      </c>
      <c r="E11011" s="501">
        <v>1995857037.3199999</v>
      </c>
      <c r="F11011" s="502" t="s">
        <v>878</v>
      </c>
      <c r="G11011" s="443">
        <v>118436502</v>
      </c>
      <c r="H11011" s="443">
        <v>118436502</v>
      </c>
      <c r="I11011" s="422" t="s">
        <v>708</v>
      </c>
      <c r="J11011" s="484" t="s">
        <v>912</v>
      </c>
      <c r="L11011" s="539"/>
      <c r="M11011" s="539"/>
      <c r="N11011" s="601">
        <v>2881330</v>
      </c>
      <c r="R11011" s="548">
        <v>692.39199999999994</v>
      </c>
      <c r="S11011" s="548">
        <v>692.68602947944203</v>
      </c>
      <c r="T11011" s="549">
        <v>15.5</v>
      </c>
      <c r="U11011" s="549">
        <v>2992.51</v>
      </c>
      <c r="V11011" s="549">
        <v>1496.26</v>
      </c>
    </row>
    <row r="11012" spans="1:22">
      <c r="A11012" s="499">
        <v>45874</v>
      </c>
      <c r="B11012" s="499">
        <v>45875</v>
      </c>
      <c r="C11012" s="500" t="s">
        <v>173</v>
      </c>
      <c r="D11012" s="500" t="s">
        <v>759</v>
      </c>
      <c r="E11012" s="501">
        <v>11010244.439999999</v>
      </c>
      <c r="F11012" s="502" t="s">
        <v>878</v>
      </c>
      <c r="G11012" s="443">
        <v>118436926</v>
      </c>
      <c r="H11012" s="443">
        <v>118436926</v>
      </c>
      <c r="I11012" s="422" t="s">
        <v>708</v>
      </c>
      <c r="J11012" s="484" t="s">
        <v>912</v>
      </c>
      <c r="L11012" s="539"/>
      <c r="M11012" s="539"/>
      <c r="N11012" s="601">
        <v>15895</v>
      </c>
      <c r="R11012" s="548">
        <v>692.39199999999994</v>
      </c>
      <c r="S11012" s="548">
        <v>692.68602956904704</v>
      </c>
      <c r="T11012" s="549">
        <v>15.5</v>
      </c>
      <c r="U11012" s="549">
        <v>39.32</v>
      </c>
      <c r="V11012" s="549">
        <v>8.25</v>
      </c>
    </row>
    <row r="11013" spans="1:22">
      <c r="A11013" s="499">
        <v>45874</v>
      </c>
      <c r="B11013" s="499">
        <v>45874</v>
      </c>
      <c r="C11013" s="500" t="s">
        <v>173</v>
      </c>
      <c r="D11013" s="500" t="s">
        <v>760</v>
      </c>
      <c r="E11013" s="501">
        <v>-891202028.73000002</v>
      </c>
      <c r="F11013" s="502" t="s">
        <v>878</v>
      </c>
      <c r="G11013" s="443">
        <v>118434724</v>
      </c>
      <c r="H11013" s="530"/>
      <c r="I11013" s="422" t="s">
        <v>1013</v>
      </c>
      <c r="J11013" s="530" t="s">
        <v>906</v>
      </c>
      <c r="L11013" s="539"/>
      <c r="M11013" s="539"/>
      <c r="N11013" s="601">
        <v>1673298</v>
      </c>
      <c r="R11013" s="548">
        <v>532.60209999999995</v>
      </c>
      <c r="S11013" s="548">
        <v>532.82900600490802</v>
      </c>
      <c r="T11013" s="549">
        <v>15.5502</v>
      </c>
      <c r="U11013" s="549">
        <v>1336.8</v>
      </c>
      <c r="V11013" s="549">
        <v>668.4</v>
      </c>
    </row>
    <row r="11014" spans="1:22">
      <c r="A11014" s="499">
        <v>45874</v>
      </c>
      <c r="B11014" s="499">
        <v>45874</v>
      </c>
      <c r="C11014" s="500" t="s">
        <v>173</v>
      </c>
      <c r="D11014" s="500" t="s">
        <v>760</v>
      </c>
      <c r="E11014" s="501">
        <v>-5001133.72</v>
      </c>
      <c r="F11014" s="502" t="s">
        <v>878</v>
      </c>
      <c r="G11014" s="443">
        <v>118434736</v>
      </c>
      <c r="H11014" s="530"/>
      <c r="I11014" s="422" t="s">
        <v>1013</v>
      </c>
      <c r="J11014" s="530" t="s">
        <v>906</v>
      </c>
      <c r="L11014" s="539"/>
      <c r="M11014" s="539"/>
      <c r="N11014" s="601">
        <v>9390</v>
      </c>
      <c r="R11014" s="548">
        <v>532.60209999999995</v>
      </c>
      <c r="S11014" s="548">
        <v>532.82900638977605</v>
      </c>
      <c r="T11014" s="549">
        <v>15.5502</v>
      </c>
      <c r="U11014" s="549">
        <v>39.32</v>
      </c>
      <c r="V11014" s="549">
        <v>3.75</v>
      </c>
    </row>
    <row r="11015" spans="1:22">
      <c r="A11015" s="499">
        <v>45874</v>
      </c>
      <c r="B11015" s="499">
        <v>45874</v>
      </c>
      <c r="C11015" s="500" t="s">
        <v>173</v>
      </c>
      <c r="D11015" s="500" t="s">
        <v>760</v>
      </c>
      <c r="E11015" s="501">
        <v>-1291491065.4200001</v>
      </c>
      <c r="F11015" s="502" t="s">
        <v>878</v>
      </c>
      <c r="G11015" s="443">
        <v>118434505</v>
      </c>
      <c r="H11015" s="530"/>
      <c r="I11015" s="422" t="s">
        <v>704</v>
      </c>
      <c r="J11015" s="530" t="s">
        <v>906</v>
      </c>
      <c r="L11015" s="539"/>
      <c r="M11015" s="539"/>
      <c r="N11015" s="601">
        <v>1585348</v>
      </c>
      <c r="R11015" s="548">
        <v>814.64200000000005</v>
      </c>
      <c r="S11015" s="548">
        <v>814.98917140590004</v>
      </c>
      <c r="T11015" s="549">
        <v>15.555</v>
      </c>
      <c r="U11015" s="549">
        <v>1937.24</v>
      </c>
      <c r="V11015" s="549">
        <v>968.62</v>
      </c>
    </row>
    <row r="11016" spans="1:22">
      <c r="A11016" s="499">
        <v>45874</v>
      </c>
      <c r="B11016" s="499">
        <v>45874</v>
      </c>
      <c r="C11016" s="500" t="s">
        <v>173</v>
      </c>
      <c r="D11016" s="500" t="s">
        <v>760</v>
      </c>
      <c r="E11016" s="501">
        <v>-9004001.75</v>
      </c>
      <c r="F11016" s="502" t="s">
        <v>878</v>
      </c>
      <c r="G11016" s="443">
        <v>118434502</v>
      </c>
      <c r="H11016" s="530"/>
      <c r="I11016" s="422" t="s">
        <v>717</v>
      </c>
      <c r="J11016" s="530" t="s">
        <v>906</v>
      </c>
      <c r="L11016" s="539"/>
      <c r="M11016" s="539"/>
      <c r="N11016" s="601">
        <v>15219</v>
      </c>
      <c r="R11016" s="548">
        <v>591.62900000000002</v>
      </c>
      <c r="S11016" s="548">
        <v>591.88113279453296</v>
      </c>
      <c r="T11016" s="549">
        <v>15.555099999999999</v>
      </c>
      <c r="U11016" s="549">
        <v>39.32</v>
      </c>
      <c r="V11016" s="549">
        <v>6.75</v>
      </c>
    </row>
    <row r="11017" spans="1:22">
      <c r="A11017" s="499">
        <v>45874</v>
      </c>
      <c r="B11017" s="499">
        <v>45875</v>
      </c>
      <c r="C11017" s="500" t="s">
        <v>173</v>
      </c>
      <c r="D11017" s="500" t="s">
        <v>760</v>
      </c>
      <c r="E11017" s="501">
        <v>891581710.09000003</v>
      </c>
      <c r="F11017" s="502" t="s">
        <v>878</v>
      </c>
      <c r="G11017" s="443">
        <v>118434724</v>
      </c>
      <c r="H11017" s="443">
        <v>118434724</v>
      </c>
      <c r="I11017" s="422" t="s">
        <v>1013</v>
      </c>
      <c r="J11017" s="484" t="s">
        <v>912</v>
      </c>
      <c r="L11017" s="539"/>
      <c r="M11017" s="539"/>
      <c r="N11017" s="601">
        <v>1673298</v>
      </c>
      <c r="R11017" s="548">
        <v>532.60209999999995</v>
      </c>
      <c r="S11017" s="548">
        <v>532.82900600490802</v>
      </c>
      <c r="T11017" s="549">
        <v>15.5502</v>
      </c>
      <c r="U11017" s="549">
        <v>1336.8</v>
      </c>
      <c r="V11017" s="549">
        <v>668.4</v>
      </c>
    </row>
    <row r="11018" spans="1:22">
      <c r="A11018" s="499">
        <v>45874</v>
      </c>
      <c r="B11018" s="499">
        <v>45875</v>
      </c>
      <c r="C11018" s="500" t="s">
        <v>173</v>
      </c>
      <c r="D11018" s="500" t="s">
        <v>760</v>
      </c>
      <c r="E11018" s="501">
        <v>5003264.37</v>
      </c>
      <c r="F11018" s="502" t="s">
        <v>878</v>
      </c>
      <c r="G11018" s="443">
        <v>118434736</v>
      </c>
      <c r="H11018" s="443">
        <v>118434736</v>
      </c>
      <c r="I11018" s="422" t="s">
        <v>1013</v>
      </c>
      <c r="J11018" s="484" t="s">
        <v>912</v>
      </c>
      <c r="L11018" s="539"/>
      <c r="M11018" s="539"/>
      <c r="N11018" s="601">
        <v>9390</v>
      </c>
      <c r="R11018" s="548">
        <v>532.60209999999995</v>
      </c>
      <c r="S11018" s="548">
        <v>532.82900638977605</v>
      </c>
      <c r="T11018" s="549">
        <v>15.5502</v>
      </c>
      <c r="U11018" s="549">
        <v>39.32</v>
      </c>
      <c r="V11018" s="549">
        <v>3.75</v>
      </c>
    </row>
    <row r="11019" spans="1:22">
      <c r="A11019" s="499">
        <v>45874</v>
      </c>
      <c r="B11019" s="499">
        <v>45875</v>
      </c>
      <c r="C11019" s="500" t="s">
        <v>173</v>
      </c>
      <c r="D11019" s="500" t="s">
        <v>760</v>
      </c>
      <c r="E11019" s="501">
        <v>1292041452.9100001</v>
      </c>
      <c r="F11019" s="502" t="s">
        <v>878</v>
      </c>
      <c r="G11019" s="443">
        <v>118434505</v>
      </c>
      <c r="H11019" s="443">
        <v>118434505</v>
      </c>
      <c r="I11019" s="422" t="s">
        <v>704</v>
      </c>
      <c r="J11019" s="484" t="s">
        <v>912</v>
      </c>
      <c r="L11019" s="539"/>
      <c r="M11019" s="539"/>
      <c r="N11019" s="601">
        <v>1585348</v>
      </c>
      <c r="R11019" s="548">
        <v>814.64200000000005</v>
      </c>
      <c r="S11019" s="548">
        <v>814.98917140590004</v>
      </c>
      <c r="T11019" s="549">
        <v>15.555</v>
      </c>
      <c r="U11019" s="549">
        <v>1937.24</v>
      </c>
      <c r="V11019" s="549">
        <v>968.62</v>
      </c>
    </row>
    <row r="11020" spans="1:22">
      <c r="A11020" s="499">
        <v>45874</v>
      </c>
      <c r="B11020" s="499">
        <v>45875</v>
      </c>
      <c r="C11020" s="500" t="s">
        <v>173</v>
      </c>
      <c r="D11020" s="500" t="s">
        <v>760</v>
      </c>
      <c r="E11020" s="501">
        <v>9007838.9600000009</v>
      </c>
      <c r="F11020" s="502" t="s">
        <v>878</v>
      </c>
      <c r="G11020" s="443">
        <v>118434502</v>
      </c>
      <c r="H11020" s="443">
        <v>118434502</v>
      </c>
      <c r="I11020" s="422" t="s">
        <v>717</v>
      </c>
      <c r="J11020" s="484" t="s">
        <v>912</v>
      </c>
      <c r="L11020" s="539"/>
      <c r="M11020" s="539"/>
      <c r="N11020" s="601">
        <v>15219</v>
      </c>
      <c r="R11020" s="548">
        <v>591.62900000000002</v>
      </c>
      <c r="S11020" s="548">
        <v>591.88113279453296</v>
      </c>
      <c r="T11020" s="549">
        <v>15.555099999999999</v>
      </c>
      <c r="U11020" s="549">
        <v>39.32</v>
      </c>
      <c r="V11020" s="549">
        <v>6.75</v>
      </c>
    </row>
    <row r="11021" spans="1:22">
      <c r="A11021" s="499">
        <v>45874</v>
      </c>
      <c r="B11021" s="499">
        <v>45874</v>
      </c>
      <c r="C11021" s="500" t="s">
        <v>173</v>
      </c>
      <c r="D11021" s="500" t="s">
        <v>762</v>
      </c>
      <c r="E11021" s="501">
        <v>-2989513242.7199998</v>
      </c>
      <c r="F11021" s="502" t="s">
        <v>878</v>
      </c>
      <c r="G11021" s="484">
        <v>118436585</v>
      </c>
      <c r="H11021" s="530"/>
      <c r="I11021" s="422" t="s">
        <v>708</v>
      </c>
      <c r="J11021" s="530" t="s">
        <v>906</v>
      </c>
      <c r="L11021" s="539"/>
      <c r="M11021" s="539"/>
      <c r="N11021" s="600">
        <v>4317660</v>
      </c>
      <c r="R11021" s="539">
        <v>692.39200000000005</v>
      </c>
      <c r="S11021" s="539">
        <v>692.686029478931</v>
      </c>
      <c r="T11021" s="538">
        <v>15.5</v>
      </c>
      <c r="U11021" s="538">
        <v>4484.2700000000004</v>
      </c>
      <c r="V11021" s="538">
        <v>2242.13</v>
      </c>
    </row>
    <row r="11022" spans="1:22">
      <c r="A11022" s="499">
        <v>45874</v>
      </c>
      <c r="B11022" s="499">
        <v>45874</v>
      </c>
      <c r="C11022" s="500" t="s">
        <v>173</v>
      </c>
      <c r="D11022" s="500" t="s">
        <v>762</v>
      </c>
      <c r="E11022" s="501">
        <v>-18009115.920000002</v>
      </c>
      <c r="F11022" s="502" t="s">
        <v>878</v>
      </c>
      <c r="G11022" s="484">
        <v>118436652</v>
      </c>
      <c r="H11022" s="530"/>
      <c r="I11022" s="422" t="s">
        <v>708</v>
      </c>
      <c r="J11022" s="530" t="s">
        <v>906</v>
      </c>
      <c r="L11022" s="539"/>
      <c r="M11022" s="539"/>
      <c r="N11022" s="600">
        <v>26010</v>
      </c>
      <c r="R11022" s="539">
        <v>692.39200000000005</v>
      </c>
      <c r="S11022" s="539">
        <v>692.68602960399801</v>
      </c>
      <c r="T11022" s="538">
        <v>15.5</v>
      </c>
      <c r="U11022" s="538">
        <v>39.32</v>
      </c>
      <c r="V11022" s="538">
        <v>13.51</v>
      </c>
    </row>
    <row r="11023" spans="1:22">
      <c r="A11023" s="499">
        <v>45874</v>
      </c>
      <c r="B11023" s="499">
        <v>45875</v>
      </c>
      <c r="C11023" s="500" t="s">
        <v>173</v>
      </c>
      <c r="D11023" s="500" t="s">
        <v>762</v>
      </c>
      <c r="E11023" s="501">
        <v>2990782762.04</v>
      </c>
      <c r="F11023" s="502" t="s">
        <v>878</v>
      </c>
      <c r="G11023" s="484">
        <v>118436585</v>
      </c>
      <c r="H11023" s="484">
        <v>118436585</v>
      </c>
      <c r="I11023" s="422" t="s">
        <v>708</v>
      </c>
      <c r="J11023" s="484" t="s">
        <v>912</v>
      </c>
      <c r="L11023" s="539"/>
      <c r="M11023" s="539"/>
      <c r="N11023" s="600">
        <v>4317660</v>
      </c>
      <c r="R11023" s="539">
        <v>692.39200000000005</v>
      </c>
      <c r="S11023" s="539">
        <v>692.686029478931</v>
      </c>
      <c r="T11023" s="538">
        <v>15.5</v>
      </c>
      <c r="U11023" s="538">
        <v>4484.2700000000004</v>
      </c>
      <c r="V11023" s="538">
        <v>2242.13</v>
      </c>
    </row>
    <row r="11024" spans="1:22">
      <c r="A11024" s="499">
        <v>45874</v>
      </c>
      <c r="B11024" s="499">
        <v>45875</v>
      </c>
      <c r="C11024" s="500" t="s">
        <v>173</v>
      </c>
      <c r="D11024" s="500" t="s">
        <v>762</v>
      </c>
      <c r="E11024" s="501">
        <v>18016763.629999999</v>
      </c>
      <c r="F11024" s="502" t="s">
        <v>878</v>
      </c>
      <c r="G11024" s="484">
        <v>118436652</v>
      </c>
      <c r="H11024" s="484">
        <v>118436652</v>
      </c>
      <c r="I11024" s="422" t="s">
        <v>708</v>
      </c>
      <c r="J11024" s="484" t="s">
        <v>912</v>
      </c>
      <c r="L11024" s="539"/>
      <c r="M11024" s="539"/>
      <c r="N11024" s="600">
        <v>26010</v>
      </c>
      <c r="R11024" s="539">
        <v>692.39200000000005</v>
      </c>
      <c r="S11024" s="539">
        <v>692.68602960399801</v>
      </c>
      <c r="T11024" s="538">
        <v>15.5</v>
      </c>
      <c r="U11024" s="538">
        <v>39.32</v>
      </c>
      <c r="V11024" s="538">
        <v>13.51</v>
      </c>
    </row>
    <row r="11025" spans="1:22">
      <c r="A11025" s="499">
        <v>45874</v>
      </c>
      <c r="B11025" s="499">
        <v>45874</v>
      </c>
      <c r="C11025" s="500" t="s">
        <v>173</v>
      </c>
      <c r="D11025" s="500" t="s">
        <v>763</v>
      </c>
      <c r="E11025" s="501">
        <v>-992377332.99000001</v>
      </c>
      <c r="F11025" s="502" t="s">
        <v>878</v>
      </c>
      <c r="G11025" s="484">
        <v>118434921</v>
      </c>
      <c r="H11025" s="530"/>
      <c r="I11025" s="422" t="s">
        <v>704</v>
      </c>
      <c r="J11025" s="530" t="s">
        <v>906</v>
      </c>
      <c r="L11025" s="539"/>
      <c r="M11025" s="539"/>
      <c r="N11025" s="601">
        <v>1218176</v>
      </c>
      <c r="R11025" s="548">
        <v>814.64200000000005</v>
      </c>
      <c r="S11025" s="548">
        <v>814.98908212770596</v>
      </c>
      <c r="T11025" s="549">
        <v>15.551</v>
      </c>
      <c r="U11025" s="549">
        <v>1488.57</v>
      </c>
      <c r="V11025" s="549">
        <v>744.28</v>
      </c>
    </row>
    <row r="11026" spans="1:22">
      <c r="A11026" s="499">
        <v>45874</v>
      </c>
      <c r="B11026" s="499">
        <v>45874</v>
      </c>
      <c r="C11026" s="500" t="s">
        <v>173</v>
      </c>
      <c r="D11026" s="500" t="s">
        <v>763</v>
      </c>
      <c r="E11026" s="501">
        <v>-2601231723.0900002</v>
      </c>
      <c r="F11026" s="502" t="s">
        <v>878</v>
      </c>
      <c r="G11026" s="484">
        <v>118434924</v>
      </c>
      <c r="H11026" s="530"/>
      <c r="I11026" s="422" t="s">
        <v>691</v>
      </c>
      <c r="J11026" s="530" t="s">
        <v>906</v>
      </c>
      <c r="L11026" s="539"/>
      <c r="M11026" s="539"/>
      <c r="N11026" s="601">
        <v>3004155</v>
      </c>
      <c r="R11026" s="548">
        <v>865.87800000000004</v>
      </c>
      <c r="S11026" s="548">
        <v>866.24691147427495</v>
      </c>
      <c r="T11026" s="549">
        <v>15.551</v>
      </c>
      <c r="U11026" s="549">
        <v>3901.85</v>
      </c>
      <c r="V11026" s="549">
        <v>1950.92</v>
      </c>
    </row>
    <row r="11027" spans="1:22">
      <c r="A11027" s="499">
        <v>45874</v>
      </c>
      <c r="B11027" s="499">
        <v>45874</v>
      </c>
      <c r="C11027" s="500" t="s">
        <v>173</v>
      </c>
      <c r="D11027" s="500" t="s">
        <v>763</v>
      </c>
      <c r="E11027" s="501">
        <v>-23002049.07</v>
      </c>
      <c r="F11027" s="502" t="s">
        <v>878</v>
      </c>
      <c r="G11027" s="484">
        <v>118434968</v>
      </c>
      <c r="H11027" s="530"/>
      <c r="I11027" s="422" t="s">
        <v>691</v>
      </c>
      <c r="J11027" s="530" t="s">
        <v>906</v>
      </c>
      <c r="L11027" s="539"/>
      <c r="M11027" s="539"/>
      <c r="N11027" s="601">
        <v>26565</v>
      </c>
      <c r="R11027" s="548">
        <v>865.87800000000004</v>
      </c>
      <c r="S11027" s="548">
        <v>866.24691134952002</v>
      </c>
      <c r="T11027" s="549">
        <v>15.551</v>
      </c>
      <c r="U11027" s="549">
        <v>39.32</v>
      </c>
      <c r="V11027" s="549">
        <v>39.32</v>
      </c>
    </row>
    <row r="11028" spans="1:22">
      <c r="A11028" s="499">
        <v>45874</v>
      </c>
      <c r="B11028" s="499">
        <v>45875</v>
      </c>
      <c r="C11028" s="500" t="s">
        <v>173</v>
      </c>
      <c r="D11028" s="500" t="s">
        <v>763</v>
      </c>
      <c r="E11028" s="501">
        <v>992800140.11000001</v>
      </c>
      <c r="F11028" s="502" t="s">
        <v>878</v>
      </c>
      <c r="G11028" s="484">
        <v>118434921</v>
      </c>
      <c r="H11028" s="484">
        <v>118434921</v>
      </c>
      <c r="I11028" s="422" t="s">
        <v>704</v>
      </c>
      <c r="J11028" s="484" t="s">
        <v>912</v>
      </c>
      <c r="L11028" s="539"/>
      <c r="M11028" s="539"/>
      <c r="N11028" s="601">
        <v>1218176</v>
      </c>
      <c r="R11028" s="548">
        <v>814.64200000000005</v>
      </c>
      <c r="S11028" s="548">
        <v>814.98908212770596</v>
      </c>
      <c r="T11028" s="549">
        <v>15.551</v>
      </c>
      <c r="U11028" s="549">
        <v>1488.57</v>
      </c>
      <c r="V11028" s="549">
        <v>744.28</v>
      </c>
    </row>
    <row r="11029" spans="1:22">
      <c r="A11029" s="499">
        <v>45874</v>
      </c>
      <c r="B11029" s="499">
        <v>45875</v>
      </c>
      <c r="C11029" s="500" t="s">
        <v>173</v>
      </c>
      <c r="D11029" s="500" t="s">
        <v>763</v>
      </c>
      <c r="E11029" s="501">
        <v>2602339990.3400002</v>
      </c>
      <c r="F11029" s="502" t="s">
        <v>878</v>
      </c>
      <c r="G11029" s="484">
        <v>118434924</v>
      </c>
      <c r="H11029" s="484">
        <v>118434924</v>
      </c>
      <c r="I11029" s="422" t="s">
        <v>691</v>
      </c>
      <c r="J11029" s="484" t="s">
        <v>912</v>
      </c>
      <c r="L11029" s="539"/>
      <c r="M11029" s="539"/>
      <c r="N11029" s="601">
        <v>3004155</v>
      </c>
      <c r="R11029" s="548">
        <v>865.87800000000004</v>
      </c>
      <c r="S11029" s="548">
        <v>866.24691147427495</v>
      </c>
      <c r="T11029" s="549">
        <v>15.551</v>
      </c>
      <c r="U11029" s="549">
        <v>3901.85</v>
      </c>
      <c r="V11029" s="549">
        <v>1950.92</v>
      </c>
    </row>
    <row r="11030" spans="1:22">
      <c r="A11030" s="499">
        <v>45874</v>
      </c>
      <c r="B11030" s="499">
        <v>45875</v>
      </c>
      <c r="C11030" s="500" t="s">
        <v>173</v>
      </c>
      <c r="D11030" s="500" t="s">
        <v>763</v>
      </c>
      <c r="E11030" s="501">
        <v>23011849.199999999</v>
      </c>
      <c r="F11030" s="502" t="s">
        <v>878</v>
      </c>
      <c r="G11030" s="484">
        <v>118434968</v>
      </c>
      <c r="H11030" s="484">
        <v>118434968</v>
      </c>
      <c r="I11030" s="422" t="s">
        <v>691</v>
      </c>
      <c r="J11030" s="484" t="s">
        <v>912</v>
      </c>
      <c r="L11030" s="539"/>
      <c r="M11030" s="539"/>
      <c r="N11030" s="601">
        <v>26565</v>
      </c>
      <c r="R11030" s="548">
        <v>865.87800000000004</v>
      </c>
      <c r="S11030" s="548">
        <v>866.24691134952002</v>
      </c>
      <c r="T11030" s="549">
        <v>15.551</v>
      </c>
      <c r="U11030" s="549">
        <v>39.32</v>
      </c>
      <c r="V11030" s="549">
        <v>39.32</v>
      </c>
    </row>
    <row r="11031" spans="1:22">
      <c r="A11031" s="499">
        <v>45874</v>
      </c>
      <c r="B11031" s="499">
        <v>45874</v>
      </c>
      <c r="C11031" s="500" t="s">
        <v>173</v>
      </c>
      <c r="D11031" s="500" t="s">
        <v>761</v>
      </c>
      <c r="E11031" s="501">
        <v>-1000424.42</v>
      </c>
      <c r="F11031" s="502" t="s">
        <v>878</v>
      </c>
      <c r="G11031" s="443">
        <v>118435321</v>
      </c>
      <c r="H11031" s="530"/>
      <c r="I11031" s="422" t="s">
        <v>709</v>
      </c>
      <c r="J11031" s="530" t="s">
        <v>906</v>
      </c>
      <c r="L11031" s="539"/>
      <c r="M11031" s="539"/>
      <c r="N11031" s="601">
        <v>1203</v>
      </c>
      <c r="R11031" s="548">
        <v>831.60799667497929</v>
      </c>
      <c r="S11031" s="548">
        <v>831.96274314214497</v>
      </c>
      <c r="T11031" s="549">
        <v>15.57</v>
      </c>
      <c r="U11031" s="549">
        <v>39.32</v>
      </c>
      <c r="V11031" s="549">
        <v>0.75</v>
      </c>
    </row>
    <row r="11032" spans="1:22">
      <c r="A11032" s="499">
        <v>45874</v>
      </c>
      <c r="B11032" s="499">
        <v>45874</v>
      </c>
      <c r="C11032" s="500" t="s">
        <v>173</v>
      </c>
      <c r="D11032" s="500" t="s">
        <v>761</v>
      </c>
      <c r="E11032" s="501">
        <v>-4000225.46</v>
      </c>
      <c r="F11032" s="502" t="s">
        <v>878</v>
      </c>
      <c r="G11032" s="443">
        <v>118435324</v>
      </c>
      <c r="H11032" s="530"/>
      <c r="I11032" s="422" t="s">
        <v>720</v>
      </c>
      <c r="J11032" s="530" t="s">
        <v>906</v>
      </c>
      <c r="L11032" s="539"/>
      <c r="M11032" s="539"/>
      <c r="N11032" s="601">
        <v>6580</v>
      </c>
      <c r="R11032" s="548">
        <v>607.93700000000001</v>
      </c>
      <c r="S11032" s="548">
        <v>608.19633130699106</v>
      </c>
      <c r="T11032" s="549">
        <v>15.57</v>
      </c>
      <c r="U11032" s="549">
        <v>39.32</v>
      </c>
      <c r="V11032" s="549">
        <v>3</v>
      </c>
    </row>
    <row r="11033" spans="1:22">
      <c r="A11033" s="499">
        <v>45874</v>
      </c>
      <c r="B11033" s="499">
        <v>45874</v>
      </c>
      <c r="C11033" s="500" t="s">
        <v>173</v>
      </c>
      <c r="D11033" s="500" t="s">
        <v>761</v>
      </c>
      <c r="E11033" s="501">
        <v>-5000560.72</v>
      </c>
      <c r="F11033" s="502" t="s">
        <v>878</v>
      </c>
      <c r="G11033" s="443">
        <v>118435327</v>
      </c>
      <c r="H11033" s="530"/>
      <c r="I11033" s="422" t="s">
        <v>631</v>
      </c>
      <c r="J11033" s="530" t="s">
        <v>906</v>
      </c>
      <c r="L11033" s="539"/>
      <c r="M11033" s="539"/>
      <c r="N11033" s="601">
        <v>10045</v>
      </c>
      <c r="R11033" s="548">
        <v>497.81590044798406</v>
      </c>
      <c r="S11033" s="548">
        <v>498.028256844201</v>
      </c>
      <c r="T11033" s="549">
        <v>15.57</v>
      </c>
      <c r="U11033" s="549">
        <v>39.32</v>
      </c>
      <c r="V11033" s="549">
        <v>3.75</v>
      </c>
    </row>
    <row r="11034" spans="1:22">
      <c r="A11034" s="499">
        <v>45874</v>
      </c>
      <c r="B11034" s="499">
        <v>45874</v>
      </c>
      <c r="C11034" s="500" t="s">
        <v>173</v>
      </c>
      <c r="D11034" s="500" t="s">
        <v>761</v>
      </c>
      <c r="E11034" s="501">
        <v>-9003563.0999999996</v>
      </c>
      <c r="F11034" s="502" t="s">
        <v>878</v>
      </c>
      <c r="G11034" s="443">
        <v>118435330</v>
      </c>
      <c r="H11034" s="530"/>
      <c r="I11034" s="422" t="s">
        <v>721</v>
      </c>
      <c r="J11034" s="530" t="s">
        <v>906</v>
      </c>
      <c r="L11034" s="539"/>
      <c r="M11034" s="539"/>
      <c r="N11034" s="601">
        <v>15498</v>
      </c>
      <c r="R11034" s="548">
        <v>580.94999999999993</v>
      </c>
      <c r="S11034" s="548">
        <v>581.19781907342895</v>
      </c>
      <c r="T11034" s="549">
        <v>15.57</v>
      </c>
      <c r="U11034" s="549">
        <v>39.32</v>
      </c>
      <c r="V11034" s="549">
        <v>6.75</v>
      </c>
    </row>
    <row r="11035" spans="1:22">
      <c r="A11035" s="499">
        <v>45874</v>
      </c>
      <c r="B11035" s="499">
        <v>45874</v>
      </c>
      <c r="C11035" s="500" t="s">
        <v>173</v>
      </c>
      <c r="D11035" s="500" t="s">
        <v>761</v>
      </c>
      <c r="E11035" s="501">
        <v>-17006267.190000001</v>
      </c>
      <c r="F11035" s="502" t="s">
        <v>878</v>
      </c>
      <c r="G11035" s="443">
        <v>118435333</v>
      </c>
      <c r="H11035" s="530"/>
      <c r="I11035" s="422" t="s">
        <v>600</v>
      </c>
      <c r="J11035" s="530" t="s">
        <v>906</v>
      </c>
      <c r="L11035" s="539"/>
      <c r="M11035" s="539"/>
      <c r="N11035" s="601">
        <v>18938</v>
      </c>
      <c r="R11035" s="548">
        <v>897.99700021121566</v>
      </c>
      <c r="S11035" s="548">
        <v>898.38006336466401</v>
      </c>
      <c r="T11035" s="549">
        <v>15.57</v>
      </c>
      <c r="U11035" s="549">
        <v>39.32</v>
      </c>
      <c r="V11035" s="549">
        <v>12.75</v>
      </c>
    </row>
    <row r="11036" spans="1:22">
      <c r="A11036" s="499">
        <v>45874</v>
      </c>
      <c r="B11036" s="499">
        <v>45874</v>
      </c>
      <c r="C11036" s="500" t="s">
        <v>173</v>
      </c>
      <c r="D11036" s="500" t="s">
        <v>761</v>
      </c>
      <c r="E11036" s="501">
        <v>-21013776.760000002</v>
      </c>
      <c r="F11036" s="502" t="s">
        <v>878</v>
      </c>
      <c r="G11036" s="443">
        <v>118435336</v>
      </c>
      <c r="H11036" s="530"/>
      <c r="I11036" s="422" t="s">
        <v>604</v>
      </c>
      <c r="J11036" s="530" t="s">
        <v>906</v>
      </c>
      <c r="L11036" s="539"/>
      <c r="M11036" s="539"/>
      <c r="N11036" s="601">
        <v>20622</v>
      </c>
      <c r="R11036" s="548">
        <v>1018.9980001939676</v>
      </c>
      <c r="S11036" s="548">
        <v>1019.4326796625</v>
      </c>
      <c r="T11036" s="549">
        <v>15.57</v>
      </c>
      <c r="U11036" s="549">
        <v>39.32</v>
      </c>
      <c r="V11036" s="549">
        <v>15.76</v>
      </c>
    </row>
    <row r="11037" spans="1:22">
      <c r="A11037" s="499">
        <v>45874</v>
      </c>
      <c r="B11037" s="499">
        <v>45874</v>
      </c>
      <c r="C11037" s="500" t="s">
        <v>173</v>
      </c>
      <c r="D11037" s="500" t="s">
        <v>761</v>
      </c>
      <c r="E11037" s="501">
        <v>-22006613.75</v>
      </c>
      <c r="F11037" s="502" t="s">
        <v>878</v>
      </c>
      <c r="G11037" s="443">
        <v>118435339</v>
      </c>
      <c r="H11037" s="530"/>
      <c r="I11037" s="422" t="s">
        <v>590</v>
      </c>
      <c r="J11037" s="530" t="s">
        <v>906</v>
      </c>
      <c r="L11037" s="539"/>
      <c r="M11037" s="539"/>
      <c r="N11037" s="601">
        <v>25190</v>
      </c>
      <c r="R11037" s="548">
        <v>873.625</v>
      </c>
      <c r="S11037" s="548">
        <v>873.99766693132199</v>
      </c>
      <c r="T11037" s="549">
        <v>15.57</v>
      </c>
      <c r="U11037" s="549">
        <v>39.32</v>
      </c>
      <c r="V11037" s="549">
        <v>16.5</v>
      </c>
    </row>
    <row r="11038" spans="1:22">
      <c r="A11038" s="499">
        <v>45874</v>
      </c>
      <c r="B11038" s="499">
        <v>45874</v>
      </c>
      <c r="C11038" s="500" t="s">
        <v>173</v>
      </c>
      <c r="D11038" s="500" t="s">
        <v>761</v>
      </c>
      <c r="E11038" s="501">
        <v>-22002424.16</v>
      </c>
      <c r="F11038" s="502" t="s">
        <v>878</v>
      </c>
      <c r="G11038" s="443">
        <v>118435342</v>
      </c>
      <c r="H11038" s="530"/>
      <c r="I11038" s="422" t="s">
        <v>602</v>
      </c>
      <c r="J11038" s="530" t="s">
        <v>906</v>
      </c>
      <c r="L11038" s="539"/>
      <c r="M11038" s="539"/>
      <c r="N11038" s="601">
        <v>26598</v>
      </c>
      <c r="R11038" s="548">
        <v>827.22100007519361</v>
      </c>
      <c r="S11038" s="548">
        <v>827.57387209564604</v>
      </c>
      <c r="T11038" s="549">
        <v>15.57</v>
      </c>
      <c r="U11038" s="549">
        <v>39.32</v>
      </c>
      <c r="V11038" s="549">
        <v>16.5</v>
      </c>
    </row>
    <row r="11039" spans="1:22">
      <c r="A11039" s="499">
        <v>45874</v>
      </c>
      <c r="B11039" s="499">
        <v>45874</v>
      </c>
      <c r="C11039" s="500" t="s">
        <v>173</v>
      </c>
      <c r="D11039" s="500" t="s">
        <v>761</v>
      </c>
      <c r="E11039" s="501">
        <v>-28015413.579999998</v>
      </c>
      <c r="F11039" s="502" t="s">
        <v>878</v>
      </c>
      <c r="G11039" s="443">
        <v>118435345</v>
      </c>
      <c r="H11039" s="530"/>
      <c r="I11039" s="422" t="s">
        <v>592</v>
      </c>
      <c r="J11039" s="530" t="s">
        <v>906</v>
      </c>
      <c r="L11039" s="539"/>
      <c r="M11039" s="539"/>
      <c r="N11039" s="601">
        <v>35420</v>
      </c>
      <c r="R11039" s="548">
        <v>790.94899999999996</v>
      </c>
      <c r="S11039" s="548">
        <v>791.28639920948604</v>
      </c>
      <c r="T11039" s="549">
        <v>15.57</v>
      </c>
      <c r="U11039" s="549">
        <v>42.02</v>
      </c>
      <c r="V11039" s="549">
        <v>21.01</v>
      </c>
    </row>
    <row r="11040" spans="1:22">
      <c r="A11040" s="499">
        <v>45874</v>
      </c>
      <c r="B11040" s="499">
        <v>45874</v>
      </c>
      <c r="C11040" s="500" t="s">
        <v>173</v>
      </c>
      <c r="D11040" s="500" t="s">
        <v>761</v>
      </c>
      <c r="E11040" s="501">
        <v>-40011325</v>
      </c>
      <c r="F11040" s="502" t="s">
        <v>878</v>
      </c>
      <c r="G11040" s="443">
        <v>118435348</v>
      </c>
      <c r="H11040" s="530"/>
      <c r="I11040" s="422" t="s">
        <v>588</v>
      </c>
      <c r="J11040" s="530" t="s">
        <v>906</v>
      </c>
      <c r="L11040" s="539"/>
      <c r="M11040" s="539"/>
      <c r="N11040" s="601">
        <v>44120</v>
      </c>
      <c r="R11040" s="548">
        <v>906.875</v>
      </c>
      <c r="S11040" s="548">
        <v>907.26185040797805</v>
      </c>
      <c r="T11040" s="549">
        <v>15.57</v>
      </c>
      <c r="U11040" s="549">
        <v>60.02</v>
      </c>
      <c r="V11040" s="549">
        <v>30.01</v>
      </c>
    </row>
    <row r="11041" spans="1:22">
      <c r="A11041" s="499">
        <v>45874</v>
      </c>
      <c r="B11041" s="499">
        <v>45874</v>
      </c>
      <c r="C11041" s="500" t="s">
        <v>173</v>
      </c>
      <c r="D11041" s="500" t="s">
        <v>761</v>
      </c>
      <c r="E11041" s="501">
        <v>-1614097682.02</v>
      </c>
      <c r="F11041" s="502" t="s">
        <v>878</v>
      </c>
      <c r="G11041" s="443">
        <v>118436337</v>
      </c>
      <c r="H11041" s="530"/>
      <c r="I11041" s="422" t="s">
        <v>2556</v>
      </c>
      <c r="J11041" s="530" t="s">
        <v>906</v>
      </c>
      <c r="L11041" s="539"/>
      <c r="M11041" s="539"/>
      <c r="N11041" s="601">
        <v>18194622</v>
      </c>
      <c r="R11041" s="548">
        <v>88.712899999791148</v>
      </c>
      <c r="S11041" s="548">
        <v>88.750451076697303</v>
      </c>
      <c r="T11041" s="549">
        <v>15.45</v>
      </c>
      <c r="U11041" s="549">
        <v>2421.15</v>
      </c>
      <c r="V11041" s="549">
        <v>1210.57</v>
      </c>
    </row>
    <row r="11042" spans="1:22">
      <c r="A11042" s="499">
        <v>45874</v>
      </c>
      <c r="B11042" s="499">
        <v>45874</v>
      </c>
      <c r="C11042" s="500" t="s">
        <v>173</v>
      </c>
      <c r="D11042" s="500" t="s">
        <v>761</v>
      </c>
      <c r="E11042" s="501">
        <v>-11000665.74</v>
      </c>
      <c r="F11042" s="502" t="s">
        <v>878</v>
      </c>
      <c r="G11042" s="443">
        <v>118436365</v>
      </c>
      <c r="H11042" s="530"/>
      <c r="I11042" s="422" t="s">
        <v>2556</v>
      </c>
      <c r="J11042" s="530" t="s">
        <v>906</v>
      </c>
      <c r="L11042" s="539"/>
      <c r="M11042" s="539"/>
      <c r="N11042" s="601">
        <v>124003</v>
      </c>
      <c r="R11042" s="548">
        <v>88.712900010483622</v>
      </c>
      <c r="S11042" s="548">
        <v>88.750451118118093</v>
      </c>
      <c r="T11042" s="549">
        <v>15.45</v>
      </c>
      <c r="U11042" s="549">
        <v>39.32</v>
      </c>
      <c r="V11042" s="549">
        <v>8.25</v>
      </c>
    </row>
    <row r="11043" spans="1:22">
      <c r="A11043" s="499">
        <v>45874</v>
      </c>
      <c r="B11043" s="499">
        <v>45875</v>
      </c>
      <c r="C11043" s="500" t="s">
        <v>173</v>
      </c>
      <c r="D11043" s="500" t="s">
        <v>761</v>
      </c>
      <c r="E11043" s="501">
        <v>1000851.18</v>
      </c>
      <c r="F11043" s="502" t="s">
        <v>878</v>
      </c>
      <c r="G11043" s="443">
        <v>118435321</v>
      </c>
      <c r="H11043" s="443">
        <v>118435321</v>
      </c>
      <c r="I11043" s="422" t="s">
        <v>709</v>
      </c>
      <c r="J11043" s="484" t="s">
        <v>912</v>
      </c>
      <c r="L11043" s="539"/>
      <c r="M11043" s="539"/>
      <c r="N11043" s="601">
        <v>1203</v>
      </c>
      <c r="R11043" s="548">
        <v>831.60799667497929</v>
      </c>
      <c r="S11043" s="548">
        <v>831.96274314214497</v>
      </c>
      <c r="T11043" s="549">
        <v>15.57</v>
      </c>
      <c r="U11043" s="549">
        <v>39.32</v>
      </c>
      <c r="V11043" s="549">
        <v>0.75</v>
      </c>
    </row>
    <row r="11044" spans="1:22">
      <c r="A11044" s="499">
        <v>45874</v>
      </c>
      <c r="B11044" s="499">
        <v>45875</v>
      </c>
      <c r="C11044" s="500" t="s">
        <v>173</v>
      </c>
      <c r="D11044" s="500" t="s">
        <v>761</v>
      </c>
      <c r="E11044" s="501">
        <v>4001931.86</v>
      </c>
      <c r="F11044" s="502" t="s">
        <v>878</v>
      </c>
      <c r="G11044" s="443">
        <v>118435324</v>
      </c>
      <c r="H11044" s="443">
        <v>118435324</v>
      </c>
      <c r="I11044" s="422" t="s">
        <v>720</v>
      </c>
      <c r="J11044" s="484" t="s">
        <v>912</v>
      </c>
      <c r="L11044" s="539"/>
      <c r="M11044" s="539"/>
      <c r="N11044" s="601">
        <v>6580</v>
      </c>
      <c r="R11044" s="548">
        <v>607.93700000000001</v>
      </c>
      <c r="S11044" s="548">
        <v>608.19633130699106</v>
      </c>
      <c r="T11044" s="549">
        <v>15.57</v>
      </c>
      <c r="U11044" s="549">
        <v>39.32</v>
      </c>
      <c r="V11044" s="549">
        <v>3</v>
      </c>
    </row>
    <row r="11045" spans="1:22">
      <c r="A11045" s="499">
        <v>45874</v>
      </c>
      <c r="B11045" s="499">
        <v>45875</v>
      </c>
      <c r="C11045" s="500" t="s">
        <v>173</v>
      </c>
      <c r="D11045" s="500" t="s">
        <v>761</v>
      </c>
      <c r="E11045" s="501">
        <v>5002693.84</v>
      </c>
      <c r="F11045" s="502" t="s">
        <v>878</v>
      </c>
      <c r="G11045" s="443">
        <v>118435327</v>
      </c>
      <c r="H11045" s="443">
        <v>118435327</v>
      </c>
      <c r="I11045" s="422" t="s">
        <v>631</v>
      </c>
      <c r="J11045" s="484" t="s">
        <v>912</v>
      </c>
      <c r="L11045" s="539"/>
      <c r="M11045" s="539"/>
      <c r="N11045" s="601">
        <v>10045</v>
      </c>
      <c r="R11045" s="548">
        <v>497.81590044798406</v>
      </c>
      <c r="S11045" s="548">
        <v>498.028256844201</v>
      </c>
      <c r="T11045" s="549">
        <v>15.57</v>
      </c>
      <c r="U11045" s="549">
        <v>39.32</v>
      </c>
      <c r="V11045" s="549">
        <v>3.75</v>
      </c>
    </row>
    <row r="11046" spans="1:22">
      <c r="A11046" s="499">
        <v>45874</v>
      </c>
      <c r="B11046" s="499">
        <v>45875</v>
      </c>
      <c r="C11046" s="500" t="s">
        <v>173</v>
      </c>
      <c r="D11046" s="500" t="s">
        <v>761</v>
      </c>
      <c r="E11046" s="501">
        <v>9007403.8000000007</v>
      </c>
      <c r="F11046" s="502" t="s">
        <v>878</v>
      </c>
      <c r="G11046" s="443">
        <v>118435330</v>
      </c>
      <c r="H11046" s="443">
        <v>118435330</v>
      </c>
      <c r="I11046" s="422" t="s">
        <v>721</v>
      </c>
      <c r="J11046" s="484" t="s">
        <v>912</v>
      </c>
      <c r="L11046" s="539"/>
      <c r="M11046" s="539"/>
      <c r="N11046" s="601">
        <v>15498</v>
      </c>
      <c r="R11046" s="548">
        <v>580.94999999999993</v>
      </c>
      <c r="S11046" s="548">
        <v>581.19781907342895</v>
      </c>
      <c r="T11046" s="549">
        <v>15.57</v>
      </c>
      <c r="U11046" s="549">
        <v>39.32</v>
      </c>
      <c r="V11046" s="549">
        <v>6.75</v>
      </c>
    </row>
    <row r="11047" spans="1:22">
      <c r="A11047" s="499">
        <v>45874</v>
      </c>
      <c r="B11047" s="499">
        <v>45875</v>
      </c>
      <c r="C11047" s="500" t="s">
        <v>173</v>
      </c>
      <c r="D11047" s="500" t="s">
        <v>761</v>
      </c>
      <c r="E11047" s="501">
        <v>17013521.640000001</v>
      </c>
      <c r="F11047" s="502" t="s">
        <v>878</v>
      </c>
      <c r="G11047" s="443">
        <v>118435333</v>
      </c>
      <c r="H11047" s="443">
        <v>118435333</v>
      </c>
      <c r="I11047" s="422" t="s">
        <v>600</v>
      </c>
      <c r="J11047" s="484" t="s">
        <v>912</v>
      </c>
      <c r="L11047" s="539"/>
      <c r="M11047" s="539"/>
      <c r="N11047" s="601">
        <v>18938</v>
      </c>
      <c r="R11047" s="548">
        <v>897.99700021121566</v>
      </c>
      <c r="S11047" s="548">
        <v>898.38006336466401</v>
      </c>
      <c r="T11047" s="549">
        <v>15.57</v>
      </c>
      <c r="U11047" s="549">
        <v>39.32</v>
      </c>
      <c r="V11047" s="549">
        <v>12.75</v>
      </c>
    </row>
    <row r="11048" spans="1:22">
      <c r="A11048" s="499">
        <v>45874</v>
      </c>
      <c r="B11048" s="499">
        <v>45875</v>
      </c>
      <c r="C11048" s="500" t="s">
        <v>173</v>
      </c>
      <c r="D11048" s="500" t="s">
        <v>761</v>
      </c>
      <c r="E11048" s="501">
        <v>21022740.719999999</v>
      </c>
      <c r="F11048" s="502" t="s">
        <v>878</v>
      </c>
      <c r="G11048" s="443">
        <v>118435336</v>
      </c>
      <c r="H11048" s="443">
        <v>118435336</v>
      </c>
      <c r="I11048" s="422" t="s">
        <v>604</v>
      </c>
      <c r="J11048" s="484" t="s">
        <v>912</v>
      </c>
      <c r="L11048" s="539"/>
      <c r="M11048" s="539"/>
      <c r="N11048" s="601">
        <v>20622</v>
      </c>
      <c r="R11048" s="548">
        <v>1018.9980001939676</v>
      </c>
      <c r="S11048" s="548">
        <v>1019.4326796625</v>
      </c>
      <c r="T11048" s="549">
        <v>15.57</v>
      </c>
      <c r="U11048" s="549">
        <v>39.32</v>
      </c>
      <c r="V11048" s="549">
        <v>15.76</v>
      </c>
    </row>
    <row r="11049" spans="1:22">
      <c r="A11049" s="499">
        <v>45874</v>
      </c>
      <c r="B11049" s="499">
        <v>45875</v>
      </c>
      <c r="C11049" s="500" t="s">
        <v>173</v>
      </c>
      <c r="D11049" s="500" t="s">
        <v>761</v>
      </c>
      <c r="E11049" s="501">
        <v>22016001.23</v>
      </c>
      <c r="F11049" s="502" t="s">
        <v>878</v>
      </c>
      <c r="G11049" s="443">
        <v>118435339</v>
      </c>
      <c r="H11049" s="443">
        <v>118435339</v>
      </c>
      <c r="I11049" s="422" t="s">
        <v>590</v>
      </c>
      <c r="J11049" s="484" t="s">
        <v>912</v>
      </c>
      <c r="L11049" s="539"/>
      <c r="M11049" s="539"/>
      <c r="N11049" s="601">
        <v>25190</v>
      </c>
      <c r="R11049" s="548">
        <v>873.625</v>
      </c>
      <c r="S11049" s="548">
        <v>873.99766693132199</v>
      </c>
      <c r="T11049" s="549">
        <v>15.57</v>
      </c>
      <c r="U11049" s="549">
        <v>39.32</v>
      </c>
      <c r="V11049" s="549">
        <v>16.5</v>
      </c>
    </row>
    <row r="11050" spans="1:22">
      <c r="A11050" s="499">
        <v>45874</v>
      </c>
      <c r="B11050" s="499">
        <v>45875</v>
      </c>
      <c r="C11050" s="500" t="s">
        <v>173</v>
      </c>
      <c r="D11050" s="500" t="s">
        <v>761</v>
      </c>
      <c r="E11050" s="501">
        <v>22011809.850000001</v>
      </c>
      <c r="F11050" s="502" t="s">
        <v>878</v>
      </c>
      <c r="G11050" s="443">
        <v>118435342</v>
      </c>
      <c r="H11050" s="443">
        <v>118435342</v>
      </c>
      <c r="I11050" s="422" t="s">
        <v>602</v>
      </c>
      <c r="J11050" s="484" t="s">
        <v>912</v>
      </c>
      <c r="L11050" s="539"/>
      <c r="M11050" s="539"/>
      <c r="N11050" s="601">
        <v>26598</v>
      </c>
      <c r="R11050" s="548">
        <v>827.22100007519361</v>
      </c>
      <c r="S11050" s="548">
        <v>827.57387209564604</v>
      </c>
      <c r="T11050" s="549">
        <v>15.57</v>
      </c>
      <c r="U11050" s="549">
        <v>39.32</v>
      </c>
      <c r="V11050" s="549">
        <v>16.5</v>
      </c>
    </row>
    <row r="11051" spans="1:22">
      <c r="A11051" s="499">
        <v>45874</v>
      </c>
      <c r="B11051" s="499">
        <v>45875</v>
      </c>
      <c r="C11051" s="500" t="s">
        <v>173</v>
      </c>
      <c r="D11051" s="500" t="s">
        <v>761</v>
      </c>
      <c r="E11051" s="501">
        <v>28027364.260000002</v>
      </c>
      <c r="F11051" s="502" t="s">
        <v>878</v>
      </c>
      <c r="G11051" s="443">
        <v>118435345</v>
      </c>
      <c r="H11051" s="443">
        <v>118435345</v>
      </c>
      <c r="I11051" s="422" t="s">
        <v>592</v>
      </c>
      <c r="J11051" s="484" t="s">
        <v>912</v>
      </c>
      <c r="L11051" s="539"/>
      <c r="M11051" s="539"/>
      <c r="N11051" s="601">
        <v>35420</v>
      </c>
      <c r="R11051" s="548">
        <v>790.94899999999996</v>
      </c>
      <c r="S11051" s="548">
        <v>791.28639920948604</v>
      </c>
      <c r="T11051" s="549">
        <v>15.57</v>
      </c>
      <c r="U11051" s="549">
        <v>42.02</v>
      </c>
      <c r="V11051" s="549">
        <v>21.01</v>
      </c>
    </row>
    <row r="11052" spans="1:22">
      <c r="A11052" s="499">
        <v>45874</v>
      </c>
      <c r="B11052" s="499">
        <v>45875</v>
      </c>
      <c r="C11052" s="500" t="s">
        <v>173</v>
      </c>
      <c r="D11052" s="500" t="s">
        <v>761</v>
      </c>
      <c r="E11052" s="501">
        <v>40028392.840000004</v>
      </c>
      <c r="F11052" s="502" t="s">
        <v>878</v>
      </c>
      <c r="G11052" s="443">
        <v>118435348</v>
      </c>
      <c r="H11052" s="443">
        <v>118435348</v>
      </c>
      <c r="I11052" s="422" t="s">
        <v>588</v>
      </c>
      <c r="J11052" s="484" t="s">
        <v>912</v>
      </c>
      <c r="L11052" s="539"/>
      <c r="M11052" s="539"/>
      <c r="N11052" s="601">
        <v>44120</v>
      </c>
      <c r="R11052" s="548">
        <v>906.875</v>
      </c>
      <c r="S11052" s="548">
        <v>907.26185040797805</v>
      </c>
      <c r="T11052" s="549">
        <v>15.57</v>
      </c>
      <c r="U11052" s="549">
        <v>60.02</v>
      </c>
      <c r="V11052" s="549">
        <v>30.01</v>
      </c>
    </row>
    <row r="11053" spans="1:22">
      <c r="A11053" s="499">
        <v>45874</v>
      </c>
      <c r="B11053" s="499">
        <v>45875</v>
      </c>
      <c r="C11053" s="500" t="s">
        <v>173</v>
      </c>
      <c r="D11053" s="500" t="s">
        <v>761</v>
      </c>
      <c r="E11053" s="501">
        <v>1614780909.6700001</v>
      </c>
      <c r="F11053" s="502" t="s">
        <v>878</v>
      </c>
      <c r="G11053" s="443">
        <v>118436337</v>
      </c>
      <c r="H11053" s="443">
        <v>118436337</v>
      </c>
      <c r="I11053" s="422" t="s">
        <v>2556</v>
      </c>
      <c r="J11053" s="484" t="s">
        <v>912</v>
      </c>
      <c r="L11053" s="539"/>
      <c r="M11053" s="539"/>
      <c r="N11053" s="601">
        <v>18194622</v>
      </c>
      <c r="R11053" s="548">
        <v>88.712899999791148</v>
      </c>
      <c r="S11053" s="548">
        <v>88.750451076697303</v>
      </c>
      <c r="T11053" s="549">
        <v>15.45</v>
      </c>
      <c r="U11053" s="549">
        <v>2421.15</v>
      </c>
      <c r="V11053" s="549">
        <v>1210.57</v>
      </c>
    </row>
    <row r="11054" spans="1:22">
      <c r="A11054" s="499">
        <v>45874</v>
      </c>
      <c r="B11054" s="499">
        <v>45875</v>
      </c>
      <c r="C11054" s="500" t="s">
        <v>173</v>
      </c>
      <c r="D11054" s="500" t="s">
        <v>761</v>
      </c>
      <c r="E11054" s="501">
        <v>11005322.189999999</v>
      </c>
      <c r="F11054" s="502" t="s">
        <v>878</v>
      </c>
      <c r="G11054" s="443">
        <v>118436365</v>
      </c>
      <c r="H11054" s="443">
        <v>118436365</v>
      </c>
      <c r="I11054" s="422" t="s">
        <v>2556</v>
      </c>
      <c r="J11054" s="484" t="s">
        <v>912</v>
      </c>
      <c r="L11054" s="539"/>
      <c r="M11054" s="539"/>
      <c r="N11054" s="601">
        <v>124003</v>
      </c>
      <c r="R11054" s="548">
        <v>88.712900010483622</v>
      </c>
      <c r="S11054" s="548">
        <v>88.750451118118093</v>
      </c>
      <c r="T11054" s="549">
        <v>15.45</v>
      </c>
      <c r="U11054" s="549">
        <v>39.32</v>
      </c>
      <c r="V11054" s="549">
        <v>8.25</v>
      </c>
    </row>
    <row r="11055" spans="1:22">
      <c r="A11055" s="499">
        <v>45875</v>
      </c>
      <c r="B11055" s="499">
        <v>45875</v>
      </c>
      <c r="C11055" s="500" t="s">
        <v>173</v>
      </c>
      <c r="D11055" s="500" t="s">
        <v>762</v>
      </c>
      <c r="E11055" s="501">
        <v>-41015241.75</v>
      </c>
      <c r="F11055" s="502" t="s">
        <v>878</v>
      </c>
      <c r="G11055" s="484">
        <v>118459104</v>
      </c>
      <c r="H11055" s="530"/>
      <c r="I11055" s="422" t="s">
        <v>704</v>
      </c>
      <c r="J11055" s="530" t="s">
        <v>906</v>
      </c>
      <c r="L11055" s="539"/>
      <c r="M11055" s="539"/>
      <c r="N11055" s="600">
        <v>50225</v>
      </c>
      <c r="R11055" s="539">
        <v>816.63</v>
      </c>
      <c r="S11055" s="539">
        <v>816.97685515181695</v>
      </c>
      <c r="T11055" s="538">
        <v>15.503</v>
      </c>
      <c r="U11055" s="538">
        <v>61.52</v>
      </c>
      <c r="V11055" s="538">
        <v>30.76</v>
      </c>
    </row>
    <row r="11056" spans="1:22">
      <c r="A11056" s="499">
        <v>45875</v>
      </c>
      <c r="B11056" s="499">
        <v>45875</v>
      </c>
      <c r="C11056" s="500" t="s">
        <v>173</v>
      </c>
      <c r="D11056" s="500" t="s">
        <v>762</v>
      </c>
      <c r="E11056" s="501">
        <v>-2950569043.1999998</v>
      </c>
      <c r="F11056" s="502" t="s">
        <v>878</v>
      </c>
      <c r="G11056" s="484">
        <v>118459107</v>
      </c>
      <c r="H11056" s="530"/>
      <c r="I11056" s="422" t="s">
        <v>691</v>
      </c>
      <c r="J11056" s="530" t="s">
        <v>906</v>
      </c>
      <c r="L11056" s="539"/>
      <c r="M11056" s="539"/>
      <c r="N11056" s="600">
        <v>3398400</v>
      </c>
      <c r="R11056" s="539">
        <v>868.22299999999996</v>
      </c>
      <c r="S11056" s="539">
        <v>868.59174501235896</v>
      </c>
      <c r="T11056" s="538">
        <v>15.502000000000001</v>
      </c>
      <c r="U11056" s="538">
        <v>4425.8500000000004</v>
      </c>
      <c r="V11056" s="538">
        <v>2212.9299999999998</v>
      </c>
    </row>
    <row r="11057" spans="1:22">
      <c r="A11057" s="499">
        <v>45875</v>
      </c>
      <c r="B11057" s="499">
        <v>45875</v>
      </c>
      <c r="C11057" s="500" t="s">
        <v>173</v>
      </c>
      <c r="D11057" s="500" t="s">
        <v>762</v>
      </c>
      <c r="E11057" s="501">
        <v>-20011470.879999999</v>
      </c>
      <c r="F11057" s="502" t="s">
        <v>878</v>
      </c>
      <c r="G11057" s="484">
        <v>118464539</v>
      </c>
      <c r="H11057" s="530"/>
      <c r="I11057" s="422" t="s">
        <v>706</v>
      </c>
      <c r="J11057" s="530" t="s">
        <v>906</v>
      </c>
      <c r="L11057" s="539"/>
      <c r="M11057" s="539"/>
      <c r="N11057" s="600">
        <v>26080</v>
      </c>
      <c r="R11057" s="539">
        <v>767.31100000000004</v>
      </c>
      <c r="S11057" s="539">
        <v>767.63684432515299</v>
      </c>
      <c r="T11057" s="538">
        <v>15.5</v>
      </c>
      <c r="U11057" s="538">
        <v>39.32</v>
      </c>
      <c r="V11057" s="538">
        <v>15.01</v>
      </c>
    </row>
    <row r="11058" spans="1:22">
      <c r="A11058" s="499">
        <v>45875</v>
      </c>
      <c r="B11058" s="499">
        <v>45876</v>
      </c>
      <c r="C11058" s="500" t="s">
        <v>173</v>
      </c>
      <c r="D11058" s="500" t="s">
        <v>762</v>
      </c>
      <c r="E11058" s="501">
        <v>41032662.549999997</v>
      </c>
      <c r="F11058" s="502" t="s">
        <v>878</v>
      </c>
      <c r="G11058" s="484">
        <v>118459104</v>
      </c>
      <c r="H11058" s="484">
        <v>118459104</v>
      </c>
      <c r="I11058" s="422" t="s">
        <v>704</v>
      </c>
      <c r="J11058" s="484" t="s">
        <v>912</v>
      </c>
      <c r="L11058" s="539"/>
      <c r="M11058" s="539"/>
      <c r="N11058" s="600">
        <v>50225</v>
      </c>
      <c r="R11058" s="539">
        <v>816.63</v>
      </c>
      <c r="S11058" s="539">
        <v>816.97685515181695</v>
      </c>
      <c r="T11058" s="538">
        <v>15.503</v>
      </c>
      <c r="U11058" s="538">
        <v>61.52</v>
      </c>
      <c r="V11058" s="538">
        <v>30.76</v>
      </c>
    </row>
    <row r="11059" spans="1:22">
      <c r="A11059" s="499">
        <v>45875</v>
      </c>
      <c r="B11059" s="499">
        <v>45876</v>
      </c>
      <c r="C11059" s="500" t="s">
        <v>173</v>
      </c>
      <c r="D11059" s="500" t="s">
        <v>762</v>
      </c>
      <c r="E11059" s="501">
        <v>2951822186.25</v>
      </c>
      <c r="F11059" s="502" t="s">
        <v>878</v>
      </c>
      <c r="G11059" s="484">
        <v>118459107</v>
      </c>
      <c r="H11059" s="484">
        <v>118459107</v>
      </c>
      <c r="I11059" s="422" t="s">
        <v>691</v>
      </c>
      <c r="J11059" s="484" t="s">
        <v>912</v>
      </c>
      <c r="L11059" s="539"/>
      <c r="M11059" s="539"/>
      <c r="N11059" s="600">
        <v>3398400</v>
      </c>
      <c r="R11059" s="539">
        <v>868.22299999999996</v>
      </c>
      <c r="S11059" s="539">
        <v>868.59174501235896</v>
      </c>
      <c r="T11059" s="538">
        <v>15.502000000000001</v>
      </c>
      <c r="U11059" s="538">
        <v>4425.8500000000004</v>
      </c>
      <c r="V11059" s="538">
        <v>2212.9299999999998</v>
      </c>
    </row>
    <row r="11060" spans="1:22">
      <c r="A11060" s="499">
        <v>45875</v>
      </c>
      <c r="B11060" s="499">
        <v>45876</v>
      </c>
      <c r="C11060" s="500" t="s">
        <v>173</v>
      </c>
      <c r="D11060" s="500" t="s">
        <v>762</v>
      </c>
      <c r="E11060" s="501">
        <v>20019968.899999999</v>
      </c>
      <c r="F11060" s="502" t="s">
        <v>878</v>
      </c>
      <c r="G11060" s="484">
        <v>118464539</v>
      </c>
      <c r="H11060" s="484">
        <v>118464539</v>
      </c>
      <c r="I11060" s="422" t="s">
        <v>706</v>
      </c>
      <c r="J11060" s="484" t="s">
        <v>912</v>
      </c>
      <c r="L11060" s="539"/>
      <c r="M11060" s="539"/>
      <c r="N11060" s="600">
        <v>26080</v>
      </c>
      <c r="R11060" s="539">
        <v>767.31100000000004</v>
      </c>
      <c r="S11060" s="539">
        <v>767.63684432515299</v>
      </c>
      <c r="T11060" s="538">
        <v>15.5</v>
      </c>
      <c r="U11060" s="538">
        <v>39.32</v>
      </c>
      <c r="V11060" s="538">
        <v>15.01</v>
      </c>
    </row>
    <row r="11061" spans="1:22">
      <c r="A11061" s="499">
        <v>45875</v>
      </c>
      <c r="B11061" s="499">
        <v>45875</v>
      </c>
      <c r="C11061" s="500" t="s">
        <v>173</v>
      </c>
      <c r="D11061" s="500" t="s">
        <v>759</v>
      </c>
      <c r="E11061" s="501">
        <v>-5252451498</v>
      </c>
      <c r="F11061" s="502" t="s">
        <v>878</v>
      </c>
      <c r="G11061" s="443">
        <v>118458316</v>
      </c>
      <c r="H11061" s="530"/>
      <c r="I11061" s="422" t="s">
        <v>693</v>
      </c>
      <c r="J11061" s="530" t="s">
        <v>906</v>
      </c>
      <c r="L11061" s="539"/>
      <c r="M11061" s="539"/>
      <c r="N11061" s="601">
        <v>6914250</v>
      </c>
      <c r="R11061" s="548">
        <v>759.65599999999995</v>
      </c>
      <c r="S11061" s="548">
        <v>759.97859364356202</v>
      </c>
      <c r="T11061" s="549">
        <v>15.5</v>
      </c>
      <c r="U11061" s="549">
        <v>7878.68</v>
      </c>
      <c r="V11061" s="549">
        <v>3939.34</v>
      </c>
    </row>
    <row r="11062" spans="1:22">
      <c r="A11062" s="499">
        <v>45875</v>
      </c>
      <c r="B11062" s="499">
        <v>45875</v>
      </c>
      <c r="C11062" s="500" t="s">
        <v>173</v>
      </c>
      <c r="D11062" s="500" t="s">
        <v>759</v>
      </c>
      <c r="E11062" s="501">
        <v>-30005786.879999999</v>
      </c>
      <c r="F11062" s="502" t="s">
        <v>878</v>
      </c>
      <c r="G11062" s="443">
        <v>118458502</v>
      </c>
      <c r="H11062" s="530"/>
      <c r="I11062" s="422" t="s">
        <v>691</v>
      </c>
      <c r="J11062" s="530" t="s">
        <v>906</v>
      </c>
      <c r="L11062" s="539"/>
      <c r="M11062" s="539"/>
      <c r="N11062" s="601">
        <v>34560</v>
      </c>
      <c r="R11062" s="548">
        <v>868.22299999999996</v>
      </c>
      <c r="S11062" s="548">
        <v>868.59174508101796</v>
      </c>
      <c r="T11062" s="549">
        <v>15.502000000000001</v>
      </c>
      <c r="U11062" s="549">
        <v>45.01</v>
      </c>
      <c r="V11062" s="549">
        <v>22.5</v>
      </c>
    </row>
    <row r="11063" spans="1:22">
      <c r="A11063" s="499">
        <v>45875</v>
      </c>
      <c r="B11063" s="499">
        <v>45876</v>
      </c>
      <c r="C11063" s="500" t="s">
        <v>173</v>
      </c>
      <c r="D11063" s="500" t="s">
        <v>759</v>
      </c>
      <c r="E11063" s="501">
        <v>5254681991.1000004</v>
      </c>
      <c r="F11063" s="502" t="s">
        <v>878</v>
      </c>
      <c r="G11063" s="443">
        <v>118458316</v>
      </c>
      <c r="H11063" s="443">
        <v>118458316</v>
      </c>
      <c r="I11063" s="422" t="s">
        <v>693</v>
      </c>
      <c r="J11063" s="484" t="s">
        <v>912</v>
      </c>
      <c r="L11063" s="539"/>
      <c r="M11063" s="539"/>
      <c r="N11063" s="601">
        <v>6914250</v>
      </c>
      <c r="R11063" s="548">
        <v>759.65599999999995</v>
      </c>
      <c r="S11063" s="548">
        <v>759.97859364356202</v>
      </c>
      <c r="T11063" s="549">
        <v>15.5</v>
      </c>
      <c r="U11063" s="549">
        <v>7878.68</v>
      </c>
      <c r="V11063" s="549">
        <v>3939.34</v>
      </c>
    </row>
    <row r="11064" spans="1:22">
      <c r="A11064" s="499">
        <v>45875</v>
      </c>
      <c r="B11064" s="499">
        <v>45876</v>
      </c>
      <c r="C11064" s="500" t="s">
        <v>173</v>
      </c>
      <c r="D11064" s="500" t="s">
        <v>759</v>
      </c>
      <c r="E11064" s="501">
        <v>30018530.710000001</v>
      </c>
      <c r="F11064" s="502" t="s">
        <v>878</v>
      </c>
      <c r="G11064" s="443">
        <v>118458502</v>
      </c>
      <c r="H11064" s="443">
        <v>118458502</v>
      </c>
      <c r="I11064" s="422" t="s">
        <v>691</v>
      </c>
      <c r="J11064" s="484" t="s">
        <v>912</v>
      </c>
      <c r="L11064" s="539"/>
      <c r="M11064" s="539"/>
      <c r="N11064" s="601">
        <v>34560</v>
      </c>
      <c r="R11064" s="548">
        <v>868.22299999999996</v>
      </c>
      <c r="S11064" s="548">
        <v>868.59174508101796</v>
      </c>
      <c r="T11064" s="549">
        <v>15.502000000000001</v>
      </c>
      <c r="U11064" s="549">
        <v>45.01</v>
      </c>
      <c r="V11064" s="549">
        <v>22.5</v>
      </c>
    </row>
    <row r="11065" spans="1:22">
      <c r="A11065" s="499">
        <v>45875</v>
      </c>
      <c r="B11065" s="499">
        <v>45875</v>
      </c>
      <c r="C11065" s="500" t="s">
        <v>173</v>
      </c>
      <c r="D11065" s="500" t="s">
        <v>760</v>
      </c>
      <c r="E11065" s="501">
        <v>-358115022.25</v>
      </c>
      <c r="F11065" s="502" t="s">
        <v>878</v>
      </c>
      <c r="G11065" s="443">
        <v>118455401</v>
      </c>
      <c r="H11065" s="530"/>
      <c r="I11065" s="422" t="s">
        <v>833</v>
      </c>
      <c r="J11065" s="530" t="s">
        <v>906</v>
      </c>
      <c r="L11065" s="539"/>
      <c r="M11065" s="539"/>
      <c r="N11065" s="601">
        <v>578528</v>
      </c>
      <c r="R11065" s="548">
        <v>619.01070000000004</v>
      </c>
      <c r="S11065" s="548">
        <v>619.27526178508197</v>
      </c>
      <c r="T11065" s="549">
        <v>15.5999</v>
      </c>
      <c r="U11065" s="549">
        <v>537.16999999999996</v>
      </c>
      <c r="V11065" s="549">
        <v>268.58999999999997</v>
      </c>
    </row>
    <row r="11066" spans="1:22">
      <c r="A11066" s="499">
        <v>45875</v>
      </c>
      <c r="B11066" s="499">
        <v>45875</v>
      </c>
      <c r="C11066" s="500" t="s">
        <v>173</v>
      </c>
      <c r="D11066" s="500" t="s">
        <v>760</v>
      </c>
      <c r="E11066" s="501">
        <v>-341009141.19</v>
      </c>
      <c r="F11066" s="502" t="s">
        <v>878</v>
      </c>
      <c r="G11066" s="443">
        <v>118456344</v>
      </c>
      <c r="H11066" s="530"/>
      <c r="I11066" s="422" t="s">
        <v>1013</v>
      </c>
      <c r="J11066" s="530" t="s">
        <v>906</v>
      </c>
      <c r="L11066" s="539"/>
      <c r="M11066" s="539"/>
      <c r="N11066" s="601">
        <v>642785</v>
      </c>
      <c r="R11066" s="548">
        <v>530.51819999999998</v>
      </c>
      <c r="S11066" s="548">
        <v>530.74392605614605</v>
      </c>
      <c r="T11066" s="549">
        <v>15.530099999999999</v>
      </c>
      <c r="U11066" s="549">
        <v>511.51</v>
      </c>
      <c r="V11066" s="549">
        <v>255.76</v>
      </c>
    </row>
    <row r="11067" spans="1:22">
      <c r="A11067" s="499">
        <v>45875</v>
      </c>
      <c r="B11067" s="499">
        <v>45875</v>
      </c>
      <c r="C11067" s="500" t="s">
        <v>173</v>
      </c>
      <c r="D11067" s="500" t="s">
        <v>760</v>
      </c>
      <c r="E11067" s="501">
        <v>-96001789.25</v>
      </c>
      <c r="F11067" s="502" t="s">
        <v>878</v>
      </c>
      <c r="G11067" s="443">
        <v>118456311</v>
      </c>
      <c r="H11067" s="530"/>
      <c r="I11067" s="422" t="s">
        <v>2556</v>
      </c>
      <c r="J11067" s="530" t="s">
        <v>906</v>
      </c>
      <c r="L11067" s="539"/>
      <c r="M11067" s="539"/>
      <c r="N11067" s="601">
        <v>1084320</v>
      </c>
      <c r="R11067" s="548">
        <v>88.5364</v>
      </c>
      <c r="S11067" s="548">
        <v>88.574118931680701</v>
      </c>
      <c r="T11067" s="549">
        <v>15.55</v>
      </c>
      <c r="U11067" s="549">
        <v>144</v>
      </c>
      <c r="V11067" s="549">
        <v>72</v>
      </c>
    </row>
    <row r="11068" spans="1:22">
      <c r="A11068" s="499">
        <v>45875</v>
      </c>
      <c r="B11068" s="499">
        <v>45875</v>
      </c>
      <c r="C11068" s="500" t="s">
        <v>173</v>
      </c>
      <c r="D11068" s="500" t="s">
        <v>760</v>
      </c>
      <c r="E11068" s="501">
        <v>-889482171.38</v>
      </c>
      <c r="F11068" s="502" t="s">
        <v>878</v>
      </c>
      <c r="G11068" s="443">
        <v>118456152</v>
      </c>
      <c r="H11068" s="530"/>
      <c r="I11068" s="422" t="s">
        <v>681</v>
      </c>
      <c r="J11068" s="530" t="s">
        <v>906</v>
      </c>
      <c r="L11068" s="539"/>
      <c r="M11068" s="539"/>
      <c r="N11068" s="601">
        <v>1000125</v>
      </c>
      <c r="R11068" s="548">
        <v>889.37099999999998</v>
      </c>
      <c r="S11068" s="548">
        <v>889.74989885264301</v>
      </c>
      <c r="T11068" s="549">
        <v>15.5501</v>
      </c>
      <c r="U11068" s="549">
        <v>1334.22</v>
      </c>
      <c r="V11068" s="549">
        <v>667.11</v>
      </c>
    </row>
    <row r="11069" spans="1:22">
      <c r="A11069" s="499">
        <v>45875</v>
      </c>
      <c r="B11069" s="499">
        <v>45875</v>
      </c>
      <c r="C11069" s="500" t="s">
        <v>173</v>
      </c>
      <c r="D11069" s="500" t="s">
        <v>760</v>
      </c>
      <c r="E11069" s="501">
        <v>-122058165.7</v>
      </c>
      <c r="F11069" s="502" t="s">
        <v>878</v>
      </c>
      <c r="G11069" s="443">
        <v>118455398</v>
      </c>
      <c r="H11069" s="530"/>
      <c r="I11069" s="422" t="s">
        <v>720</v>
      </c>
      <c r="J11069" s="530" t="s">
        <v>906</v>
      </c>
      <c r="L11069" s="539"/>
      <c r="M11069" s="539"/>
      <c r="N11069" s="601">
        <v>206302</v>
      </c>
      <c r="R11069" s="548">
        <v>591.64800000000002</v>
      </c>
      <c r="S11069" s="548">
        <v>591.90086712683296</v>
      </c>
      <c r="T11069" s="549">
        <v>15.5999</v>
      </c>
      <c r="U11069" s="549">
        <v>183.09</v>
      </c>
      <c r="V11069" s="549">
        <v>91.54</v>
      </c>
    </row>
    <row r="11070" spans="1:22">
      <c r="A11070" s="499">
        <v>45875</v>
      </c>
      <c r="B11070" s="499">
        <v>45875</v>
      </c>
      <c r="C11070" s="500" t="s">
        <v>173</v>
      </c>
      <c r="D11070" s="500" t="s">
        <v>760</v>
      </c>
      <c r="E11070" s="501">
        <v>-388057928.39999998</v>
      </c>
      <c r="F11070" s="502" t="s">
        <v>878</v>
      </c>
      <c r="G11070" s="443">
        <v>118455404</v>
      </c>
      <c r="H11070" s="530"/>
      <c r="I11070" s="422" t="s">
        <v>721</v>
      </c>
      <c r="J11070" s="530" t="s">
        <v>906</v>
      </c>
      <c r="L11070" s="539"/>
      <c r="M11070" s="539"/>
      <c r="N11070" s="601">
        <v>687924</v>
      </c>
      <c r="R11070" s="548">
        <v>564.1</v>
      </c>
      <c r="S11070" s="548">
        <v>564.34109324576605</v>
      </c>
      <c r="T11070" s="549">
        <v>15.5999</v>
      </c>
      <c r="U11070" s="549">
        <v>582.09</v>
      </c>
      <c r="V11070" s="549">
        <v>291.04000000000002</v>
      </c>
    </row>
    <row r="11071" spans="1:22">
      <c r="A11071" s="499">
        <v>45875</v>
      </c>
      <c r="B11071" s="499">
        <v>45876</v>
      </c>
      <c r="C11071" s="500" t="s">
        <v>173</v>
      </c>
      <c r="D11071" s="500" t="s">
        <v>760</v>
      </c>
      <c r="E11071" s="501">
        <v>358268078.64999998</v>
      </c>
      <c r="F11071" s="502" t="s">
        <v>878</v>
      </c>
      <c r="G11071" s="443">
        <v>118455401</v>
      </c>
      <c r="H11071" s="443">
        <v>118455401</v>
      </c>
      <c r="I11071" s="422" t="s">
        <v>833</v>
      </c>
      <c r="J11071" s="484" t="s">
        <v>912</v>
      </c>
      <c r="L11071" s="539"/>
      <c r="M11071" s="539"/>
      <c r="N11071" s="601">
        <v>578528</v>
      </c>
      <c r="R11071" s="548">
        <v>619.01070000000004</v>
      </c>
      <c r="S11071" s="548">
        <v>619.27526178508197</v>
      </c>
      <c r="T11071" s="549">
        <v>15.5999</v>
      </c>
      <c r="U11071" s="549">
        <v>537.16999999999996</v>
      </c>
      <c r="V11071" s="549">
        <v>268.58999999999997</v>
      </c>
    </row>
    <row r="11072" spans="1:22">
      <c r="A11072" s="499">
        <v>45875</v>
      </c>
      <c r="B11072" s="499">
        <v>45876</v>
      </c>
      <c r="C11072" s="500" t="s">
        <v>173</v>
      </c>
      <c r="D11072" s="500" t="s">
        <v>760</v>
      </c>
      <c r="E11072" s="501">
        <v>341154234.50999999</v>
      </c>
      <c r="F11072" s="502" t="s">
        <v>878</v>
      </c>
      <c r="G11072" s="443">
        <v>118456344</v>
      </c>
      <c r="H11072" s="443">
        <v>118456344</v>
      </c>
      <c r="I11072" s="422" t="s">
        <v>1013</v>
      </c>
      <c r="J11072" s="484" t="s">
        <v>912</v>
      </c>
      <c r="L11072" s="539"/>
      <c r="M11072" s="539"/>
      <c r="N11072" s="601">
        <v>642785</v>
      </c>
      <c r="R11072" s="548">
        <v>530.51819999999998</v>
      </c>
      <c r="S11072" s="548">
        <v>530.74392605614605</v>
      </c>
      <c r="T11072" s="549">
        <v>15.530099999999999</v>
      </c>
      <c r="U11072" s="549">
        <v>511.51</v>
      </c>
      <c r="V11072" s="549">
        <v>255.76</v>
      </c>
    </row>
    <row r="11073" spans="1:22">
      <c r="A11073" s="499">
        <v>45875</v>
      </c>
      <c r="B11073" s="499">
        <v>45876</v>
      </c>
      <c r="C11073" s="500" t="s">
        <v>173</v>
      </c>
      <c r="D11073" s="500" t="s">
        <v>760</v>
      </c>
      <c r="E11073" s="501">
        <v>96042688.640000001</v>
      </c>
      <c r="F11073" s="502" t="s">
        <v>878</v>
      </c>
      <c r="G11073" s="443">
        <v>118456311</v>
      </c>
      <c r="H11073" s="443">
        <v>118456311</v>
      </c>
      <c r="I11073" s="422" t="s">
        <v>2556</v>
      </c>
      <c r="J11073" s="484" t="s">
        <v>912</v>
      </c>
      <c r="L11073" s="539"/>
      <c r="M11073" s="539"/>
      <c r="N11073" s="601">
        <v>1084320</v>
      </c>
      <c r="R11073" s="548">
        <v>88.5364</v>
      </c>
      <c r="S11073" s="548">
        <v>88.574118931680701</v>
      </c>
      <c r="T11073" s="549">
        <v>15.55</v>
      </c>
      <c r="U11073" s="549">
        <v>144</v>
      </c>
      <c r="V11073" s="549">
        <v>72</v>
      </c>
    </row>
    <row r="11074" spans="1:22">
      <c r="A11074" s="499">
        <v>45875</v>
      </c>
      <c r="B11074" s="499">
        <v>45876</v>
      </c>
      <c r="C11074" s="500" t="s">
        <v>173</v>
      </c>
      <c r="D11074" s="500" t="s">
        <v>760</v>
      </c>
      <c r="E11074" s="501">
        <v>889861117.59000003</v>
      </c>
      <c r="F11074" s="502" t="s">
        <v>878</v>
      </c>
      <c r="G11074" s="443">
        <v>118456152</v>
      </c>
      <c r="H11074" s="443">
        <v>118456152</v>
      </c>
      <c r="I11074" s="422" t="s">
        <v>681</v>
      </c>
      <c r="J11074" s="484" t="s">
        <v>912</v>
      </c>
      <c r="L11074" s="539"/>
      <c r="M11074" s="539"/>
      <c r="N11074" s="601">
        <v>1000125</v>
      </c>
      <c r="R11074" s="548">
        <v>889.37099999999998</v>
      </c>
      <c r="S11074" s="548">
        <v>889.74989885264301</v>
      </c>
      <c r="T11074" s="549">
        <v>15.5501</v>
      </c>
      <c r="U11074" s="549">
        <v>1334.22</v>
      </c>
      <c r="V11074" s="549">
        <v>667.11</v>
      </c>
    </row>
    <row r="11075" spans="1:22">
      <c r="A11075" s="499">
        <v>45875</v>
      </c>
      <c r="B11075" s="499">
        <v>45876</v>
      </c>
      <c r="C11075" s="500" t="s">
        <v>173</v>
      </c>
      <c r="D11075" s="500" t="s">
        <v>760</v>
      </c>
      <c r="E11075" s="501">
        <v>122110332.69</v>
      </c>
      <c r="F11075" s="502" t="s">
        <v>878</v>
      </c>
      <c r="G11075" s="443">
        <v>118455398</v>
      </c>
      <c r="H11075" s="443">
        <v>118455398</v>
      </c>
      <c r="I11075" s="422" t="s">
        <v>720</v>
      </c>
      <c r="J11075" s="484" t="s">
        <v>912</v>
      </c>
      <c r="L11075" s="539"/>
      <c r="M11075" s="539"/>
      <c r="N11075" s="601">
        <v>206302</v>
      </c>
      <c r="R11075" s="548">
        <v>591.64800000000002</v>
      </c>
      <c r="S11075" s="548">
        <v>591.90086712683296</v>
      </c>
      <c r="T11075" s="549">
        <v>15.5999</v>
      </c>
      <c r="U11075" s="549">
        <v>183.09</v>
      </c>
      <c r="V11075" s="549">
        <v>91.54</v>
      </c>
    </row>
    <row r="11076" spans="1:22">
      <c r="A11076" s="499">
        <v>45875</v>
      </c>
      <c r="B11076" s="499">
        <v>45876</v>
      </c>
      <c r="C11076" s="500" t="s">
        <v>173</v>
      </c>
      <c r="D11076" s="500" t="s">
        <v>760</v>
      </c>
      <c r="E11076" s="501">
        <v>388223782.23000002</v>
      </c>
      <c r="F11076" s="502" t="s">
        <v>878</v>
      </c>
      <c r="G11076" s="443">
        <v>118455404</v>
      </c>
      <c r="H11076" s="443">
        <v>118455404</v>
      </c>
      <c r="I11076" s="422" t="s">
        <v>721</v>
      </c>
      <c r="J11076" s="484" t="s">
        <v>912</v>
      </c>
      <c r="L11076" s="539"/>
      <c r="M11076" s="539"/>
      <c r="N11076" s="601">
        <v>687924</v>
      </c>
      <c r="R11076" s="548">
        <v>564.1</v>
      </c>
      <c r="S11076" s="548">
        <v>564.34109324576605</v>
      </c>
      <c r="T11076" s="549">
        <v>15.5999</v>
      </c>
      <c r="U11076" s="549">
        <v>582.09</v>
      </c>
      <c r="V11076" s="549">
        <v>291.04000000000002</v>
      </c>
    </row>
    <row r="11077" spans="1:22">
      <c r="A11077" s="499">
        <v>45875</v>
      </c>
      <c r="B11077" s="499">
        <v>45875</v>
      </c>
      <c r="C11077" s="500" t="s">
        <v>173</v>
      </c>
      <c r="D11077" s="500" t="s">
        <v>764</v>
      </c>
      <c r="E11077" s="501">
        <v>-4001907.07</v>
      </c>
      <c r="F11077" s="502" t="s">
        <v>878</v>
      </c>
      <c r="G11077" s="443">
        <v>118456716</v>
      </c>
      <c r="H11077" s="530"/>
      <c r="I11077" s="422" t="s">
        <v>720</v>
      </c>
      <c r="J11077" s="530" t="s">
        <v>906</v>
      </c>
      <c r="L11077" s="539"/>
      <c r="M11077" s="539"/>
      <c r="N11077" s="601">
        <v>6764</v>
      </c>
      <c r="R11077" s="548">
        <v>591.64799970431693</v>
      </c>
      <c r="S11077" s="548">
        <v>591.90022028385602</v>
      </c>
      <c r="T11077" s="549">
        <v>15.56</v>
      </c>
      <c r="U11077" s="549">
        <v>39.32</v>
      </c>
      <c r="V11077" s="549">
        <v>3</v>
      </c>
    </row>
    <row r="11078" spans="1:22">
      <c r="A11078" s="499">
        <v>45875</v>
      </c>
      <c r="B11078" s="499">
        <v>45875</v>
      </c>
      <c r="C11078" s="500" t="s">
        <v>173</v>
      </c>
      <c r="D11078" s="500" t="s">
        <v>764</v>
      </c>
      <c r="E11078" s="501">
        <v>-5001759.3099999996</v>
      </c>
      <c r="F11078" s="502" t="s">
        <v>878</v>
      </c>
      <c r="G11078" s="443">
        <v>118456719</v>
      </c>
      <c r="H11078" s="530"/>
      <c r="I11078" s="422" t="s">
        <v>631</v>
      </c>
      <c r="J11078" s="530" t="s">
        <v>906</v>
      </c>
      <c r="L11078" s="539"/>
      <c r="M11078" s="539"/>
      <c r="N11078" s="601">
        <v>10090</v>
      </c>
      <c r="R11078" s="548">
        <v>495.71450049554011</v>
      </c>
      <c r="S11078" s="548">
        <v>495.92582457879098</v>
      </c>
      <c r="T11078" s="549">
        <v>15.56</v>
      </c>
      <c r="U11078" s="549">
        <v>39.32</v>
      </c>
      <c r="V11078" s="549">
        <v>3.75</v>
      </c>
    </row>
    <row r="11079" spans="1:22">
      <c r="A11079" s="499">
        <v>45875</v>
      </c>
      <c r="B11079" s="499">
        <v>45875</v>
      </c>
      <c r="C11079" s="500" t="s">
        <v>173</v>
      </c>
      <c r="D11079" s="500" t="s">
        <v>764</v>
      </c>
      <c r="E11079" s="501">
        <v>-9001343.6999999993</v>
      </c>
      <c r="F11079" s="502" t="s">
        <v>878</v>
      </c>
      <c r="G11079" s="443">
        <v>118456722</v>
      </c>
      <c r="H11079" s="530"/>
      <c r="I11079" s="422" t="s">
        <v>721</v>
      </c>
      <c r="J11079" s="530" t="s">
        <v>906</v>
      </c>
      <c r="L11079" s="539"/>
      <c r="M11079" s="539"/>
      <c r="N11079" s="601">
        <v>15957</v>
      </c>
      <c r="R11079" s="548">
        <v>564.09999999999991</v>
      </c>
      <c r="S11079" s="548">
        <v>564.34047690668694</v>
      </c>
      <c r="T11079" s="549">
        <v>15.56</v>
      </c>
      <c r="U11079" s="549">
        <v>39.32</v>
      </c>
      <c r="V11079" s="549">
        <v>6.75</v>
      </c>
    </row>
    <row r="11080" spans="1:22">
      <c r="A11080" s="499">
        <v>45875</v>
      </c>
      <c r="B11080" s="499">
        <v>45875</v>
      </c>
      <c r="C11080" s="500" t="s">
        <v>173</v>
      </c>
      <c r="D11080" s="500" t="s">
        <v>764</v>
      </c>
      <c r="E11080" s="501">
        <v>-17003098.23</v>
      </c>
      <c r="F11080" s="502" t="s">
        <v>878</v>
      </c>
      <c r="G11080" s="443">
        <v>118456725</v>
      </c>
      <c r="H11080" s="530"/>
      <c r="I11080" s="422" t="s">
        <v>600</v>
      </c>
      <c r="J11080" s="530" t="s">
        <v>906</v>
      </c>
      <c r="L11080" s="539"/>
      <c r="M11080" s="539"/>
      <c r="N11080" s="601">
        <v>18819</v>
      </c>
      <c r="R11080" s="548">
        <v>903.50699984058667</v>
      </c>
      <c r="S11080" s="548">
        <v>903.89216589616899</v>
      </c>
      <c r="T11080" s="549">
        <v>15.56</v>
      </c>
      <c r="U11080" s="549">
        <v>39.32</v>
      </c>
      <c r="V11080" s="549">
        <v>12.75</v>
      </c>
    </row>
    <row r="11081" spans="1:22">
      <c r="A11081" s="499">
        <v>45875</v>
      </c>
      <c r="B11081" s="499">
        <v>45875</v>
      </c>
      <c r="C11081" s="500" t="s">
        <v>173</v>
      </c>
      <c r="D11081" s="500" t="s">
        <v>764</v>
      </c>
      <c r="E11081" s="501">
        <v>-21006665.32</v>
      </c>
      <c r="F11081" s="502" t="s">
        <v>878</v>
      </c>
      <c r="G11081" s="443">
        <v>118456728</v>
      </c>
      <c r="H11081" s="530"/>
      <c r="I11081" s="422" t="s">
        <v>604</v>
      </c>
      <c r="J11081" s="530" t="s">
        <v>906</v>
      </c>
      <c r="L11081" s="539"/>
      <c r="M11081" s="539"/>
      <c r="N11081" s="601">
        <v>20748</v>
      </c>
      <c r="R11081" s="548">
        <v>1012.4670001927897</v>
      </c>
      <c r="S11081" s="548">
        <v>1012.89861625217</v>
      </c>
      <c r="T11081" s="549">
        <v>15.56</v>
      </c>
      <c r="U11081" s="549">
        <v>39.32</v>
      </c>
      <c r="V11081" s="549">
        <v>15.75</v>
      </c>
    </row>
    <row r="11082" spans="1:22">
      <c r="A11082" s="499">
        <v>45875</v>
      </c>
      <c r="B11082" s="499">
        <v>45875</v>
      </c>
      <c r="C11082" s="500" t="s">
        <v>173</v>
      </c>
      <c r="D11082" s="500" t="s">
        <v>764</v>
      </c>
      <c r="E11082" s="501">
        <v>-21011963.68</v>
      </c>
      <c r="F11082" s="502" t="s">
        <v>878</v>
      </c>
      <c r="G11082" s="443">
        <v>118456731</v>
      </c>
      <c r="H11082" s="530"/>
      <c r="I11082" s="422" t="s">
        <v>602</v>
      </c>
      <c r="J11082" s="530" t="s">
        <v>906</v>
      </c>
      <c r="L11082" s="539"/>
      <c r="M11082" s="539"/>
      <c r="N11082" s="601">
        <v>26649</v>
      </c>
      <c r="R11082" s="548">
        <v>788.47100003752485</v>
      </c>
      <c r="S11082" s="548">
        <v>788.80712634620397</v>
      </c>
      <c r="T11082" s="549">
        <v>15.56</v>
      </c>
      <c r="U11082" s="549">
        <v>39.32</v>
      </c>
      <c r="V11082" s="549">
        <v>15.76</v>
      </c>
    </row>
    <row r="11083" spans="1:22">
      <c r="A11083" s="499">
        <v>45875</v>
      </c>
      <c r="B11083" s="499">
        <v>45875</v>
      </c>
      <c r="C11083" s="500" t="s">
        <v>173</v>
      </c>
      <c r="D11083" s="500" t="s">
        <v>764</v>
      </c>
      <c r="E11083" s="501">
        <v>-22013203.43</v>
      </c>
      <c r="F11083" s="502" t="s">
        <v>878</v>
      </c>
      <c r="G11083" s="443">
        <v>118456734</v>
      </c>
      <c r="H11083" s="530"/>
      <c r="I11083" s="422" t="s">
        <v>590</v>
      </c>
      <c r="J11083" s="530" t="s">
        <v>906</v>
      </c>
      <c r="L11083" s="539"/>
      <c r="M11083" s="539"/>
      <c r="N11083" s="601">
        <v>25036</v>
      </c>
      <c r="R11083" s="548">
        <v>879.26199992011504</v>
      </c>
      <c r="S11083" s="548">
        <v>879.63683056398804</v>
      </c>
      <c r="T11083" s="549">
        <v>15.56</v>
      </c>
      <c r="U11083" s="549">
        <v>39.32</v>
      </c>
      <c r="V11083" s="549">
        <v>16.510000000000002</v>
      </c>
    </row>
    <row r="11084" spans="1:22">
      <c r="A11084" s="499">
        <v>45875</v>
      </c>
      <c r="B11084" s="499">
        <v>45875</v>
      </c>
      <c r="C11084" s="500" t="s">
        <v>173</v>
      </c>
      <c r="D11084" s="500" t="s">
        <v>764</v>
      </c>
      <c r="E11084" s="501">
        <v>-27016538.18</v>
      </c>
      <c r="F11084" s="502" t="s">
        <v>878</v>
      </c>
      <c r="G11084" s="443">
        <v>118456737</v>
      </c>
      <c r="H11084" s="530"/>
      <c r="I11084" s="422" t="s">
        <v>592</v>
      </c>
      <c r="J11084" s="530" t="s">
        <v>906</v>
      </c>
      <c r="L11084" s="539"/>
      <c r="M11084" s="539"/>
      <c r="N11084" s="601">
        <v>35937</v>
      </c>
      <c r="R11084" s="548">
        <v>751.77500013913232</v>
      </c>
      <c r="S11084" s="548">
        <v>752.09548292845795</v>
      </c>
      <c r="T11084" s="549">
        <v>15.56</v>
      </c>
      <c r="U11084" s="549">
        <v>40.520000000000003</v>
      </c>
      <c r="V11084" s="549">
        <v>20.260000000000002</v>
      </c>
    </row>
    <row r="11085" spans="1:22">
      <c r="A11085" s="499">
        <v>45875</v>
      </c>
      <c r="B11085" s="499">
        <v>45875</v>
      </c>
      <c r="C11085" s="500" t="s">
        <v>173</v>
      </c>
      <c r="D11085" s="500" t="s">
        <v>764</v>
      </c>
      <c r="E11085" s="501">
        <v>-40028443.560000002</v>
      </c>
      <c r="F11085" s="502" t="s">
        <v>878</v>
      </c>
      <c r="G11085" s="443">
        <v>118456740</v>
      </c>
      <c r="H11085" s="530"/>
      <c r="I11085" s="422" t="s">
        <v>588</v>
      </c>
      <c r="J11085" s="530" t="s">
        <v>906</v>
      </c>
      <c r="L11085" s="539"/>
      <c r="M11085" s="539"/>
      <c r="N11085" s="601">
        <v>44120</v>
      </c>
      <c r="R11085" s="548">
        <v>907.26300000000003</v>
      </c>
      <c r="S11085" s="548">
        <v>907.64976745240301</v>
      </c>
      <c r="T11085" s="549">
        <v>15.56</v>
      </c>
      <c r="U11085" s="549">
        <v>60.04</v>
      </c>
      <c r="V11085" s="549">
        <v>30.02</v>
      </c>
    </row>
    <row r="11086" spans="1:22">
      <c r="A11086" s="499">
        <v>45875</v>
      </c>
      <c r="B11086" s="499">
        <v>45875</v>
      </c>
      <c r="C11086" s="500" t="s">
        <v>173</v>
      </c>
      <c r="D11086" s="500" t="s">
        <v>764</v>
      </c>
      <c r="E11086" s="501">
        <v>-4614153582.6199999</v>
      </c>
      <c r="F11086" s="502" t="s">
        <v>878</v>
      </c>
      <c r="G11086" s="443">
        <v>118458257</v>
      </c>
      <c r="H11086" s="530"/>
      <c r="I11086" s="422" t="s">
        <v>693</v>
      </c>
      <c r="J11086" s="530" t="s">
        <v>906</v>
      </c>
      <c r="L11086" s="539"/>
      <c r="M11086" s="539"/>
      <c r="N11086" s="601">
        <v>6074004</v>
      </c>
      <c r="R11086" s="548">
        <v>759.65599999934147</v>
      </c>
      <c r="S11086" s="548">
        <v>759.97859364267799</v>
      </c>
      <c r="T11086" s="549">
        <v>15.5</v>
      </c>
      <c r="U11086" s="549">
        <v>6921.23</v>
      </c>
      <c r="V11086" s="549">
        <v>3460.62</v>
      </c>
    </row>
    <row r="11087" spans="1:22">
      <c r="A11087" s="499">
        <v>45875</v>
      </c>
      <c r="B11087" s="499">
        <v>45875</v>
      </c>
      <c r="C11087" s="500" t="s">
        <v>173</v>
      </c>
      <c r="D11087" s="500" t="s">
        <v>764</v>
      </c>
      <c r="E11087" s="501">
        <v>-28013074.66</v>
      </c>
      <c r="F11087" s="502" t="s">
        <v>878</v>
      </c>
      <c r="G11087" s="443">
        <v>118458284</v>
      </c>
      <c r="H11087" s="530"/>
      <c r="I11087" s="422" t="s">
        <v>693</v>
      </c>
      <c r="J11087" s="530" t="s">
        <v>906</v>
      </c>
      <c r="L11087" s="539"/>
      <c r="M11087" s="539"/>
      <c r="N11087" s="601">
        <v>36876</v>
      </c>
      <c r="R11087" s="548">
        <v>759.65600010847163</v>
      </c>
      <c r="S11087" s="548">
        <v>759.97859366525699</v>
      </c>
      <c r="T11087" s="549">
        <v>15.5</v>
      </c>
      <c r="U11087" s="549">
        <v>42.02</v>
      </c>
      <c r="V11087" s="549">
        <v>21.01</v>
      </c>
    </row>
    <row r="11088" spans="1:22">
      <c r="A11088" s="499">
        <v>45875</v>
      </c>
      <c r="B11088" s="499">
        <v>45876</v>
      </c>
      <c r="C11088" s="500" t="s">
        <v>173</v>
      </c>
      <c r="D11088" s="500" t="s">
        <v>764</v>
      </c>
      <c r="E11088" s="501">
        <v>4003613.09</v>
      </c>
      <c r="F11088" s="502" t="s">
        <v>878</v>
      </c>
      <c r="G11088" s="443">
        <v>118456716</v>
      </c>
      <c r="H11088" s="443">
        <v>118456716</v>
      </c>
      <c r="I11088" s="422" t="s">
        <v>720</v>
      </c>
      <c r="J11088" s="484" t="s">
        <v>912</v>
      </c>
      <c r="L11088" s="539"/>
      <c r="M11088" s="539"/>
      <c r="N11088" s="601">
        <v>6764</v>
      </c>
      <c r="R11088" s="548">
        <v>591.64799970431693</v>
      </c>
      <c r="S11088" s="548">
        <v>591.90022028385602</v>
      </c>
      <c r="T11088" s="549">
        <v>15.56</v>
      </c>
      <c r="U11088" s="549">
        <v>39.32</v>
      </c>
      <c r="V11088" s="549">
        <v>3</v>
      </c>
    </row>
    <row r="11089" spans="1:22">
      <c r="A11089" s="499">
        <v>45875</v>
      </c>
      <c r="B11089" s="499">
        <v>45876</v>
      </c>
      <c r="C11089" s="500" t="s">
        <v>173</v>
      </c>
      <c r="D11089" s="500" t="s">
        <v>764</v>
      </c>
      <c r="E11089" s="501">
        <v>5003891.57</v>
      </c>
      <c r="F11089" s="502" t="s">
        <v>878</v>
      </c>
      <c r="G11089" s="443">
        <v>118456719</v>
      </c>
      <c r="H11089" s="443">
        <v>118456719</v>
      </c>
      <c r="I11089" s="422" t="s">
        <v>631</v>
      </c>
      <c r="J11089" s="484" t="s">
        <v>912</v>
      </c>
      <c r="L11089" s="539"/>
      <c r="M11089" s="539"/>
      <c r="N11089" s="601">
        <v>10090</v>
      </c>
      <c r="R11089" s="548">
        <v>495.71450049554011</v>
      </c>
      <c r="S11089" s="548">
        <v>495.92582457879098</v>
      </c>
      <c r="T11089" s="549">
        <v>15.56</v>
      </c>
      <c r="U11089" s="549">
        <v>39.32</v>
      </c>
      <c r="V11089" s="549">
        <v>3.75</v>
      </c>
    </row>
    <row r="11090" spans="1:22">
      <c r="A11090" s="499">
        <v>45875</v>
      </c>
      <c r="B11090" s="499">
        <v>45876</v>
      </c>
      <c r="C11090" s="500" t="s">
        <v>173</v>
      </c>
      <c r="D11090" s="500" t="s">
        <v>764</v>
      </c>
      <c r="E11090" s="501">
        <v>9005180.9900000002</v>
      </c>
      <c r="F11090" s="502" t="s">
        <v>878</v>
      </c>
      <c r="G11090" s="443">
        <v>118456722</v>
      </c>
      <c r="H11090" s="443">
        <v>118456722</v>
      </c>
      <c r="I11090" s="422" t="s">
        <v>721</v>
      </c>
      <c r="J11090" s="484" t="s">
        <v>912</v>
      </c>
      <c r="L11090" s="539"/>
      <c r="M11090" s="539"/>
      <c r="N11090" s="601">
        <v>15957</v>
      </c>
      <c r="R11090" s="548">
        <v>564.09999999999991</v>
      </c>
      <c r="S11090" s="548">
        <v>564.34047690668694</v>
      </c>
      <c r="T11090" s="549">
        <v>15.56</v>
      </c>
      <c r="U11090" s="549">
        <v>39.32</v>
      </c>
      <c r="V11090" s="549">
        <v>6.75</v>
      </c>
    </row>
    <row r="11091" spans="1:22">
      <c r="A11091" s="499">
        <v>45875</v>
      </c>
      <c r="B11091" s="499">
        <v>45876</v>
      </c>
      <c r="C11091" s="500" t="s">
        <v>173</v>
      </c>
      <c r="D11091" s="500" t="s">
        <v>764</v>
      </c>
      <c r="E11091" s="501">
        <v>17010346.670000002</v>
      </c>
      <c r="F11091" s="502" t="s">
        <v>878</v>
      </c>
      <c r="G11091" s="443">
        <v>118456725</v>
      </c>
      <c r="H11091" s="443">
        <v>118456725</v>
      </c>
      <c r="I11091" s="422" t="s">
        <v>600</v>
      </c>
      <c r="J11091" s="484" t="s">
        <v>912</v>
      </c>
      <c r="L11091" s="539"/>
      <c r="M11091" s="539"/>
      <c r="N11091" s="601">
        <v>18819</v>
      </c>
      <c r="R11091" s="548">
        <v>903.50699984058667</v>
      </c>
      <c r="S11091" s="548">
        <v>903.89216589616899</v>
      </c>
      <c r="T11091" s="549">
        <v>15.56</v>
      </c>
      <c r="U11091" s="549">
        <v>39.32</v>
      </c>
      <c r="V11091" s="549">
        <v>12.75</v>
      </c>
    </row>
    <row r="11092" spans="1:22">
      <c r="A11092" s="499">
        <v>45875</v>
      </c>
      <c r="B11092" s="499">
        <v>45876</v>
      </c>
      <c r="C11092" s="500" t="s">
        <v>173</v>
      </c>
      <c r="D11092" s="500" t="s">
        <v>764</v>
      </c>
      <c r="E11092" s="501">
        <v>21015620.489999998</v>
      </c>
      <c r="F11092" s="502" t="s">
        <v>878</v>
      </c>
      <c r="G11092" s="443">
        <v>118456728</v>
      </c>
      <c r="H11092" s="443">
        <v>118456728</v>
      </c>
      <c r="I11092" s="422" t="s">
        <v>604</v>
      </c>
      <c r="J11092" s="484" t="s">
        <v>912</v>
      </c>
      <c r="L11092" s="539"/>
      <c r="M11092" s="539"/>
      <c r="N11092" s="601">
        <v>20748</v>
      </c>
      <c r="R11092" s="548">
        <v>1012.4670001927897</v>
      </c>
      <c r="S11092" s="548">
        <v>1012.89861625217</v>
      </c>
      <c r="T11092" s="549">
        <v>15.56</v>
      </c>
      <c r="U11092" s="549">
        <v>39.32</v>
      </c>
      <c r="V11092" s="549">
        <v>15.75</v>
      </c>
    </row>
    <row r="11093" spans="1:22">
      <c r="A11093" s="499">
        <v>45875</v>
      </c>
      <c r="B11093" s="499">
        <v>45876</v>
      </c>
      <c r="C11093" s="500" t="s">
        <v>173</v>
      </c>
      <c r="D11093" s="500" t="s">
        <v>764</v>
      </c>
      <c r="E11093" s="501">
        <v>21020921.109999999</v>
      </c>
      <c r="F11093" s="502" t="s">
        <v>878</v>
      </c>
      <c r="G11093" s="443">
        <v>118456731</v>
      </c>
      <c r="H11093" s="443">
        <v>118456731</v>
      </c>
      <c r="I11093" s="422" t="s">
        <v>602</v>
      </c>
      <c r="J11093" s="484" t="s">
        <v>912</v>
      </c>
      <c r="L11093" s="539"/>
      <c r="M11093" s="539"/>
      <c r="N11093" s="601">
        <v>26649</v>
      </c>
      <c r="R11093" s="548">
        <v>788.47100003752485</v>
      </c>
      <c r="S11093" s="548">
        <v>788.80712634620397</v>
      </c>
      <c r="T11093" s="549">
        <v>15.56</v>
      </c>
      <c r="U11093" s="549">
        <v>39.32</v>
      </c>
      <c r="V11093" s="549">
        <v>15.76</v>
      </c>
    </row>
    <row r="11094" spans="1:22">
      <c r="A11094" s="499">
        <v>45875</v>
      </c>
      <c r="B11094" s="499">
        <v>45876</v>
      </c>
      <c r="C11094" s="500" t="s">
        <v>173</v>
      </c>
      <c r="D11094" s="500" t="s">
        <v>764</v>
      </c>
      <c r="E11094" s="501">
        <v>22022587.690000001</v>
      </c>
      <c r="F11094" s="502" t="s">
        <v>878</v>
      </c>
      <c r="G11094" s="443">
        <v>118456734</v>
      </c>
      <c r="H11094" s="443">
        <v>118456734</v>
      </c>
      <c r="I11094" s="422" t="s">
        <v>590</v>
      </c>
      <c r="J11094" s="484" t="s">
        <v>912</v>
      </c>
      <c r="L11094" s="539"/>
      <c r="M11094" s="539"/>
      <c r="N11094" s="601">
        <v>25036</v>
      </c>
      <c r="R11094" s="548">
        <v>879.26199992011504</v>
      </c>
      <c r="S11094" s="548">
        <v>879.63683056398804</v>
      </c>
      <c r="T11094" s="549">
        <v>15.56</v>
      </c>
      <c r="U11094" s="549">
        <v>39.32</v>
      </c>
      <c r="V11094" s="549">
        <v>16.510000000000002</v>
      </c>
    </row>
    <row r="11095" spans="1:22">
      <c r="A11095" s="499">
        <v>45875</v>
      </c>
      <c r="B11095" s="499">
        <v>45876</v>
      </c>
      <c r="C11095" s="500" t="s">
        <v>173</v>
      </c>
      <c r="D11095" s="500" t="s">
        <v>764</v>
      </c>
      <c r="E11095" s="501">
        <v>27028055.370000001</v>
      </c>
      <c r="F11095" s="502" t="s">
        <v>878</v>
      </c>
      <c r="G11095" s="443">
        <v>118456737</v>
      </c>
      <c r="H11095" s="443">
        <v>118456737</v>
      </c>
      <c r="I11095" s="422" t="s">
        <v>592</v>
      </c>
      <c r="J11095" s="484" t="s">
        <v>912</v>
      </c>
      <c r="L11095" s="539"/>
      <c r="M11095" s="539"/>
      <c r="N11095" s="601">
        <v>35937</v>
      </c>
      <c r="R11095" s="548">
        <v>751.77500013913232</v>
      </c>
      <c r="S11095" s="548">
        <v>752.09548292845795</v>
      </c>
      <c r="T11095" s="549">
        <v>15.56</v>
      </c>
      <c r="U11095" s="549">
        <v>40.520000000000003</v>
      </c>
      <c r="V11095" s="549">
        <v>20.260000000000002</v>
      </c>
    </row>
    <row r="11096" spans="1:22">
      <c r="A11096" s="499">
        <v>45875</v>
      </c>
      <c r="B11096" s="499">
        <v>45876</v>
      </c>
      <c r="C11096" s="500" t="s">
        <v>173</v>
      </c>
      <c r="D11096" s="500" t="s">
        <v>764</v>
      </c>
      <c r="E11096" s="501">
        <v>40045507.740000002</v>
      </c>
      <c r="F11096" s="502" t="s">
        <v>878</v>
      </c>
      <c r="G11096" s="443">
        <v>118456740</v>
      </c>
      <c r="H11096" s="443">
        <v>118456740</v>
      </c>
      <c r="I11096" s="422" t="s">
        <v>588</v>
      </c>
      <c r="J11096" s="484" t="s">
        <v>912</v>
      </c>
      <c r="L11096" s="539"/>
      <c r="M11096" s="539"/>
      <c r="N11096" s="601">
        <v>44120</v>
      </c>
      <c r="R11096" s="548">
        <v>907.26300000000003</v>
      </c>
      <c r="S11096" s="548">
        <v>907.64976745240301</v>
      </c>
      <c r="T11096" s="549">
        <v>15.56</v>
      </c>
      <c r="U11096" s="549">
        <v>60.04</v>
      </c>
      <c r="V11096" s="549">
        <v>30.02</v>
      </c>
    </row>
    <row r="11097" spans="1:22">
      <c r="A11097" s="499">
        <v>45875</v>
      </c>
      <c r="B11097" s="499">
        <v>45876</v>
      </c>
      <c r="C11097" s="500" t="s">
        <v>173</v>
      </c>
      <c r="D11097" s="500" t="s">
        <v>764</v>
      </c>
      <c r="E11097" s="501">
        <v>4616113017.6999998</v>
      </c>
      <c r="F11097" s="502" t="s">
        <v>878</v>
      </c>
      <c r="G11097" s="443">
        <v>118458257</v>
      </c>
      <c r="H11097" s="443">
        <v>118458257</v>
      </c>
      <c r="I11097" s="422" t="s">
        <v>693</v>
      </c>
      <c r="J11097" s="484" t="s">
        <v>912</v>
      </c>
      <c r="L11097" s="539"/>
      <c r="M11097" s="539"/>
      <c r="N11097" s="601">
        <v>6074004</v>
      </c>
      <c r="R11097" s="548">
        <v>759.65599999934147</v>
      </c>
      <c r="S11097" s="548">
        <v>759.97859364267799</v>
      </c>
      <c r="T11097" s="549">
        <v>15.5</v>
      </c>
      <c r="U11097" s="549">
        <v>6921.23</v>
      </c>
      <c r="V11097" s="549">
        <v>3460.62</v>
      </c>
    </row>
    <row r="11098" spans="1:22">
      <c r="A11098" s="499">
        <v>45875</v>
      </c>
      <c r="B11098" s="499">
        <v>45876</v>
      </c>
      <c r="C11098" s="500" t="s">
        <v>173</v>
      </c>
      <c r="D11098" s="500" t="s">
        <v>764</v>
      </c>
      <c r="E11098" s="501">
        <v>28024970.620000001</v>
      </c>
      <c r="F11098" s="502" t="s">
        <v>878</v>
      </c>
      <c r="G11098" s="443">
        <v>118458284</v>
      </c>
      <c r="H11098" s="443">
        <v>118458284</v>
      </c>
      <c r="I11098" s="422" t="s">
        <v>693</v>
      </c>
      <c r="J11098" s="484" t="s">
        <v>912</v>
      </c>
      <c r="L11098" s="539"/>
      <c r="M11098" s="539"/>
      <c r="N11098" s="601">
        <v>36876</v>
      </c>
      <c r="R11098" s="548">
        <v>759.65600010847163</v>
      </c>
      <c r="S11098" s="548">
        <v>759.97859366525699</v>
      </c>
      <c r="T11098" s="549">
        <v>15.5</v>
      </c>
      <c r="U11098" s="549">
        <v>42.02</v>
      </c>
      <c r="V11098" s="549">
        <v>21.01</v>
      </c>
    </row>
    <row r="11099" spans="1:22">
      <c r="A11099" s="499">
        <v>45875</v>
      </c>
      <c r="B11099" s="499">
        <v>45875</v>
      </c>
      <c r="C11099" s="500" t="s">
        <v>173</v>
      </c>
      <c r="D11099" s="500" t="s">
        <v>763</v>
      </c>
      <c r="E11099" s="501">
        <v>-279053817.98000002</v>
      </c>
      <c r="F11099" s="502" t="s">
        <v>878</v>
      </c>
      <c r="G11099" s="443">
        <v>118455589</v>
      </c>
      <c r="H11099" s="530"/>
      <c r="I11099" s="422" t="s">
        <v>691</v>
      </c>
      <c r="J11099" s="530" t="s">
        <v>906</v>
      </c>
      <c r="L11099" s="539"/>
      <c r="M11099" s="539"/>
      <c r="N11099" s="601">
        <v>321408</v>
      </c>
      <c r="R11099" s="548">
        <v>868.22299999999996</v>
      </c>
      <c r="S11099" s="548">
        <v>868.59312462664298</v>
      </c>
      <c r="T11099" s="549">
        <v>15.56</v>
      </c>
      <c r="U11099" s="549">
        <v>418.58</v>
      </c>
      <c r="V11099" s="549">
        <v>209.29</v>
      </c>
    </row>
    <row r="11100" spans="1:22">
      <c r="A11100" s="499">
        <v>45875</v>
      </c>
      <c r="B11100" s="499">
        <v>45875</v>
      </c>
      <c r="C11100" s="500" t="s">
        <v>173</v>
      </c>
      <c r="D11100" s="500" t="s">
        <v>763</v>
      </c>
      <c r="E11100" s="501">
        <v>-299039516.13999999</v>
      </c>
      <c r="F11100" s="502" t="s">
        <v>878</v>
      </c>
      <c r="G11100" s="443">
        <v>118455592</v>
      </c>
      <c r="H11100" s="530"/>
      <c r="I11100" s="422" t="s">
        <v>692</v>
      </c>
      <c r="J11100" s="530" t="s">
        <v>906</v>
      </c>
      <c r="L11100" s="539"/>
      <c r="M11100" s="539"/>
      <c r="N11100" s="601">
        <v>409929</v>
      </c>
      <c r="R11100" s="548">
        <v>729.49099999999999</v>
      </c>
      <c r="S11100" s="548">
        <v>729.80198302632903</v>
      </c>
      <c r="T11100" s="549">
        <v>15.56</v>
      </c>
      <c r="U11100" s="549">
        <v>448.56</v>
      </c>
      <c r="V11100" s="549">
        <v>224.28</v>
      </c>
    </row>
    <row r="11101" spans="1:22">
      <c r="A11101" s="499">
        <v>45875</v>
      </c>
      <c r="B11101" s="499">
        <v>45875</v>
      </c>
      <c r="C11101" s="500" t="s">
        <v>173</v>
      </c>
      <c r="D11101" s="500" t="s">
        <v>763</v>
      </c>
      <c r="E11101" s="501">
        <v>-356067187.17000002</v>
      </c>
      <c r="F11101" s="502" t="s">
        <v>878</v>
      </c>
      <c r="G11101" s="443">
        <v>118455595</v>
      </c>
      <c r="H11101" s="530"/>
      <c r="I11101" s="422" t="s">
        <v>678</v>
      </c>
      <c r="J11101" s="530" t="s">
        <v>906</v>
      </c>
      <c r="L11101" s="539"/>
      <c r="M11101" s="539"/>
      <c r="N11101" s="601">
        <v>379852</v>
      </c>
      <c r="R11101" s="548">
        <v>937.38400000000001</v>
      </c>
      <c r="S11101" s="548">
        <v>937.78360808946604</v>
      </c>
      <c r="T11101" s="549">
        <v>15.56</v>
      </c>
      <c r="U11101" s="549">
        <v>534.1</v>
      </c>
      <c r="V11101" s="549">
        <v>267.05</v>
      </c>
    </row>
    <row r="11102" spans="1:22">
      <c r="A11102" s="499">
        <v>45875</v>
      </c>
      <c r="B11102" s="499">
        <v>45875</v>
      </c>
      <c r="C11102" s="500" t="s">
        <v>173</v>
      </c>
      <c r="D11102" s="500" t="s">
        <v>763</v>
      </c>
      <c r="E11102" s="501">
        <v>-390132756</v>
      </c>
      <c r="F11102" s="502" t="s">
        <v>878</v>
      </c>
      <c r="G11102" s="443">
        <v>118455598</v>
      </c>
      <c r="H11102" s="530"/>
      <c r="I11102" s="422" t="s">
        <v>676</v>
      </c>
      <c r="J11102" s="530" t="s">
        <v>906</v>
      </c>
      <c r="L11102" s="539"/>
      <c r="M11102" s="539"/>
      <c r="N11102" s="601">
        <v>468000</v>
      </c>
      <c r="R11102" s="548">
        <v>833.61699999999996</v>
      </c>
      <c r="S11102" s="548">
        <v>833.97237207265005</v>
      </c>
      <c r="T11102" s="549">
        <v>15.56</v>
      </c>
      <c r="U11102" s="549">
        <v>585.20000000000005</v>
      </c>
      <c r="V11102" s="549">
        <v>292.60000000000002</v>
      </c>
    </row>
    <row r="11103" spans="1:22">
      <c r="A11103" s="499">
        <v>45875</v>
      </c>
      <c r="B11103" s="499">
        <v>45875</v>
      </c>
      <c r="C11103" s="500" t="s">
        <v>173</v>
      </c>
      <c r="D11103" s="500" t="s">
        <v>763</v>
      </c>
      <c r="E11103" s="501">
        <v>-406108954.56999999</v>
      </c>
      <c r="F11103" s="502" t="s">
        <v>878</v>
      </c>
      <c r="G11103" s="443">
        <v>118455601</v>
      </c>
      <c r="H11103" s="530"/>
      <c r="I11103" s="422" t="s">
        <v>658</v>
      </c>
      <c r="J11103" s="530" t="s">
        <v>906</v>
      </c>
      <c r="L11103" s="539"/>
      <c r="M11103" s="539"/>
      <c r="N11103" s="601">
        <v>399098</v>
      </c>
      <c r="R11103" s="548">
        <v>1017.567</v>
      </c>
      <c r="S11103" s="548">
        <v>1018.00079020692</v>
      </c>
      <c r="T11103" s="549">
        <v>15.56</v>
      </c>
      <c r="U11103" s="549">
        <v>609.16</v>
      </c>
      <c r="V11103" s="549">
        <v>304.58</v>
      </c>
    </row>
    <row r="11104" spans="1:22">
      <c r="A11104" s="499">
        <v>45875</v>
      </c>
      <c r="B11104" s="499">
        <v>45875</v>
      </c>
      <c r="C11104" s="500" t="s">
        <v>173</v>
      </c>
      <c r="D11104" s="500" t="s">
        <v>763</v>
      </c>
      <c r="E11104" s="501">
        <v>-443140623.25999999</v>
      </c>
      <c r="F11104" s="502" t="s">
        <v>878</v>
      </c>
      <c r="G11104" s="443">
        <v>118455604</v>
      </c>
      <c r="H11104" s="530"/>
      <c r="I11104" s="422" t="s">
        <v>696</v>
      </c>
      <c r="J11104" s="530" t="s">
        <v>906</v>
      </c>
      <c r="L11104" s="539"/>
      <c r="M11104" s="539"/>
      <c r="N11104" s="601">
        <v>594949</v>
      </c>
      <c r="R11104" s="548">
        <v>744.83799999999997</v>
      </c>
      <c r="S11104" s="548">
        <v>745.1555254484</v>
      </c>
      <c r="T11104" s="549">
        <v>15.56</v>
      </c>
      <c r="U11104" s="549">
        <v>664.71</v>
      </c>
      <c r="V11104" s="549">
        <v>332.36</v>
      </c>
    </row>
    <row r="11105" spans="1:22">
      <c r="A11105" s="499">
        <v>45875</v>
      </c>
      <c r="B11105" s="499">
        <v>45875</v>
      </c>
      <c r="C11105" s="500" t="s">
        <v>173</v>
      </c>
      <c r="D11105" s="500" t="s">
        <v>763</v>
      </c>
      <c r="E11105" s="501">
        <v>-448018428.93000001</v>
      </c>
      <c r="F11105" s="502" t="s">
        <v>878</v>
      </c>
      <c r="G11105" s="443">
        <v>118455607</v>
      </c>
      <c r="H11105" s="530"/>
      <c r="I11105" s="422" t="s">
        <v>686</v>
      </c>
      <c r="J11105" s="530" t="s">
        <v>906</v>
      </c>
      <c r="L11105" s="539"/>
      <c r="M11105" s="539"/>
      <c r="N11105" s="601">
        <v>504448</v>
      </c>
      <c r="R11105" s="548">
        <v>888.13599999999997</v>
      </c>
      <c r="S11105" s="548">
        <v>888.51461359743701</v>
      </c>
      <c r="T11105" s="549">
        <v>15.56</v>
      </c>
      <c r="U11105" s="549">
        <v>672.03</v>
      </c>
      <c r="V11105" s="549">
        <v>336.01</v>
      </c>
    </row>
    <row r="11106" spans="1:22">
      <c r="A11106" s="499">
        <v>45875</v>
      </c>
      <c r="B11106" s="499">
        <v>45875</v>
      </c>
      <c r="C11106" s="500" t="s">
        <v>173</v>
      </c>
      <c r="D11106" s="500" t="s">
        <v>763</v>
      </c>
      <c r="E11106" s="501">
        <v>-470149176.12</v>
      </c>
      <c r="F11106" s="502" t="s">
        <v>878</v>
      </c>
      <c r="G11106" s="443">
        <v>118455610</v>
      </c>
      <c r="H11106" s="530"/>
      <c r="I11106" s="422" t="s">
        <v>604</v>
      </c>
      <c r="J11106" s="530" t="s">
        <v>906</v>
      </c>
      <c r="L11106" s="539"/>
      <c r="M11106" s="539"/>
      <c r="N11106" s="601">
        <v>464360</v>
      </c>
      <c r="R11106" s="548">
        <v>1012.467</v>
      </c>
      <c r="S11106" s="548">
        <v>1012.89861607374</v>
      </c>
      <c r="T11106" s="549">
        <v>15.56</v>
      </c>
      <c r="U11106" s="549">
        <v>705.22</v>
      </c>
      <c r="V11106" s="549">
        <v>352.61</v>
      </c>
    </row>
    <row r="11107" spans="1:22">
      <c r="A11107" s="499">
        <v>45875</v>
      </c>
      <c r="B11107" s="499">
        <v>45875</v>
      </c>
      <c r="C11107" s="500" t="s">
        <v>173</v>
      </c>
      <c r="D11107" s="500" t="s">
        <v>763</v>
      </c>
      <c r="E11107" s="501">
        <v>-501180085.94999999</v>
      </c>
      <c r="F11107" s="502" t="s">
        <v>878</v>
      </c>
      <c r="G11107" s="443">
        <v>118455613</v>
      </c>
      <c r="H11107" s="530"/>
      <c r="I11107" s="422" t="s">
        <v>717</v>
      </c>
      <c r="J11107" s="530" t="s">
        <v>906</v>
      </c>
      <c r="L11107" s="539"/>
      <c r="M11107" s="539"/>
      <c r="N11107" s="601">
        <v>858213</v>
      </c>
      <c r="R11107" s="548">
        <v>583.98099999999999</v>
      </c>
      <c r="S11107" s="548">
        <v>584.22995190005304</v>
      </c>
      <c r="T11107" s="549">
        <v>15.56</v>
      </c>
      <c r="U11107" s="549">
        <v>751.77</v>
      </c>
      <c r="V11107" s="549">
        <v>375.89</v>
      </c>
    </row>
    <row r="11108" spans="1:22">
      <c r="A11108" s="499">
        <v>45875</v>
      </c>
      <c r="B11108" s="499">
        <v>45875</v>
      </c>
      <c r="C11108" s="500" t="s">
        <v>173</v>
      </c>
      <c r="D11108" s="500" t="s">
        <v>763</v>
      </c>
      <c r="E11108" s="501">
        <v>-3002792.65</v>
      </c>
      <c r="F11108" s="502" t="s">
        <v>878</v>
      </c>
      <c r="G11108" s="443">
        <v>118455616</v>
      </c>
      <c r="H11108" s="530"/>
      <c r="I11108" s="422" t="s">
        <v>675</v>
      </c>
      <c r="J11108" s="530" t="s">
        <v>906</v>
      </c>
      <c r="L11108" s="539"/>
      <c r="M11108" s="539"/>
      <c r="N11108" s="601">
        <v>3219</v>
      </c>
      <c r="R11108" s="548">
        <v>932.83399999999995</v>
      </c>
      <c r="S11108" s="548">
        <v>933.23166821994403</v>
      </c>
      <c r="T11108" s="549">
        <v>15.56</v>
      </c>
      <c r="U11108" s="549">
        <v>39.32</v>
      </c>
      <c r="V11108" s="549">
        <v>39.32</v>
      </c>
    </row>
    <row r="11109" spans="1:22">
      <c r="A11109" s="499">
        <v>45875</v>
      </c>
      <c r="B11109" s="499">
        <v>45875</v>
      </c>
      <c r="C11109" s="500" t="s">
        <v>173</v>
      </c>
      <c r="D11109" s="500" t="s">
        <v>763</v>
      </c>
      <c r="E11109" s="501">
        <v>-22000589.75</v>
      </c>
      <c r="F11109" s="502" t="s">
        <v>878</v>
      </c>
      <c r="G11109" s="443">
        <v>118455687</v>
      </c>
      <c r="H11109" s="530"/>
      <c r="I11109" s="422" t="s">
        <v>1013</v>
      </c>
      <c r="J11109" s="530" t="s">
        <v>906</v>
      </c>
      <c r="L11109" s="539"/>
      <c r="M11109" s="539"/>
      <c r="N11109" s="601">
        <v>41470</v>
      </c>
      <c r="R11109" s="548">
        <v>530.51819999999998</v>
      </c>
      <c r="S11109" s="548">
        <v>530.74421509524996</v>
      </c>
      <c r="T11109" s="549">
        <v>15.55</v>
      </c>
      <c r="U11109" s="549">
        <v>39.32</v>
      </c>
      <c r="V11109" s="549">
        <v>39.32</v>
      </c>
    </row>
    <row r="11110" spans="1:22">
      <c r="A11110" s="499">
        <v>45875</v>
      </c>
      <c r="B11110" s="499">
        <v>45876</v>
      </c>
      <c r="C11110" s="500" t="s">
        <v>173</v>
      </c>
      <c r="D11110" s="500" t="s">
        <v>763</v>
      </c>
      <c r="E11110" s="501">
        <v>279172779</v>
      </c>
      <c r="F11110" s="502" t="s">
        <v>878</v>
      </c>
      <c r="G11110" s="443">
        <v>118455589</v>
      </c>
      <c r="H11110" s="443">
        <v>118455589</v>
      </c>
      <c r="I11110" s="422" t="s">
        <v>691</v>
      </c>
      <c r="J11110" s="484" t="s">
        <v>912</v>
      </c>
      <c r="L11110" s="539"/>
      <c r="M11110" s="539"/>
      <c r="N11110" s="601">
        <v>321408</v>
      </c>
      <c r="R11110" s="548">
        <v>868.22299999999996</v>
      </c>
      <c r="S11110" s="548">
        <v>868.59312462664298</v>
      </c>
      <c r="T11110" s="549">
        <v>15.56</v>
      </c>
      <c r="U11110" s="549">
        <v>418.58</v>
      </c>
      <c r="V11110" s="549">
        <v>209.29</v>
      </c>
    </row>
    <row r="11111" spans="1:22">
      <c r="A11111" s="499">
        <v>45875</v>
      </c>
      <c r="B11111" s="499">
        <v>45876</v>
      </c>
      <c r="C11111" s="500" t="s">
        <v>173</v>
      </c>
      <c r="D11111" s="500" t="s">
        <v>763</v>
      </c>
      <c r="E11111" s="501">
        <v>299166997.10000002</v>
      </c>
      <c r="F11111" s="502" t="s">
        <v>878</v>
      </c>
      <c r="G11111" s="443">
        <v>118455592</v>
      </c>
      <c r="H11111" s="443">
        <v>118455592</v>
      </c>
      <c r="I11111" s="422" t="s">
        <v>692</v>
      </c>
      <c r="J11111" s="484" t="s">
        <v>912</v>
      </c>
      <c r="L11111" s="539"/>
      <c r="M11111" s="539"/>
      <c r="N11111" s="601">
        <v>409929</v>
      </c>
      <c r="R11111" s="548">
        <v>729.49099999999999</v>
      </c>
      <c r="S11111" s="548">
        <v>729.80198302632903</v>
      </c>
      <c r="T11111" s="549">
        <v>15.56</v>
      </c>
      <c r="U11111" s="549">
        <v>448.56</v>
      </c>
      <c r="V11111" s="549">
        <v>224.28</v>
      </c>
    </row>
    <row r="11112" spans="1:22">
      <c r="A11112" s="499">
        <v>45875</v>
      </c>
      <c r="B11112" s="499">
        <v>45876</v>
      </c>
      <c r="C11112" s="500" t="s">
        <v>173</v>
      </c>
      <c r="D11112" s="500" t="s">
        <v>763</v>
      </c>
      <c r="E11112" s="501">
        <v>356218979.10000002</v>
      </c>
      <c r="F11112" s="502" t="s">
        <v>878</v>
      </c>
      <c r="G11112" s="443">
        <v>118455595</v>
      </c>
      <c r="H11112" s="443">
        <v>118455595</v>
      </c>
      <c r="I11112" s="422" t="s">
        <v>678</v>
      </c>
      <c r="J11112" s="484" t="s">
        <v>912</v>
      </c>
      <c r="L11112" s="539"/>
      <c r="M11112" s="539"/>
      <c r="N11112" s="601">
        <v>379852</v>
      </c>
      <c r="R11112" s="548">
        <v>937.38400000000001</v>
      </c>
      <c r="S11112" s="548">
        <v>937.78360808946604</v>
      </c>
      <c r="T11112" s="549">
        <v>15.56</v>
      </c>
      <c r="U11112" s="549">
        <v>534.1</v>
      </c>
      <c r="V11112" s="549">
        <v>267.05</v>
      </c>
    </row>
    <row r="11113" spans="1:22">
      <c r="A11113" s="499">
        <v>45875</v>
      </c>
      <c r="B11113" s="499">
        <v>45876</v>
      </c>
      <c r="C11113" s="500" t="s">
        <v>173</v>
      </c>
      <c r="D11113" s="500" t="s">
        <v>763</v>
      </c>
      <c r="E11113" s="501">
        <v>390299070.13</v>
      </c>
      <c r="F11113" s="502" t="s">
        <v>878</v>
      </c>
      <c r="G11113" s="443">
        <v>118455598</v>
      </c>
      <c r="H11113" s="443">
        <v>118455598</v>
      </c>
      <c r="I11113" s="422" t="s">
        <v>676</v>
      </c>
      <c r="J11113" s="484" t="s">
        <v>912</v>
      </c>
      <c r="L11113" s="539"/>
      <c r="M11113" s="539"/>
      <c r="N11113" s="601">
        <v>468000</v>
      </c>
      <c r="R11113" s="548">
        <v>833.61699999999996</v>
      </c>
      <c r="S11113" s="548">
        <v>833.97237207265005</v>
      </c>
      <c r="T11113" s="549">
        <v>15.56</v>
      </c>
      <c r="U11113" s="549">
        <v>585.20000000000005</v>
      </c>
      <c r="V11113" s="549">
        <v>292.60000000000002</v>
      </c>
    </row>
    <row r="11114" spans="1:22">
      <c r="A11114" s="499">
        <v>45875</v>
      </c>
      <c r="B11114" s="499">
        <v>45876</v>
      </c>
      <c r="C11114" s="500" t="s">
        <v>173</v>
      </c>
      <c r="D11114" s="500" t="s">
        <v>763</v>
      </c>
      <c r="E11114" s="501">
        <v>406282079.37</v>
      </c>
      <c r="F11114" s="502" t="s">
        <v>878</v>
      </c>
      <c r="G11114" s="443">
        <v>118455601</v>
      </c>
      <c r="H11114" s="443">
        <v>118455601</v>
      </c>
      <c r="I11114" s="422" t="s">
        <v>658</v>
      </c>
      <c r="J11114" s="484" t="s">
        <v>912</v>
      </c>
      <c r="L11114" s="539"/>
      <c r="M11114" s="539"/>
      <c r="N11114" s="601">
        <v>399098</v>
      </c>
      <c r="R11114" s="548">
        <v>1017.567</v>
      </c>
      <c r="S11114" s="548">
        <v>1018.00079020692</v>
      </c>
      <c r="T11114" s="549">
        <v>15.56</v>
      </c>
      <c r="U11114" s="549">
        <v>609.16</v>
      </c>
      <c r="V11114" s="549">
        <v>304.58</v>
      </c>
    </row>
    <row r="11115" spans="1:22">
      <c r="A11115" s="499">
        <v>45875</v>
      </c>
      <c r="B11115" s="499">
        <v>45876</v>
      </c>
      <c r="C11115" s="500" t="s">
        <v>173</v>
      </c>
      <c r="D11115" s="500" t="s">
        <v>763</v>
      </c>
      <c r="E11115" s="501">
        <v>443329534.70999998</v>
      </c>
      <c r="F11115" s="502" t="s">
        <v>878</v>
      </c>
      <c r="G11115" s="443">
        <v>118455604</v>
      </c>
      <c r="H11115" s="443">
        <v>118455604</v>
      </c>
      <c r="I11115" s="422" t="s">
        <v>696</v>
      </c>
      <c r="J11115" s="484" t="s">
        <v>912</v>
      </c>
      <c r="L11115" s="539"/>
      <c r="M11115" s="539"/>
      <c r="N11115" s="601">
        <v>594949</v>
      </c>
      <c r="R11115" s="548">
        <v>744.83799999999997</v>
      </c>
      <c r="S11115" s="548">
        <v>745.1555254484</v>
      </c>
      <c r="T11115" s="549">
        <v>15.56</v>
      </c>
      <c r="U11115" s="549">
        <v>664.71</v>
      </c>
      <c r="V11115" s="549">
        <v>332.36</v>
      </c>
    </row>
    <row r="11116" spans="1:22">
      <c r="A11116" s="499">
        <v>45875</v>
      </c>
      <c r="B11116" s="499">
        <v>45876</v>
      </c>
      <c r="C11116" s="500" t="s">
        <v>173</v>
      </c>
      <c r="D11116" s="500" t="s">
        <v>763</v>
      </c>
      <c r="E11116" s="501">
        <v>448209419.80000001</v>
      </c>
      <c r="F11116" s="502" t="s">
        <v>878</v>
      </c>
      <c r="G11116" s="443">
        <v>118455607</v>
      </c>
      <c r="H11116" s="443">
        <v>118455607</v>
      </c>
      <c r="I11116" s="422" t="s">
        <v>686</v>
      </c>
      <c r="J11116" s="484" t="s">
        <v>912</v>
      </c>
      <c r="L11116" s="539"/>
      <c r="M11116" s="539"/>
      <c r="N11116" s="601">
        <v>504448</v>
      </c>
      <c r="R11116" s="548">
        <v>888.13599999999997</v>
      </c>
      <c r="S11116" s="548">
        <v>888.51461359743701</v>
      </c>
      <c r="T11116" s="549">
        <v>15.56</v>
      </c>
      <c r="U11116" s="549">
        <v>672.03</v>
      </c>
      <c r="V11116" s="549">
        <v>336.01</v>
      </c>
    </row>
    <row r="11117" spans="1:22">
      <c r="A11117" s="499">
        <v>45875</v>
      </c>
      <c r="B11117" s="499">
        <v>45876</v>
      </c>
      <c r="C11117" s="500" t="s">
        <v>173</v>
      </c>
      <c r="D11117" s="500" t="s">
        <v>763</v>
      </c>
      <c r="E11117" s="501">
        <v>470349601.36000001</v>
      </c>
      <c r="F11117" s="502" t="s">
        <v>878</v>
      </c>
      <c r="G11117" s="443">
        <v>118455610</v>
      </c>
      <c r="H11117" s="443">
        <v>118455610</v>
      </c>
      <c r="I11117" s="422" t="s">
        <v>604</v>
      </c>
      <c r="J11117" s="484" t="s">
        <v>912</v>
      </c>
      <c r="L11117" s="539"/>
      <c r="M11117" s="539"/>
      <c r="N11117" s="601">
        <v>464360</v>
      </c>
      <c r="R11117" s="548">
        <v>1012.467</v>
      </c>
      <c r="S11117" s="548">
        <v>1012.89861607374</v>
      </c>
      <c r="T11117" s="549">
        <v>15.56</v>
      </c>
      <c r="U11117" s="549">
        <v>705.22</v>
      </c>
      <c r="V11117" s="549">
        <v>352.61</v>
      </c>
    </row>
    <row r="11118" spans="1:22">
      <c r="A11118" s="499">
        <v>45875</v>
      </c>
      <c r="B11118" s="499">
        <v>45876</v>
      </c>
      <c r="C11118" s="500" t="s">
        <v>173</v>
      </c>
      <c r="D11118" s="500" t="s">
        <v>763</v>
      </c>
      <c r="E11118" s="501">
        <v>501393739.70999998</v>
      </c>
      <c r="F11118" s="502" t="s">
        <v>878</v>
      </c>
      <c r="G11118" s="443">
        <v>118455613</v>
      </c>
      <c r="H11118" s="443">
        <v>118455613</v>
      </c>
      <c r="I11118" s="422" t="s">
        <v>717</v>
      </c>
      <c r="J11118" s="484" t="s">
        <v>912</v>
      </c>
      <c r="L11118" s="539"/>
      <c r="M11118" s="539"/>
      <c r="N11118" s="601">
        <v>858213</v>
      </c>
      <c r="R11118" s="548">
        <v>583.98099999999999</v>
      </c>
      <c r="S11118" s="548">
        <v>584.22995190005304</v>
      </c>
      <c r="T11118" s="549">
        <v>15.56</v>
      </c>
      <c r="U11118" s="549">
        <v>751.77</v>
      </c>
      <c r="V11118" s="549">
        <v>375.89</v>
      </c>
    </row>
    <row r="11119" spans="1:22">
      <c r="A11119" s="499">
        <v>45875</v>
      </c>
      <c r="B11119" s="499">
        <v>45876</v>
      </c>
      <c r="C11119" s="500" t="s">
        <v>173</v>
      </c>
      <c r="D11119" s="500" t="s">
        <v>763</v>
      </c>
      <c r="E11119" s="501">
        <v>3004072.74</v>
      </c>
      <c r="F11119" s="502" t="s">
        <v>878</v>
      </c>
      <c r="G11119" s="443">
        <v>118455616</v>
      </c>
      <c r="H11119" s="443">
        <v>118455616</v>
      </c>
      <c r="I11119" s="422" t="s">
        <v>675</v>
      </c>
      <c r="J11119" s="484" t="s">
        <v>912</v>
      </c>
      <c r="L11119" s="539"/>
      <c r="M11119" s="539"/>
      <c r="N11119" s="601">
        <v>3219</v>
      </c>
      <c r="R11119" s="548">
        <v>932.83399999999995</v>
      </c>
      <c r="S11119" s="548">
        <v>933.23166821994403</v>
      </c>
      <c r="T11119" s="549">
        <v>15.56</v>
      </c>
      <c r="U11119" s="549">
        <v>39.32</v>
      </c>
      <c r="V11119" s="549">
        <v>39.32</v>
      </c>
    </row>
    <row r="11120" spans="1:22">
      <c r="A11120" s="499">
        <v>45875</v>
      </c>
      <c r="B11120" s="499">
        <v>45876</v>
      </c>
      <c r="C11120" s="500" t="s">
        <v>173</v>
      </c>
      <c r="D11120" s="500" t="s">
        <v>763</v>
      </c>
      <c r="E11120" s="501">
        <v>22009962.600000001</v>
      </c>
      <c r="F11120" s="502" t="s">
        <v>878</v>
      </c>
      <c r="G11120" s="443">
        <v>118455687</v>
      </c>
      <c r="H11120" s="443">
        <v>118455687</v>
      </c>
      <c r="I11120" s="422" t="s">
        <v>1013</v>
      </c>
      <c r="J11120" s="484" t="s">
        <v>912</v>
      </c>
      <c r="L11120" s="539"/>
      <c r="M11120" s="539"/>
      <c r="N11120" s="601">
        <v>41470</v>
      </c>
      <c r="R11120" s="548">
        <v>530.51819999999998</v>
      </c>
      <c r="S11120" s="548">
        <v>530.74421509524996</v>
      </c>
      <c r="T11120" s="549">
        <v>15.55</v>
      </c>
      <c r="U11120" s="549">
        <v>39.32</v>
      </c>
      <c r="V11120" s="549">
        <v>39.32</v>
      </c>
    </row>
    <row r="11121" spans="1:22">
      <c r="A11121" s="499">
        <v>45875</v>
      </c>
      <c r="B11121" s="499">
        <v>45875</v>
      </c>
      <c r="C11121" s="500" t="s">
        <v>173</v>
      </c>
      <c r="D11121" s="500" t="s">
        <v>761</v>
      </c>
      <c r="E11121" s="501">
        <v>-1783047796.8800001</v>
      </c>
      <c r="F11121" s="502" t="s">
        <v>878</v>
      </c>
      <c r="G11121" s="443">
        <v>118455527</v>
      </c>
      <c r="H11121" s="530"/>
      <c r="I11121" s="422" t="s">
        <v>1013</v>
      </c>
      <c r="J11121" s="530" t="s">
        <v>906</v>
      </c>
      <c r="L11121" s="539"/>
      <c r="M11121" s="539"/>
      <c r="N11121" s="601">
        <v>3360955</v>
      </c>
      <c r="R11121" s="548">
        <v>530.51819999970246</v>
      </c>
      <c r="S11121" s="548">
        <v>530.74436208756094</v>
      </c>
      <c r="T11121" s="549">
        <v>15.5601</v>
      </c>
      <c r="U11121" s="549">
        <v>2674.57</v>
      </c>
      <c r="V11121" s="549">
        <v>1337.29</v>
      </c>
    </row>
    <row r="11122" spans="1:22">
      <c r="A11122" s="499">
        <v>45875</v>
      </c>
      <c r="B11122" s="499">
        <v>45875</v>
      </c>
      <c r="C11122" s="500" t="s">
        <v>173</v>
      </c>
      <c r="D11122" s="500" t="s">
        <v>761</v>
      </c>
      <c r="E11122" s="501">
        <v>-12000321.68</v>
      </c>
      <c r="F11122" s="502" t="s">
        <v>878</v>
      </c>
      <c r="G11122" s="443">
        <v>118455741</v>
      </c>
      <c r="H11122" s="530"/>
      <c r="I11122" s="422" t="s">
        <v>1013</v>
      </c>
      <c r="J11122" s="530" t="s">
        <v>906</v>
      </c>
      <c r="L11122" s="539"/>
      <c r="M11122" s="539"/>
      <c r="N11122" s="601">
        <v>22620</v>
      </c>
      <c r="R11122" s="548">
        <v>530.51819982316533</v>
      </c>
      <c r="S11122" s="548">
        <v>530.74436206896598</v>
      </c>
      <c r="T11122" s="549">
        <v>15.5601</v>
      </c>
      <c r="U11122" s="549">
        <v>39.32</v>
      </c>
      <c r="V11122" s="549">
        <v>9</v>
      </c>
    </row>
    <row r="11123" spans="1:22">
      <c r="A11123" s="499">
        <v>45875</v>
      </c>
      <c r="B11123" s="499">
        <v>45876</v>
      </c>
      <c r="C11123" s="500" t="s">
        <v>173</v>
      </c>
      <c r="D11123" s="500" t="s">
        <v>761</v>
      </c>
      <c r="E11123" s="501">
        <v>1783807917.48</v>
      </c>
      <c r="F11123" s="502" t="s">
        <v>878</v>
      </c>
      <c r="G11123" s="443">
        <v>118455527</v>
      </c>
      <c r="H11123" s="443">
        <v>118455527</v>
      </c>
      <c r="I11123" s="422" t="s">
        <v>1013</v>
      </c>
      <c r="J11123" s="484" t="s">
        <v>912</v>
      </c>
      <c r="L11123" s="539"/>
      <c r="M11123" s="539"/>
      <c r="N11123" s="601">
        <v>3360955</v>
      </c>
      <c r="R11123" s="548">
        <v>530.51819999970246</v>
      </c>
      <c r="S11123" s="548">
        <v>530.74436208756094</v>
      </c>
      <c r="T11123" s="549">
        <v>15.5601</v>
      </c>
      <c r="U11123" s="549">
        <v>2674.57</v>
      </c>
      <c r="V11123" s="549">
        <v>1337.29</v>
      </c>
    </row>
    <row r="11124" spans="1:22">
      <c r="A11124" s="499">
        <v>45875</v>
      </c>
      <c r="B11124" s="499">
        <v>45876</v>
      </c>
      <c r="C11124" s="500" t="s">
        <v>173</v>
      </c>
      <c r="D11124" s="500" t="s">
        <v>761</v>
      </c>
      <c r="E11124" s="501">
        <v>12005437.470000001</v>
      </c>
      <c r="F11124" s="502" t="s">
        <v>878</v>
      </c>
      <c r="G11124" s="443">
        <v>118455741</v>
      </c>
      <c r="H11124" s="443">
        <v>118455741</v>
      </c>
      <c r="I11124" s="422" t="s">
        <v>1013</v>
      </c>
      <c r="J11124" s="484" t="s">
        <v>912</v>
      </c>
      <c r="L11124" s="539"/>
      <c r="M11124" s="539"/>
      <c r="N11124" s="601">
        <v>22620</v>
      </c>
      <c r="R11124" s="548">
        <v>530.51819982316533</v>
      </c>
      <c r="S11124" s="548">
        <v>530.74436206896598</v>
      </c>
      <c r="T11124" s="549">
        <v>15.5601</v>
      </c>
      <c r="U11124" s="549">
        <v>39.32</v>
      </c>
      <c r="V11124" s="549">
        <v>9</v>
      </c>
    </row>
    <row r="11125" spans="1:22">
      <c r="A11125" s="499">
        <v>45876</v>
      </c>
      <c r="B11125" s="499">
        <v>45876</v>
      </c>
      <c r="C11125" s="500" t="s">
        <v>173</v>
      </c>
      <c r="D11125" s="500" t="s">
        <v>762</v>
      </c>
      <c r="E11125" s="501">
        <v>-2992711030.8499999</v>
      </c>
      <c r="F11125" s="502" t="s">
        <v>878</v>
      </c>
      <c r="G11125" s="484">
        <v>118482415</v>
      </c>
      <c r="H11125" s="530"/>
      <c r="I11125" s="422" t="s">
        <v>693</v>
      </c>
      <c r="J11125" s="530" t="s">
        <v>906</v>
      </c>
      <c r="L11125" s="539"/>
      <c r="M11125" s="539"/>
      <c r="N11125" s="600">
        <v>3937472</v>
      </c>
      <c r="R11125" s="539">
        <v>760.05899999999997</v>
      </c>
      <c r="S11125" s="539">
        <v>760.38176478207299</v>
      </c>
      <c r="T11125" s="538">
        <v>15.5</v>
      </c>
      <c r="U11125" s="538">
        <v>4489.07</v>
      </c>
      <c r="V11125" s="538">
        <v>2244.5300000000002</v>
      </c>
    </row>
    <row r="11126" spans="1:22">
      <c r="A11126" s="499">
        <v>45876</v>
      </c>
      <c r="B11126" s="499">
        <v>45876</v>
      </c>
      <c r="C11126" s="500" t="s">
        <v>173</v>
      </c>
      <c r="D11126" s="500" t="s">
        <v>762</v>
      </c>
      <c r="E11126" s="501">
        <v>-20004752.879999999</v>
      </c>
      <c r="F11126" s="502" t="s">
        <v>878</v>
      </c>
      <c r="G11126" s="484">
        <v>118482434</v>
      </c>
      <c r="H11126" s="530"/>
      <c r="I11126" s="422" t="s">
        <v>693</v>
      </c>
      <c r="J11126" s="530" t="s">
        <v>906</v>
      </c>
      <c r="L11126" s="539"/>
      <c r="M11126" s="539"/>
      <c r="N11126" s="600">
        <v>26320</v>
      </c>
      <c r="R11126" s="539">
        <v>760.05899999999997</v>
      </c>
      <c r="S11126" s="539">
        <v>760.381764817629</v>
      </c>
      <c r="T11126" s="538">
        <v>15.5</v>
      </c>
      <c r="U11126" s="538">
        <v>39.32</v>
      </c>
      <c r="V11126" s="538">
        <v>15</v>
      </c>
    </row>
    <row r="11127" spans="1:22">
      <c r="A11127" s="499">
        <v>45876</v>
      </c>
      <c r="B11127" s="499">
        <v>45877</v>
      </c>
      <c r="C11127" s="500" t="s">
        <v>173</v>
      </c>
      <c r="D11127" s="500" t="s">
        <v>762</v>
      </c>
      <c r="E11127" s="501">
        <v>2993981908.1399999</v>
      </c>
      <c r="F11127" s="502" t="s">
        <v>878</v>
      </c>
      <c r="G11127" s="484">
        <v>118482415</v>
      </c>
      <c r="H11127" s="484">
        <v>118482415</v>
      </c>
      <c r="I11127" s="422" t="s">
        <v>693</v>
      </c>
      <c r="J11127" s="484" t="s">
        <v>912</v>
      </c>
      <c r="L11127" s="539"/>
      <c r="M11127" s="539"/>
      <c r="N11127" s="600">
        <v>3937472</v>
      </c>
      <c r="R11127" s="539">
        <v>760.05899999999997</v>
      </c>
      <c r="S11127" s="539">
        <v>760.38176478207299</v>
      </c>
      <c r="T11127" s="538">
        <v>15.5</v>
      </c>
      <c r="U11127" s="538">
        <v>4489.07</v>
      </c>
      <c r="V11127" s="538">
        <v>2244.5300000000002</v>
      </c>
    </row>
    <row r="11128" spans="1:22">
      <c r="A11128" s="499">
        <v>45876</v>
      </c>
      <c r="B11128" s="499">
        <v>45877</v>
      </c>
      <c r="C11128" s="500" t="s">
        <v>173</v>
      </c>
      <c r="D11128" s="500" t="s">
        <v>762</v>
      </c>
      <c r="E11128" s="501">
        <v>20013248.050000001</v>
      </c>
      <c r="F11128" s="502" t="s">
        <v>878</v>
      </c>
      <c r="G11128" s="484">
        <v>118482434</v>
      </c>
      <c r="H11128" s="484">
        <v>118482434</v>
      </c>
      <c r="I11128" s="422" t="s">
        <v>693</v>
      </c>
      <c r="J11128" s="484" t="s">
        <v>912</v>
      </c>
      <c r="L11128" s="539"/>
      <c r="M11128" s="539"/>
      <c r="N11128" s="600">
        <v>26320</v>
      </c>
      <c r="R11128" s="539">
        <v>760.05899999999997</v>
      </c>
      <c r="S11128" s="539">
        <v>760.381764817629</v>
      </c>
      <c r="T11128" s="538">
        <v>15.5</v>
      </c>
      <c r="U11128" s="538">
        <v>39.32</v>
      </c>
      <c r="V11128" s="538">
        <v>15</v>
      </c>
    </row>
    <row r="11129" spans="1:22">
      <c r="A11129" s="499">
        <v>45876</v>
      </c>
      <c r="B11129" s="499">
        <v>45876</v>
      </c>
      <c r="C11129" s="500" t="s">
        <v>173</v>
      </c>
      <c r="D11129" s="500" t="s">
        <v>759</v>
      </c>
      <c r="E11129" s="501">
        <v>-1464110467.4400001</v>
      </c>
      <c r="F11129" s="502" t="s">
        <v>878</v>
      </c>
      <c r="G11129" s="443">
        <v>118478467</v>
      </c>
      <c r="H11129" s="530"/>
      <c r="I11129" s="422" t="s">
        <v>2903</v>
      </c>
      <c r="J11129" s="530" t="s">
        <v>906</v>
      </c>
      <c r="L11129" s="539"/>
      <c r="M11129" s="539"/>
      <c r="N11129" s="601">
        <v>14717592</v>
      </c>
      <c r="R11129" s="548">
        <v>99.480300000163069</v>
      </c>
      <c r="S11129" s="548">
        <v>99.522681060869203</v>
      </c>
      <c r="T11129" s="549">
        <v>15.549899999999999</v>
      </c>
      <c r="U11129" s="549">
        <v>2196.17</v>
      </c>
      <c r="V11129" s="549">
        <v>1098.08</v>
      </c>
    </row>
    <row r="11130" spans="1:22">
      <c r="A11130" s="499">
        <v>45876</v>
      </c>
      <c r="B11130" s="499">
        <v>45876</v>
      </c>
      <c r="C11130" s="500" t="s">
        <v>173</v>
      </c>
      <c r="D11130" s="500" t="s">
        <v>759</v>
      </c>
      <c r="E11130" s="501">
        <v>-523039463.44</v>
      </c>
      <c r="F11130" s="502" t="s">
        <v>878</v>
      </c>
      <c r="G11130" s="443">
        <v>118478495</v>
      </c>
      <c r="H11130" s="530"/>
      <c r="I11130" s="422" t="s">
        <v>2903</v>
      </c>
      <c r="J11130" s="530" t="s">
        <v>906</v>
      </c>
      <c r="L11130" s="539"/>
      <c r="M11130" s="539"/>
      <c r="N11130" s="601">
        <v>5257719</v>
      </c>
      <c r="R11130" s="548">
        <v>99.480300000817849</v>
      </c>
      <c r="S11130" s="548">
        <v>99.522681061882494</v>
      </c>
      <c r="T11130" s="549">
        <v>15.549899999999999</v>
      </c>
      <c r="U11130" s="549">
        <v>784.56</v>
      </c>
      <c r="V11130" s="549">
        <v>392.28</v>
      </c>
    </row>
    <row r="11131" spans="1:22">
      <c r="A11131" s="499">
        <v>45876</v>
      </c>
      <c r="B11131" s="499">
        <v>45876</v>
      </c>
      <c r="C11131" s="500" t="s">
        <v>173</v>
      </c>
      <c r="D11131" s="500" t="s">
        <v>759</v>
      </c>
      <c r="E11131" s="501">
        <v>-3277778759.3899999</v>
      </c>
      <c r="F11131" s="502" t="s">
        <v>878</v>
      </c>
      <c r="G11131" s="443">
        <v>118482549</v>
      </c>
      <c r="H11131" s="530"/>
      <c r="I11131" s="422" t="s">
        <v>693</v>
      </c>
      <c r="J11131" s="530" t="s">
        <v>906</v>
      </c>
      <c r="L11131" s="539"/>
      <c r="M11131" s="539"/>
      <c r="N11131" s="601">
        <v>4312532</v>
      </c>
      <c r="R11131" s="548">
        <v>760.0590000004637</v>
      </c>
      <c r="S11131" s="548">
        <v>760.38176478226706</v>
      </c>
      <c r="T11131" s="549">
        <v>15.5</v>
      </c>
      <c r="U11131" s="549">
        <v>4916.67</v>
      </c>
      <c r="V11131" s="549">
        <v>2458.33</v>
      </c>
    </row>
    <row r="11132" spans="1:22">
      <c r="A11132" s="499">
        <v>45876</v>
      </c>
      <c r="B11132" s="499">
        <v>45876</v>
      </c>
      <c r="C11132" s="500" t="s">
        <v>173</v>
      </c>
      <c r="D11132" s="500" t="s">
        <v>759</v>
      </c>
      <c r="E11132" s="501">
        <v>-20004752.879999999</v>
      </c>
      <c r="F11132" s="502" t="s">
        <v>878</v>
      </c>
      <c r="G11132" s="443">
        <v>118482560</v>
      </c>
      <c r="H11132" s="530"/>
      <c r="I11132" s="422" t="s">
        <v>693</v>
      </c>
      <c r="J11132" s="530" t="s">
        <v>906</v>
      </c>
      <c r="L11132" s="539"/>
      <c r="M11132" s="539"/>
      <c r="N11132" s="601">
        <v>26320</v>
      </c>
      <c r="R11132" s="548">
        <v>760.05899999999997</v>
      </c>
      <c r="S11132" s="548">
        <v>760.381764817629</v>
      </c>
      <c r="T11132" s="549">
        <v>15.5</v>
      </c>
      <c r="U11132" s="549">
        <v>39.32</v>
      </c>
      <c r="V11132" s="549">
        <v>15</v>
      </c>
    </row>
    <row r="11133" spans="1:22">
      <c r="A11133" s="499">
        <v>45876</v>
      </c>
      <c r="B11133" s="499">
        <v>45877</v>
      </c>
      <c r="C11133" s="500" t="s">
        <v>173</v>
      </c>
      <c r="D11133" s="500" t="s">
        <v>759</v>
      </c>
      <c r="E11133" s="501">
        <v>1464734214.5999999</v>
      </c>
      <c r="F11133" s="502" t="s">
        <v>878</v>
      </c>
      <c r="G11133" s="443">
        <v>118478467</v>
      </c>
      <c r="H11133" s="443">
        <v>118478467</v>
      </c>
      <c r="I11133" s="422" t="s">
        <v>2903</v>
      </c>
      <c r="J11133" s="484" t="s">
        <v>912</v>
      </c>
      <c r="L11133" s="539"/>
      <c r="M11133" s="539"/>
      <c r="N11133" s="601">
        <v>14717592</v>
      </c>
      <c r="R11133" s="548">
        <v>99.480300000163069</v>
      </c>
      <c r="S11133" s="548">
        <v>99.522681060869203</v>
      </c>
      <c r="T11133" s="549">
        <v>15.549899999999999</v>
      </c>
      <c r="U11133" s="549">
        <v>2196.17</v>
      </c>
      <c r="V11133" s="549">
        <v>1098.08</v>
      </c>
    </row>
    <row r="11134" spans="1:22">
      <c r="A11134" s="499">
        <v>45876</v>
      </c>
      <c r="B11134" s="499">
        <v>45877</v>
      </c>
      <c r="C11134" s="500" t="s">
        <v>173</v>
      </c>
      <c r="D11134" s="500" t="s">
        <v>759</v>
      </c>
      <c r="E11134" s="501">
        <v>523262291.14999998</v>
      </c>
      <c r="F11134" s="502" t="s">
        <v>878</v>
      </c>
      <c r="G11134" s="443">
        <v>118478495</v>
      </c>
      <c r="H11134" s="443">
        <v>118478495</v>
      </c>
      <c r="I11134" s="422" t="s">
        <v>2903</v>
      </c>
      <c r="J11134" s="484" t="s">
        <v>912</v>
      </c>
      <c r="L11134" s="539"/>
      <c r="M11134" s="539"/>
      <c r="N11134" s="601">
        <v>5257719</v>
      </c>
      <c r="R11134" s="548">
        <v>99.480300000817849</v>
      </c>
      <c r="S11134" s="548">
        <v>99.522681061882494</v>
      </c>
      <c r="T11134" s="549">
        <v>15.549899999999999</v>
      </c>
      <c r="U11134" s="549">
        <v>784.56</v>
      </c>
      <c r="V11134" s="549">
        <v>392.28</v>
      </c>
    </row>
    <row r="11135" spans="1:22">
      <c r="A11135" s="499">
        <v>45876</v>
      </c>
      <c r="B11135" s="499">
        <v>45877</v>
      </c>
      <c r="C11135" s="500" t="s">
        <v>173</v>
      </c>
      <c r="D11135" s="500" t="s">
        <v>759</v>
      </c>
      <c r="E11135" s="501">
        <v>3279170692.8400002</v>
      </c>
      <c r="F11135" s="502" t="s">
        <v>878</v>
      </c>
      <c r="G11135" s="443">
        <v>118482549</v>
      </c>
      <c r="H11135" s="443">
        <v>118482549</v>
      </c>
      <c r="I11135" s="422" t="s">
        <v>693</v>
      </c>
      <c r="J11135" s="484" t="s">
        <v>912</v>
      </c>
      <c r="L11135" s="539"/>
      <c r="M11135" s="539"/>
      <c r="N11135" s="601">
        <v>4312532</v>
      </c>
      <c r="R11135" s="548">
        <v>760.0590000004637</v>
      </c>
      <c r="S11135" s="548">
        <v>760.38176478226706</v>
      </c>
      <c r="T11135" s="549">
        <v>15.5</v>
      </c>
      <c r="U11135" s="549">
        <v>4916.67</v>
      </c>
      <c r="V11135" s="549">
        <v>2458.33</v>
      </c>
    </row>
    <row r="11136" spans="1:22">
      <c r="A11136" s="499">
        <v>45876</v>
      </c>
      <c r="B11136" s="499">
        <v>45877</v>
      </c>
      <c r="C11136" s="500" t="s">
        <v>173</v>
      </c>
      <c r="D11136" s="500" t="s">
        <v>759</v>
      </c>
      <c r="E11136" s="501">
        <v>20013248.050000001</v>
      </c>
      <c r="F11136" s="502" t="s">
        <v>878</v>
      </c>
      <c r="G11136" s="443">
        <v>118482560</v>
      </c>
      <c r="H11136" s="443">
        <v>118482560</v>
      </c>
      <c r="I11136" s="422" t="s">
        <v>693</v>
      </c>
      <c r="J11136" s="484" t="s">
        <v>912</v>
      </c>
      <c r="L11136" s="539"/>
      <c r="M11136" s="539"/>
      <c r="N11136" s="601">
        <v>26320</v>
      </c>
      <c r="R11136" s="548">
        <v>760.05899999999997</v>
      </c>
      <c r="S11136" s="548">
        <v>760.381764817629</v>
      </c>
      <c r="T11136" s="549">
        <v>15.5</v>
      </c>
      <c r="U11136" s="549">
        <v>39.32</v>
      </c>
      <c r="V11136" s="549">
        <v>15</v>
      </c>
    </row>
    <row r="11137" spans="1:22">
      <c r="A11137" s="499">
        <v>45876</v>
      </c>
      <c r="B11137" s="499">
        <v>45876</v>
      </c>
      <c r="C11137" s="500" t="s">
        <v>173</v>
      </c>
      <c r="D11137" s="500" t="s">
        <v>763</v>
      </c>
      <c r="E11137" s="501">
        <v>-3597721855.3099999</v>
      </c>
      <c r="F11137" s="502" t="s">
        <v>878</v>
      </c>
      <c r="G11137" s="443">
        <v>118479356</v>
      </c>
      <c r="H11137" s="530"/>
      <c r="I11137" s="422" t="s">
        <v>1013</v>
      </c>
      <c r="J11137" s="530" t="s">
        <v>906</v>
      </c>
      <c r="L11137" s="539"/>
      <c r="M11137" s="539"/>
      <c r="N11137" s="601">
        <v>6783942</v>
      </c>
      <c r="R11137" s="548">
        <v>530.32910000000004</v>
      </c>
      <c r="S11137" s="548">
        <v>530.55478917567405</v>
      </c>
      <c r="T11137" s="549">
        <v>15.533099999999999</v>
      </c>
      <c r="U11137" s="549">
        <v>5396.58</v>
      </c>
      <c r="V11137" s="549">
        <v>2698.29</v>
      </c>
    </row>
    <row r="11138" spans="1:22">
      <c r="A11138" s="499">
        <v>45876</v>
      </c>
      <c r="B11138" s="499">
        <v>45876</v>
      </c>
      <c r="C11138" s="500" t="s">
        <v>173</v>
      </c>
      <c r="D11138" s="500" t="s">
        <v>763</v>
      </c>
      <c r="E11138" s="501">
        <v>-22004415.02</v>
      </c>
      <c r="F11138" s="502" t="s">
        <v>878</v>
      </c>
      <c r="G11138" s="443">
        <v>118479463</v>
      </c>
      <c r="H11138" s="530"/>
      <c r="I11138" s="422" t="s">
        <v>1013</v>
      </c>
      <c r="J11138" s="530" t="s">
        <v>906</v>
      </c>
      <c r="L11138" s="539"/>
      <c r="M11138" s="539"/>
      <c r="N11138" s="601">
        <v>41492</v>
      </c>
      <c r="R11138" s="548">
        <v>530.32910000000004</v>
      </c>
      <c r="S11138" s="548">
        <v>530.554789356985</v>
      </c>
      <c r="T11138" s="549">
        <v>15.533099999999999</v>
      </c>
      <c r="U11138" s="549">
        <v>39.32</v>
      </c>
      <c r="V11138" s="549">
        <v>39.32</v>
      </c>
    </row>
    <row r="11139" spans="1:22">
      <c r="A11139" s="499">
        <v>45876</v>
      </c>
      <c r="B11139" s="499">
        <v>45877</v>
      </c>
      <c r="C11139" s="500" t="s">
        <v>173</v>
      </c>
      <c r="D11139" s="500" t="s">
        <v>763</v>
      </c>
      <c r="E11139" s="501">
        <v>3599252917.5900002</v>
      </c>
      <c r="F11139" s="502" t="s">
        <v>878</v>
      </c>
      <c r="G11139" s="443">
        <v>118479356</v>
      </c>
      <c r="H11139" s="443">
        <v>118479356</v>
      </c>
      <c r="I11139" s="422" t="s">
        <v>1013</v>
      </c>
      <c r="J11139" s="484" t="s">
        <v>912</v>
      </c>
      <c r="L11139" s="539"/>
      <c r="M11139" s="539"/>
      <c r="N11139" s="601">
        <v>6783942</v>
      </c>
      <c r="R11139" s="548">
        <v>530.32910000000004</v>
      </c>
      <c r="S11139" s="548">
        <v>530.55478917567405</v>
      </c>
      <c r="T11139" s="549">
        <v>15.533099999999999</v>
      </c>
      <c r="U11139" s="549">
        <v>5396.58</v>
      </c>
      <c r="V11139" s="549">
        <v>2698.29</v>
      </c>
    </row>
    <row r="11140" spans="1:22">
      <c r="A11140" s="499">
        <v>45876</v>
      </c>
      <c r="B11140" s="499">
        <v>45877</v>
      </c>
      <c r="C11140" s="500" t="s">
        <v>173</v>
      </c>
      <c r="D11140" s="500" t="s">
        <v>763</v>
      </c>
      <c r="E11140" s="501">
        <v>22013779.32</v>
      </c>
      <c r="F11140" s="502" t="s">
        <v>878</v>
      </c>
      <c r="G11140" s="443">
        <v>118479463</v>
      </c>
      <c r="H11140" s="443">
        <v>118479463</v>
      </c>
      <c r="I11140" s="422" t="s">
        <v>1013</v>
      </c>
      <c r="J11140" s="484" t="s">
        <v>912</v>
      </c>
      <c r="L11140" s="539"/>
      <c r="M11140" s="539"/>
      <c r="N11140" s="601">
        <v>41492</v>
      </c>
      <c r="R11140" s="548">
        <v>530.32910000000004</v>
      </c>
      <c r="S11140" s="548">
        <v>530.554789356985</v>
      </c>
      <c r="T11140" s="549">
        <v>15.533099999999999</v>
      </c>
      <c r="U11140" s="549">
        <v>39.32</v>
      </c>
      <c r="V11140" s="549">
        <v>39.32</v>
      </c>
    </row>
    <row r="11141" spans="1:22">
      <c r="A11141" s="499">
        <v>45876</v>
      </c>
      <c r="B11141" s="499">
        <v>45876</v>
      </c>
      <c r="C11141" s="500" t="s">
        <v>173</v>
      </c>
      <c r="D11141" s="500" t="s">
        <v>764</v>
      </c>
      <c r="E11141" s="501">
        <v>-4783600157.3800001</v>
      </c>
      <c r="F11141" s="502" t="s">
        <v>878</v>
      </c>
      <c r="G11141" s="443">
        <v>118478273</v>
      </c>
      <c r="H11141" s="530"/>
      <c r="I11141" s="422" t="s">
        <v>678</v>
      </c>
      <c r="J11141" s="530" t="s">
        <v>906</v>
      </c>
      <c r="L11141" s="539"/>
      <c r="M11141" s="539"/>
      <c r="N11141" s="600">
        <v>5100260</v>
      </c>
      <c r="R11141" s="548">
        <v>937.91300000000001</v>
      </c>
      <c r="S11141" s="548">
        <v>938.31231967193798</v>
      </c>
      <c r="T11141" s="549">
        <v>15.54</v>
      </c>
      <c r="U11141" s="549">
        <v>7175.4</v>
      </c>
      <c r="V11141" s="549">
        <v>3587.7</v>
      </c>
    </row>
    <row r="11142" spans="1:22">
      <c r="A11142" s="499">
        <v>45876</v>
      </c>
      <c r="B11142" s="499">
        <v>45876</v>
      </c>
      <c r="C11142" s="500" t="s">
        <v>173</v>
      </c>
      <c r="D11142" s="500" t="s">
        <v>764</v>
      </c>
      <c r="E11142" s="501">
        <v>-26003867.760000002</v>
      </c>
      <c r="F11142" s="502" t="s">
        <v>878</v>
      </c>
      <c r="G11142" s="443">
        <v>118478387</v>
      </c>
      <c r="H11142" s="530"/>
      <c r="I11142" s="422" t="s">
        <v>704</v>
      </c>
      <c r="J11142" s="530" t="s">
        <v>906</v>
      </c>
      <c r="L11142" s="539"/>
      <c r="M11142" s="539"/>
      <c r="N11142" s="600">
        <v>31824</v>
      </c>
      <c r="R11142" s="548">
        <v>817.11500000000001</v>
      </c>
      <c r="S11142" s="548">
        <v>817.46288964303699</v>
      </c>
      <c r="T11142" s="549">
        <v>15.54</v>
      </c>
      <c r="U11142" s="549">
        <v>39.32</v>
      </c>
      <c r="V11142" s="549">
        <v>19.5</v>
      </c>
    </row>
    <row r="11143" spans="1:22">
      <c r="A11143" s="499">
        <v>45876</v>
      </c>
      <c r="B11143" s="499">
        <v>45877</v>
      </c>
      <c r="C11143" s="500" t="s">
        <v>173</v>
      </c>
      <c r="D11143" s="500" t="s">
        <v>764</v>
      </c>
      <c r="E11143" s="501">
        <v>4785636791.5299997</v>
      </c>
      <c r="F11143" s="502" t="s">
        <v>878</v>
      </c>
      <c r="G11143" s="443">
        <v>118478273</v>
      </c>
      <c r="H11143" s="443">
        <v>118478273</v>
      </c>
      <c r="I11143" s="422" t="s">
        <v>678</v>
      </c>
      <c r="J11143" s="484" t="s">
        <v>912</v>
      </c>
      <c r="L11143" s="539"/>
      <c r="M11143" s="539"/>
      <c r="N11143" s="600">
        <v>5100260</v>
      </c>
      <c r="R11143" s="548">
        <v>937.91300000000001</v>
      </c>
      <c r="S11143" s="548">
        <v>938.31231967193798</v>
      </c>
      <c r="T11143" s="549">
        <v>15.54</v>
      </c>
      <c r="U11143" s="549">
        <v>7175.4</v>
      </c>
      <c r="V11143" s="549">
        <v>3587.7</v>
      </c>
    </row>
    <row r="11144" spans="1:22">
      <c r="A11144" s="499">
        <v>45876</v>
      </c>
      <c r="B11144" s="499">
        <v>45877</v>
      </c>
      <c r="C11144" s="500" t="s">
        <v>173</v>
      </c>
      <c r="D11144" s="500" t="s">
        <v>764</v>
      </c>
      <c r="E11144" s="501">
        <v>26014939</v>
      </c>
      <c r="F11144" s="502" t="s">
        <v>878</v>
      </c>
      <c r="G11144" s="443">
        <v>118478387</v>
      </c>
      <c r="H11144" s="443">
        <v>118478387</v>
      </c>
      <c r="I11144" s="422" t="s">
        <v>704</v>
      </c>
      <c r="J11144" s="484" t="s">
        <v>912</v>
      </c>
      <c r="L11144" s="539"/>
      <c r="M11144" s="539"/>
      <c r="N11144" s="600">
        <v>31824</v>
      </c>
      <c r="R11144" s="548">
        <v>817.11500000000001</v>
      </c>
      <c r="S11144" s="548">
        <v>817.46288964303699</v>
      </c>
      <c r="T11144" s="549">
        <v>15.54</v>
      </c>
      <c r="U11144" s="549">
        <v>39.32</v>
      </c>
      <c r="V11144" s="549">
        <v>19.5</v>
      </c>
    </row>
    <row r="11145" spans="1:22">
      <c r="A11145" s="499">
        <v>45876</v>
      </c>
      <c r="B11145" s="499">
        <v>45876</v>
      </c>
      <c r="C11145" s="500" t="s">
        <v>173</v>
      </c>
      <c r="D11145" s="500" t="s">
        <v>760</v>
      </c>
      <c r="E11145" s="501">
        <v>-8006943.9299999997</v>
      </c>
      <c r="F11145" s="502" t="s">
        <v>878</v>
      </c>
      <c r="G11145" s="443">
        <v>118480813</v>
      </c>
      <c r="H11145" s="530"/>
      <c r="I11145" s="422" t="s">
        <v>658</v>
      </c>
      <c r="J11145" s="530" t="s">
        <v>906</v>
      </c>
      <c r="L11145" s="539"/>
      <c r="M11145" s="539"/>
      <c r="N11145" s="601">
        <v>7864</v>
      </c>
      <c r="R11145" s="548">
        <v>1018.177</v>
      </c>
      <c r="S11145" s="548">
        <v>1018.60979526958</v>
      </c>
      <c r="T11145" s="549">
        <v>15.515000000000001</v>
      </c>
      <c r="U11145" s="549">
        <v>39.32</v>
      </c>
      <c r="V11145" s="549">
        <v>6.01</v>
      </c>
    </row>
    <row r="11146" spans="1:22">
      <c r="A11146" s="499">
        <v>45876</v>
      </c>
      <c r="B11146" s="499">
        <v>45876</v>
      </c>
      <c r="C11146" s="500" t="s">
        <v>173</v>
      </c>
      <c r="D11146" s="500" t="s">
        <v>760</v>
      </c>
      <c r="E11146" s="501">
        <v>-1300193388</v>
      </c>
      <c r="F11146" s="502" t="s">
        <v>878</v>
      </c>
      <c r="G11146" s="443">
        <v>118478168</v>
      </c>
      <c r="H11146" s="530"/>
      <c r="I11146" s="422" t="s">
        <v>704</v>
      </c>
      <c r="J11146" s="530" t="s">
        <v>906</v>
      </c>
      <c r="L11146" s="539"/>
      <c r="M11146" s="539"/>
      <c r="N11146" s="601">
        <v>1591200</v>
      </c>
      <c r="R11146" s="548">
        <v>817.11500000000001</v>
      </c>
      <c r="S11146" s="548">
        <v>817.46255370789402</v>
      </c>
      <c r="T11146" s="549">
        <v>15.525</v>
      </c>
      <c r="U11146" s="549">
        <v>1950.29</v>
      </c>
      <c r="V11146" s="549">
        <v>975.15</v>
      </c>
    </row>
    <row r="11147" spans="1:22">
      <c r="A11147" s="499">
        <v>45876</v>
      </c>
      <c r="B11147" s="499">
        <v>45876</v>
      </c>
      <c r="C11147" s="500" t="s">
        <v>173</v>
      </c>
      <c r="D11147" s="500" t="s">
        <v>760</v>
      </c>
      <c r="E11147" s="501">
        <v>-889067080.29999995</v>
      </c>
      <c r="F11147" s="502" t="s">
        <v>878</v>
      </c>
      <c r="G11147" s="443">
        <v>118478229</v>
      </c>
      <c r="H11147" s="530"/>
      <c r="I11147" s="422" t="s">
        <v>2903</v>
      </c>
      <c r="J11147" s="530" t="s">
        <v>906</v>
      </c>
      <c r="L11147" s="539"/>
      <c r="M11147" s="539"/>
      <c r="N11147" s="601">
        <v>8937117</v>
      </c>
      <c r="R11147" s="548">
        <v>99.4803</v>
      </c>
      <c r="S11147" s="548">
        <v>99.522626823616605</v>
      </c>
      <c r="T11147" s="549">
        <v>15.53</v>
      </c>
      <c r="U11147" s="549">
        <v>1333.6</v>
      </c>
      <c r="V11147" s="549">
        <v>666.8</v>
      </c>
    </row>
    <row r="11148" spans="1:22">
      <c r="A11148" s="499">
        <v>45876</v>
      </c>
      <c r="B11148" s="499">
        <v>45876</v>
      </c>
      <c r="C11148" s="500" t="s">
        <v>173</v>
      </c>
      <c r="D11148" s="500" t="s">
        <v>760</v>
      </c>
      <c r="E11148" s="501">
        <v>-6000452.7400000002</v>
      </c>
      <c r="F11148" s="502" t="s">
        <v>878</v>
      </c>
      <c r="G11148" s="443">
        <v>118478249</v>
      </c>
      <c r="H11148" s="530"/>
      <c r="I11148" s="422" t="s">
        <v>2903</v>
      </c>
      <c r="J11148" s="530" t="s">
        <v>906</v>
      </c>
      <c r="L11148" s="539"/>
      <c r="M11148" s="539"/>
      <c r="N11148" s="601">
        <v>60318</v>
      </c>
      <c r="R11148" s="548">
        <v>99.4803</v>
      </c>
      <c r="S11148" s="548">
        <v>99.522626910706606</v>
      </c>
      <c r="T11148" s="549">
        <v>15.53</v>
      </c>
      <c r="U11148" s="549">
        <v>39.32</v>
      </c>
      <c r="V11148" s="549">
        <v>4.5</v>
      </c>
    </row>
    <row r="11149" spans="1:22">
      <c r="A11149" s="499">
        <v>45876</v>
      </c>
      <c r="B11149" s="499">
        <v>45877</v>
      </c>
      <c r="C11149" s="500" t="s">
        <v>173</v>
      </c>
      <c r="D11149" s="500" t="s">
        <v>760</v>
      </c>
      <c r="E11149" s="501">
        <v>8010347.4299999997</v>
      </c>
      <c r="F11149" s="502" t="s">
        <v>878</v>
      </c>
      <c r="G11149" s="443">
        <v>118480813</v>
      </c>
      <c r="H11149" s="443">
        <v>118480813</v>
      </c>
      <c r="I11149" s="422" t="s">
        <v>658</v>
      </c>
      <c r="J11149" s="484" t="s">
        <v>912</v>
      </c>
      <c r="L11149" s="539"/>
      <c r="M11149" s="539"/>
      <c r="N11149" s="601">
        <v>7864</v>
      </c>
      <c r="R11149" s="548">
        <v>1018.177</v>
      </c>
      <c r="S11149" s="548">
        <v>1018.60979526958</v>
      </c>
      <c r="T11149" s="549">
        <v>15.515000000000001</v>
      </c>
      <c r="U11149" s="549">
        <v>39.32</v>
      </c>
      <c r="V11149" s="549">
        <v>6.01</v>
      </c>
    </row>
    <row r="11150" spans="1:22">
      <c r="A11150" s="499">
        <v>45876</v>
      </c>
      <c r="B11150" s="499">
        <v>45877</v>
      </c>
      <c r="C11150" s="500" t="s">
        <v>173</v>
      </c>
      <c r="D11150" s="500" t="s">
        <v>760</v>
      </c>
      <c r="E11150" s="501">
        <v>1300746415.46</v>
      </c>
      <c r="F11150" s="502" t="s">
        <v>878</v>
      </c>
      <c r="G11150" s="443">
        <v>118478168</v>
      </c>
      <c r="H11150" s="443">
        <v>118478168</v>
      </c>
      <c r="I11150" s="422" t="s">
        <v>704</v>
      </c>
      <c r="J11150" s="484" t="s">
        <v>912</v>
      </c>
      <c r="L11150" s="539"/>
      <c r="M11150" s="539"/>
      <c r="N11150" s="601">
        <v>1591200</v>
      </c>
      <c r="R11150" s="548">
        <v>817.11500000000001</v>
      </c>
      <c r="S11150" s="548">
        <v>817.46255370789402</v>
      </c>
      <c r="T11150" s="549">
        <v>15.525</v>
      </c>
      <c r="U11150" s="549">
        <v>1950.29</v>
      </c>
      <c r="V11150" s="549">
        <v>975.15</v>
      </c>
    </row>
    <row r="11151" spans="1:22">
      <c r="A11151" s="499">
        <v>45876</v>
      </c>
      <c r="B11151" s="499">
        <v>45877</v>
      </c>
      <c r="C11151" s="500" t="s">
        <v>173</v>
      </c>
      <c r="D11151" s="500" t="s">
        <v>760</v>
      </c>
      <c r="E11151" s="501">
        <v>889445360.07000005</v>
      </c>
      <c r="F11151" s="502" t="s">
        <v>878</v>
      </c>
      <c r="G11151" s="443">
        <v>118478229</v>
      </c>
      <c r="H11151" s="443">
        <v>118478229</v>
      </c>
      <c r="I11151" s="422" t="s">
        <v>2903</v>
      </c>
      <c r="J11151" s="484" t="s">
        <v>912</v>
      </c>
      <c r="L11151" s="539"/>
      <c r="M11151" s="539"/>
      <c r="N11151" s="601">
        <v>8937117</v>
      </c>
      <c r="R11151" s="548">
        <v>99.4803</v>
      </c>
      <c r="S11151" s="548">
        <v>99.522626823616605</v>
      </c>
      <c r="T11151" s="549">
        <v>15.53</v>
      </c>
      <c r="U11151" s="549">
        <v>1333.6</v>
      </c>
      <c r="V11151" s="549">
        <v>666.8</v>
      </c>
    </row>
    <row r="11152" spans="1:22">
      <c r="A11152" s="499">
        <v>45876</v>
      </c>
      <c r="B11152" s="499">
        <v>45877</v>
      </c>
      <c r="C11152" s="500" t="s">
        <v>173</v>
      </c>
      <c r="D11152" s="500" t="s">
        <v>760</v>
      </c>
      <c r="E11152" s="501">
        <v>6003005.8099999996</v>
      </c>
      <c r="F11152" s="502" t="s">
        <v>878</v>
      </c>
      <c r="G11152" s="443">
        <v>118478249</v>
      </c>
      <c r="H11152" s="443">
        <v>118478249</v>
      </c>
      <c r="I11152" s="422" t="s">
        <v>2903</v>
      </c>
      <c r="J11152" s="484" t="s">
        <v>912</v>
      </c>
      <c r="L11152" s="539"/>
      <c r="M11152" s="539"/>
      <c r="N11152" s="601">
        <v>60318</v>
      </c>
      <c r="R11152" s="548">
        <v>99.4803</v>
      </c>
      <c r="S11152" s="548">
        <v>99.522626910706606</v>
      </c>
      <c r="T11152" s="549">
        <v>15.53</v>
      </c>
      <c r="U11152" s="549">
        <v>39.32</v>
      </c>
      <c r="V11152" s="549">
        <v>4.5</v>
      </c>
    </row>
    <row r="11153" spans="1:22">
      <c r="A11153" s="499">
        <v>45876</v>
      </c>
      <c r="B11153" s="499">
        <v>45876</v>
      </c>
      <c r="C11153" s="500" t="s">
        <v>173</v>
      </c>
      <c r="D11153" s="500" t="s">
        <v>761</v>
      </c>
      <c r="E11153" s="501">
        <v>-1784265387.8399999</v>
      </c>
      <c r="F11153" s="502" t="s">
        <v>878</v>
      </c>
      <c r="G11153" s="443">
        <v>118478339</v>
      </c>
      <c r="H11153" s="530"/>
      <c r="I11153" s="422" t="s">
        <v>704</v>
      </c>
      <c r="J11153" s="530" t="s">
        <v>906</v>
      </c>
      <c r="L11153" s="539"/>
      <c r="M11153" s="539"/>
      <c r="N11153" s="601">
        <v>2183616</v>
      </c>
      <c r="R11153" s="548">
        <v>817.11500000000001</v>
      </c>
      <c r="S11153" s="548">
        <v>817.46288950987696</v>
      </c>
      <c r="T11153" s="549">
        <v>15.54</v>
      </c>
      <c r="U11153" s="549">
        <v>2676.4</v>
      </c>
      <c r="V11153" s="549">
        <v>1338.2</v>
      </c>
    </row>
    <row r="11154" spans="1:22">
      <c r="A11154" s="499">
        <v>45876</v>
      </c>
      <c r="B11154" s="499">
        <v>45876</v>
      </c>
      <c r="C11154" s="500" t="s">
        <v>173</v>
      </c>
      <c r="D11154" s="500" t="s">
        <v>761</v>
      </c>
      <c r="E11154" s="501">
        <v>-11001636.359999999</v>
      </c>
      <c r="F11154" s="502" t="s">
        <v>878</v>
      </c>
      <c r="G11154" s="443">
        <v>118478352</v>
      </c>
      <c r="H11154" s="530"/>
      <c r="I11154" s="422" t="s">
        <v>704</v>
      </c>
      <c r="J11154" s="530" t="s">
        <v>906</v>
      </c>
      <c r="L11154" s="539"/>
      <c r="M11154" s="539"/>
      <c r="N11154" s="601">
        <v>13464</v>
      </c>
      <c r="R11154" s="548">
        <v>817.11500000000001</v>
      </c>
      <c r="S11154" s="548">
        <v>817.46288918597702</v>
      </c>
      <c r="T11154" s="549">
        <v>15.54</v>
      </c>
      <c r="U11154" s="549">
        <v>39.32</v>
      </c>
      <c r="V11154" s="549">
        <v>8.25</v>
      </c>
    </row>
    <row r="11155" spans="1:22">
      <c r="A11155" s="499">
        <v>45876</v>
      </c>
      <c r="B11155" s="499">
        <v>45877</v>
      </c>
      <c r="C11155" s="500" t="s">
        <v>173</v>
      </c>
      <c r="D11155" s="500" t="s">
        <v>761</v>
      </c>
      <c r="E11155" s="501">
        <v>1785025044.9400001</v>
      </c>
      <c r="F11155" s="502" t="s">
        <v>878</v>
      </c>
      <c r="G11155" s="443">
        <v>118478339</v>
      </c>
      <c r="H11155" s="443">
        <v>118478339</v>
      </c>
      <c r="I11155" s="422" t="s">
        <v>704</v>
      </c>
      <c r="J11155" s="484" t="s">
        <v>912</v>
      </c>
      <c r="L11155" s="539"/>
      <c r="M11155" s="539"/>
      <c r="N11155" s="601">
        <v>2183616</v>
      </c>
      <c r="R11155" s="548">
        <v>817.11500000000001</v>
      </c>
      <c r="S11155" s="548">
        <v>817.46288950987696</v>
      </c>
      <c r="T11155" s="549">
        <v>15.54</v>
      </c>
      <c r="U11155" s="549">
        <v>2676.4</v>
      </c>
      <c r="V11155" s="549">
        <v>1338.2</v>
      </c>
    </row>
    <row r="11156" spans="1:22">
      <c r="A11156" s="499">
        <v>45876</v>
      </c>
      <c r="B11156" s="499">
        <v>45877</v>
      </c>
      <c r="C11156" s="500" t="s">
        <v>173</v>
      </c>
      <c r="D11156" s="500" t="s">
        <v>761</v>
      </c>
      <c r="E11156" s="501">
        <v>11006320.34</v>
      </c>
      <c r="F11156" s="502" t="s">
        <v>878</v>
      </c>
      <c r="G11156" s="443">
        <v>118478352</v>
      </c>
      <c r="H11156" s="443">
        <v>118478352</v>
      </c>
      <c r="I11156" s="422" t="s">
        <v>704</v>
      </c>
      <c r="J11156" s="484" t="s">
        <v>912</v>
      </c>
      <c r="L11156" s="539"/>
      <c r="M11156" s="539"/>
      <c r="N11156" s="601">
        <v>13464</v>
      </c>
      <c r="R11156" s="548">
        <v>817.11500000000001</v>
      </c>
      <c r="S11156" s="548">
        <v>817.46288918597702</v>
      </c>
      <c r="T11156" s="549">
        <v>15.54</v>
      </c>
      <c r="U11156" s="549">
        <v>39.32</v>
      </c>
      <c r="V11156" s="549">
        <v>8.25</v>
      </c>
    </row>
    <row r="11157" spans="1:22">
      <c r="A11157" s="499">
        <v>45877</v>
      </c>
      <c r="B11157" s="499">
        <v>45877</v>
      </c>
      <c r="C11157" s="500" t="s">
        <v>173</v>
      </c>
      <c r="D11157" s="500" t="s">
        <v>762</v>
      </c>
      <c r="E11157" s="501">
        <v>-259041337.69999999</v>
      </c>
      <c r="F11157" s="502" t="s">
        <v>878</v>
      </c>
      <c r="G11157" s="484">
        <v>118502605</v>
      </c>
      <c r="H11157" s="530"/>
      <c r="I11157" s="422" t="s">
        <v>678</v>
      </c>
      <c r="J11157" s="530" t="s">
        <v>906</v>
      </c>
      <c r="L11157" s="539"/>
      <c r="M11157" s="539"/>
      <c r="N11157" s="600">
        <v>275835</v>
      </c>
      <c r="R11157" s="558">
        <v>939.11699999999996</v>
      </c>
      <c r="S11157" s="558">
        <v>940.31343248681299</v>
      </c>
      <c r="T11157" s="538">
        <v>15.500299999999999</v>
      </c>
      <c r="U11157" s="538">
        <v>1165.69</v>
      </c>
      <c r="V11157" s="538">
        <v>582.84</v>
      </c>
    </row>
    <row r="11158" spans="1:22">
      <c r="A11158" s="499">
        <v>45877</v>
      </c>
      <c r="B11158" s="499">
        <v>45877</v>
      </c>
      <c r="C11158" s="500" t="s">
        <v>173</v>
      </c>
      <c r="D11158" s="500" t="s">
        <v>762</v>
      </c>
      <c r="E11158" s="501">
        <v>-398084339.38</v>
      </c>
      <c r="F11158" s="502" t="s">
        <v>878</v>
      </c>
      <c r="G11158" s="484">
        <v>118502608</v>
      </c>
      <c r="H11158" s="530"/>
      <c r="I11158" s="422" t="s">
        <v>654</v>
      </c>
      <c r="J11158" s="530" t="s">
        <v>906</v>
      </c>
      <c r="L11158" s="539"/>
      <c r="M11158" s="539"/>
      <c r="N11158" s="600">
        <v>399592</v>
      </c>
      <c r="R11158" s="558">
        <v>996.22699999999998</v>
      </c>
      <c r="S11158" s="558">
        <v>997.49619046427404</v>
      </c>
      <c r="T11158" s="538">
        <v>15.500299999999999</v>
      </c>
      <c r="U11158" s="538">
        <v>1791.38</v>
      </c>
      <c r="V11158" s="538">
        <v>895.69</v>
      </c>
    </row>
    <row r="11159" spans="1:22">
      <c r="A11159" s="499">
        <v>45877</v>
      </c>
      <c r="B11159" s="499">
        <v>45877</v>
      </c>
      <c r="C11159" s="500" t="s">
        <v>173</v>
      </c>
      <c r="D11159" s="500" t="s">
        <v>762</v>
      </c>
      <c r="E11159" s="501">
        <v>-571173858.08000004</v>
      </c>
      <c r="F11159" s="502" t="s">
        <v>878</v>
      </c>
      <c r="G11159" s="484">
        <v>118502611</v>
      </c>
      <c r="H11159" s="530"/>
      <c r="I11159" s="422" t="s">
        <v>674</v>
      </c>
      <c r="J11159" s="530" t="s">
        <v>906</v>
      </c>
      <c r="L11159" s="539"/>
      <c r="M11159" s="539"/>
      <c r="N11159" s="600">
        <v>639520</v>
      </c>
      <c r="R11159" s="558">
        <v>893.12900000000002</v>
      </c>
      <c r="S11159" s="558">
        <v>894.26684389854904</v>
      </c>
      <c r="T11159" s="538">
        <v>15.500299999999999</v>
      </c>
      <c r="U11159" s="538">
        <v>2570.2800000000002</v>
      </c>
      <c r="V11159" s="538">
        <v>1285.1400000000001</v>
      </c>
    </row>
    <row r="11160" spans="1:22">
      <c r="A11160" s="499">
        <v>45877</v>
      </c>
      <c r="B11160" s="499">
        <v>45877</v>
      </c>
      <c r="C11160" s="500" t="s">
        <v>173</v>
      </c>
      <c r="D11160" s="500" t="s">
        <v>762</v>
      </c>
      <c r="E11160" s="501">
        <v>-1051262122.55</v>
      </c>
      <c r="F11160" s="502" t="s">
        <v>878</v>
      </c>
      <c r="G11160" s="484">
        <v>118502614</v>
      </c>
      <c r="H11160" s="530"/>
      <c r="I11160" s="422" t="s">
        <v>685</v>
      </c>
      <c r="J11160" s="530" t="s">
        <v>906</v>
      </c>
      <c r="L11160" s="539"/>
      <c r="M11160" s="539"/>
      <c r="N11160" s="600">
        <v>1123519</v>
      </c>
      <c r="R11160" s="558">
        <v>935.68700000000001</v>
      </c>
      <c r="S11160" s="558">
        <v>936.87906266827702</v>
      </c>
      <c r="T11160" s="538">
        <v>15.500299999999999</v>
      </c>
      <c r="U11160" s="538">
        <v>4730.68</v>
      </c>
      <c r="V11160" s="538">
        <v>2365.34</v>
      </c>
    </row>
    <row r="11161" spans="1:22">
      <c r="A11161" s="499">
        <v>45877</v>
      </c>
      <c r="B11161" s="499">
        <v>45877</v>
      </c>
      <c r="C11161" s="500" t="s">
        <v>173</v>
      </c>
      <c r="D11161" s="500" t="s">
        <v>762</v>
      </c>
      <c r="E11161" s="501">
        <v>-640062393.60000002</v>
      </c>
      <c r="F11161" s="502" t="s">
        <v>878</v>
      </c>
      <c r="G11161" s="484">
        <v>118502617</v>
      </c>
      <c r="H11161" s="530"/>
      <c r="I11161" s="422" t="s">
        <v>604</v>
      </c>
      <c r="J11161" s="530" t="s">
        <v>906</v>
      </c>
      <c r="L11161" s="539"/>
      <c r="M11161" s="539"/>
      <c r="N11161" s="600">
        <v>631680</v>
      </c>
      <c r="R11161" s="558">
        <v>1013.27</v>
      </c>
      <c r="S11161" s="558">
        <v>1014.56087821365</v>
      </c>
      <c r="T11161" s="538">
        <v>15.5</v>
      </c>
      <c r="U11161" s="538">
        <v>2880.28</v>
      </c>
      <c r="V11161" s="538">
        <v>1440.14</v>
      </c>
    </row>
    <row r="11162" spans="1:22">
      <c r="A11162" s="499">
        <v>45877</v>
      </c>
      <c r="B11162" s="499">
        <v>45877</v>
      </c>
      <c r="C11162" s="500" t="s">
        <v>173</v>
      </c>
      <c r="D11162" s="500" t="s">
        <v>762</v>
      </c>
      <c r="E11162" s="501">
        <v>-74024900.329999998</v>
      </c>
      <c r="F11162" s="502" t="s">
        <v>878</v>
      </c>
      <c r="G11162" s="484">
        <v>118502620</v>
      </c>
      <c r="H11162" s="530"/>
      <c r="I11162" s="422" t="s">
        <v>658</v>
      </c>
      <c r="J11162" s="530" t="s">
        <v>906</v>
      </c>
      <c r="L11162" s="539"/>
      <c r="M11162" s="539"/>
      <c r="N11162" s="600">
        <v>72594</v>
      </c>
      <c r="R11162" s="558">
        <v>1019.711</v>
      </c>
      <c r="S11162" s="558">
        <v>1021.01008375348</v>
      </c>
      <c r="T11162" s="538">
        <v>15.5</v>
      </c>
      <c r="U11162" s="538">
        <v>333.11</v>
      </c>
      <c r="V11162" s="538">
        <v>166.56</v>
      </c>
    </row>
    <row r="11163" spans="1:22">
      <c r="A11163" s="499">
        <v>45877</v>
      </c>
      <c r="B11163" s="499">
        <v>45877</v>
      </c>
      <c r="C11163" s="500" t="s">
        <v>173</v>
      </c>
      <c r="D11163" s="500" t="s">
        <v>762</v>
      </c>
      <c r="E11163" s="501">
        <v>-20000200.32</v>
      </c>
      <c r="F11163" s="502" t="s">
        <v>878</v>
      </c>
      <c r="G11163" s="484">
        <v>118504059</v>
      </c>
      <c r="H11163" s="530"/>
      <c r="I11163" s="422" t="s">
        <v>718</v>
      </c>
      <c r="J11163" s="530" t="s">
        <v>906</v>
      </c>
      <c r="L11163" s="539"/>
      <c r="M11163" s="539"/>
      <c r="N11163" s="600">
        <v>31320</v>
      </c>
      <c r="R11163" s="558">
        <v>638.57600000000002</v>
      </c>
      <c r="S11163" s="558">
        <v>639.38952841634705</v>
      </c>
      <c r="T11163" s="538">
        <v>15.5</v>
      </c>
      <c r="U11163" s="538">
        <v>90</v>
      </c>
      <c r="V11163" s="538">
        <v>45</v>
      </c>
    </row>
    <row r="11164" spans="1:22">
      <c r="A11164" s="499">
        <v>45877</v>
      </c>
      <c r="B11164" s="499">
        <v>45880</v>
      </c>
      <c r="C11164" s="500" t="s">
        <v>173</v>
      </c>
      <c r="D11164" s="500" t="s">
        <v>762</v>
      </c>
      <c r="E11164" s="501">
        <v>259371355.65000001</v>
      </c>
      <c r="F11164" s="502" t="s">
        <v>878</v>
      </c>
      <c r="G11164" s="484">
        <v>118502605</v>
      </c>
      <c r="H11164" s="484">
        <v>118502605</v>
      </c>
      <c r="I11164" s="422" t="s">
        <v>678</v>
      </c>
      <c r="J11164" s="484" t="s">
        <v>912</v>
      </c>
      <c r="L11164" s="539"/>
      <c r="M11164" s="539"/>
      <c r="N11164" s="600">
        <v>275835</v>
      </c>
      <c r="R11164" s="558">
        <v>939.11699999999996</v>
      </c>
      <c r="S11164" s="558">
        <v>940.31343248681299</v>
      </c>
      <c r="T11164" s="538">
        <v>15.500299999999999</v>
      </c>
      <c r="U11164" s="538">
        <v>1165.69</v>
      </c>
      <c r="V11164" s="538">
        <v>582.84</v>
      </c>
    </row>
    <row r="11165" spans="1:22">
      <c r="A11165" s="499">
        <v>45877</v>
      </c>
      <c r="B11165" s="499">
        <v>45880</v>
      </c>
      <c r="C11165" s="500" t="s">
        <v>173</v>
      </c>
      <c r="D11165" s="500" t="s">
        <v>762</v>
      </c>
      <c r="E11165" s="501">
        <v>398591497.74000001</v>
      </c>
      <c r="F11165" s="502" t="s">
        <v>878</v>
      </c>
      <c r="G11165" s="484">
        <v>118502608</v>
      </c>
      <c r="H11165" s="484">
        <v>118502608</v>
      </c>
      <c r="I11165" s="422" t="s">
        <v>654</v>
      </c>
      <c r="J11165" s="484" t="s">
        <v>912</v>
      </c>
      <c r="L11165" s="539"/>
      <c r="M11165" s="539"/>
      <c r="N11165" s="600">
        <v>399592</v>
      </c>
      <c r="R11165" s="558">
        <v>996.22699999999998</v>
      </c>
      <c r="S11165" s="558">
        <v>997.49619046427404</v>
      </c>
      <c r="T11165" s="538">
        <v>15.500299999999999</v>
      </c>
      <c r="U11165" s="538">
        <v>1791.38</v>
      </c>
      <c r="V11165" s="538">
        <v>895.69</v>
      </c>
    </row>
    <row r="11166" spans="1:22">
      <c r="A11166" s="499">
        <v>45877</v>
      </c>
      <c r="B11166" s="499">
        <v>45880</v>
      </c>
      <c r="C11166" s="500" t="s">
        <v>173</v>
      </c>
      <c r="D11166" s="500" t="s">
        <v>762</v>
      </c>
      <c r="E11166" s="501">
        <v>571901532.00999999</v>
      </c>
      <c r="F11166" s="502" t="s">
        <v>878</v>
      </c>
      <c r="G11166" s="484">
        <v>118502611</v>
      </c>
      <c r="H11166" s="484">
        <v>118502611</v>
      </c>
      <c r="I11166" s="422" t="s">
        <v>674</v>
      </c>
      <c r="J11166" s="484" t="s">
        <v>912</v>
      </c>
      <c r="L11166" s="539"/>
      <c r="M11166" s="539"/>
      <c r="N11166" s="600">
        <v>639520</v>
      </c>
      <c r="R11166" s="558">
        <v>893.12900000000002</v>
      </c>
      <c r="S11166" s="558">
        <v>894.26684389854904</v>
      </c>
      <c r="T11166" s="538">
        <v>15.500299999999999</v>
      </c>
      <c r="U11166" s="538">
        <v>2570.2800000000002</v>
      </c>
      <c r="V11166" s="538">
        <v>1285.1400000000001</v>
      </c>
    </row>
    <row r="11167" spans="1:22">
      <c r="A11167" s="499">
        <v>45877</v>
      </c>
      <c r="B11167" s="499">
        <v>45880</v>
      </c>
      <c r="C11167" s="500" t="s">
        <v>173</v>
      </c>
      <c r="D11167" s="500" t="s">
        <v>762</v>
      </c>
      <c r="E11167" s="501">
        <v>1052601427.61</v>
      </c>
      <c r="F11167" s="502" t="s">
        <v>878</v>
      </c>
      <c r="G11167" s="484">
        <v>118502614</v>
      </c>
      <c r="H11167" s="484">
        <v>118502614</v>
      </c>
      <c r="I11167" s="422" t="s">
        <v>685</v>
      </c>
      <c r="J11167" s="484" t="s">
        <v>912</v>
      </c>
      <c r="L11167" s="539"/>
      <c r="M11167" s="539"/>
      <c r="N11167" s="600">
        <v>1123519</v>
      </c>
      <c r="R11167" s="558">
        <v>935.68700000000001</v>
      </c>
      <c r="S11167" s="558">
        <v>936.87906266827702</v>
      </c>
      <c r="T11167" s="538">
        <v>15.500299999999999</v>
      </c>
      <c r="U11167" s="538">
        <v>4730.68</v>
      </c>
      <c r="V11167" s="538">
        <v>2365.34</v>
      </c>
    </row>
    <row r="11168" spans="1:22">
      <c r="A11168" s="499">
        <v>45877</v>
      </c>
      <c r="B11168" s="499">
        <v>45880</v>
      </c>
      <c r="C11168" s="500" t="s">
        <v>173</v>
      </c>
      <c r="D11168" s="500" t="s">
        <v>762</v>
      </c>
      <c r="E11168" s="501">
        <v>640877815.54999995</v>
      </c>
      <c r="F11168" s="502" t="s">
        <v>878</v>
      </c>
      <c r="G11168" s="484">
        <v>118502617</v>
      </c>
      <c r="H11168" s="484">
        <v>118502617</v>
      </c>
      <c r="I11168" s="422" t="s">
        <v>604</v>
      </c>
      <c r="J11168" s="484" t="s">
        <v>912</v>
      </c>
      <c r="L11168" s="539"/>
      <c r="M11168" s="539"/>
      <c r="N11168" s="600">
        <v>631680</v>
      </c>
      <c r="R11168" s="558">
        <v>1013.27</v>
      </c>
      <c r="S11168" s="558">
        <v>1014.56087821365</v>
      </c>
      <c r="T11168" s="538">
        <v>15.5</v>
      </c>
      <c r="U11168" s="538">
        <v>2880.28</v>
      </c>
      <c r="V11168" s="538">
        <v>1440.14</v>
      </c>
    </row>
    <row r="11169" spans="1:22">
      <c r="A11169" s="499">
        <v>45877</v>
      </c>
      <c r="B11169" s="499">
        <v>45880</v>
      </c>
      <c r="C11169" s="500" t="s">
        <v>173</v>
      </c>
      <c r="D11169" s="500" t="s">
        <v>762</v>
      </c>
      <c r="E11169" s="501">
        <v>74119206.019999996</v>
      </c>
      <c r="F11169" s="502" t="s">
        <v>878</v>
      </c>
      <c r="G11169" s="484">
        <v>118502620</v>
      </c>
      <c r="H11169" s="484">
        <v>118502620</v>
      </c>
      <c r="I11169" s="422" t="s">
        <v>658</v>
      </c>
      <c r="J11169" s="484" t="s">
        <v>912</v>
      </c>
      <c r="L11169" s="539"/>
      <c r="M11169" s="539"/>
      <c r="N11169" s="600">
        <v>72594</v>
      </c>
      <c r="R11169" s="558">
        <v>1019.711</v>
      </c>
      <c r="S11169" s="558">
        <v>1021.01008375348</v>
      </c>
      <c r="T11169" s="538">
        <v>15.5</v>
      </c>
      <c r="U11169" s="538">
        <v>333.11</v>
      </c>
      <c r="V11169" s="538">
        <v>166.56</v>
      </c>
    </row>
    <row r="11170" spans="1:22">
      <c r="A11170" s="499">
        <v>45877</v>
      </c>
      <c r="B11170" s="499">
        <v>45880</v>
      </c>
      <c r="C11170" s="500" t="s">
        <v>173</v>
      </c>
      <c r="D11170" s="500" t="s">
        <v>762</v>
      </c>
      <c r="E11170" s="501">
        <v>20025680.030000001</v>
      </c>
      <c r="F11170" s="502" t="s">
        <v>878</v>
      </c>
      <c r="G11170" s="484">
        <v>118504059</v>
      </c>
      <c r="H11170" s="484">
        <v>118504059</v>
      </c>
      <c r="I11170" s="422" t="s">
        <v>718</v>
      </c>
      <c r="J11170" s="484" t="s">
        <v>912</v>
      </c>
      <c r="L11170" s="539"/>
      <c r="M11170" s="539"/>
      <c r="N11170" s="600">
        <v>31320</v>
      </c>
      <c r="R11170" s="558">
        <v>638.57600000000002</v>
      </c>
      <c r="S11170" s="558">
        <v>639.38952841634705</v>
      </c>
      <c r="T11170" s="538">
        <v>15.5</v>
      </c>
      <c r="U11170" s="538">
        <v>90</v>
      </c>
      <c r="V11170" s="538">
        <v>45</v>
      </c>
    </row>
    <row r="11171" spans="1:22">
      <c r="A11171" s="499">
        <v>45877</v>
      </c>
      <c r="B11171" s="499">
        <v>45877</v>
      </c>
      <c r="C11171" s="500" t="s">
        <v>173</v>
      </c>
      <c r="D11171" s="500" t="s">
        <v>764</v>
      </c>
      <c r="E11171" s="501">
        <v>-4000094.11</v>
      </c>
      <c r="F11171" s="502" t="s">
        <v>878</v>
      </c>
      <c r="G11171" s="484">
        <v>118499412</v>
      </c>
      <c r="H11171" s="530"/>
      <c r="I11171" s="422" t="s">
        <v>720</v>
      </c>
      <c r="J11171" s="530" t="s">
        <v>906</v>
      </c>
      <c r="L11171" s="539"/>
      <c r="M11171" s="539"/>
      <c r="N11171" s="600">
        <v>6752</v>
      </c>
      <c r="R11171" s="539">
        <v>592.43099970379149</v>
      </c>
      <c r="S11171" s="539">
        <v>593.18768809241703</v>
      </c>
      <c r="T11171" s="538">
        <v>15.54</v>
      </c>
      <c r="U11171" s="538">
        <v>39.32</v>
      </c>
      <c r="V11171" s="538">
        <v>9</v>
      </c>
    </row>
    <row r="11172" spans="1:22">
      <c r="A11172" s="499">
        <v>45877</v>
      </c>
      <c r="B11172" s="499">
        <v>45877</v>
      </c>
      <c r="C11172" s="500" t="s">
        <v>173</v>
      </c>
      <c r="D11172" s="500" t="s">
        <v>764</v>
      </c>
      <c r="E11172" s="501">
        <v>-5001419.5599999996</v>
      </c>
      <c r="F11172" s="502" t="s">
        <v>878</v>
      </c>
      <c r="G11172" s="484">
        <v>118499415</v>
      </c>
      <c r="H11172" s="530"/>
      <c r="I11172" s="422" t="s">
        <v>631</v>
      </c>
      <c r="J11172" s="530" t="s">
        <v>906</v>
      </c>
      <c r="L11172" s="539"/>
      <c r="M11172" s="539"/>
      <c r="N11172" s="600">
        <v>10045</v>
      </c>
      <c r="R11172" s="539">
        <v>497.90139970134391</v>
      </c>
      <c r="S11172" s="539">
        <v>498.53734892981601</v>
      </c>
      <c r="T11172" s="538">
        <v>15.54</v>
      </c>
      <c r="U11172" s="538">
        <v>39.32</v>
      </c>
      <c r="V11172" s="538">
        <v>11.25</v>
      </c>
    </row>
    <row r="11173" spans="1:22">
      <c r="A11173" s="499">
        <v>45877</v>
      </c>
      <c r="B11173" s="499">
        <v>45877</v>
      </c>
      <c r="C11173" s="500" t="s">
        <v>173</v>
      </c>
      <c r="D11173" s="500" t="s">
        <v>764</v>
      </c>
      <c r="E11173" s="501">
        <v>-9004068.6099999994</v>
      </c>
      <c r="F11173" s="502" t="s">
        <v>878</v>
      </c>
      <c r="G11173" s="484">
        <v>118499418</v>
      </c>
      <c r="H11173" s="530"/>
      <c r="I11173" s="422" t="s">
        <v>721</v>
      </c>
      <c r="J11173" s="530" t="s">
        <v>906</v>
      </c>
      <c r="L11173" s="539"/>
      <c r="M11173" s="539"/>
      <c r="N11173" s="600">
        <v>15939</v>
      </c>
      <c r="R11173" s="539">
        <v>564.90799987452158</v>
      </c>
      <c r="S11173" s="539">
        <v>565.62953447518703</v>
      </c>
      <c r="T11173" s="538">
        <v>15.54</v>
      </c>
      <c r="U11173" s="538">
        <v>40.520000000000003</v>
      </c>
      <c r="V11173" s="538">
        <v>20.260000000000002</v>
      </c>
    </row>
    <row r="11174" spans="1:22">
      <c r="A11174" s="499">
        <v>45877</v>
      </c>
      <c r="B11174" s="499">
        <v>45877</v>
      </c>
      <c r="C11174" s="500" t="s">
        <v>173</v>
      </c>
      <c r="D11174" s="500" t="s">
        <v>764</v>
      </c>
      <c r="E11174" s="501">
        <v>-40035105.68</v>
      </c>
      <c r="F11174" s="502" t="s">
        <v>878</v>
      </c>
      <c r="G11174" s="484">
        <v>118499421</v>
      </c>
      <c r="H11174" s="530"/>
      <c r="I11174" s="422" t="s">
        <v>588</v>
      </c>
      <c r="J11174" s="530" t="s">
        <v>906</v>
      </c>
      <c r="L11174" s="539"/>
      <c r="M11174" s="539"/>
      <c r="N11174" s="600">
        <v>44120</v>
      </c>
      <c r="R11174" s="539">
        <v>907.41399999999999</v>
      </c>
      <c r="S11174" s="539">
        <v>908.57300385312794</v>
      </c>
      <c r="T11174" s="538">
        <v>15.54</v>
      </c>
      <c r="U11174" s="538">
        <v>180.16</v>
      </c>
      <c r="V11174" s="538">
        <v>90.08</v>
      </c>
    </row>
    <row r="11175" spans="1:22">
      <c r="A11175" s="499">
        <v>45877</v>
      </c>
      <c r="B11175" s="499">
        <v>45877</v>
      </c>
      <c r="C11175" s="500" t="s">
        <v>173</v>
      </c>
      <c r="D11175" s="500" t="s">
        <v>764</v>
      </c>
      <c r="E11175" s="501">
        <v>-4723285276.7600002</v>
      </c>
      <c r="F11175" s="502" t="s">
        <v>878</v>
      </c>
      <c r="G11175" s="484">
        <v>118499429</v>
      </c>
      <c r="H11175" s="530"/>
      <c r="I11175" s="422" t="s">
        <v>2903</v>
      </c>
      <c r="J11175" s="530" t="s">
        <v>906</v>
      </c>
      <c r="L11175" s="539"/>
      <c r="M11175" s="539"/>
      <c r="N11175" s="600">
        <v>47461427</v>
      </c>
      <c r="R11175" s="539">
        <v>99.51840000006743</v>
      </c>
      <c r="S11175" s="539">
        <v>99.645510898987496</v>
      </c>
      <c r="T11175" s="538">
        <v>15.54</v>
      </c>
      <c r="U11175" s="538">
        <v>21254.78</v>
      </c>
      <c r="V11175" s="538">
        <v>10627.39</v>
      </c>
    </row>
    <row r="11176" spans="1:22">
      <c r="A11176" s="499">
        <v>45877</v>
      </c>
      <c r="B11176" s="499">
        <v>45877</v>
      </c>
      <c r="C11176" s="500" t="s">
        <v>173</v>
      </c>
      <c r="D11176" s="500" t="s">
        <v>764</v>
      </c>
      <c r="E11176" s="501">
        <v>-31024405.649999999</v>
      </c>
      <c r="F11176" s="502" t="s">
        <v>878</v>
      </c>
      <c r="G11176" s="484">
        <v>118499922</v>
      </c>
      <c r="H11176" s="530"/>
      <c r="I11176" s="422" t="s">
        <v>681</v>
      </c>
      <c r="J11176" s="530" t="s">
        <v>906</v>
      </c>
      <c r="L11176" s="539"/>
      <c r="M11176" s="539"/>
      <c r="N11176" s="600">
        <v>34813</v>
      </c>
      <c r="R11176" s="539">
        <v>891.17300002872491</v>
      </c>
      <c r="S11176" s="539">
        <v>892.31002929939996</v>
      </c>
      <c r="T11176" s="538">
        <v>15.523199999999999</v>
      </c>
      <c r="U11176" s="538">
        <v>139.61000000000001</v>
      </c>
      <c r="V11176" s="538">
        <v>69.8</v>
      </c>
    </row>
    <row r="11177" spans="1:22">
      <c r="A11177" s="499">
        <v>45877</v>
      </c>
      <c r="B11177" s="499">
        <v>45880</v>
      </c>
      <c r="C11177" s="500" t="s">
        <v>173</v>
      </c>
      <c r="D11177" s="500" t="s">
        <v>764</v>
      </c>
      <c r="E11177" s="501">
        <v>4005203.27</v>
      </c>
      <c r="F11177" s="502" t="s">
        <v>878</v>
      </c>
      <c r="G11177" s="484">
        <v>118499412</v>
      </c>
      <c r="H11177" s="484">
        <v>118499412</v>
      </c>
      <c r="I11177" s="422" t="s">
        <v>720</v>
      </c>
      <c r="J11177" s="484" t="s">
        <v>912</v>
      </c>
      <c r="L11177" s="539"/>
      <c r="M11177" s="539"/>
      <c r="N11177" s="600">
        <v>6752</v>
      </c>
      <c r="R11177" s="539">
        <v>592.43099970379149</v>
      </c>
      <c r="S11177" s="539">
        <v>593.18768809241703</v>
      </c>
      <c r="T11177" s="538">
        <v>15.54</v>
      </c>
      <c r="U11177" s="538">
        <v>39.32</v>
      </c>
      <c r="V11177" s="538">
        <v>9</v>
      </c>
    </row>
    <row r="11178" spans="1:22">
      <c r="A11178" s="499">
        <v>45877</v>
      </c>
      <c r="B11178" s="499">
        <v>45880</v>
      </c>
      <c r="C11178" s="500" t="s">
        <v>173</v>
      </c>
      <c r="D11178" s="500" t="s">
        <v>764</v>
      </c>
      <c r="E11178" s="501">
        <v>5007807.67</v>
      </c>
      <c r="F11178" s="502" t="s">
        <v>878</v>
      </c>
      <c r="G11178" s="484">
        <v>118499415</v>
      </c>
      <c r="H11178" s="484">
        <v>118499415</v>
      </c>
      <c r="I11178" s="422" t="s">
        <v>631</v>
      </c>
      <c r="J11178" s="484" t="s">
        <v>912</v>
      </c>
      <c r="L11178" s="539"/>
      <c r="M11178" s="539"/>
      <c r="N11178" s="600">
        <v>10045</v>
      </c>
      <c r="R11178" s="539">
        <v>497.90139970134391</v>
      </c>
      <c r="S11178" s="539">
        <v>498.53734892981601</v>
      </c>
      <c r="T11178" s="538">
        <v>15.54</v>
      </c>
      <c r="U11178" s="538">
        <v>39.32</v>
      </c>
      <c r="V11178" s="538">
        <v>11.25</v>
      </c>
    </row>
    <row r="11179" spans="1:22">
      <c r="A11179" s="499">
        <v>45877</v>
      </c>
      <c r="B11179" s="499">
        <v>45880</v>
      </c>
      <c r="C11179" s="500" t="s">
        <v>173</v>
      </c>
      <c r="D11179" s="500" t="s">
        <v>764</v>
      </c>
      <c r="E11179" s="501">
        <v>9015569.1500000004</v>
      </c>
      <c r="F11179" s="502" t="s">
        <v>878</v>
      </c>
      <c r="G11179" s="484">
        <v>118499418</v>
      </c>
      <c r="H11179" s="484">
        <v>118499418</v>
      </c>
      <c r="I11179" s="422" t="s">
        <v>721</v>
      </c>
      <c r="J11179" s="484" t="s">
        <v>912</v>
      </c>
      <c r="L11179" s="539"/>
      <c r="M11179" s="539"/>
      <c r="N11179" s="600">
        <v>15939</v>
      </c>
      <c r="R11179" s="539">
        <v>564.90799987452158</v>
      </c>
      <c r="S11179" s="539">
        <v>565.62953447518703</v>
      </c>
      <c r="T11179" s="538">
        <v>15.54</v>
      </c>
      <c r="U11179" s="538">
        <v>40.520000000000003</v>
      </c>
      <c r="V11179" s="538">
        <v>20.260000000000002</v>
      </c>
    </row>
    <row r="11180" spans="1:22">
      <c r="A11180" s="499">
        <v>45877</v>
      </c>
      <c r="B11180" s="499">
        <v>45880</v>
      </c>
      <c r="C11180" s="500" t="s">
        <v>173</v>
      </c>
      <c r="D11180" s="500" t="s">
        <v>764</v>
      </c>
      <c r="E11180" s="501">
        <v>40086240.93</v>
      </c>
      <c r="F11180" s="502" t="s">
        <v>878</v>
      </c>
      <c r="G11180" s="484">
        <v>118499421</v>
      </c>
      <c r="H11180" s="484">
        <v>118499421</v>
      </c>
      <c r="I11180" s="422" t="s">
        <v>588</v>
      </c>
      <c r="J11180" s="484" t="s">
        <v>912</v>
      </c>
      <c r="L11180" s="539"/>
      <c r="M11180" s="539"/>
      <c r="N11180" s="600">
        <v>44120</v>
      </c>
      <c r="R11180" s="539">
        <v>907.41399999999999</v>
      </c>
      <c r="S11180" s="539">
        <v>908.57300385312794</v>
      </c>
      <c r="T11180" s="538">
        <v>15.54</v>
      </c>
      <c r="U11180" s="538">
        <v>180.16</v>
      </c>
      <c r="V11180" s="538">
        <v>90.08</v>
      </c>
    </row>
    <row r="11181" spans="1:22">
      <c r="A11181" s="499">
        <v>45877</v>
      </c>
      <c r="B11181" s="499">
        <v>45880</v>
      </c>
      <c r="C11181" s="500" t="s">
        <v>173</v>
      </c>
      <c r="D11181" s="500" t="s">
        <v>764</v>
      </c>
      <c r="E11181" s="501">
        <v>4729318141.4099998</v>
      </c>
      <c r="F11181" s="502" t="s">
        <v>878</v>
      </c>
      <c r="G11181" s="484">
        <v>118499429</v>
      </c>
      <c r="H11181" s="484">
        <v>118499429</v>
      </c>
      <c r="I11181" s="422" t="s">
        <v>2903</v>
      </c>
      <c r="J11181" s="484" t="s">
        <v>912</v>
      </c>
      <c r="L11181" s="539"/>
      <c r="M11181" s="539"/>
      <c r="N11181" s="600">
        <v>47461427</v>
      </c>
      <c r="R11181" s="539">
        <v>99.51840000006743</v>
      </c>
      <c r="S11181" s="539">
        <v>99.645510898987496</v>
      </c>
      <c r="T11181" s="538">
        <v>15.54</v>
      </c>
      <c r="U11181" s="538">
        <v>21254.78</v>
      </c>
      <c r="V11181" s="538">
        <v>10627.39</v>
      </c>
    </row>
    <row r="11182" spans="1:22">
      <c r="A11182" s="499">
        <v>45877</v>
      </c>
      <c r="B11182" s="499">
        <v>45880</v>
      </c>
      <c r="C11182" s="500" t="s">
        <v>173</v>
      </c>
      <c r="D11182" s="500" t="s">
        <v>764</v>
      </c>
      <c r="E11182" s="501">
        <v>31063989.050000001</v>
      </c>
      <c r="F11182" s="502" t="s">
        <v>878</v>
      </c>
      <c r="G11182" s="484">
        <v>118499922</v>
      </c>
      <c r="H11182" s="484">
        <v>118499922</v>
      </c>
      <c r="I11182" s="422" t="s">
        <v>681</v>
      </c>
      <c r="J11182" s="484" t="s">
        <v>912</v>
      </c>
      <c r="L11182" s="539"/>
      <c r="M11182" s="539"/>
      <c r="N11182" s="600">
        <v>34813</v>
      </c>
      <c r="R11182" s="539">
        <v>891.17300002872491</v>
      </c>
      <c r="S11182" s="539">
        <v>892.31002929939996</v>
      </c>
      <c r="T11182" s="538">
        <v>15.523199999999999</v>
      </c>
      <c r="U11182" s="538">
        <v>139.61000000000001</v>
      </c>
      <c r="V11182" s="538">
        <v>69.8</v>
      </c>
    </row>
    <row r="11183" spans="1:22">
      <c r="A11183" s="499">
        <v>45877</v>
      </c>
      <c r="B11183" s="499">
        <v>45877</v>
      </c>
      <c r="C11183" s="500" t="s">
        <v>173</v>
      </c>
      <c r="D11183" s="500" t="s">
        <v>760</v>
      </c>
      <c r="E11183" s="501">
        <v>-1300193760.71</v>
      </c>
      <c r="F11183" s="502" t="s">
        <v>878</v>
      </c>
      <c r="G11183" s="443">
        <v>118498255</v>
      </c>
      <c r="H11183" s="530"/>
      <c r="I11183" s="422" t="s">
        <v>1013</v>
      </c>
      <c r="J11183" s="530" t="s">
        <v>906</v>
      </c>
      <c r="L11183" s="539"/>
      <c r="M11183" s="539"/>
      <c r="N11183" s="601">
        <v>2442700</v>
      </c>
      <c r="R11183" s="548">
        <v>532.27729999999997</v>
      </c>
      <c r="S11183" s="548">
        <v>532.95672353543205</v>
      </c>
      <c r="T11183" s="549">
        <v>15.530099999999999</v>
      </c>
      <c r="U11183" s="549">
        <v>5850.87</v>
      </c>
      <c r="V11183" s="549">
        <v>2925.44</v>
      </c>
    </row>
    <row r="11184" spans="1:22">
      <c r="A11184" s="499">
        <v>45877</v>
      </c>
      <c r="B11184" s="499">
        <v>45877</v>
      </c>
      <c r="C11184" s="500" t="s">
        <v>173</v>
      </c>
      <c r="D11184" s="500" t="s">
        <v>760</v>
      </c>
      <c r="E11184" s="501">
        <v>-5002392.33</v>
      </c>
      <c r="F11184" s="502" t="s">
        <v>878</v>
      </c>
      <c r="G11184" s="443">
        <v>118499660</v>
      </c>
      <c r="H11184" s="530"/>
      <c r="I11184" s="422" t="s">
        <v>657</v>
      </c>
      <c r="J11184" s="530" t="s">
        <v>906</v>
      </c>
      <c r="L11184" s="539"/>
      <c r="M11184" s="539"/>
      <c r="N11184" s="601">
        <v>5265</v>
      </c>
      <c r="R11184" s="548">
        <v>950.12199999999996</v>
      </c>
      <c r="S11184" s="548">
        <v>951.33478062678103</v>
      </c>
      <c r="T11184" s="549">
        <v>15.530099999999999</v>
      </c>
      <c r="U11184" s="549">
        <v>39.32</v>
      </c>
      <c r="V11184" s="549">
        <v>11.26</v>
      </c>
    </row>
    <row r="11185" spans="1:22">
      <c r="A11185" s="499">
        <v>45877</v>
      </c>
      <c r="B11185" s="499">
        <v>45877</v>
      </c>
      <c r="C11185" s="500" t="s">
        <v>173</v>
      </c>
      <c r="D11185" s="500" t="s">
        <v>760</v>
      </c>
      <c r="E11185" s="501">
        <v>-898054240.63999999</v>
      </c>
      <c r="F11185" s="502" t="s">
        <v>878</v>
      </c>
      <c r="G11185" s="443">
        <v>118499357</v>
      </c>
      <c r="H11185" s="530"/>
      <c r="I11185" s="422" t="s">
        <v>2903</v>
      </c>
      <c r="J11185" s="530" t="s">
        <v>906</v>
      </c>
      <c r="L11185" s="539"/>
      <c r="M11185" s="539"/>
      <c r="N11185" s="601">
        <v>9024002</v>
      </c>
      <c r="R11185" s="548">
        <v>99.5184</v>
      </c>
      <c r="S11185" s="548">
        <v>99.645429921225599</v>
      </c>
      <c r="T11185" s="549">
        <v>15.530099999999999</v>
      </c>
      <c r="U11185" s="549">
        <v>4041.24</v>
      </c>
      <c r="V11185" s="549">
        <v>2020.62</v>
      </c>
    </row>
    <row r="11186" spans="1:22">
      <c r="A11186" s="499">
        <v>45877</v>
      </c>
      <c r="B11186" s="499">
        <v>45880</v>
      </c>
      <c r="C11186" s="500" t="s">
        <v>173</v>
      </c>
      <c r="D11186" s="500" t="s">
        <v>760</v>
      </c>
      <c r="E11186" s="501">
        <v>1301853388.5799999</v>
      </c>
      <c r="F11186" s="502" t="s">
        <v>878</v>
      </c>
      <c r="G11186" s="443">
        <v>118498255</v>
      </c>
      <c r="H11186" s="443">
        <v>118498255</v>
      </c>
      <c r="I11186" s="422" t="s">
        <v>1013</v>
      </c>
      <c r="J11186" s="484" t="s">
        <v>912</v>
      </c>
      <c r="L11186" s="539"/>
      <c r="M11186" s="539"/>
      <c r="N11186" s="601">
        <v>2442700</v>
      </c>
      <c r="R11186" s="548">
        <v>532.27729999999997</v>
      </c>
      <c r="S11186" s="548">
        <v>532.95672353543205</v>
      </c>
      <c r="T11186" s="549">
        <v>15.530099999999999</v>
      </c>
      <c r="U11186" s="549">
        <v>5850.87</v>
      </c>
      <c r="V11186" s="549">
        <v>2925.44</v>
      </c>
    </row>
    <row r="11187" spans="1:22">
      <c r="A11187" s="499">
        <v>45877</v>
      </c>
      <c r="B11187" s="499">
        <v>45880</v>
      </c>
      <c r="C11187" s="500" t="s">
        <v>173</v>
      </c>
      <c r="D11187" s="500" t="s">
        <v>760</v>
      </c>
      <c r="E11187" s="501">
        <v>5008777.62</v>
      </c>
      <c r="F11187" s="502" t="s">
        <v>878</v>
      </c>
      <c r="G11187" s="443">
        <v>118499660</v>
      </c>
      <c r="H11187" s="443">
        <v>118499660</v>
      </c>
      <c r="I11187" s="422" t="s">
        <v>657</v>
      </c>
      <c r="J11187" s="484" t="s">
        <v>912</v>
      </c>
      <c r="L11187" s="539"/>
      <c r="M11187" s="539"/>
      <c r="N11187" s="601">
        <v>5265</v>
      </c>
      <c r="R11187" s="548">
        <v>950.12199999999996</v>
      </c>
      <c r="S11187" s="548">
        <v>951.33478062678103</v>
      </c>
      <c r="T11187" s="549">
        <v>15.530099999999999</v>
      </c>
      <c r="U11187" s="549">
        <v>39.32</v>
      </c>
      <c r="V11187" s="549">
        <v>11.26</v>
      </c>
    </row>
    <row r="11188" spans="1:22">
      <c r="A11188" s="499">
        <v>45877</v>
      </c>
      <c r="B11188" s="499">
        <v>45880</v>
      </c>
      <c r="C11188" s="500" t="s">
        <v>173</v>
      </c>
      <c r="D11188" s="500" t="s">
        <v>760</v>
      </c>
      <c r="E11188" s="501">
        <v>899200558.89999998</v>
      </c>
      <c r="F11188" s="502" t="s">
        <v>878</v>
      </c>
      <c r="G11188" s="443">
        <v>118499357</v>
      </c>
      <c r="H11188" s="443">
        <v>118499357</v>
      </c>
      <c r="I11188" s="422" t="s">
        <v>2903</v>
      </c>
      <c r="J11188" s="484" t="s">
        <v>912</v>
      </c>
      <c r="L11188" s="539"/>
      <c r="M11188" s="539"/>
      <c r="N11188" s="601">
        <v>9024002</v>
      </c>
      <c r="R11188" s="548">
        <v>99.5184</v>
      </c>
      <c r="S11188" s="548">
        <v>99.645429921225599</v>
      </c>
      <c r="T11188" s="549">
        <v>15.530099999999999</v>
      </c>
      <c r="U11188" s="549">
        <v>4041.24</v>
      </c>
      <c r="V11188" s="549">
        <v>2020.62</v>
      </c>
    </row>
    <row r="11189" spans="1:22">
      <c r="A11189" s="499">
        <v>45877</v>
      </c>
      <c r="B11189" s="499">
        <v>45877</v>
      </c>
      <c r="C11189" s="500" t="s">
        <v>173</v>
      </c>
      <c r="D11189" s="500" t="s">
        <v>759</v>
      </c>
      <c r="E11189" s="501">
        <v>-3000851.74</v>
      </c>
      <c r="F11189" s="502" t="s">
        <v>878</v>
      </c>
      <c r="G11189" s="443">
        <v>118500255</v>
      </c>
      <c r="H11189" s="530"/>
      <c r="I11189" s="422" t="s">
        <v>631</v>
      </c>
      <c r="J11189" s="530" t="s">
        <v>906</v>
      </c>
      <c r="L11189" s="539"/>
      <c r="M11189" s="539"/>
      <c r="N11189" s="601">
        <v>6027</v>
      </c>
      <c r="R11189" s="548">
        <v>497.90140036502407</v>
      </c>
      <c r="S11189" s="548">
        <v>500.89017255682802</v>
      </c>
      <c r="T11189" s="549">
        <v>15.65</v>
      </c>
      <c r="U11189" s="549">
        <v>63.02</v>
      </c>
      <c r="V11189" s="549">
        <v>31.51</v>
      </c>
    </row>
    <row r="11190" spans="1:22">
      <c r="A11190" s="499">
        <v>45877</v>
      </c>
      <c r="B11190" s="499">
        <v>45877</v>
      </c>
      <c r="C11190" s="500" t="s">
        <v>173</v>
      </c>
      <c r="D11190" s="500" t="s">
        <v>759</v>
      </c>
      <c r="E11190" s="501">
        <v>-175058885.93000001</v>
      </c>
      <c r="F11190" s="502" t="s">
        <v>878</v>
      </c>
      <c r="G11190" s="443">
        <v>118502878</v>
      </c>
      <c r="H11190" s="530"/>
      <c r="I11190" s="422" t="s">
        <v>658</v>
      </c>
      <c r="J11190" s="530" t="s">
        <v>906</v>
      </c>
      <c r="L11190" s="539"/>
      <c r="M11190" s="539"/>
      <c r="N11190" s="601">
        <v>171675</v>
      </c>
      <c r="R11190" s="548">
        <v>1019.7110000291249</v>
      </c>
      <c r="S11190" s="548">
        <v>1021.01008387942</v>
      </c>
      <c r="T11190" s="549">
        <v>15.5</v>
      </c>
      <c r="U11190" s="549">
        <v>787.76</v>
      </c>
      <c r="V11190" s="549">
        <v>393.88</v>
      </c>
    </row>
    <row r="11191" spans="1:22">
      <c r="A11191" s="499">
        <v>45877</v>
      </c>
      <c r="B11191" s="499">
        <v>45877</v>
      </c>
      <c r="C11191" s="500" t="s">
        <v>173</v>
      </c>
      <c r="D11191" s="500" t="s">
        <v>759</v>
      </c>
      <c r="E11191" s="501">
        <v>-236118510.47</v>
      </c>
      <c r="F11191" s="502" t="s">
        <v>878</v>
      </c>
      <c r="G11191" s="443">
        <v>118502881</v>
      </c>
      <c r="H11191" s="530"/>
      <c r="I11191" s="422" t="s">
        <v>692</v>
      </c>
      <c r="J11191" s="530" t="s">
        <v>906</v>
      </c>
      <c r="L11191" s="539"/>
      <c r="M11191" s="539"/>
      <c r="N11191" s="601">
        <v>323084</v>
      </c>
      <c r="R11191" s="548">
        <v>730.82700000619036</v>
      </c>
      <c r="S11191" s="548">
        <v>731.75805357120703</v>
      </c>
      <c r="T11191" s="549">
        <v>15.5</v>
      </c>
      <c r="U11191" s="549">
        <v>1062.53</v>
      </c>
      <c r="V11191" s="549">
        <v>531.27</v>
      </c>
    </row>
    <row r="11192" spans="1:22">
      <c r="A11192" s="499">
        <v>45877</v>
      </c>
      <c r="B11192" s="499">
        <v>45877</v>
      </c>
      <c r="C11192" s="500" t="s">
        <v>173</v>
      </c>
      <c r="D11192" s="500" t="s">
        <v>759</v>
      </c>
      <c r="E11192" s="501">
        <v>-177029442.71000001</v>
      </c>
      <c r="F11192" s="502" t="s">
        <v>878</v>
      </c>
      <c r="G11192" s="443">
        <v>118502884</v>
      </c>
      <c r="H11192" s="530"/>
      <c r="I11192" s="422" t="s">
        <v>690</v>
      </c>
      <c r="J11192" s="530" t="s">
        <v>906</v>
      </c>
      <c r="L11192" s="539"/>
      <c r="M11192" s="539"/>
      <c r="N11192" s="601">
        <v>208329</v>
      </c>
      <c r="R11192" s="548">
        <v>849.75899999519993</v>
      </c>
      <c r="S11192" s="548">
        <v>850.84156968064894</v>
      </c>
      <c r="T11192" s="549">
        <v>15.5</v>
      </c>
      <c r="U11192" s="549">
        <v>796.63</v>
      </c>
      <c r="V11192" s="549">
        <v>398.32</v>
      </c>
    </row>
    <row r="11193" spans="1:22">
      <c r="A11193" s="499">
        <v>45877</v>
      </c>
      <c r="B11193" s="499">
        <v>45877</v>
      </c>
      <c r="C11193" s="500" t="s">
        <v>173</v>
      </c>
      <c r="D11193" s="500" t="s">
        <v>759</v>
      </c>
      <c r="E11193" s="501">
        <v>-136042278.59</v>
      </c>
      <c r="F11193" s="502" t="s">
        <v>878</v>
      </c>
      <c r="G11193" s="443">
        <v>118502887</v>
      </c>
      <c r="H11193" s="530"/>
      <c r="I11193" s="422" t="s">
        <v>598</v>
      </c>
      <c r="J11193" s="530" t="s">
        <v>906</v>
      </c>
      <c r="L11193" s="539"/>
      <c r="M11193" s="539"/>
      <c r="N11193" s="601">
        <v>131648</v>
      </c>
      <c r="R11193" s="548">
        <v>1033.3789999848079</v>
      </c>
      <c r="S11193" s="548">
        <v>1034.6954965514101</v>
      </c>
      <c r="T11193" s="549">
        <v>15.5</v>
      </c>
      <c r="U11193" s="549">
        <v>612.19000000000005</v>
      </c>
      <c r="V11193" s="549">
        <v>306.10000000000002</v>
      </c>
    </row>
    <row r="11194" spans="1:22">
      <c r="A11194" s="499">
        <v>45877</v>
      </c>
      <c r="B11194" s="499">
        <v>45877</v>
      </c>
      <c r="C11194" s="500" t="s">
        <v>173</v>
      </c>
      <c r="D11194" s="500" t="s">
        <v>759</v>
      </c>
      <c r="E11194" s="501">
        <v>-4528794964.5500002</v>
      </c>
      <c r="F11194" s="502" t="s">
        <v>878</v>
      </c>
      <c r="G11194" s="443">
        <v>118502890</v>
      </c>
      <c r="H11194" s="530"/>
      <c r="I11194" s="422" t="s">
        <v>719</v>
      </c>
      <c r="J11194" s="530" t="s">
        <v>906</v>
      </c>
      <c r="L11194" s="539"/>
      <c r="M11194" s="539"/>
      <c r="N11194" s="601">
        <v>6998742</v>
      </c>
      <c r="R11194" s="548">
        <v>647.08699999942849</v>
      </c>
      <c r="S11194" s="548">
        <v>647.91137110926502</v>
      </c>
      <c r="T11194" s="549">
        <v>15.5</v>
      </c>
      <c r="U11194" s="549">
        <v>20379.580000000002</v>
      </c>
      <c r="V11194" s="549">
        <v>10189.790000000001</v>
      </c>
    </row>
    <row r="11195" spans="1:22">
      <c r="A11195" s="499">
        <v>45877</v>
      </c>
      <c r="B11195" s="499">
        <v>45877</v>
      </c>
      <c r="C11195" s="500" t="s">
        <v>173</v>
      </c>
      <c r="D11195" s="500" t="s">
        <v>759</v>
      </c>
      <c r="E11195" s="501">
        <v>-31012291.559999999</v>
      </c>
      <c r="F11195" s="502" t="s">
        <v>878</v>
      </c>
      <c r="G11195" s="443">
        <v>118502901</v>
      </c>
      <c r="H11195" s="530"/>
      <c r="I11195" s="422" t="s">
        <v>719</v>
      </c>
      <c r="J11195" s="530" t="s">
        <v>906</v>
      </c>
      <c r="L11195" s="539"/>
      <c r="M11195" s="539"/>
      <c r="N11195" s="601">
        <v>47926</v>
      </c>
      <c r="R11195" s="548">
        <v>647.08699995826896</v>
      </c>
      <c r="S11195" s="548">
        <v>647.91137107206896</v>
      </c>
      <c r="T11195" s="549">
        <v>15.5</v>
      </c>
      <c r="U11195" s="549">
        <v>139.56</v>
      </c>
      <c r="V11195" s="549">
        <v>69.78</v>
      </c>
    </row>
    <row r="11196" spans="1:22">
      <c r="A11196" s="499">
        <v>45877</v>
      </c>
      <c r="B11196" s="499">
        <v>45891</v>
      </c>
      <c r="C11196" s="500" t="s">
        <v>173</v>
      </c>
      <c r="D11196" s="500" t="s">
        <v>759</v>
      </c>
      <c r="E11196" s="501">
        <v>3018865.07</v>
      </c>
      <c r="F11196" s="502" t="s">
        <v>878</v>
      </c>
      <c r="G11196" s="443">
        <v>118500255</v>
      </c>
      <c r="H11196" s="443">
        <v>118500255</v>
      </c>
      <c r="I11196" s="422" t="s">
        <v>631</v>
      </c>
      <c r="J11196" s="484" t="s">
        <v>912</v>
      </c>
      <c r="L11196" s="539"/>
      <c r="M11196" s="539"/>
      <c r="N11196" s="601">
        <v>6027</v>
      </c>
      <c r="R11196" s="548">
        <v>497.90140036502407</v>
      </c>
      <c r="S11196" s="548">
        <v>500.89017255682802</v>
      </c>
      <c r="T11196" s="549">
        <v>15.65</v>
      </c>
      <c r="U11196" s="549">
        <v>63.02</v>
      </c>
      <c r="V11196" s="549">
        <v>31.51</v>
      </c>
    </row>
    <row r="11197" spans="1:22">
      <c r="A11197" s="499">
        <v>45877</v>
      </c>
      <c r="B11197" s="499">
        <v>45880</v>
      </c>
      <c r="C11197" s="500" t="s">
        <v>173</v>
      </c>
      <c r="D11197" s="500" t="s">
        <v>759</v>
      </c>
      <c r="E11197" s="501">
        <v>175281906.15000001</v>
      </c>
      <c r="F11197" s="502" t="s">
        <v>878</v>
      </c>
      <c r="G11197" s="443">
        <v>118502878</v>
      </c>
      <c r="H11197" s="443">
        <v>118502878</v>
      </c>
      <c r="I11197" s="422" t="s">
        <v>658</v>
      </c>
      <c r="J11197" s="484" t="s">
        <v>912</v>
      </c>
      <c r="L11197" s="539"/>
      <c r="M11197" s="539"/>
      <c r="N11197" s="601">
        <v>171675</v>
      </c>
      <c r="R11197" s="548">
        <v>1019.7110000291249</v>
      </c>
      <c r="S11197" s="548">
        <v>1021.01008387942</v>
      </c>
      <c r="T11197" s="549">
        <v>15.5</v>
      </c>
      <c r="U11197" s="549">
        <v>787.76</v>
      </c>
      <c r="V11197" s="549">
        <v>393.88</v>
      </c>
    </row>
    <row r="11198" spans="1:22">
      <c r="A11198" s="499">
        <v>45877</v>
      </c>
      <c r="B11198" s="499">
        <v>45880</v>
      </c>
      <c r="C11198" s="500" t="s">
        <v>173</v>
      </c>
      <c r="D11198" s="500" t="s">
        <v>759</v>
      </c>
      <c r="E11198" s="501">
        <v>236419318.97999999</v>
      </c>
      <c r="F11198" s="502" t="s">
        <v>878</v>
      </c>
      <c r="G11198" s="443">
        <v>118502881</v>
      </c>
      <c r="H11198" s="443">
        <v>118502881</v>
      </c>
      <c r="I11198" s="422" t="s">
        <v>692</v>
      </c>
      <c r="J11198" s="484" t="s">
        <v>912</v>
      </c>
      <c r="L11198" s="539"/>
      <c r="M11198" s="539"/>
      <c r="N11198" s="601">
        <v>323084</v>
      </c>
      <c r="R11198" s="548">
        <v>730.82700000619036</v>
      </c>
      <c r="S11198" s="548">
        <v>731.75805357120703</v>
      </c>
      <c r="T11198" s="549">
        <v>15.5</v>
      </c>
      <c r="U11198" s="549">
        <v>1062.53</v>
      </c>
      <c r="V11198" s="549">
        <v>531.27</v>
      </c>
    </row>
    <row r="11199" spans="1:22">
      <c r="A11199" s="499">
        <v>45877</v>
      </c>
      <c r="B11199" s="499">
        <v>45880</v>
      </c>
      <c r="C11199" s="500" t="s">
        <v>173</v>
      </c>
      <c r="D11199" s="500" t="s">
        <v>759</v>
      </c>
      <c r="E11199" s="501">
        <v>177254973.37</v>
      </c>
      <c r="F11199" s="502" t="s">
        <v>878</v>
      </c>
      <c r="G11199" s="443">
        <v>118502884</v>
      </c>
      <c r="H11199" s="443">
        <v>118502884</v>
      </c>
      <c r="I11199" s="422" t="s">
        <v>690</v>
      </c>
      <c r="J11199" s="484" t="s">
        <v>912</v>
      </c>
      <c r="L11199" s="539"/>
      <c r="M11199" s="539"/>
      <c r="N11199" s="601">
        <v>208329</v>
      </c>
      <c r="R11199" s="548">
        <v>849.75899999519993</v>
      </c>
      <c r="S11199" s="548">
        <v>850.84156968064894</v>
      </c>
      <c r="T11199" s="549">
        <v>15.5</v>
      </c>
      <c r="U11199" s="549">
        <v>796.63</v>
      </c>
      <c r="V11199" s="549">
        <v>398.32</v>
      </c>
    </row>
    <row r="11200" spans="1:22">
      <c r="A11200" s="499">
        <v>45877</v>
      </c>
      <c r="B11200" s="499">
        <v>45880</v>
      </c>
      <c r="C11200" s="500" t="s">
        <v>173</v>
      </c>
      <c r="D11200" s="500" t="s">
        <v>759</v>
      </c>
      <c r="E11200" s="501">
        <v>136215592.72999999</v>
      </c>
      <c r="F11200" s="502" t="s">
        <v>878</v>
      </c>
      <c r="G11200" s="443">
        <v>118502887</v>
      </c>
      <c r="H11200" s="443">
        <v>118502887</v>
      </c>
      <c r="I11200" s="422" t="s">
        <v>598</v>
      </c>
      <c r="J11200" s="484" t="s">
        <v>912</v>
      </c>
      <c r="L11200" s="539"/>
      <c r="M11200" s="539"/>
      <c r="N11200" s="601">
        <v>131648</v>
      </c>
      <c r="R11200" s="548">
        <v>1033.3789999848079</v>
      </c>
      <c r="S11200" s="548">
        <v>1034.6954965514101</v>
      </c>
      <c r="T11200" s="549">
        <v>15.5</v>
      </c>
      <c r="U11200" s="549">
        <v>612.19000000000005</v>
      </c>
      <c r="V11200" s="549">
        <v>306.10000000000002</v>
      </c>
    </row>
    <row r="11201" spans="1:26">
      <c r="A11201" s="499">
        <v>45877</v>
      </c>
      <c r="B11201" s="499">
        <v>45880</v>
      </c>
      <c r="C11201" s="500" t="s">
        <v>173</v>
      </c>
      <c r="D11201" s="500" t="s">
        <v>759</v>
      </c>
      <c r="E11201" s="501">
        <v>4534564525.2600002</v>
      </c>
      <c r="F11201" s="502" t="s">
        <v>878</v>
      </c>
      <c r="G11201" s="443">
        <v>118502890</v>
      </c>
      <c r="H11201" s="443">
        <v>118502890</v>
      </c>
      <c r="I11201" s="422" t="s">
        <v>719</v>
      </c>
      <c r="J11201" s="484" t="s">
        <v>912</v>
      </c>
      <c r="L11201" s="539"/>
      <c r="M11201" s="539"/>
      <c r="N11201" s="601">
        <v>6998742</v>
      </c>
      <c r="R11201" s="548">
        <v>647.08699999942849</v>
      </c>
      <c r="S11201" s="548">
        <v>647.91137110926502</v>
      </c>
      <c r="T11201" s="549">
        <v>15.5</v>
      </c>
      <c r="U11201" s="549">
        <v>20379.580000000002</v>
      </c>
      <c r="V11201" s="549">
        <v>10189.790000000001</v>
      </c>
    </row>
    <row r="11202" spans="1:26">
      <c r="A11202" s="499">
        <v>45877</v>
      </c>
      <c r="B11202" s="499">
        <v>45880</v>
      </c>
      <c r="C11202" s="500" t="s">
        <v>173</v>
      </c>
      <c r="D11202" s="500" t="s">
        <v>759</v>
      </c>
      <c r="E11202" s="501">
        <v>31051800.370000001</v>
      </c>
      <c r="F11202" s="502" t="s">
        <v>878</v>
      </c>
      <c r="G11202" s="443">
        <v>118502901</v>
      </c>
      <c r="H11202" s="443">
        <v>118502901</v>
      </c>
      <c r="I11202" s="422" t="s">
        <v>719</v>
      </c>
      <c r="J11202" s="484" t="s">
        <v>912</v>
      </c>
      <c r="L11202" s="539"/>
      <c r="M11202" s="539"/>
      <c r="N11202" s="601">
        <v>47926</v>
      </c>
      <c r="R11202" s="548">
        <v>647.08699995826896</v>
      </c>
      <c r="S11202" s="548">
        <v>647.91137107206896</v>
      </c>
      <c r="T11202" s="549">
        <v>15.5</v>
      </c>
      <c r="U11202" s="549">
        <v>139.56</v>
      </c>
      <c r="V11202" s="549">
        <v>69.78</v>
      </c>
    </row>
    <row r="11203" spans="1:26">
      <c r="A11203" s="499">
        <v>45877</v>
      </c>
      <c r="B11203" s="499">
        <v>45877</v>
      </c>
      <c r="C11203" s="500" t="s">
        <v>173</v>
      </c>
      <c r="D11203" s="500" t="s">
        <v>763</v>
      </c>
      <c r="E11203" s="501">
        <v>-3598536270.0300002</v>
      </c>
      <c r="F11203" s="502" t="s">
        <v>878</v>
      </c>
      <c r="G11203" s="484">
        <v>118498449</v>
      </c>
      <c r="H11203" s="530"/>
      <c r="I11203" s="422" t="s">
        <v>1013</v>
      </c>
      <c r="J11203" s="530" t="s">
        <v>906</v>
      </c>
      <c r="L11203" s="539"/>
      <c r="M11203" s="539"/>
      <c r="N11203" s="600">
        <v>6760642</v>
      </c>
      <c r="R11203" s="539">
        <v>532.27729999999997</v>
      </c>
      <c r="S11203" s="539">
        <v>532.95672353749796</v>
      </c>
      <c r="T11203" s="538">
        <v>15.530099999999999</v>
      </c>
      <c r="U11203" s="538">
        <v>16193.41</v>
      </c>
      <c r="V11203" s="538">
        <v>8096.71</v>
      </c>
    </row>
    <row r="11204" spans="1:26">
      <c r="A11204" s="499">
        <v>45877</v>
      </c>
      <c r="B11204" s="499">
        <v>45877</v>
      </c>
      <c r="C11204" s="500" t="s">
        <v>173</v>
      </c>
      <c r="D11204" s="500" t="s">
        <v>763</v>
      </c>
      <c r="E11204" s="501">
        <v>-22003279.030000001</v>
      </c>
      <c r="F11204" s="502" t="s">
        <v>878</v>
      </c>
      <c r="G11204" s="484">
        <v>118498508</v>
      </c>
      <c r="H11204" s="530"/>
      <c r="I11204" s="422" t="s">
        <v>1013</v>
      </c>
      <c r="J11204" s="530" t="s">
        <v>906</v>
      </c>
      <c r="L11204" s="539"/>
      <c r="M11204" s="539"/>
      <c r="N11204" s="600">
        <v>41338</v>
      </c>
      <c r="R11204" s="539">
        <v>532.27729999999997</v>
      </c>
      <c r="S11204" s="539">
        <v>532.95672359572302</v>
      </c>
      <c r="T11204" s="538">
        <v>15.530099999999999</v>
      </c>
      <c r="U11204" s="538">
        <v>99.01</v>
      </c>
      <c r="V11204" s="538">
        <v>49.51</v>
      </c>
    </row>
    <row r="11205" spans="1:26">
      <c r="A11205" s="499">
        <v>45877</v>
      </c>
      <c r="B11205" s="499">
        <v>45880</v>
      </c>
      <c r="C11205" s="500" t="s">
        <v>173</v>
      </c>
      <c r="D11205" s="500" t="s">
        <v>763</v>
      </c>
      <c r="E11205" s="501">
        <v>3603129609.3299999</v>
      </c>
      <c r="F11205" s="502" t="s">
        <v>878</v>
      </c>
      <c r="G11205" s="484">
        <v>118498449</v>
      </c>
      <c r="H11205" s="484">
        <v>118498449</v>
      </c>
      <c r="I11205" s="422" t="s">
        <v>1013</v>
      </c>
      <c r="J11205" s="484" t="s">
        <v>912</v>
      </c>
      <c r="L11205" s="539"/>
      <c r="M11205" s="539"/>
      <c r="N11205" s="600">
        <v>6760642</v>
      </c>
      <c r="R11205" s="539">
        <v>532.27729999999997</v>
      </c>
      <c r="S11205" s="539">
        <v>532.95672353749796</v>
      </c>
      <c r="T11205" s="538">
        <v>15.530099999999999</v>
      </c>
      <c r="U11205" s="538">
        <v>16193.41</v>
      </c>
      <c r="V11205" s="538">
        <v>8096.71</v>
      </c>
    </row>
    <row r="11206" spans="1:26">
      <c r="A11206" s="499">
        <v>45877</v>
      </c>
      <c r="B11206" s="499">
        <v>45880</v>
      </c>
      <c r="C11206" s="500" t="s">
        <v>173</v>
      </c>
      <c r="D11206" s="500" t="s">
        <v>763</v>
      </c>
      <c r="E11206" s="501">
        <v>22031365.039999999</v>
      </c>
      <c r="F11206" s="502" t="s">
        <v>878</v>
      </c>
      <c r="G11206" s="484">
        <v>118498508</v>
      </c>
      <c r="H11206" s="484">
        <v>118498508</v>
      </c>
      <c r="I11206" s="422" t="s">
        <v>1013</v>
      </c>
      <c r="J11206" s="484" t="s">
        <v>912</v>
      </c>
      <c r="L11206" s="539"/>
      <c r="M11206" s="539"/>
      <c r="N11206" s="600">
        <v>41338</v>
      </c>
      <c r="R11206" s="539">
        <v>532.27729999999997</v>
      </c>
      <c r="S11206" s="539">
        <v>532.95672359572302</v>
      </c>
      <c r="T11206" s="538">
        <v>15.530099999999999</v>
      </c>
      <c r="U11206" s="538">
        <v>99.01</v>
      </c>
      <c r="V11206" s="538">
        <v>49.51</v>
      </c>
    </row>
    <row r="11207" spans="1:26">
      <c r="A11207" s="499">
        <v>45877</v>
      </c>
      <c r="B11207" s="499">
        <v>45877</v>
      </c>
      <c r="C11207" s="500" t="s">
        <v>173</v>
      </c>
      <c r="D11207" s="500" t="s">
        <v>761</v>
      </c>
      <c r="E11207" s="501">
        <v>-1785247454.55</v>
      </c>
      <c r="F11207" s="502" t="s">
        <v>878</v>
      </c>
      <c r="G11207" s="443">
        <v>118500668</v>
      </c>
      <c r="H11207" s="530"/>
      <c r="I11207" s="422" t="s">
        <v>675</v>
      </c>
      <c r="J11207" s="530" t="s">
        <v>906</v>
      </c>
      <c r="L11207" s="539"/>
      <c r="M11207" s="539"/>
      <c r="N11207" s="601">
        <v>1909950</v>
      </c>
      <c r="R11207" s="548">
        <v>934.70899999999995</v>
      </c>
      <c r="S11207" s="548">
        <v>935.899870483521</v>
      </c>
      <c r="T11207" s="549">
        <v>15.500999999999999</v>
      </c>
      <c r="U11207" s="549">
        <v>8033.61</v>
      </c>
      <c r="V11207" s="549">
        <v>4016.81</v>
      </c>
    </row>
    <row r="11208" spans="1:26">
      <c r="A11208" s="499">
        <v>45877</v>
      </c>
      <c r="B11208" s="499">
        <v>45877</v>
      </c>
      <c r="C11208" s="500" t="s">
        <v>173</v>
      </c>
      <c r="D11208" s="500" t="s">
        <v>761</v>
      </c>
      <c r="E11208" s="501">
        <v>-11001524.93</v>
      </c>
      <c r="F11208" s="502" t="s">
        <v>878</v>
      </c>
      <c r="G11208" s="443">
        <v>118500680</v>
      </c>
      <c r="H11208" s="530"/>
      <c r="I11208" s="422" t="s">
        <v>675</v>
      </c>
      <c r="J11208" s="530" t="s">
        <v>906</v>
      </c>
      <c r="L11208" s="539"/>
      <c r="M11208" s="539"/>
      <c r="N11208" s="601">
        <v>11770</v>
      </c>
      <c r="R11208" s="548">
        <v>934.70899999999995</v>
      </c>
      <c r="S11208" s="548">
        <v>935.89987085811401</v>
      </c>
      <c r="T11208" s="549">
        <v>15.500999999999999</v>
      </c>
      <c r="U11208" s="549">
        <v>49.51</v>
      </c>
      <c r="V11208" s="549">
        <v>24.75</v>
      </c>
    </row>
    <row r="11209" spans="1:26">
      <c r="A11209" s="499">
        <v>45877</v>
      </c>
      <c r="B11209" s="499">
        <v>45880</v>
      </c>
      <c r="C11209" s="500" t="s">
        <v>173</v>
      </c>
      <c r="D11209" s="500" t="s">
        <v>761</v>
      </c>
      <c r="E11209" s="501">
        <v>1787521957.6300001</v>
      </c>
      <c r="F11209" s="502" t="s">
        <v>878</v>
      </c>
      <c r="G11209" s="443">
        <v>118500668</v>
      </c>
      <c r="H11209" s="443">
        <v>118500668</v>
      </c>
      <c r="I11209" s="422" t="s">
        <v>675</v>
      </c>
      <c r="J11209" s="484" t="s">
        <v>912</v>
      </c>
      <c r="L11209" s="539"/>
      <c r="M11209" s="539"/>
      <c r="N11209" s="601">
        <v>1909950</v>
      </c>
      <c r="R11209" s="548">
        <v>934.70899999999995</v>
      </c>
      <c r="S11209" s="548">
        <v>935.899870483521</v>
      </c>
      <c r="T11209" s="549">
        <v>15.500999999999999</v>
      </c>
      <c r="U11209" s="549">
        <v>8033.61</v>
      </c>
      <c r="V11209" s="549">
        <v>4016.81</v>
      </c>
    </row>
    <row r="11210" spans="1:26">
      <c r="A11210" s="499">
        <v>45877</v>
      </c>
      <c r="B11210" s="499">
        <v>45880</v>
      </c>
      <c r="C11210" s="500" t="s">
        <v>173</v>
      </c>
      <c r="D11210" s="500" t="s">
        <v>761</v>
      </c>
      <c r="E11210" s="501">
        <v>11015541.48</v>
      </c>
      <c r="F11210" s="502" t="s">
        <v>878</v>
      </c>
      <c r="G11210" s="443">
        <v>118500680</v>
      </c>
      <c r="H11210" s="443">
        <v>118500680</v>
      </c>
      <c r="I11210" s="422" t="s">
        <v>675</v>
      </c>
      <c r="J11210" s="484" t="s">
        <v>912</v>
      </c>
      <c r="L11210" s="539"/>
      <c r="M11210" s="539"/>
      <c r="N11210" s="601">
        <v>11770</v>
      </c>
      <c r="R11210" s="548">
        <v>934.70899999999995</v>
      </c>
      <c r="S11210" s="548">
        <v>935.89987085811401</v>
      </c>
      <c r="T11210" s="549">
        <v>15.500999999999999</v>
      </c>
      <c r="U11210" s="549">
        <v>49.51</v>
      </c>
      <c r="V11210" s="549">
        <v>24.75</v>
      </c>
    </row>
    <row r="11211" spans="1:26" s="420" customFormat="1">
      <c r="A11211" s="275">
        <v>45880</v>
      </c>
      <c r="B11211" s="275">
        <v>45880</v>
      </c>
      <c r="C11211" s="420" t="s">
        <v>173</v>
      </c>
      <c r="D11211" s="420" t="s">
        <v>762</v>
      </c>
      <c r="E11211" s="501">
        <v>-2998563000.4200001</v>
      </c>
      <c r="F11211" s="95" t="s">
        <v>878</v>
      </c>
      <c r="G11211" s="443">
        <v>118526275</v>
      </c>
      <c r="H11211" s="43"/>
      <c r="I11211" s="422" t="s">
        <v>602</v>
      </c>
      <c r="J11211" s="43" t="s">
        <v>906</v>
      </c>
      <c r="K11211" s="564"/>
      <c r="L11211" s="548"/>
      <c r="M11211" s="548"/>
      <c r="N11211" s="601">
        <v>3618586</v>
      </c>
      <c r="O11211" s="548"/>
      <c r="P11211" s="548"/>
      <c r="Q11211" s="548"/>
      <c r="R11211" s="548">
        <v>828.65599999999995</v>
      </c>
      <c r="S11211" s="548">
        <v>829.00789728639904</v>
      </c>
      <c r="T11211" s="538">
        <v>15.5001</v>
      </c>
      <c r="U11211" s="538">
        <v>4497.84</v>
      </c>
      <c r="V11211" s="538">
        <v>2248.92</v>
      </c>
      <c r="W11211" s="548"/>
      <c r="X11211" s="548"/>
      <c r="Y11211" s="548"/>
      <c r="Z11211" s="548"/>
    </row>
    <row r="11212" spans="1:26" s="420" customFormat="1">
      <c r="A11212" s="275">
        <v>45880</v>
      </c>
      <c r="B11212" s="275">
        <v>45880</v>
      </c>
      <c r="C11212" s="420" t="s">
        <v>173</v>
      </c>
      <c r="D11212" s="420" t="s">
        <v>762</v>
      </c>
      <c r="E11212" s="501">
        <v>-17003192.460000001</v>
      </c>
      <c r="F11212" s="95" t="s">
        <v>878</v>
      </c>
      <c r="G11212" s="443">
        <v>118526296</v>
      </c>
      <c r="H11212" s="43"/>
      <c r="I11212" s="422" t="s">
        <v>602</v>
      </c>
      <c r="J11212" s="43" t="s">
        <v>906</v>
      </c>
      <c r="K11212" s="564"/>
      <c r="L11212" s="548"/>
      <c r="M11212" s="548"/>
      <c r="N11212" s="601">
        <v>20519</v>
      </c>
      <c r="O11212" s="548"/>
      <c r="P11212" s="548"/>
      <c r="Q11212" s="548"/>
      <c r="R11212" s="548">
        <v>828.65599999999995</v>
      </c>
      <c r="S11212" s="548">
        <v>829.00789707100705</v>
      </c>
      <c r="T11212" s="538">
        <v>15.5001</v>
      </c>
      <c r="U11212" s="538">
        <v>39.32</v>
      </c>
      <c r="V11212" s="538">
        <v>12.75</v>
      </c>
      <c r="W11212" s="548"/>
      <c r="X11212" s="548"/>
      <c r="Y11212" s="548"/>
      <c r="Z11212" s="548"/>
    </row>
    <row r="11213" spans="1:26" s="420" customFormat="1">
      <c r="A11213" s="275">
        <v>45880</v>
      </c>
      <c r="B11213" s="275">
        <v>45881</v>
      </c>
      <c r="C11213" s="420" t="s">
        <v>173</v>
      </c>
      <c r="D11213" s="420" t="s">
        <v>762</v>
      </c>
      <c r="E11213" s="501">
        <v>2999836371.0100002</v>
      </c>
      <c r="F11213" s="95" t="s">
        <v>878</v>
      </c>
      <c r="G11213" s="443">
        <v>118526275</v>
      </c>
      <c r="H11213" s="443">
        <v>118526275</v>
      </c>
      <c r="I11213" s="422" t="s">
        <v>602</v>
      </c>
      <c r="J11213" s="443" t="s">
        <v>912</v>
      </c>
      <c r="K11213" s="564"/>
      <c r="L11213" s="548"/>
      <c r="M11213" s="548"/>
      <c r="N11213" s="601">
        <v>3618586</v>
      </c>
      <c r="O11213" s="548"/>
      <c r="P11213" s="548"/>
      <c r="Q11213" s="548"/>
      <c r="R11213" s="548">
        <v>828.65599999999995</v>
      </c>
      <c r="S11213" s="548">
        <v>829.00789728639904</v>
      </c>
      <c r="T11213" s="538">
        <v>15.5001</v>
      </c>
      <c r="U11213" s="538">
        <v>4497.84</v>
      </c>
      <c r="V11213" s="538">
        <v>2248.92</v>
      </c>
      <c r="W11213" s="548"/>
      <c r="X11213" s="548"/>
      <c r="Y11213" s="548"/>
      <c r="Z11213" s="548"/>
    </row>
    <row r="11214" spans="1:26" s="420" customFormat="1">
      <c r="A11214" s="275">
        <v>45880</v>
      </c>
      <c r="B11214" s="275">
        <v>45881</v>
      </c>
      <c r="C11214" s="420" t="s">
        <v>173</v>
      </c>
      <c r="D11214" s="420" t="s">
        <v>762</v>
      </c>
      <c r="E11214" s="501">
        <v>17010413.039999999</v>
      </c>
      <c r="F11214" s="95" t="s">
        <v>878</v>
      </c>
      <c r="G11214" s="443">
        <v>118526296</v>
      </c>
      <c r="H11214" s="443">
        <v>118526296</v>
      </c>
      <c r="I11214" s="422" t="s">
        <v>602</v>
      </c>
      <c r="J11214" s="443" t="s">
        <v>912</v>
      </c>
      <c r="K11214" s="564"/>
      <c r="L11214" s="548"/>
      <c r="M11214" s="548"/>
      <c r="N11214" s="601">
        <v>20519</v>
      </c>
      <c r="O11214" s="548"/>
      <c r="P11214" s="548"/>
      <c r="Q11214" s="548"/>
      <c r="R11214" s="548">
        <v>828.65599999999995</v>
      </c>
      <c r="S11214" s="548">
        <v>829.00789707100705</v>
      </c>
      <c r="T11214" s="538">
        <v>15.5001</v>
      </c>
      <c r="U11214" s="538">
        <v>39.32</v>
      </c>
      <c r="V11214" s="538">
        <v>12.75</v>
      </c>
      <c r="W11214" s="548"/>
      <c r="X11214" s="548"/>
      <c r="Y11214" s="548"/>
      <c r="Z11214" s="548"/>
    </row>
    <row r="11215" spans="1:26" s="420" customFormat="1">
      <c r="A11215" s="275">
        <v>45880</v>
      </c>
      <c r="B11215" s="275">
        <v>45880</v>
      </c>
      <c r="C11215" s="420" t="s">
        <v>173</v>
      </c>
      <c r="D11215" s="420" t="s">
        <v>764</v>
      </c>
      <c r="E11215" s="501">
        <v>-4787257628.6800003</v>
      </c>
      <c r="F11215" s="95" t="s">
        <v>878</v>
      </c>
      <c r="G11215" s="443">
        <v>118522087</v>
      </c>
      <c r="H11215" s="43"/>
      <c r="I11215" s="422" t="s">
        <v>2903</v>
      </c>
      <c r="J11215" s="43" t="s">
        <v>906</v>
      </c>
      <c r="K11215" s="564"/>
      <c r="L11215" s="548"/>
      <c r="M11215" s="548"/>
      <c r="N11215" s="601">
        <v>48051906</v>
      </c>
      <c r="O11215" s="548"/>
      <c r="P11215" s="548"/>
      <c r="Q11215" s="548"/>
      <c r="R11215" s="548">
        <v>99.626799999983362</v>
      </c>
      <c r="S11215" s="548">
        <v>99.669134566275105</v>
      </c>
      <c r="T11215" s="549">
        <v>15.51</v>
      </c>
      <c r="U11215" s="549">
        <v>7180.89</v>
      </c>
      <c r="V11215" s="549">
        <v>3590.44</v>
      </c>
      <c r="W11215" s="548"/>
      <c r="X11215" s="548"/>
      <c r="Y11215" s="548"/>
      <c r="Z11215" s="548"/>
    </row>
    <row r="11216" spans="1:26" s="420" customFormat="1">
      <c r="A11216" s="275">
        <v>45880</v>
      </c>
      <c r="B11216" s="275">
        <v>45880</v>
      </c>
      <c r="C11216" s="420" t="s">
        <v>173</v>
      </c>
      <c r="D11216" s="420" t="s">
        <v>764</v>
      </c>
      <c r="E11216" s="501">
        <v>-31001668.370000001</v>
      </c>
      <c r="F11216" s="95" t="s">
        <v>878</v>
      </c>
      <c r="G11216" s="443">
        <v>118522371</v>
      </c>
      <c r="H11216" s="43"/>
      <c r="I11216" s="422" t="s">
        <v>2903</v>
      </c>
      <c r="J11216" s="43" t="s">
        <v>906</v>
      </c>
      <c r="K11216" s="564"/>
      <c r="L11216" s="548"/>
      <c r="M11216" s="548"/>
      <c r="N11216" s="601">
        <v>311178</v>
      </c>
      <c r="O11216" s="548"/>
      <c r="P11216" s="548"/>
      <c r="Q11216" s="548"/>
      <c r="R11216" s="548">
        <v>99.62679999871456</v>
      </c>
      <c r="S11216" s="548">
        <v>99.669134578922694</v>
      </c>
      <c r="T11216" s="549">
        <v>15.51</v>
      </c>
      <c r="U11216" s="549">
        <v>46.5</v>
      </c>
      <c r="V11216" s="549">
        <v>23.25</v>
      </c>
      <c r="W11216" s="548"/>
      <c r="X11216" s="548"/>
      <c r="Y11216" s="548"/>
      <c r="Z11216" s="548"/>
    </row>
    <row r="11217" spans="1:26" s="420" customFormat="1">
      <c r="A11217" s="275">
        <v>45880</v>
      </c>
      <c r="B11217" s="275">
        <v>45881</v>
      </c>
      <c r="C11217" s="420" t="s">
        <v>173</v>
      </c>
      <c r="D11217" s="420" t="s">
        <v>764</v>
      </c>
      <c r="E11217" s="501">
        <v>4789291885.2799997</v>
      </c>
      <c r="F11217" s="95" t="s">
        <v>878</v>
      </c>
      <c r="G11217" s="443">
        <v>118522087</v>
      </c>
      <c r="H11217" s="443">
        <v>118522087</v>
      </c>
      <c r="I11217" s="422" t="s">
        <v>2903</v>
      </c>
      <c r="J11217" s="443" t="s">
        <v>912</v>
      </c>
      <c r="K11217" s="564"/>
      <c r="L11217" s="548"/>
      <c r="M11217" s="548"/>
      <c r="N11217" s="601">
        <v>48051906</v>
      </c>
      <c r="O11217" s="548"/>
      <c r="P11217" s="548"/>
      <c r="Q11217" s="548"/>
      <c r="R11217" s="548">
        <v>99.626799999983362</v>
      </c>
      <c r="S11217" s="548">
        <v>99.669134566275105</v>
      </c>
      <c r="T11217" s="549">
        <v>15.51</v>
      </c>
      <c r="U11217" s="549">
        <v>7180.89</v>
      </c>
      <c r="V11217" s="549">
        <v>3590.44</v>
      </c>
      <c r="W11217" s="548"/>
      <c r="X11217" s="548"/>
      <c r="Y11217" s="548"/>
      <c r="Z11217" s="548"/>
    </row>
    <row r="11218" spans="1:26" s="420" customFormat="1">
      <c r="A11218" s="275">
        <v>45880</v>
      </c>
      <c r="B11218" s="275">
        <v>45881</v>
      </c>
      <c r="C11218" s="420" t="s">
        <v>173</v>
      </c>
      <c r="D11218" s="420" t="s">
        <v>764</v>
      </c>
      <c r="E11218" s="501">
        <v>31014841.960000001</v>
      </c>
      <c r="F11218" s="95" t="s">
        <v>878</v>
      </c>
      <c r="G11218" s="443">
        <v>118522371</v>
      </c>
      <c r="H11218" s="443">
        <v>118522371</v>
      </c>
      <c r="I11218" s="422" t="s">
        <v>2903</v>
      </c>
      <c r="J11218" s="443" t="s">
        <v>912</v>
      </c>
      <c r="K11218" s="564"/>
      <c r="L11218" s="548"/>
      <c r="M11218" s="548"/>
      <c r="N11218" s="601">
        <v>311178</v>
      </c>
      <c r="O11218" s="548"/>
      <c r="P11218" s="548"/>
      <c r="Q11218" s="548"/>
      <c r="R11218" s="548">
        <v>99.62679999871456</v>
      </c>
      <c r="S11218" s="548">
        <v>99.669134578922694</v>
      </c>
      <c r="T11218" s="549">
        <v>15.51</v>
      </c>
      <c r="U11218" s="549">
        <v>46.5</v>
      </c>
      <c r="V11218" s="549">
        <v>23.25</v>
      </c>
      <c r="W11218" s="548"/>
      <c r="X11218" s="548"/>
      <c r="Y11218" s="548"/>
      <c r="Z11218" s="548"/>
    </row>
    <row r="11219" spans="1:26" s="420" customFormat="1">
      <c r="A11219" s="275">
        <v>45880</v>
      </c>
      <c r="B11219" s="275">
        <v>45880</v>
      </c>
      <c r="C11219" s="420" t="s">
        <v>173</v>
      </c>
      <c r="D11219" s="420" t="s">
        <v>759</v>
      </c>
      <c r="E11219" s="501">
        <v>-5258984614.2299995</v>
      </c>
      <c r="F11219" s="95" t="s">
        <v>878</v>
      </c>
      <c r="G11219" s="443">
        <v>118522758</v>
      </c>
      <c r="H11219" s="43"/>
      <c r="I11219" s="422" t="s">
        <v>1013</v>
      </c>
      <c r="J11219" s="43" t="s">
        <v>906</v>
      </c>
      <c r="K11219" s="564"/>
      <c r="L11219" s="548"/>
      <c r="M11219" s="548"/>
      <c r="N11219" s="601">
        <v>9841104</v>
      </c>
      <c r="O11219" s="548"/>
      <c r="P11219" s="548"/>
      <c r="Q11219" s="548"/>
      <c r="R11219" s="548">
        <v>534.38970000012193</v>
      </c>
      <c r="S11219" s="548">
        <v>534.61692542828496</v>
      </c>
      <c r="T11219" s="549">
        <v>15.52</v>
      </c>
      <c r="U11219" s="549">
        <v>7888.48</v>
      </c>
      <c r="V11219" s="549">
        <v>3944.24</v>
      </c>
      <c r="W11219" s="548"/>
      <c r="X11219" s="548"/>
      <c r="Y11219" s="548"/>
      <c r="Z11219" s="548"/>
    </row>
    <row r="11220" spans="1:26" s="420" customFormat="1">
      <c r="A11220" s="275">
        <v>45880</v>
      </c>
      <c r="B11220" s="275">
        <v>45880</v>
      </c>
      <c r="C11220" s="420" t="s">
        <v>173</v>
      </c>
      <c r="D11220" s="420" t="s">
        <v>759</v>
      </c>
      <c r="E11220" s="501">
        <v>-32015846.879999999</v>
      </c>
      <c r="F11220" s="95" t="s">
        <v>878</v>
      </c>
      <c r="G11220" s="443">
        <v>118523030</v>
      </c>
      <c r="H11220" s="43"/>
      <c r="I11220" s="422" t="s">
        <v>672</v>
      </c>
      <c r="J11220" s="43" t="s">
        <v>906</v>
      </c>
      <c r="K11220" s="564"/>
      <c r="L11220" s="548"/>
      <c r="M11220" s="548"/>
      <c r="N11220" s="601">
        <v>35232</v>
      </c>
      <c r="O11220" s="548"/>
      <c r="P11220" s="548"/>
      <c r="Q11220" s="548"/>
      <c r="R11220" s="548">
        <v>908.71499999999992</v>
      </c>
      <c r="S11220" s="548">
        <v>909.10089265440502</v>
      </c>
      <c r="T11220" s="549">
        <v>15.5</v>
      </c>
      <c r="U11220" s="549">
        <v>48.02</v>
      </c>
      <c r="V11220" s="549">
        <v>24.01</v>
      </c>
      <c r="W11220" s="548"/>
      <c r="X11220" s="548"/>
      <c r="Y11220" s="548"/>
      <c r="Z11220" s="548"/>
    </row>
    <row r="11221" spans="1:26" s="420" customFormat="1">
      <c r="A11221" s="275">
        <v>45880</v>
      </c>
      <c r="B11221" s="275">
        <v>45881</v>
      </c>
      <c r="C11221" s="420" t="s">
        <v>173</v>
      </c>
      <c r="D11221" s="420" t="s">
        <v>759</v>
      </c>
      <c r="E11221" s="501">
        <v>5261220763.3000002</v>
      </c>
      <c r="F11221" s="95" t="s">
        <v>878</v>
      </c>
      <c r="G11221" s="443">
        <v>118522758</v>
      </c>
      <c r="H11221" s="443">
        <v>118522758</v>
      </c>
      <c r="I11221" s="422" t="s">
        <v>1013</v>
      </c>
      <c r="J11221" s="443" t="s">
        <v>912</v>
      </c>
      <c r="K11221" s="564"/>
      <c r="L11221" s="548"/>
      <c r="M11221" s="548"/>
      <c r="N11221" s="601">
        <v>9841104</v>
      </c>
      <c r="O11221" s="548"/>
      <c r="P11221" s="548"/>
      <c r="Q11221" s="548"/>
      <c r="R11221" s="548">
        <v>534.38970000012193</v>
      </c>
      <c r="S11221" s="548">
        <v>534.61692542828496</v>
      </c>
      <c r="T11221" s="549">
        <v>15.52</v>
      </c>
      <c r="U11221" s="549">
        <v>7888.48</v>
      </c>
      <c r="V11221" s="549">
        <v>3944.24</v>
      </c>
      <c r="W11221" s="548"/>
      <c r="X11221" s="548"/>
      <c r="Y11221" s="548"/>
      <c r="Z11221" s="548"/>
    </row>
    <row r="11222" spans="1:26" s="420" customFormat="1">
      <c r="A11222" s="275">
        <v>45880</v>
      </c>
      <c r="B11222" s="275">
        <v>45881</v>
      </c>
      <c r="C11222" s="420" t="s">
        <v>173</v>
      </c>
      <c r="D11222" s="420" t="s">
        <v>759</v>
      </c>
      <c r="E11222" s="501">
        <v>32029442.649999999</v>
      </c>
      <c r="F11222" s="95" t="s">
        <v>878</v>
      </c>
      <c r="G11222" s="443">
        <v>118523030</v>
      </c>
      <c r="H11222" s="443">
        <v>118523030</v>
      </c>
      <c r="I11222" s="422" t="s">
        <v>672</v>
      </c>
      <c r="J11222" s="443" t="s">
        <v>912</v>
      </c>
      <c r="K11222" s="564"/>
      <c r="L11222" s="548"/>
      <c r="M11222" s="548"/>
      <c r="N11222" s="601">
        <v>35232</v>
      </c>
      <c r="O11222" s="548"/>
      <c r="P11222" s="548"/>
      <c r="Q11222" s="548"/>
      <c r="R11222" s="548">
        <v>908.71499999999992</v>
      </c>
      <c r="S11222" s="548">
        <v>909.10089265440502</v>
      </c>
      <c r="T11222" s="549">
        <v>15.5</v>
      </c>
      <c r="U11222" s="549">
        <v>48.02</v>
      </c>
      <c r="V11222" s="549">
        <v>24.01</v>
      </c>
      <c r="W11222" s="548"/>
      <c r="X11222" s="548"/>
      <c r="Y11222" s="548"/>
      <c r="Z11222" s="548"/>
    </row>
    <row r="11223" spans="1:26" s="420" customFormat="1">
      <c r="A11223" s="275">
        <v>45880</v>
      </c>
      <c r="B11223" s="275">
        <v>45880</v>
      </c>
      <c r="C11223" s="420" t="s">
        <v>173</v>
      </c>
      <c r="D11223" s="420" t="s">
        <v>760</v>
      </c>
      <c r="E11223" s="501">
        <v>-469213535.23000002</v>
      </c>
      <c r="F11223" s="95" t="s">
        <v>878</v>
      </c>
      <c r="G11223" s="443">
        <v>118520324</v>
      </c>
      <c r="H11223" s="43"/>
      <c r="I11223" s="422" t="s">
        <v>816</v>
      </c>
      <c r="J11223" s="43" t="s">
        <v>906</v>
      </c>
      <c r="K11223" s="564"/>
      <c r="L11223" s="548"/>
      <c r="M11223" s="548"/>
      <c r="N11223" s="601">
        <v>453523</v>
      </c>
      <c r="O11223" s="548"/>
      <c r="P11223" s="548"/>
      <c r="Q11223" s="548"/>
      <c r="R11223" s="548">
        <v>1034.597</v>
      </c>
      <c r="S11223" s="548">
        <v>1035.0366328499299</v>
      </c>
      <c r="T11223" s="549">
        <v>15.51</v>
      </c>
      <c r="U11223" s="549">
        <v>703.82</v>
      </c>
      <c r="V11223" s="549">
        <v>351.91</v>
      </c>
      <c r="W11223" s="548"/>
      <c r="X11223" s="548"/>
      <c r="Y11223" s="548"/>
      <c r="Z11223" s="548"/>
    </row>
    <row r="11224" spans="1:26" s="420" customFormat="1">
      <c r="A11224" s="275">
        <v>45880</v>
      </c>
      <c r="B11224" s="275">
        <v>45880</v>
      </c>
      <c r="C11224" s="420" t="s">
        <v>173</v>
      </c>
      <c r="D11224" s="420" t="s">
        <v>760</v>
      </c>
      <c r="E11224" s="501">
        <v>-625113090</v>
      </c>
      <c r="F11224" s="95" t="s">
        <v>878</v>
      </c>
      <c r="G11224" s="443">
        <v>118520327</v>
      </c>
      <c r="H11224" s="43"/>
      <c r="I11224" s="422" t="s">
        <v>1741</v>
      </c>
      <c r="J11224" s="43" t="s">
        <v>906</v>
      </c>
      <c r="K11224" s="564"/>
      <c r="L11224" s="548"/>
      <c r="M11224" s="548"/>
      <c r="N11224" s="601">
        <v>630000</v>
      </c>
      <c r="O11224" s="548"/>
      <c r="P11224" s="548"/>
      <c r="Q11224" s="548"/>
      <c r="R11224" s="548">
        <v>992.24300000000005</v>
      </c>
      <c r="S11224" s="548">
        <v>992.66463531746001</v>
      </c>
      <c r="T11224" s="549">
        <v>15.51</v>
      </c>
      <c r="U11224" s="549">
        <v>937.67</v>
      </c>
      <c r="V11224" s="549">
        <v>468.83</v>
      </c>
      <c r="W11224" s="548"/>
      <c r="X11224" s="548"/>
      <c r="Y11224" s="548"/>
      <c r="Z11224" s="548"/>
    </row>
    <row r="11225" spans="1:26" s="420" customFormat="1">
      <c r="A11225" s="275">
        <v>45880</v>
      </c>
      <c r="B11225" s="275">
        <v>45880</v>
      </c>
      <c r="C11225" s="420" t="s">
        <v>173</v>
      </c>
      <c r="D11225" s="420" t="s">
        <v>760</v>
      </c>
      <c r="E11225" s="501">
        <v>-9002706.8699999992</v>
      </c>
      <c r="F11225" s="95" t="s">
        <v>878</v>
      </c>
      <c r="G11225" s="443">
        <v>118520054</v>
      </c>
      <c r="H11225" s="43"/>
      <c r="I11225" s="422" t="s">
        <v>685</v>
      </c>
      <c r="J11225" s="43" t="s">
        <v>906</v>
      </c>
      <c r="K11225" s="564"/>
      <c r="L11225" s="548"/>
      <c r="M11225" s="548"/>
      <c r="N11225" s="601">
        <v>9603</v>
      </c>
      <c r="O11225" s="548"/>
      <c r="P11225" s="548"/>
      <c r="Q11225" s="548"/>
      <c r="R11225" s="548">
        <v>937.48900000000003</v>
      </c>
      <c r="S11225" s="548">
        <v>937.88839425179594</v>
      </c>
      <c r="T11225" s="549">
        <v>15.549899999999999</v>
      </c>
      <c r="U11225" s="549">
        <v>39.32</v>
      </c>
      <c r="V11225" s="549">
        <v>6.75</v>
      </c>
      <c r="W11225" s="548"/>
      <c r="X11225" s="548"/>
      <c r="Y11225" s="548"/>
      <c r="Z11225" s="548"/>
    </row>
    <row r="11226" spans="1:26" s="420" customFormat="1">
      <c r="A11226" s="275">
        <v>45880</v>
      </c>
      <c r="B11226" s="275">
        <v>45880</v>
      </c>
      <c r="C11226" s="420" t="s">
        <v>173</v>
      </c>
      <c r="D11226" s="420" t="s">
        <v>760</v>
      </c>
      <c r="E11226" s="501">
        <v>-197148866.19999999</v>
      </c>
      <c r="F11226" s="95" t="s">
        <v>878</v>
      </c>
      <c r="G11226" s="443">
        <v>118521862</v>
      </c>
      <c r="H11226" s="43"/>
      <c r="I11226" s="422" t="s">
        <v>712</v>
      </c>
      <c r="J11226" s="43" t="s">
        <v>906</v>
      </c>
      <c r="K11226" s="564"/>
      <c r="L11226" s="548"/>
      <c r="M11226" s="548"/>
      <c r="N11226" s="601">
        <v>232854</v>
      </c>
      <c r="O11226" s="548"/>
      <c r="P11226" s="548"/>
      <c r="Q11226" s="548"/>
      <c r="R11226" s="548">
        <v>846.66300000000001</v>
      </c>
      <c r="S11226" s="548">
        <v>847.02256499781004</v>
      </c>
      <c r="T11226" s="549">
        <v>15.500999999999999</v>
      </c>
      <c r="U11226" s="549">
        <v>295.72000000000003</v>
      </c>
      <c r="V11226" s="549">
        <v>147.86000000000001</v>
      </c>
      <c r="W11226" s="548"/>
      <c r="X11226" s="548"/>
      <c r="Y11226" s="548"/>
      <c r="Z11226" s="548"/>
    </row>
    <row r="11227" spans="1:26" s="420" customFormat="1">
      <c r="A11227" s="275">
        <v>45880</v>
      </c>
      <c r="B11227" s="275">
        <v>45880</v>
      </c>
      <c r="C11227" s="420" t="s">
        <v>173</v>
      </c>
      <c r="D11227" s="420" t="s">
        <v>760</v>
      </c>
      <c r="E11227" s="501">
        <v>-899679343.73000002</v>
      </c>
      <c r="F11227" s="95" t="s">
        <v>878</v>
      </c>
      <c r="G11227" s="443">
        <v>118522046</v>
      </c>
      <c r="H11227" s="43"/>
      <c r="I11227" s="422" t="s">
        <v>712</v>
      </c>
      <c r="J11227" s="43" t="s">
        <v>906</v>
      </c>
      <c r="K11227" s="564"/>
      <c r="L11227" s="548"/>
      <c r="M11227" s="548"/>
      <c r="N11227" s="601">
        <v>1062618</v>
      </c>
      <c r="O11227" s="548"/>
      <c r="P11227" s="548"/>
      <c r="Q11227" s="548"/>
      <c r="R11227" s="548">
        <v>846.66300000000001</v>
      </c>
      <c r="S11227" s="548">
        <v>847.02256501395595</v>
      </c>
      <c r="T11227" s="549">
        <v>15.500999999999999</v>
      </c>
      <c r="U11227" s="549">
        <v>1349.52</v>
      </c>
      <c r="V11227" s="549">
        <v>674.76</v>
      </c>
      <c r="W11227" s="548"/>
      <c r="X11227" s="548"/>
      <c r="Y11227" s="548"/>
      <c r="Z11227" s="548"/>
    </row>
    <row r="11228" spans="1:26" s="420" customFormat="1">
      <c r="A11228" s="275">
        <v>45880</v>
      </c>
      <c r="B11228" s="275">
        <v>45880</v>
      </c>
      <c r="C11228" s="420" t="s">
        <v>173</v>
      </c>
      <c r="D11228" s="420" t="s">
        <v>760</v>
      </c>
      <c r="E11228" s="501">
        <v>-5003778.33</v>
      </c>
      <c r="F11228" s="95" t="s">
        <v>878</v>
      </c>
      <c r="G11228" s="443">
        <v>118522171</v>
      </c>
      <c r="H11228" s="43"/>
      <c r="I11228" s="422" t="s">
        <v>712</v>
      </c>
      <c r="J11228" s="43" t="s">
        <v>906</v>
      </c>
      <c r="K11228" s="564"/>
      <c r="L11228" s="548"/>
      <c r="M11228" s="548"/>
      <c r="N11228" s="601">
        <v>5910</v>
      </c>
      <c r="O11228" s="548"/>
      <c r="P11228" s="548"/>
      <c r="Q11228" s="548"/>
      <c r="R11228" s="548">
        <v>846.66300000000001</v>
      </c>
      <c r="S11228" s="548">
        <v>847.02256514382395</v>
      </c>
      <c r="T11228" s="549">
        <v>15.500999999999999</v>
      </c>
      <c r="U11228" s="549">
        <v>39.32</v>
      </c>
      <c r="V11228" s="549">
        <v>3.75</v>
      </c>
      <c r="W11228" s="548"/>
      <c r="X11228" s="548"/>
      <c r="Y11228" s="548"/>
      <c r="Z11228" s="548"/>
    </row>
    <row r="11229" spans="1:26" s="420" customFormat="1">
      <c r="A11229" s="275">
        <v>45880</v>
      </c>
      <c r="B11229" s="275">
        <v>45881</v>
      </c>
      <c r="C11229" s="420" t="s">
        <v>173</v>
      </c>
      <c r="D11229" s="420" t="s">
        <v>760</v>
      </c>
      <c r="E11229" s="501">
        <v>469412918.83999997</v>
      </c>
      <c r="F11229" s="95" t="s">
        <v>878</v>
      </c>
      <c r="G11229" s="443">
        <v>118520324</v>
      </c>
      <c r="H11229" s="443">
        <v>118520324</v>
      </c>
      <c r="I11229" s="422" t="s">
        <v>816</v>
      </c>
      <c r="J11229" s="443" t="s">
        <v>912</v>
      </c>
      <c r="K11229" s="564"/>
      <c r="L11229" s="548"/>
      <c r="M11229" s="548"/>
      <c r="N11229" s="601">
        <v>453523</v>
      </c>
      <c r="O11229" s="548"/>
      <c r="P11229" s="548"/>
      <c r="Q11229" s="548"/>
      <c r="R11229" s="548">
        <v>1034.597</v>
      </c>
      <c r="S11229" s="548">
        <v>1035.0366328499299</v>
      </c>
      <c r="T11229" s="549">
        <v>15.51</v>
      </c>
      <c r="U11229" s="549">
        <v>703.82</v>
      </c>
      <c r="V11229" s="549">
        <v>351.91</v>
      </c>
      <c r="W11229" s="548"/>
      <c r="X11229" s="548"/>
      <c r="Y11229" s="548"/>
      <c r="Z11229" s="548"/>
    </row>
    <row r="11230" spans="1:26" s="420" customFormat="1">
      <c r="A11230" s="275">
        <v>45880</v>
      </c>
      <c r="B11230" s="275">
        <v>45881</v>
      </c>
      <c r="C11230" s="420" t="s">
        <v>173</v>
      </c>
      <c r="D11230" s="420" t="s">
        <v>760</v>
      </c>
      <c r="E11230" s="501">
        <v>625378720.25</v>
      </c>
      <c r="F11230" s="95" t="s">
        <v>878</v>
      </c>
      <c r="G11230" s="443">
        <v>118520327</v>
      </c>
      <c r="H11230" s="443">
        <v>118520327</v>
      </c>
      <c r="I11230" s="422" t="s">
        <v>1741</v>
      </c>
      <c r="J11230" s="443" t="s">
        <v>912</v>
      </c>
      <c r="K11230" s="564"/>
      <c r="L11230" s="548"/>
      <c r="M11230" s="548"/>
      <c r="N11230" s="601">
        <v>630000</v>
      </c>
      <c r="O11230" s="548"/>
      <c r="P11230" s="548"/>
      <c r="Q11230" s="548"/>
      <c r="R11230" s="548">
        <v>992.24300000000005</v>
      </c>
      <c r="S11230" s="548">
        <v>992.66463531746001</v>
      </c>
      <c r="T11230" s="549">
        <v>15.51</v>
      </c>
      <c r="U11230" s="549">
        <v>937.67</v>
      </c>
      <c r="V11230" s="549">
        <v>468.83</v>
      </c>
      <c r="W11230" s="548"/>
      <c r="X11230" s="548"/>
      <c r="Y11230" s="548"/>
      <c r="Z11230" s="548"/>
    </row>
    <row r="11231" spans="1:26" s="420" customFormat="1">
      <c r="A11231" s="275">
        <v>45880</v>
      </c>
      <c r="B11231" s="275">
        <v>45881</v>
      </c>
      <c r="C11231" s="420" t="s">
        <v>173</v>
      </c>
      <c r="D11231" s="420" t="s">
        <v>760</v>
      </c>
      <c r="E11231" s="501">
        <v>9006542.25</v>
      </c>
      <c r="F11231" s="95" t="s">
        <v>878</v>
      </c>
      <c r="G11231" s="443">
        <v>118520054</v>
      </c>
      <c r="H11231" s="443">
        <v>118520054</v>
      </c>
      <c r="I11231" s="422" t="s">
        <v>685</v>
      </c>
      <c r="J11231" s="443" t="s">
        <v>912</v>
      </c>
      <c r="K11231" s="564"/>
      <c r="L11231" s="548"/>
      <c r="M11231" s="548"/>
      <c r="N11231" s="601">
        <v>9603</v>
      </c>
      <c r="O11231" s="548"/>
      <c r="P11231" s="548"/>
      <c r="Q11231" s="548"/>
      <c r="R11231" s="548">
        <v>937.48900000000003</v>
      </c>
      <c r="S11231" s="548">
        <v>937.88839425179594</v>
      </c>
      <c r="T11231" s="549">
        <v>15.549899999999999</v>
      </c>
      <c r="U11231" s="549">
        <v>39.32</v>
      </c>
      <c r="V11231" s="549">
        <v>6.75</v>
      </c>
      <c r="W11231" s="548"/>
      <c r="X11231" s="548"/>
      <c r="Y11231" s="548"/>
      <c r="Z11231" s="548"/>
    </row>
    <row r="11232" spans="1:26" s="420" customFormat="1">
      <c r="A11232" s="275">
        <v>45880</v>
      </c>
      <c r="B11232" s="275">
        <v>45881</v>
      </c>
      <c r="C11232" s="420" t="s">
        <v>173</v>
      </c>
      <c r="D11232" s="420" t="s">
        <v>760</v>
      </c>
      <c r="E11232" s="501">
        <v>197232592.34999999</v>
      </c>
      <c r="F11232" s="95" t="s">
        <v>878</v>
      </c>
      <c r="G11232" s="443">
        <v>118521862</v>
      </c>
      <c r="H11232" s="443">
        <v>118521862</v>
      </c>
      <c r="I11232" s="422" t="s">
        <v>712</v>
      </c>
      <c r="J11232" s="443" t="s">
        <v>912</v>
      </c>
      <c r="K11232" s="564"/>
      <c r="L11232" s="548"/>
      <c r="M11232" s="548"/>
      <c r="N11232" s="601">
        <v>232854</v>
      </c>
      <c r="O11232" s="548"/>
      <c r="P11232" s="548"/>
      <c r="Q11232" s="548"/>
      <c r="R11232" s="548">
        <v>846.66300000000001</v>
      </c>
      <c r="S11232" s="548">
        <v>847.02256499781004</v>
      </c>
      <c r="T11232" s="549">
        <v>15.500999999999999</v>
      </c>
      <c r="U11232" s="549">
        <v>295.72000000000003</v>
      </c>
      <c r="V11232" s="549">
        <v>147.86000000000001</v>
      </c>
      <c r="W11232" s="548"/>
      <c r="X11232" s="548"/>
      <c r="Y11232" s="548"/>
      <c r="Z11232" s="548"/>
    </row>
    <row r="11233" spans="1:26" s="420" customFormat="1">
      <c r="A11233" s="275">
        <v>45880</v>
      </c>
      <c r="B11233" s="275">
        <v>45881</v>
      </c>
      <c r="C11233" s="420" t="s">
        <v>173</v>
      </c>
      <c r="D11233" s="420" t="s">
        <v>760</v>
      </c>
      <c r="E11233" s="501">
        <v>900061423.99000001</v>
      </c>
      <c r="F11233" s="95" t="s">
        <v>878</v>
      </c>
      <c r="G11233" s="443">
        <v>118522046</v>
      </c>
      <c r="H11233" s="443">
        <v>118522046</v>
      </c>
      <c r="I11233" s="422" t="s">
        <v>712</v>
      </c>
      <c r="J11233" s="443" t="s">
        <v>912</v>
      </c>
      <c r="K11233" s="564"/>
      <c r="L11233" s="548"/>
      <c r="M11233" s="548"/>
      <c r="N11233" s="601">
        <v>1062618</v>
      </c>
      <c r="O11233" s="548"/>
      <c r="P11233" s="548"/>
      <c r="Q11233" s="548"/>
      <c r="R11233" s="548">
        <v>846.66300000000001</v>
      </c>
      <c r="S11233" s="548">
        <v>847.02256501395595</v>
      </c>
      <c r="T11233" s="549">
        <v>15.500999999999999</v>
      </c>
      <c r="U11233" s="549">
        <v>1349.52</v>
      </c>
      <c r="V11233" s="549">
        <v>674.76</v>
      </c>
      <c r="W11233" s="548"/>
      <c r="X11233" s="548"/>
      <c r="Y11233" s="548"/>
      <c r="Z11233" s="548"/>
    </row>
    <row r="11234" spans="1:26" s="420" customFormat="1">
      <c r="A11234" s="275">
        <v>45880</v>
      </c>
      <c r="B11234" s="275">
        <v>45881</v>
      </c>
      <c r="C11234" s="420" t="s">
        <v>173</v>
      </c>
      <c r="D11234" s="420" t="s">
        <v>760</v>
      </c>
      <c r="E11234" s="501">
        <v>5005903.3600000003</v>
      </c>
      <c r="F11234" s="95" t="s">
        <v>878</v>
      </c>
      <c r="G11234" s="443">
        <v>118522171</v>
      </c>
      <c r="H11234" s="443">
        <v>118522171</v>
      </c>
      <c r="I11234" s="422" t="s">
        <v>712</v>
      </c>
      <c r="J11234" s="443" t="s">
        <v>912</v>
      </c>
      <c r="K11234" s="564"/>
      <c r="L11234" s="548"/>
      <c r="M11234" s="548"/>
      <c r="N11234" s="601">
        <v>5910</v>
      </c>
      <c r="O11234" s="548"/>
      <c r="P11234" s="548"/>
      <c r="Q11234" s="548"/>
      <c r="R11234" s="548">
        <v>846.66300000000001</v>
      </c>
      <c r="S11234" s="548">
        <v>847.02256514382395</v>
      </c>
      <c r="T11234" s="549">
        <v>15.500999999999999</v>
      </c>
      <c r="U11234" s="549">
        <v>39.32</v>
      </c>
      <c r="V11234" s="549">
        <v>3.75</v>
      </c>
      <c r="W11234" s="548"/>
      <c r="X11234" s="548"/>
      <c r="Y11234" s="548"/>
      <c r="Z11234" s="548"/>
    </row>
    <row r="11235" spans="1:26" s="420" customFormat="1">
      <c r="A11235" s="275">
        <v>45880</v>
      </c>
      <c r="B11235" s="275">
        <v>45880</v>
      </c>
      <c r="C11235" s="420" t="s">
        <v>173</v>
      </c>
      <c r="D11235" s="420" t="s">
        <v>763</v>
      </c>
      <c r="E11235" s="501">
        <v>-1631000425.04</v>
      </c>
      <c r="F11235" s="95" t="s">
        <v>878</v>
      </c>
      <c r="G11235" s="443">
        <v>118520143</v>
      </c>
      <c r="H11235" s="43"/>
      <c r="I11235" s="422" t="s">
        <v>1282</v>
      </c>
      <c r="J11235" s="43" t="s">
        <v>906</v>
      </c>
      <c r="K11235" s="564"/>
      <c r="L11235" s="548"/>
      <c r="M11235" s="548"/>
      <c r="N11235" s="601">
        <v>1945836823</v>
      </c>
      <c r="O11235" s="548"/>
      <c r="P11235" s="548"/>
      <c r="Q11235" s="548"/>
      <c r="R11235" s="548">
        <v>0.83819999999999995</v>
      </c>
      <c r="S11235" s="548">
        <v>0.83855617759064305</v>
      </c>
      <c r="T11235" s="549">
        <v>15.51</v>
      </c>
      <c r="U11235" s="549">
        <v>2446.5</v>
      </c>
      <c r="V11235" s="549">
        <v>1223.25</v>
      </c>
      <c r="W11235" s="548"/>
      <c r="X11235" s="548"/>
      <c r="Y11235" s="548"/>
      <c r="Z11235" s="548"/>
    </row>
    <row r="11236" spans="1:26" s="420" customFormat="1">
      <c r="A11236" s="275">
        <v>45880</v>
      </c>
      <c r="B11236" s="275">
        <v>45880</v>
      </c>
      <c r="C11236" s="420" t="s">
        <v>173</v>
      </c>
      <c r="D11236" s="420" t="s">
        <v>763</v>
      </c>
      <c r="E11236" s="501">
        <v>-1971897394.3299999</v>
      </c>
      <c r="F11236" s="95" t="s">
        <v>878</v>
      </c>
      <c r="G11236" s="443">
        <v>118520146</v>
      </c>
      <c r="H11236" s="43"/>
      <c r="I11236" s="422" t="s">
        <v>816</v>
      </c>
      <c r="J11236" s="43" t="s">
        <v>906</v>
      </c>
      <c r="K11236" s="564"/>
      <c r="L11236" s="548"/>
      <c r="M11236" s="548"/>
      <c r="N11236" s="601">
        <v>1905957</v>
      </c>
      <c r="O11236" s="548"/>
      <c r="P11236" s="548"/>
      <c r="Q11236" s="548"/>
      <c r="R11236" s="548">
        <v>1034.597</v>
      </c>
      <c r="S11236" s="548">
        <v>1035.0366328621301</v>
      </c>
      <c r="T11236" s="549">
        <v>15.51</v>
      </c>
      <c r="U11236" s="549">
        <v>2957.85</v>
      </c>
      <c r="V11236" s="549">
        <v>1478.92</v>
      </c>
      <c r="W11236" s="548"/>
      <c r="X11236" s="548"/>
      <c r="Y11236" s="548"/>
      <c r="Z11236" s="548"/>
    </row>
    <row r="11237" spans="1:26" s="420" customFormat="1">
      <c r="A11237" s="275">
        <v>45880</v>
      </c>
      <c r="B11237" s="275">
        <v>45880</v>
      </c>
      <c r="C11237" s="420" t="s">
        <v>173</v>
      </c>
      <c r="D11237" s="420" t="s">
        <v>763</v>
      </c>
      <c r="E11237" s="501">
        <v>-23010471.879999999</v>
      </c>
      <c r="F11237" s="95" t="s">
        <v>878</v>
      </c>
      <c r="G11237" s="443">
        <v>118520231</v>
      </c>
      <c r="H11237" s="43"/>
      <c r="I11237" s="422" t="s">
        <v>816</v>
      </c>
      <c r="J11237" s="43" t="s">
        <v>906</v>
      </c>
      <c r="K11237" s="564"/>
      <c r="L11237" s="548"/>
      <c r="M11237" s="548"/>
      <c r="N11237" s="601">
        <v>22241</v>
      </c>
      <c r="O11237" s="548"/>
      <c r="P11237" s="548"/>
      <c r="Q11237" s="548"/>
      <c r="R11237" s="548">
        <v>1034.597</v>
      </c>
      <c r="S11237" s="548">
        <v>1035.03663279529</v>
      </c>
      <c r="T11237" s="549">
        <v>15.51</v>
      </c>
      <c r="U11237" s="549">
        <v>39.32</v>
      </c>
      <c r="V11237" s="549">
        <v>39.32</v>
      </c>
      <c r="W11237" s="548"/>
      <c r="X11237" s="548"/>
      <c r="Y11237" s="548"/>
      <c r="Z11237" s="548"/>
    </row>
    <row r="11238" spans="1:26" s="420" customFormat="1">
      <c r="A11238" s="275">
        <v>45880</v>
      </c>
      <c r="B11238" s="275">
        <v>45881</v>
      </c>
      <c r="C11238" s="420" t="s">
        <v>173</v>
      </c>
      <c r="D11238" s="420" t="s">
        <v>763</v>
      </c>
      <c r="E11238" s="501">
        <v>1631693488.51</v>
      </c>
      <c r="F11238" s="95" t="s">
        <v>878</v>
      </c>
      <c r="G11238" s="443">
        <v>118520143</v>
      </c>
      <c r="H11238" s="443">
        <v>118520143</v>
      </c>
      <c r="I11238" s="422" t="s">
        <v>1282</v>
      </c>
      <c r="J11238" s="443" t="s">
        <v>912</v>
      </c>
      <c r="K11238" s="564"/>
      <c r="L11238" s="548"/>
      <c r="M11238" s="548"/>
      <c r="N11238" s="601">
        <v>1945836823</v>
      </c>
      <c r="O11238" s="548"/>
      <c r="P11238" s="548"/>
      <c r="Q11238" s="548"/>
      <c r="R11238" s="548">
        <v>0.83819999999999995</v>
      </c>
      <c r="S11238" s="548">
        <v>0.83855617759064305</v>
      </c>
      <c r="T11238" s="549">
        <v>15.51</v>
      </c>
      <c r="U11238" s="549">
        <v>2446.5</v>
      </c>
      <c r="V11238" s="549">
        <v>1223.25</v>
      </c>
      <c r="W11238" s="548"/>
      <c r="X11238" s="548"/>
      <c r="Y11238" s="548"/>
      <c r="Z11238" s="548"/>
    </row>
    <row r="11239" spans="1:26" s="420" customFormat="1">
      <c r="A11239" s="275">
        <v>45880</v>
      </c>
      <c r="B11239" s="275">
        <v>45881</v>
      </c>
      <c r="C11239" s="420" t="s">
        <v>173</v>
      </c>
      <c r="D11239" s="420" t="s">
        <v>763</v>
      </c>
      <c r="E11239" s="501">
        <v>1972735315.6600001</v>
      </c>
      <c r="F11239" s="95" t="s">
        <v>878</v>
      </c>
      <c r="G11239" s="443">
        <v>118520146</v>
      </c>
      <c r="H11239" s="443">
        <v>118520146</v>
      </c>
      <c r="I11239" s="422" t="s">
        <v>816</v>
      </c>
      <c r="J11239" s="443" t="s">
        <v>912</v>
      </c>
      <c r="K11239" s="564"/>
      <c r="L11239" s="548"/>
      <c r="M11239" s="548"/>
      <c r="N11239" s="601">
        <v>1905957</v>
      </c>
      <c r="O11239" s="548"/>
      <c r="P11239" s="548"/>
      <c r="Q11239" s="548"/>
      <c r="R11239" s="548">
        <v>1034.597</v>
      </c>
      <c r="S11239" s="548">
        <v>1035.0366328621301</v>
      </c>
      <c r="T11239" s="549">
        <v>15.51</v>
      </c>
      <c r="U11239" s="549">
        <v>2957.85</v>
      </c>
      <c r="V11239" s="549">
        <v>1478.92</v>
      </c>
      <c r="W11239" s="548"/>
      <c r="X11239" s="548"/>
      <c r="Y11239" s="548"/>
      <c r="Z11239" s="548"/>
    </row>
    <row r="11240" spans="1:26" s="420" customFormat="1">
      <c r="A11240" s="275">
        <v>45880</v>
      </c>
      <c r="B11240" s="275">
        <v>45881</v>
      </c>
      <c r="C11240" s="420" t="s">
        <v>173</v>
      </c>
      <c r="D11240" s="420" t="s">
        <v>763</v>
      </c>
      <c r="E11240" s="501">
        <v>23020249.75</v>
      </c>
      <c r="F11240" s="95" t="s">
        <v>878</v>
      </c>
      <c r="G11240" s="443">
        <v>118520231</v>
      </c>
      <c r="H11240" s="443">
        <v>118520231</v>
      </c>
      <c r="I11240" s="422" t="s">
        <v>816</v>
      </c>
      <c r="J11240" s="443" t="s">
        <v>912</v>
      </c>
      <c r="K11240" s="564"/>
      <c r="L11240" s="548"/>
      <c r="M11240" s="548"/>
      <c r="N11240" s="601">
        <v>22241</v>
      </c>
      <c r="O11240" s="548"/>
      <c r="P11240" s="548"/>
      <c r="Q11240" s="548"/>
      <c r="R11240" s="548">
        <v>1034.597</v>
      </c>
      <c r="S11240" s="548">
        <v>1035.03663279529</v>
      </c>
      <c r="T11240" s="549">
        <v>15.51</v>
      </c>
      <c r="U11240" s="549">
        <v>39.32</v>
      </c>
      <c r="V11240" s="549">
        <v>39.32</v>
      </c>
      <c r="W11240" s="548"/>
      <c r="X11240" s="548"/>
      <c r="Y11240" s="548"/>
      <c r="Z11240" s="548"/>
    </row>
    <row r="11241" spans="1:26" s="420" customFormat="1">
      <c r="A11241" s="275">
        <v>45880</v>
      </c>
      <c r="B11241" s="275">
        <v>45880</v>
      </c>
      <c r="C11241" s="420" t="s">
        <v>173</v>
      </c>
      <c r="D11241" s="420" t="s">
        <v>761</v>
      </c>
      <c r="E11241" s="501">
        <v>-1784082206.72</v>
      </c>
      <c r="F11241" s="95" t="s">
        <v>878</v>
      </c>
      <c r="G11241" s="443">
        <v>118524208</v>
      </c>
      <c r="H11241" s="43"/>
      <c r="I11241" s="422" t="s">
        <v>2557</v>
      </c>
      <c r="J11241" s="43" t="s">
        <v>906</v>
      </c>
      <c r="K11241" s="564"/>
      <c r="L11241" s="548"/>
      <c r="M11241" s="548"/>
      <c r="N11241" s="601">
        <v>20094976</v>
      </c>
      <c r="O11241" s="548"/>
      <c r="P11241" s="548"/>
      <c r="Q11241" s="548"/>
      <c r="R11241" s="565">
        <v>88.782499999999999</v>
      </c>
      <c r="S11241" s="565">
        <v>88.820226481484696</v>
      </c>
      <c r="T11241" s="538">
        <v>15.51</v>
      </c>
      <c r="U11241" s="538">
        <v>2676.12</v>
      </c>
      <c r="V11241" s="538">
        <v>1338.06</v>
      </c>
      <c r="W11241" s="548"/>
      <c r="X11241" s="548"/>
      <c r="Y11241" s="548"/>
      <c r="Z11241" s="548"/>
    </row>
    <row r="11242" spans="1:26" s="420" customFormat="1">
      <c r="A11242" s="275">
        <v>45880</v>
      </c>
      <c r="B11242" s="275">
        <v>45880</v>
      </c>
      <c r="C11242" s="420" t="s">
        <v>173</v>
      </c>
      <c r="D11242" s="420" t="s">
        <v>761</v>
      </c>
      <c r="E11242" s="501">
        <v>-14000645.119999999</v>
      </c>
      <c r="F11242" s="95" t="s">
        <v>878</v>
      </c>
      <c r="G11242" s="443">
        <v>118524241</v>
      </c>
      <c r="H11242" s="43"/>
      <c r="I11242" s="422" t="s">
        <v>2557</v>
      </c>
      <c r="J11242" s="43" t="s">
        <v>906</v>
      </c>
      <c r="K11242" s="564"/>
      <c r="L11242" s="548"/>
      <c r="M11242" s="548"/>
      <c r="N11242" s="601">
        <v>157696</v>
      </c>
      <c r="O11242" s="548"/>
      <c r="P11242" s="548"/>
      <c r="Q11242" s="548"/>
      <c r="R11242" s="565">
        <v>88.782499999999999</v>
      </c>
      <c r="S11242" s="565">
        <v>88.820226511769505</v>
      </c>
      <c r="T11242" s="538">
        <v>15.51</v>
      </c>
      <c r="U11242" s="538">
        <v>39.32</v>
      </c>
      <c r="V11242" s="538">
        <v>10.5</v>
      </c>
      <c r="W11242" s="548"/>
      <c r="X11242" s="548"/>
      <c r="Y11242" s="548"/>
      <c r="Z11242" s="548"/>
    </row>
    <row r="11243" spans="1:26" s="420" customFormat="1">
      <c r="A11243" s="275">
        <v>45880</v>
      </c>
      <c r="B11243" s="275">
        <v>45881</v>
      </c>
      <c r="C11243" s="420" t="s">
        <v>173</v>
      </c>
      <c r="D11243" s="420" t="s">
        <v>761</v>
      </c>
      <c r="E11243" s="501">
        <v>1784840319.46</v>
      </c>
      <c r="F11243" s="95" t="s">
        <v>878</v>
      </c>
      <c r="G11243" s="443">
        <v>118524208</v>
      </c>
      <c r="H11243" s="443">
        <v>118524208</v>
      </c>
      <c r="I11243" s="422" t="s">
        <v>2557</v>
      </c>
      <c r="J11243" s="443" t="s">
        <v>912</v>
      </c>
      <c r="K11243" s="564"/>
      <c r="L11243" s="548"/>
      <c r="M11243" s="548"/>
      <c r="N11243" s="601">
        <v>20094976</v>
      </c>
      <c r="O11243" s="548"/>
      <c r="P11243" s="548"/>
      <c r="Q11243" s="548"/>
      <c r="R11243" s="565">
        <v>88.782499999999999</v>
      </c>
      <c r="S11243" s="565">
        <v>88.820226481484696</v>
      </c>
      <c r="T11243" s="538">
        <v>15.51</v>
      </c>
      <c r="U11243" s="538">
        <v>2676.12</v>
      </c>
      <c r="V11243" s="538">
        <v>1338.06</v>
      </c>
      <c r="W11243" s="548"/>
      <c r="X11243" s="548"/>
      <c r="Y11243" s="548"/>
      <c r="Z11243" s="548"/>
    </row>
    <row r="11244" spans="1:26" s="420" customFormat="1">
      <c r="A11244" s="275">
        <v>45880</v>
      </c>
      <c r="B11244" s="275">
        <v>45881</v>
      </c>
      <c r="C11244" s="420" t="s">
        <v>173</v>
      </c>
      <c r="D11244" s="420" t="s">
        <v>761</v>
      </c>
      <c r="E11244" s="501">
        <v>14006594.439999999</v>
      </c>
      <c r="F11244" s="95" t="s">
        <v>878</v>
      </c>
      <c r="G11244" s="443">
        <v>118524241</v>
      </c>
      <c r="H11244" s="443">
        <v>118524241</v>
      </c>
      <c r="I11244" s="422" t="s">
        <v>2557</v>
      </c>
      <c r="J11244" s="443" t="s">
        <v>912</v>
      </c>
      <c r="K11244" s="564"/>
      <c r="L11244" s="548"/>
      <c r="M11244" s="548"/>
      <c r="N11244" s="601">
        <v>157696</v>
      </c>
      <c r="O11244" s="548"/>
      <c r="P11244" s="548"/>
      <c r="Q11244" s="548"/>
      <c r="R11244" s="565">
        <v>88.782499999999999</v>
      </c>
      <c r="S11244" s="565">
        <v>88.820226511769505</v>
      </c>
      <c r="T11244" s="538">
        <v>15.51</v>
      </c>
      <c r="U11244" s="538">
        <v>39.32</v>
      </c>
      <c r="V11244" s="538">
        <v>10.5</v>
      </c>
      <c r="W11244" s="548"/>
      <c r="X11244" s="548"/>
      <c r="Y11244" s="548"/>
      <c r="Z11244" s="548"/>
    </row>
    <row r="11245" spans="1:26">
      <c r="A11245" s="499">
        <v>45881</v>
      </c>
      <c r="B11245" s="499">
        <v>45881</v>
      </c>
      <c r="C11245" s="420" t="s">
        <v>173</v>
      </c>
      <c r="D11245" s="420" t="s">
        <v>761</v>
      </c>
      <c r="E11245" s="501">
        <v>-892313975.08000004</v>
      </c>
      <c r="F11245" s="95" t="s">
        <v>878</v>
      </c>
      <c r="G11245" s="443">
        <v>118546155</v>
      </c>
      <c r="H11245" s="530"/>
      <c r="I11245" s="422" t="s">
        <v>658</v>
      </c>
      <c r="J11245" s="43" t="s">
        <v>906</v>
      </c>
      <c r="L11245" s="539"/>
      <c r="M11245" s="539"/>
      <c r="N11245" s="601">
        <v>873268</v>
      </c>
      <c r="R11245" s="548">
        <v>1021.8100000000001</v>
      </c>
      <c r="S11245" s="548">
        <v>1022.24405929222</v>
      </c>
      <c r="T11245" s="549">
        <v>15.505000000000001</v>
      </c>
      <c r="U11245" s="549">
        <v>1338.47</v>
      </c>
      <c r="V11245" s="549">
        <v>669.24</v>
      </c>
    </row>
    <row r="11246" spans="1:26">
      <c r="A11246" s="499">
        <v>45881</v>
      </c>
      <c r="B11246" s="499">
        <v>45881</v>
      </c>
      <c r="C11246" s="420" t="s">
        <v>173</v>
      </c>
      <c r="D11246" s="420" t="s">
        <v>761</v>
      </c>
      <c r="E11246" s="501">
        <v>-896315383.03999996</v>
      </c>
      <c r="F11246" s="95" t="s">
        <v>878</v>
      </c>
      <c r="G11246" s="443">
        <v>118546158</v>
      </c>
      <c r="H11246" s="530"/>
      <c r="I11246" s="422" t="s">
        <v>658</v>
      </c>
      <c r="J11246" s="43" t="s">
        <v>906</v>
      </c>
      <c r="L11246" s="539"/>
      <c r="M11246" s="539"/>
      <c r="N11246" s="601">
        <v>877184</v>
      </c>
      <c r="R11246" s="548">
        <v>1021.81</v>
      </c>
      <c r="S11246" s="548">
        <v>1022.24400329919</v>
      </c>
      <c r="T11246" s="549">
        <v>15.503</v>
      </c>
      <c r="U11246" s="549">
        <v>1344.47</v>
      </c>
      <c r="V11246" s="549">
        <v>672.24</v>
      </c>
    </row>
    <row r="11247" spans="1:26">
      <c r="A11247" s="499">
        <v>45881</v>
      </c>
      <c r="B11247" s="499">
        <v>45881</v>
      </c>
      <c r="C11247" s="420" t="s">
        <v>173</v>
      </c>
      <c r="D11247" s="420" t="s">
        <v>761</v>
      </c>
      <c r="E11247" s="501">
        <v>-11003871.890000001</v>
      </c>
      <c r="F11247" s="95" t="s">
        <v>878</v>
      </c>
      <c r="G11247" s="443">
        <v>118546193</v>
      </c>
      <c r="H11247" s="530"/>
      <c r="I11247" s="422" t="s">
        <v>658</v>
      </c>
      <c r="J11247" s="43" t="s">
        <v>906</v>
      </c>
      <c r="L11247" s="539"/>
      <c r="M11247" s="539"/>
      <c r="N11247" s="601">
        <v>10769</v>
      </c>
      <c r="R11247" s="548">
        <v>1021.8100000000001</v>
      </c>
      <c r="S11247" s="548">
        <v>1022.24400315721</v>
      </c>
      <c r="T11247" s="549">
        <v>15.503</v>
      </c>
      <c r="U11247" s="549">
        <v>39.32</v>
      </c>
      <c r="V11247" s="549">
        <v>8.25</v>
      </c>
    </row>
    <row r="11248" spans="1:26">
      <c r="A11248" s="499">
        <v>45881</v>
      </c>
      <c r="B11248" s="499">
        <v>45882</v>
      </c>
      <c r="C11248" s="420" t="s">
        <v>173</v>
      </c>
      <c r="D11248" s="420" t="s">
        <v>761</v>
      </c>
      <c r="E11248" s="501">
        <v>892693025.16999996</v>
      </c>
      <c r="F11248" s="95" t="s">
        <v>878</v>
      </c>
      <c r="G11248" s="443">
        <v>118546155</v>
      </c>
      <c r="H11248" s="443">
        <v>118546155</v>
      </c>
      <c r="I11248" s="422" t="s">
        <v>658</v>
      </c>
      <c r="J11248" s="443" t="s">
        <v>912</v>
      </c>
      <c r="L11248" s="539"/>
      <c r="M11248" s="539"/>
      <c r="N11248" s="601">
        <v>873268</v>
      </c>
      <c r="R11248" s="548">
        <v>1021.8100000000001</v>
      </c>
      <c r="S11248" s="548">
        <v>1022.24405929222</v>
      </c>
      <c r="T11248" s="549">
        <v>15.505000000000001</v>
      </c>
      <c r="U11248" s="549">
        <v>1338.47</v>
      </c>
      <c r="V11248" s="549">
        <v>669.24</v>
      </c>
    </row>
    <row r="11249" spans="1:22">
      <c r="A11249" s="499">
        <v>45881</v>
      </c>
      <c r="B11249" s="499">
        <v>45882</v>
      </c>
      <c r="C11249" s="420" t="s">
        <v>173</v>
      </c>
      <c r="D11249" s="420" t="s">
        <v>761</v>
      </c>
      <c r="E11249" s="501">
        <v>896696083.78999996</v>
      </c>
      <c r="F11249" s="95" t="s">
        <v>878</v>
      </c>
      <c r="G11249" s="443">
        <v>118546158</v>
      </c>
      <c r="H11249" s="443">
        <v>118546158</v>
      </c>
      <c r="I11249" s="422" t="s">
        <v>658</v>
      </c>
      <c r="J11249" s="443" t="s">
        <v>912</v>
      </c>
      <c r="L11249" s="539"/>
      <c r="M11249" s="539"/>
      <c r="N11249" s="601">
        <v>877184</v>
      </c>
      <c r="R11249" s="548">
        <v>1021.81</v>
      </c>
      <c r="S11249" s="548">
        <v>1022.24400329919</v>
      </c>
      <c r="T11249" s="549">
        <v>15.503</v>
      </c>
      <c r="U11249" s="549">
        <v>1344.47</v>
      </c>
      <c r="V11249" s="549">
        <v>672.24</v>
      </c>
    </row>
    <row r="11250" spans="1:22">
      <c r="A11250" s="499">
        <v>45881</v>
      </c>
      <c r="B11250" s="499">
        <v>45882</v>
      </c>
      <c r="C11250" s="420" t="s">
        <v>173</v>
      </c>
      <c r="D11250" s="420" t="s">
        <v>761</v>
      </c>
      <c r="E11250" s="501">
        <v>11008545.67</v>
      </c>
      <c r="F11250" s="95" t="s">
        <v>878</v>
      </c>
      <c r="G11250" s="443">
        <v>118546193</v>
      </c>
      <c r="H11250" s="443">
        <v>118546193</v>
      </c>
      <c r="I11250" s="422" t="s">
        <v>658</v>
      </c>
      <c r="J11250" s="443" t="s">
        <v>912</v>
      </c>
      <c r="L11250" s="539"/>
      <c r="M11250" s="539"/>
      <c r="N11250" s="601">
        <v>10769</v>
      </c>
      <c r="R11250" s="548">
        <v>1021.8100000000001</v>
      </c>
      <c r="S11250" s="548">
        <v>1022.24400315721</v>
      </c>
      <c r="T11250" s="549">
        <v>15.503</v>
      </c>
      <c r="U11250" s="549">
        <v>39.32</v>
      </c>
      <c r="V11250" s="549">
        <v>8.25</v>
      </c>
    </row>
    <row r="11251" spans="1:22">
      <c r="A11251" s="499">
        <v>45881</v>
      </c>
      <c r="B11251" s="499">
        <v>45881</v>
      </c>
      <c r="C11251" s="420" t="s">
        <v>173</v>
      </c>
      <c r="D11251" s="500" t="s">
        <v>759</v>
      </c>
      <c r="E11251" s="501">
        <v>-3994174214.8600001</v>
      </c>
      <c r="F11251" s="95" t="s">
        <v>878</v>
      </c>
      <c r="G11251" s="443">
        <v>118548771</v>
      </c>
      <c r="H11251" s="530"/>
      <c r="I11251" s="422" t="s">
        <v>657</v>
      </c>
      <c r="J11251" s="43" t="s">
        <v>906</v>
      </c>
      <c r="L11251" s="539"/>
      <c r="M11251" s="539"/>
      <c r="N11251" s="601">
        <v>4195592</v>
      </c>
      <c r="R11251" s="548">
        <v>951.99300000095343</v>
      </c>
      <c r="S11251" s="548">
        <v>957.65319566344897</v>
      </c>
      <c r="T11251" s="549">
        <v>15.501099999999999</v>
      </c>
      <c r="U11251" s="549">
        <v>83877.66</v>
      </c>
      <c r="V11251" s="549">
        <v>41938.83</v>
      </c>
    </row>
    <row r="11252" spans="1:22">
      <c r="A11252" s="499">
        <v>45881</v>
      </c>
      <c r="B11252" s="499">
        <v>45881</v>
      </c>
      <c r="C11252" s="420" t="s">
        <v>173</v>
      </c>
      <c r="D11252" s="500" t="s">
        <v>759</v>
      </c>
      <c r="E11252" s="501">
        <v>-5001998400</v>
      </c>
      <c r="F11252" s="95" t="s">
        <v>878</v>
      </c>
      <c r="G11252" s="443">
        <v>118548774</v>
      </c>
      <c r="H11252" s="530"/>
      <c r="I11252" s="422" t="s">
        <v>800</v>
      </c>
      <c r="J11252" s="43" t="s">
        <v>906</v>
      </c>
      <c r="L11252" s="539"/>
      <c r="M11252" s="539"/>
      <c r="N11252" s="601">
        <v>4865000</v>
      </c>
      <c r="R11252" s="548">
        <v>1028.1600000000001</v>
      </c>
      <c r="S11252" s="548">
        <v>1034.2730168283699</v>
      </c>
      <c r="T11252" s="549">
        <v>15.500999999999999</v>
      </c>
      <c r="U11252" s="549">
        <v>105041.97</v>
      </c>
      <c r="V11252" s="549">
        <v>52520.98</v>
      </c>
    </row>
    <row r="11253" spans="1:22">
      <c r="A11253" s="499">
        <v>45881</v>
      </c>
      <c r="B11253" s="499">
        <v>45881</v>
      </c>
      <c r="C11253" s="420" t="s">
        <v>173</v>
      </c>
      <c r="D11253" s="500" t="s">
        <v>759</v>
      </c>
      <c r="E11253" s="501">
        <v>-2049103265.79</v>
      </c>
      <c r="F11253" s="95" t="s">
        <v>878</v>
      </c>
      <c r="G11253" s="443">
        <v>118548854</v>
      </c>
      <c r="H11253" s="530"/>
      <c r="I11253" s="422" t="s">
        <v>685</v>
      </c>
      <c r="J11253" s="43" t="s">
        <v>906</v>
      </c>
      <c r="L11253" s="539"/>
      <c r="M11253" s="539"/>
      <c r="N11253" s="601">
        <v>2185216</v>
      </c>
      <c r="R11253" s="548">
        <v>937.7119999990847</v>
      </c>
      <c r="S11253" s="548">
        <v>938.11021417104803</v>
      </c>
      <c r="T11253" s="549">
        <v>15.500299999999999</v>
      </c>
      <c r="U11253" s="549">
        <v>3073.65</v>
      </c>
      <c r="V11253" s="549">
        <v>1536.83</v>
      </c>
    </row>
    <row r="11254" spans="1:22">
      <c r="A11254" s="499">
        <v>45881</v>
      </c>
      <c r="B11254" s="499">
        <v>45881</v>
      </c>
      <c r="C11254" s="420" t="s">
        <v>173</v>
      </c>
      <c r="D11254" s="500" t="s">
        <v>759</v>
      </c>
      <c r="E11254" s="501">
        <v>-30030925.68</v>
      </c>
      <c r="F11254" s="95" t="s">
        <v>878</v>
      </c>
      <c r="G11254" s="443">
        <v>118548857</v>
      </c>
      <c r="H11254" s="530"/>
      <c r="I11254" s="422" t="s">
        <v>1047</v>
      </c>
      <c r="J11254" s="43" t="s">
        <v>906</v>
      </c>
      <c r="L11254" s="539"/>
      <c r="M11254" s="539"/>
      <c r="N11254" s="601">
        <v>28560</v>
      </c>
      <c r="R11254" s="548">
        <v>1051.5029999999999</v>
      </c>
      <c r="S11254" s="548">
        <v>1051.9495343137301</v>
      </c>
      <c r="T11254" s="549">
        <v>15.5002</v>
      </c>
      <c r="U11254" s="549">
        <v>45.05</v>
      </c>
      <c r="V11254" s="549">
        <v>22.52</v>
      </c>
    </row>
    <row r="11255" spans="1:22">
      <c r="A11255" s="499">
        <v>45881</v>
      </c>
      <c r="B11255" s="499">
        <v>45881</v>
      </c>
      <c r="C11255" s="420" t="s">
        <v>173</v>
      </c>
      <c r="D11255" s="500" t="s">
        <v>759</v>
      </c>
      <c r="E11255" s="501">
        <v>-188070123.62</v>
      </c>
      <c r="F11255" s="95" t="s">
        <v>878</v>
      </c>
      <c r="G11255" s="443">
        <v>118548860</v>
      </c>
      <c r="H11255" s="530"/>
      <c r="I11255" s="422" t="s">
        <v>708</v>
      </c>
      <c r="J11255" s="43" t="s">
        <v>906</v>
      </c>
      <c r="L11255" s="539"/>
      <c r="M11255" s="539"/>
      <c r="N11255" s="601">
        <v>274668</v>
      </c>
      <c r="R11255" s="548">
        <v>684.71799998543702</v>
      </c>
      <c r="S11255" s="548">
        <v>685.00877062489997</v>
      </c>
      <c r="T11255" s="549">
        <v>15.5</v>
      </c>
      <c r="U11255" s="549">
        <v>282.11</v>
      </c>
      <c r="V11255" s="549">
        <v>141.05000000000001</v>
      </c>
    </row>
    <row r="11256" spans="1:22">
      <c r="A11256" s="499">
        <v>45881</v>
      </c>
      <c r="B11256" s="499">
        <v>45881</v>
      </c>
      <c r="C11256" s="420" t="s">
        <v>173</v>
      </c>
      <c r="D11256" s="500" t="s">
        <v>759</v>
      </c>
      <c r="E11256" s="501">
        <v>-14005221.970000001</v>
      </c>
      <c r="F11256" s="95" t="s">
        <v>878</v>
      </c>
      <c r="G11256" s="443">
        <v>118548880</v>
      </c>
      <c r="H11256" s="530"/>
      <c r="I11256" s="422" t="s">
        <v>708</v>
      </c>
      <c r="J11256" s="43" t="s">
        <v>906</v>
      </c>
      <c r="L11256" s="539"/>
      <c r="M11256" s="539"/>
      <c r="N11256" s="601">
        <v>20454</v>
      </c>
      <c r="R11256" s="548">
        <v>684.71799990221962</v>
      </c>
      <c r="S11256" s="548">
        <v>685.00877041165495</v>
      </c>
      <c r="T11256" s="549">
        <v>15.5</v>
      </c>
      <c r="U11256" s="549">
        <v>39.32</v>
      </c>
      <c r="V11256" s="549">
        <v>10.5</v>
      </c>
    </row>
    <row r="11257" spans="1:22">
      <c r="A11257" s="499">
        <v>45881</v>
      </c>
      <c r="B11257" s="499">
        <v>45895</v>
      </c>
      <c r="C11257" s="420" t="s">
        <v>173</v>
      </c>
      <c r="D11257" s="500" t="s">
        <v>759</v>
      </c>
      <c r="E11257" s="501">
        <v>4017922086.5</v>
      </c>
      <c r="F11257" s="95" t="s">
        <v>878</v>
      </c>
      <c r="G11257" s="443">
        <v>118548771</v>
      </c>
      <c r="H11257" s="443">
        <v>118548771</v>
      </c>
      <c r="I11257" s="422" t="s">
        <v>657</v>
      </c>
      <c r="J11257" s="443" t="s">
        <v>912</v>
      </c>
      <c r="L11257" s="539"/>
      <c r="M11257" s="539"/>
      <c r="N11257" s="601">
        <v>4195592</v>
      </c>
      <c r="R11257" s="548">
        <v>951.99300000095343</v>
      </c>
      <c r="S11257" s="548">
        <v>957.65319566344897</v>
      </c>
      <c r="T11257" s="549">
        <v>15.501099999999999</v>
      </c>
      <c r="U11257" s="549">
        <v>83877.66</v>
      </c>
      <c r="V11257" s="549">
        <v>41938.83</v>
      </c>
    </row>
    <row r="11258" spans="1:22">
      <c r="A11258" s="499">
        <v>45881</v>
      </c>
      <c r="B11258" s="499">
        <v>45895</v>
      </c>
      <c r="C11258" s="420" t="s">
        <v>173</v>
      </c>
      <c r="D11258" s="500" t="s">
        <v>759</v>
      </c>
      <c r="E11258" s="501">
        <v>5031738226.8699999</v>
      </c>
      <c r="F11258" s="95" t="s">
        <v>878</v>
      </c>
      <c r="G11258" s="443">
        <v>118548774</v>
      </c>
      <c r="H11258" s="443">
        <v>118548774</v>
      </c>
      <c r="I11258" s="422" t="s">
        <v>800</v>
      </c>
      <c r="J11258" s="443" t="s">
        <v>912</v>
      </c>
      <c r="L11258" s="539"/>
      <c r="M11258" s="539"/>
      <c r="N11258" s="601">
        <v>4865000</v>
      </c>
      <c r="R11258" s="548">
        <v>1028.1600000000001</v>
      </c>
      <c r="S11258" s="548">
        <v>1034.2730168283699</v>
      </c>
      <c r="T11258" s="549">
        <v>15.500999999999999</v>
      </c>
      <c r="U11258" s="549">
        <v>105041.97</v>
      </c>
      <c r="V11258" s="549">
        <v>52520.98</v>
      </c>
    </row>
    <row r="11259" spans="1:22">
      <c r="A11259" s="499">
        <v>45881</v>
      </c>
      <c r="B11259" s="499">
        <v>45882</v>
      </c>
      <c r="C11259" s="420" t="s">
        <v>173</v>
      </c>
      <c r="D11259" s="500" t="s">
        <v>759</v>
      </c>
      <c r="E11259" s="501">
        <v>2049973449.77</v>
      </c>
      <c r="F11259" s="95" t="s">
        <v>878</v>
      </c>
      <c r="G11259" s="443">
        <v>118548854</v>
      </c>
      <c r="H11259" s="443">
        <v>118548854</v>
      </c>
      <c r="I11259" s="422" t="s">
        <v>685</v>
      </c>
      <c r="J11259" s="443" t="s">
        <v>912</v>
      </c>
      <c r="L11259" s="539"/>
      <c r="M11259" s="539"/>
      <c r="N11259" s="601">
        <v>2185216</v>
      </c>
      <c r="R11259" s="548">
        <v>937.7119999990847</v>
      </c>
      <c r="S11259" s="548">
        <v>938.11021417104803</v>
      </c>
      <c r="T11259" s="549">
        <v>15.500299999999999</v>
      </c>
      <c r="U11259" s="549">
        <v>3073.65</v>
      </c>
      <c r="V11259" s="549">
        <v>1536.83</v>
      </c>
    </row>
    <row r="11260" spans="1:22">
      <c r="A11260" s="499">
        <v>45881</v>
      </c>
      <c r="B11260" s="499">
        <v>45882</v>
      </c>
      <c r="C11260" s="420" t="s">
        <v>173</v>
      </c>
      <c r="D11260" s="500" t="s">
        <v>759</v>
      </c>
      <c r="E11260" s="501">
        <v>30043678.699999999</v>
      </c>
      <c r="F11260" s="95" t="s">
        <v>878</v>
      </c>
      <c r="G11260" s="443">
        <v>118548857</v>
      </c>
      <c r="H11260" s="443">
        <v>118548857</v>
      </c>
      <c r="I11260" s="422" t="s">
        <v>1047</v>
      </c>
      <c r="J11260" s="443" t="s">
        <v>912</v>
      </c>
      <c r="L11260" s="539"/>
      <c r="M11260" s="539"/>
      <c r="N11260" s="601">
        <v>28560</v>
      </c>
      <c r="R11260" s="548">
        <v>1051.5029999999999</v>
      </c>
      <c r="S11260" s="548">
        <v>1051.9495343137301</v>
      </c>
      <c r="T11260" s="549">
        <v>15.5002</v>
      </c>
      <c r="U11260" s="549">
        <v>45.05</v>
      </c>
      <c r="V11260" s="549">
        <v>22.52</v>
      </c>
    </row>
    <row r="11261" spans="1:22">
      <c r="A11261" s="499">
        <v>45881</v>
      </c>
      <c r="B11261" s="499">
        <v>45882</v>
      </c>
      <c r="C11261" s="420" t="s">
        <v>173</v>
      </c>
      <c r="D11261" s="500" t="s">
        <v>759</v>
      </c>
      <c r="E11261" s="501">
        <v>188149989.00999999</v>
      </c>
      <c r="F11261" s="95" t="s">
        <v>878</v>
      </c>
      <c r="G11261" s="443">
        <v>118548860</v>
      </c>
      <c r="H11261" s="443">
        <v>118548860</v>
      </c>
      <c r="I11261" s="422" t="s">
        <v>708</v>
      </c>
      <c r="J11261" s="443" t="s">
        <v>912</v>
      </c>
      <c r="L11261" s="539"/>
      <c r="M11261" s="539"/>
      <c r="N11261" s="601">
        <v>274668</v>
      </c>
      <c r="R11261" s="548">
        <v>684.71799998543702</v>
      </c>
      <c r="S11261" s="548">
        <v>685.00877062489997</v>
      </c>
      <c r="T11261" s="549">
        <v>15.5</v>
      </c>
      <c r="U11261" s="549">
        <v>282.11</v>
      </c>
      <c r="V11261" s="549">
        <v>141.05000000000001</v>
      </c>
    </row>
    <row r="11262" spans="1:22">
      <c r="A11262" s="499">
        <v>45881</v>
      </c>
      <c r="B11262" s="499">
        <v>45882</v>
      </c>
      <c r="C11262" s="420" t="s">
        <v>173</v>
      </c>
      <c r="D11262" s="500" t="s">
        <v>759</v>
      </c>
      <c r="E11262" s="501">
        <v>14011169.390000001</v>
      </c>
      <c r="F11262" s="95" t="s">
        <v>878</v>
      </c>
      <c r="G11262" s="443">
        <v>118548880</v>
      </c>
      <c r="H11262" s="443">
        <v>118548880</v>
      </c>
      <c r="I11262" s="422" t="s">
        <v>708</v>
      </c>
      <c r="J11262" s="443" t="s">
        <v>912</v>
      </c>
      <c r="L11262" s="539"/>
      <c r="M11262" s="539"/>
      <c r="N11262" s="601">
        <v>20454</v>
      </c>
      <c r="R11262" s="548">
        <v>684.71799990221962</v>
      </c>
      <c r="S11262" s="548">
        <v>685.00877041165495</v>
      </c>
      <c r="T11262" s="549">
        <v>15.5</v>
      </c>
      <c r="U11262" s="549">
        <v>39.32</v>
      </c>
      <c r="V11262" s="549">
        <v>10.5</v>
      </c>
    </row>
    <row r="11263" spans="1:22">
      <c r="A11263" s="499">
        <v>45881</v>
      </c>
      <c r="B11263" s="499">
        <v>45881</v>
      </c>
      <c r="C11263" s="420" t="s">
        <v>173</v>
      </c>
      <c r="D11263" s="500" t="s">
        <v>762</v>
      </c>
      <c r="E11263" s="501">
        <v>-433093185.93000001</v>
      </c>
      <c r="F11263" s="95" t="s">
        <v>878</v>
      </c>
      <c r="G11263" s="484">
        <v>118550966</v>
      </c>
      <c r="H11263" s="530"/>
      <c r="I11263" s="422" t="s">
        <v>696</v>
      </c>
      <c r="J11263" s="43" t="s">
        <v>906</v>
      </c>
      <c r="L11263" s="539"/>
      <c r="M11263" s="539"/>
      <c r="N11263" s="600">
        <v>579354</v>
      </c>
      <c r="R11263" s="558">
        <v>747.54499999999996</v>
      </c>
      <c r="S11263" s="558">
        <v>747.86245266279298</v>
      </c>
      <c r="T11263" s="538">
        <v>15.5001</v>
      </c>
      <c r="U11263" s="538">
        <v>649.64</v>
      </c>
      <c r="V11263" s="538">
        <v>324.82</v>
      </c>
    </row>
    <row r="11264" spans="1:22">
      <c r="A11264" s="499">
        <v>45881</v>
      </c>
      <c r="B11264" s="499">
        <v>45881</v>
      </c>
      <c r="C11264" s="420" t="s">
        <v>173</v>
      </c>
      <c r="D11264" s="500" t="s">
        <v>762</v>
      </c>
      <c r="E11264" s="501">
        <v>-2565956739.8699999</v>
      </c>
      <c r="F11264" s="95" t="s">
        <v>878</v>
      </c>
      <c r="G11264" s="484">
        <v>118550969</v>
      </c>
      <c r="H11264" s="530"/>
      <c r="I11264" s="422" t="s">
        <v>708</v>
      </c>
      <c r="J11264" s="43" t="s">
        <v>906</v>
      </c>
      <c r="L11264" s="539"/>
      <c r="M11264" s="539"/>
      <c r="N11264" s="600">
        <v>3747465</v>
      </c>
      <c r="R11264" s="558">
        <v>684.71799999999996</v>
      </c>
      <c r="S11264" s="558">
        <v>685.00877065696397</v>
      </c>
      <c r="T11264" s="538">
        <v>15.5</v>
      </c>
      <c r="U11264" s="538">
        <v>3848.94</v>
      </c>
      <c r="V11264" s="538">
        <v>1924.47</v>
      </c>
    </row>
    <row r="11265" spans="1:22">
      <c r="A11265" s="499">
        <v>45881</v>
      </c>
      <c r="B11265" s="499">
        <v>45881</v>
      </c>
      <c r="C11265" s="420" t="s">
        <v>173</v>
      </c>
      <c r="D11265" s="500" t="s">
        <v>762</v>
      </c>
      <c r="E11265" s="501">
        <v>-18006713.960000001</v>
      </c>
      <c r="F11265" s="95" t="s">
        <v>878</v>
      </c>
      <c r="G11265" s="484">
        <v>118550993</v>
      </c>
      <c r="H11265" s="530"/>
      <c r="I11265" s="422" t="s">
        <v>708</v>
      </c>
      <c r="J11265" s="43" t="s">
        <v>906</v>
      </c>
      <c r="L11265" s="539"/>
      <c r="M11265" s="539"/>
      <c r="N11265" s="600">
        <v>26298</v>
      </c>
      <c r="R11265" s="558">
        <v>684.71799999999996</v>
      </c>
      <c r="S11265" s="558">
        <v>685.00877062894494</v>
      </c>
      <c r="T11265" s="538">
        <v>15.5</v>
      </c>
      <c r="U11265" s="538">
        <v>39.32</v>
      </c>
      <c r="V11265" s="538">
        <v>13.51</v>
      </c>
    </row>
    <row r="11266" spans="1:22">
      <c r="A11266" s="499">
        <v>45881</v>
      </c>
      <c r="B11266" s="499">
        <v>45882</v>
      </c>
      <c r="C11266" s="420" t="s">
        <v>173</v>
      </c>
      <c r="D11266" s="500" t="s">
        <v>762</v>
      </c>
      <c r="E11266" s="501">
        <v>433277103.39999998</v>
      </c>
      <c r="F11266" s="95" t="s">
        <v>878</v>
      </c>
      <c r="G11266" s="484">
        <v>118550966</v>
      </c>
      <c r="H11266" s="484">
        <v>118550966</v>
      </c>
      <c r="I11266" s="422" t="s">
        <v>696</v>
      </c>
      <c r="J11266" s="443" t="s">
        <v>912</v>
      </c>
      <c r="L11266" s="539"/>
      <c r="M11266" s="539"/>
      <c r="N11266" s="600">
        <v>579354</v>
      </c>
      <c r="R11266" s="558">
        <v>747.54499999999996</v>
      </c>
      <c r="S11266" s="558">
        <v>747.86245266279298</v>
      </c>
      <c r="T11266" s="538">
        <v>15.5001</v>
      </c>
      <c r="U11266" s="538">
        <v>649.64</v>
      </c>
      <c r="V11266" s="538">
        <v>324.82</v>
      </c>
    </row>
    <row r="11267" spans="1:22">
      <c r="A11267" s="499">
        <v>45881</v>
      </c>
      <c r="B11267" s="499">
        <v>45882</v>
      </c>
      <c r="C11267" s="420" t="s">
        <v>173</v>
      </c>
      <c r="D11267" s="500" t="s">
        <v>762</v>
      </c>
      <c r="E11267" s="501">
        <v>2567046392.73</v>
      </c>
      <c r="F11267" s="95" t="s">
        <v>878</v>
      </c>
      <c r="G11267" s="484">
        <v>118550969</v>
      </c>
      <c r="H11267" s="484">
        <v>118550969</v>
      </c>
      <c r="I11267" s="422" t="s">
        <v>708</v>
      </c>
      <c r="J11267" s="443" t="s">
        <v>912</v>
      </c>
      <c r="L11267" s="539"/>
      <c r="M11267" s="539"/>
      <c r="N11267" s="600">
        <v>3747465</v>
      </c>
      <c r="R11267" s="558">
        <v>684.71799999999996</v>
      </c>
      <c r="S11267" s="558">
        <v>685.00877065696397</v>
      </c>
      <c r="T11267" s="538">
        <v>15.5</v>
      </c>
      <c r="U11267" s="538">
        <v>3848.94</v>
      </c>
      <c r="V11267" s="538">
        <v>1924.47</v>
      </c>
    </row>
    <row r="11268" spans="1:22">
      <c r="A11268" s="499">
        <v>45881</v>
      </c>
      <c r="B11268" s="499">
        <v>45882</v>
      </c>
      <c r="C11268" s="420" t="s">
        <v>173</v>
      </c>
      <c r="D11268" s="500" t="s">
        <v>762</v>
      </c>
      <c r="E11268" s="501">
        <v>18014360.649999999</v>
      </c>
      <c r="F11268" s="95" t="s">
        <v>878</v>
      </c>
      <c r="G11268" s="484">
        <v>118550993</v>
      </c>
      <c r="H11268" s="484">
        <v>118550993</v>
      </c>
      <c r="I11268" s="422" t="s">
        <v>708</v>
      </c>
      <c r="J11268" s="443" t="s">
        <v>912</v>
      </c>
      <c r="L11268" s="539"/>
      <c r="M11268" s="539"/>
      <c r="N11268" s="600">
        <v>26298</v>
      </c>
      <c r="R11268" s="558">
        <v>684.71799999999996</v>
      </c>
      <c r="S11268" s="558">
        <v>685.00877062894494</v>
      </c>
      <c r="T11268" s="538">
        <v>15.5</v>
      </c>
      <c r="U11268" s="538">
        <v>39.32</v>
      </c>
      <c r="V11268" s="538">
        <v>13.51</v>
      </c>
    </row>
    <row r="11269" spans="1:22">
      <c r="A11269" s="499">
        <v>45881</v>
      </c>
      <c r="B11269" s="499">
        <v>45881</v>
      </c>
      <c r="C11269" s="420" t="s">
        <v>173</v>
      </c>
      <c r="D11269" s="500" t="s">
        <v>760</v>
      </c>
      <c r="E11269" s="501">
        <v>-1300457587</v>
      </c>
      <c r="F11269" s="95" t="s">
        <v>878</v>
      </c>
      <c r="G11269" s="443">
        <v>118546022</v>
      </c>
      <c r="H11269" s="530"/>
      <c r="I11269" s="422" t="s">
        <v>658</v>
      </c>
      <c r="J11269" s="43" t="s">
        <v>906</v>
      </c>
      <c r="L11269" s="539"/>
      <c r="M11269" s="539"/>
      <c r="N11269" s="600">
        <v>1272700</v>
      </c>
      <c r="R11269" s="548">
        <v>1021.81</v>
      </c>
      <c r="S11269" s="548">
        <v>1022.24405929127</v>
      </c>
      <c r="T11269" s="549">
        <v>15.505000000000001</v>
      </c>
      <c r="U11269" s="549">
        <v>1950.69</v>
      </c>
      <c r="V11269" s="549">
        <v>975.34</v>
      </c>
    </row>
    <row r="11270" spans="1:22">
      <c r="A11270" s="499">
        <v>45881</v>
      </c>
      <c r="B11270" s="499">
        <v>45881</v>
      </c>
      <c r="C11270" s="420" t="s">
        <v>173</v>
      </c>
      <c r="D11270" s="500" t="s">
        <v>760</v>
      </c>
      <c r="E11270" s="501">
        <v>-899449244.67999995</v>
      </c>
      <c r="F11270" s="95" t="s">
        <v>878</v>
      </c>
      <c r="G11270" s="443">
        <v>118547005</v>
      </c>
      <c r="H11270" s="530"/>
      <c r="I11270" s="422" t="s">
        <v>719</v>
      </c>
      <c r="J11270" s="43" t="s">
        <v>906</v>
      </c>
      <c r="L11270" s="539"/>
      <c r="M11270" s="539"/>
      <c r="N11270" s="600">
        <v>1387157</v>
      </c>
      <c r="R11270" s="548">
        <v>648.41200000000003</v>
      </c>
      <c r="S11270" s="548">
        <v>648.68735303934602</v>
      </c>
      <c r="T11270" s="549">
        <v>15.5</v>
      </c>
      <c r="U11270" s="549">
        <v>1349.17</v>
      </c>
      <c r="V11270" s="549">
        <v>674.59</v>
      </c>
    </row>
    <row r="11271" spans="1:22">
      <c r="A11271" s="499">
        <v>45881</v>
      </c>
      <c r="B11271" s="499">
        <v>45881</v>
      </c>
      <c r="C11271" s="420" t="s">
        <v>173</v>
      </c>
      <c r="D11271" s="500" t="s">
        <v>760</v>
      </c>
      <c r="E11271" s="501">
        <v>-6002998.2999999998</v>
      </c>
      <c r="F11271" s="95" t="s">
        <v>878</v>
      </c>
      <c r="G11271" s="443">
        <v>118547021</v>
      </c>
      <c r="H11271" s="530"/>
      <c r="I11271" s="422" t="s">
        <v>719</v>
      </c>
      <c r="J11271" s="43" t="s">
        <v>906</v>
      </c>
      <c r="L11271" s="539"/>
      <c r="M11271" s="539"/>
      <c r="N11271" s="600">
        <v>9258</v>
      </c>
      <c r="R11271" s="548">
        <v>648.41200000000003</v>
      </c>
      <c r="S11271" s="548">
        <v>648.68735364009501</v>
      </c>
      <c r="T11271" s="549">
        <v>15.5</v>
      </c>
      <c r="U11271" s="549">
        <v>39.32</v>
      </c>
      <c r="V11271" s="549">
        <v>4.5</v>
      </c>
    </row>
    <row r="11272" spans="1:22">
      <c r="A11272" s="499">
        <v>45881</v>
      </c>
      <c r="B11272" s="499">
        <v>45882</v>
      </c>
      <c r="C11272" s="420" t="s">
        <v>173</v>
      </c>
      <c r="D11272" s="500" t="s">
        <v>760</v>
      </c>
      <c r="E11272" s="501">
        <v>1301010014.26</v>
      </c>
      <c r="F11272" s="95" t="s">
        <v>878</v>
      </c>
      <c r="G11272" s="443">
        <v>118546022</v>
      </c>
      <c r="H11272" s="443">
        <v>118546022</v>
      </c>
      <c r="I11272" s="422" t="s">
        <v>658</v>
      </c>
      <c r="J11272" s="443" t="s">
        <v>912</v>
      </c>
      <c r="L11272" s="539"/>
      <c r="M11272" s="539"/>
      <c r="N11272" s="600">
        <v>1272700</v>
      </c>
      <c r="R11272" s="548">
        <v>1021.81</v>
      </c>
      <c r="S11272" s="548">
        <v>1022.24405929127</v>
      </c>
      <c r="T11272" s="549">
        <v>15.505000000000001</v>
      </c>
      <c r="U11272" s="549">
        <v>1950.69</v>
      </c>
      <c r="V11272" s="549">
        <v>975.34</v>
      </c>
    </row>
    <row r="11273" spans="1:22">
      <c r="A11273" s="499">
        <v>45881</v>
      </c>
      <c r="B11273" s="499">
        <v>45882</v>
      </c>
      <c r="C11273" s="420" t="s">
        <v>173</v>
      </c>
      <c r="D11273" s="500" t="s">
        <v>760</v>
      </c>
      <c r="E11273" s="501">
        <v>899831202.58000004</v>
      </c>
      <c r="F11273" s="95" t="s">
        <v>878</v>
      </c>
      <c r="G11273" s="443">
        <v>118547005</v>
      </c>
      <c r="H11273" s="443">
        <v>118547005</v>
      </c>
      <c r="I11273" s="422" t="s">
        <v>719</v>
      </c>
      <c r="J11273" s="443" t="s">
        <v>912</v>
      </c>
      <c r="L11273" s="539"/>
      <c r="M11273" s="539"/>
      <c r="N11273" s="600">
        <v>1387157</v>
      </c>
      <c r="R11273" s="548">
        <v>648.41200000000003</v>
      </c>
      <c r="S11273" s="548">
        <v>648.68735303934602</v>
      </c>
      <c r="T11273" s="549">
        <v>15.5</v>
      </c>
      <c r="U11273" s="549">
        <v>1349.17</v>
      </c>
      <c r="V11273" s="549">
        <v>674.59</v>
      </c>
    </row>
    <row r="11274" spans="1:22">
      <c r="A11274" s="499">
        <v>45881</v>
      </c>
      <c r="B11274" s="499">
        <v>45882</v>
      </c>
      <c r="C11274" s="420" t="s">
        <v>173</v>
      </c>
      <c r="D11274" s="500" t="s">
        <v>760</v>
      </c>
      <c r="E11274" s="501">
        <v>6005547.5199999996</v>
      </c>
      <c r="F11274" s="95" t="s">
        <v>878</v>
      </c>
      <c r="G11274" s="443">
        <v>118547021</v>
      </c>
      <c r="H11274" s="443">
        <v>118547021</v>
      </c>
      <c r="I11274" s="422" t="s">
        <v>719</v>
      </c>
      <c r="J11274" s="443" t="s">
        <v>912</v>
      </c>
      <c r="L11274" s="539"/>
      <c r="M11274" s="539"/>
      <c r="N11274" s="600">
        <v>9258</v>
      </c>
      <c r="R11274" s="548">
        <v>648.41200000000003</v>
      </c>
      <c r="S11274" s="548">
        <v>648.68735364009501</v>
      </c>
      <c r="T11274" s="549">
        <v>15.5</v>
      </c>
      <c r="U11274" s="549">
        <v>39.32</v>
      </c>
      <c r="V11274" s="549">
        <v>4.5</v>
      </c>
    </row>
    <row r="11275" spans="1:22" ht="15">
      <c r="A11275" s="499">
        <v>45881</v>
      </c>
      <c r="B11275" s="499">
        <v>45881</v>
      </c>
      <c r="C11275" s="420" t="s">
        <v>173</v>
      </c>
      <c r="D11275" s="500" t="s">
        <v>764</v>
      </c>
      <c r="E11275" s="501">
        <v>-4792627159.8699999</v>
      </c>
      <c r="F11275" s="95" t="s">
        <v>878</v>
      </c>
      <c r="G11275" s="484">
        <v>118547438</v>
      </c>
      <c r="H11275" s="530"/>
      <c r="I11275" s="422" t="s">
        <v>706</v>
      </c>
      <c r="J11275" s="43" t="s">
        <v>906</v>
      </c>
      <c r="L11275" s="539"/>
      <c r="M11275" s="539"/>
      <c r="N11275" s="602">
        <v>6220911</v>
      </c>
      <c r="R11275" s="539">
        <v>770.40600000064296</v>
      </c>
      <c r="S11275" s="539">
        <v>770.73315871260695</v>
      </c>
      <c r="T11275" s="538">
        <v>15.5</v>
      </c>
      <c r="U11275" s="538">
        <v>7188.94</v>
      </c>
      <c r="V11275" s="538">
        <v>3594.47</v>
      </c>
    </row>
    <row r="11276" spans="1:22" ht="15">
      <c r="A11276" s="499">
        <v>45881</v>
      </c>
      <c r="B11276" s="499">
        <v>45881</v>
      </c>
      <c r="C11276" s="420" t="s">
        <v>173</v>
      </c>
      <c r="D11276" s="500" t="s">
        <v>764</v>
      </c>
      <c r="E11276" s="501">
        <v>-27020449.640000001</v>
      </c>
      <c r="F11276" s="95" t="s">
        <v>878</v>
      </c>
      <c r="G11276" s="484">
        <v>118547511</v>
      </c>
      <c r="H11276" s="530"/>
      <c r="I11276" s="422" t="s">
        <v>706</v>
      </c>
      <c r="J11276" s="43" t="s">
        <v>906</v>
      </c>
      <c r="L11276" s="539"/>
      <c r="M11276" s="539"/>
      <c r="N11276" s="602">
        <v>35073</v>
      </c>
      <c r="R11276" s="539">
        <v>770.4060000570239</v>
      </c>
      <c r="S11276" s="539">
        <v>770.733158840133</v>
      </c>
      <c r="T11276" s="538">
        <v>15.5</v>
      </c>
      <c r="U11276" s="538">
        <v>40.53</v>
      </c>
      <c r="V11276" s="538">
        <v>20.27</v>
      </c>
    </row>
    <row r="11277" spans="1:22">
      <c r="A11277" s="499">
        <v>45881</v>
      </c>
      <c r="B11277" s="499">
        <v>45882</v>
      </c>
      <c r="C11277" s="420" t="s">
        <v>173</v>
      </c>
      <c r="D11277" s="500" t="s">
        <v>764</v>
      </c>
      <c r="E11277" s="501">
        <v>4794662385.1000004</v>
      </c>
      <c r="F11277" s="95" t="s">
        <v>878</v>
      </c>
      <c r="G11277" s="484">
        <v>118547438</v>
      </c>
      <c r="H11277" s="484">
        <v>118547438</v>
      </c>
      <c r="I11277" s="422" t="s">
        <v>706</v>
      </c>
      <c r="J11277" s="443" t="s">
        <v>912</v>
      </c>
      <c r="L11277" s="539"/>
      <c r="M11277" s="539"/>
      <c r="N11277" s="600">
        <v>6220911</v>
      </c>
      <c r="R11277" s="539">
        <v>770.40600000064296</v>
      </c>
      <c r="S11277" s="539">
        <v>770.73315871260695</v>
      </c>
      <c r="T11277" s="538">
        <v>15.5</v>
      </c>
      <c r="U11277" s="538">
        <v>7188.94</v>
      </c>
      <c r="V11277" s="538">
        <v>3594.47</v>
      </c>
    </row>
    <row r="11278" spans="1:22">
      <c r="A11278" s="499">
        <v>45881</v>
      </c>
      <c r="B11278" s="499">
        <v>45882</v>
      </c>
      <c r="C11278" s="420" t="s">
        <v>173</v>
      </c>
      <c r="D11278" s="500" t="s">
        <v>764</v>
      </c>
      <c r="E11278" s="501">
        <v>27031924.079999998</v>
      </c>
      <c r="F11278" s="95" t="s">
        <v>878</v>
      </c>
      <c r="G11278" s="484">
        <v>118547511</v>
      </c>
      <c r="H11278" s="484">
        <v>118547511</v>
      </c>
      <c r="I11278" s="422" t="s">
        <v>706</v>
      </c>
      <c r="J11278" s="443" t="s">
        <v>912</v>
      </c>
      <c r="L11278" s="539"/>
      <c r="M11278" s="539"/>
      <c r="N11278" s="600">
        <v>35073</v>
      </c>
      <c r="R11278" s="539">
        <v>770.4060000570239</v>
      </c>
      <c r="S11278" s="539">
        <v>770.733158840133</v>
      </c>
      <c r="T11278" s="538">
        <v>15.5</v>
      </c>
      <c r="U11278" s="538">
        <v>40.53</v>
      </c>
      <c r="V11278" s="538">
        <v>20.27</v>
      </c>
    </row>
    <row r="11279" spans="1:22">
      <c r="A11279" s="499">
        <v>45881</v>
      </c>
      <c r="B11279" s="499">
        <v>45881</v>
      </c>
      <c r="C11279" s="420" t="s">
        <v>173</v>
      </c>
      <c r="D11279" s="500" t="s">
        <v>763</v>
      </c>
      <c r="E11279" s="501">
        <v>-3605800976.46</v>
      </c>
      <c r="F11279" s="95" t="s">
        <v>878</v>
      </c>
      <c r="G11279" s="484">
        <v>118546209</v>
      </c>
      <c r="H11279" s="530"/>
      <c r="I11279" s="422" t="s">
        <v>719</v>
      </c>
      <c r="J11279" s="43" t="s">
        <v>906</v>
      </c>
      <c r="L11279" s="539"/>
      <c r="M11279" s="539"/>
      <c r="N11279" s="600">
        <v>5560972</v>
      </c>
      <c r="R11279" s="539">
        <v>648.41200000000003</v>
      </c>
      <c r="S11279" s="539">
        <v>648.68735304007998</v>
      </c>
      <c r="T11279" s="538">
        <v>15.5</v>
      </c>
      <c r="U11279" s="538">
        <v>5408.7</v>
      </c>
      <c r="V11279" s="538">
        <v>2704.35</v>
      </c>
    </row>
    <row r="11280" spans="1:22">
      <c r="A11280" s="499">
        <v>45881</v>
      </c>
      <c r="B11280" s="499">
        <v>45881</v>
      </c>
      <c r="C11280" s="420" t="s">
        <v>173</v>
      </c>
      <c r="D11280" s="500" t="s">
        <v>763</v>
      </c>
      <c r="E11280" s="501">
        <v>-21010494.039999999</v>
      </c>
      <c r="F11280" s="95" t="s">
        <v>878</v>
      </c>
      <c r="G11280" s="484">
        <v>118546248</v>
      </c>
      <c r="H11280" s="530"/>
      <c r="I11280" s="422" t="s">
        <v>719</v>
      </c>
      <c r="J11280" s="43" t="s">
        <v>906</v>
      </c>
      <c r="L11280" s="539"/>
      <c r="M11280" s="539"/>
      <c r="N11280" s="600">
        <v>32403</v>
      </c>
      <c r="R11280" s="539">
        <v>648.41200000000003</v>
      </c>
      <c r="S11280" s="539">
        <v>648.68735302286802</v>
      </c>
      <c r="T11280" s="538">
        <v>15.5</v>
      </c>
      <c r="U11280" s="538">
        <v>39.32</v>
      </c>
      <c r="V11280" s="538">
        <v>39.32</v>
      </c>
    </row>
    <row r="11281" spans="1:25">
      <c r="A11281" s="499">
        <v>45881</v>
      </c>
      <c r="B11281" s="499">
        <v>45882</v>
      </c>
      <c r="C11281" s="420" t="s">
        <v>173</v>
      </c>
      <c r="D11281" s="500" t="s">
        <v>763</v>
      </c>
      <c r="E11281" s="501">
        <v>3607332207.0100002</v>
      </c>
      <c r="F11281" s="95" t="s">
        <v>878</v>
      </c>
      <c r="G11281" s="484">
        <v>118546209</v>
      </c>
      <c r="H11281" s="484">
        <v>118546209</v>
      </c>
      <c r="I11281" s="422" t="s">
        <v>719</v>
      </c>
      <c r="J11281" s="443" t="s">
        <v>912</v>
      </c>
      <c r="L11281" s="539"/>
      <c r="M11281" s="539"/>
      <c r="N11281" s="600">
        <v>5560972</v>
      </c>
      <c r="R11281" s="539">
        <v>648.41200000000003</v>
      </c>
      <c r="S11281" s="539">
        <v>648.68735304007998</v>
      </c>
      <c r="T11281" s="538">
        <v>15.5</v>
      </c>
      <c r="U11281" s="538">
        <v>5408.7</v>
      </c>
      <c r="V11281" s="538">
        <v>2704.35</v>
      </c>
    </row>
    <row r="11282" spans="1:25">
      <c r="A11282" s="499">
        <v>45881</v>
      </c>
      <c r="B11282" s="499">
        <v>45882</v>
      </c>
      <c r="C11282" s="420" t="s">
        <v>173</v>
      </c>
      <c r="D11282" s="500" t="s">
        <v>763</v>
      </c>
      <c r="E11282" s="501">
        <v>21019416.300000001</v>
      </c>
      <c r="F11282" s="95" t="s">
        <v>878</v>
      </c>
      <c r="G11282" s="484">
        <v>118546248</v>
      </c>
      <c r="H11282" s="484">
        <v>118546248</v>
      </c>
      <c r="I11282" s="422" t="s">
        <v>719</v>
      </c>
      <c r="J11282" s="443" t="s">
        <v>912</v>
      </c>
      <c r="L11282" s="539"/>
      <c r="M11282" s="539"/>
      <c r="N11282" s="600">
        <v>32403</v>
      </c>
      <c r="R11282" s="539">
        <v>648.41200000000003</v>
      </c>
      <c r="S11282" s="539">
        <v>648.68735302286802</v>
      </c>
      <c r="T11282" s="538">
        <v>15.5</v>
      </c>
      <c r="U11282" s="538">
        <v>39.32</v>
      </c>
      <c r="V11282" s="538">
        <v>39.32</v>
      </c>
    </row>
    <row r="11283" spans="1:25">
      <c r="A11283" s="499">
        <v>45881</v>
      </c>
      <c r="B11283" s="499">
        <v>45883</v>
      </c>
      <c r="C11283" s="420" t="s">
        <v>173</v>
      </c>
      <c r="D11283" s="420" t="s">
        <v>761</v>
      </c>
      <c r="E11283" s="501">
        <v>-460186416.67000002</v>
      </c>
      <c r="F11283" s="502" t="s">
        <v>906</v>
      </c>
      <c r="G11283" s="484" t="str">
        <f>VLOOKUP(I11283,Справочник!I:M,5,0)</f>
        <v>KZKD00001301</v>
      </c>
      <c r="H11283" s="530"/>
      <c r="I11283" s="422" t="s">
        <v>2616</v>
      </c>
      <c r="K11283" s="548">
        <v>118555538</v>
      </c>
      <c r="L11283" s="549">
        <v>89.267700000000005</v>
      </c>
      <c r="M11283" s="549">
        <f>E11283*(-1)/(N11283*O11283)*100</f>
        <v>92.037283334000008</v>
      </c>
      <c r="N11283" s="598">
        <v>500000</v>
      </c>
      <c r="O11283" s="539">
        <f>VLOOKUP(G11283,Справочник!A:J,10,0)</f>
        <v>1000</v>
      </c>
      <c r="T11283" s="538">
        <v>16.989999999999998</v>
      </c>
      <c r="U11283" s="538">
        <v>0</v>
      </c>
      <c r="V11283" s="538">
        <v>46018.64</v>
      </c>
      <c r="W11283" s="550">
        <f>VLOOKUP(G11283,Справочник!A:C,3,0)</f>
        <v>0.14449999999999999</v>
      </c>
      <c r="X11283" s="539" t="str">
        <f>VLOOKUP(G11283,Справочник!A:G,7,0)</f>
        <v>Министерство финансов Республики Казахстан</v>
      </c>
      <c r="Y11283" s="551">
        <f>VLOOKUP(G11283,Справочник!A:B,2,0)</f>
        <v>48735</v>
      </c>
    </row>
    <row r="11284" spans="1:25">
      <c r="A11284" s="499">
        <v>45882</v>
      </c>
      <c r="B11284" s="499">
        <v>45882</v>
      </c>
      <c r="C11284" s="420" t="s">
        <v>173</v>
      </c>
      <c r="D11284" s="500" t="s">
        <v>762</v>
      </c>
      <c r="E11284" s="501">
        <v>-2998530756.9299998</v>
      </c>
      <c r="F11284" s="95" t="s">
        <v>878</v>
      </c>
      <c r="G11284" s="484">
        <v>118570465</v>
      </c>
      <c r="H11284" s="530"/>
      <c r="I11284" s="422" t="s">
        <v>719</v>
      </c>
      <c r="J11284" s="43" t="s">
        <v>906</v>
      </c>
      <c r="L11284" s="539"/>
      <c r="M11284" s="539"/>
      <c r="N11284" s="598">
        <v>4655894</v>
      </c>
      <c r="R11284" s="548">
        <v>644.029</v>
      </c>
      <c r="S11284" s="548">
        <v>644.30249176849804</v>
      </c>
      <c r="T11284" s="549">
        <v>15.5</v>
      </c>
      <c r="U11284" s="549">
        <v>4497.8</v>
      </c>
      <c r="V11284" s="549">
        <v>2248.9</v>
      </c>
    </row>
    <row r="11285" spans="1:25">
      <c r="A11285" s="499">
        <v>45882</v>
      </c>
      <c r="B11285" s="499">
        <v>45882</v>
      </c>
      <c r="C11285" s="420" t="s">
        <v>173</v>
      </c>
      <c r="D11285" s="500" t="s">
        <v>762</v>
      </c>
      <c r="E11285" s="501">
        <v>-19003363.699999999</v>
      </c>
      <c r="F11285" s="95" t="s">
        <v>878</v>
      </c>
      <c r="G11285" s="484">
        <v>118570495</v>
      </c>
      <c r="H11285" s="530"/>
      <c r="I11285" s="422" t="s">
        <v>719</v>
      </c>
      <c r="J11285" s="43" t="s">
        <v>906</v>
      </c>
      <c r="L11285" s="539"/>
      <c r="M11285" s="539"/>
      <c r="N11285" s="598">
        <v>29507</v>
      </c>
      <c r="R11285" s="548">
        <v>644.029</v>
      </c>
      <c r="S11285" s="548">
        <v>644.30249161216</v>
      </c>
      <c r="T11285" s="549">
        <v>15.5</v>
      </c>
      <c r="U11285" s="549">
        <v>39.32</v>
      </c>
      <c r="V11285" s="549">
        <v>14.25</v>
      </c>
    </row>
    <row r="11286" spans="1:25">
      <c r="A11286" s="499">
        <v>45882</v>
      </c>
      <c r="B11286" s="499">
        <v>45883</v>
      </c>
      <c r="C11286" s="420" t="s">
        <v>173</v>
      </c>
      <c r="D11286" s="500" t="s">
        <v>762</v>
      </c>
      <c r="E11286" s="501">
        <v>2999804105.6100001</v>
      </c>
      <c r="F11286" s="95" t="s">
        <v>878</v>
      </c>
      <c r="G11286" s="484">
        <v>118570465</v>
      </c>
      <c r="H11286" s="484">
        <v>118570465</v>
      </c>
      <c r="I11286" s="422" t="s">
        <v>719</v>
      </c>
      <c r="J11286" s="443" t="s">
        <v>912</v>
      </c>
      <c r="L11286" s="539"/>
      <c r="M11286" s="539"/>
      <c r="N11286" s="598">
        <v>4655894</v>
      </c>
      <c r="R11286" s="548">
        <v>644.029</v>
      </c>
      <c r="S11286" s="548">
        <v>644.30249176849804</v>
      </c>
      <c r="T11286" s="549">
        <v>15.5</v>
      </c>
      <c r="U11286" s="549">
        <v>4497.8</v>
      </c>
      <c r="V11286" s="549">
        <v>2248.9</v>
      </c>
    </row>
    <row r="11287" spans="1:25">
      <c r="A11287" s="499">
        <v>45882</v>
      </c>
      <c r="B11287" s="499">
        <v>45883</v>
      </c>
      <c r="C11287" s="420" t="s">
        <v>173</v>
      </c>
      <c r="D11287" s="500" t="s">
        <v>762</v>
      </c>
      <c r="E11287" s="501">
        <v>19011433.620000001</v>
      </c>
      <c r="F11287" s="95" t="s">
        <v>878</v>
      </c>
      <c r="G11287" s="484">
        <v>118570495</v>
      </c>
      <c r="H11287" s="484">
        <v>118570495</v>
      </c>
      <c r="I11287" s="422" t="s">
        <v>719</v>
      </c>
      <c r="J11287" s="443" t="s">
        <v>912</v>
      </c>
      <c r="L11287" s="539"/>
      <c r="M11287" s="539"/>
      <c r="N11287" s="598">
        <v>29507</v>
      </c>
      <c r="R11287" s="548">
        <v>644.029</v>
      </c>
      <c r="S11287" s="548">
        <v>644.30249161216</v>
      </c>
      <c r="T11287" s="549">
        <v>15.5</v>
      </c>
      <c r="U11287" s="549">
        <v>39.32</v>
      </c>
      <c r="V11287" s="549">
        <v>14.25</v>
      </c>
    </row>
    <row r="11288" spans="1:25">
      <c r="A11288" s="499">
        <v>45882</v>
      </c>
      <c r="B11288" s="499">
        <v>45882</v>
      </c>
      <c r="C11288" s="420" t="s">
        <v>173</v>
      </c>
      <c r="D11288" s="500" t="s">
        <v>761</v>
      </c>
      <c r="E11288" s="501">
        <v>-83049473.640000001</v>
      </c>
      <c r="F11288" s="95" t="s">
        <v>878</v>
      </c>
      <c r="G11288" s="443">
        <v>118567052</v>
      </c>
      <c r="H11288" s="530"/>
      <c r="I11288" s="422" t="s">
        <v>596</v>
      </c>
      <c r="J11288" s="43" t="s">
        <v>906</v>
      </c>
      <c r="L11288" s="539"/>
      <c r="M11288" s="539"/>
      <c r="N11288" s="598">
        <v>77522</v>
      </c>
      <c r="R11288" s="548">
        <v>1071.3019999484018</v>
      </c>
      <c r="S11288" s="548">
        <v>1071.7569393204501</v>
      </c>
      <c r="T11288" s="549">
        <v>15.5001</v>
      </c>
      <c r="U11288" s="538">
        <v>124.57</v>
      </c>
      <c r="V11288" s="538">
        <v>62.29</v>
      </c>
    </row>
    <row r="11289" spans="1:25">
      <c r="A11289" s="499">
        <v>45882</v>
      </c>
      <c r="B11289" s="499">
        <v>45882</v>
      </c>
      <c r="C11289" s="420" t="s">
        <v>173</v>
      </c>
      <c r="D11289" s="500" t="s">
        <v>761</v>
      </c>
      <c r="E11289" s="501">
        <v>-118047912.15000001</v>
      </c>
      <c r="F11289" s="95" t="s">
        <v>878</v>
      </c>
      <c r="G11289" s="443">
        <v>118567055</v>
      </c>
      <c r="H11289" s="530"/>
      <c r="I11289" s="624" t="s">
        <v>550</v>
      </c>
      <c r="J11289" s="43" t="s">
        <v>906</v>
      </c>
      <c r="L11289" s="539"/>
      <c r="M11289" s="539"/>
      <c r="N11289" s="598">
        <v>212872</v>
      </c>
      <c r="R11289" s="548">
        <v>554.54879998308843</v>
      </c>
      <c r="S11289" s="548">
        <v>554.78429483445495</v>
      </c>
      <c r="T11289" s="549">
        <v>15.5001</v>
      </c>
      <c r="U11289" s="538">
        <v>177.07</v>
      </c>
      <c r="V11289" s="538">
        <v>88.54</v>
      </c>
    </row>
    <row r="11290" spans="1:25">
      <c r="A11290" s="499">
        <v>45882</v>
      </c>
      <c r="B11290" s="499">
        <v>45882</v>
      </c>
      <c r="C11290" s="420" t="s">
        <v>173</v>
      </c>
      <c r="D11290" s="500" t="s">
        <v>761</v>
      </c>
      <c r="E11290" s="501">
        <v>-119008816.70999999</v>
      </c>
      <c r="F11290" s="95" t="s">
        <v>878</v>
      </c>
      <c r="G11290" s="443">
        <v>118567058</v>
      </c>
      <c r="H11290" s="530"/>
      <c r="I11290" s="422" t="s">
        <v>590</v>
      </c>
      <c r="J11290" s="43" t="s">
        <v>906</v>
      </c>
      <c r="L11290" s="539"/>
      <c r="M11290" s="539"/>
      <c r="N11290" s="598">
        <v>136374</v>
      </c>
      <c r="R11290" s="548">
        <v>872.66499999999996</v>
      </c>
      <c r="S11290" s="548">
        <v>873.03558618211696</v>
      </c>
      <c r="T11290" s="549">
        <v>15.5001</v>
      </c>
      <c r="U11290" s="538">
        <v>178.51</v>
      </c>
      <c r="V11290" s="538">
        <v>89.26</v>
      </c>
    </row>
    <row r="11291" spans="1:25">
      <c r="A11291" s="499">
        <v>45882</v>
      </c>
      <c r="B11291" s="499">
        <v>45882</v>
      </c>
      <c r="C11291" s="420" t="s">
        <v>173</v>
      </c>
      <c r="D11291" s="500" t="s">
        <v>761</v>
      </c>
      <c r="E11291" s="501">
        <v>-135047799.59</v>
      </c>
      <c r="F11291" s="95" t="s">
        <v>878</v>
      </c>
      <c r="G11291" s="443">
        <v>118567061</v>
      </c>
      <c r="H11291" s="530"/>
      <c r="I11291" s="422" t="s">
        <v>708</v>
      </c>
      <c r="J11291" s="43" t="s">
        <v>906</v>
      </c>
      <c r="L11291" s="539"/>
      <c r="M11291" s="539"/>
      <c r="N11291" s="598">
        <v>198855</v>
      </c>
      <c r="R11291" s="548">
        <v>679.12700002514396</v>
      </c>
      <c r="S11291" s="548">
        <v>679.41539830529803</v>
      </c>
      <c r="T11291" s="549">
        <v>15.5001</v>
      </c>
      <c r="U11291" s="538">
        <v>202.57</v>
      </c>
      <c r="V11291" s="538">
        <v>101.29</v>
      </c>
    </row>
    <row r="11292" spans="1:25">
      <c r="A11292" s="499">
        <v>45882</v>
      </c>
      <c r="B11292" s="499">
        <v>45882</v>
      </c>
      <c r="C11292" s="420" t="s">
        <v>173</v>
      </c>
      <c r="D11292" s="500" t="s">
        <v>761</v>
      </c>
      <c r="E11292" s="501">
        <v>-187074351.38999999</v>
      </c>
      <c r="F11292" s="95" t="s">
        <v>878</v>
      </c>
      <c r="G11292" s="443">
        <v>118567064</v>
      </c>
      <c r="H11292" s="530"/>
      <c r="I11292" s="422" t="s">
        <v>678</v>
      </c>
      <c r="J11292" s="43" t="s">
        <v>906</v>
      </c>
      <c r="L11292" s="539"/>
      <c r="M11292" s="539"/>
      <c r="N11292" s="598">
        <v>200651</v>
      </c>
      <c r="R11292" s="548">
        <v>932.33700001495129</v>
      </c>
      <c r="S11292" s="548">
        <v>932.73292652416399</v>
      </c>
      <c r="T11292" s="549">
        <v>15.5001</v>
      </c>
      <c r="U11292" s="538">
        <v>280.61</v>
      </c>
      <c r="V11292" s="538">
        <v>140.31</v>
      </c>
    </row>
    <row r="11293" spans="1:25">
      <c r="A11293" s="499">
        <v>45882</v>
      </c>
      <c r="B11293" s="499">
        <v>45882</v>
      </c>
      <c r="C11293" s="420" t="s">
        <v>173</v>
      </c>
      <c r="D11293" s="500" t="s">
        <v>761</v>
      </c>
      <c r="E11293" s="501">
        <v>-191163332.31</v>
      </c>
      <c r="F11293" s="95" t="s">
        <v>878</v>
      </c>
      <c r="G11293" s="443">
        <v>118567067</v>
      </c>
      <c r="H11293" s="530"/>
      <c r="I11293" s="422" t="s">
        <v>821</v>
      </c>
      <c r="J11293" s="43" t="s">
        <v>906</v>
      </c>
      <c r="L11293" s="539"/>
      <c r="M11293" s="539"/>
      <c r="N11293" s="598">
        <v>188899</v>
      </c>
      <c r="R11293" s="548">
        <v>1011.9869999841185</v>
      </c>
      <c r="S11293" s="548">
        <v>1012.41675064452</v>
      </c>
      <c r="T11293" s="549">
        <v>15.5001</v>
      </c>
      <c r="U11293" s="538">
        <v>286.74</v>
      </c>
      <c r="V11293" s="538">
        <v>143.37</v>
      </c>
    </row>
    <row r="11294" spans="1:25">
      <c r="A11294" s="499">
        <v>45882</v>
      </c>
      <c r="B11294" s="499">
        <v>45882</v>
      </c>
      <c r="C11294" s="420" t="s">
        <v>173</v>
      </c>
      <c r="D11294" s="500" t="s">
        <v>761</v>
      </c>
      <c r="E11294" s="501">
        <v>-221152783.49000001</v>
      </c>
      <c r="F11294" s="95" t="s">
        <v>878</v>
      </c>
      <c r="G11294" s="443">
        <v>118567070</v>
      </c>
      <c r="H11294" s="530"/>
      <c r="I11294" s="422" t="s">
        <v>592</v>
      </c>
      <c r="J11294" s="43" t="s">
        <v>906</v>
      </c>
      <c r="L11294" s="539"/>
      <c r="M11294" s="539"/>
      <c r="N11294" s="598">
        <v>297024</v>
      </c>
      <c r="R11294" s="548">
        <v>744.56200000673346</v>
      </c>
      <c r="S11294" s="548">
        <v>744.87818590416896</v>
      </c>
      <c r="T11294" s="549">
        <v>15.5001</v>
      </c>
      <c r="U11294" s="538">
        <v>331.73</v>
      </c>
      <c r="V11294" s="538">
        <v>165.86</v>
      </c>
    </row>
    <row r="11295" spans="1:25">
      <c r="A11295" s="499">
        <v>45882</v>
      </c>
      <c r="B11295" s="499">
        <v>45882</v>
      </c>
      <c r="C11295" s="420" t="s">
        <v>173</v>
      </c>
      <c r="D11295" s="500" t="s">
        <v>761</v>
      </c>
      <c r="E11295" s="501">
        <v>-277220741.57999998</v>
      </c>
      <c r="F11295" s="95" t="s">
        <v>878</v>
      </c>
      <c r="G11295" s="443">
        <v>118567073</v>
      </c>
      <c r="H11295" s="530"/>
      <c r="I11295" s="422" t="s">
        <v>691</v>
      </c>
      <c r="J11295" s="43" t="s">
        <v>906</v>
      </c>
      <c r="L11295" s="539"/>
      <c r="M11295" s="539"/>
      <c r="N11295" s="598">
        <v>320489</v>
      </c>
      <c r="R11295" s="548">
        <v>864.99300000936068</v>
      </c>
      <c r="S11295" s="548">
        <v>865.36032818599097</v>
      </c>
      <c r="T11295" s="549">
        <v>15.5001</v>
      </c>
      <c r="U11295" s="538">
        <v>415.83</v>
      </c>
      <c r="V11295" s="538">
        <v>207.92</v>
      </c>
    </row>
    <row r="11296" spans="1:25">
      <c r="A11296" s="499">
        <v>45882</v>
      </c>
      <c r="B11296" s="499">
        <v>45882</v>
      </c>
      <c r="C11296" s="420" t="s">
        <v>173</v>
      </c>
      <c r="D11296" s="500" t="s">
        <v>761</v>
      </c>
      <c r="E11296" s="501">
        <v>-297066282.98000002</v>
      </c>
      <c r="F11296" s="95" t="s">
        <v>878</v>
      </c>
      <c r="G11296" s="443">
        <v>118567076</v>
      </c>
      <c r="H11296" s="530"/>
      <c r="I11296" s="422" t="s">
        <v>692</v>
      </c>
      <c r="J11296" s="43" t="s">
        <v>906</v>
      </c>
      <c r="L11296" s="539"/>
      <c r="M11296" s="539"/>
      <c r="N11296" s="598">
        <v>409563</v>
      </c>
      <c r="R11296" s="548">
        <v>725.32500001220819</v>
      </c>
      <c r="S11296" s="548">
        <v>725.63301672758496</v>
      </c>
      <c r="T11296" s="549">
        <v>15.5001</v>
      </c>
      <c r="U11296" s="538">
        <v>445.6</v>
      </c>
      <c r="V11296" s="538">
        <v>222.8</v>
      </c>
    </row>
    <row r="11297" spans="1:22">
      <c r="A11297" s="499">
        <v>45882</v>
      </c>
      <c r="B11297" s="499">
        <v>45882</v>
      </c>
      <c r="C11297" s="420" t="s">
        <v>173</v>
      </c>
      <c r="D11297" s="500" t="s">
        <v>761</v>
      </c>
      <c r="E11297" s="501">
        <v>-161008764.02000001</v>
      </c>
      <c r="F11297" s="95" t="s">
        <v>878</v>
      </c>
      <c r="G11297" s="443">
        <v>118567079</v>
      </c>
      <c r="H11297" s="530"/>
      <c r="I11297" s="422" t="s">
        <v>631</v>
      </c>
      <c r="J11297" s="43" t="s">
        <v>906</v>
      </c>
      <c r="L11297" s="539"/>
      <c r="M11297" s="539"/>
      <c r="N11297" s="598">
        <v>322483</v>
      </c>
      <c r="R11297" s="548">
        <v>499.27830000341106</v>
      </c>
      <c r="S11297" s="548">
        <v>499.49032367597698</v>
      </c>
      <c r="T11297" s="549">
        <v>15.5001</v>
      </c>
      <c r="U11297" s="538">
        <v>241.51</v>
      </c>
      <c r="V11297" s="538">
        <v>120.76</v>
      </c>
    </row>
    <row r="11298" spans="1:22">
      <c r="A11298" s="499">
        <v>45882</v>
      </c>
      <c r="B11298" s="499">
        <v>45882</v>
      </c>
      <c r="C11298" s="420" t="s">
        <v>173</v>
      </c>
      <c r="D11298" s="500" t="s">
        <v>761</v>
      </c>
      <c r="E11298" s="501">
        <v>-10000544.35</v>
      </c>
      <c r="F11298" s="95" t="s">
        <v>878</v>
      </c>
      <c r="G11298" s="443">
        <v>118567102</v>
      </c>
      <c r="H11298" s="530"/>
      <c r="I11298" s="422" t="s">
        <v>631</v>
      </c>
      <c r="J11298" s="43" t="s">
        <v>906</v>
      </c>
      <c r="L11298" s="539"/>
      <c r="M11298" s="539"/>
      <c r="N11298" s="598">
        <v>20030</v>
      </c>
      <c r="R11298" s="548">
        <v>499.27830004992512</v>
      </c>
      <c r="S11298" s="548">
        <v>499.490323514728</v>
      </c>
      <c r="T11298" s="549">
        <v>15.5001</v>
      </c>
      <c r="U11298" s="538">
        <v>39.32</v>
      </c>
      <c r="V11298" s="538">
        <v>7.5</v>
      </c>
    </row>
    <row r="11299" spans="1:22">
      <c r="A11299" s="499">
        <v>45882</v>
      </c>
      <c r="B11299" s="499">
        <v>45882</v>
      </c>
      <c r="C11299" s="420" t="s">
        <v>173</v>
      </c>
      <c r="D11299" s="500" t="s">
        <v>761</v>
      </c>
      <c r="E11299" s="501">
        <v>-56011669.950000003</v>
      </c>
      <c r="F11299" s="95" t="s">
        <v>878</v>
      </c>
      <c r="G11299" s="443">
        <v>118568832</v>
      </c>
      <c r="H11299" s="530"/>
      <c r="I11299" s="422" t="s">
        <v>712</v>
      </c>
      <c r="J11299" s="43" t="s">
        <v>906</v>
      </c>
      <c r="L11299" s="539"/>
      <c r="M11299" s="539"/>
      <c r="N11299" s="598">
        <v>66752</v>
      </c>
      <c r="R11299" s="548">
        <v>839.1009999700384</v>
      </c>
      <c r="S11299" s="548">
        <v>839.45735348753601</v>
      </c>
      <c r="T11299" s="549">
        <v>15.500999999999999</v>
      </c>
      <c r="U11299" s="538">
        <v>84.02</v>
      </c>
      <c r="V11299" s="538">
        <v>42.01</v>
      </c>
    </row>
    <row r="11300" spans="1:22">
      <c r="A11300" s="499">
        <v>45882</v>
      </c>
      <c r="B11300" s="499">
        <v>45883</v>
      </c>
      <c r="C11300" s="420" t="s">
        <v>173</v>
      </c>
      <c r="D11300" s="500" t="s">
        <v>761</v>
      </c>
      <c r="E11300" s="501">
        <v>83084741.450000003</v>
      </c>
      <c r="F11300" s="95" t="s">
        <v>878</v>
      </c>
      <c r="G11300" s="443">
        <v>118567052</v>
      </c>
      <c r="H11300" s="443">
        <v>118567052</v>
      </c>
      <c r="I11300" s="422" t="s">
        <v>596</v>
      </c>
      <c r="J11300" s="443" t="s">
        <v>912</v>
      </c>
      <c r="L11300" s="539"/>
      <c r="M11300" s="539"/>
      <c r="N11300" s="598">
        <v>77522</v>
      </c>
      <c r="R11300" s="548">
        <v>1071.3019999484018</v>
      </c>
      <c r="S11300" s="548">
        <v>1071.7569393204501</v>
      </c>
      <c r="T11300" s="549">
        <v>15.5001</v>
      </c>
      <c r="U11300" s="538">
        <v>124.57</v>
      </c>
      <c r="V11300" s="538">
        <v>62.29</v>
      </c>
    </row>
    <row r="11301" spans="1:22">
      <c r="A11301" s="499">
        <v>45882</v>
      </c>
      <c r="B11301" s="499">
        <v>45883</v>
      </c>
      <c r="C11301" s="420" t="s">
        <v>173</v>
      </c>
      <c r="D11301" s="500" t="s">
        <v>761</v>
      </c>
      <c r="E11301" s="501">
        <v>118098042.41</v>
      </c>
      <c r="F11301" s="95" t="s">
        <v>878</v>
      </c>
      <c r="G11301" s="443">
        <v>118567055</v>
      </c>
      <c r="H11301" s="443">
        <v>118567055</v>
      </c>
      <c r="I11301" s="422" t="s">
        <v>550</v>
      </c>
      <c r="J11301" s="443" t="s">
        <v>912</v>
      </c>
      <c r="L11301" s="539"/>
      <c r="M11301" s="539"/>
      <c r="N11301" s="598">
        <v>212872</v>
      </c>
      <c r="R11301" s="548">
        <v>554.54879998308843</v>
      </c>
      <c r="S11301" s="548">
        <v>554.78429483445495</v>
      </c>
      <c r="T11301" s="549">
        <v>15.5001</v>
      </c>
      <c r="U11301" s="538">
        <v>177.07</v>
      </c>
      <c r="V11301" s="538">
        <v>88.54</v>
      </c>
    </row>
    <row r="11302" spans="1:22">
      <c r="A11302" s="499">
        <v>45882</v>
      </c>
      <c r="B11302" s="499">
        <v>45883</v>
      </c>
      <c r="C11302" s="420" t="s">
        <v>173</v>
      </c>
      <c r="D11302" s="500" t="s">
        <v>761</v>
      </c>
      <c r="E11302" s="501">
        <v>119059355.03</v>
      </c>
      <c r="F11302" s="95" t="s">
        <v>878</v>
      </c>
      <c r="G11302" s="443">
        <v>118567058</v>
      </c>
      <c r="H11302" s="443">
        <v>118567058</v>
      </c>
      <c r="I11302" s="422" t="s">
        <v>590</v>
      </c>
      <c r="J11302" s="443" t="s">
        <v>912</v>
      </c>
      <c r="L11302" s="539"/>
      <c r="M11302" s="539"/>
      <c r="N11302" s="598">
        <v>136374</v>
      </c>
      <c r="R11302" s="548">
        <v>872.66499999999996</v>
      </c>
      <c r="S11302" s="548">
        <v>873.03558618211696</v>
      </c>
      <c r="T11302" s="549">
        <v>15.5001</v>
      </c>
      <c r="U11302" s="538">
        <v>178.51</v>
      </c>
      <c r="V11302" s="538">
        <v>89.26</v>
      </c>
    </row>
    <row r="11303" spans="1:22">
      <c r="A11303" s="499">
        <v>45882</v>
      </c>
      <c r="B11303" s="499">
        <v>45883</v>
      </c>
      <c r="C11303" s="420" t="s">
        <v>173</v>
      </c>
      <c r="D11303" s="500" t="s">
        <v>761</v>
      </c>
      <c r="E11303" s="501">
        <v>135105149.03</v>
      </c>
      <c r="F11303" s="95" t="s">
        <v>878</v>
      </c>
      <c r="G11303" s="443">
        <v>118567061</v>
      </c>
      <c r="H11303" s="443">
        <v>118567061</v>
      </c>
      <c r="I11303" s="422" t="s">
        <v>708</v>
      </c>
      <c r="J11303" s="443" t="s">
        <v>912</v>
      </c>
      <c r="L11303" s="539"/>
      <c r="M11303" s="539"/>
      <c r="N11303" s="598">
        <v>198855</v>
      </c>
      <c r="R11303" s="548">
        <v>679.12700002514396</v>
      </c>
      <c r="S11303" s="548">
        <v>679.41539830529803</v>
      </c>
      <c r="T11303" s="549">
        <v>15.5001</v>
      </c>
      <c r="U11303" s="538">
        <v>202.57</v>
      </c>
      <c r="V11303" s="538">
        <v>101.29</v>
      </c>
    </row>
    <row r="11304" spans="1:22">
      <c r="A11304" s="499">
        <v>45882</v>
      </c>
      <c r="B11304" s="499">
        <v>45883</v>
      </c>
      <c r="C11304" s="420" t="s">
        <v>173</v>
      </c>
      <c r="D11304" s="500" t="s">
        <v>761</v>
      </c>
      <c r="E11304" s="501">
        <v>187153794.44</v>
      </c>
      <c r="F11304" s="95" t="s">
        <v>878</v>
      </c>
      <c r="G11304" s="443">
        <v>118567064</v>
      </c>
      <c r="H11304" s="443">
        <v>118567064</v>
      </c>
      <c r="I11304" s="422" t="s">
        <v>678</v>
      </c>
      <c r="J11304" s="443" t="s">
        <v>912</v>
      </c>
      <c r="L11304" s="539"/>
      <c r="M11304" s="539"/>
      <c r="N11304" s="598">
        <v>200651</v>
      </c>
      <c r="R11304" s="548">
        <v>932.33700001495129</v>
      </c>
      <c r="S11304" s="548">
        <v>932.73292652416399</v>
      </c>
      <c r="T11304" s="549">
        <v>15.5001</v>
      </c>
      <c r="U11304" s="538">
        <v>280.61</v>
      </c>
      <c r="V11304" s="538">
        <v>140.31</v>
      </c>
    </row>
    <row r="11305" spans="1:22">
      <c r="A11305" s="499">
        <v>45882</v>
      </c>
      <c r="B11305" s="499">
        <v>45883</v>
      </c>
      <c r="C11305" s="420" t="s">
        <v>173</v>
      </c>
      <c r="D11305" s="500" t="s">
        <v>761</v>
      </c>
      <c r="E11305" s="501">
        <v>191244511.78</v>
      </c>
      <c r="F11305" s="95" t="s">
        <v>878</v>
      </c>
      <c r="G11305" s="443">
        <v>118567067</v>
      </c>
      <c r="H11305" s="443">
        <v>118567067</v>
      </c>
      <c r="I11305" s="422" t="s">
        <v>821</v>
      </c>
      <c r="J11305" s="443" t="s">
        <v>912</v>
      </c>
      <c r="L11305" s="539"/>
      <c r="M11305" s="539"/>
      <c r="N11305" s="598">
        <v>188899</v>
      </c>
      <c r="R11305" s="548">
        <v>1011.9869999841185</v>
      </c>
      <c r="S11305" s="548">
        <v>1012.41675064452</v>
      </c>
      <c r="T11305" s="549">
        <v>15.5001</v>
      </c>
      <c r="U11305" s="538">
        <v>286.74</v>
      </c>
      <c r="V11305" s="538">
        <v>143.37</v>
      </c>
    </row>
    <row r="11306" spans="1:22">
      <c r="A11306" s="499">
        <v>45882</v>
      </c>
      <c r="B11306" s="499">
        <v>45883</v>
      </c>
      <c r="C11306" s="420" t="s">
        <v>173</v>
      </c>
      <c r="D11306" s="500" t="s">
        <v>761</v>
      </c>
      <c r="E11306" s="501">
        <v>221246698.28999999</v>
      </c>
      <c r="F11306" s="95" t="s">
        <v>878</v>
      </c>
      <c r="G11306" s="443">
        <v>118567070</v>
      </c>
      <c r="H11306" s="443">
        <v>118567070</v>
      </c>
      <c r="I11306" s="422" t="s">
        <v>592</v>
      </c>
      <c r="J11306" s="443" t="s">
        <v>912</v>
      </c>
      <c r="L11306" s="539"/>
      <c r="M11306" s="539"/>
      <c r="N11306" s="598">
        <v>297024</v>
      </c>
      <c r="R11306" s="548">
        <v>744.56200000673346</v>
      </c>
      <c r="S11306" s="548">
        <v>744.87818590416896</v>
      </c>
      <c r="T11306" s="549">
        <v>15.5001</v>
      </c>
      <c r="U11306" s="538">
        <v>331.73</v>
      </c>
      <c r="V11306" s="538">
        <v>165.86</v>
      </c>
    </row>
    <row r="11307" spans="1:22">
      <c r="A11307" s="499">
        <v>45882</v>
      </c>
      <c r="B11307" s="499">
        <v>45883</v>
      </c>
      <c r="C11307" s="420" t="s">
        <v>173</v>
      </c>
      <c r="D11307" s="500" t="s">
        <v>761</v>
      </c>
      <c r="E11307" s="501">
        <v>277338466.22000003</v>
      </c>
      <c r="F11307" s="95" t="s">
        <v>878</v>
      </c>
      <c r="G11307" s="443">
        <v>118567073</v>
      </c>
      <c r="H11307" s="443">
        <v>118567073</v>
      </c>
      <c r="I11307" s="422" t="s">
        <v>691</v>
      </c>
      <c r="J11307" s="443" t="s">
        <v>912</v>
      </c>
      <c r="L11307" s="539"/>
      <c r="M11307" s="539"/>
      <c r="N11307" s="598">
        <v>320489</v>
      </c>
      <c r="R11307" s="548">
        <v>864.99300000936068</v>
      </c>
      <c r="S11307" s="548">
        <v>865.36032818599097</v>
      </c>
      <c r="T11307" s="549">
        <v>15.5001</v>
      </c>
      <c r="U11307" s="538">
        <v>415.83</v>
      </c>
      <c r="V11307" s="538">
        <v>207.92</v>
      </c>
    </row>
    <row r="11308" spans="1:22">
      <c r="A11308" s="499">
        <v>45882</v>
      </c>
      <c r="B11308" s="499">
        <v>45883</v>
      </c>
      <c r="C11308" s="420" t="s">
        <v>173</v>
      </c>
      <c r="D11308" s="500" t="s">
        <v>761</v>
      </c>
      <c r="E11308" s="501">
        <v>297192435.23000002</v>
      </c>
      <c r="F11308" s="95" t="s">
        <v>878</v>
      </c>
      <c r="G11308" s="443">
        <v>118567076</v>
      </c>
      <c r="H11308" s="443">
        <v>118567076</v>
      </c>
      <c r="I11308" s="422" t="s">
        <v>692</v>
      </c>
      <c r="J11308" s="443" t="s">
        <v>912</v>
      </c>
      <c r="L11308" s="539"/>
      <c r="M11308" s="539"/>
      <c r="N11308" s="598">
        <v>409563</v>
      </c>
      <c r="R11308" s="548">
        <v>725.32500001220819</v>
      </c>
      <c r="S11308" s="548">
        <v>725.63301672758496</v>
      </c>
      <c r="T11308" s="549">
        <v>15.5001</v>
      </c>
      <c r="U11308" s="538">
        <v>445.6</v>
      </c>
      <c r="V11308" s="538">
        <v>222.8</v>
      </c>
    </row>
    <row r="11309" spans="1:22">
      <c r="A11309" s="499">
        <v>45882</v>
      </c>
      <c r="B11309" s="499">
        <v>45883</v>
      </c>
      <c r="C11309" s="420" t="s">
        <v>173</v>
      </c>
      <c r="D11309" s="500" t="s">
        <v>761</v>
      </c>
      <c r="E11309" s="501">
        <v>161077138.05000001</v>
      </c>
      <c r="F11309" s="95" t="s">
        <v>878</v>
      </c>
      <c r="G11309" s="443">
        <v>118567079</v>
      </c>
      <c r="H11309" s="443">
        <v>118567079</v>
      </c>
      <c r="I11309" s="422" t="s">
        <v>631</v>
      </c>
      <c r="J11309" s="443" t="s">
        <v>912</v>
      </c>
      <c r="L11309" s="539"/>
      <c r="M11309" s="539"/>
      <c r="N11309" s="598">
        <v>322483</v>
      </c>
      <c r="R11309" s="548">
        <v>499.27830000341106</v>
      </c>
      <c r="S11309" s="548">
        <v>499.49032367597698</v>
      </c>
      <c r="T11309" s="549">
        <v>15.5001</v>
      </c>
      <c r="U11309" s="538">
        <v>241.51</v>
      </c>
      <c r="V11309" s="538">
        <v>120.76</v>
      </c>
    </row>
    <row r="11310" spans="1:22">
      <c r="A11310" s="499">
        <v>45882</v>
      </c>
      <c r="B11310" s="499">
        <v>45883</v>
      </c>
      <c r="C11310" s="420" t="s">
        <v>173</v>
      </c>
      <c r="D11310" s="500" t="s">
        <v>761</v>
      </c>
      <c r="E11310" s="501">
        <v>10004791.18</v>
      </c>
      <c r="F11310" s="95" t="s">
        <v>878</v>
      </c>
      <c r="G11310" s="443">
        <v>118567102</v>
      </c>
      <c r="H11310" s="443">
        <v>118567102</v>
      </c>
      <c r="I11310" s="422" t="s">
        <v>631</v>
      </c>
      <c r="J11310" s="443" t="s">
        <v>912</v>
      </c>
      <c r="L11310" s="539"/>
      <c r="M11310" s="539"/>
      <c r="N11310" s="598">
        <v>20030</v>
      </c>
      <c r="R11310" s="548">
        <v>499.27830004992512</v>
      </c>
      <c r="S11310" s="548">
        <v>499.490323514728</v>
      </c>
      <c r="T11310" s="549">
        <v>15.5001</v>
      </c>
      <c r="U11310" s="538">
        <v>39.32</v>
      </c>
      <c r="V11310" s="538">
        <v>7.5</v>
      </c>
    </row>
    <row r="11311" spans="1:22">
      <c r="A11311" s="499">
        <v>45882</v>
      </c>
      <c r="B11311" s="499">
        <v>45883</v>
      </c>
      <c r="C11311" s="420" t="s">
        <v>173</v>
      </c>
      <c r="D11311" s="500" t="s">
        <v>761</v>
      </c>
      <c r="E11311" s="501">
        <v>56035457.259999998</v>
      </c>
      <c r="F11311" s="95" t="s">
        <v>878</v>
      </c>
      <c r="G11311" s="443">
        <v>118568832</v>
      </c>
      <c r="H11311" s="443">
        <v>118568832</v>
      </c>
      <c r="I11311" s="422" t="s">
        <v>712</v>
      </c>
      <c r="J11311" s="443" t="s">
        <v>912</v>
      </c>
      <c r="L11311" s="539"/>
      <c r="M11311" s="539"/>
      <c r="N11311" s="598">
        <v>66752</v>
      </c>
      <c r="R11311" s="548">
        <v>839.1009999700384</v>
      </c>
      <c r="S11311" s="548">
        <v>839.45735348753601</v>
      </c>
      <c r="T11311" s="549">
        <v>15.500999999999999</v>
      </c>
      <c r="U11311" s="538">
        <v>84.02</v>
      </c>
      <c r="V11311" s="538">
        <v>42.01</v>
      </c>
    </row>
    <row r="11312" spans="1:22">
      <c r="A11312" s="499">
        <v>45882</v>
      </c>
      <c r="B11312" s="499">
        <v>45882</v>
      </c>
      <c r="C11312" s="420" t="s">
        <v>173</v>
      </c>
      <c r="D11312" s="500" t="s">
        <v>759</v>
      </c>
      <c r="E11312" s="501">
        <v>-149008110.80000001</v>
      </c>
      <c r="F11312" s="95" t="s">
        <v>878</v>
      </c>
      <c r="G11312" s="443">
        <v>118567119</v>
      </c>
      <c r="H11312" s="530"/>
      <c r="I11312" s="422" t="s">
        <v>631</v>
      </c>
      <c r="J11312" s="43" t="s">
        <v>906</v>
      </c>
      <c r="L11312" s="539"/>
      <c r="M11312" s="539"/>
      <c r="N11312" s="598">
        <v>298447</v>
      </c>
      <c r="R11312" s="548">
        <v>499.27829999966497</v>
      </c>
      <c r="S11312" s="548">
        <v>499.490323675561</v>
      </c>
      <c r="T11312" s="549">
        <v>15.5001</v>
      </c>
      <c r="U11312" s="549">
        <v>223.51</v>
      </c>
      <c r="V11312" s="549">
        <v>111.76</v>
      </c>
    </row>
    <row r="11313" spans="1:22">
      <c r="A11313" s="499">
        <v>45882</v>
      </c>
      <c r="B11313" s="499">
        <v>45882</v>
      </c>
      <c r="C11313" s="420" t="s">
        <v>173</v>
      </c>
      <c r="D11313" s="500" t="s">
        <v>759</v>
      </c>
      <c r="E11313" s="501">
        <v>-387043678.37</v>
      </c>
      <c r="F11313" s="95" t="s">
        <v>878</v>
      </c>
      <c r="G11313" s="443">
        <v>118567122</v>
      </c>
      <c r="H11313" s="530"/>
      <c r="I11313" s="422" t="s">
        <v>676</v>
      </c>
      <c r="J11313" s="43" t="s">
        <v>906</v>
      </c>
      <c r="L11313" s="539"/>
      <c r="M11313" s="539"/>
      <c r="N11313" s="598">
        <v>467496</v>
      </c>
      <c r="R11313" s="548">
        <v>827.90800000427816</v>
      </c>
      <c r="S11313" s="548">
        <v>828.25957963276699</v>
      </c>
      <c r="T11313" s="549">
        <v>15.5001</v>
      </c>
      <c r="U11313" s="549">
        <v>580.57000000000005</v>
      </c>
      <c r="V11313" s="549">
        <v>290.27999999999997</v>
      </c>
    </row>
    <row r="11314" spans="1:22">
      <c r="A11314" s="499">
        <v>45882</v>
      </c>
      <c r="B11314" s="499">
        <v>45882</v>
      </c>
      <c r="C11314" s="420" t="s">
        <v>173</v>
      </c>
      <c r="D11314" s="500" t="s">
        <v>759</v>
      </c>
      <c r="E11314" s="501">
        <v>-405002308.10000002</v>
      </c>
      <c r="F11314" s="95" t="s">
        <v>878</v>
      </c>
      <c r="G11314" s="443">
        <v>118567125</v>
      </c>
      <c r="H11314" s="530"/>
      <c r="I11314" s="422" t="s">
        <v>658</v>
      </c>
      <c r="J11314" s="43" t="s">
        <v>906</v>
      </c>
      <c r="L11314" s="539"/>
      <c r="M11314" s="539"/>
      <c r="N11314" s="598">
        <v>399735</v>
      </c>
      <c r="R11314" s="548">
        <v>1013.1770000125083</v>
      </c>
      <c r="S11314" s="548">
        <v>1013.6072560321199</v>
      </c>
      <c r="T11314" s="549">
        <v>15.5001</v>
      </c>
      <c r="U11314" s="549">
        <v>607.5</v>
      </c>
      <c r="V11314" s="549">
        <v>303.75</v>
      </c>
    </row>
    <row r="11315" spans="1:22">
      <c r="A11315" s="499">
        <v>45882</v>
      </c>
      <c r="B11315" s="499">
        <v>45882</v>
      </c>
      <c r="C11315" s="420" t="s">
        <v>173</v>
      </c>
      <c r="D11315" s="500" t="s">
        <v>759</v>
      </c>
      <c r="E11315" s="501">
        <v>-441285485.75999999</v>
      </c>
      <c r="F11315" s="95" t="s">
        <v>878</v>
      </c>
      <c r="G11315" s="443">
        <v>118567128</v>
      </c>
      <c r="H11315" s="530"/>
      <c r="I11315" s="422" t="s">
        <v>696</v>
      </c>
      <c r="J11315" s="43" t="s">
        <v>906</v>
      </c>
      <c r="L11315" s="539"/>
      <c r="M11315" s="539"/>
      <c r="N11315" s="598">
        <v>594468</v>
      </c>
      <c r="R11315" s="548">
        <v>742.31999999999994</v>
      </c>
      <c r="S11315" s="548">
        <v>742.63523382251003</v>
      </c>
      <c r="T11315" s="549">
        <v>15.5001</v>
      </c>
      <c r="U11315" s="549">
        <v>661.93</v>
      </c>
      <c r="V11315" s="549">
        <v>330.96</v>
      </c>
    </row>
    <row r="11316" spans="1:22">
      <c r="A11316" s="499">
        <v>45882</v>
      </c>
      <c r="B11316" s="499">
        <v>45882</v>
      </c>
      <c r="C11316" s="420" t="s">
        <v>173</v>
      </c>
      <c r="D11316" s="500" t="s">
        <v>759</v>
      </c>
      <c r="E11316" s="501">
        <v>-446282832.68000001</v>
      </c>
      <c r="F11316" s="95" t="s">
        <v>878</v>
      </c>
      <c r="G11316" s="443">
        <v>118567131</v>
      </c>
      <c r="H11316" s="530"/>
      <c r="I11316" s="422" t="s">
        <v>686</v>
      </c>
      <c r="J11316" s="43" t="s">
        <v>906</v>
      </c>
      <c r="L11316" s="539"/>
      <c r="M11316" s="539"/>
      <c r="N11316" s="598">
        <v>504426</v>
      </c>
      <c r="R11316" s="548">
        <v>884.73399999207015</v>
      </c>
      <c r="S11316" s="548">
        <v>885.10971137490901</v>
      </c>
      <c r="T11316" s="549">
        <v>15.5001</v>
      </c>
      <c r="U11316" s="549">
        <v>669.42</v>
      </c>
      <c r="V11316" s="549">
        <v>334.71</v>
      </c>
    </row>
    <row r="11317" spans="1:22">
      <c r="A11317" s="499">
        <v>45882</v>
      </c>
      <c r="B11317" s="499">
        <v>45882</v>
      </c>
      <c r="C11317" s="420" t="s">
        <v>173</v>
      </c>
      <c r="D11317" s="500" t="s">
        <v>759</v>
      </c>
      <c r="E11317" s="501">
        <v>-439161056.81</v>
      </c>
      <c r="F11317" s="95" t="s">
        <v>878</v>
      </c>
      <c r="G11317" s="443">
        <v>118567134</v>
      </c>
      <c r="H11317" s="530"/>
      <c r="I11317" s="422" t="s">
        <v>604</v>
      </c>
      <c r="J11317" s="43" t="s">
        <v>906</v>
      </c>
      <c r="L11317" s="539"/>
      <c r="M11317" s="539"/>
      <c r="N11317" s="598">
        <v>431976</v>
      </c>
      <c r="R11317" s="548">
        <v>1016.6330000046299</v>
      </c>
      <c r="S11317" s="548">
        <v>1017.06472364205</v>
      </c>
      <c r="T11317" s="549">
        <v>15.5001</v>
      </c>
      <c r="U11317" s="549">
        <v>658.74</v>
      </c>
      <c r="V11317" s="549">
        <v>329.37</v>
      </c>
    </row>
    <row r="11318" spans="1:22">
      <c r="A11318" s="499">
        <v>45882</v>
      </c>
      <c r="B11318" s="499">
        <v>45882</v>
      </c>
      <c r="C11318" s="420" t="s">
        <v>173</v>
      </c>
      <c r="D11318" s="500" t="s">
        <v>759</v>
      </c>
      <c r="E11318" s="501">
        <v>-14001025.92</v>
      </c>
      <c r="F11318" s="95" t="s">
        <v>878</v>
      </c>
      <c r="G11318" s="443">
        <v>118567188</v>
      </c>
      <c r="H11318" s="530"/>
      <c r="I11318" s="422" t="s">
        <v>657</v>
      </c>
      <c r="J11318" s="43" t="s">
        <v>906</v>
      </c>
      <c r="L11318" s="539"/>
      <c r="M11318" s="539"/>
      <c r="N11318" s="598">
        <v>14728</v>
      </c>
      <c r="R11318" s="548">
        <v>950.64</v>
      </c>
      <c r="S11318" s="548">
        <v>951.04370179250395</v>
      </c>
      <c r="T11318" s="549">
        <v>15.5002</v>
      </c>
      <c r="U11318" s="549">
        <v>39.32</v>
      </c>
      <c r="V11318" s="549">
        <v>10.5</v>
      </c>
    </row>
    <row r="11319" spans="1:22">
      <c r="A11319" s="499">
        <v>45882</v>
      </c>
      <c r="B11319" s="499">
        <v>45883</v>
      </c>
      <c r="C11319" s="420" t="s">
        <v>173</v>
      </c>
      <c r="D11319" s="500" t="s">
        <v>759</v>
      </c>
      <c r="E11319" s="501">
        <v>149071388.63</v>
      </c>
      <c r="F11319" s="95" t="s">
        <v>878</v>
      </c>
      <c r="G11319" s="443">
        <v>118567119</v>
      </c>
      <c r="H11319" s="443">
        <v>118567119</v>
      </c>
      <c r="I11319" s="422" t="s">
        <v>631</v>
      </c>
      <c r="J11319" s="443" t="s">
        <v>912</v>
      </c>
      <c r="L11319" s="539"/>
      <c r="M11319" s="539"/>
      <c r="N11319" s="598">
        <v>298447</v>
      </c>
      <c r="R11319" s="548">
        <v>499.27829999966497</v>
      </c>
      <c r="S11319" s="548">
        <v>499.490323675561</v>
      </c>
      <c r="T11319" s="549">
        <v>15.5001</v>
      </c>
      <c r="U11319" s="549">
        <v>223.51</v>
      </c>
      <c r="V11319" s="549">
        <v>111.76</v>
      </c>
    </row>
    <row r="11320" spans="1:22">
      <c r="A11320" s="499">
        <v>45882</v>
      </c>
      <c r="B11320" s="499">
        <v>45883</v>
      </c>
      <c r="C11320" s="420" t="s">
        <v>173</v>
      </c>
      <c r="D11320" s="500" t="s">
        <v>759</v>
      </c>
      <c r="E11320" s="501">
        <v>387208040.44</v>
      </c>
      <c r="F11320" s="95" t="s">
        <v>878</v>
      </c>
      <c r="G11320" s="443">
        <v>118567122</v>
      </c>
      <c r="H11320" s="443">
        <v>118567122</v>
      </c>
      <c r="I11320" s="422" t="s">
        <v>676</v>
      </c>
      <c r="J11320" s="443" t="s">
        <v>912</v>
      </c>
      <c r="L11320" s="539"/>
      <c r="M11320" s="539"/>
      <c r="N11320" s="598">
        <v>467496</v>
      </c>
      <c r="R11320" s="548">
        <v>827.90800000427816</v>
      </c>
      <c r="S11320" s="548">
        <v>828.25957963276699</v>
      </c>
      <c r="T11320" s="549">
        <v>15.5001</v>
      </c>
      <c r="U11320" s="549">
        <v>580.57000000000005</v>
      </c>
      <c r="V11320" s="549">
        <v>290.27999999999997</v>
      </c>
    </row>
    <row r="11321" spans="1:22">
      <c r="A11321" s="499">
        <v>45882</v>
      </c>
      <c r="B11321" s="499">
        <v>45883</v>
      </c>
      <c r="C11321" s="420" t="s">
        <v>173</v>
      </c>
      <c r="D11321" s="500" t="s">
        <v>759</v>
      </c>
      <c r="E11321" s="501">
        <v>405174296.49000001</v>
      </c>
      <c r="F11321" s="95" t="s">
        <v>878</v>
      </c>
      <c r="G11321" s="443">
        <v>118567125</v>
      </c>
      <c r="H11321" s="443">
        <v>118567125</v>
      </c>
      <c r="I11321" s="422" t="s">
        <v>658</v>
      </c>
      <c r="J11321" s="443" t="s">
        <v>912</v>
      </c>
      <c r="L11321" s="539"/>
      <c r="M11321" s="539"/>
      <c r="N11321" s="598">
        <v>399735</v>
      </c>
      <c r="R11321" s="548">
        <v>1013.1770000125083</v>
      </c>
      <c r="S11321" s="548">
        <v>1013.6072560321199</v>
      </c>
      <c r="T11321" s="549">
        <v>15.5001</v>
      </c>
      <c r="U11321" s="549">
        <v>607.5</v>
      </c>
      <c r="V11321" s="549">
        <v>303.75</v>
      </c>
    </row>
    <row r="11322" spans="1:22">
      <c r="A11322" s="499">
        <v>45882</v>
      </c>
      <c r="B11322" s="499">
        <v>45883</v>
      </c>
      <c r="C11322" s="420" t="s">
        <v>173</v>
      </c>
      <c r="D11322" s="500" t="s">
        <v>759</v>
      </c>
      <c r="E11322" s="501">
        <v>441472882.18000001</v>
      </c>
      <c r="F11322" s="95" t="s">
        <v>878</v>
      </c>
      <c r="G11322" s="443">
        <v>118567128</v>
      </c>
      <c r="H11322" s="443">
        <v>118567128</v>
      </c>
      <c r="I11322" s="422" t="s">
        <v>696</v>
      </c>
      <c r="J11322" s="443" t="s">
        <v>912</v>
      </c>
      <c r="L11322" s="539"/>
      <c r="M11322" s="539"/>
      <c r="N11322" s="598">
        <v>594468</v>
      </c>
      <c r="R11322" s="548">
        <v>742.31999999999994</v>
      </c>
      <c r="S11322" s="548">
        <v>742.63523382251003</v>
      </c>
      <c r="T11322" s="549">
        <v>15.5001</v>
      </c>
      <c r="U11322" s="549">
        <v>661.93</v>
      </c>
      <c r="V11322" s="549">
        <v>330.96</v>
      </c>
    </row>
    <row r="11323" spans="1:22">
      <c r="A11323" s="499">
        <v>45882</v>
      </c>
      <c r="B11323" s="499">
        <v>45883</v>
      </c>
      <c r="C11323" s="420" t="s">
        <v>173</v>
      </c>
      <c r="D11323" s="500" t="s">
        <v>759</v>
      </c>
      <c r="E11323" s="501">
        <v>446472351.26999998</v>
      </c>
      <c r="F11323" s="95" t="s">
        <v>878</v>
      </c>
      <c r="G11323" s="443">
        <v>118567131</v>
      </c>
      <c r="H11323" s="443">
        <v>118567131</v>
      </c>
      <c r="I11323" s="422" t="s">
        <v>686</v>
      </c>
      <c r="J11323" s="443" t="s">
        <v>912</v>
      </c>
      <c r="L11323" s="539"/>
      <c r="M11323" s="539"/>
      <c r="N11323" s="598">
        <v>504426</v>
      </c>
      <c r="R11323" s="548">
        <v>884.73399999207015</v>
      </c>
      <c r="S11323" s="548">
        <v>885.10971137490901</v>
      </c>
      <c r="T11323" s="549">
        <v>15.5001</v>
      </c>
      <c r="U11323" s="549">
        <v>669.42</v>
      </c>
      <c r="V11323" s="549">
        <v>334.71</v>
      </c>
    </row>
    <row r="11324" spans="1:22">
      <c r="A11324" s="499">
        <v>45882</v>
      </c>
      <c r="B11324" s="499">
        <v>45883</v>
      </c>
      <c r="C11324" s="420" t="s">
        <v>173</v>
      </c>
      <c r="D11324" s="500" t="s">
        <v>759</v>
      </c>
      <c r="E11324" s="501">
        <v>439347551.06</v>
      </c>
      <c r="F11324" s="95" t="s">
        <v>878</v>
      </c>
      <c r="G11324" s="443">
        <v>118567134</v>
      </c>
      <c r="H11324" s="443">
        <v>118567134</v>
      </c>
      <c r="I11324" s="422" t="s">
        <v>604</v>
      </c>
      <c r="J11324" s="443" t="s">
        <v>912</v>
      </c>
      <c r="L11324" s="539"/>
      <c r="M11324" s="539"/>
      <c r="N11324" s="598">
        <v>431976</v>
      </c>
      <c r="R11324" s="548">
        <v>1016.6330000046299</v>
      </c>
      <c r="S11324" s="548">
        <v>1017.06472364205</v>
      </c>
      <c r="T11324" s="549">
        <v>15.5001</v>
      </c>
      <c r="U11324" s="549">
        <v>658.74</v>
      </c>
      <c r="V11324" s="549">
        <v>329.37</v>
      </c>
    </row>
    <row r="11325" spans="1:22">
      <c r="A11325" s="499">
        <v>45882</v>
      </c>
      <c r="B11325" s="499">
        <v>45883</v>
      </c>
      <c r="C11325" s="420" t="s">
        <v>173</v>
      </c>
      <c r="D11325" s="500" t="s">
        <v>759</v>
      </c>
      <c r="E11325" s="501">
        <v>14006971.640000001</v>
      </c>
      <c r="F11325" s="95" t="s">
        <v>878</v>
      </c>
      <c r="G11325" s="443">
        <v>118567188</v>
      </c>
      <c r="H11325" s="443">
        <v>118567188</v>
      </c>
      <c r="I11325" s="422" t="s">
        <v>657</v>
      </c>
      <c r="J11325" s="443" t="s">
        <v>912</v>
      </c>
      <c r="L11325" s="539"/>
      <c r="M11325" s="539"/>
      <c r="N11325" s="598">
        <v>14728</v>
      </c>
      <c r="R11325" s="548">
        <v>950.64</v>
      </c>
      <c r="S11325" s="548">
        <v>951.04370179250395</v>
      </c>
      <c r="T11325" s="549">
        <v>15.5002</v>
      </c>
      <c r="U11325" s="549">
        <v>39.32</v>
      </c>
      <c r="V11325" s="549">
        <v>10.5</v>
      </c>
    </row>
    <row r="11326" spans="1:22">
      <c r="A11326" s="499">
        <v>45882</v>
      </c>
      <c r="B11326" s="499">
        <v>45882</v>
      </c>
      <c r="C11326" s="420" t="s">
        <v>173</v>
      </c>
      <c r="D11326" s="500" t="s">
        <v>760</v>
      </c>
      <c r="E11326" s="501">
        <v>-116064906.08</v>
      </c>
      <c r="F11326" s="95" t="s">
        <v>878</v>
      </c>
      <c r="G11326" s="443">
        <v>118566717</v>
      </c>
      <c r="H11326" s="530"/>
      <c r="I11326" s="422" t="s">
        <v>833</v>
      </c>
      <c r="J11326" s="43" t="s">
        <v>906</v>
      </c>
      <c r="L11326" s="539"/>
      <c r="M11326" s="539"/>
      <c r="N11326" s="598">
        <v>184556</v>
      </c>
      <c r="R11326" s="548">
        <v>628.88720000000001</v>
      </c>
      <c r="S11326" s="548">
        <v>629.15426510110694</v>
      </c>
      <c r="T11326" s="549">
        <v>15.5002</v>
      </c>
      <c r="U11326" s="549">
        <v>174.1</v>
      </c>
      <c r="V11326" s="549">
        <v>87.05</v>
      </c>
    </row>
    <row r="11327" spans="1:22">
      <c r="A11327" s="499">
        <v>45882</v>
      </c>
      <c r="B11327" s="499">
        <v>45882</v>
      </c>
      <c r="C11327" s="420" t="s">
        <v>173</v>
      </c>
      <c r="D11327" s="500" t="s">
        <v>760</v>
      </c>
      <c r="E11327" s="501">
        <v>-5002797.68</v>
      </c>
      <c r="F11327" s="95" t="s">
        <v>878</v>
      </c>
      <c r="G11327" s="443">
        <v>118566726</v>
      </c>
      <c r="H11327" s="530"/>
      <c r="I11327" s="422" t="s">
        <v>833</v>
      </c>
      <c r="J11327" s="43" t="s">
        <v>906</v>
      </c>
      <c r="L11327" s="539"/>
      <c r="M11327" s="539"/>
      <c r="N11327" s="598">
        <v>7955</v>
      </c>
      <c r="R11327" s="548">
        <v>628.88720000000001</v>
      </c>
      <c r="S11327" s="548">
        <v>629.15426524198597</v>
      </c>
      <c r="T11327" s="549">
        <v>15.5002</v>
      </c>
      <c r="U11327" s="549">
        <v>39.32</v>
      </c>
      <c r="V11327" s="549">
        <v>3.75</v>
      </c>
    </row>
    <row r="11328" spans="1:22">
      <c r="A11328" s="499">
        <v>45882</v>
      </c>
      <c r="B11328" s="499">
        <v>45882</v>
      </c>
      <c r="C11328" s="420" t="s">
        <v>173</v>
      </c>
      <c r="D11328" s="500" t="s">
        <v>760</v>
      </c>
      <c r="E11328" s="501">
        <v>-1300027613.5599999</v>
      </c>
      <c r="F11328" s="95" t="s">
        <v>878</v>
      </c>
      <c r="G11328" s="443">
        <v>118566698</v>
      </c>
      <c r="H11328" s="530"/>
      <c r="I11328" s="422" t="s">
        <v>2903</v>
      </c>
      <c r="J11328" s="43" t="s">
        <v>906</v>
      </c>
      <c r="L11328" s="539"/>
      <c r="M11328" s="539"/>
      <c r="N11328" s="598">
        <v>13036400</v>
      </c>
      <c r="R11328" s="548">
        <v>99.722899999999996</v>
      </c>
      <c r="S11328" s="548">
        <v>99.765248626921505</v>
      </c>
      <c r="T11328" s="549">
        <v>15.5002</v>
      </c>
      <c r="U11328" s="549">
        <v>1950.04</v>
      </c>
      <c r="V11328" s="549">
        <v>975.02</v>
      </c>
    </row>
    <row r="11329" spans="1:22">
      <c r="A11329" s="499">
        <v>45882</v>
      </c>
      <c r="B11329" s="499">
        <v>45882</v>
      </c>
      <c r="C11329" s="420" t="s">
        <v>173</v>
      </c>
      <c r="D11329" s="500" t="s">
        <v>760</v>
      </c>
      <c r="E11329" s="501">
        <v>-785016674.34000003</v>
      </c>
      <c r="F11329" s="95" t="s">
        <v>878</v>
      </c>
      <c r="G11329" s="443">
        <v>118566714</v>
      </c>
      <c r="H11329" s="530"/>
      <c r="I11329" s="422" t="s">
        <v>2903</v>
      </c>
      <c r="J11329" s="43" t="s">
        <v>906</v>
      </c>
      <c r="L11329" s="539"/>
      <c r="M11329" s="539"/>
      <c r="N11329" s="598">
        <v>7871980</v>
      </c>
      <c r="R11329" s="548">
        <v>99.722899999999996</v>
      </c>
      <c r="S11329" s="548">
        <v>99.765248627410102</v>
      </c>
      <c r="T11329" s="549">
        <v>15.5002</v>
      </c>
      <c r="U11329" s="549">
        <v>1177.53</v>
      </c>
      <c r="V11329" s="549">
        <v>588.76</v>
      </c>
    </row>
    <row r="11330" spans="1:22">
      <c r="A11330" s="499">
        <v>45882</v>
      </c>
      <c r="B11330" s="499">
        <v>45883</v>
      </c>
      <c r="C11330" s="420" t="s">
        <v>173</v>
      </c>
      <c r="D11330" s="500" t="s">
        <v>760</v>
      </c>
      <c r="E11330" s="501">
        <v>116114194.55</v>
      </c>
      <c r="F11330" s="95" t="s">
        <v>878</v>
      </c>
      <c r="G11330" s="443">
        <v>118566717</v>
      </c>
      <c r="H11330" s="443">
        <v>118566717</v>
      </c>
      <c r="I11330" s="422" t="s">
        <v>833</v>
      </c>
      <c r="J11330" s="443" t="s">
        <v>912</v>
      </c>
      <c r="L11330" s="539"/>
      <c r="M11330" s="539"/>
      <c r="N11330" s="598">
        <v>184556</v>
      </c>
      <c r="R11330" s="548">
        <v>628.88720000000001</v>
      </c>
      <c r="S11330" s="548">
        <v>629.15426510110694</v>
      </c>
      <c r="T11330" s="549">
        <v>15.5002</v>
      </c>
      <c r="U11330" s="549">
        <v>174.1</v>
      </c>
      <c r="V11330" s="549">
        <v>87.05</v>
      </c>
    </row>
    <row r="11331" spans="1:22">
      <c r="A11331" s="499">
        <v>45882</v>
      </c>
      <c r="B11331" s="499">
        <v>45883</v>
      </c>
      <c r="C11331" s="420" t="s">
        <v>173</v>
      </c>
      <c r="D11331" s="500" t="s">
        <v>760</v>
      </c>
      <c r="E11331" s="501">
        <v>5004922.18</v>
      </c>
      <c r="F11331" s="95" t="s">
        <v>878</v>
      </c>
      <c r="G11331" s="443">
        <v>118566726</v>
      </c>
      <c r="H11331" s="443">
        <v>118566726</v>
      </c>
      <c r="I11331" s="422" t="s">
        <v>833</v>
      </c>
      <c r="J11331" s="443" t="s">
        <v>912</v>
      </c>
      <c r="L11331" s="539"/>
      <c r="M11331" s="539"/>
      <c r="N11331" s="598">
        <v>7955</v>
      </c>
      <c r="R11331" s="548">
        <v>628.88720000000001</v>
      </c>
      <c r="S11331" s="548">
        <v>629.15426524198597</v>
      </c>
      <c r="T11331" s="549">
        <v>15.5002</v>
      </c>
      <c r="U11331" s="549">
        <v>39.32</v>
      </c>
      <c r="V11331" s="549">
        <v>3.75</v>
      </c>
    </row>
    <row r="11332" spans="1:22">
      <c r="A11332" s="499">
        <v>45882</v>
      </c>
      <c r="B11332" s="499">
        <v>45883</v>
      </c>
      <c r="C11332" s="420" t="s">
        <v>173</v>
      </c>
      <c r="D11332" s="500" t="s">
        <v>760</v>
      </c>
      <c r="E11332" s="501">
        <v>1300579687.2</v>
      </c>
      <c r="F11332" s="95" t="s">
        <v>878</v>
      </c>
      <c r="G11332" s="443">
        <v>118566698</v>
      </c>
      <c r="H11332" s="443">
        <v>118566698</v>
      </c>
      <c r="I11332" s="422" t="s">
        <v>2903</v>
      </c>
      <c r="J11332" s="443" t="s">
        <v>912</v>
      </c>
      <c r="L11332" s="539"/>
      <c r="M11332" s="539"/>
      <c r="N11332" s="598">
        <v>13036400</v>
      </c>
      <c r="R11332" s="548">
        <v>99.722899999999996</v>
      </c>
      <c r="S11332" s="548">
        <v>99.765248626921505</v>
      </c>
      <c r="T11332" s="549">
        <v>15.5002</v>
      </c>
      <c r="U11332" s="549">
        <v>1950.04</v>
      </c>
      <c r="V11332" s="549">
        <v>975.02</v>
      </c>
    </row>
    <row r="11333" spans="1:22">
      <c r="A11333" s="499">
        <v>45882</v>
      </c>
      <c r="B11333" s="499">
        <v>45883</v>
      </c>
      <c r="C11333" s="420" t="s">
        <v>173</v>
      </c>
      <c r="D11333" s="500" t="s">
        <v>760</v>
      </c>
      <c r="E11333" s="501">
        <v>785350041.88999999</v>
      </c>
      <c r="F11333" s="95" t="s">
        <v>878</v>
      </c>
      <c r="G11333" s="443">
        <v>118566714</v>
      </c>
      <c r="H11333" s="443">
        <v>118566714</v>
      </c>
      <c r="I11333" s="422" t="s">
        <v>2903</v>
      </c>
      <c r="J11333" s="443" t="s">
        <v>912</v>
      </c>
      <c r="L11333" s="539"/>
      <c r="M11333" s="539"/>
      <c r="N11333" s="598">
        <v>7871980</v>
      </c>
      <c r="R11333" s="548">
        <v>99.722899999999996</v>
      </c>
      <c r="S11333" s="548">
        <v>99.765248627410102</v>
      </c>
      <c r="T11333" s="549">
        <v>15.5002</v>
      </c>
      <c r="U11333" s="549">
        <v>1177.53</v>
      </c>
      <c r="V11333" s="549">
        <v>588.76</v>
      </c>
    </row>
    <row r="11334" spans="1:22">
      <c r="A11334" s="499">
        <v>45882</v>
      </c>
      <c r="B11334" s="499">
        <v>45882</v>
      </c>
      <c r="C11334" s="420" t="s">
        <v>173</v>
      </c>
      <c r="D11334" s="500" t="s">
        <v>764</v>
      </c>
      <c r="E11334" s="501">
        <v>-4791848184.2700005</v>
      </c>
      <c r="F11334" s="95" t="s">
        <v>878</v>
      </c>
      <c r="G11334" s="443">
        <v>118568143</v>
      </c>
      <c r="H11334" s="530"/>
      <c r="I11334" s="422" t="s">
        <v>719</v>
      </c>
      <c r="J11334" s="43" t="s">
        <v>906</v>
      </c>
      <c r="L11334" s="539"/>
      <c r="M11334" s="539"/>
      <c r="N11334" s="598">
        <v>7440423</v>
      </c>
      <c r="R11334" s="548">
        <v>644.02900000040324</v>
      </c>
      <c r="S11334" s="548">
        <v>644.30249176693303</v>
      </c>
      <c r="T11334" s="549">
        <v>15.5</v>
      </c>
      <c r="U11334" s="549">
        <v>7187.77</v>
      </c>
      <c r="V11334" s="549">
        <v>3593.89</v>
      </c>
    </row>
    <row r="11335" spans="1:22">
      <c r="A11335" s="499">
        <v>45882</v>
      </c>
      <c r="B11335" s="499">
        <v>45882</v>
      </c>
      <c r="C11335" s="420" t="s">
        <v>173</v>
      </c>
      <c r="D11335" s="500" t="s">
        <v>764</v>
      </c>
      <c r="E11335" s="501">
        <v>-30005311.109999999</v>
      </c>
      <c r="F11335" s="95" t="s">
        <v>878</v>
      </c>
      <c r="G11335" s="443">
        <v>118568208</v>
      </c>
      <c r="H11335" s="530"/>
      <c r="I11335" s="422" t="s">
        <v>719</v>
      </c>
      <c r="J11335" s="43" t="s">
        <v>906</v>
      </c>
      <c r="L11335" s="539"/>
      <c r="M11335" s="539"/>
      <c r="N11335" s="598">
        <v>46590</v>
      </c>
      <c r="R11335" s="548">
        <v>644.029</v>
      </c>
      <c r="S11335" s="548">
        <v>644.30249173642403</v>
      </c>
      <c r="T11335" s="549">
        <v>15.5</v>
      </c>
      <c r="U11335" s="549">
        <v>45.01</v>
      </c>
      <c r="V11335" s="549">
        <v>22.5</v>
      </c>
    </row>
    <row r="11336" spans="1:22">
      <c r="A11336" s="499">
        <v>45882</v>
      </c>
      <c r="B11336" s="499">
        <v>45883</v>
      </c>
      <c r="C11336" s="420" t="s">
        <v>173</v>
      </c>
      <c r="D11336" s="500" t="s">
        <v>764</v>
      </c>
      <c r="E11336" s="501">
        <v>4793883078.6999998</v>
      </c>
      <c r="F11336" s="95" t="s">
        <v>878</v>
      </c>
      <c r="G11336" s="443">
        <v>118568143</v>
      </c>
      <c r="H11336" s="443">
        <v>118568143</v>
      </c>
      <c r="I11336" s="422" t="s">
        <v>719</v>
      </c>
      <c r="J11336" s="443" t="s">
        <v>912</v>
      </c>
      <c r="L11336" s="539"/>
      <c r="M11336" s="539"/>
      <c r="N11336" s="598">
        <v>7440423</v>
      </c>
      <c r="R11336" s="548">
        <v>644.02900000040324</v>
      </c>
      <c r="S11336" s="548">
        <v>644.30249176693303</v>
      </c>
      <c r="T11336" s="549">
        <v>15.5</v>
      </c>
      <c r="U11336" s="549">
        <v>7187.77</v>
      </c>
      <c r="V11336" s="549">
        <v>3593.89</v>
      </c>
    </row>
    <row r="11337" spans="1:22">
      <c r="A11337" s="499">
        <v>45882</v>
      </c>
      <c r="B11337" s="499">
        <v>45883</v>
      </c>
      <c r="C11337" s="420" t="s">
        <v>173</v>
      </c>
      <c r="D11337" s="500" t="s">
        <v>764</v>
      </c>
      <c r="E11337" s="501">
        <v>30018053.09</v>
      </c>
      <c r="F11337" s="95" t="s">
        <v>878</v>
      </c>
      <c r="G11337" s="443">
        <v>118568208</v>
      </c>
      <c r="H11337" s="443">
        <v>118568208</v>
      </c>
      <c r="I11337" s="422" t="s">
        <v>719</v>
      </c>
      <c r="J11337" s="443" t="s">
        <v>912</v>
      </c>
      <c r="L11337" s="539"/>
      <c r="M11337" s="539"/>
      <c r="N11337" s="598">
        <v>46590</v>
      </c>
      <c r="R11337" s="548">
        <v>644.029</v>
      </c>
      <c r="S11337" s="548">
        <v>644.30249173642403</v>
      </c>
      <c r="T11337" s="549">
        <v>15.5</v>
      </c>
      <c r="U11337" s="549">
        <v>45.01</v>
      </c>
      <c r="V11337" s="549">
        <v>22.5</v>
      </c>
    </row>
    <row r="11338" spans="1:22">
      <c r="A11338" s="499">
        <v>45882</v>
      </c>
      <c r="B11338" s="499">
        <v>45882</v>
      </c>
      <c r="C11338" s="420" t="s">
        <v>173</v>
      </c>
      <c r="D11338" s="500" t="s">
        <v>763</v>
      </c>
      <c r="E11338" s="501">
        <v>-3605754769.8400002</v>
      </c>
      <c r="F11338" s="95" t="s">
        <v>878</v>
      </c>
      <c r="G11338" s="484">
        <v>118565816</v>
      </c>
      <c r="H11338" s="530"/>
      <c r="I11338" s="422" t="s">
        <v>1013</v>
      </c>
      <c r="J11338" s="43" t="s">
        <v>906</v>
      </c>
      <c r="L11338" s="539"/>
      <c r="M11338" s="539"/>
      <c r="N11338" s="598">
        <v>6737745</v>
      </c>
      <c r="R11338" s="539">
        <v>535.15750000000003</v>
      </c>
      <c r="S11338" s="539">
        <v>535.38476159753702</v>
      </c>
      <c r="T11338" s="538">
        <v>15.5002</v>
      </c>
      <c r="U11338" s="538">
        <v>5408.63</v>
      </c>
      <c r="V11338" s="538">
        <v>2704.32</v>
      </c>
    </row>
    <row r="11339" spans="1:22">
      <c r="A11339" s="499">
        <v>45882</v>
      </c>
      <c r="B11339" s="499">
        <v>45882</v>
      </c>
      <c r="C11339" s="420" t="s">
        <v>173</v>
      </c>
      <c r="D11339" s="500" t="s">
        <v>763</v>
      </c>
      <c r="E11339" s="501">
        <v>-23004815.449999999</v>
      </c>
      <c r="F11339" s="95" t="s">
        <v>878</v>
      </c>
      <c r="G11339" s="484">
        <v>118565881</v>
      </c>
      <c r="H11339" s="530"/>
      <c r="I11339" s="422" t="s">
        <v>1013</v>
      </c>
      <c r="J11339" s="43" t="s">
        <v>906</v>
      </c>
      <c r="L11339" s="539"/>
      <c r="M11339" s="539"/>
      <c r="N11339" s="598">
        <v>42987</v>
      </c>
      <c r="R11339" s="539">
        <v>535.15750000000003</v>
      </c>
      <c r="S11339" s="539">
        <v>535.38476143950504</v>
      </c>
      <c r="T11339" s="538">
        <v>15.5002</v>
      </c>
      <c r="U11339" s="538">
        <v>39.32</v>
      </c>
      <c r="V11339" s="538">
        <v>39.32</v>
      </c>
    </row>
    <row r="11340" spans="1:22">
      <c r="A11340" s="499">
        <v>45882</v>
      </c>
      <c r="B11340" s="499">
        <v>45882</v>
      </c>
      <c r="C11340" s="420" t="s">
        <v>173</v>
      </c>
      <c r="D11340" s="500" t="s">
        <v>763</v>
      </c>
      <c r="E11340" s="501">
        <v>-188039177.69999999</v>
      </c>
      <c r="F11340" s="95" t="s">
        <v>878</v>
      </c>
      <c r="G11340" s="484">
        <v>118569003</v>
      </c>
      <c r="H11340" s="530"/>
      <c r="I11340" s="422" t="s">
        <v>712</v>
      </c>
      <c r="J11340" s="43" t="s">
        <v>906</v>
      </c>
      <c r="L11340" s="539"/>
      <c r="M11340" s="539"/>
      <c r="N11340" s="598">
        <v>224096</v>
      </c>
      <c r="R11340" s="539">
        <v>839.101</v>
      </c>
      <c r="S11340" s="539">
        <v>839.457353589533</v>
      </c>
      <c r="T11340" s="538">
        <v>15.500999999999999</v>
      </c>
      <c r="U11340" s="538">
        <v>282.06</v>
      </c>
      <c r="V11340" s="538">
        <v>141.03</v>
      </c>
    </row>
    <row r="11341" spans="1:22">
      <c r="A11341" s="499">
        <v>45882</v>
      </c>
      <c r="B11341" s="499">
        <v>45882</v>
      </c>
      <c r="C11341" s="420" t="s">
        <v>173</v>
      </c>
      <c r="D11341" s="500" t="s">
        <v>763</v>
      </c>
      <c r="E11341" s="501">
        <v>-2000416.78</v>
      </c>
      <c r="F11341" s="95" t="s">
        <v>878</v>
      </c>
      <c r="G11341" s="484">
        <v>118569038</v>
      </c>
      <c r="H11341" s="530"/>
      <c r="I11341" s="422" t="s">
        <v>712</v>
      </c>
      <c r="J11341" s="43" t="s">
        <v>906</v>
      </c>
      <c r="L11341" s="539"/>
      <c r="M11341" s="539"/>
      <c r="N11341" s="598">
        <v>2384</v>
      </c>
      <c r="R11341" s="539">
        <v>839.101</v>
      </c>
      <c r="S11341" s="539">
        <v>839.45735318791901</v>
      </c>
      <c r="T11341" s="538">
        <v>15.500999999999999</v>
      </c>
      <c r="U11341" s="538">
        <v>39.32</v>
      </c>
      <c r="V11341" s="538">
        <v>39.32</v>
      </c>
    </row>
    <row r="11342" spans="1:22">
      <c r="A11342" s="499">
        <v>45882</v>
      </c>
      <c r="B11342" s="499">
        <v>45883</v>
      </c>
      <c r="C11342" s="420" t="s">
        <v>173</v>
      </c>
      <c r="D11342" s="500" t="s">
        <v>763</v>
      </c>
      <c r="E11342" s="501">
        <v>3607286000.5300002</v>
      </c>
      <c r="F11342" s="95" t="s">
        <v>878</v>
      </c>
      <c r="G11342" s="484">
        <v>118565816</v>
      </c>
      <c r="H11342" s="484">
        <v>118565816</v>
      </c>
      <c r="I11342" s="422" t="s">
        <v>1013</v>
      </c>
      <c r="J11342" s="443" t="s">
        <v>912</v>
      </c>
      <c r="L11342" s="539"/>
      <c r="M11342" s="539"/>
      <c r="N11342" s="598">
        <v>6737745</v>
      </c>
      <c r="R11342" s="539">
        <v>535.15750000000003</v>
      </c>
      <c r="S11342" s="539">
        <v>535.38476159753702</v>
      </c>
      <c r="T11342" s="538">
        <v>15.5002</v>
      </c>
      <c r="U11342" s="538">
        <v>5408.63</v>
      </c>
      <c r="V11342" s="538">
        <v>2704.32</v>
      </c>
    </row>
    <row r="11343" spans="1:22">
      <c r="A11343" s="499">
        <v>45882</v>
      </c>
      <c r="B11343" s="499">
        <v>45883</v>
      </c>
      <c r="C11343" s="420" t="s">
        <v>173</v>
      </c>
      <c r="D11343" s="500" t="s">
        <v>763</v>
      </c>
      <c r="E11343" s="501">
        <v>23014584.739999998</v>
      </c>
      <c r="F11343" s="95" t="s">
        <v>878</v>
      </c>
      <c r="G11343" s="484">
        <v>118565881</v>
      </c>
      <c r="H11343" s="484">
        <v>118565881</v>
      </c>
      <c r="I11343" s="422" t="s">
        <v>1013</v>
      </c>
      <c r="J11343" s="443" t="s">
        <v>912</v>
      </c>
      <c r="L11343" s="539"/>
      <c r="M11343" s="539"/>
      <c r="N11343" s="598">
        <v>42987</v>
      </c>
      <c r="R11343" s="539">
        <v>535.15750000000003</v>
      </c>
      <c r="S11343" s="539">
        <v>535.38476143950504</v>
      </c>
      <c r="T11343" s="538">
        <v>15.5002</v>
      </c>
      <c r="U11343" s="538">
        <v>39.32</v>
      </c>
      <c r="V11343" s="538">
        <v>39.32</v>
      </c>
    </row>
    <row r="11344" spans="1:22">
      <c r="A11344" s="499">
        <v>45882</v>
      </c>
      <c r="B11344" s="499">
        <v>45883</v>
      </c>
      <c r="C11344" s="420" t="s">
        <v>173</v>
      </c>
      <c r="D11344" s="500" t="s">
        <v>763</v>
      </c>
      <c r="E11344" s="501">
        <v>188119035.11000001</v>
      </c>
      <c r="F11344" s="95" t="s">
        <v>878</v>
      </c>
      <c r="G11344" s="484">
        <v>118569003</v>
      </c>
      <c r="H11344" s="484">
        <v>118569003</v>
      </c>
      <c r="I11344" s="422" t="s">
        <v>712</v>
      </c>
      <c r="J11344" s="443" t="s">
        <v>912</v>
      </c>
      <c r="L11344" s="539"/>
      <c r="M11344" s="539"/>
      <c r="N11344" s="598">
        <v>224096</v>
      </c>
      <c r="R11344" s="539">
        <v>839.101</v>
      </c>
      <c r="S11344" s="539">
        <v>839.457353589533</v>
      </c>
      <c r="T11344" s="538">
        <v>15.500999999999999</v>
      </c>
      <c r="U11344" s="538">
        <v>282.06</v>
      </c>
      <c r="V11344" s="538">
        <v>141.03</v>
      </c>
    </row>
    <row r="11345" spans="1:22">
      <c r="A11345" s="499">
        <v>45882</v>
      </c>
      <c r="B11345" s="499">
        <v>45883</v>
      </c>
      <c r="C11345" s="420" t="s">
        <v>173</v>
      </c>
      <c r="D11345" s="500" t="s">
        <v>763</v>
      </c>
      <c r="E11345" s="501">
        <v>2001266.33</v>
      </c>
      <c r="F11345" s="95" t="s">
        <v>878</v>
      </c>
      <c r="G11345" s="484">
        <v>118569038</v>
      </c>
      <c r="H11345" s="484">
        <v>118569038</v>
      </c>
      <c r="I11345" s="422" t="s">
        <v>712</v>
      </c>
      <c r="J11345" s="443" t="s">
        <v>912</v>
      </c>
      <c r="L11345" s="539"/>
      <c r="M11345" s="539"/>
      <c r="N11345" s="598">
        <v>2384</v>
      </c>
      <c r="R11345" s="539">
        <v>839.101</v>
      </c>
      <c r="S11345" s="539">
        <v>839.45735318791901</v>
      </c>
      <c r="T11345" s="538">
        <v>15.500999999999999</v>
      </c>
      <c r="U11345" s="538">
        <v>39.32</v>
      </c>
      <c r="V11345" s="538">
        <v>39.32</v>
      </c>
    </row>
    <row r="11346" spans="1:22">
      <c r="A11346" s="499">
        <v>45882</v>
      </c>
      <c r="B11346" s="499">
        <v>45882</v>
      </c>
      <c r="C11346" s="420" t="s">
        <v>173</v>
      </c>
      <c r="D11346" s="500" t="s">
        <v>761</v>
      </c>
      <c r="E11346" s="501">
        <v>17472000</v>
      </c>
      <c r="F11346" s="95" t="s">
        <v>381</v>
      </c>
      <c r="G11346" s="484" t="s">
        <v>78</v>
      </c>
      <c r="H11346" s="530"/>
      <c r="I11346" s="422"/>
      <c r="L11346" s="539"/>
      <c r="M11346" s="539"/>
    </row>
    <row r="11347" spans="1:22">
      <c r="A11347" s="499">
        <v>45882</v>
      </c>
      <c r="B11347" s="499">
        <v>45882</v>
      </c>
      <c r="C11347" s="420" t="s">
        <v>173</v>
      </c>
      <c r="D11347" s="500" t="s">
        <v>761</v>
      </c>
      <c r="E11347" s="501">
        <v>38400000</v>
      </c>
      <c r="F11347" s="95" t="s">
        <v>381</v>
      </c>
      <c r="G11347" s="484" t="s">
        <v>78</v>
      </c>
      <c r="H11347" s="530"/>
      <c r="I11347" s="422"/>
      <c r="L11347" s="539"/>
      <c r="M11347" s="539"/>
    </row>
    <row r="11348" spans="1:22">
      <c r="A11348" s="499">
        <v>45882</v>
      </c>
      <c r="B11348" s="499">
        <v>45882</v>
      </c>
      <c r="C11348" s="420" t="s">
        <v>173</v>
      </c>
      <c r="D11348" s="500" t="s">
        <v>763</v>
      </c>
      <c r="E11348" s="501">
        <v>189657599.99999997</v>
      </c>
      <c r="F11348" s="95" t="s">
        <v>381</v>
      </c>
      <c r="G11348" s="443" t="s">
        <v>78</v>
      </c>
      <c r="H11348" s="530"/>
      <c r="I11348" s="422"/>
      <c r="L11348" s="539"/>
      <c r="M11348" s="539"/>
    </row>
    <row r="11349" spans="1:22">
      <c r="A11349" s="499">
        <v>45883</v>
      </c>
      <c r="B11349" s="499">
        <v>45883</v>
      </c>
      <c r="C11349" s="420" t="s">
        <v>173</v>
      </c>
      <c r="D11349" s="500" t="s">
        <v>762</v>
      </c>
      <c r="E11349" s="501">
        <v>-1993815651.1900001</v>
      </c>
      <c r="F11349" s="95" t="s">
        <v>878</v>
      </c>
      <c r="G11349" s="443">
        <v>118594999</v>
      </c>
      <c r="H11349" s="530"/>
      <c r="I11349" s="422" t="s">
        <v>719</v>
      </c>
      <c r="J11349" s="43" t="s">
        <v>906</v>
      </c>
      <c r="L11349" s="539"/>
      <c r="M11349" s="539"/>
      <c r="N11349" s="598">
        <v>3087157</v>
      </c>
      <c r="R11349" s="558">
        <v>645.84199999999998</v>
      </c>
      <c r="S11349" s="558">
        <v>646.11626167052702</v>
      </c>
      <c r="T11349" s="538">
        <v>15.5</v>
      </c>
      <c r="U11349" s="538">
        <v>2990.72</v>
      </c>
      <c r="V11349" s="538">
        <v>1495.36</v>
      </c>
    </row>
    <row r="11350" spans="1:22">
      <c r="A11350" s="499">
        <v>45883</v>
      </c>
      <c r="B11350" s="499">
        <v>45883</v>
      </c>
      <c r="C11350" s="420" t="s">
        <v>173</v>
      </c>
      <c r="D11350" s="500" t="s">
        <v>762</v>
      </c>
      <c r="E11350" s="501">
        <v>-1007065732.9299999</v>
      </c>
      <c r="F11350" s="95" t="s">
        <v>878</v>
      </c>
      <c r="G11350" s="443">
        <v>118595002</v>
      </c>
      <c r="H11350" s="530"/>
      <c r="I11350" s="422" t="s">
        <v>716</v>
      </c>
      <c r="J11350" s="43" t="s">
        <v>906</v>
      </c>
      <c r="L11350" s="539"/>
      <c r="M11350" s="539"/>
      <c r="N11350" s="598">
        <v>1558836</v>
      </c>
      <c r="R11350" s="558">
        <v>646.03700000000003</v>
      </c>
      <c r="S11350" s="558">
        <v>646.31134447754596</v>
      </c>
      <c r="T11350" s="538">
        <v>15.5</v>
      </c>
      <c r="U11350" s="538">
        <v>1510.6</v>
      </c>
      <c r="V11350" s="538">
        <v>755.3</v>
      </c>
    </row>
    <row r="11351" spans="1:22">
      <c r="A11351" s="499">
        <v>45883</v>
      </c>
      <c r="B11351" s="499">
        <v>45883</v>
      </c>
      <c r="C11351" s="420" t="s">
        <v>173</v>
      </c>
      <c r="D11351" s="500" t="s">
        <v>762</v>
      </c>
      <c r="E11351" s="501">
        <v>-18001174.969999999</v>
      </c>
      <c r="F11351" s="95" t="s">
        <v>878</v>
      </c>
      <c r="G11351" s="443">
        <v>118595028</v>
      </c>
      <c r="H11351" s="530"/>
      <c r="I11351" s="422" t="s">
        <v>716</v>
      </c>
      <c r="J11351" s="43" t="s">
        <v>906</v>
      </c>
      <c r="L11351" s="539"/>
      <c r="M11351" s="539"/>
      <c r="N11351" s="598">
        <v>27864</v>
      </c>
      <c r="R11351" s="558">
        <v>646.03700000000003</v>
      </c>
      <c r="S11351" s="558">
        <v>646.31134438702304</v>
      </c>
      <c r="T11351" s="538">
        <v>15.5</v>
      </c>
      <c r="U11351" s="538">
        <v>39.32</v>
      </c>
      <c r="V11351" s="538">
        <v>13.5</v>
      </c>
    </row>
    <row r="11352" spans="1:22">
      <c r="A11352" s="499">
        <v>45883</v>
      </c>
      <c r="B11352" s="499">
        <v>45884</v>
      </c>
      <c r="C11352" s="420" t="s">
        <v>173</v>
      </c>
      <c r="D11352" s="500" t="s">
        <v>762</v>
      </c>
      <c r="E11352" s="501">
        <v>1994662340.03</v>
      </c>
      <c r="F11352" s="95" t="s">
        <v>878</v>
      </c>
      <c r="G11352" s="443">
        <v>118594999</v>
      </c>
      <c r="H11352" s="484">
        <v>118594999</v>
      </c>
      <c r="I11352" s="422" t="s">
        <v>719</v>
      </c>
      <c r="J11352" s="443" t="s">
        <v>912</v>
      </c>
      <c r="L11352" s="539"/>
      <c r="M11352" s="539"/>
      <c r="N11352" s="598">
        <v>3087157</v>
      </c>
      <c r="R11352" s="558">
        <v>645.84199999999998</v>
      </c>
      <c r="S11352" s="558">
        <v>646.11626167052702</v>
      </c>
      <c r="T11352" s="538">
        <v>15.5</v>
      </c>
      <c r="U11352" s="538">
        <v>2990.72</v>
      </c>
      <c r="V11352" s="538">
        <v>1495.36</v>
      </c>
    </row>
    <row r="11353" spans="1:22">
      <c r="A11353" s="499">
        <v>45883</v>
      </c>
      <c r="B11353" s="499">
        <v>45884</v>
      </c>
      <c r="C11353" s="420" t="s">
        <v>173</v>
      </c>
      <c r="D11353" s="500" t="s">
        <v>762</v>
      </c>
      <c r="E11353" s="501">
        <v>1007493390.98</v>
      </c>
      <c r="F11353" s="95" t="s">
        <v>878</v>
      </c>
      <c r="G11353" s="443">
        <v>118595002</v>
      </c>
      <c r="H11353" s="484">
        <v>118595002</v>
      </c>
      <c r="I11353" s="422" t="s">
        <v>716</v>
      </c>
      <c r="J11353" s="443" t="s">
        <v>912</v>
      </c>
      <c r="L11353" s="539"/>
      <c r="M11353" s="539"/>
      <c r="N11353" s="598">
        <v>1558836</v>
      </c>
      <c r="R11353" s="558">
        <v>646.03700000000003</v>
      </c>
      <c r="S11353" s="558">
        <v>646.31134447754596</v>
      </c>
      <c r="T11353" s="538">
        <v>15.5</v>
      </c>
      <c r="U11353" s="538">
        <v>1510.6</v>
      </c>
      <c r="V11353" s="538">
        <v>755.3</v>
      </c>
    </row>
    <row r="11354" spans="1:22">
      <c r="A11354" s="499">
        <v>45883</v>
      </c>
      <c r="B11354" s="499">
        <v>45884</v>
      </c>
      <c r="C11354" s="420" t="s">
        <v>173</v>
      </c>
      <c r="D11354" s="500" t="s">
        <v>762</v>
      </c>
      <c r="E11354" s="501">
        <v>18008819.300000001</v>
      </c>
      <c r="F11354" s="95" t="s">
        <v>878</v>
      </c>
      <c r="G11354" s="443">
        <v>118595028</v>
      </c>
      <c r="H11354" s="484">
        <v>118595028</v>
      </c>
      <c r="I11354" s="422" t="s">
        <v>716</v>
      </c>
      <c r="J11354" s="443" t="s">
        <v>912</v>
      </c>
      <c r="L11354" s="539"/>
      <c r="M11354" s="539"/>
      <c r="N11354" s="598">
        <v>27864</v>
      </c>
      <c r="R11354" s="558">
        <v>646.03700000000003</v>
      </c>
      <c r="S11354" s="558">
        <v>646.31134438702304</v>
      </c>
      <c r="T11354" s="538">
        <v>15.5</v>
      </c>
      <c r="U11354" s="538">
        <v>39.32</v>
      </c>
      <c r="V11354" s="538">
        <v>13.5</v>
      </c>
    </row>
    <row r="11355" spans="1:22">
      <c r="A11355" s="499">
        <v>45883</v>
      </c>
      <c r="B11355" s="499">
        <v>45883</v>
      </c>
      <c r="C11355" s="420" t="s">
        <v>173</v>
      </c>
      <c r="D11355" s="500" t="s">
        <v>761</v>
      </c>
      <c r="E11355" s="501">
        <v>-1392109165.0899999</v>
      </c>
      <c r="F11355" s="95" t="s">
        <v>878</v>
      </c>
      <c r="G11355" s="443">
        <v>118591065</v>
      </c>
      <c r="H11355" s="530"/>
      <c r="I11355" s="422" t="s">
        <v>2556</v>
      </c>
      <c r="J11355" s="43" t="s">
        <v>906</v>
      </c>
      <c r="L11355" s="539"/>
      <c r="M11355" s="539"/>
      <c r="N11355" s="598">
        <v>15672528</v>
      </c>
      <c r="R11355" s="548">
        <v>88.824799999719247</v>
      </c>
      <c r="S11355" s="548">
        <v>88.862522554115102</v>
      </c>
      <c r="T11355" s="549">
        <v>15.500999999999999</v>
      </c>
      <c r="U11355" s="549">
        <v>2088.16</v>
      </c>
      <c r="V11355" s="549">
        <v>1044.08</v>
      </c>
    </row>
    <row r="11356" spans="1:22">
      <c r="A11356" s="499">
        <v>45883</v>
      </c>
      <c r="B11356" s="499">
        <v>45883</v>
      </c>
      <c r="C11356" s="420" t="s">
        <v>173</v>
      </c>
      <c r="D11356" s="500" t="s">
        <v>761</v>
      </c>
      <c r="E11356" s="501">
        <v>-4000077.2</v>
      </c>
      <c r="F11356" s="95" t="s">
        <v>878</v>
      </c>
      <c r="G11356" s="443">
        <v>118591216</v>
      </c>
      <c r="H11356" s="530"/>
      <c r="I11356" s="422" t="s">
        <v>2903</v>
      </c>
      <c r="J11356" s="43" t="s">
        <v>906</v>
      </c>
      <c r="L11356" s="539"/>
      <c r="M11356" s="539"/>
      <c r="N11356" s="598">
        <v>40096</v>
      </c>
      <c r="R11356" s="548">
        <v>99.762500000000003</v>
      </c>
      <c r="S11356" s="548">
        <v>99.804865073822796</v>
      </c>
      <c r="T11356" s="549">
        <v>15.5001</v>
      </c>
      <c r="U11356" s="549">
        <v>39.32</v>
      </c>
      <c r="V11356" s="549">
        <v>3</v>
      </c>
    </row>
    <row r="11357" spans="1:22">
      <c r="A11357" s="499">
        <v>45883</v>
      </c>
      <c r="B11357" s="499">
        <v>45884</v>
      </c>
      <c r="C11357" s="420" t="s">
        <v>173</v>
      </c>
      <c r="D11357" s="500" t="s">
        <v>761</v>
      </c>
      <c r="E11357" s="501">
        <v>1392700372.8800001</v>
      </c>
      <c r="F11357" s="95" t="s">
        <v>878</v>
      </c>
      <c r="G11357" s="443">
        <v>118591065</v>
      </c>
      <c r="H11357" s="443">
        <v>118591065</v>
      </c>
      <c r="I11357" s="422" t="s">
        <v>2556</v>
      </c>
      <c r="J11357" s="443" t="s">
        <v>912</v>
      </c>
      <c r="L11357" s="539"/>
      <c r="M11357" s="539"/>
      <c r="N11357" s="598">
        <v>15672528</v>
      </c>
      <c r="R11357" s="548">
        <v>88.824799999719247</v>
      </c>
      <c r="S11357" s="548">
        <v>88.862522554115102</v>
      </c>
      <c r="T11357" s="549">
        <v>15.500999999999999</v>
      </c>
      <c r="U11357" s="549">
        <v>2088.16</v>
      </c>
      <c r="V11357" s="549">
        <v>1044.08</v>
      </c>
    </row>
    <row r="11358" spans="1:22">
      <c r="A11358" s="499">
        <v>45883</v>
      </c>
      <c r="B11358" s="499">
        <v>45884</v>
      </c>
      <c r="C11358" s="420" t="s">
        <v>173</v>
      </c>
      <c r="D11358" s="500" t="s">
        <v>761</v>
      </c>
      <c r="E11358" s="501">
        <v>4001775.87</v>
      </c>
      <c r="F11358" s="95" t="s">
        <v>878</v>
      </c>
      <c r="G11358" s="443">
        <v>118591216</v>
      </c>
      <c r="H11358" s="443">
        <v>118591216</v>
      </c>
      <c r="I11358" s="422" t="s">
        <v>2903</v>
      </c>
      <c r="J11358" s="443" t="s">
        <v>912</v>
      </c>
      <c r="L11358" s="539"/>
      <c r="M11358" s="539"/>
      <c r="N11358" s="598">
        <v>40096</v>
      </c>
      <c r="R11358" s="548">
        <v>99.762500000000003</v>
      </c>
      <c r="S11358" s="548">
        <v>99.804865073822796</v>
      </c>
      <c r="T11358" s="549">
        <v>15.5001</v>
      </c>
      <c r="U11358" s="549">
        <v>39.32</v>
      </c>
      <c r="V11358" s="549">
        <v>3</v>
      </c>
    </row>
    <row r="11359" spans="1:22">
      <c r="A11359" s="499">
        <v>45883</v>
      </c>
      <c r="B11359" s="499">
        <v>45883</v>
      </c>
      <c r="C11359" s="420" t="s">
        <v>173</v>
      </c>
      <c r="D11359" s="500" t="s">
        <v>759</v>
      </c>
      <c r="E11359" s="501">
        <v>-2268928197.1399999</v>
      </c>
      <c r="F11359" s="95" t="s">
        <v>878</v>
      </c>
      <c r="G11359" s="443">
        <v>118592274</v>
      </c>
      <c r="H11359" s="530"/>
      <c r="I11359" s="422" t="s">
        <v>719</v>
      </c>
      <c r="J11359" s="43" t="s">
        <v>906</v>
      </c>
      <c r="L11359" s="539"/>
      <c r="M11359" s="539"/>
      <c r="N11359" s="598">
        <v>3513132</v>
      </c>
      <c r="R11359" s="548">
        <v>645.84199999886141</v>
      </c>
      <c r="S11359" s="548">
        <v>646.11626166907502</v>
      </c>
      <c r="T11359" s="549">
        <v>15.5</v>
      </c>
      <c r="U11359" s="549">
        <v>3403.39</v>
      </c>
      <c r="V11359" s="549">
        <v>1701.7</v>
      </c>
    </row>
    <row r="11360" spans="1:22">
      <c r="A11360" s="499">
        <v>45883</v>
      </c>
      <c r="B11360" s="499">
        <v>45883</v>
      </c>
      <c r="C11360" s="420" t="s">
        <v>173</v>
      </c>
      <c r="D11360" s="500" t="s">
        <v>759</v>
      </c>
      <c r="E11360" s="501">
        <v>-14003520.84</v>
      </c>
      <c r="F11360" s="95" t="s">
        <v>878</v>
      </c>
      <c r="G11360" s="443">
        <v>118592299</v>
      </c>
      <c r="H11360" s="530"/>
      <c r="I11360" s="422" t="s">
        <v>1013</v>
      </c>
      <c r="J11360" s="43" t="s">
        <v>906</v>
      </c>
      <c r="L11360" s="539"/>
      <c r="M11360" s="539"/>
      <c r="N11360" s="598">
        <v>26222</v>
      </c>
      <c r="R11360" s="548">
        <v>534.03710014491651</v>
      </c>
      <c r="S11360" s="548">
        <v>534.26388452444496</v>
      </c>
      <c r="T11360" s="549">
        <v>15.5001</v>
      </c>
      <c r="U11360" s="549">
        <v>39.32</v>
      </c>
      <c r="V11360" s="549">
        <v>10.5</v>
      </c>
    </row>
    <row r="11361" spans="1:22">
      <c r="A11361" s="499">
        <v>45883</v>
      </c>
      <c r="B11361" s="499">
        <v>45884</v>
      </c>
      <c r="C11361" s="420" t="s">
        <v>173</v>
      </c>
      <c r="D11361" s="500" t="s">
        <v>759</v>
      </c>
      <c r="E11361" s="501">
        <v>2269891714.5900002</v>
      </c>
      <c r="F11361" s="95" t="s">
        <v>878</v>
      </c>
      <c r="G11361" s="443">
        <v>118592274</v>
      </c>
      <c r="H11361" s="443">
        <v>118592274</v>
      </c>
      <c r="I11361" s="422" t="s">
        <v>719</v>
      </c>
      <c r="J11361" s="443" t="s">
        <v>912</v>
      </c>
      <c r="L11361" s="539"/>
      <c r="M11361" s="539"/>
      <c r="N11361" s="598">
        <v>3513132</v>
      </c>
      <c r="R11361" s="548">
        <v>645.84199999886141</v>
      </c>
      <c r="S11361" s="548">
        <v>646.11626166907502</v>
      </c>
      <c r="T11361" s="549">
        <v>15.5</v>
      </c>
      <c r="U11361" s="549">
        <v>3403.39</v>
      </c>
      <c r="V11361" s="549">
        <v>1701.7</v>
      </c>
    </row>
    <row r="11362" spans="1:22">
      <c r="A11362" s="499">
        <v>45883</v>
      </c>
      <c r="B11362" s="499">
        <v>45884</v>
      </c>
      <c r="C11362" s="420" t="s">
        <v>173</v>
      </c>
      <c r="D11362" s="500" t="s">
        <v>759</v>
      </c>
      <c r="E11362" s="501">
        <v>14009467.58</v>
      </c>
      <c r="F11362" s="95" t="s">
        <v>878</v>
      </c>
      <c r="G11362" s="443">
        <v>118592299</v>
      </c>
      <c r="H11362" s="443">
        <v>118592299</v>
      </c>
      <c r="I11362" s="422" t="s">
        <v>1013</v>
      </c>
      <c r="J11362" s="443" t="s">
        <v>912</v>
      </c>
      <c r="L11362" s="539"/>
      <c r="M11362" s="539"/>
      <c r="N11362" s="598">
        <v>26222</v>
      </c>
      <c r="R11362" s="548">
        <v>534.03710014491651</v>
      </c>
      <c r="S11362" s="548">
        <v>534.26388452444496</v>
      </c>
      <c r="T11362" s="549">
        <v>15.5001</v>
      </c>
      <c r="U11362" s="549">
        <v>39.32</v>
      </c>
      <c r="V11362" s="549">
        <v>10.5</v>
      </c>
    </row>
    <row r="11363" spans="1:22">
      <c r="A11363" s="499">
        <v>45883</v>
      </c>
      <c r="B11363" s="499">
        <v>45883</v>
      </c>
      <c r="C11363" s="420" t="s">
        <v>173</v>
      </c>
      <c r="D11363" s="500" t="s">
        <v>760</v>
      </c>
      <c r="E11363" s="501">
        <v>-228039868.63</v>
      </c>
      <c r="F11363" s="95" t="s">
        <v>878</v>
      </c>
      <c r="G11363" s="443">
        <v>118591538</v>
      </c>
      <c r="H11363" s="530"/>
      <c r="I11363" s="422" t="s">
        <v>631</v>
      </c>
      <c r="J11363" s="43" t="s">
        <v>906</v>
      </c>
      <c r="L11363" s="539"/>
      <c r="M11363" s="539"/>
      <c r="N11363" s="598">
        <v>455772</v>
      </c>
      <c r="R11363" s="548">
        <v>500.33760000000001</v>
      </c>
      <c r="S11363" s="548">
        <v>500.55007350166301</v>
      </c>
      <c r="T11363" s="549">
        <v>15.5001</v>
      </c>
      <c r="U11363" s="549">
        <v>342.06</v>
      </c>
      <c r="V11363" s="549">
        <v>171.03</v>
      </c>
    </row>
    <row r="11364" spans="1:22">
      <c r="A11364" s="499">
        <v>45883</v>
      </c>
      <c r="B11364" s="499">
        <v>45883</v>
      </c>
      <c r="C11364" s="420" t="s">
        <v>173</v>
      </c>
      <c r="D11364" s="500" t="s">
        <v>760</v>
      </c>
      <c r="E11364" s="501">
        <v>-1072269595.46</v>
      </c>
      <c r="F11364" s="95" t="s">
        <v>878</v>
      </c>
      <c r="G11364" s="443">
        <v>118591535</v>
      </c>
      <c r="H11364" s="530"/>
      <c r="I11364" s="422" t="s">
        <v>1013</v>
      </c>
      <c r="J11364" s="43" t="s">
        <v>906</v>
      </c>
      <c r="L11364" s="539"/>
      <c r="M11364" s="539"/>
      <c r="N11364" s="598">
        <v>2007856</v>
      </c>
      <c r="R11364" s="548">
        <v>534.03710000000001</v>
      </c>
      <c r="S11364" s="548">
        <v>534.26388580655203</v>
      </c>
      <c r="T11364" s="549">
        <v>15.5002</v>
      </c>
      <c r="U11364" s="549">
        <v>1608.4</v>
      </c>
      <c r="V11364" s="549">
        <v>804.2</v>
      </c>
    </row>
    <row r="11365" spans="1:22">
      <c r="A11365" s="499">
        <v>45883</v>
      </c>
      <c r="B11365" s="499">
        <v>45883</v>
      </c>
      <c r="C11365" s="420" t="s">
        <v>173</v>
      </c>
      <c r="D11365" s="500" t="s">
        <v>760</v>
      </c>
      <c r="E11365" s="501">
        <v>-900226339.47000003</v>
      </c>
      <c r="F11365" s="95" t="s">
        <v>878</v>
      </c>
      <c r="G11365" s="443">
        <v>118591591</v>
      </c>
      <c r="H11365" s="530"/>
      <c r="I11365" s="422" t="s">
        <v>1013</v>
      </c>
      <c r="J11365" s="43" t="s">
        <v>906</v>
      </c>
      <c r="L11365" s="539"/>
      <c r="M11365" s="539"/>
      <c r="N11365" s="598">
        <v>1685700</v>
      </c>
      <c r="R11365" s="548">
        <v>534.03710000000001</v>
      </c>
      <c r="S11365" s="548">
        <v>534.26388433884995</v>
      </c>
      <c r="T11365" s="549">
        <v>15.5001</v>
      </c>
      <c r="U11365" s="549">
        <v>1350.34</v>
      </c>
      <c r="V11365" s="549">
        <v>675.17</v>
      </c>
    </row>
    <row r="11366" spans="1:22">
      <c r="A11366" s="499">
        <v>45883</v>
      </c>
      <c r="B11366" s="499">
        <v>45883</v>
      </c>
      <c r="C11366" s="420" t="s">
        <v>173</v>
      </c>
      <c r="D11366" s="500" t="s">
        <v>760</v>
      </c>
      <c r="E11366" s="501">
        <v>-6001508.9299999997</v>
      </c>
      <c r="F11366" s="95" t="s">
        <v>878</v>
      </c>
      <c r="G11366" s="443">
        <v>118591603</v>
      </c>
      <c r="H11366" s="530"/>
      <c r="I11366" s="422" t="s">
        <v>1013</v>
      </c>
      <c r="J11366" s="43" t="s">
        <v>906</v>
      </c>
      <c r="L11366" s="539"/>
      <c r="M11366" s="539"/>
      <c r="N11366" s="598">
        <v>11238</v>
      </c>
      <c r="R11366" s="548">
        <v>534.03710000000001</v>
      </c>
      <c r="S11366" s="548">
        <v>534.26388414308599</v>
      </c>
      <c r="T11366" s="549">
        <v>15.5001</v>
      </c>
      <c r="U11366" s="549">
        <v>39.32</v>
      </c>
      <c r="V11366" s="549">
        <v>4.5</v>
      </c>
    </row>
    <row r="11367" spans="1:22">
      <c r="A11367" s="499">
        <v>45883</v>
      </c>
      <c r="B11367" s="499">
        <v>45884</v>
      </c>
      <c r="C11367" s="420" t="s">
        <v>173</v>
      </c>
      <c r="D11367" s="500" t="s">
        <v>760</v>
      </c>
      <c r="E11367" s="501">
        <v>228136708.09999999</v>
      </c>
      <c r="F11367" s="95" t="s">
        <v>878</v>
      </c>
      <c r="G11367" s="443">
        <v>118591538</v>
      </c>
      <c r="H11367" s="443">
        <v>118591538</v>
      </c>
      <c r="I11367" s="422" t="s">
        <v>631</v>
      </c>
      <c r="J11367" s="443" t="s">
        <v>912</v>
      </c>
      <c r="L11367" s="539"/>
      <c r="M11367" s="539"/>
      <c r="N11367" s="598">
        <v>455772</v>
      </c>
      <c r="R11367" s="548">
        <v>500.33760000000001</v>
      </c>
      <c r="S11367" s="548">
        <v>500.55007350166301</v>
      </c>
      <c r="T11367" s="549">
        <v>15.5001</v>
      </c>
      <c r="U11367" s="549">
        <v>342.06</v>
      </c>
      <c r="V11367" s="549">
        <v>171.03</v>
      </c>
    </row>
    <row r="11368" spans="1:22">
      <c r="A11368" s="499">
        <v>45883</v>
      </c>
      <c r="B11368" s="499">
        <v>45884</v>
      </c>
      <c r="C11368" s="420" t="s">
        <v>173</v>
      </c>
      <c r="D11368" s="500" t="s">
        <v>760</v>
      </c>
      <c r="E11368" s="501">
        <v>1072724948.7</v>
      </c>
      <c r="F11368" s="95" t="s">
        <v>878</v>
      </c>
      <c r="G11368" s="443">
        <v>118591535</v>
      </c>
      <c r="H11368" s="443">
        <v>118591535</v>
      </c>
      <c r="I11368" s="422" t="s">
        <v>1013</v>
      </c>
      <c r="J11368" s="443" t="s">
        <v>912</v>
      </c>
      <c r="L11368" s="539"/>
      <c r="M11368" s="539"/>
      <c r="N11368" s="598">
        <v>2007856</v>
      </c>
      <c r="R11368" s="548">
        <v>534.03710000000001</v>
      </c>
      <c r="S11368" s="548">
        <v>534.26388580655203</v>
      </c>
      <c r="T11368" s="549">
        <v>15.5002</v>
      </c>
      <c r="U11368" s="549">
        <v>1608.4</v>
      </c>
      <c r="V11368" s="549">
        <v>804.2</v>
      </c>
    </row>
    <row r="11369" spans="1:22">
      <c r="A11369" s="499">
        <v>45883</v>
      </c>
      <c r="B11369" s="499">
        <v>45884</v>
      </c>
      <c r="C11369" s="420" t="s">
        <v>173</v>
      </c>
      <c r="D11369" s="500" t="s">
        <v>760</v>
      </c>
      <c r="E11369" s="501">
        <v>900608629.83000004</v>
      </c>
      <c r="F11369" s="95" t="s">
        <v>878</v>
      </c>
      <c r="G11369" s="443">
        <v>118591591</v>
      </c>
      <c r="H11369" s="443">
        <v>118591591</v>
      </c>
      <c r="I11369" s="422" t="s">
        <v>1013</v>
      </c>
      <c r="J11369" s="443" t="s">
        <v>912</v>
      </c>
      <c r="L11369" s="539"/>
      <c r="M11369" s="539"/>
      <c r="N11369" s="598">
        <v>1685700</v>
      </c>
      <c r="R11369" s="548">
        <v>534.03710000000001</v>
      </c>
      <c r="S11369" s="548">
        <v>534.26388433884995</v>
      </c>
      <c r="T11369" s="549">
        <v>15.5001</v>
      </c>
      <c r="U11369" s="549">
        <v>1350.34</v>
      </c>
      <c r="V11369" s="549">
        <v>675.17</v>
      </c>
    </row>
    <row r="11370" spans="1:22">
      <c r="A11370" s="499">
        <v>45883</v>
      </c>
      <c r="B11370" s="499">
        <v>45884</v>
      </c>
      <c r="C11370" s="420" t="s">
        <v>173</v>
      </c>
      <c r="D11370" s="500" t="s">
        <v>760</v>
      </c>
      <c r="E11370" s="501">
        <v>6004057.5300000003</v>
      </c>
      <c r="F11370" s="95" t="s">
        <v>878</v>
      </c>
      <c r="G11370" s="443">
        <v>118591603</v>
      </c>
      <c r="H11370" s="443">
        <v>118591603</v>
      </c>
      <c r="I11370" s="422" t="s">
        <v>1013</v>
      </c>
      <c r="J11370" s="443" t="s">
        <v>912</v>
      </c>
      <c r="L11370" s="539"/>
      <c r="M11370" s="539"/>
      <c r="N11370" s="598">
        <v>11238</v>
      </c>
      <c r="R11370" s="548">
        <v>534.03710000000001</v>
      </c>
      <c r="S11370" s="548">
        <v>534.26388414308599</v>
      </c>
      <c r="T11370" s="549">
        <v>15.5001</v>
      </c>
      <c r="U11370" s="549">
        <v>39.32</v>
      </c>
      <c r="V11370" s="549">
        <v>4.5</v>
      </c>
    </row>
    <row r="11371" spans="1:22">
      <c r="A11371" s="499">
        <v>45883</v>
      </c>
      <c r="B11371" s="499">
        <v>45883</v>
      </c>
      <c r="C11371" s="420" t="s">
        <v>173</v>
      </c>
      <c r="D11371" s="500" t="s">
        <v>764</v>
      </c>
      <c r="E11371" s="501">
        <v>-4794961573.5900002</v>
      </c>
      <c r="F11371" s="95" t="s">
        <v>878</v>
      </c>
      <c r="G11371" s="443">
        <v>118592030</v>
      </c>
      <c r="H11371" s="530"/>
      <c r="I11371" s="422" t="s">
        <v>719</v>
      </c>
      <c r="J11371" s="43" t="s">
        <v>906</v>
      </c>
      <c r="L11371" s="539"/>
      <c r="M11371" s="539"/>
      <c r="N11371" s="598">
        <v>7424357</v>
      </c>
      <c r="R11371" s="548">
        <v>645.84199999946122</v>
      </c>
      <c r="S11371" s="548">
        <v>646.11626167087604</v>
      </c>
      <c r="T11371" s="538">
        <v>15.5</v>
      </c>
      <c r="U11371" s="549">
        <v>7192.44</v>
      </c>
      <c r="V11371" s="549">
        <v>3596.22</v>
      </c>
    </row>
    <row r="11372" spans="1:22">
      <c r="A11372" s="499">
        <v>45883</v>
      </c>
      <c r="B11372" s="499">
        <v>45883</v>
      </c>
      <c r="C11372" s="420" t="s">
        <v>173</v>
      </c>
      <c r="D11372" s="500" t="s">
        <v>764</v>
      </c>
      <c r="E11372" s="501">
        <v>-29011868.48</v>
      </c>
      <c r="F11372" s="95" t="s">
        <v>878</v>
      </c>
      <c r="G11372" s="443">
        <v>118592046</v>
      </c>
      <c r="H11372" s="530"/>
      <c r="I11372" s="422" t="s">
        <v>719</v>
      </c>
      <c r="J11372" s="43" t="s">
        <v>906</v>
      </c>
      <c r="L11372" s="539"/>
      <c r="M11372" s="539"/>
      <c r="N11372" s="598">
        <v>44921</v>
      </c>
      <c r="R11372" s="548">
        <v>645.84199995547738</v>
      </c>
      <c r="S11372" s="548">
        <v>646.11626165935797</v>
      </c>
      <c r="T11372" s="538">
        <v>15.5</v>
      </c>
      <c r="U11372" s="549">
        <v>43.52</v>
      </c>
      <c r="V11372" s="549">
        <v>21.76</v>
      </c>
    </row>
    <row r="11373" spans="1:22">
      <c r="A11373" s="499">
        <v>45883</v>
      </c>
      <c r="B11373" s="499">
        <v>45884</v>
      </c>
      <c r="C11373" s="420" t="s">
        <v>173</v>
      </c>
      <c r="D11373" s="500" t="s">
        <v>764</v>
      </c>
      <c r="E11373" s="501">
        <v>4796997790.1499996</v>
      </c>
      <c r="F11373" s="95" t="s">
        <v>878</v>
      </c>
      <c r="G11373" s="443">
        <v>118592030</v>
      </c>
      <c r="H11373" s="443">
        <v>118592030</v>
      </c>
      <c r="I11373" s="422" t="s">
        <v>719</v>
      </c>
      <c r="J11373" s="443" t="s">
        <v>912</v>
      </c>
      <c r="L11373" s="539"/>
      <c r="M11373" s="539"/>
      <c r="N11373" s="598">
        <v>7424357</v>
      </c>
      <c r="R11373" s="548">
        <v>645.84199999946122</v>
      </c>
      <c r="S11373" s="548">
        <v>646.11626167087604</v>
      </c>
      <c r="T11373" s="538">
        <v>15.5</v>
      </c>
      <c r="U11373" s="549">
        <v>7192.44</v>
      </c>
      <c r="V11373" s="549">
        <v>3596.22</v>
      </c>
    </row>
    <row r="11374" spans="1:22">
      <c r="A11374" s="499">
        <v>45883</v>
      </c>
      <c r="B11374" s="499">
        <v>45884</v>
      </c>
      <c r="C11374" s="420" t="s">
        <v>173</v>
      </c>
      <c r="D11374" s="500" t="s">
        <v>764</v>
      </c>
      <c r="E11374" s="501">
        <v>29024188.59</v>
      </c>
      <c r="F11374" s="95" t="s">
        <v>878</v>
      </c>
      <c r="G11374" s="443">
        <v>118592046</v>
      </c>
      <c r="H11374" s="443">
        <v>118592046</v>
      </c>
      <c r="I11374" s="422" t="s">
        <v>719</v>
      </c>
      <c r="J11374" s="443" t="s">
        <v>912</v>
      </c>
      <c r="L11374" s="539"/>
      <c r="M11374" s="539"/>
      <c r="N11374" s="598">
        <v>44921</v>
      </c>
      <c r="R11374" s="548">
        <v>645.84199995547738</v>
      </c>
      <c r="S11374" s="548">
        <v>646.11626165935797</v>
      </c>
      <c r="T11374" s="538">
        <v>15.5</v>
      </c>
      <c r="U11374" s="549">
        <v>43.52</v>
      </c>
      <c r="V11374" s="549">
        <v>21.76</v>
      </c>
    </row>
    <row r="11375" spans="1:22">
      <c r="A11375" s="499">
        <v>45883</v>
      </c>
      <c r="B11375" s="499">
        <v>45883</v>
      </c>
      <c r="C11375" s="420" t="s">
        <v>173</v>
      </c>
      <c r="D11375" s="500" t="s">
        <v>763</v>
      </c>
      <c r="E11375" s="501">
        <v>-2901227505.6999998</v>
      </c>
      <c r="F11375" s="95" t="s">
        <v>878</v>
      </c>
      <c r="G11375" s="443">
        <v>118591089</v>
      </c>
      <c r="H11375" s="530"/>
      <c r="I11375" s="422" t="s">
        <v>2556</v>
      </c>
      <c r="J11375" s="43" t="s">
        <v>906</v>
      </c>
      <c r="L11375" s="539"/>
      <c r="M11375" s="539"/>
      <c r="N11375" s="598">
        <v>32662359</v>
      </c>
      <c r="R11375" s="548">
        <v>88.824799999999996</v>
      </c>
      <c r="S11375" s="548">
        <v>88.862522553866995</v>
      </c>
      <c r="T11375" s="549">
        <v>15.500999999999999</v>
      </c>
      <c r="U11375" s="549">
        <v>4351.84</v>
      </c>
      <c r="V11375" s="549">
        <v>2175.92</v>
      </c>
    </row>
    <row r="11376" spans="1:22">
      <c r="A11376" s="499">
        <v>45883</v>
      </c>
      <c r="B11376" s="499">
        <v>45883</v>
      </c>
      <c r="C11376" s="420" t="s">
        <v>173</v>
      </c>
      <c r="D11376" s="500" t="s">
        <v>763</v>
      </c>
      <c r="E11376" s="501">
        <v>-19001490.039999999</v>
      </c>
      <c r="F11376" s="95" t="s">
        <v>878</v>
      </c>
      <c r="G11376" s="443">
        <v>118591167</v>
      </c>
      <c r="H11376" s="530"/>
      <c r="I11376" s="422" t="s">
        <v>2556</v>
      </c>
      <c r="J11376" s="43" t="s">
        <v>906</v>
      </c>
      <c r="L11376" s="539"/>
      <c r="M11376" s="539"/>
      <c r="N11376" s="598">
        <v>213921</v>
      </c>
      <c r="R11376" s="548">
        <v>88.824799999999996</v>
      </c>
      <c r="S11376" s="548">
        <v>88.862522566741902</v>
      </c>
      <c r="T11376" s="549">
        <v>15.500999999999999</v>
      </c>
      <c r="U11376" s="549">
        <v>39.32</v>
      </c>
      <c r="V11376" s="549">
        <v>39.32</v>
      </c>
    </row>
    <row r="11377" spans="1:25">
      <c r="A11377" s="499">
        <v>45883</v>
      </c>
      <c r="B11377" s="499">
        <v>45884</v>
      </c>
      <c r="C11377" s="420" t="s">
        <v>173</v>
      </c>
      <c r="D11377" s="500" t="s">
        <v>763</v>
      </c>
      <c r="E11377" s="501">
        <v>2902459613.3000002</v>
      </c>
      <c r="F11377" s="95" t="s">
        <v>878</v>
      </c>
      <c r="G11377" s="443">
        <v>118591089</v>
      </c>
      <c r="H11377" s="443">
        <v>118591089</v>
      </c>
      <c r="I11377" s="422" t="s">
        <v>2556</v>
      </c>
      <c r="J11377" s="443" t="s">
        <v>912</v>
      </c>
      <c r="L11377" s="539"/>
      <c r="M11377" s="539"/>
      <c r="N11377" s="598">
        <v>32662359</v>
      </c>
      <c r="R11377" s="548">
        <v>88.824799999999996</v>
      </c>
      <c r="S11377" s="548">
        <v>88.862522553866995</v>
      </c>
      <c r="T11377" s="549">
        <v>15.500999999999999</v>
      </c>
      <c r="U11377" s="549">
        <v>4351.84</v>
      </c>
      <c r="V11377" s="549">
        <v>2175.92</v>
      </c>
    </row>
    <row r="11378" spans="1:25">
      <c r="A11378" s="499">
        <v>45883</v>
      </c>
      <c r="B11378" s="499">
        <v>45884</v>
      </c>
      <c r="C11378" s="420" t="s">
        <v>173</v>
      </c>
      <c r="D11378" s="500" t="s">
        <v>763</v>
      </c>
      <c r="E11378" s="501">
        <v>19009559.690000001</v>
      </c>
      <c r="F11378" s="95" t="s">
        <v>878</v>
      </c>
      <c r="G11378" s="443">
        <v>118591167</v>
      </c>
      <c r="H11378" s="443">
        <v>118591167</v>
      </c>
      <c r="I11378" s="422" t="s">
        <v>2556</v>
      </c>
      <c r="J11378" s="443" t="s">
        <v>912</v>
      </c>
      <c r="L11378" s="539"/>
      <c r="M11378" s="539"/>
      <c r="N11378" s="598">
        <v>213921</v>
      </c>
      <c r="R11378" s="548">
        <v>88.824799999999996</v>
      </c>
      <c r="S11378" s="548">
        <v>88.862522566741902</v>
      </c>
      <c r="T11378" s="549">
        <v>15.500999999999999</v>
      </c>
      <c r="U11378" s="549">
        <v>39.32</v>
      </c>
      <c r="V11378" s="549">
        <v>39.32</v>
      </c>
    </row>
    <row r="11379" spans="1:25">
      <c r="A11379" s="499">
        <v>45883</v>
      </c>
      <c r="B11379" s="499">
        <v>45883</v>
      </c>
      <c r="C11379" s="420" t="s">
        <v>173</v>
      </c>
      <c r="D11379" s="500" t="s">
        <v>763</v>
      </c>
      <c r="E11379" s="501">
        <v>-899952329.45000005</v>
      </c>
      <c r="F11379" s="502" t="s">
        <v>906</v>
      </c>
      <c r="G11379" s="443" t="str">
        <f>VLOOKUP(I11379,Справочник!I:M,5,0)</f>
        <v>KZK200000760</v>
      </c>
      <c r="H11379" s="530"/>
      <c r="I11379" s="422" t="s">
        <v>2939</v>
      </c>
      <c r="K11379" s="548">
        <v>118555504</v>
      </c>
      <c r="L11379" s="549">
        <v>99.987200000000001</v>
      </c>
      <c r="M11379" s="549">
        <f>E11379*(-1)/(N11379*O11379)*100</f>
        <v>100.31795000000001</v>
      </c>
      <c r="N11379" s="598">
        <v>897100</v>
      </c>
      <c r="O11379" s="539">
        <f>VLOOKUP(G11379,Справочник!A:J,10,0)</f>
        <v>1000</v>
      </c>
      <c r="T11379" s="538">
        <v>17.010000000000002</v>
      </c>
      <c r="U11379" s="538">
        <v>0</v>
      </c>
      <c r="V11379" s="549">
        <v>89995.23</v>
      </c>
      <c r="W11379" s="550">
        <f>VLOOKUP(G11379,Справочник!A:C,3,0)</f>
        <v>0.1701</v>
      </c>
      <c r="X11379" s="539" t="str">
        <f>VLOOKUP(G11379,Справочник!A:G,7,0)</f>
        <v>Министерство финансов Республики Казахстан</v>
      </c>
      <c r="Y11379" s="551">
        <f>VLOOKUP(G11379,Справочник!A:B,2,0)</f>
        <v>47337</v>
      </c>
    </row>
    <row r="11380" spans="1:25">
      <c r="A11380" s="499">
        <v>45884</v>
      </c>
      <c r="B11380" s="499">
        <v>45884</v>
      </c>
      <c r="C11380" s="420" t="s">
        <v>173</v>
      </c>
      <c r="D11380" s="500" t="s">
        <v>762</v>
      </c>
      <c r="E11380" s="501">
        <v>-3004591830.2399998</v>
      </c>
      <c r="F11380" s="95" t="s">
        <v>878</v>
      </c>
      <c r="G11380" s="443">
        <v>118620073</v>
      </c>
      <c r="H11380" s="530"/>
      <c r="I11380" s="422" t="s">
        <v>719</v>
      </c>
      <c r="J11380" s="43" t="s">
        <v>906</v>
      </c>
      <c r="L11380" s="539"/>
      <c r="M11380" s="539"/>
      <c r="N11380" s="598">
        <v>4651647</v>
      </c>
      <c r="R11380" s="558">
        <v>645.91999999999996</v>
      </c>
      <c r="S11380" s="558">
        <v>646.74288438267104</v>
      </c>
      <c r="T11380" s="538">
        <v>15.5</v>
      </c>
      <c r="U11380" s="538">
        <v>13520.66</v>
      </c>
      <c r="V11380" s="538">
        <v>6760.33</v>
      </c>
    </row>
    <row r="11381" spans="1:25">
      <c r="A11381" s="499">
        <v>45884</v>
      </c>
      <c r="B11381" s="499">
        <v>45884</v>
      </c>
      <c r="C11381" s="420" t="s">
        <v>173</v>
      </c>
      <c r="D11381" s="500" t="s">
        <v>762</v>
      </c>
      <c r="E11381" s="501">
        <v>-17009011.359999999</v>
      </c>
      <c r="F11381" s="95" t="s">
        <v>878</v>
      </c>
      <c r="G11381" s="443">
        <v>118620084</v>
      </c>
      <c r="H11381" s="530"/>
      <c r="I11381" s="422" t="s">
        <v>719</v>
      </c>
      <c r="J11381" s="43" t="s">
        <v>906</v>
      </c>
      <c r="L11381" s="539"/>
      <c r="M11381" s="539"/>
      <c r="N11381" s="598">
        <v>26333</v>
      </c>
      <c r="R11381" s="558">
        <v>645.91999999999996</v>
      </c>
      <c r="S11381" s="558">
        <v>646.74288421372398</v>
      </c>
      <c r="T11381" s="538">
        <v>15.5</v>
      </c>
      <c r="U11381" s="538">
        <v>76.540000000000006</v>
      </c>
      <c r="V11381" s="538">
        <v>38.270000000000003</v>
      </c>
    </row>
    <row r="11382" spans="1:25">
      <c r="A11382" s="499">
        <v>45884</v>
      </c>
      <c r="B11382" s="499">
        <v>45887</v>
      </c>
      <c r="C11382" s="420" t="s">
        <v>173</v>
      </c>
      <c r="D11382" s="500" t="s">
        <v>762</v>
      </c>
      <c r="E11382" s="501">
        <v>3008419597.9099998</v>
      </c>
      <c r="F11382" s="95" t="s">
        <v>878</v>
      </c>
      <c r="G11382" s="443">
        <v>118620073</v>
      </c>
      <c r="H11382" s="484">
        <v>118620073</v>
      </c>
      <c r="I11382" s="422" t="s">
        <v>719</v>
      </c>
      <c r="J11382" s="443" t="s">
        <v>912</v>
      </c>
      <c r="L11382" s="539"/>
      <c r="M11382" s="539"/>
      <c r="N11382" s="598">
        <v>4651647</v>
      </c>
      <c r="R11382" s="558">
        <v>645.91999999999996</v>
      </c>
      <c r="S11382" s="558">
        <v>646.74288438267104</v>
      </c>
      <c r="T11382" s="538">
        <v>15.5</v>
      </c>
      <c r="U11382" s="538">
        <v>13520.66</v>
      </c>
      <c r="V11382" s="538">
        <v>6760.33</v>
      </c>
    </row>
    <row r="11383" spans="1:25">
      <c r="A11383" s="499">
        <v>45884</v>
      </c>
      <c r="B11383" s="499">
        <v>45887</v>
      </c>
      <c r="C11383" s="420" t="s">
        <v>173</v>
      </c>
      <c r="D11383" s="500" t="s">
        <v>762</v>
      </c>
      <c r="E11383" s="501">
        <v>17030680.370000001</v>
      </c>
      <c r="F11383" s="95" t="s">
        <v>878</v>
      </c>
      <c r="G11383" s="443">
        <v>118620084</v>
      </c>
      <c r="H11383" s="484">
        <v>118620084</v>
      </c>
      <c r="I11383" s="422" t="s">
        <v>719</v>
      </c>
      <c r="J11383" s="443" t="s">
        <v>912</v>
      </c>
      <c r="L11383" s="539"/>
      <c r="M11383" s="539"/>
      <c r="N11383" s="598">
        <v>26333</v>
      </c>
      <c r="R11383" s="558">
        <v>645.91999999999996</v>
      </c>
      <c r="S11383" s="558">
        <v>646.74288421372398</v>
      </c>
      <c r="T11383" s="538">
        <v>15.5</v>
      </c>
      <c r="U11383" s="538">
        <v>76.540000000000006</v>
      </c>
      <c r="V11383" s="538">
        <v>38.270000000000003</v>
      </c>
    </row>
    <row r="11384" spans="1:25">
      <c r="A11384" s="499">
        <v>45884</v>
      </c>
      <c r="B11384" s="499">
        <v>45884</v>
      </c>
      <c r="C11384" s="420" t="s">
        <v>173</v>
      </c>
      <c r="D11384" s="500" t="s">
        <v>761</v>
      </c>
      <c r="E11384" s="501">
        <v>-1388462863.3</v>
      </c>
      <c r="F11384" s="95" t="s">
        <v>878</v>
      </c>
      <c r="G11384" s="443">
        <v>118616913</v>
      </c>
      <c r="H11384" s="530"/>
      <c r="I11384" s="422" t="s">
        <v>816</v>
      </c>
      <c r="J11384" s="43" t="s">
        <v>906</v>
      </c>
      <c r="L11384" s="539"/>
      <c r="M11384" s="539"/>
      <c r="N11384" s="598">
        <v>1339420</v>
      </c>
      <c r="R11384" s="548">
        <v>1036.615</v>
      </c>
      <c r="S11384" s="548">
        <v>1037.9356191112599</v>
      </c>
      <c r="T11384" s="538">
        <v>15.5</v>
      </c>
      <c r="U11384" s="549">
        <v>6248.08</v>
      </c>
      <c r="V11384" s="549">
        <v>3124.04</v>
      </c>
    </row>
    <row r="11385" spans="1:25">
      <c r="A11385" s="499">
        <v>45884</v>
      </c>
      <c r="B11385" s="499">
        <v>45884</v>
      </c>
      <c r="C11385" s="420" t="s">
        <v>173</v>
      </c>
      <c r="D11385" s="500" t="s">
        <v>761</v>
      </c>
      <c r="E11385" s="501">
        <v>-9003001.2799999993</v>
      </c>
      <c r="F11385" s="95" t="s">
        <v>878</v>
      </c>
      <c r="G11385" s="443">
        <v>118616938</v>
      </c>
      <c r="H11385" s="530"/>
      <c r="I11385" s="422" t="s">
        <v>816</v>
      </c>
      <c r="J11385" s="43" t="s">
        <v>906</v>
      </c>
      <c r="L11385" s="539"/>
      <c r="M11385" s="539"/>
      <c r="N11385" s="598">
        <v>8685</v>
      </c>
      <c r="R11385" s="548">
        <v>1036.6150005757052</v>
      </c>
      <c r="S11385" s="548">
        <v>1037.9356200345401</v>
      </c>
      <c r="T11385" s="538">
        <v>15.5</v>
      </c>
      <c r="U11385" s="549">
        <v>40.51</v>
      </c>
      <c r="V11385" s="549">
        <v>20.260000000000002</v>
      </c>
    </row>
    <row r="11386" spans="1:25">
      <c r="A11386" s="499">
        <v>45884</v>
      </c>
      <c r="B11386" s="499">
        <v>45887</v>
      </c>
      <c r="C11386" s="420" t="s">
        <v>173</v>
      </c>
      <c r="D11386" s="500" t="s">
        <v>761</v>
      </c>
      <c r="E11386" s="501">
        <v>1390231726.95</v>
      </c>
      <c r="F11386" s="95" t="s">
        <v>878</v>
      </c>
      <c r="G11386" s="443">
        <v>118616913</v>
      </c>
      <c r="H11386" s="443">
        <v>118616913</v>
      </c>
      <c r="I11386" s="422" t="s">
        <v>816</v>
      </c>
      <c r="J11386" s="443" t="s">
        <v>912</v>
      </c>
      <c r="L11386" s="539"/>
      <c r="M11386" s="539"/>
      <c r="N11386" s="598">
        <v>1339420</v>
      </c>
      <c r="R11386" s="548">
        <v>1036.615</v>
      </c>
      <c r="S11386" s="548">
        <v>1037.9356191112599</v>
      </c>
      <c r="T11386" s="538">
        <v>15.5</v>
      </c>
      <c r="U11386" s="549">
        <v>6248.08</v>
      </c>
      <c r="V11386" s="549">
        <v>3124.04</v>
      </c>
    </row>
    <row r="11387" spans="1:25">
      <c r="A11387" s="499">
        <v>45884</v>
      </c>
      <c r="B11387" s="499">
        <v>45887</v>
      </c>
      <c r="C11387" s="420" t="s">
        <v>173</v>
      </c>
      <c r="D11387" s="500" t="s">
        <v>761</v>
      </c>
      <c r="E11387" s="501">
        <v>9014470.8599999994</v>
      </c>
      <c r="F11387" s="95" t="s">
        <v>878</v>
      </c>
      <c r="G11387" s="443">
        <v>118616938</v>
      </c>
      <c r="H11387" s="443">
        <v>118616938</v>
      </c>
      <c r="I11387" s="422" t="s">
        <v>816</v>
      </c>
      <c r="J11387" s="443" t="s">
        <v>912</v>
      </c>
      <c r="L11387" s="539"/>
      <c r="M11387" s="539"/>
      <c r="N11387" s="598">
        <v>8685</v>
      </c>
      <c r="R11387" s="548">
        <v>1036.6150005757052</v>
      </c>
      <c r="S11387" s="548">
        <v>1037.9356200345401</v>
      </c>
      <c r="T11387" s="538">
        <v>15.5</v>
      </c>
      <c r="U11387" s="549">
        <v>40.51</v>
      </c>
      <c r="V11387" s="549">
        <v>20.260000000000002</v>
      </c>
    </row>
    <row r="11388" spans="1:25">
      <c r="A11388" s="499">
        <v>45884</v>
      </c>
      <c r="B11388" s="499">
        <v>45888</v>
      </c>
      <c r="C11388" s="500" t="s">
        <v>173</v>
      </c>
      <c r="D11388" s="500" t="s">
        <v>761</v>
      </c>
      <c r="E11388" s="501">
        <v>251145037.74000001</v>
      </c>
      <c r="F11388" s="502" t="s">
        <v>912</v>
      </c>
      <c r="G11388" s="443" t="str">
        <f>VLOOKUP(I11388,Справочник!I:M,5,0)</f>
        <v>KZKD00001301</v>
      </c>
      <c r="H11388" s="530"/>
      <c r="I11388" s="422" t="s">
        <v>2616</v>
      </c>
      <c r="K11388" s="548">
        <v>118629686</v>
      </c>
      <c r="L11388" s="539">
        <v>89.614000000000004</v>
      </c>
      <c r="M11388" s="548">
        <f>E11388/(N11388*O11388)*100</f>
        <v>92.584277776753751</v>
      </c>
      <c r="N11388" s="598">
        <v>271261</v>
      </c>
      <c r="O11388" s="539">
        <f>VLOOKUP(I11388,Справочник!I:J,2,0)</f>
        <v>1000</v>
      </c>
      <c r="U11388" s="538">
        <v>12557.25</v>
      </c>
      <c r="V11388" s="538">
        <v>25114.5</v>
      </c>
      <c r="W11388" s="550">
        <f>VLOOKUP(G11388,Справочник!A:C,3,0)</f>
        <v>0.14449999999999999</v>
      </c>
      <c r="X11388" s="539" t="str">
        <f>VLOOKUP(G11388,Справочник!A:G,7,0)</f>
        <v>Министерство финансов Республики Казахстан</v>
      </c>
      <c r="Y11388" s="551">
        <f>VLOOKUP(G11388,Справочник!A:B,2,0)</f>
        <v>48735</v>
      </c>
    </row>
    <row r="11389" spans="1:25">
      <c r="A11389" s="499">
        <v>45884</v>
      </c>
      <c r="B11389" s="499">
        <v>45884</v>
      </c>
      <c r="C11389" s="500" t="s">
        <v>173</v>
      </c>
      <c r="D11389" s="500" t="s">
        <v>764</v>
      </c>
      <c r="E11389" s="501">
        <v>-4798542263.6800003</v>
      </c>
      <c r="F11389" s="95" t="s">
        <v>878</v>
      </c>
      <c r="G11389" s="443">
        <v>118619183</v>
      </c>
      <c r="H11389" s="530"/>
      <c r="I11389" s="523" t="s">
        <v>719</v>
      </c>
      <c r="J11389" s="43" t="s">
        <v>906</v>
      </c>
      <c r="L11389" s="539"/>
      <c r="M11389" s="539"/>
      <c r="N11389" s="598">
        <v>7429004</v>
      </c>
      <c r="R11389" s="548">
        <v>645.92000000000007</v>
      </c>
      <c r="S11389" s="548">
        <v>646.74288438396297</v>
      </c>
      <c r="T11389" s="538">
        <v>15.5</v>
      </c>
      <c r="U11389" s="549">
        <v>21593.439999999999</v>
      </c>
      <c r="V11389" s="549">
        <v>10796.72</v>
      </c>
    </row>
    <row r="11390" spans="1:25">
      <c r="A11390" s="499">
        <v>45884</v>
      </c>
      <c r="B11390" s="499">
        <v>45884</v>
      </c>
      <c r="C11390" s="500" t="s">
        <v>173</v>
      </c>
      <c r="D11390" s="500" t="s">
        <v>764</v>
      </c>
      <c r="E11390" s="501">
        <v>-28014842.239999998</v>
      </c>
      <c r="F11390" s="95" t="s">
        <v>878</v>
      </c>
      <c r="G11390" s="443">
        <v>118619200</v>
      </c>
      <c r="H11390" s="530"/>
      <c r="I11390" s="523" t="s">
        <v>719</v>
      </c>
      <c r="J11390" s="43" t="s">
        <v>906</v>
      </c>
      <c r="L11390" s="539"/>
      <c r="M11390" s="539"/>
      <c r="N11390" s="598">
        <v>43372</v>
      </c>
      <c r="R11390" s="548">
        <v>645.91999999999996</v>
      </c>
      <c r="S11390" s="548">
        <v>646.74288434934999</v>
      </c>
      <c r="T11390" s="538">
        <v>15.5</v>
      </c>
      <c r="U11390" s="549">
        <v>126.07</v>
      </c>
      <c r="V11390" s="549">
        <v>63.03</v>
      </c>
    </row>
    <row r="11391" spans="1:25">
      <c r="A11391" s="499">
        <v>45884</v>
      </c>
      <c r="B11391" s="499">
        <v>45887</v>
      </c>
      <c r="C11391" s="500" t="s">
        <v>173</v>
      </c>
      <c r="D11391" s="500" t="s">
        <v>764</v>
      </c>
      <c r="E11391" s="501">
        <v>4804655475.0600004</v>
      </c>
      <c r="F11391" s="95" t="s">
        <v>878</v>
      </c>
      <c r="G11391" s="443">
        <v>118619183</v>
      </c>
      <c r="H11391" s="443">
        <v>118619183</v>
      </c>
      <c r="I11391" s="523" t="s">
        <v>719</v>
      </c>
      <c r="J11391" s="443" t="s">
        <v>912</v>
      </c>
      <c r="L11391" s="539"/>
      <c r="M11391" s="539"/>
      <c r="N11391" s="598">
        <v>7429004</v>
      </c>
      <c r="R11391" s="548">
        <v>645.92000000000007</v>
      </c>
      <c r="S11391" s="548">
        <v>646.74288438396297</v>
      </c>
      <c r="T11391" s="538">
        <v>15.5</v>
      </c>
      <c r="U11391" s="549">
        <v>21593.439999999999</v>
      </c>
      <c r="V11391" s="549">
        <v>10796.72</v>
      </c>
    </row>
    <row r="11392" spans="1:25">
      <c r="A11392" s="499">
        <v>45884</v>
      </c>
      <c r="B11392" s="499">
        <v>45887</v>
      </c>
      <c r="C11392" s="500" t="s">
        <v>173</v>
      </c>
      <c r="D11392" s="500" t="s">
        <v>764</v>
      </c>
      <c r="E11392" s="501">
        <v>28050532.379999999</v>
      </c>
      <c r="F11392" s="95" t="s">
        <v>878</v>
      </c>
      <c r="G11392" s="443">
        <v>118619200</v>
      </c>
      <c r="H11392" s="443">
        <v>118619200</v>
      </c>
      <c r="I11392" s="523" t="s">
        <v>719</v>
      </c>
      <c r="J11392" s="443" t="s">
        <v>912</v>
      </c>
      <c r="L11392" s="539"/>
      <c r="M11392" s="539"/>
      <c r="N11392" s="598">
        <v>43372</v>
      </c>
      <c r="R11392" s="548">
        <v>645.91999999999996</v>
      </c>
      <c r="S11392" s="548">
        <v>646.74288434934999</v>
      </c>
      <c r="T11392" s="538">
        <v>15.5</v>
      </c>
      <c r="U11392" s="549">
        <v>126.07</v>
      </c>
      <c r="V11392" s="549">
        <v>63.03</v>
      </c>
    </row>
    <row r="11393" spans="1:22">
      <c r="A11393" s="499">
        <v>45884</v>
      </c>
      <c r="B11393" s="499">
        <v>45884</v>
      </c>
      <c r="C11393" s="500" t="s">
        <v>173</v>
      </c>
      <c r="D11393" s="500" t="s">
        <v>759</v>
      </c>
      <c r="E11393" s="501">
        <v>-2270202751.52</v>
      </c>
      <c r="F11393" s="95" t="s">
        <v>878</v>
      </c>
      <c r="G11393" s="443">
        <v>118618713</v>
      </c>
      <c r="H11393" s="530"/>
      <c r="I11393" s="523" t="s">
        <v>719</v>
      </c>
      <c r="J11393" s="43" t="s">
        <v>906</v>
      </c>
      <c r="L11393" s="539"/>
      <c r="M11393" s="539"/>
      <c r="N11393" s="598">
        <v>3514681</v>
      </c>
      <c r="R11393" s="548">
        <v>645.91999999999996</v>
      </c>
      <c r="S11393" s="548">
        <v>646.74288438410201</v>
      </c>
      <c r="T11393" s="538">
        <v>15.5</v>
      </c>
      <c r="U11393" s="549">
        <v>10215.91</v>
      </c>
      <c r="V11393" s="549">
        <v>5107.96</v>
      </c>
    </row>
    <row r="11394" spans="1:22">
      <c r="A11394" s="499">
        <v>45884</v>
      </c>
      <c r="B11394" s="499">
        <v>45884</v>
      </c>
      <c r="C11394" s="500" t="s">
        <v>173</v>
      </c>
      <c r="D11394" s="500" t="s">
        <v>759</v>
      </c>
      <c r="E11394" s="501">
        <v>-14007421.119999999</v>
      </c>
      <c r="F11394" s="95" t="s">
        <v>878</v>
      </c>
      <c r="G11394" s="443">
        <v>118618798</v>
      </c>
      <c r="H11394" s="530"/>
      <c r="I11394" s="523" t="s">
        <v>719</v>
      </c>
      <c r="J11394" s="43" t="s">
        <v>906</v>
      </c>
      <c r="L11394" s="539"/>
      <c r="M11394" s="539"/>
      <c r="N11394" s="598">
        <v>21686</v>
      </c>
      <c r="R11394" s="548">
        <v>645.91999999999996</v>
      </c>
      <c r="S11394" s="548">
        <v>646.74288434934999</v>
      </c>
      <c r="T11394" s="538">
        <v>15.5</v>
      </c>
      <c r="U11394" s="549">
        <v>63.03</v>
      </c>
      <c r="V11394" s="549">
        <v>31.52</v>
      </c>
    </row>
    <row r="11395" spans="1:22">
      <c r="A11395" s="499">
        <v>45884</v>
      </c>
      <c r="B11395" s="499">
        <v>45887</v>
      </c>
      <c r="C11395" s="500" t="s">
        <v>173</v>
      </c>
      <c r="D11395" s="500" t="s">
        <v>759</v>
      </c>
      <c r="E11395" s="501">
        <v>2273094927.6300001</v>
      </c>
      <c r="F11395" s="95" t="s">
        <v>878</v>
      </c>
      <c r="G11395" s="443">
        <v>118618713</v>
      </c>
      <c r="H11395" s="443">
        <v>118618713</v>
      </c>
      <c r="I11395" s="523" t="s">
        <v>719</v>
      </c>
      <c r="J11395" s="443" t="s">
        <v>912</v>
      </c>
      <c r="L11395" s="539"/>
      <c r="M11395" s="539"/>
      <c r="N11395" s="598">
        <v>3514681</v>
      </c>
      <c r="R11395" s="548">
        <v>645.91999999999996</v>
      </c>
      <c r="S11395" s="548">
        <v>646.74288438410201</v>
      </c>
      <c r="T11395" s="538">
        <v>15.5</v>
      </c>
      <c r="U11395" s="549">
        <v>10215.91</v>
      </c>
      <c r="V11395" s="549">
        <v>5107.96</v>
      </c>
    </row>
    <row r="11396" spans="1:22">
      <c r="A11396" s="499">
        <v>45884</v>
      </c>
      <c r="B11396" s="499">
        <v>45887</v>
      </c>
      <c r="C11396" s="500" t="s">
        <v>173</v>
      </c>
      <c r="D11396" s="500" t="s">
        <v>759</v>
      </c>
      <c r="E11396" s="501">
        <v>14025266.189999999</v>
      </c>
      <c r="F11396" s="95" t="s">
        <v>878</v>
      </c>
      <c r="G11396" s="443">
        <v>118618798</v>
      </c>
      <c r="H11396" s="443">
        <v>118618798</v>
      </c>
      <c r="I11396" s="523" t="s">
        <v>719</v>
      </c>
      <c r="J11396" s="443" t="s">
        <v>912</v>
      </c>
      <c r="L11396" s="539"/>
      <c r="M11396" s="539"/>
      <c r="N11396" s="598">
        <v>21686</v>
      </c>
      <c r="R11396" s="548">
        <v>645.91999999999996</v>
      </c>
      <c r="S11396" s="548">
        <v>646.74288434934999</v>
      </c>
      <c r="T11396" s="538">
        <v>15.5</v>
      </c>
      <c r="U11396" s="549">
        <v>63.03</v>
      </c>
      <c r="V11396" s="549">
        <v>31.52</v>
      </c>
    </row>
    <row r="11397" spans="1:22">
      <c r="A11397" s="499">
        <v>45884</v>
      </c>
      <c r="B11397" s="499">
        <v>45884</v>
      </c>
      <c r="C11397" s="500" t="s">
        <v>173</v>
      </c>
      <c r="D11397" s="500" t="s">
        <v>763</v>
      </c>
      <c r="E11397" s="501">
        <v>-2903052381.73</v>
      </c>
      <c r="F11397" s="95" t="s">
        <v>878</v>
      </c>
      <c r="G11397" s="443">
        <v>118617533</v>
      </c>
      <c r="H11397" s="530"/>
      <c r="I11397" s="523" t="s">
        <v>2903</v>
      </c>
      <c r="J11397" s="43" t="s">
        <v>906</v>
      </c>
      <c r="L11397" s="539"/>
      <c r="M11397" s="539"/>
      <c r="N11397" s="598">
        <v>29088060</v>
      </c>
      <c r="R11397" s="539">
        <v>99.802199999999999</v>
      </c>
      <c r="S11397" s="539">
        <v>99.929346088738797</v>
      </c>
      <c r="T11397" s="538">
        <v>15.5001</v>
      </c>
      <c r="U11397" s="538">
        <v>13063.74</v>
      </c>
      <c r="V11397" s="538">
        <v>6531.87</v>
      </c>
    </row>
    <row r="11398" spans="1:22">
      <c r="A11398" s="499">
        <v>45884</v>
      </c>
      <c r="B11398" s="499">
        <v>45884</v>
      </c>
      <c r="C11398" s="500" t="s">
        <v>173</v>
      </c>
      <c r="D11398" s="500" t="s">
        <v>763</v>
      </c>
      <c r="E11398" s="501">
        <v>-18000324.789999999</v>
      </c>
      <c r="F11398" s="95" t="s">
        <v>878</v>
      </c>
      <c r="G11398" s="443">
        <v>118617602</v>
      </c>
      <c r="H11398" s="530"/>
      <c r="I11398" s="523" t="s">
        <v>2903</v>
      </c>
      <c r="J11398" s="43" t="s">
        <v>906</v>
      </c>
      <c r="L11398" s="539"/>
      <c r="M11398" s="539"/>
      <c r="N11398" s="598">
        <v>180360</v>
      </c>
      <c r="R11398" s="539">
        <v>99.802199999999999</v>
      </c>
      <c r="S11398" s="539">
        <v>99.929346085606596</v>
      </c>
      <c r="T11398" s="538">
        <v>15.5001</v>
      </c>
      <c r="U11398" s="538">
        <v>81</v>
      </c>
      <c r="V11398" s="538">
        <v>40.5</v>
      </c>
    </row>
    <row r="11399" spans="1:22">
      <c r="A11399" s="499">
        <v>45884</v>
      </c>
      <c r="B11399" s="499">
        <v>45887</v>
      </c>
      <c r="C11399" s="500" t="s">
        <v>173</v>
      </c>
      <c r="D11399" s="500" t="s">
        <v>763</v>
      </c>
      <c r="E11399" s="501">
        <v>2906750814.79</v>
      </c>
      <c r="F11399" s="95" t="s">
        <v>878</v>
      </c>
      <c r="G11399" s="443">
        <v>118617533</v>
      </c>
      <c r="H11399" s="484">
        <v>118617533</v>
      </c>
      <c r="I11399" s="523" t="s">
        <v>2903</v>
      </c>
      <c r="J11399" s="443" t="s">
        <v>912</v>
      </c>
      <c r="L11399" s="539"/>
      <c r="M11399" s="539"/>
      <c r="N11399" s="598">
        <v>29088060</v>
      </c>
      <c r="R11399" s="539">
        <v>99.802199999999999</v>
      </c>
      <c r="S11399" s="539">
        <v>99.929346088738797</v>
      </c>
      <c r="T11399" s="538">
        <v>15.5001</v>
      </c>
      <c r="U11399" s="538">
        <v>13063.74</v>
      </c>
      <c r="V11399" s="538">
        <v>6531.87</v>
      </c>
    </row>
    <row r="11400" spans="1:22">
      <c r="A11400" s="499">
        <v>45884</v>
      </c>
      <c r="B11400" s="499">
        <v>45887</v>
      </c>
      <c r="C11400" s="500" t="s">
        <v>173</v>
      </c>
      <c r="D11400" s="500" t="s">
        <v>763</v>
      </c>
      <c r="E11400" s="501">
        <v>18023256.859999999</v>
      </c>
      <c r="F11400" s="95" t="s">
        <v>878</v>
      </c>
      <c r="G11400" s="443">
        <v>118617602</v>
      </c>
      <c r="H11400" s="484">
        <v>118617602</v>
      </c>
      <c r="I11400" s="523" t="s">
        <v>2903</v>
      </c>
      <c r="J11400" s="443" t="s">
        <v>912</v>
      </c>
      <c r="L11400" s="539"/>
      <c r="M11400" s="539"/>
      <c r="N11400" s="598">
        <v>180360</v>
      </c>
      <c r="R11400" s="539">
        <v>99.802199999999999</v>
      </c>
      <c r="S11400" s="539">
        <v>99.929346085606596</v>
      </c>
      <c r="T11400" s="538">
        <v>15.5001</v>
      </c>
      <c r="U11400" s="538">
        <v>81</v>
      </c>
      <c r="V11400" s="538">
        <v>40.5</v>
      </c>
    </row>
    <row r="11401" spans="1:22">
      <c r="A11401" s="499">
        <v>45884</v>
      </c>
      <c r="B11401" s="499">
        <v>45884</v>
      </c>
      <c r="C11401" s="500" t="s">
        <v>173</v>
      </c>
      <c r="D11401" s="500" t="s">
        <v>760</v>
      </c>
      <c r="E11401" s="501">
        <v>-6003180.4800000004</v>
      </c>
      <c r="F11401" s="95" t="s">
        <v>878</v>
      </c>
      <c r="G11401" s="443">
        <v>118617488</v>
      </c>
      <c r="H11401" s="530"/>
      <c r="I11401" s="523" t="s">
        <v>719</v>
      </c>
      <c r="J11401" s="43" t="s">
        <v>906</v>
      </c>
      <c r="L11401" s="539"/>
      <c r="M11401" s="539"/>
      <c r="N11401" s="598">
        <v>9294</v>
      </c>
      <c r="R11401" s="548">
        <v>645.91999999999996</v>
      </c>
      <c r="S11401" s="548">
        <v>646.74288465676796</v>
      </c>
      <c r="T11401" s="538">
        <v>15.5</v>
      </c>
      <c r="U11401" s="549">
        <v>39.32</v>
      </c>
      <c r="V11401" s="549">
        <v>13.51</v>
      </c>
    </row>
    <row r="11402" spans="1:22">
      <c r="A11402" s="499">
        <v>45884</v>
      </c>
      <c r="B11402" s="499">
        <v>45884</v>
      </c>
      <c r="C11402" s="500" t="s">
        <v>173</v>
      </c>
      <c r="D11402" s="500" t="s">
        <v>760</v>
      </c>
      <c r="E11402" s="501">
        <v>-900477072</v>
      </c>
      <c r="F11402" s="95" t="s">
        <v>878</v>
      </c>
      <c r="G11402" s="443">
        <v>118617479</v>
      </c>
      <c r="H11402" s="530"/>
      <c r="I11402" s="523" t="s">
        <v>719</v>
      </c>
      <c r="J11402" s="43" t="s">
        <v>906</v>
      </c>
      <c r="L11402" s="539"/>
      <c r="M11402" s="539"/>
      <c r="N11402" s="598">
        <v>1394100</v>
      </c>
      <c r="R11402" s="548">
        <v>645.91999999999996</v>
      </c>
      <c r="S11402" s="548">
        <v>646.74288438419103</v>
      </c>
      <c r="T11402" s="538">
        <v>15.5</v>
      </c>
      <c r="U11402" s="549">
        <v>4052.15</v>
      </c>
      <c r="V11402" s="549">
        <v>2026.07</v>
      </c>
    </row>
    <row r="11403" spans="1:22">
      <c r="A11403" s="499">
        <v>45884</v>
      </c>
      <c r="B11403" s="499">
        <v>45884</v>
      </c>
      <c r="C11403" s="500" t="s">
        <v>173</v>
      </c>
      <c r="D11403" s="500" t="s">
        <v>760</v>
      </c>
      <c r="E11403" s="501">
        <v>-1300689104</v>
      </c>
      <c r="F11403" s="95" t="s">
        <v>878</v>
      </c>
      <c r="G11403" s="443">
        <v>118617357</v>
      </c>
      <c r="H11403" s="530"/>
      <c r="I11403" s="523" t="s">
        <v>719</v>
      </c>
      <c r="J11403" s="43" t="s">
        <v>906</v>
      </c>
      <c r="L11403" s="539"/>
      <c r="M11403" s="539"/>
      <c r="N11403" s="598">
        <v>2013700</v>
      </c>
      <c r="R11403" s="548">
        <v>645.91999999999996</v>
      </c>
      <c r="S11403" s="548">
        <v>646.742884381983</v>
      </c>
      <c r="T11403" s="538">
        <v>15.5</v>
      </c>
      <c r="U11403" s="549">
        <v>5853.1</v>
      </c>
      <c r="V11403" s="549">
        <v>2926.55</v>
      </c>
    </row>
    <row r="11404" spans="1:22">
      <c r="A11404" s="499">
        <v>45884</v>
      </c>
      <c r="B11404" s="499">
        <v>45887</v>
      </c>
      <c r="C11404" s="500" t="s">
        <v>173</v>
      </c>
      <c r="D11404" s="500" t="s">
        <v>760</v>
      </c>
      <c r="E11404" s="501">
        <v>6010828.3700000001</v>
      </c>
      <c r="F11404" s="95" t="s">
        <v>878</v>
      </c>
      <c r="G11404" s="443">
        <v>118617488</v>
      </c>
      <c r="H11404" s="443">
        <v>118617488</v>
      </c>
      <c r="I11404" s="523" t="s">
        <v>719</v>
      </c>
      <c r="J11404" s="443" t="s">
        <v>912</v>
      </c>
      <c r="L11404" s="539"/>
      <c r="M11404" s="539"/>
      <c r="N11404" s="598">
        <v>9294</v>
      </c>
      <c r="R11404" s="548">
        <v>645.91999999999996</v>
      </c>
      <c r="S11404" s="548">
        <v>646.74288465676796</v>
      </c>
      <c r="T11404" s="538">
        <v>15.5</v>
      </c>
      <c r="U11404" s="549">
        <v>39.32</v>
      </c>
      <c r="V11404" s="549">
        <v>13.51</v>
      </c>
    </row>
    <row r="11405" spans="1:22">
      <c r="A11405" s="499">
        <v>45884</v>
      </c>
      <c r="B11405" s="499">
        <v>45887</v>
      </c>
      <c r="C11405" s="500" t="s">
        <v>173</v>
      </c>
      <c r="D11405" s="500" t="s">
        <v>760</v>
      </c>
      <c r="E11405" s="501">
        <v>901624255.12</v>
      </c>
      <c r="F11405" s="95" t="s">
        <v>878</v>
      </c>
      <c r="G11405" s="443">
        <v>118617479</v>
      </c>
      <c r="H11405" s="443">
        <v>118617479</v>
      </c>
      <c r="I11405" s="523" t="s">
        <v>719</v>
      </c>
      <c r="J11405" s="443" t="s">
        <v>912</v>
      </c>
      <c r="L11405" s="539"/>
      <c r="M11405" s="539"/>
      <c r="N11405" s="598">
        <v>1394100</v>
      </c>
      <c r="R11405" s="548">
        <v>645.91999999999996</v>
      </c>
      <c r="S11405" s="548">
        <v>646.74288438419103</v>
      </c>
      <c r="T11405" s="538">
        <v>15.5</v>
      </c>
      <c r="U11405" s="549">
        <v>4052.15</v>
      </c>
      <c r="V11405" s="549">
        <v>2026.07</v>
      </c>
    </row>
    <row r="11406" spans="1:22">
      <c r="A11406" s="499">
        <v>45884</v>
      </c>
      <c r="B11406" s="499">
        <v>45887</v>
      </c>
      <c r="C11406" s="500" t="s">
        <v>173</v>
      </c>
      <c r="D11406" s="500" t="s">
        <v>760</v>
      </c>
      <c r="E11406" s="501">
        <v>1302346146.28</v>
      </c>
      <c r="F11406" s="95" t="s">
        <v>878</v>
      </c>
      <c r="G11406" s="443">
        <v>118617357</v>
      </c>
      <c r="H11406" s="443">
        <v>118617357</v>
      </c>
      <c r="I11406" s="523" t="s">
        <v>719</v>
      </c>
      <c r="J11406" s="443" t="s">
        <v>912</v>
      </c>
      <c r="L11406" s="539"/>
      <c r="M11406" s="539"/>
      <c r="N11406" s="598">
        <v>2013700</v>
      </c>
      <c r="R11406" s="548">
        <v>645.91999999999996</v>
      </c>
      <c r="S11406" s="548">
        <v>646.742884381983</v>
      </c>
      <c r="T11406" s="538">
        <v>15.5</v>
      </c>
      <c r="U11406" s="549">
        <v>5853.1</v>
      </c>
      <c r="V11406" s="549">
        <v>2926.55</v>
      </c>
    </row>
    <row r="11407" spans="1:22">
      <c r="A11407" s="499">
        <v>45887</v>
      </c>
      <c r="B11407" s="499">
        <v>45887</v>
      </c>
      <c r="C11407" s="500" t="s">
        <v>173</v>
      </c>
      <c r="D11407" s="500" t="s">
        <v>762</v>
      </c>
      <c r="E11407" s="501">
        <v>-3007369984.5</v>
      </c>
      <c r="F11407" s="95" t="s">
        <v>878</v>
      </c>
      <c r="G11407" s="443">
        <v>118645685</v>
      </c>
      <c r="H11407" s="530"/>
      <c r="I11407" s="523" t="s">
        <v>674</v>
      </c>
      <c r="J11407" s="43" t="s">
        <v>906</v>
      </c>
      <c r="L11407" s="539"/>
      <c r="M11407" s="539"/>
      <c r="N11407" s="598">
        <v>3381750</v>
      </c>
      <c r="R11407" s="558">
        <v>889.29399999999998</v>
      </c>
      <c r="S11407" s="558">
        <v>889.67165270643898</v>
      </c>
      <c r="T11407" s="538">
        <v>15.500299999999999</v>
      </c>
      <c r="U11407" s="538">
        <v>4511.05</v>
      </c>
      <c r="V11407" s="538">
        <v>2255.5300000000002</v>
      </c>
    </row>
    <row r="11408" spans="1:22">
      <c r="A11408" s="499">
        <v>45887</v>
      </c>
      <c r="B11408" s="499">
        <v>45887</v>
      </c>
      <c r="C11408" s="500" t="s">
        <v>173</v>
      </c>
      <c r="D11408" s="500" t="s">
        <v>762</v>
      </c>
      <c r="E11408" s="501">
        <v>-18008203.5</v>
      </c>
      <c r="F11408" s="95" t="s">
        <v>878</v>
      </c>
      <c r="G11408" s="443">
        <v>118645707</v>
      </c>
      <c r="H11408" s="530"/>
      <c r="I11408" s="523" t="s">
        <v>674</v>
      </c>
      <c r="J11408" s="43" t="s">
        <v>906</v>
      </c>
      <c r="L11408" s="539"/>
      <c r="M11408" s="539"/>
      <c r="N11408" s="598">
        <v>20250</v>
      </c>
      <c r="R11408" s="558">
        <v>889.29399999999998</v>
      </c>
      <c r="S11408" s="558">
        <v>889.67165283950601</v>
      </c>
      <c r="T11408" s="538">
        <v>15.500299999999999</v>
      </c>
      <c r="U11408" s="538">
        <v>39.32</v>
      </c>
      <c r="V11408" s="538">
        <v>13.51</v>
      </c>
    </row>
    <row r="11409" spans="1:26">
      <c r="A11409" s="499">
        <v>45887</v>
      </c>
      <c r="B11409" s="499">
        <v>45888</v>
      </c>
      <c r="C11409" s="500" t="s">
        <v>173</v>
      </c>
      <c r="D11409" s="500" t="s">
        <v>762</v>
      </c>
      <c r="E11409" s="501">
        <v>3008647111.54</v>
      </c>
      <c r="F11409" s="95" t="s">
        <v>878</v>
      </c>
      <c r="G11409" s="443">
        <v>118645685</v>
      </c>
      <c r="H11409" s="484">
        <v>118645685</v>
      </c>
      <c r="I11409" s="523" t="s">
        <v>674</v>
      </c>
      <c r="J11409" s="443" t="s">
        <v>912</v>
      </c>
      <c r="L11409" s="539"/>
      <c r="M11409" s="539"/>
      <c r="N11409" s="598">
        <v>3381750</v>
      </c>
      <c r="R11409" s="558">
        <v>889.29399999999998</v>
      </c>
      <c r="S11409" s="558">
        <v>889.67165270643898</v>
      </c>
      <c r="T11409" s="538">
        <v>15.500299999999999</v>
      </c>
      <c r="U11409" s="538">
        <v>4511.05</v>
      </c>
      <c r="V11409" s="538">
        <v>2255.5300000000002</v>
      </c>
    </row>
    <row r="11410" spans="1:26">
      <c r="A11410" s="499">
        <v>45887</v>
      </c>
      <c r="B11410" s="499">
        <v>45888</v>
      </c>
      <c r="C11410" s="500" t="s">
        <v>173</v>
      </c>
      <c r="D11410" s="500" t="s">
        <v>762</v>
      </c>
      <c r="E11410" s="501">
        <v>18015850.969999999</v>
      </c>
      <c r="F11410" s="95" t="s">
        <v>878</v>
      </c>
      <c r="G11410" s="443">
        <v>118645707</v>
      </c>
      <c r="H11410" s="484">
        <v>118645707</v>
      </c>
      <c r="I11410" s="523" t="s">
        <v>674</v>
      </c>
      <c r="J11410" s="443" t="s">
        <v>912</v>
      </c>
      <c r="L11410" s="539"/>
      <c r="M11410" s="539"/>
      <c r="N11410" s="598">
        <v>20250</v>
      </c>
      <c r="R11410" s="558">
        <v>889.29399999999998</v>
      </c>
      <c r="S11410" s="558">
        <v>889.67165283950601</v>
      </c>
      <c r="T11410" s="538">
        <v>15.500299999999999</v>
      </c>
      <c r="U11410" s="538">
        <v>39.32</v>
      </c>
      <c r="V11410" s="538">
        <v>13.51</v>
      </c>
    </row>
    <row r="11411" spans="1:26">
      <c r="A11411" s="499">
        <v>45887</v>
      </c>
      <c r="B11411" s="499">
        <v>45887</v>
      </c>
      <c r="C11411" s="500" t="s">
        <v>173</v>
      </c>
      <c r="D11411" s="500" t="s">
        <v>761</v>
      </c>
      <c r="E11411" s="501">
        <v>-68003278.579999998</v>
      </c>
      <c r="F11411" s="95" t="s">
        <v>878</v>
      </c>
      <c r="G11411" s="443">
        <v>118642315</v>
      </c>
      <c r="H11411" s="530"/>
      <c r="I11411" s="523" t="s">
        <v>2854</v>
      </c>
      <c r="J11411" s="43" t="s">
        <v>906</v>
      </c>
      <c r="L11411" s="539"/>
      <c r="M11411" s="539"/>
      <c r="N11411" s="598">
        <v>123964</v>
      </c>
      <c r="R11411" s="548">
        <v>548.57280000645346</v>
      </c>
      <c r="S11411" s="548">
        <v>548.80575707463504</v>
      </c>
      <c r="T11411" s="538">
        <v>15.5001</v>
      </c>
      <c r="U11411" s="538">
        <v>102</v>
      </c>
      <c r="V11411" s="538">
        <v>51</v>
      </c>
    </row>
    <row r="11412" spans="1:26">
      <c r="A11412" s="499">
        <v>45887</v>
      </c>
      <c r="B11412" s="499">
        <v>45887</v>
      </c>
      <c r="C11412" s="500" t="s">
        <v>173</v>
      </c>
      <c r="D11412" s="500" t="s">
        <v>761</v>
      </c>
      <c r="E11412" s="501">
        <v>-90039851.180000007</v>
      </c>
      <c r="F11412" s="95" t="s">
        <v>878</v>
      </c>
      <c r="G11412" s="443">
        <v>118642318</v>
      </c>
      <c r="H11412" s="530"/>
      <c r="I11412" s="523" t="s">
        <v>637</v>
      </c>
      <c r="J11412" s="43" t="s">
        <v>906</v>
      </c>
      <c r="L11412" s="539"/>
      <c r="M11412" s="539"/>
      <c r="N11412" s="598">
        <v>151830</v>
      </c>
      <c r="R11412" s="548">
        <v>593.03069999341369</v>
      </c>
      <c r="S11412" s="548">
        <v>593.28253658697201</v>
      </c>
      <c r="T11412" s="538">
        <v>15.5001</v>
      </c>
      <c r="U11412" s="538">
        <v>135.06</v>
      </c>
      <c r="V11412" s="538">
        <v>67.53</v>
      </c>
    </row>
    <row r="11413" spans="1:26">
      <c r="A11413" s="499">
        <v>45887</v>
      </c>
      <c r="B11413" s="499">
        <v>45887</v>
      </c>
      <c r="C11413" s="500" t="s">
        <v>173</v>
      </c>
      <c r="D11413" s="500" t="s">
        <v>761</v>
      </c>
      <c r="E11413" s="501">
        <v>-367176945.31</v>
      </c>
      <c r="F11413" s="95" t="s">
        <v>878</v>
      </c>
      <c r="G11413" s="443">
        <v>118642321</v>
      </c>
      <c r="H11413" s="530"/>
      <c r="I11413" s="523" t="s">
        <v>833</v>
      </c>
      <c r="J11413" s="43" t="s">
        <v>906</v>
      </c>
      <c r="L11413" s="539"/>
      <c r="M11413" s="539"/>
      <c r="N11413" s="598">
        <v>579126</v>
      </c>
      <c r="R11413" s="548">
        <v>634.01910000587088</v>
      </c>
      <c r="S11413" s="548">
        <v>634.28834272679899</v>
      </c>
      <c r="T11413" s="538">
        <v>15.5001</v>
      </c>
      <c r="U11413" s="538">
        <v>550.77</v>
      </c>
      <c r="V11413" s="538">
        <v>275.38</v>
      </c>
    </row>
    <row r="11414" spans="1:26">
      <c r="A11414" s="499">
        <v>45887</v>
      </c>
      <c r="B11414" s="499">
        <v>45887</v>
      </c>
      <c r="C11414" s="500" t="s">
        <v>173</v>
      </c>
      <c r="D11414" s="500" t="s">
        <v>761</v>
      </c>
      <c r="E11414" s="501">
        <v>-865279418.36000001</v>
      </c>
      <c r="F11414" s="95" t="s">
        <v>878</v>
      </c>
      <c r="G11414" s="443">
        <v>118642324</v>
      </c>
      <c r="H11414" s="530"/>
      <c r="I11414" s="523" t="s">
        <v>723</v>
      </c>
      <c r="J11414" s="43" t="s">
        <v>906</v>
      </c>
      <c r="L11414" s="539"/>
      <c r="M11414" s="539"/>
      <c r="N11414" s="598">
        <v>1455795</v>
      </c>
      <c r="R11414" s="548">
        <v>594.36900000343451</v>
      </c>
      <c r="S11414" s="548">
        <v>594.621404902476</v>
      </c>
      <c r="T11414" s="538">
        <v>15.5001</v>
      </c>
      <c r="U11414" s="538">
        <v>1297.92</v>
      </c>
      <c r="V11414" s="538">
        <v>648.96</v>
      </c>
    </row>
    <row r="11415" spans="1:26">
      <c r="A11415" s="499">
        <v>45887</v>
      </c>
      <c r="B11415" s="499">
        <v>45887</v>
      </c>
      <c r="C11415" s="500" t="s">
        <v>173</v>
      </c>
      <c r="D11415" s="500" t="s">
        <v>761</v>
      </c>
      <c r="E11415" s="501">
        <v>-8000857.3899999997</v>
      </c>
      <c r="F11415" s="95" t="s">
        <v>878</v>
      </c>
      <c r="G11415" s="443">
        <v>118642430</v>
      </c>
      <c r="H11415" s="530"/>
      <c r="I11415" s="523" t="s">
        <v>631</v>
      </c>
      <c r="J11415" s="43" t="s">
        <v>906</v>
      </c>
      <c r="L11415" s="539"/>
      <c r="M11415" s="539"/>
      <c r="N11415" s="598">
        <v>15928</v>
      </c>
      <c r="R11415" s="548">
        <v>502.31399987443496</v>
      </c>
      <c r="S11415" s="548">
        <v>502.527312908086</v>
      </c>
      <c r="T11415" s="538">
        <v>15.5001</v>
      </c>
      <c r="U11415" s="538">
        <v>39.32</v>
      </c>
      <c r="V11415" s="538">
        <v>6</v>
      </c>
    </row>
    <row r="11416" spans="1:26">
      <c r="A11416" s="499">
        <v>45887</v>
      </c>
      <c r="B11416" s="499">
        <v>45888</v>
      </c>
      <c r="C11416" s="500" t="s">
        <v>173</v>
      </c>
      <c r="D11416" s="500" t="s">
        <v>761</v>
      </c>
      <c r="E11416" s="501">
        <v>68032156.870000005</v>
      </c>
      <c r="F11416" s="95" t="s">
        <v>878</v>
      </c>
      <c r="G11416" s="443">
        <v>118642315</v>
      </c>
      <c r="H11416" s="443">
        <v>118642315</v>
      </c>
      <c r="I11416" s="523" t="s">
        <v>2854</v>
      </c>
      <c r="J11416" s="443" t="s">
        <v>912</v>
      </c>
      <c r="L11416" s="539"/>
      <c r="M11416" s="539"/>
      <c r="N11416" s="598">
        <v>123964</v>
      </c>
      <c r="R11416" s="548">
        <v>548.57280000645346</v>
      </c>
      <c r="S11416" s="548">
        <v>548.80575707463504</v>
      </c>
      <c r="T11416" s="538">
        <v>15.5001</v>
      </c>
      <c r="U11416" s="538">
        <v>102</v>
      </c>
      <c r="V11416" s="538">
        <v>51</v>
      </c>
    </row>
    <row r="11417" spans="1:26">
      <c r="A11417" s="499">
        <v>45887</v>
      </c>
      <c r="B11417" s="499">
        <v>45888</v>
      </c>
      <c r="C11417" s="500" t="s">
        <v>173</v>
      </c>
      <c r="D11417" s="500" t="s">
        <v>761</v>
      </c>
      <c r="E11417" s="501">
        <v>90078087.530000001</v>
      </c>
      <c r="F11417" s="95" t="s">
        <v>878</v>
      </c>
      <c r="G11417" s="443">
        <v>118642318</v>
      </c>
      <c r="H11417" s="443">
        <v>118642318</v>
      </c>
      <c r="I11417" s="523" t="s">
        <v>637</v>
      </c>
      <c r="J11417" s="443" t="s">
        <v>912</v>
      </c>
      <c r="L11417" s="539"/>
      <c r="M11417" s="539"/>
      <c r="N11417" s="598">
        <v>151830</v>
      </c>
      <c r="R11417" s="548">
        <v>593.03069999341369</v>
      </c>
      <c r="S11417" s="548">
        <v>593.28253658697201</v>
      </c>
      <c r="T11417" s="538">
        <v>15.5001</v>
      </c>
      <c r="U11417" s="538">
        <v>135.06</v>
      </c>
      <c r="V11417" s="538">
        <v>67.53</v>
      </c>
    </row>
    <row r="11418" spans="1:26">
      <c r="A11418" s="499">
        <v>45887</v>
      </c>
      <c r="B11418" s="499">
        <v>45888</v>
      </c>
      <c r="C11418" s="500" t="s">
        <v>173</v>
      </c>
      <c r="D11418" s="500" t="s">
        <v>761</v>
      </c>
      <c r="E11418" s="501">
        <v>367332870.76999998</v>
      </c>
      <c r="F11418" s="95" t="s">
        <v>878</v>
      </c>
      <c r="G11418" s="443">
        <v>118642321</v>
      </c>
      <c r="H11418" s="443">
        <v>118642321</v>
      </c>
      <c r="I11418" s="523" t="s">
        <v>833</v>
      </c>
      <c r="J11418" s="443" t="s">
        <v>912</v>
      </c>
      <c r="L11418" s="539"/>
      <c r="M11418" s="539"/>
      <c r="N11418" s="598">
        <v>579126</v>
      </c>
      <c r="R11418" s="548">
        <v>634.01910000587088</v>
      </c>
      <c r="S11418" s="548">
        <v>634.28834272679899</v>
      </c>
      <c r="T11418" s="538">
        <v>15.5001</v>
      </c>
      <c r="U11418" s="538">
        <v>550.77</v>
      </c>
      <c r="V11418" s="538">
        <v>275.38</v>
      </c>
    </row>
    <row r="11419" spans="1:26">
      <c r="A11419" s="499">
        <v>45887</v>
      </c>
      <c r="B11419" s="499">
        <v>45888</v>
      </c>
      <c r="C11419" s="500" t="s">
        <v>173</v>
      </c>
      <c r="D11419" s="500" t="s">
        <v>761</v>
      </c>
      <c r="E11419" s="501">
        <v>865646868.14999998</v>
      </c>
      <c r="F11419" s="95" t="s">
        <v>878</v>
      </c>
      <c r="G11419" s="443">
        <v>118642324</v>
      </c>
      <c r="H11419" s="443">
        <v>118642324</v>
      </c>
      <c r="I11419" s="523" t="s">
        <v>723</v>
      </c>
      <c r="J11419" s="443" t="s">
        <v>912</v>
      </c>
      <c r="L11419" s="539"/>
      <c r="M11419" s="539"/>
      <c r="N11419" s="598">
        <v>1455795</v>
      </c>
      <c r="R11419" s="548">
        <v>594.36900000343451</v>
      </c>
      <c r="S11419" s="548">
        <v>594.621404902476</v>
      </c>
      <c r="T11419" s="538">
        <v>15.5001</v>
      </c>
      <c r="U11419" s="538">
        <v>1297.92</v>
      </c>
      <c r="V11419" s="538">
        <v>648.96</v>
      </c>
    </row>
    <row r="11420" spans="1:26">
      <c r="A11420" s="499">
        <v>45887</v>
      </c>
      <c r="B11420" s="499">
        <v>45888</v>
      </c>
      <c r="C11420" s="500" t="s">
        <v>173</v>
      </c>
      <c r="D11420" s="500" t="s">
        <v>761</v>
      </c>
      <c r="E11420" s="501">
        <v>8004255.04</v>
      </c>
      <c r="F11420" s="95" t="s">
        <v>878</v>
      </c>
      <c r="G11420" s="443">
        <v>118642430</v>
      </c>
      <c r="H11420" s="443">
        <v>118642430</v>
      </c>
      <c r="I11420" s="523" t="s">
        <v>631</v>
      </c>
      <c r="J11420" s="443" t="s">
        <v>912</v>
      </c>
      <c r="L11420" s="539"/>
      <c r="M11420" s="539"/>
      <c r="N11420" s="598">
        <v>15928</v>
      </c>
      <c r="R11420" s="548">
        <v>502.31399987443496</v>
      </c>
      <c r="S11420" s="548">
        <v>502.527312908086</v>
      </c>
      <c r="T11420" s="538">
        <v>15.5001</v>
      </c>
      <c r="U11420" s="538">
        <v>39.32</v>
      </c>
      <c r="V11420" s="538">
        <v>6</v>
      </c>
    </row>
    <row r="11421" spans="1:26">
      <c r="A11421" s="499">
        <v>45887</v>
      </c>
      <c r="B11421" s="499">
        <v>45887</v>
      </c>
      <c r="C11421" s="500" t="s">
        <v>173</v>
      </c>
      <c r="D11421" s="500" t="s">
        <v>759</v>
      </c>
      <c r="E11421" s="501">
        <v>-2272262163.8099999</v>
      </c>
      <c r="F11421" s="95" t="s">
        <v>878</v>
      </c>
      <c r="G11421" s="443">
        <v>118644043</v>
      </c>
      <c r="H11421" s="530"/>
      <c r="I11421" s="523" t="s">
        <v>719</v>
      </c>
      <c r="J11421" s="43" t="s">
        <v>906</v>
      </c>
      <c r="L11421" s="539"/>
      <c r="M11421" s="539"/>
      <c r="N11421" s="598">
        <v>3514784</v>
      </c>
      <c r="R11421" s="548">
        <v>646.48700000056897</v>
      </c>
      <c r="S11421" s="548">
        <v>646.76153557658199</v>
      </c>
      <c r="T11421" s="538">
        <v>15.5</v>
      </c>
      <c r="U11421" s="549">
        <v>3408.39</v>
      </c>
      <c r="V11421" s="549">
        <v>1704.2</v>
      </c>
      <c r="Z11421" s="548" t="s">
        <v>2953</v>
      </c>
    </row>
    <row r="11422" spans="1:26">
      <c r="A11422" s="499">
        <v>45887</v>
      </c>
      <c r="B11422" s="499">
        <v>45887</v>
      </c>
      <c r="C11422" s="500" t="s">
        <v>173</v>
      </c>
      <c r="D11422" s="500" t="s">
        <v>759</v>
      </c>
      <c r="E11422" s="501">
        <v>-15002238.75</v>
      </c>
      <c r="F11422" s="95" t="s">
        <v>878</v>
      </c>
      <c r="G11422" s="443">
        <v>118644062</v>
      </c>
      <c r="H11422" s="530"/>
      <c r="I11422" s="523" t="s">
        <v>1013</v>
      </c>
      <c r="J11422" s="43" t="s">
        <v>906</v>
      </c>
      <c r="L11422" s="539"/>
      <c r="M11422" s="539"/>
      <c r="N11422" s="598">
        <v>27885</v>
      </c>
      <c r="R11422" s="548">
        <v>538.00389994620764</v>
      </c>
      <c r="S11422" s="548">
        <v>538.23236865698402</v>
      </c>
      <c r="T11422" s="538">
        <v>15.5001</v>
      </c>
      <c r="U11422" s="549">
        <v>39.32</v>
      </c>
      <c r="V11422" s="549">
        <v>11.25</v>
      </c>
      <c r="Z11422" s="548" t="s">
        <v>2953</v>
      </c>
    </row>
    <row r="11423" spans="1:26">
      <c r="A11423" s="499">
        <v>45887</v>
      </c>
      <c r="B11423" s="499">
        <v>45888</v>
      </c>
      <c r="C11423" s="500" t="s">
        <v>173</v>
      </c>
      <c r="D11423" s="500" t="s">
        <v>759</v>
      </c>
      <c r="E11423" s="501">
        <v>2273227097.0599999</v>
      </c>
      <c r="F11423" s="95" t="s">
        <v>878</v>
      </c>
      <c r="G11423" s="443">
        <v>118644043</v>
      </c>
      <c r="H11423" s="443">
        <v>118644043</v>
      </c>
      <c r="I11423" s="523" t="s">
        <v>719</v>
      </c>
      <c r="J11423" s="443" t="s">
        <v>912</v>
      </c>
      <c r="L11423" s="539"/>
      <c r="M11423" s="539"/>
      <c r="N11423" s="598">
        <v>3514784</v>
      </c>
      <c r="R11423" s="548">
        <v>646.48700000056897</v>
      </c>
      <c r="S11423" s="548">
        <v>646.76153557658199</v>
      </c>
      <c r="T11423" s="538">
        <v>15.5</v>
      </c>
      <c r="U11423" s="549">
        <v>3408.39</v>
      </c>
      <c r="V11423" s="549">
        <v>1704.2</v>
      </c>
      <c r="Z11423" s="548" t="s">
        <v>2953</v>
      </c>
    </row>
    <row r="11424" spans="1:26">
      <c r="A11424" s="499">
        <v>45887</v>
      </c>
      <c r="B11424" s="499">
        <v>45888</v>
      </c>
      <c r="C11424" s="500" t="s">
        <v>173</v>
      </c>
      <c r="D11424" s="500" t="s">
        <v>759</v>
      </c>
      <c r="E11424" s="501">
        <v>15008609.6</v>
      </c>
      <c r="F11424" s="95" t="s">
        <v>878</v>
      </c>
      <c r="G11424" s="443">
        <v>118644062</v>
      </c>
      <c r="H11424" s="443">
        <v>118644062</v>
      </c>
      <c r="I11424" s="523" t="s">
        <v>1013</v>
      </c>
      <c r="J11424" s="443" t="s">
        <v>912</v>
      </c>
      <c r="L11424" s="539"/>
      <c r="M11424" s="539"/>
      <c r="N11424" s="598">
        <v>27885</v>
      </c>
      <c r="R11424" s="548">
        <v>538.00389994620764</v>
      </c>
      <c r="S11424" s="548">
        <v>538.23236865698402</v>
      </c>
      <c r="T11424" s="538">
        <v>15.5001</v>
      </c>
      <c r="U11424" s="549">
        <v>39.32</v>
      </c>
      <c r="V11424" s="549">
        <v>11.25</v>
      </c>
      <c r="Z11424" s="548" t="s">
        <v>2953</v>
      </c>
    </row>
    <row r="11425" spans="1:26">
      <c r="A11425" s="499">
        <v>45887</v>
      </c>
      <c r="B11425" s="499">
        <v>45887</v>
      </c>
      <c r="C11425" s="500" t="s">
        <v>173</v>
      </c>
      <c r="D11425" s="500" t="s">
        <v>760</v>
      </c>
      <c r="E11425" s="501">
        <v>-518457899.56999999</v>
      </c>
      <c r="F11425" s="95" t="s">
        <v>878</v>
      </c>
      <c r="G11425" s="443">
        <v>118643429</v>
      </c>
      <c r="H11425" s="530"/>
      <c r="I11425" s="523" t="s">
        <v>656</v>
      </c>
      <c r="J11425" s="43" t="s">
        <v>906</v>
      </c>
      <c r="L11425" s="539"/>
      <c r="M11425" s="539"/>
      <c r="N11425" s="598">
        <v>501942</v>
      </c>
      <c r="R11425" s="548">
        <v>1032.904</v>
      </c>
      <c r="S11425" s="548">
        <v>1033.3426304632801</v>
      </c>
      <c r="T11425" s="538">
        <v>15.5</v>
      </c>
      <c r="U11425" s="549">
        <v>777.69</v>
      </c>
      <c r="V11425" s="549">
        <v>388.84</v>
      </c>
      <c r="Z11425" s="548" t="s">
        <v>2953</v>
      </c>
    </row>
    <row r="11426" spans="1:26">
      <c r="A11426" s="499">
        <v>45887</v>
      </c>
      <c r="B11426" s="499">
        <v>45887</v>
      </c>
      <c r="C11426" s="500" t="s">
        <v>173</v>
      </c>
      <c r="D11426" s="500" t="s">
        <v>760</v>
      </c>
      <c r="E11426" s="501">
        <v>-903772133.63</v>
      </c>
      <c r="F11426" s="95" t="s">
        <v>878</v>
      </c>
      <c r="G11426" s="443">
        <v>118643843</v>
      </c>
      <c r="H11426" s="530"/>
      <c r="I11426" s="523" t="s">
        <v>658</v>
      </c>
      <c r="J11426" s="43" t="s">
        <v>906</v>
      </c>
      <c r="L11426" s="539"/>
      <c r="M11426" s="539"/>
      <c r="N11426" s="598">
        <v>890358</v>
      </c>
      <c r="R11426" s="548">
        <v>1015.066</v>
      </c>
      <c r="S11426" s="548">
        <v>1015.4970582058</v>
      </c>
      <c r="T11426" s="538">
        <v>15.5001</v>
      </c>
      <c r="U11426" s="549">
        <v>1355.66</v>
      </c>
      <c r="V11426" s="549">
        <v>677.83</v>
      </c>
      <c r="Z11426" s="548" t="s">
        <v>2953</v>
      </c>
    </row>
    <row r="11427" spans="1:26">
      <c r="A11427" s="499">
        <v>45887</v>
      </c>
      <c r="B11427" s="499">
        <v>45887</v>
      </c>
      <c r="C11427" s="500" t="s">
        <v>173</v>
      </c>
      <c r="D11427" s="500" t="s">
        <v>760</v>
      </c>
      <c r="E11427" s="501">
        <v>-782090234.20000005</v>
      </c>
      <c r="F11427" s="95" t="s">
        <v>878</v>
      </c>
      <c r="G11427" s="443">
        <v>118643432</v>
      </c>
      <c r="H11427" s="530"/>
      <c r="I11427" s="523" t="s">
        <v>719</v>
      </c>
      <c r="J11427" s="43" t="s">
        <v>906</v>
      </c>
      <c r="L11427" s="539"/>
      <c r="M11427" s="539"/>
      <c r="N11427" s="598">
        <v>1209754</v>
      </c>
      <c r="R11427" s="548">
        <v>646.48699999999997</v>
      </c>
      <c r="S11427" s="548">
        <v>646.76153557665396</v>
      </c>
      <c r="T11427" s="538">
        <v>15.5</v>
      </c>
      <c r="U11427" s="549">
        <v>1173.1400000000001</v>
      </c>
      <c r="V11427" s="549">
        <v>586.57000000000005</v>
      </c>
      <c r="Z11427" s="548" t="s">
        <v>2953</v>
      </c>
    </row>
    <row r="11428" spans="1:26">
      <c r="A11428" s="499">
        <v>45887</v>
      </c>
      <c r="B11428" s="499">
        <v>45887</v>
      </c>
      <c r="C11428" s="500" t="s">
        <v>173</v>
      </c>
      <c r="D11428" s="500" t="s">
        <v>760</v>
      </c>
      <c r="E11428" s="501">
        <v>-5000576.95</v>
      </c>
      <c r="F11428" s="95" t="s">
        <v>878</v>
      </c>
      <c r="G11428" s="443">
        <v>118643961</v>
      </c>
      <c r="H11428" s="530"/>
      <c r="I11428" s="523" t="s">
        <v>719</v>
      </c>
      <c r="J11428" s="43" t="s">
        <v>906</v>
      </c>
      <c r="L11428" s="539"/>
      <c r="M11428" s="539"/>
      <c r="N11428" s="598">
        <v>7735</v>
      </c>
      <c r="R11428" s="548">
        <v>646.48699999999997</v>
      </c>
      <c r="S11428" s="548">
        <v>646.76153587588897</v>
      </c>
      <c r="T11428" s="538">
        <v>15.5</v>
      </c>
      <c r="U11428" s="549">
        <v>39.32</v>
      </c>
      <c r="V11428" s="549">
        <v>3.75</v>
      </c>
      <c r="Z11428" s="548" t="s">
        <v>2953</v>
      </c>
    </row>
    <row r="11429" spans="1:26">
      <c r="A11429" s="499">
        <v>45887</v>
      </c>
      <c r="B11429" s="499">
        <v>45888</v>
      </c>
      <c r="C11429" s="500" t="s">
        <v>173</v>
      </c>
      <c r="D11429" s="500" t="s">
        <v>760</v>
      </c>
      <c r="E11429" s="501">
        <v>518678066.62</v>
      </c>
      <c r="F11429" s="95" t="s">
        <v>878</v>
      </c>
      <c r="G11429" s="443">
        <v>118643429</v>
      </c>
      <c r="H11429" s="443">
        <v>118643429</v>
      </c>
      <c r="I11429" s="523" t="s">
        <v>656</v>
      </c>
      <c r="J11429" s="443" t="s">
        <v>912</v>
      </c>
      <c r="L11429" s="539"/>
      <c r="M11429" s="539"/>
      <c r="N11429" s="598">
        <v>501942</v>
      </c>
      <c r="R11429" s="548">
        <v>1032.904</v>
      </c>
      <c r="S11429" s="548">
        <v>1033.3426304632801</v>
      </c>
      <c r="T11429" s="538">
        <v>15.5</v>
      </c>
      <c r="U11429" s="549">
        <v>777.69</v>
      </c>
      <c r="V11429" s="549">
        <v>388.84</v>
      </c>
      <c r="Z11429" s="548" t="s">
        <v>2953</v>
      </c>
    </row>
    <row r="11430" spans="1:26">
      <c r="A11430" s="499">
        <v>45887</v>
      </c>
      <c r="B11430" s="499">
        <v>45888</v>
      </c>
      <c r="C11430" s="500" t="s">
        <v>173</v>
      </c>
      <c r="D11430" s="500" t="s">
        <v>760</v>
      </c>
      <c r="E11430" s="501">
        <v>904155929.75</v>
      </c>
      <c r="F11430" s="95" t="s">
        <v>878</v>
      </c>
      <c r="G11430" s="443">
        <v>118643843</v>
      </c>
      <c r="H11430" s="443">
        <v>118643843</v>
      </c>
      <c r="I11430" s="523" t="s">
        <v>658</v>
      </c>
      <c r="J11430" s="443" t="s">
        <v>912</v>
      </c>
      <c r="L11430" s="539"/>
      <c r="M11430" s="539"/>
      <c r="N11430" s="598">
        <v>890358</v>
      </c>
      <c r="R11430" s="548">
        <v>1015.066</v>
      </c>
      <c r="S11430" s="548">
        <v>1015.4970582058</v>
      </c>
      <c r="T11430" s="538">
        <v>15.5001</v>
      </c>
      <c r="U11430" s="549">
        <v>1355.66</v>
      </c>
      <c r="V11430" s="549">
        <v>677.83</v>
      </c>
      <c r="Z11430" s="548" t="s">
        <v>2953</v>
      </c>
    </row>
    <row r="11431" spans="1:26">
      <c r="A11431" s="499">
        <v>45887</v>
      </c>
      <c r="B11431" s="499">
        <v>45888</v>
      </c>
      <c r="C11431" s="500" t="s">
        <v>173</v>
      </c>
      <c r="D11431" s="500" t="s">
        <v>760</v>
      </c>
      <c r="E11431" s="501">
        <v>782422354.71000004</v>
      </c>
      <c r="F11431" s="95" t="s">
        <v>878</v>
      </c>
      <c r="G11431" s="443">
        <v>118643432</v>
      </c>
      <c r="H11431" s="443">
        <v>118643432</v>
      </c>
      <c r="I11431" s="523" t="s">
        <v>719</v>
      </c>
      <c r="J11431" s="443" t="s">
        <v>912</v>
      </c>
      <c r="L11431" s="539"/>
      <c r="M11431" s="539"/>
      <c r="N11431" s="598">
        <v>1209754</v>
      </c>
      <c r="R11431" s="548">
        <v>646.48699999999997</v>
      </c>
      <c r="S11431" s="548">
        <v>646.76153557665396</v>
      </c>
      <c r="T11431" s="538">
        <v>15.5</v>
      </c>
      <c r="U11431" s="549">
        <v>1173.1400000000001</v>
      </c>
      <c r="V11431" s="549">
        <v>586.57000000000005</v>
      </c>
      <c r="Z11431" s="548" t="s">
        <v>2953</v>
      </c>
    </row>
    <row r="11432" spans="1:26">
      <c r="A11432" s="499">
        <v>45887</v>
      </c>
      <c r="B11432" s="499">
        <v>45888</v>
      </c>
      <c r="C11432" s="500" t="s">
        <v>173</v>
      </c>
      <c r="D11432" s="500" t="s">
        <v>760</v>
      </c>
      <c r="E11432" s="501">
        <v>5002700.4800000004</v>
      </c>
      <c r="F11432" s="95" t="s">
        <v>878</v>
      </c>
      <c r="G11432" s="443">
        <v>118643961</v>
      </c>
      <c r="H11432" s="443">
        <v>118643961</v>
      </c>
      <c r="I11432" s="523" t="s">
        <v>719</v>
      </c>
      <c r="J11432" s="443" t="s">
        <v>912</v>
      </c>
      <c r="L11432" s="539"/>
      <c r="M11432" s="539"/>
      <c r="N11432" s="598">
        <v>7735</v>
      </c>
      <c r="R11432" s="548">
        <v>646.48699999999997</v>
      </c>
      <c r="S11432" s="548">
        <v>646.76153587588897</v>
      </c>
      <c r="T11432" s="538">
        <v>15.5</v>
      </c>
      <c r="U11432" s="549">
        <v>39.32</v>
      </c>
      <c r="V11432" s="549">
        <v>3.75</v>
      </c>
      <c r="Z11432" s="548" t="s">
        <v>2953</v>
      </c>
    </row>
    <row r="11433" spans="1:26">
      <c r="A11433" s="499">
        <v>45887</v>
      </c>
      <c r="B11433" s="499">
        <v>45887</v>
      </c>
      <c r="C11433" s="500" t="s">
        <v>173</v>
      </c>
      <c r="D11433" s="500" t="s">
        <v>764</v>
      </c>
      <c r="E11433" s="501">
        <v>-2813318701.1399999</v>
      </c>
      <c r="F11433" s="95" t="s">
        <v>878</v>
      </c>
      <c r="G11433" s="443">
        <v>118642745</v>
      </c>
      <c r="H11433" s="530"/>
      <c r="I11433" s="523" t="s">
        <v>675</v>
      </c>
      <c r="J11433" s="43" t="s">
        <v>906</v>
      </c>
      <c r="L11433" s="539"/>
      <c r="M11433" s="539"/>
      <c r="N11433" s="598">
        <v>3027447</v>
      </c>
      <c r="R11433" s="548">
        <v>929.27100000099085</v>
      </c>
      <c r="S11433" s="548">
        <v>929.66562447831404</v>
      </c>
      <c r="T11433" s="538">
        <v>15.5001</v>
      </c>
      <c r="U11433" s="538">
        <v>4219.9799999999996</v>
      </c>
      <c r="V11433" s="538">
        <v>2109.9899999999998</v>
      </c>
      <c r="Z11433" s="539" t="s">
        <v>2953</v>
      </c>
    </row>
    <row r="11434" spans="1:26">
      <c r="A11434" s="499">
        <v>45887</v>
      </c>
      <c r="B11434" s="499">
        <v>45887</v>
      </c>
      <c r="C11434" s="500" t="s">
        <v>173</v>
      </c>
      <c r="D11434" s="500" t="s">
        <v>764</v>
      </c>
      <c r="E11434" s="501">
        <v>-1991297156.95</v>
      </c>
      <c r="F11434" s="95" t="s">
        <v>878</v>
      </c>
      <c r="G11434" s="443">
        <v>118642748</v>
      </c>
      <c r="H11434" s="530"/>
      <c r="I11434" s="523" t="s">
        <v>1013</v>
      </c>
      <c r="J11434" s="43" t="s">
        <v>906</v>
      </c>
      <c r="L11434" s="539"/>
      <c r="M11434" s="539"/>
      <c r="N11434" s="598">
        <v>3701269</v>
      </c>
      <c r="R11434" s="548">
        <v>538.00390000024322</v>
      </c>
      <c r="S11434" s="548">
        <v>538.23236888483405</v>
      </c>
      <c r="T11434" s="538">
        <v>15.5001</v>
      </c>
      <c r="U11434" s="538">
        <v>2986.95</v>
      </c>
      <c r="V11434" s="538">
        <v>1493.47</v>
      </c>
      <c r="Z11434" s="539" t="s">
        <v>2953</v>
      </c>
    </row>
    <row r="11435" spans="1:26">
      <c r="A11435" s="499">
        <v>45887</v>
      </c>
      <c r="B11435" s="499">
        <v>45887</v>
      </c>
      <c r="C11435" s="500" t="s">
        <v>173</v>
      </c>
      <c r="D11435" s="500" t="s">
        <v>764</v>
      </c>
      <c r="E11435" s="501">
        <v>-28004179</v>
      </c>
      <c r="F11435" s="95" t="s">
        <v>878</v>
      </c>
      <c r="G11435" s="443">
        <v>118642778</v>
      </c>
      <c r="H11435" s="530"/>
      <c r="I11435" s="523" t="s">
        <v>1013</v>
      </c>
      <c r="J11435" s="43" t="s">
        <v>906</v>
      </c>
      <c r="L11435" s="539"/>
      <c r="M11435" s="539"/>
      <c r="N11435" s="598">
        <v>52052</v>
      </c>
      <c r="R11435" s="548">
        <v>538.00389994620764</v>
      </c>
      <c r="S11435" s="548">
        <v>538.232368785061</v>
      </c>
      <c r="T11435" s="538">
        <v>15.5001</v>
      </c>
      <c r="U11435" s="538">
        <v>42.01</v>
      </c>
      <c r="V11435" s="538">
        <v>21</v>
      </c>
      <c r="Z11435" s="539" t="s">
        <v>2953</v>
      </c>
    </row>
    <row r="11436" spans="1:26">
      <c r="A11436" s="499">
        <v>45887</v>
      </c>
      <c r="B11436" s="499">
        <v>45888</v>
      </c>
      <c r="C11436" s="500" t="s">
        <v>173</v>
      </c>
      <c r="D11436" s="500" t="s">
        <v>764</v>
      </c>
      <c r="E11436" s="501">
        <v>2814513405.8299999</v>
      </c>
      <c r="F11436" s="95" t="s">
        <v>878</v>
      </c>
      <c r="G11436" s="443">
        <v>118642745</v>
      </c>
      <c r="H11436" s="484">
        <v>118642745</v>
      </c>
      <c r="I11436" s="523" t="s">
        <v>675</v>
      </c>
      <c r="J11436" s="443" t="s">
        <v>912</v>
      </c>
      <c r="L11436" s="539"/>
      <c r="M11436" s="539"/>
      <c r="N11436" s="598">
        <v>3027447</v>
      </c>
      <c r="R11436" s="548">
        <v>929.27100000099085</v>
      </c>
      <c r="S11436" s="548">
        <v>929.66562447831404</v>
      </c>
      <c r="T11436" s="538">
        <v>15.5001</v>
      </c>
      <c r="U11436" s="538">
        <v>4219.9799999999996</v>
      </c>
      <c r="V11436" s="538">
        <v>2109.9899999999998</v>
      </c>
      <c r="Z11436" s="539" t="s">
        <v>2953</v>
      </c>
    </row>
    <row r="11437" spans="1:26">
      <c r="A11437" s="499">
        <v>45887</v>
      </c>
      <c r="B11437" s="499">
        <v>45888</v>
      </c>
      <c r="C11437" s="500" t="s">
        <v>173</v>
      </c>
      <c r="D11437" s="500" t="s">
        <v>764</v>
      </c>
      <c r="E11437" s="501">
        <v>1992142781.75</v>
      </c>
      <c r="F11437" s="95" t="s">
        <v>878</v>
      </c>
      <c r="G11437" s="443">
        <v>118642748</v>
      </c>
      <c r="H11437" s="484">
        <v>118642748</v>
      </c>
      <c r="I11437" s="523" t="s">
        <v>1013</v>
      </c>
      <c r="J11437" s="443" t="s">
        <v>912</v>
      </c>
      <c r="L11437" s="539"/>
      <c r="M11437" s="539"/>
      <c r="N11437" s="598">
        <v>3701269</v>
      </c>
      <c r="R11437" s="548">
        <v>538.00390000024322</v>
      </c>
      <c r="S11437" s="548">
        <v>538.23236888483405</v>
      </c>
      <c r="T11437" s="538">
        <v>15.5001</v>
      </c>
      <c r="U11437" s="538">
        <v>2986.95</v>
      </c>
      <c r="V11437" s="538">
        <v>1493.47</v>
      </c>
      <c r="Z11437" s="539" t="s">
        <v>2953</v>
      </c>
    </row>
    <row r="11438" spans="1:26">
      <c r="A11438" s="499">
        <v>45887</v>
      </c>
      <c r="B11438" s="499">
        <v>45888</v>
      </c>
      <c r="C11438" s="500" t="s">
        <v>173</v>
      </c>
      <c r="D11438" s="500" t="s">
        <v>764</v>
      </c>
      <c r="E11438" s="501">
        <v>28016071.260000002</v>
      </c>
      <c r="F11438" s="95" t="s">
        <v>878</v>
      </c>
      <c r="G11438" s="443">
        <v>118642778</v>
      </c>
      <c r="H11438" s="484">
        <v>118642778</v>
      </c>
      <c r="I11438" s="523" t="s">
        <v>1013</v>
      </c>
      <c r="J11438" s="443" t="s">
        <v>912</v>
      </c>
      <c r="L11438" s="539"/>
      <c r="M11438" s="539"/>
      <c r="N11438" s="598">
        <v>52052</v>
      </c>
      <c r="R11438" s="548">
        <v>538.00389994620764</v>
      </c>
      <c r="S11438" s="548">
        <v>538.232368785061</v>
      </c>
      <c r="T11438" s="538">
        <v>15.5001</v>
      </c>
      <c r="U11438" s="538">
        <v>42.01</v>
      </c>
      <c r="V11438" s="538">
        <v>21</v>
      </c>
      <c r="Z11438" s="539" t="s">
        <v>2953</v>
      </c>
    </row>
    <row r="11439" spans="1:26">
      <c r="A11439" s="499">
        <v>45887</v>
      </c>
      <c r="B11439" s="499">
        <v>45887</v>
      </c>
      <c r="C11439" s="500" t="s">
        <v>173</v>
      </c>
      <c r="D11439" s="500" t="s">
        <v>763</v>
      </c>
      <c r="E11439" s="501">
        <v>-44020317.880000003</v>
      </c>
      <c r="F11439" s="95" t="s">
        <v>878</v>
      </c>
      <c r="G11439" s="443">
        <v>118641377</v>
      </c>
      <c r="H11439" s="530"/>
      <c r="I11439" s="523" t="s">
        <v>678</v>
      </c>
      <c r="J11439" s="43" t="s">
        <v>906</v>
      </c>
      <c r="L11439" s="539"/>
      <c r="M11439" s="539"/>
      <c r="N11439" s="598">
        <v>47080</v>
      </c>
      <c r="R11439" s="548">
        <v>935.01099999999997</v>
      </c>
      <c r="S11439" s="548">
        <v>935.40805947323702</v>
      </c>
      <c r="T11439" s="538">
        <v>15.5</v>
      </c>
      <c r="U11439" s="549">
        <v>66.03</v>
      </c>
      <c r="V11439" s="549">
        <v>39.32</v>
      </c>
      <c r="Z11439" s="548" t="s">
        <v>2953</v>
      </c>
    </row>
    <row r="11440" spans="1:26">
      <c r="A11440" s="499">
        <v>45887</v>
      </c>
      <c r="B11440" s="499">
        <v>45887</v>
      </c>
      <c r="C11440" s="500" t="s">
        <v>173</v>
      </c>
      <c r="D11440" s="500" t="s">
        <v>763</v>
      </c>
      <c r="E11440" s="501">
        <v>-546403258.66999996</v>
      </c>
      <c r="F11440" s="95" t="s">
        <v>878</v>
      </c>
      <c r="G11440" s="443">
        <v>118641380</v>
      </c>
      <c r="H11440" s="530"/>
      <c r="I11440" s="523" t="s">
        <v>682</v>
      </c>
      <c r="J11440" s="43" t="s">
        <v>906</v>
      </c>
      <c r="L11440" s="539"/>
      <c r="M11440" s="539"/>
      <c r="N11440" s="598">
        <v>591318</v>
      </c>
      <c r="R11440" s="548">
        <v>924.04300000000001</v>
      </c>
      <c r="S11440" s="548">
        <v>924.43540181425203</v>
      </c>
      <c r="T11440" s="538">
        <v>15.5</v>
      </c>
      <c r="U11440" s="549">
        <v>819.6</v>
      </c>
      <c r="V11440" s="549">
        <v>409.8</v>
      </c>
      <c r="Z11440" s="548" t="s">
        <v>2953</v>
      </c>
    </row>
    <row r="11441" spans="1:26">
      <c r="A11441" s="499">
        <v>45887</v>
      </c>
      <c r="B11441" s="499">
        <v>45887</v>
      </c>
      <c r="C11441" s="500" t="s">
        <v>173</v>
      </c>
      <c r="D11441" s="500" t="s">
        <v>763</v>
      </c>
      <c r="E11441" s="501">
        <v>-584389918.11000001</v>
      </c>
      <c r="F11441" s="95" t="s">
        <v>878</v>
      </c>
      <c r="G11441" s="443">
        <v>118641383</v>
      </c>
      <c r="H11441" s="530"/>
      <c r="I11441" s="523" t="s">
        <v>705</v>
      </c>
      <c r="J11441" s="43" t="s">
        <v>906</v>
      </c>
      <c r="L11441" s="539"/>
      <c r="M11441" s="539"/>
      <c r="N11441" s="598">
        <v>783728</v>
      </c>
      <c r="R11441" s="548">
        <v>745.654</v>
      </c>
      <c r="S11441" s="548">
        <v>745.97064758436602</v>
      </c>
      <c r="T11441" s="538">
        <v>15.5</v>
      </c>
      <c r="U11441" s="549">
        <v>876.58</v>
      </c>
      <c r="V11441" s="549">
        <v>438.29</v>
      </c>
      <c r="Z11441" s="548" t="s">
        <v>2953</v>
      </c>
    </row>
    <row r="11442" spans="1:26">
      <c r="A11442" s="499">
        <v>45887</v>
      </c>
      <c r="B11442" s="499">
        <v>45887</v>
      </c>
      <c r="C11442" s="500" t="s">
        <v>173</v>
      </c>
      <c r="D11442" s="500" t="s">
        <v>763</v>
      </c>
      <c r="E11442" s="501">
        <v>-603178618.25</v>
      </c>
      <c r="F11442" s="95" t="s">
        <v>878</v>
      </c>
      <c r="G11442" s="443">
        <v>118641386</v>
      </c>
      <c r="H11442" s="530"/>
      <c r="I11442" s="523" t="s">
        <v>677</v>
      </c>
      <c r="J11442" s="43" t="s">
        <v>906</v>
      </c>
      <c r="L11442" s="539"/>
      <c r="M11442" s="539"/>
      <c r="N11442" s="598">
        <v>685611</v>
      </c>
      <c r="R11442" s="548">
        <v>879.76800000000003</v>
      </c>
      <c r="S11442" s="548">
        <v>880.14160010559897</v>
      </c>
      <c r="T11442" s="538">
        <v>15.5</v>
      </c>
      <c r="U11442" s="549">
        <v>904.77</v>
      </c>
      <c r="V11442" s="549">
        <v>452.38</v>
      </c>
      <c r="Z11442" s="548" t="s">
        <v>2953</v>
      </c>
    </row>
    <row r="11443" spans="1:26">
      <c r="A11443" s="499">
        <v>45887</v>
      </c>
      <c r="B11443" s="499">
        <v>45887</v>
      </c>
      <c r="C11443" s="500" t="s">
        <v>173</v>
      </c>
      <c r="D11443" s="500" t="s">
        <v>763</v>
      </c>
      <c r="E11443" s="501">
        <v>-659425480.71000004</v>
      </c>
      <c r="F11443" s="95" t="s">
        <v>878</v>
      </c>
      <c r="G11443" s="443">
        <v>118641389</v>
      </c>
      <c r="H11443" s="530"/>
      <c r="I11443" s="523" t="s">
        <v>654</v>
      </c>
      <c r="J11443" s="43" t="s">
        <v>906</v>
      </c>
      <c r="L11443" s="539"/>
      <c r="M11443" s="539"/>
      <c r="N11443" s="598">
        <v>659659</v>
      </c>
      <c r="R11443" s="548">
        <v>999.64599999999996</v>
      </c>
      <c r="S11443" s="548">
        <v>1000.07050720145</v>
      </c>
      <c r="T11443" s="538">
        <v>15.5</v>
      </c>
      <c r="U11443" s="549">
        <v>989.14</v>
      </c>
      <c r="V11443" s="549">
        <v>494.57</v>
      </c>
      <c r="Z11443" s="548" t="s">
        <v>2953</v>
      </c>
    </row>
    <row r="11444" spans="1:26">
      <c r="A11444" s="499">
        <v>45887</v>
      </c>
      <c r="B11444" s="499">
        <v>45887</v>
      </c>
      <c r="C11444" s="500" t="s">
        <v>173</v>
      </c>
      <c r="D11444" s="500" t="s">
        <v>763</v>
      </c>
      <c r="E11444" s="501">
        <v>-470115886.01999998</v>
      </c>
      <c r="F11444" s="95" t="s">
        <v>878</v>
      </c>
      <c r="G11444" s="443">
        <v>118641392</v>
      </c>
      <c r="H11444" s="530"/>
      <c r="I11444" s="523" t="s">
        <v>671</v>
      </c>
      <c r="J11444" s="43" t="s">
        <v>906</v>
      </c>
      <c r="L11444" s="539"/>
      <c r="M11444" s="539"/>
      <c r="N11444" s="598">
        <v>459660</v>
      </c>
      <c r="R11444" s="548">
        <v>1022.747</v>
      </c>
      <c r="S11444" s="548">
        <v>1023.18131721272</v>
      </c>
      <c r="T11444" s="538">
        <v>15.5</v>
      </c>
      <c r="U11444" s="549">
        <v>705.17</v>
      </c>
      <c r="V11444" s="549">
        <v>352.59</v>
      </c>
      <c r="Z11444" s="548" t="s">
        <v>2953</v>
      </c>
    </row>
    <row r="11445" spans="1:26">
      <c r="A11445" s="499">
        <v>45887</v>
      </c>
      <c r="B11445" s="499">
        <v>45887</v>
      </c>
      <c r="C11445" s="500" t="s">
        <v>173</v>
      </c>
      <c r="D11445" s="500" t="s">
        <v>763</v>
      </c>
      <c r="E11445" s="501">
        <v>-17004191.620000001</v>
      </c>
      <c r="F11445" s="95" t="s">
        <v>878</v>
      </c>
      <c r="G11445" s="443">
        <v>118641457</v>
      </c>
      <c r="H11445" s="530"/>
      <c r="I11445" s="523" t="s">
        <v>671</v>
      </c>
      <c r="J11445" s="43" t="s">
        <v>906</v>
      </c>
      <c r="L11445" s="539"/>
      <c r="M11445" s="539"/>
      <c r="N11445" s="598">
        <v>16626</v>
      </c>
      <c r="R11445" s="548">
        <v>1022.747</v>
      </c>
      <c r="S11445" s="548">
        <v>1023.181317214</v>
      </c>
      <c r="T11445" s="538">
        <v>15.5</v>
      </c>
      <c r="U11445" s="549">
        <v>39.32</v>
      </c>
      <c r="V11445" s="549">
        <v>39.32</v>
      </c>
      <c r="Z11445" s="548" t="s">
        <v>2953</v>
      </c>
    </row>
    <row r="11446" spans="1:26">
      <c r="A11446" s="499">
        <v>45887</v>
      </c>
      <c r="B11446" s="499">
        <v>45888</v>
      </c>
      <c r="C11446" s="500" t="s">
        <v>173</v>
      </c>
      <c r="D11446" s="500" t="s">
        <v>763</v>
      </c>
      <c r="E11446" s="501">
        <v>44039011.439999998</v>
      </c>
      <c r="F11446" s="95" t="s">
        <v>878</v>
      </c>
      <c r="G11446" s="443">
        <v>118641377</v>
      </c>
      <c r="H11446" s="443">
        <v>118641377</v>
      </c>
      <c r="I11446" s="523" t="s">
        <v>678</v>
      </c>
      <c r="J11446" s="443" t="s">
        <v>912</v>
      </c>
      <c r="L11446" s="539"/>
      <c r="M11446" s="539"/>
      <c r="N11446" s="598">
        <v>47080</v>
      </c>
      <c r="R11446" s="548">
        <v>935.01099999999997</v>
      </c>
      <c r="S11446" s="548">
        <v>935.40805947323702</v>
      </c>
      <c r="T11446" s="538">
        <v>15.5</v>
      </c>
      <c r="U11446" s="549">
        <v>66.03</v>
      </c>
      <c r="V11446" s="549">
        <v>39.32</v>
      </c>
      <c r="Z11446" s="548" t="s">
        <v>2953</v>
      </c>
    </row>
    <row r="11447" spans="1:26">
      <c r="A11447" s="499">
        <v>45887</v>
      </c>
      <c r="B11447" s="499">
        <v>45888</v>
      </c>
      <c r="C11447" s="500" t="s">
        <v>173</v>
      </c>
      <c r="D11447" s="500" t="s">
        <v>763</v>
      </c>
      <c r="E11447" s="501">
        <v>546635292.92999995</v>
      </c>
      <c r="F11447" s="95" t="s">
        <v>878</v>
      </c>
      <c r="G11447" s="443">
        <v>118641380</v>
      </c>
      <c r="H11447" s="443">
        <v>118641380</v>
      </c>
      <c r="I11447" s="523" t="s">
        <v>682</v>
      </c>
      <c r="J11447" s="443" t="s">
        <v>912</v>
      </c>
      <c r="L11447" s="539"/>
      <c r="M11447" s="539"/>
      <c r="N11447" s="598">
        <v>591318</v>
      </c>
      <c r="R11447" s="548">
        <v>924.04300000000001</v>
      </c>
      <c r="S11447" s="548">
        <v>924.43540181425203</v>
      </c>
      <c r="T11447" s="538">
        <v>15.5</v>
      </c>
      <c r="U11447" s="549">
        <v>819.6</v>
      </c>
      <c r="V11447" s="549">
        <v>409.8</v>
      </c>
      <c r="Z11447" s="548" t="s">
        <v>2953</v>
      </c>
    </row>
    <row r="11448" spans="1:26">
      <c r="A11448" s="499">
        <v>45887</v>
      </c>
      <c r="B11448" s="499">
        <v>45888</v>
      </c>
      <c r="C11448" s="500" t="s">
        <v>173</v>
      </c>
      <c r="D11448" s="500" t="s">
        <v>763</v>
      </c>
      <c r="E11448" s="501">
        <v>584638083.69000006</v>
      </c>
      <c r="F11448" s="95" t="s">
        <v>878</v>
      </c>
      <c r="G11448" s="443">
        <v>118641383</v>
      </c>
      <c r="H11448" s="443">
        <v>118641383</v>
      </c>
      <c r="I11448" s="523" t="s">
        <v>705</v>
      </c>
      <c r="J11448" s="443" t="s">
        <v>912</v>
      </c>
      <c r="L11448" s="539"/>
      <c r="M11448" s="539"/>
      <c r="N11448" s="598">
        <v>783728</v>
      </c>
      <c r="R11448" s="548">
        <v>745.654</v>
      </c>
      <c r="S11448" s="548">
        <v>745.97064758436602</v>
      </c>
      <c r="T11448" s="538">
        <v>15.5</v>
      </c>
      <c r="U11448" s="549">
        <v>876.58</v>
      </c>
      <c r="V11448" s="549">
        <v>438.29</v>
      </c>
      <c r="Z11448" s="548" t="s">
        <v>2953</v>
      </c>
    </row>
    <row r="11449" spans="1:26">
      <c r="A11449" s="499">
        <v>45887</v>
      </c>
      <c r="B11449" s="499">
        <v>45888</v>
      </c>
      <c r="C11449" s="500" t="s">
        <v>173</v>
      </c>
      <c r="D11449" s="500" t="s">
        <v>763</v>
      </c>
      <c r="E11449" s="501">
        <v>603434762.59000003</v>
      </c>
      <c r="F11449" s="95" t="s">
        <v>878</v>
      </c>
      <c r="G11449" s="443">
        <v>118641386</v>
      </c>
      <c r="H11449" s="443">
        <v>118641386</v>
      </c>
      <c r="I11449" s="523" t="s">
        <v>677</v>
      </c>
      <c r="J11449" s="443" t="s">
        <v>912</v>
      </c>
      <c r="L11449" s="539"/>
      <c r="M11449" s="539"/>
      <c r="N11449" s="598">
        <v>685611</v>
      </c>
      <c r="R11449" s="548">
        <v>879.76800000000003</v>
      </c>
      <c r="S11449" s="548">
        <v>880.14160010559897</v>
      </c>
      <c r="T11449" s="538">
        <v>15.5</v>
      </c>
      <c r="U11449" s="549">
        <v>904.77</v>
      </c>
      <c r="V11449" s="549">
        <v>452.38</v>
      </c>
      <c r="Z11449" s="548" t="s">
        <v>2953</v>
      </c>
    </row>
    <row r="11450" spans="1:26">
      <c r="A11450" s="499">
        <v>45887</v>
      </c>
      <c r="B11450" s="499">
        <v>45888</v>
      </c>
      <c r="C11450" s="500" t="s">
        <v>173</v>
      </c>
      <c r="D11450" s="500" t="s">
        <v>763</v>
      </c>
      <c r="E11450" s="501">
        <v>659705510.71000004</v>
      </c>
      <c r="F11450" s="95" t="s">
        <v>878</v>
      </c>
      <c r="G11450" s="443">
        <v>118641389</v>
      </c>
      <c r="H11450" s="443">
        <v>118641389</v>
      </c>
      <c r="I11450" s="523" t="s">
        <v>654</v>
      </c>
      <c r="J11450" s="443" t="s">
        <v>912</v>
      </c>
      <c r="L11450" s="539"/>
      <c r="M11450" s="539"/>
      <c r="N11450" s="598">
        <v>659659</v>
      </c>
      <c r="R11450" s="548">
        <v>999.64599999999996</v>
      </c>
      <c r="S11450" s="548">
        <v>1000.07050720145</v>
      </c>
      <c r="T11450" s="538">
        <v>15.5</v>
      </c>
      <c r="U11450" s="549">
        <v>989.14</v>
      </c>
      <c r="V11450" s="549">
        <v>494.57</v>
      </c>
      <c r="Z11450" s="548" t="s">
        <v>2953</v>
      </c>
    </row>
    <row r="11451" spans="1:26">
      <c r="A11451" s="499">
        <v>45887</v>
      </c>
      <c r="B11451" s="499">
        <v>45888</v>
      </c>
      <c r="C11451" s="500" t="s">
        <v>173</v>
      </c>
      <c r="D11451" s="500" t="s">
        <v>763</v>
      </c>
      <c r="E11451" s="501">
        <v>470315524.26999998</v>
      </c>
      <c r="F11451" s="95" t="s">
        <v>878</v>
      </c>
      <c r="G11451" s="443">
        <v>118641392</v>
      </c>
      <c r="H11451" s="443">
        <v>118641392</v>
      </c>
      <c r="I11451" s="523" t="s">
        <v>671</v>
      </c>
      <c r="J11451" s="443" t="s">
        <v>912</v>
      </c>
      <c r="L11451" s="539"/>
      <c r="M11451" s="539"/>
      <c r="N11451" s="598">
        <v>459660</v>
      </c>
      <c r="R11451" s="548">
        <v>1022.747</v>
      </c>
      <c r="S11451" s="548">
        <v>1023.18131721272</v>
      </c>
      <c r="T11451" s="538">
        <v>15.5</v>
      </c>
      <c r="U11451" s="549">
        <v>705.17</v>
      </c>
      <c r="V11451" s="549">
        <v>352.59</v>
      </c>
      <c r="Z11451" s="548" t="s">
        <v>2953</v>
      </c>
    </row>
    <row r="11452" spans="1:26">
      <c r="A11452" s="499">
        <v>45887</v>
      </c>
      <c r="B11452" s="499">
        <v>45888</v>
      </c>
      <c r="C11452" s="500" t="s">
        <v>173</v>
      </c>
      <c r="D11452" s="500" t="s">
        <v>763</v>
      </c>
      <c r="E11452" s="501">
        <v>17011412.579999998</v>
      </c>
      <c r="F11452" s="95" t="s">
        <v>878</v>
      </c>
      <c r="G11452" s="443">
        <v>118641457</v>
      </c>
      <c r="H11452" s="443">
        <v>118641457</v>
      </c>
      <c r="I11452" s="523" t="s">
        <v>671</v>
      </c>
      <c r="J11452" s="443" t="s">
        <v>912</v>
      </c>
      <c r="L11452" s="539"/>
      <c r="M11452" s="539"/>
      <c r="N11452" s="598">
        <v>16626</v>
      </c>
      <c r="R11452" s="539">
        <v>1022.747</v>
      </c>
      <c r="S11452" s="539">
        <v>1023.181317214</v>
      </c>
      <c r="T11452" s="538">
        <v>15.5</v>
      </c>
      <c r="U11452" s="538">
        <v>39.32</v>
      </c>
      <c r="V11452" s="538">
        <v>39.32</v>
      </c>
      <c r="Z11452" s="548" t="s">
        <v>2953</v>
      </c>
    </row>
    <row r="11453" spans="1:26">
      <c r="A11453" s="499">
        <v>45888</v>
      </c>
      <c r="B11453" s="499">
        <v>45888</v>
      </c>
      <c r="C11453" s="500" t="s">
        <v>173</v>
      </c>
      <c r="D11453" s="500" t="s">
        <v>762</v>
      </c>
      <c r="E11453" s="501">
        <v>-2364974331.5799999</v>
      </c>
      <c r="F11453" s="95" t="s">
        <v>878</v>
      </c>
      <c r="G11453" s="443">
        <v>118668147</v>
      </c>
      <c r="H11453" s="530"/>
      <c r="I11453" s="525" t="s">
        <v>2854</v>
      </c>
      <c r="J11453" s="530" t="s">
        <v>906</v>
      </c>
      <c r="L11453" s="539"/>
      <c r="M11453" s="539"/>
      <c r="N11453" s="598">
        <v>4323756</v>
      </c>
      <c r="R11453" s="538">
        <v>546.97220000000004</v>
      </c>
      <c r="S11453" s="538">
        <v>547.20447886282204</v>
      </c>
      <c r="T11453" s="538">
        <v>15.5</v>
      </c>
      <c r="U11453" s="538">
        <v>3547.46</v>
      </c>
      <c r="V11453" s="538">
        <v>1773.73</v>
      </c>
      <c r="Z11453" s="548" t="s">
        <v>2953</v>
      </c>
    </row>
    <row r="11454" spans="1:26">
      <c r="A11454" s="499">
        <v>45888</v>
      </c>
      <c r="B11454" s="499">
        <v>45888</v>
      </c>
      <c r="C11454" s="500" t="s">
        <v>173</v>
      </c>
      <c r="D11454" s="500" t="s">
        <v>762</v>
      </c>
      <c r="E11454" s="501">
        <v>-642066851.46000004</v>
      </c>
      <c r="F11454" s="95" t="s">
        <v>878</v>
      </c>
      <c r="G11454" s="443">
        <v>118668150</v>
      </c>
      <c r="H11454" s="530"/>
      <c r="I11454" s="525" t="s">
        <v>718</v>
      </c>
      <c r="J11454" s="530" t="s">
        <v>906</v>
      </c>
      <c r="L11454" s="539"/>
      <c r="M11454" s="539"/>
      <c r="N11454" s="598">
        <v>1007940</v>
      </c>
      <c r="R11454" s="538">
        <v>637.00900000000001</v>
      </c>
      <c r="S11454" s="538">
        <v>637.27951067523895</v>
      </c>
      <c r="T11454" s="538">
        <v>15.5</v>
      </c>
      <c r="U11454" s="538">
        <v>963.1</v>
      </c>
      <c r="V11454" s="538">
        <v>481.55</v>
      </c>
      <c r="Z11454" s="548" t="s">
        <v>2953</v>
      </c>
    </row>
    <row r="11455" spans="1:26">
      <c r="A11455" s="499">
        <v>45888</v>
      </c>
      <c r="B11455" s="499">
        <v>45888</v>
      </c>
      <c r="C11455" s="500" t="s">
        <v>173</v>
      </c>
      <c r="D11455" s="500" t="s">
        <v>762</v>
      </c>
      <c r="E11455" s="501">
        <v>-19016567.829999998</v>
      </c>
      <c r="F11455" s="95" t="s">
        <v>878</v>
      </c>
      <c r="G11455" s="443">
        <v>118668974</v>
      </c>
      <c r="H11455" s="530"/>
      <c r="I11455" s="525" t="s">
        <v>678</v>
      </c>
      <c r="J11455" s="530" t="s">
        <v>906</v>
      </c>
      <c r="L11455" s="539"/>
      <c r="M11455" s="539"/>
      <c r="N11455" s="598">
        <v>20349</v>
      </c>
      <c r="R11455" s="538">
        <v>934.52099999999996</v>
      </c>
      <c r="S11455" s="538">
        <v>934.91785394859698</v>
      </c>
      <c r="T11455" s="538">
        <v>15.5</v>
      </c>
      <c r="U11455" s="538">
        <v>39.32</v>
      </c>
      <c r="V11455" s="538">
        <v>14.26</v>
      </c>
      <c r="Z11455" s="548" t="s">
        <v>2953</v>
      </c>
    </row>
    <row r="11456" spans="1:26">
      <c r="A11456" s="499">
        <v>45888</v>
      </c>
      <c r="B11456" s="499">
        <v>45889</v>
      </c>
      <c r="C11456" s="500" t="s">
        <v>173</v>
      </c>
      <c r="D11456" s="500" t="s">
        <v>762</v>
      </c>
      <c r="E11456" s="501">
        <v>2365978648.71</v>
      </c>
      <c r="F11456" s="95" t="s">
        <v>878</v>
      </c>
      <c r="G11456" s="443">
        <v>118668147</v>
      </c>
      <c r="H11456" s="484">
        <v>118668147</v>
      </c>
      <c r="I11456" s="525" t="s">
        <v>2854</v>
      </c>
      <c r="J11456" s="530" t="s">
        <v>912</v>
      </c>
      <c r="L11456" s="539"/>
      <c r="M11456" s="539"/>
      <c r="N11456" s="598">
        <v>4323756</v>
      </c>
      <c r="R11456" s="538">
        <v>546.97220000000004</v>
      </c>
      <c r="S11456" s="538">
        <v>547.20447886282204</v>
      </c>
      <c r="T11456" s="538">
        <v>15.5</v>
      </c>
      <c r="U11456" s="538">
        <v>3547.46</v>
      </c>
      <c r="V11456" s="538">
        <v>1773.73</v>
      </c>
      <c r="Z11456" s="548" t="s">
        <v>2953</v>
      </c>
    </row>
    <row r="11457" spans="1:26">
      <c r="A11457" s="499">
        <v>45888</v>
      </c>
      <c r="B11457" s="499">
        <v>45889</v>
      </c>
      <c r="C11457" s="500" t="s">
        <v>173</v>
      </c>
      <c r="D11457" s="500" t="s">
        <v>762</v>
      </c>
      <c r="E11457" s="501">
        <v>642339509.99000001</v>
      </c>
      <c r="F11457" s="95" t="s">
        <v>878</v>
      </c>
      <c r="G11457" s="443">
        <v>118668150</v>
      </c>
      <c r="H11457" s="484">
        <v>118668150</v>
      </c>
      <c r="I11457" s="525" t="s">
        <v>718</v>
      </c>
      <c r="J11457" s="530" t="s">
        <v>912</v>
      </c>
      <c r="L11457" s="539"/>
      <c r="M11457" s="539"/>
      <c r="N11457" s="598">
        <v>1007940</v>
      </c>
      <c r="R11457" s="538">
        <v>637.00900000000001</v>
      </c>
      <c r="S11457" s="538">
        <v>637.27951067523895</v>
      </c>
      <c r="T11457" s="538">
        <v>15.5</v>
      </c>
      <c r="U11457" s="538">
        <v>963.1</v>
      </c>
      <c r="V11457" s="538">
        <v>481.55</v>
      </c>
      <c r="Z11457" s="548" t="s">
        <v>2953</v>
      </c>
    </row>
    <row r="11458" spans="1:26">
      <c r="A11458" s="499">
        <v>45888</v>
      </c>
      <c r="B11458" s="499">
        <v>45889</v>
      </c>
      <c r="C11458" s="500" t="s">
        <v>173</v>
      </c>
      <c r="D11458" s="500" t="s">
        <v>762</v>
      </c>
      <c r="E11458" s="501">
        <v>19024643.41</v>
      </c>
      <c r="F11458" s="95" t="s">
        <v>878</v>
      </c>
      <c r="G11458" s="443">
        <v>118668974</v>
      </c>
      <c r="H11458" s="484">
        <v>118668974</v>
      </c>
      <c r="I11458" s="525" t="s">
        <v>678</v>
      </c>
      <c r="J11458" s="530" t="s">
        <v>912</v>
      </c>
      <c r="L11458" s="539"/>
      <c r="M11458" s="539"/>
      <c r="N11458" s="598">
        <v>20349</v>
      </c>
      <c r="R11458" s="538">
        <v>934.52099999999996</v>
      </c>
      <c r="S11458" s="538">
        <v>934.91785394859698</v>
      </c>
      <c r="T11458" s="538">
        <v>15.5</v>
      </c>
      <c r="U11458" s="538">
        <v>39.32</v>
      </c>
      <c r="V11458" s="538">
        <v>14.26</v>
      </c>
      <c r="Z11458" s="548" t="s">
        <v>2953</v>
      </c>
    </row>
    <row r="11459" spans="1:26">
      <c r="A11459" s="499">
        <v>45888</v>
      </c>
      <c r="B11459" s="499">
        <v>45888</v>
      </c>
      <c r="C11459" s="500" t="s">
        <v>173</v>
      </c>
      <c r="D11459" s="500" t="s">
        <v>761</v>
      </c>
      <c r="E11459" s="501">
        <v>-1640890944.76</v>
      </c>
      <c r="F11459" s="95" t="s">
        <v>878</v>
      </c>
      <c r="G11459" s="443">
        <v>118665502</v>
      </c>
      <c r="H11459" s="530"/>
      <c r="I11459" s="422" t="s">
        <v>704</v>
      </c>
      <c r="J11459" s="530" t="s">
        <v>906</v>
      </c>
      <c r="K11459" s="538"/>
      <c r="L11459" s="539"/>
      <c r="M11459" s="539"/>
      <c r="N11459" s="598">
        <v>2018840</v>
      </c>
      <c r="R11459" s="548">
        <v>812.78899999999999</v>
      </c>
      <c r="S11459" s="548">
        <v>813.13417924154498</v>
      </c>
      <c r="T11459" s="538">
        <v>15.5</v>
      </c>
      <c r="U11459" s="549">
        <v>2461.34</v>
      </c>
      <c r="V11459" s="549">
        <v>1230.67</v>
      </c>
      <c r="Z11459" s="548" t="s">
        <v>2953</v>
      </c>
    </row>
    <row r="11460" spans="1:26">
      <c r="A11460" s="499">
        <v>45888</v>
      </c>
      <c r="B11460" s="499">
        <v>45888</v>
      </c>
      <c r="C11460" s="500" t="s">
        <v>173</v>
      </c>
      <c r="D11460" s="500" t="s">
        <v>761</v>
      </c>
      <c r="E11460" s="501">
        <v>-10005432.59</v>
      </c>
      <c r="F11460" s="95" t="s">
        <v>878</v>
      </c>
      <c r="G11460" s="443">
        <v>118665511</v>
      </c>
      <c r="H11460" s="530"/>
      <c r="I11460" s="422" t="s">
        <v>704</v>
      </c>
      <c r="J11460" s="530" t="s">
        <v>906</v>
      </c>
      <c r="L11460" s="539"/>
      <c r="M11460" s="539"/>
      <c r="N11460" s="598">
        <v>12310</v>
      </c>
      <c r="R11460" s="548">
        <v>812.78899999999999</v>
      </c>
      <c r="S11460" s="548">
        <v>813.13417952883799</v>
      </c>
      <c r="T11460" s="538">
        <v>15.5</v>
      </c>
      <c r="U11460" s="549">
        <v>39.32</v>
      </c>
      <c r="V11460" s="549">
        <v>7.5</v>
      </c>
      <c r="Z11460" s="548" t="s">
        <v>2953</v>
      </c>
    </row>
    <row r="11461" spans="1:26">
      <c r="A11461" s="499">
        <v>45888</v>
      </c>
      <c r="B11461" s="499">
        <v>45889</v>
      </c>
      <c r="C11461" s="500" t="s">
        <v>173</v>
      </c>
      <c r="D11461" s="500" t="s">
        <v>761</v>
      </c>
      <c r="E11461" s="501">
        <v>1641587806.4200001</v>
      </c>
      <c r="F11461" s="95" t="s">
        <v>878</v>
      </c>
      <c r="G11461" s="443">
        <v>118665502</v>
      </c>
      <c r="H11461" s="443">
        <v>118665502</v>
      </c>
      <c r="I11461" s="422" t="s">
        <v>704</v>
      </c>
      <c r="J11461" s="530" t="s">
        <v>912</v>
      </c>
      <c r="L11461" s="539"/>
      <c r="M11461" s="539"/>
      <c r="N11461" s="598">
        <v>2018840</v>
      </c>
      <c r="R11461" s="548">
        <v>812.78899999999999</v>
      </c>
      <c r="S11461" s="548">
        <v>813.13417924154498</v>
      </c>
      <c r="T11461" s="538">
        <v>15.5</v>
      </c>
      <c r="U11461" s="549">
        <v>2461.34</v>
      </c>
      <c r="V11461" s="549">
        <v>1230.67</v>
      </c>
      <c r="Z11461" s="548" t="s">
        <v>2953</v>
      </c>
    </row>
    <row r="11462" spans="1:26">
      <c r="A11462" s="499">
        <v>45888</v>
      </c>
      <c r="B11462" s="499">
        <v>45889</v>
      </c>
      <c r="C11462" s="500" t="s">
        <v>173</v>
      </c>
      <c r="D11462" s="500" t="s">
        <v>761</v>
      </c>
      <c r="E11462" s="501">
        <v>10009681.75</v>
      </c>
      <c r="F11462" s="95" t="s">
        <v>878</v>
      </c>
      <c r="G11462" s="443">
        <v>118665511</v>
      </c>
      <c r="H11462" s="443">
        <v>118665511</v>
      </c>
      <c r="I11462" s="422" t="s">
        <v>704</v>
      </c>
      <c r="J11462" s="530" t="s">
        <v>912</v>
      </c>
      <c r="L11462" s="539"/>
      <c r="M11462" s="539"/>
      <c r="N11462" s="598">
        <v>12310</v>
      </c>
      <c r="R11462" s="548">
        <v>812.78899999999999</v>
      </c>
      <c r="S11462" s="548">
        <v>813.13417952883799</v>
      </c>
      <c r="T11462" s="538">
        <v>15.5</v>
      </c>
      <c r="U11462" s="549">
        <v>39.32</v>
      </c>
      <c r="V11462" s="549">
        <v>7.5</v>
      </c>
      <c r="Z11462" s="548" t="s">
        <v>2953</v>
      </c>
    </row>
    <row r="11463" spans="1:26">
      <c r="A11463" s="499">
        <v>45888</v>
      </c>
      <c r="B11463" s="499">
        <v>45890</v>
      </c>
      <c r="C11463" s="500" t="s">
        <v>173</v>
      </c>
      <c r="D11463" s="500" t="s">
        <v>761</v>
      </c>
      <c r="E11463" s="501">
        <v>9999471</v>
      </c>
      <c r="F11463" s="502" t="s">
        <v>912</v>
      </c>
      <c r="G11463" s="443" t="s">
        <v>722</v>
      </c>
      <c r="H11463" s="530"/>
      <c r="I11463" s="422" t="s">
        <v>721</v>
      </c>
      <c r="K11463" s="548">
        <v>118678961</v>
      </c>
      <c r="L11463" s="539"/>
      <c r="M11463" s="548">
        <v>58.7727</v>
      </c>
      <c r="N11463" s="598">
        <v>16841</v>
      </c>
      <c r="O11463" s="539">
        <v>1000</v>
      </c>
      <c r="U11463" s="549">
        <v>499.97</v>
      </c>
      <c r="V11463" s="549">
        <v>999.95</v>
      </c>
      <c r="W11463" s="550">
        <f>VLOOKUP(G11463,Справочник!A:C,3,0)</f>
        <v>8.3500000000000005E-2</v>
      </c>
      <c r="X11463" s="539" t="str">
        <f>VLOOKUP(G11463,Справочник!A:G,7,0)</f>
        <v>Министерство финансов Республики Казахстан</v>
      </c>
      <c r="Y11463" s="551">
        <f>VLOOKUP(G11463,Справочник!A:B,2,0)</f>
        <v>50976</v>
      </c>
    </row>
    <row r="11464" spans="1:26">
      <c r="A11464" s="499">
        <v>45888</v>
      </c>
      <c r="B11464" s="499">
        <v>45890</v>
      </c>
      <c r="C11464" s="500" t="s">
        <v>173</v>
      </c>
      <c r="D11464" s="500" t="s">
        <v>761</v>
      </c>
      <c r="E11464" s="501">
        <v>-9465392.3599999994</v>
      </c>
      <c r="F11464" s="502" t="s">
        <v>906</v>
      </c>
      <c r="G11464" s="443" t="s">
        <v>722</v>
      </c>
      <c r="H11464" s="530"/>
      <c r="I11464" s="422" t="s">
        <v>721</v>
      </c>
      <c r="K11464" s="548">
        <v>118685725</v>
      </c>
      <c r="M11464" s="549">
        <v>55.601399999999998</v>
      </c>
      <c r="N11464" s="598">
        <v>16841</v>
      </c>
      <c r="O11464" s="539">
        <v>1000</v>
      </c>
      <c r="U11464" s="549">
        <v>0</v>
      </c>
      <c r="V11464" s="549">
        <v>946.54</v>
      </c>
      <c r="W11464" s="550">
        <f>VLOOKUP(G11464,Справочник!A:C,3,0)</f>
        <v>8.3500000000000005E-2</v>
      </c>
      <c r="X11464" s="539" t="str">
        <f>VLOOKUP(G11464,Справочник!A:G,7,0)</f>
        <v>Министерство финансов Республики Казахстан</v>
      </c>
      <c r="Y11464" s="551">
        <f>VLOOKUP(G11464,Справочник!A:B,2,0)</f>
        <v>50976</v>
      </c>
    </row>
    <row r="11465" spans="1:26">
      <c r="A11465" s="499">
        <v>45888</v>
      </c>
      <c r="B11465" s="499">
        <v>45888</v>
      </c>
      <c r="C11465" s="500" t="s">
        <v>173</v>
      </c>
      <c r="D11465" s="500" t="s">
        <v>759</v>
      </c>
      <c r="E11465" s="501">
        <v>-2273236687.4899998</v>
      </c>
      <c r="F11465" s="502" t="s">
        <v>878</v>
      </c>
      <c r="G11465" s="443">
        <v>118670012</v>
      </c>
      <c r="H11465" s="530"/>
      <c r="I11465" s="422" t="s">
        <v>718</v>
      </c>
      <c r="J11465" s="530" t="s">
        <v>906</v>
      </c>
      <c r="L11465" s="539"/>
      <c r="M11465" s="539"/>
      <c r="N11465" s="598">
        <v>3568610</v>
      </c>
      <c r="R11465" s="548">
        <v>637.0089999999999</v>
      </c>
      <c r="S11465" s="548">
        <v>637.27951067222205</v>
      </c>
      <c r="T11465" s="538">
        <v>15.5</v>
      </c>
      <c r="U11465" s="549">
        <v>3409.86</v>
      </c>
      <c r="V11465" s="549">
        <v>1704.93</v>
      </c>
      <c r="Z11465" s="548" t="s">
        <v>2953</v>
      </c>
    </row>
    <row r="11466" spans="1:26">
      <c r="A11466" s="499">
        <v>45888</v>
      </c>
      <c r="B11466" s="499">
        <v>45888</v>
      </c>
      <c r="C11466" s="500" t="s">
        <v>173</v>
      </c>
      <c r="D11466" s="500" t="s">
        <v>759</v>
      </c>
      <c r="E11466" s="501">
        <v>-14001457.82</v>
      </c>
      <c r="F11466" s="502" t="s">
        <v>878</v>
      </c>
      <c r="G11466" s="443">
        <v>118670036</v>
      </c>
      <c r="H11466" s="530"/>
      <c r="I11466" s="422" t="s">
        <v>718</v>
      </c>
      <c r="J11466" s="530" t="s">
        <v>906</v>
      </c>
      <c r="L11466" s="539"/>
      <c r="M11466" s="539"/>
      <c r="N11466" s="598">
        <v>21980</v>
      </c>
      <c r="R11466" s="548">
        <v>637.00900000000001</v>
      </c>
      <c r="S11466" s="548">
        <v>637.27951046405803</v>
      </c>
      <c r="T11466" s="538">
        <v>15.5</v>
      </c>
      <c r="U11466" s="549">
        <v>39.32</v>
      </c>
      <c r="V11466" s="549">
        <v>10.5</v>
      </c>
      <c r="Z11466" s="548" t="s">
        <v>2953</v>
      </c>
    </row>
    <row r="11467" spans="1:26">
      <c r="A11467" s="499">
        <v>45888</v>
      </c>
      <c r="B11467" s="499">
        <v>45889</v>
      </c>
      <c r="C11467" s="500" t="s">
        <v>173</v>
      </c>
      <c r="D11467" s="500" t="s">
        <v>759</v>
      </c>
      <c r="E11467" s="501">
        <v>2274202034.5799999</v>
      </c>
      <c r="F11467" s="502" t="s">
        <v>878</v>
      </c>
      <c r="G11467" s="443">
        <v>118670012</v>
      </c>
      <c r="H11467" s="443">
        <v>118670012</v>
      </c>
      <c r="I11467" s="422" t="s">
        <v>718</v>
      </c>
      <c r="J11467" s="530" t="s">
        <v>912</v>
      </c>
      <c r="L11467" s="539"/>
      <c r="M11467" s="539"/>
      <c r="N11467" s="598">
        <v>3568610</v>
      </c>
      <c r="R11467" s="548">
        <v>637.0089999999999</v>
      </c>
      <c r="S11467" s="548">
        <v>637.27951067222205</v>
      </c>
      <c r="T11467" s="538">
        <v>15.5</v>
      </c>
      <c r="U11467" s="549">
        <v>3409.86</v>
      </c>
      <c r="V11467" s="549">
        <v>1704.93</v>
      </c>
      <c r="Z11467" s="548" t="s">
        <v>2953</v>
      </c>
    </row>
    <row r="11468" spans="1:26">
      <c r="A11468" s="499">
        <v>45888</v>
      </c>
      <c r="B11468" s="499">
        <v>45889</v>
      </c>
      <c r="C11468" s="500" t="s">
        <v>173</v>
      </c>
      <c r="D11468" s="500" t="s">
        <v>759</v>
      </c>
      <c r="E11468" s="501">
        <v>14007403.640000001</v>
      </c>
      <c r="F11468" s="502" t="s">
        <v>878</v>
      </c>
      <c r="G11468" s="443">
        <v>118670036</v>
      </c>
      <c r="H11468" s="443">
        <v>118670036</v>
      </c>
      <c r="I11468" s="422" t="s">
        <v>718</v>
      </c>
      <c r="J11468" s="530" t="s">
        <v>912</v>
      </c>
      <c r="L11468" s="539"/>
      <c r="M11468" s="539"/>
      <c r="N11468" s="598">
        <v>21980</v>
      </c>
      <c r="R11468" s="548">
        <v>637.00900000000001</v>
      </c>
      <c r="S11468" s="548">
        <v>637.27951046405803</v>
      </c>
      <c r="T11468" s="538">
        <v>15.5</v>
      </c>
      <c r="U11468" s="549">
        <v>39.32</v>
      </c>
      <c r="V11468" s="549">
        <v>10.5</v>
      </c>
      <c r="Z11468" s="548" t="s">
        <v>2953</v>
      </c>
    </row>
    <row r="11469" spans="1:26">
      <c r="A11469" s="499">
        <v>45888</v>
      </c>
      <c r="B11469" s="499">
        <v>45888</v>
      </c>
      <c r="C11469" s="500" t="s">
        <v>173</v>
      </c>
      <c r="D11469" s="500" t="s">
        <v>760</v>
      </c>
      <c r="E11469" s="501">
        <v>-904835192.03999996</v>
      </c>
      <c r="F11469" s="502" t="s">
        <v>878</v>
      </c>
      <c r="G11469" s="443">
        <v>118667272</v>
      </c>
      <c r="H11469" s="530"/>
      <c r="I11469" s="422" t="s">
        <v>680</v>
      </c>
      <c r="J11469" s="530" t="s">
        <v>906</v>
      </c>
      <c r="L11469" s="539"/>
      <c r="M11469" s="539"/>
      <c r="N11469" s="598">
        <v>951912</v>
      </c>
      <c r="R11469" s="548">
        <v>950.54499999999996</v>
      </c>
      <c r="S11469" s="548">
        <v>950.94865869954401</v>
      </c>
      <c r="T11469" s="538">
        <v>15.5</v>
      </c>
      <c r="U11469" s="549">
        <v>1357.25</v>
      </c>
      <c r="V11469" s="549">
        <v>678.63</v>
      </c>
      <c r="Z11469" s="548" t="s">
        <v>2953</v>
      </c>
    </row>
    <row r="11470" spans="1:26">
      <c r="A11470" s="499">
        <v>45888</v>
      </c>
      <c r="B11470" s="499">
        <v>45888</v>
      </c>
      <c r="C11470" s="500" t="s">
        <v>173</v>
      </c>
      <c r="D11470" s="500" t="s">
        <v>760</v>
      </c>
      <c r="E11470" s="501">
        <v>-5004619.43</v>
      </c>
      <c r="F11470" s="502" t="s">
        <v>878</v>
      </c>
      <c r="G11470" s="443">
        <v>118667286</v>
      </c>
      <c r="H11470" s="530"/>
      <c r="I11470" s="422" t="s">
        <v>680</v>
      </c>
      <c r="J11470" s="530" t="s">
        <v>906</v>
      </c>
      <c r="L11470" s="539"/>
      <c r="M11470" s="539"/>
      <c r="N11470" s="598">
        <v>5265</v>
      </c>
      <c r="R11470" s="548">
        <v>950.54499999999996</v>
      </c>
      <c r="S11470" s="548">
        <v>950.94865906932603</v>
      </c>
      <c r="T11470" s="538">
        <v>15.5</v>
      </c>
      <c r="U11470" s="549">
        <v>39.32</v>
      </c>
      <c r="V11470" s="549">
        <v>3.75</v>
      </c>
      <c r="Z11470" s="548" t="s">
        <v>2953</v>
      </c>
    </row>
    <row r="11471" spans="1:26">
      <c r="A11471" s="499">
        <v>45888</v>
      </c>
      <c r="B11471" s="499">
        <v>45888</v>
      </c>
      <c r="C11471" s="500" t="s">
        <v>173</v>
      </c>
      <c r="D11471" s="500" t="s">
        <v>760</v>
      </c>
      <c r="E11471" s="501">
        <v>-1300135369</v>
      </c>
      <c r="F11471" s="502" t="s">
        <v>878</v>
      </c>
      <c r="G11471" s="443">
        <v>118667137</v>
      </c>
      <c r="H11471" s="530"/>
      <c r="I11471" s="422" t="s">
        <v>718</v>
      </c>
      <c r="J11471" s="530" t="s">
        <v>906</v>
      </c>
      <c r="L11471" s="539"/>
      <c r="M11471" s="539"/>
      <c r="N11471" s="598">
        <v>2041000</v>
      </c>
      <c r="R11471" s="548">
        <v>637.00900000000001</v>
      </c>
      <c r="S11471" s="548">
        <v>637.27951067124002</v>
      </c>
      <c r="T11471" s="538">
        <v>15.5</v>
      </c>
      <c r="U11471" s="549">
        <v>1950.2</v>
      </c>
      <c r="V11471" s="549">
        <v>975.1</v>
      </c>
      <c r="Z11471" s="548" t="s">
        <v>2953</v>
      </c>
    </row>
    <row r="11472" spans="1:26">
      <c r="A11472" s="499">
        <v>45888</v>
      </c>
      <c r="B11472" s="499">
        <v>45889</v>
      </c>
      <c r="C11472" s="500" t="s">
        <v>173</v>
      </c>
      <c r="D11472" s="500" t="s">
        <v>760</v>
      </c>
      <c r="E11472" s="501">
        <v>905219439.60000002</v>
      </c>
      <c r="F11472" s="502" t="s">
        <v>878</v>
      </c>
      <c r="G11472" s="443">
        <v>118667272</v>
      </c>
      <c r="H11472" s="443">
        <v>118667272</v>
      </c>
      <c r="I11472" s="422" t="s">
        <v>680</v>
      </c>
      <c r="J11472" s="530" t="s">
        <v>912</v>
      </c>
      <c r="L11472" s="539"/>
      <c r="M11472" s="539"/>
      <c r="N11472" s="598">
        <v>951912</v>
      </c>
      <c r="R11472" s="548">
        <v>950.54499999999996</v>
      </c>
      <c r="S11472" s="548">
        <v>950.94865869954401</v>
      </c>
      <c r="T11472" s="538">
        <v>15.5</v>
      </c>
      <c r="U11472" s="549">
        <v>1357.25</v>
      </c>
      <c r="V11472" s="549">
        <v>678.63</v>
      </c>
      <c r="Z11472" s="548" t="s">
        <v>2953</v>
      </c>
    </row>
    <row r="11473" spans="1:26">
      <c r="A11473" s="499">
        <v>45888</v>
      </c>
      <c r="B11473" s="499">
        <v>45889</v>
      </c>
      <c r="C11473" s="500" t="s">
        <v>173</v>
      </c>
      <c r="D11473" s="500" t="s">
        <v>760</v>
      </c>
      <c r="E11473" s="501">
        <v>5006744.6900000004</v>
      </c>
      <c r="F11473" s="502" t="s">
        <v>878</v>
      </c>
      <c r="G11473" s="443">
        <v>118667286</v>
      </c>
      <c r="H11473" s="443">
        <v>118667286</v>
      </c>
      <c r="I11473" s="422" t="s">
        <v>680</v>
      </c>
      <c r="J11473" s="530" t="s">
        <v>912</v>
      </c>
      <c r="L11473" s="539"/>
      <c r="M11473" s="539"/>
      <c r="N11473" s="598">
        <v>5265</v>
      </c>
      <c r="R11473" s="548">
        <v>950.54499999999996</v>
      </c>
      <c r="S11473" s="548">
        <v>950.94865906932603</v>
      </c>
      <c r="T11473" s="538">
        <v>15.5</v>
      </c>
      <c r="U11473" s="549">
        <v>39.32</v>
      </c>
      <c r="V11473" s="549">
        <v>3.75</v>
      </c>
      <c r="Z11473" s="548" t="s">
        <v>2953</v>
      </c>
    </row>
    <row r="11474" spans="1:26">
      <c r="A11474" s="499">
        <v>45888</v>
      </c>
      <c r="B11474" s="499">
        <v>45889</v>
      </c>
      <c r="C11474" s="500" t="s">
        <v>173</v>
      </c>
      <c r="D11474" s="500" t="s">
        <v>760</v>
      </c>
      <c r="E11474" s="501">
        <v>1300687481.28</v>
      </c>
      <c r="F11474" s="502" t="s">
        <v>878</v>
      </c>
      <c r="G11474" s="443">
        <v>118667137</v>
      </c>
      <c r="H11474" s="443">
        <v>118667137</v>
      </c>
      <c r="I11474" s="422" t="s">
        <v>718</v>
      </c>
      <c r="J11474" s="530" t="s">
        <v>912</v>
      </c>
      <c r="L11474" s="539"/>
      <c r="M11474" s="539"/>
      <c r="N11474" s="598">
        <v>2041000</v>
      </c>
      <c r="R11474" s="548">
        <v>637.00900000000001</v>
      </c>
      <c r="S11474" s="548">
        <v>637.27951067124002</v>
      </c>
      <c r="T11474" s="538">
        <v>15.5</v>
      </c>
      <c r="U11474" s="549">
        <v>1950.2</v>
      </c>
      <c r="V11474" s="549">
        <v>975.1</v>
      </c>
      <c r="Z11474" s="548" t="s">
        <v>2953</v>
      </c>
    </row>
    <row r="11475" spans="1:26">
      <c r="A11475" s="499">
        <v>45888</v>
      </c>
      <c r="B11475" s="499">
        <v>45888</v>
      </c>
      <c r="C11475" s="500" t="s">
        <v>173</v>
      </c>
      <c r="D11475" s="500" t="s">
        <v>764</v>
      </c>
      <c r="E11475" s="501">
        <v>-2580381775.5300002</v>
      </c>
      <c r="F11475" s="502" t="s">
        <v>878</v>
      </c>
      <c r="G11475" s="443">
        <v>118667495</v>
      </c>
      <c r="H11475" s="530"/>
      <c r="I11475" s="422" t="s">
        <v>680</v>
      </c>
      <c r="J11475" s="530" t="s">
        <v>906</v>
      </c>
      <c r="L11475" s="539"/>
      <c r="M11475" s="539"/>
      <c r="N11475" s="598">
        <v>2714634</v>
      </c>
      <c r="R11475" s="548">
        <v>950.54500000000007</v>
      </c>
      <c r="S11475" s="548">
        <v>950.94865869947796</v>
      </c>
      <c r="T11475" s="538">
        <v>15.5</v>
      </c>
      <c r="U11475" s="549">
        <v>3870.57</v>
      </c>
      <c r="V11475" s="549">
        <v>1935.29</v>
      </c>
      <c r="Z11475" s="548" t="s">
        <v>2953</v>
      </c>
    </row>
    <row r="11476" spans="1:26">
      <c r="A11476" s="499">
        <v>45888</v>
      </c>
      <c r="B11476" s="499">
        <v>45888</v>
      </c>
      <c r="C11476" s="500" t="s">
        <v>173</v>
      </c>
      <c r="D11476" s="500" t="s">
        <v>764</v>
      </c>
      <c r="E11476" s="501">
        <v>-2228056568.0100002</v>
      </c>
      <c r="F11476" s="502" t="s">
        <v>878</v>
      </c>
      <c r="G11476" s="443">
        <v>118667498</v>
      </c>
      <c r="H11476" s="530"/>
      <c r="I11476" s="422" t="s">
        <v>680</v>
      </c>
      <c r="J11476" s="530" t="s">
        <v>906</v>
      </c>
      <c r="L11476" s="539"/>
      <c r="M11476" s="539"/>
      <c r="N11476" s="598">
        <v>2343978</v>
      </c>
      <c r="R11476" s="548">
        <v>950.54500000000007</v>
      </c>
      <c r="S11476" s="548">
        <v>950.94865869901503</v>
      </c>
      <c r="T11476" s="538">
        <v>15.5</v>
      </c>
      <c r="U11476" s="549">
        <v>3342.08</v>
      </c>
      <c r="V11476" s="549">
        <v>1671.04</v>
      </c>
      <c r="Z11476" s="548" t="s">
        <v>2953</v>
      </c>
    </row>
    <row r="11477" spans="1:26">
      <c r="A11477" s="499">
        <v>45888</v>
      </c>
      <c r="B11477" s="499">
        <v>45888</v>
      </c>
      <c r="C11477" s="500" t="s">
        <v>173</v>
      </c>
      <c r="D11477" s="500" t="s">
        <v>764</v>
      </c>
      <c r="E11477" s="501">
        <v>-26015314.100000001</v>
      </c>
      <c r="F11477" s="502" t="s">
        <v>878</v>
      </c>
      <c r="G11477" s="443">
        <v>118667546</v>
      </c>
      <c r="H11477" s="530"/>
      <c r="I11477" s="422" t="s">
        <v>675</v>
      </c>
      <c r="J11477" s="530" t="s">
        <v>906</v>
      </c>
      <c r="L11477" s="539"/>
      <c r="M11477" s="539"/>
      <c r="N11477" s="598">
        <v>28002</v>
      </c>
      <c r="R11477" s="548">
        <v>929.05199985715308</v>
      </c>
      <c r="S11477" s="548">
        <v>929.44653381901298</v>
      </c>
      <c r="T11477" s="538">
        <v>15.5</v>
      </c>
      <c r="U11477" s="549">
        <v>39.32</v>
      </c>
      <c r="V11477" s="549">
        <v>19.510000000000002</v>
      </c>
      <c r="Z11477" s="548" t="s">
        <v>2953</v>
      </c>
    </row>
    <row r="11478" spans="1:26">
      <c r="A11478" s="499">
        <v>45888</v>
      </c>
      <c r="B11478" s="499">
        <v>45889</v>
      </c>
      <c r="C11478" s="500" t="s">
        <v>173</v>
      </c>
      <c r="D11478" s="500" t="s">
        <v>764</v>
      </c>
      <c r="E11478" s="501">
        <v>2581477561.1599998</v>
      </c>
      <c r="F11478" s="502" t="s">
        <v>878</v>
      </c>
      <c r="G11478" s="443">
        <v>118667495</v>
      </c>
      <c r="H11478" s="443">
        <v>118667495</v>
      </c>
      <c r="I11478" s="422" t="s">
        <v>680</v>
      </c>
      <c r="J11478" s="530" t="s">
        <v>912</v>
      </c>
      <c r="L11478" s="539"/>
      <c r="M11478" s="539"/>
      <c r="N11478" s="598">
        <v>2714634</v>
      </c>
      <c r="R11478" s="548">
        <v>950.54500000000007</v>
      </c>
      <c r="S11478" s="548">
        <v>950.94865869947796</v>
      </c>
      <c r="T11478" s="538">
        <v>15.5</v>
      </c>
      <c r="U11478" s="549">
        <v>3870.57</v>
      </c>
      <c r="V11478" s="549">
        <v>1935.29</v>
      </c>
      <c r="Z11478" s="548" t="s">
        <v>2953</v>
      </c>
    </row>
    <row r="11479" spans="1:26">
      <c r="A11479" s="499">
        <v>45888</v>
      </c>
      <c r="B11479" s="499">
        <v>45889</v>
      </c>
      <c r="C11479" s="500" t="s">
        <v>173</v>
      </c>
      <c r="D11479" s="500" t="s">
        <v>764</v>
      </c>
      <c r="E11479" s="501">
        <v>2229002735.1199999</v>
      </c>
      <c r="F11479" s="502" t="s">
        <v>878</v>
      </c>
      <c r="G11479" s="443">
        <v>118667498</v>
      </c>
      <c r="H11479" s="443">
        <v>118667498</v>
      </c>
      <c r="I11479" s="422" t="s">
        <v>680</v>
      </c>
      <c r="J11479" s="530" t="s">
        <v>912</v>
      </c>
      <c r="L11479" s="539"/>
      <c r="M11479" s="539"/>
      <c r="N11479" s="598">
        <v>2343978</v>
      </c>
      <c r="R11479" s="548">
        <v>950.54500000000007</v>
      </c>
      <c r="S11479" s="548">
        <v>950.94865869901503</v>
      </c>
      <c r="T11479" s="538">
        <v>15.5</v>
      </c>
      <c r="U11479" s="549">
        <v>3342.08</v>
      </c>
      <c r="V11479" s="549">
        <v>1671.04</v>
      </c>
      <c r="Z11479" s="548" t="s">
        <v>2953</v>
      </c>
    </row>
    <row r="11480" spans="1:26">
      <c r="A11480" s="499">
        <v>45888</v>
      </c>
      <c r="B11480" s="499">
        <v>45889</v>
      </c>
      <c r="C11480" s="500" t="s">
        <v>173</v>
      </c>
      <c r="D11480" s="500" t="s">
        <v>764</v>
      </c>
      <c r="E11480" s="501">
        <v>26026361.84</v>
      </c>
      <c r="F11480" s="502" t="s">
        <v>878</v>
      </c>
      <c r="G11480" s="443">
        <v>118667546</v>
      </c>
      <c r="H11480" s="443">
        <v>118667546</v>
      </c>
      <c r="I11480" s="422" t="s">
        <v>675</v>
      </c>
      <c r="J11480" s="530" t="s">
        <v>912</v>
      </c>
      <c r="L11480" s="539"/>
      <c r="M11480" s="539"/>
      <c r="N11480" s="598">
        <v>28002</v>
      </c>
      <c r="R11480" s="548">
        <v>929.05199985715308</v>
      </c>
      <c r="S11480" s="548">
        <v>929.44653381901298</v>
      </c>
      <c r="T11480" s="538">
        <v>15.5</v>
      </c>
      <c r="U11480" s="549">
        <v>39.32</v>
      </c>
      <c r="V11480" s="549">
        <v>19.510000000000002</v>
      </c>
      <c r="Z11480" s="548" t="s">
        <v>2953</v>
      </c>
    </row>
    <row r="11481" spans="1:26">
      <c r="A11481" s="499">
        <v>45888</v>
      </c>
      <c r="B11481" s="499">
        <v>45888</v>
      </c>
      <c r="C11481" s="500" t="s">
        <v>173</v>
      </c>
      <c r="D11481" s="500" t="s">
        <v>763</v>
      </c>
      <c r="E11481" s="501">
        <v>-2908554948.1799998</v>
      </c>
      <c r="F11481" s="502" t="s">
        <v>878</v>
      </c>
      <c r="G11481" s="443">
        <v>118666574</v>
      </c>
      <c r="H11481" s="443"/>
      <c r="I11481" s="422" t="s">
        <v>685</v>
      </c>
      <c r="J11481" s="530" t="s">
        <v>906</v>
      </c>
      <c r="L11481" s="539"/>
      <c r="M11481" s="539"/>
      <c r="N11481" s="598">
        <v>3114468</v>
      </c>
      <c r="R11481" s="548">
        <v>933.88499999999999</v>
      </c>
      <c r="S11481" s="548">
        <v>934.28158897763603</v>
      </c>
      <c r="T11481" s="538">
        <v>15.5</v>
      </c>
      <c r="U11481" s="549">
        <v>4362.83</v>
      </c>
      <c r="V11481" s="549">
        <v>2181.42</v>
      </c>
      <c r="Z11481" s="548" t="s">
        <v>2953</v>
      </c>
    </row>
    <row r="11482" spans="1:26">
      <c r="A11482" s="499">
        <v>45888</v>
      </c>
      <c r="B11482" s="499">
        <v>45888</v>
      </c>
      <c r="C11482" s="500" t="s">
        <v>173</v>
      </c>
      <c r="D11482" s="500" t="s">
        <v>763</v>
      </c>
      <c r="E11482" s="501">
        <v>-18003435.030000001</v>
      </c>
      <c r="F11482" s="502" t="s">
        <v>878</v>
      </c>
      <c r="G11482" s="443">
        <v>118666613</v>
      </c>
      <c r="H11482" s="443"/>
      <c r="I11482" s="422" t="s">
        <v>685</v>
      </c>
      <c r="J11482" s="530" t="s">
        <v>906</v>
      </c>
      <c r="L11482" s="539"/>
      <c r="M11482" s="539"/>
      <c r="N11482" s="598">
        <v>19278</v>
      </c>
      <c r="R11482" s="548">
        <v>933.88499999999999</v>
      </c>
      <c r="S11482" s="548">
        <v>934.28158885776497</v>
      </c>
      <c r="T11482" s="538">
        <v>15.5</v>
      </c>
      <c r="U11482" s="549">
        <v>39.32</v>
      </c>
      <c r="V11482" s="549">
        <v>39.32</v>
      </c>
      <c r="Z11482" s="548" t="s">
        <v>2953</v>
      </c>
    </row>
    <row r="11483" spans="1:26">
      <c r="A11483" s="499">
        <v>45888</v>
      </c>
      <c r="B11483" s="499">
        <v>45889</v>
      </c>
      <c r="C11483" s="500" t="s">
        <v>173</v>
      </c>
      <c r="D11483" s="500" t="s">
        <v>763</v>
      </c>
      <c r="E11483" s="501">
        <v>2909790111.8600001</v>
      </c>
      <c r="F11483" s="502" t="s">
        <v>878</v>
      </c>
      <c r="G11483" s="443">
        <v>118666574</v>
      </c>
      <c r="H11483" s="443">
        <v>118666574</v>
      </c>
      <c r="I11483" s="422" t="s">
        <v>685</v>
      </c>
      <c r="J11483" s="530" t="s">
        <v>912</v>
      </c>
      <c r="L11483" s="539"/>
      <c r="M11483" s="539"/>
      <c r="N11483" s="598">
        <v>3114468</v>
      </c>
      <c r="R11483" s="548">
        <v>933.88499999999999</v>
      </c>
      <c r="S11483" s="548">
        <v>934.28158897763603</v>
      </c>
      <c r="T11483" s="538">
        <v>15.5</v>
      </c>
      <c r="U11483" s="549">
        <v>4362.83</v>
      </c>
      <c r="V11483" s="549">
        <v>2181.42</v>
      </c>
      <c r="Z11483" s="548" t="s">
        <v>2953</v>
      </c>
    </row>
    <row r="11484" spans="1:26">
      <c r="A11484" s="499">
        <v>45888</v>
      </c>
      <c r="B11484" s="499">
        <v>45889</v>
      </c>
      <c r="C11484" s="500" t="s">
        <v>173</v>
      </c>
      <c r="D11484" s="500" t="s">
        <v>763</v>
      </c>
      <c r="E11484" s="501">
        <v>18011080.469999999</v>
      </c>
      <c r="F11484" s="502" t="s">
        <v>878</v>
      </c>
      <c r="G11484" s="443">
        <v>118666613</v>
      </c>
      <c r="H11484" s="443">
        <v>118666613</v>
      </c>
      <c r="I11484" s="422" t="s">
        <v>685</v>
      </c>
      <c r="J11484" s="530" t="s">
        <v>912</v>
      </c>
      <c r="L11484" s="539"/>
      <c r="M11484" s="539"/>
      <c r="N11484" s="598">
        <v>19278</v>
      </c>
      <c r="R11484" s="548">
        <v>933.88499999999999</v>
      </c>
      <c r="S11484" s="548">
        <v>934.28158885776497</v>
      </c>
      <c r="T11484" s="538">
        <v>15.5</v>
      </c>
      <c r="U11484" s="549">
        <v>39.32</v>
      </c>
      <c r="V11484" s="549">
        <v>39.32</v>
      </c>
      <c r="Z11484" s="548" t="s">
        <v>2953</v>
      </c>
    </row>
    <row r="11485" spans="1:26">
      <c r="A11485" s="499">
        <v>45888</v>
      </c>
      <c r="B11485" s="499">
        <v>45890</v>
      </c>
      <c r="C11485" s="500" t="s">
        <v>173</v>
      </c>
      <c r="D11485" s="500" t="s">
        <v>763</v>
      </c>
      <c r="E11485" s="501">
        <v>-999986098.47000003</v>
      </c>
      <c r="F11485" s="502" t="s">
        <v>906</v>
      </c>
      <c r="G11485" s="443" t="s">
        <v>50</v>
      </c>
      <c r="H11485" s="443"/>
      <c r="I11485" s="422" t="s">
        <v>699</v>
      </c>
      <c r="K11485" s="548">
        <v>118677983</v>
      </c>
      <c r="M11485" s="549">
        <v>90.319800000000001</v>
      </c>
      <c r="N11485" s="598">
        <v>1106600</v>
      </c>
      <c r="O11485" s="539">
        <v>1000</v>
      </c>
      <c r="U11485" s="549">
        <v>0</v>
      </c>
      <c r="V11485" s="549">
        <v>99998.61</v>
      </c>
      <c r="W11485" s="550">
        <f>VLOOKUP(G11485,Справочник!A:C,3,0)</f>
        <v>5.5E-2</v>
      </c>
      <c r="X11485" s="539" t="str">
        <f>VLOOKUP(G11485,Справочник!A:G,7,0)</f>
        <v>Министерство финансов Республики Казахстан</v>
      </c>
      <c r="Y11485" s="551" t="str">
        <f>VLOOKUP(G11485,Справочник!A:B,2,0)</f>
        <v>18.08.2026</v>
      </c>
      <c r="Z11485" s="548"/>
    </row>
    <row r="11486" spans="1:26">
      <c r="A11486" s="499">
        <v>45889</v>
      </c>
      <c r="B11486" s="499">
        <v>45889</v>
      </c>
      <c r="C11486" s="500" t="s">
        <v>173</v>
      </c>
      <c r="D11486" s="500" t="s">
        <v>762</v>
      </c>
      <c r="E11486" s="501">
        <v>-1000399008</v>
      </c>
      <c r="F11486" s="502" t="s">
        <v>878</v>
      </c>
      <c r="G11486" s="443">
        <v>118692581</v>
      </c>
      <c r="H11486" s="530"/>
      <c r="I11486" s="422" t="s">
        <v>1091</v>
      </c>
      <c r="J11486" s="530" t="s">
        <v>906</v>
      </c>
      <c r="L11486" s="539"/>
      <c r="M11486" s="539"/>
      <c r="N11486" s="598">
        <v>1022000</v>
      </c>
      <c r="R11486" s="548">
        <v>978.86400000000003</v>
      </c>
      <c r="S11486" s="548">
        <v>979.27968465753395</v>
      </c>
      <c r="T11486" s="538">
        <v>15.5</v>
      </c>
      <c r="U11486" s="549">
        <v>1500.6</v>
      </c>
      <c r="V11486" s="549">
        <v>750.3</v>
      </c>
      <c r="Z11486" s="548" t="s">
        <v>2953</v>
      </c>
    </row>
    <row r="11487" spans="1:26">
      <c r="A11487" s="499">
        <v>45889</v>
      </c>
      <c r="B11487" s="499">
        <v>45889</v>
      </c>
      <c r="C11487" s="500" t="s">
        <v>173</v>
      </c>
      <c r="D11487" s="500" t="s">
        <v>762</v>
      </c>
      <c r="E11487" s="501">
        <v>-2008141049.95</v>
      </c>
      <c r="F11487" s="502" t="s">
        <v>878</v>
      </c>
      <c r="G11487" s="443">
        <v>118692584</v>
      </c>
      <c r="H11487" s="530"/>
      <c r="I11487" s="422" t="s">
        <v>718</v>
      </c>
      <c r="J11487" s="530" t="s">
        <v>906</v>
      </c>
      <c r="L11487" s="539"/>
      <c r="M11487" s="539"/>
      <c r="N11487" s="598">
        <v>3156576</v>
      </c>
      <c r="R11487" s="548">
        <v>636.17700000000002</v>
      </c>
      <c r="S11487" s="548">
        <v>636.44715735657905</v>
      </c>
      <c r="T11487" s="538">
        <v>15.5</v>
      </c>
      <c r="U11487" s="549">
        <v>3012.21</v>
      </c>
      <c r="V11487" s="549">
        <v>1506.11</v>
      </c>
      <c r="Z11487" s="548" t="s">
        <v>2953</v>
      </c>
    </row>
    <row r="11488" spans="1:26">
      <c r="A11488" s="499">
        <v>45889</v>
      </c>
      <c r="B11488" s="499">
        <v>45889</v>
      </c>
      <c r="C11488" s="500" t="s">
        <v>173</v>
      </c>
      <c r="D11488" s="500" t="s">
        <v>762</v>
      </c>
      <c r="E11488" s="501">
        <v>-18001264.390000001</v>
      </c>
      <c r="F11488" s="502" t="s">
        <v>878</v>
      </c>
      <c r="G11488" s="443">
        <v>118692626</v>
      </c>
      <c r="H11488" s="530"/>
      <c r="I11488" s="422" t="s">
        <v>718</v>
      </c>
      <c r="J11488" s="530" t="s">
        <v>906</v>
      </c>
      <c r="L11488" s="539"/>
      <c r="M11488" s="539"/>
      <c r="N11488" s="598">
        <v>28296</v>
      </c>
      <c r="R11488" s="548">
        <v>636.17700000000002</v>
      </c>
      <c r="S11488" s="548">
        <v>636.44715719536305</v>
      </c>
      <c r="T11488" s="538">
        <v>15.5</v>
      </c>
      <c r="U11488" s="549">
        <v>39.32</v>
      </c>
      <c r="V11488" s="549">
        <v>13.5</v>
      </c>
      <c r="Z11488" s="548" t="s">
        <v>2953</v>
      </c>
    </row>
    <row r="11489" spans="1:26">
      <c r="A11489" s="499">
        <v>45889</v>
      </c>
      <c r="B11489" s="499">
        <v>45890</v>
      </c>
      <c r="C11489" s="500" t="s">
        <v>173</v>
      </c>
      <c r="D11489" s="500" t="s">
        <v>762</v>
      </c>
      <c r="E11489" s="501">
        <v>1000823837.72</v>
      </c>
      <c r="F11489" s="502" t="s">
        <v>878</v>
      </c>
      <c r="G11489" s="443">
        <v>118692581</v>
      </c>
      <c r="H11489" s="443">
        <v>118692581</v>
      </c>
      <c r="I11489" s="422" t="s">
        <v>1091</v>
      </c>
      <c r="J11489" s="530" t="s">
        <v>912</v>
      </c>
      <c r="L11489" s="539"/>
      <c r="M11489" s="539"/>
      <c r="N11489" s="598">
        <v>1022000</v>
      </c>
      <c r="R11489" s="548">
        <v>978.86400000000003</v>
      </c>
      <c r="S11489" s="548">
        <v>979.27968465753395</v>
      </c>
      <c r="T11489" s="538">
        <v>15.5</v>
      </c>
      <c r="U11489" s="549">
        <v>1500.6</v>
      </c>
      <c r="V11489" s="549">
        <v>750.3</v>
      </c>
      <c r="Z11489" s="548" t="s">
        <v>2953</v>
      </c>
    </row>
    <row r="11490" spans="1:26">
      <c r="A11490" s="499">
        <v>45889</v>
      </c>
      <c r="B11490" s="499">
        <v>45890</v>
      </c>
      <c r="C11490" s="500" t="s">
        <v>173</v>
      </c>
      <c r="D11490" s="500" t="s">
        <v>762</v>
      </c>
      <c r="E11490" s="501">
        <v>2008993822.1800001</v>
      </c>
      <c r="F11490" s="502" t="s">
        <v>878</v>
      </c>
      <c r="G11490" s="443">
        <v>118692584</v>
      </c>
      <c r="H11490" s="443">
        <v>118692584</v>
      </c>
      <c r="I11490" s="422" t="s">
        <v>718</v>
      </c>
      <c r="J11490" s="530" t="s">
        <v>912</v>
      </c>
      <c r="L11490" s="539"/>
      <c r="M11490" s="539"/>
      <c r="N11490" s="598">
        <v>3156576</v>
      </c>
      <c r="R11490" s="548">
        <v>636.17700000000002</v>
      </c>
      <c r="S11490" s="548">
        <v>636.44715735657905</v>
      </c>
      <c r="T11490" s="538">
        <v>15.5</v>
      </c>
      <c r="U11490" s="549">
        <v>3012.21</v>
      </c>
      <c r="V11490" s="549">
        <v>1506.11</v>
      </c>
      <c r="Z11490" s="548" t="s">
        <v>2953</v>
      </c>
    </row>
    <row r="11491" spans="1:26">
      <c r="A11491" s="499">
        <v>45889</v>
      </c>
      <c r="B11491" s="499">
        <v>45890</v>
      </c>
      <c r="C11491" s="500" t="s">
        <v>173</v>
      </c>
      <c r="D11491" s="500" t="s">
        <v>762</v>
      </c>
      <c r="E11491" s="501">
        <v>18008908.760000002</v>
      </c>
      <c r="F11491" s="502" t="s">
        <v>878</v>
      </c>
      <c r="G11491" s="443">
        <v>118692626</v>
      </c>
      <c r="H11491" s="443">
        <v>118692626</v>
      </c>
      <c r="I11491" s="422" t="s">
        <v>718</v>
      </c>
      <c r="J11491" s="530" t="s">
        <v>912</v>
      </c>
      <c r="L11491" s="539"/>
      <c r="M11491" s="539"/>
      <c r="N11491" s="598">
        <v>28296</v>
      </c>
      <c r="R11491" s="548">
        <v>636.17700000000002</v>
      </c>
      <c r="S11491" s="548">
        <v>636.44715719536305</v>
      </c>
      <c r="T11491" s="538">
        <v>15.5</v>
      </c>
      <c r="U11491" s="549">
        <v>39.32</v>
      </c>
      <c r="V11491" s="549">
        <v>13.5</v>
      </c>
      <c r="Z11491" s="548" t="s">
        <v>2953</v>
      </c>
    </row>
    <row r="11492" spans="1:26">
      <c r="A11492" s="499">
        <v>45889</v>
      </c>
      <c r="B11492" s="499">
        <v>45889</v>
      </c>
      <c r="C11492" s="500" t="s">
        <v>173</v>
      </c>
      <c r="D11492" s="500" t="s">
        <v>761</v>
      </c>
      <c r="E11492" s="501">
        <v>-198180393.44</v>
      </c>
      <c r="F11492" s="502" t="s">
        <v>878</v>
      </c>
      <c r="G11492" s="443">
        <v>118690985</v>
      </c>
      <c r="H11492" s="443"/>
      <c r="I11492" s="422" t="s">
        <v>675</v>
      </c>
      <c r="J11492" s="530" t="s">
        <v>906</v>
      </c>
      <c r="L11492" s="539"/>
      <c r="M11492" s="539"/>
      <c r="N11492" s="598">
        <v>212652</v>
      </c>
      <c r="R11492" s="548">
        <v>931.94699998118995</v>
      </c>
      <c r="S11492" s="548">
        <v>932.34277617892099</v>
      </c>
      <c r="T11492" s="538">
        <v>15.5</v>
      </c>
      <c r="U11492" s="549">
        <v>297.27</v>
      </c>
      <c r="V11492" s="549">
        <v>148.63999999999999</v>
      </c>
      <c r="Z11492" s="548" t="s">
        <v>2953</v>
      </c>
    </row>
    <row r="11493" spans="1:26">
      <c r="A11493" s="499">
        <v>45889</v>
      </c>
      <c r="B11493" s="499">
        <v>45889</v>
      </c>
      <c r="C11493" s="500" t="s">
        <v>173</v>
      </c>
      <c r="D11493" s="500" t="s">
        <v>761</v>
      </c>
      <c r="E11493" s="501">
        <v>-1443509847.98</v>
      </c>
      <c r="F11493" s="502" t="s">
        <v>878</v>
      </c>
      <c r="G11493" s="443">
        <v>118690988</v>
      </c>
      <c r="H11493" s="443"/>
      <c r="I11493" s="422" t="s">
        <v>637</v>
      </c>
      <c r="J11493" s="530" t="s">
        <v>906</v>
      </c>
      <c r="L11493" s="539"/>
      <c r="M11493" s="539"/>
      <c r="N11493" s="598">
        <v>2440113</v>
      </c>
      <c r="R11493" s="548">
        <v>591.57500000204914</v>
      </c>
      <c r="S11493" s="548">
        <v>591.82622812959903</v>
      </c>
      <c r="T11493" s="538">
        <v>15.5</v>
      </c>
      <c r="U11493" s="549">
        <v>2165.2600000000002</v>
      </c>
      <c r="V11493" s="549">
        <v>1082.6300000000001</v>
      </c>
      <c r="Z11493" s="548" t="s">
        <v>2953</v>
      </c>
    </row>
    <row r="11494" spans="1:26">
      <c r="A11494" s="499">
        <v>45889</v>
      </c>
      <c r="B11494" s="499">
        <v>45889</v>
      </c>
      <c r="C11494" s="500" t="s">
        <v>173</v>
      </c>
      <c r="D11494" s="500" t="s">
        <v>761</v>
      </c>
      <c r="E11494" s="501">
        <v>-10003533.25</v>
      </c>
      <c r="F11494" s="502" t="s">
        <v>878</v>
      </c>
      <c r="G11494" s="443">
        <v>118691016</v>
      </c>
      <c r="H11494" s="443"/>
      <c r="I11494" s="422" t="s">
        <v>637</v>
      </c>
      <c r="J11494" s="530" t="s">
        <v>906</v>
      </c>
      <c r="K11494" s="538"/>
      <c r="L11494" s="539"/>
      <c r="M11494" s="539"/>
      <c r="N11494" s="598">
        <v>16910</v>
      </c>
      <c r="R11494" s="548">
        <v>591.57500000000005</v>
      </c>
      <c r="S11494" s="548">
        <v>591.82622826729698</v>
      </c>
      <c r="T11494" s="538">
        <v>15.5</v>
      </c>
      <c r="U11494" s="549">
        <v>39.32</v>
      </c>
      <c r="V11494" s="549">
        <v>7.5</v>
      </c>
      <c r="Z11494" s="548" t="s">
        <v>2953</v>
      </c>
    </row>
    <row r="11495" spans="1:26">
      <c r="A11495" s="499">
        <v>45889</v>
      </c>
      <c r="B11495" s="499">
        <v>45890</v>
      </c>
      <c r="C11495" s="500" t="s">
        <v>173</v>
      </c>
      <c r="D11495" s="500" t="s">
        <v>761</v>
      </c>
      <c r="E11495" s="501">
        <v>198264556.03999999</v>
      </c>
      <c r="F11495" s="502" t="s">
        <v>878</v>
      </c>
      <c r="G11495" s="443">
        <v>118690985</v>
      </c>
      <c r="H11495" s="443">
        <v>118690985</v>
      </c>
      <c r="I11495" s="422" t="s">
        <v>675</v>
      </c>
      <c r="J11495" s="530" t="s">
        <v>912</v>
      </c>
      <c r="L11495" s="539"/>
      <c r="M11495" s="539"/>
      <c r="N11495" s="598">
        <v>212652</v>
      </c>
      <c r="R11495" s="548">
        <v>931.94699998118995</v>
      </c>
      <c r="S11495" s="548">
        <v>932.34277617892099</v>
      </c>
      <c r="T11495" s="538">
        <v>15.5</v>
      </c>
      <c r="U11495" s="549">
        <v>297.27</v>
      </c>
      <c r="V11495" s="549">
        <v>148.63999999999999</v>
      </c>
      <c r="Z11495" s="548" t="s">
        <v>2953</v>
      </c>
    </row>
    <row r="11496" spans="1:26">
      <c r="A11496" s="499">
        <v>45889</v>
      </c>
      <c r="B11496" s="499">
        <v>45890</v>
      </c>
      <c r="C11496" s="500" t="s">
        <v>173</v>
      </c>
      <c r="D11496" s="500" t="s">
        <v>761</v>
      </c>
      <c r="E11496" s="501">
        <v>1444122873</v>
      </c>
      <c r="F11496" s="502" t="s">
        <v>878</v>
      </c>
      <c r="G11496" s="443">
        <v>118690988</v>
      </c>
      <c r="H11496" s="443">
        <v>118690988</v>
      </c>
      <c r="I11496" s="422" t="s">
        <v>637</v>
      </c>
      <c r="J11496" s="530" t="s">
        <v>912</v>
      </c>
      <c r="L11496" s="539"/>
      <c r="M11496" s="539"/>
      <c r="N11496" s="598">
        <v>2440113</v>
      </c>
      <c r="R11496" s="548">
        <v>591.57500000204914</v>
      </c>
      <c r="S11496" s="548">
        <v>591.82622812959903</v>
      </c>
      <c r="T11496" s="538">
        <v>15.5</v>
      </c>
      <c r="U11496" s="549">
        <v>2165.2600000000002</v>
      </c>
      <c r="V11496" s="549">
        <v>1082.6300000000001</v>
      </c>
      <c r="Z11496" s="548" t="s">
        <v>2953</v>
      </c>
    </row>
    <row r="11497" spans="1:26">
      <c r="A11497" s="499">
        <v>45889</v>
      </c>
      <c r="B11497" s="499">
        <v>45890</v>
      </c>
      <c r="C11497" s="500" t="s">
        <v>173</v>
      </c>
      <c r="D11497" s="500" t="s">
        <v>761</v>
      </c>
      <c r="E11497" s="501">
        <v>10007781.52</v>
      </c>
      <c r="F11497" s="502" t="s">
        <v>878</v>
      </c>
      <c r="G11497" s="443">
        <v>118691016</v>
      </c>
      <c r="H11497" s="443">
        <v>118691016</v>
      </c>
      <c r="I11497" s="422" t="s">
        <v>637</v>
      </c>
      <c r="J11497" s="530" t="s">
        <v>912</v>
      </c>
      <c r="L11497" s="539"/>
      <c r="M11497" s="539"/>
      <c r="N11497" s="598">
        <v>16910</v>
      </c>
      <c r="R11497" s="548">
        <v>591.57500000000005</v>
      </c>
      <c r="S11497" s="548">
        <v>591.82622826729698</v>
      </c>
      <c r="T11497" s="538">
        <v>15.5</v>
      </c>
      <c r="U11497" s="549">
        <v>39.32</v>
      </c>
      <c r="V11497" s="549">
        <v>7.5</v>
      </c>
      <c r="W11497" s="548"/>
      <c r="Z11497" s="548" t="s">
        <v>2953</v>
      </c>
    </row>
    <row r="11498" spans="1:26">
      <c r="A11498" s="499">
        <v>45889</v>
      </c>
      <c r="B11498" s="499">
        <v>45889</v>
      </c>
      <c r="C11498" s="500" t="s">
        <v>173</v>
      </c>
      <c r="D11498" s="500" t="s">
        <v>759</v>
      </c>
      <c r="E11498" s="501">
        <v>-2274159734.8600001</v>
      </c>
      <c r="F11498" s="502" t="s">
        <v>878</v>
      </c>
      <c r="G11498" s="443">
        <v>118693986</v>
      </c>
      <c r="H11498" s="530"/>
      <c r="I11498" s="422" t="s">
        <v>718</v>
      </c>
      <c r="J11498" s="530" t="s">
        <v>906</v>
      </c>
      <c r="L11498" s="539"/>
      <c r="M11498" s="539"/>
      <c r="N11498" s="598">
        <v>3574728</v>
      </c>
      <c r="R11498" s="548">
        <v>636.17700000111904</v>
      </c>
      <c r="S11498" s="548">
        <v>636.44715735854595</v>
      </c>
      <c r="T11498" s="538">
        <v>15.5</v>
      </c>
      <c r="U11498" s="549">
        <v>3411.24</v>
      </c>
      <c r="V11498" s="549">
        <v>1705.62</v>
      </c>
      <c r="W11498" s="548"/>
      <c r="Z11498" s="548" t="s">
        <v>2953</v>
      </c>
    </row>
    <row r="11499" spans="1:26">
      <c r="A11499" s="499">
        <v>45889</v>
      </c>
      <c r="B11499" s="499">
        <v>45889</v>
      </c>
      <c r="C11499" s="500" t="s">
        <v>173</v>
      </c>
      <c r="D11499" s="500" t="s">
        <v>759</v>
      </c>
      <c r="E11499" s="501">
        <v>-15001053.66</v>
      </c>
      <c r="F11499" s="502" t="s">
        <v>878</v>
      </c>
      <c r="G11499" s="443">
        <v>118694027</v>
      </c>
      <c r="H11499" s="530"/>
      <c r="I11499" s="422" t="s">
        <v>718</v>
      </c>
      <c r="J11499" s="530" t="s">
        <v>906</v>
      </c>
      <c r="L11499" s="539"/>
      <c r="M11499" s="539"/>
      <c r="N11499" s="598">
        <v>23580</v>
      </c>
      <c r="R11499" s="548">
        <v>636.17700000000002</v>
      </c>
      <c r="S11499" s="548">
        <v>636.44715733672604</v>
      </c>
      <c r="T11499" s="538">
        <v>15.5</v>
      </c>
      <c r="U11499" s="549">
        <v>39.32</v>
      </c>
      <c r="V11499" s="549">
        <v>11.25</v>
      </c>
      <c r="W11499" s="548"/>
      <c r="Z11499" s="548" t="s">
        <v>2953</v>
      </c>
    </row>
    <row r="11500" spans="1:26">
      <c r="A11500" s="499">
        <v>45889</v>
      </c>
      <c r="B11500" s="499">
        <v>45890</v>
      </c>
      <c r="C11500" s="500" t="s">
        <v>173</v>
      </c>
      <c r="D11500" s="500" t="s">
        <v>759</v>
      </c>
      <c r="E11500" s="501">
        <v>2275125473.9299998</v>
      </c>
      <c r="F11500" s="502" t="s">
        <v>878</v>
      </c>
      <c r="G11500" s="443">
        <v>118693986</v>
      </c>
      <c r="H11500" s="443">
        <v>118693986</v>
      </c>
      <c r="I11500" s="422" t="s">
        <v>718</v>
      </c>
      <c r="J11500" s="530" t="s">
        <v>912</v>
      </c>
      <c r="L11500" s="539"/>
      <c r="M11500" s="539"/>
      <c r="N11500" s="598">
        <v>3574728</v>
      </c>
      <c r="R11500" s="548">
        <v>636.17700000111904</v>
      </c>
      <c r="S11500" s="548">
        <v>636.44715735854595</v>
      </c>
      <c r="T11500" s="538">
        <v>15.5</v>
      </c>
      <c r="U11500" s="549">
        <v>3411.24</v>
      </c>
      <c r="V11500" s="549">
        <v>1705.62</v>
      </c>
      <c r="W11500" s="548"/>
      <c r="Z11500" s="548" t="s">
        <v>2953</v>
      </c>
    </row>
    <row r="11501" spans="1:26">
      <c r="A11501" s="499">
        <v>45889</v>
      </c>
      <c r="B11501" s="499">
        <v>45890</v>
      </c>
      <c r="C11501" s="500" t="s">
        <v>173</v>
      </c>
      <c r="D11501" s="500" t="s">
        <v>759</v>
      </c>
      <c r="E11501" s="501">
        <v>15007423.970000001</v>
      </c>
      <c r="F11501" s="502" t="s">
        <v>878</v>
      </c>
      <c r="G11501" s="443">
        <v>118694027</v>
      </c>
      <c r="H11501" s="443">
        <v>118694027</v>
      </c>
      <c r="I11501" s="422" t="s">
        <v>718</v>
      </c>
      <c r="J11501" s="530" t="s">
        <v>912</v>
      </c>
      <c r="L11501" s="539"/>
      <c r="M11501" s="539"/>
      <c r="N11501" s="598">
        <v>23580</v>
      </c>
      <c r="R11501" s="548">
        <v>636.17700000000002</v>
      </c>
      <c r="S11501" s="548">
        <v>636.44715733672604</v>
      </c>
      <c r="T11501" s="538">
        <v>15.5</v>
      </c>
      <c r="U11501" s="549">
        <v>39.32</v>
      </c>
      <c r="V11501" s="549">
        <v>11.25</v>
      </c>
      <c r="W11501" s="548"/>
      <c r="Z11501" s="548" t="s">
        <v>2953</v>
      </c>
    </row>
    <row r="11502" spans="1:26">
      <c r="A11502" s="499">
        <v>45889</v>
      </c>
      <c r="B11502" s="499">
        <v>45889</v>
      </c>
      <c r="C11502" s="500" t="s">
        <v>173</v>
      </c>
      <c r="D11502" s="500" t="s">
        <v>760</v>
      </c>
      <c r="E11502" s="501">
        <v>-4001413.3</v>
      </c>
      <c r="F11502" s="502" t="s">
        <v>878</v>
      </c>
      <c r="G11502" s="443">
        <v>118690999</v>
      </c>
      <c r="H11502" s="530"/>
      <c r="I11502" s="422" t="s">
        <v>637</v>
      </c>
      <c r="J11502" s="530" t="s">
        <v>906</v>
      </c>
      <c r="L11502" s="539"/>
      <c r="M11502" s="539"/>
      <c r="N11502" s="598">
        <v>6764</v>
      </c>
      <c r="R11502" s="548">
        <v>591.57500000000005</v>
      </c>
      <c r="S11502" s="548">
        <v>591.82622856297996</v>
      </c>
      <c r="T11502" s="538">
        <v>15.5</v>
      </c>
      <c r="U11502" s="549">
        <v>39.32</v>
      </c>
      <c r="V11502" s="549">
        <v>3</v>
      </c>
      <c r="W11502" s="548"/>
      <c r="Z11502" s="548" t="s">
        <v>2953</v>
      </c>
    </row>
    <row r="11503" spans="1:26">
      <c r="A11503" s="499">
        <v>45889</v>
      </c>
      <c r="B11503" s="499">
        <v>45889</v>
      </c>
      <c r="C11503" s="500" t="s">
        <v>173</v>
      </c>
      <c r="D11503" s="500" t="s">
        <v>760</v>
      </c>
      <c r="E11503" s="501">
        <v>-1301184401.4000001</v>
      </c>
      <c r="F11503" s="502" t="s">
        <v>878</v>
      </c>
      <c r="G11503" s="443">
        <v>118690956</v>
      </c>
      <c r="H11503" s="530"/>
      <c r="I11503" s="422" t="s">
        <v>675</v>
      </c>
      <c r="J11503" s="530" t="s">
        <v>906</v>
      </c>
      <c r="L11503" s="539"/>
      <c r="M11503" s="539"/>
      <c r="N11503" s="598">
        <v>1396200</v>
      </c>
      <c r="R11503" s="548">
        <v>931.947</v>
      </c>
      <c r="S11503" s="548">
        <v>932.34277618535998</v>
      </c>
      <c r="T11503" s="538">
        <v>15.5</v>
      </c>
      <c r="U11503" s="549">
        <v>1951.78</v>
      </c>
      <c r="V11503" s="549">
        <v>975.89</v>
      </c>
      <c r="W11503" s="548"/>
      <c r="Z11503" s="548" t="s">
        <v>2953</v>
      </c>
    </row>
    <row r="11504" spans="1:26">
      <c r="A11504" s="499">
        <v>45889</v>
      </c>
      <c r="B11504" s="499">
        <v>45889</v>
      </c>
      <c r="C11504" s="500" t="s">
        <v>173</v>
      </c>
      <c r="D11504" s="500" t="s">
        <v>760</v>
      </c>
      <c r="E11504" s="501">
        <v>-904823614.50999999</v>
      </c>
      <c r="F11504" s="502" t="s">
        <v>878</v>
      </c>
      <c r="G11504" s="443">
        <v>118690980</v>
      </c>
      <c r="H11504" s="530"/>
      <c r="I11504" s="422" t="s">
        <v>675</v>
      </c>
      <c r="J11504" s="530" t="s">
        <v>906</v>
      </c>
      <c r="L11504" s="539"/>
      <c r="M11504" s="539"/>
      <c r="N11504" s="598">
        <v>970896</v>
      </c>
      <c r="R11504" s="548">
        <v>931.947</v>
      </c>
      <c r="S11504" s="548">
        <v>932.34277618818101</v>
      </c>
      <c r="T11504" s="538">
        <v>15.5</v>
      </c>
      <c r="U11504" s="549">
        <v>1357.24</v>
      </c>
      <c r="V11504" s="549">
        <v>678.62</v>
      </c>
      <c r="W11504" s="548"/>
      <c r="Z11504" s="548" t="s">
        <v>2953</v>
      </c>
    </row>
    <row r="11505" spans="1:26">
      <c r="A11505" s="499">
        <v>45889</v>
      </c>
      <c r="B11505" s="499">
        <v>45890</v>
      </c>
      <c r="C11505" s="500" t="s">
        <v>173</v>
      </c>
      <c r="D11505" s="500" t="s">
        <v>760</v>
      </c>
      <c r="E11505" s="501">
        <v>4003112.61</v>
      </c>
      <c r="F11505" s="502" t="s">
        <v>878</v>
      </c>
      <c r="G11505" s="443">
        <v>118690999</v>
      </c>
      <c r="H11505" s="443">
        <v>118690999</v>
      </c>
      <c r="I11505" s="422" t="s">
        <v>637</v>
      </c>
      <c r="J11505" s="530" t="s">
        <v>912</v>
      </c>
      <c r="L11505" s="539"/>
      <c r="M11505" s="539"/>
      <c r="N11505" s="598">
        <v>6764</v>
      </c>
      <c r="R11505" s="548">
        <v>591.57500000000005</v>
      </c>
      <c r="S11505" s="548">
        <v>591.82622856297996</v>
      </c>
      <c r="T11505" s="538">
        <v>15.5</v>
      </c>
      <c r="U11505" s="549">
        <v>39.32</v>
      </c>
      <c r="V11505" s="549">
        <v>3</v>
      </c>
      <c r="W11505" s="548"/>
      <c r="Z11505" s="548" t="s">
        <v>2953</v>
      </c>
    </row>
    <row r="11506" spans="1:26">
      <c r="A11506" s="499">
        <v>45889</v>
      </c>
      <c r="B11506" s="499">
        <v>45890</v>
      </c>
      <c r="C11506" s="500" t="s">
        <v>173</v>
      </c>
      <c r="D11506" s="500" t="s">
        <v>760</v>
      </c>
      <c r="E11506" s="501">
        <v>1301736984.1099999</v>
      </c>
      <c r="F11506" s="502" t="s">
        <v>878</v>
      </c>
      <c r="G11506" s="443">
        <v>118690956</v>
      </c>
      <c r="H11506" s="443">
        <v>118690956</v>
      </c>
      <c r="I11506" s="422" t="s">
        <v>675</v>
      </c>
      <c r="J11506" s="530" t="s">
        <v>912</v>
      </c>
      <c r="L11506" s="539"/>
      <c r="M11506" s="539"/>
      <c r="N11506" s="598">
        <v>1396200</v>
      </c>
      <c r="R11506" s="548">
        <v>931.947</v>
      </c>
      <c r="S11506" s="548">
        <v>932.34277618535998</v>
      </c>
      <c r="T11506" s="538">
        <v>15.5</v>
      </c>
      <c r="U11506" s="549">
        <v>1951.78</v>
      </c>
      <c r="V11506" s="549">
        <v>975.89</v>
      </c>
      <c r="W11506" s="548"/>
      <c r="Z11506" s="548" t="s">
        <v>2953</v>
      </c>
    </row>
    <row r="11507" spans="1:26">
      <c r="A11507" s="499">
        <v>45889</v>
      </c>
      <c r="B11507" s="499">
        <v>45890</v>
      </c>
      <c r="C11507" s="500" t="s">
        <v>173</v>
      </c>
      <c r="D11507" s="500" t="s">
        <v>760</v>
      </c>
      <c r="E11507" s="501">
        <v>905207872.02999997</v>
      </c>
      <c r="F11507" s="502" t="s">
        <v>878</v>
      </c>
      <c r="G11507" s="443">
        <v>118690980</v>
      </c>
      <c r="H11507" s="443">
        <v>118690980</v>
      </c>
      <c r="I11507" s="422" t="s">
        <v>675</v>
      </c>
      <c r="J11507" s="530" t="s">
        <v>912</v>
      </c>
      <c r="L11507" s="539"/>
      <c r="M11507" s="539"/>
      <c r="N11507" s="598">
        <v>970896</v>
      </c>
      <c r="R11507" s="548">
        <v>931.947</v>
      </c>
      <c r="S11507" s="548">
        <v>932.34277618818101</v>
      </c>
      <c r="T11507" s="538">
        <v>15.5</v>
      </c>
      <c r="U11507" s="549">
        <v>1357.24</v>
      </c>
      <c r="V11507" s="549">
        <v>678.62</v>
      </c>
      <c r="W11507" s="548"/>
      <c r="Z11507" s="548" t="s">
        <v>2953</v>
      </c>
    </row>
    <row r="11508" spans="1:26">
      <c r="A11508" s="499">
        <v>45889</v>
      </c>
      <c r="B11508" s="499">
        <v>45889</v>
      </c>
      <c r="C11508" s="500" t="s">
        <v>173</v>
      </c>
      <c r="D11508" s="500" t="s">
        <v>764</v>
      </c>
      <c r="E11508" s="501">
        <v>-4808899829.8599997</v>
      </c>
      <c r="F11508" s="502" t="s">
        <v>878</v>
      </c>
      <c r="G11508" s="443">
        <v>118691782</v>
      </c>
      <c r="H11508" s="530"/>
      <c r="I11508" s="422" t="s">
        <v>833</v>
      </c>
      <c r="J11508" s="530" t="s">
        <v>906</v>
      </c>
      <c r="L11508" s="539"/>
      <c r="M11508" s="539"/>
      <c r="N11508" s="598">
        <v>7641540</v>
      </c>
      <c r="R11508" s="548">
        <v>629.31029999973828</v>
      </c>
      <c r="S11508" s="548">
        <v>629.57754998076302</v>
      </c>
      <c r="T11508" s="538">
        <v>15.5</v>
      </c>
      <c r="U11508" s="549">
        <v>7213.35</v>
      </c>
      <c r="V11508" s="549">
        <v>3606.67</v>
      </c>
      <c r="W11508" s="548"/>
      <c r="Z11508" s="548" t="s">
        <v>2953</v>
      </c>
    </row>
    <row r="11509" spans="1:26">
      <c r="A11509" s="499">
        <v>45889</v>
      </c>
      <c r="B11509" s="499">
        <v>45889</v>
      </c>
      <c r="C11509" s="500" t="s">
        <v>173</v>
      </c>
      <c r="D11509" s="500" t="s">
        <v>764</v>
      </c>
      <c r="E11509" s="501">
        <v>-28016894.559999999</v>
      </c>
      <c r="F11509" s="502" t="s">
        <v>878</v>
      </c>
      <c r="G11509" s="443">
        <v>118691857</v>
      </c>
      <c r="H11509" s="530"/>
      <c r="I11509" s="422" t="s">
        <v>833</v>
      </c>
      <c r="J11509" s="530" t="s">
        <v>906</v>
      </c>
      <c r="L11509" s="539"/>
      <c r="M11509" s="539"/>
      <c r="N11509" s="598">
        <v>44520</v>
      </c>
      <c r="R11509" s="548">
        <v>629.31030008984726</v>
      </c>
      <c r="S11509" s="548">
        <v>629.57755008984702</v>
      </c>
      <c r="T11509" s="538">
        <v>15.5</v>
      </c>
      <c r="U11509" s="549">
        <v>42.03</v>
      </c>
      <c r="V11509" s="549">
        <v>21.01</v>
      </c>
      <c r="W11509" s="548"/>
      <c r="Z11509" s="548" t="s">
        <v>2953</v>
      </c>
    </row>
    <row r="11510" spans="1:26" ht="15">
      <c r="A11510" s="499">
        <v>45889</v>
      </c>
      <c r="B11510" s="499">
        <v>45890</v>
      </c>
      <c r="C11510" s="500" t="s">
        <v>173</v>
      </c>
      <c r="D11510" s="500" t="s">
        <v>764</v>
      </c>
      <c r="E11510" s="501">
        <v>4810942031.2799997</v>
      </c>
      <c r="F11510" s="502" t="s">
        <v>878</v>
      </c>
      <c r="G11510" s="443">
        <v>118691782</v>
      </c>
      <c r="H11510" s="606">
        <v>118691782</v>
      </c>
      <c r="I11510" s="422" t="s">
        <v>833</v>
      </c>
      <c r="J11510" s="530" t="s">
        <v>912</v>
      </c>
      <c r="L11510" s="539"/>
      <c r="M11510" s="539"/>
      <c r="N11510" s="598">
        <v>7641540</v>
      </c>
      <c r="R11510" s="548">
        <v>629.31029999973828</v>
      </c>
      <c r="S11510" s="548">
        <v>629.57754998076302</v>
      </c>
      <c r="T11510" s="538">
        <v>15.5</v>
      </c>
      <c r="U11510" s="549">
        <v>7213.35</v>
      </c>
      <c r="V11510" s="549">
        <v>3606.67</v>
      </c>
      <c r="W11510" s="548"/>
      <c r="Z11510" s="548" t="s">
        <v>2953</v>
      </c>
    </row>
    <row r="11511" spans="1:26" ht="15">
      <c r="A11511" s="499">
        <v>45889</v>
      </c>
      <c r="B11511" s="499">
        <v>45890</v>
      </c>
      <c r="C11511" s="500" t="s">
        <v>173</v>
      </c>
      <c r="D11511" s="500" t="s">
        <v>764</v>
      </c>
      <c r="E11511" s="501">
        <v>28028792.530000001</v>
      </c>
      <c r="F11511" s="502" t="s">
        <v>878</v>
      </c>
      <c r="G11511" s="443">
        <v>118691857</v>
      </c>
      <c r="H11511" s="606">
        <v>118691857</v>
      </c>
      <c r="I11511" s="422" t="s">
        <v>833</v>
      </c>
      <c r="J11511" s="530" t="s">
        <v>912</v>
      </c>
      <c r="L11511" s="539"/>
      <c r="M11511" s="539"/>
      <c r="N11511" s="598">
        <v>44520</v>
      </c>
      <c r="R11511" s="548">
        <v>629.31030008984726</v>
      </c>
      <c r="S11511" s="548">
        <v>629.57755008984702</v>
      </c>
      <c r="T11511" s="538">
        <v>15.5</v>
      </c>
      <c r="U11511" s="549">
        <v>42.03</v>
      </c>
      <c r="V11511" s="549">
        <v>21.01</v>
      </c>
      <c r="W11511" s="548"/>
      <c r="Z11511" s="548" t="s">
        <v>2953</v>
      </c>
    </row>
    <row r="11512" spans="1:26">
      <c r="A11512" s="499">
        <v>45889</v>
      </c>
      <c r="B11512" s="499">
        <v>45889</v>
      </c>
      <c r="C11512" s="500" t="s">
        <v>173</v>
      </c>
      <c r="D11512" s="500" t="s">
        <v>763</v>
      </c>
      <c r="E11512" s="501">
        <v>-294018517.12</v>
      </c>
      <c r="F11512" s="502" t="s">
        <v>878</v>
      </c>
      <c r="G11512" s="443">
        <v>118690502</v>
      </c>
      <c r="H11512" s="443"/>
      <c r="I11512" s="422" t="s">
        <v>631</v>
      </c>
      <c r="J11512" s="530" t="s">
        <v>906</v>
      </c>
      <c r="L11512" s="539"/>
      <c r="M11512" s="539"/>
      <c r="N11512" s="598">
        <v>586236</v>
      </c>
      <c r="R11512" s="548">
        <v>501.53609999999998</v>
      </c>
      <c r="S11512" s="548">
        <v>501.74909481846902</v>
      </c>
      <c r="T11512" s="538">
        <v>15.5</v>
      </c>
      <c r="U11512" s="549">
        <v>441.03</v>
      </c>
      <c r="V11512" s="549">
        <v>220.51</v>
      </c>
      <c r="W11512" s="548"/>
      <c r="Z11512" s="548" t="s">
        <v>2953</v>
      </c>
    </row>
    <row r="11513" spans="1:26">
      <c r="A11513" s="499">
        <v>45889</v>
      </c>
      <c r="B11513" s="499">
        <v>45889</v>
      </c>
      <c r="C11513" s="500" t="s">
        <v>173</v>
      </c>
      <c r="D11513" s="500" t="s">
        <v>763</v>
      </c>
      <c r="E11513" s="501">
        <v>-33013172.969999999</v>
      </c>
      <c r="F11513" s="502" t="s">
        <v>878</v>
      </c>
      <c r="G11513" s="443">
        <v>118690505</v>
      </c>
      <c r="H11513" s="443"/>
      <c r="I11513" s="422" t="s">
        <v>1013</v>
      </c>
      <c r="J11513" s="530" t="s">
        <v>906</v>
      </c>
      <c r="L11513" s="539"/>
      <c r="M11513" s="539"/>
      <c r="N11513" s="598">
        <v>61644</v>
      </c>
      <c r="R11513" s="548">
        <v>535.54560000000004</v>
      </c>
      <c r="S11513" s="548">
        <v>535.77303825189802</v>
      </c>
      <c r="T11513" s="538">
        <v>15.5</v>
      </c>
      <c r="U11513" s="549">
        <v>49.52</v>
      </c>
      <c r="V11513" s="549">
        <v>39.32</v>
      </c>
      <c r="W11513" s="548"/>
      <c r="Z11513" s="548" t="s">
        <v>2953</v>
      </c>
    </row>
    <row r="11514" spans="1:26">
      <c r="A11514" s="499">
        <v>45889</v>
      </c>
      <c r="B11514" s="499">
        <v>45889</v>
      </c>
      <c r="C11514" s="500" t="s">
        <v>173</v>
      </c>
      <c r="D11514" s="500" t="s">
        <v>763</v>
      </c>
      <c r="E11514" s="501">
        <v>-2584352403.4000001</v>
      </c>
      <c r="F11514" s="502" t="s">
        <v>878</v>
      </c>
      <c r="G11514" s="443">
        <v>118690508</v>
      </c>
      <c r="H11514" s="443"/>
      <c r="I11514" s="422" t="s">
        <v>675</v>
      </c>
      <c r="J11514" s="530" t="s">
        <v>906</v>
      </c>
      <c r="L11514" s="539"/>
      <c r="M11514" s="539"/>
      <c r="N11514" s="598">
        <v>2773068</v>
      </c>
      <c r="R11514" s="548">
        <v>931.947</v>
      </c>
      <c r="S11514" s="548">
        <v>932.34277618868305</v>
      </c>
      <c r="T11514" s="538">
        <v>15.5</v>
      </c>
      <c r="U11514" s="549">
        <v>3876.53</v>
      </c>
      <c r="V11514" s="549">
        <v>1938.26</v>
      </c>
      <c r="W11514" s="548"/>
      <c r="Z11514" s="548" t="s">
        <v>2953</v>
      </c>
    </row>
    <row r="11515" spans="1:26">
      <c r="A11515" s="499">
        <v>45889</v>
      </c>
      <c r="B11515" s="499">
        <v>45889</v>
      </c>
      <c r="C11515" s="500" t="s">
        <v>173</v>
      </c>
      <c r="D11515" s="500" t="s">
        <v>763</v>
      </c>
      <c r="E11515" s="501">
        <v>-16014577.25</v>
      </c>
      <c r="F11515" s="502" t="s">
        <v>878</v>
      </c>
      <c r="G11515" s="443">
        <v>118690532</v>
      </c>
      <c r="H11515" s="443"/>
      <c r="I11515" s="422" t="s">
        <v>675</v>
      </c>
      <c r="J11515" s="530" t="s">
        <v>906</v>
      </c>
      <c r="L11515" s="539"/>
      <c r="M11515" s="539"/>
      <c r="N11515" s="598">
        <v>17184</v>
      </c>
      <c r="R11515" s="548">
        <v>931.947</v>
      </c>
      <c r="S11515" s="548">
        <v>932.34277641992605</v>
      </c>
      <c r="T11515" s="538">
        <v>15.5</v>
      </c>
      <c r="U11515" s="549">
        <v>39.32</v>
      </c>
      <c r="V11515" s="549">
        <v>39.32</v>
      </c>
      <c r="W11515" s="548"/>
      <c r="Z11515" s="548" t="s">
        <v>2953</v>
      </c>
    </row>
    <row r="11516" spans="1:26">
      <c r="A11516" s="499">
        <v>45889</v>
      </c>
      <c r="B11516" s="499">
        <v>45890</v>
      </c>
      <c r="C11516" s="500" t="s">
        <v>173</v>
      </c>
      <c r="D11516" s="500" t="s">
        <v>763</v>
      </c>
      <c r="E11516" s="501">
        <v>294143382.35000002</v>
      </c>
      <c r="F11516" s="502" t="s">
        <v>878</v>
      </c>
      <c r="G11516" s="443">
        <v>118690502</v>
      </c>
      <c r="H11516" s="443">
        <v>118690502</v>
      </c>
      <c r="I11516" s="422" t="s">
        <v>631</v>
      </c>
      <c r="J11516" s="530" t="s">
        <v>912</v>
      </c>
      <c r="L11516" s="539"/>
      <c r="M11516" s="539"/>
      <c r="N11516" s="598">
        <v>586236</v>
      </c>
      <c r="R11516" s="548">
        <v>501.53609999999998</v>
      </c>
      <c r="S11516" s="548">
        <v>501.74909481846902</v>
      </c>
      <c r="T11516" s="538">
        <v>15.5</v>
      </c>
      <c r="U11516" s="549">
        <v>441.03</v>
      </c>
      <c r="V11516" s="549">
        <v>220.51</v>
      </c>
      <c r="W11516" s="548"/>
      <c r="Z11516" s="548" t="s">
        <v>2953</v>
      </c>
    </row>
    <row r="11517" spans="1:26">
      <c r="A11517" s="499">
        <v>45889</v>
      </c>
      <c r="B11517" s="499">
        <v>45890</v>
      </c>
      <c r="C11517" s="500" t="s">
        <v>173</v>
      </c>
      <c r="D11517" s="500" t="s">
        <v>763</v>
      </c>
      <c r="E11517" s="501">
        <v>33027193.170000002</v>
      </c>
      <c r="F11517" s="502" t="s">
        <v>878</v>
      </c>
      <c r="G11517" s="443">
        <v>118690505</v>
      </c>
      <c r="H11517" s="443">
        <v>118690505</v>
      </c>
      <c r="I11517" s="422" t="s">
        <v>1013</v>
      </c>
      <c r="J11517" s="530" t="s">
        <v>912</v>
      </c>
      <c r="L11517" s="539"/>
      <c r="M11517" s="539"/>
      <c r="N11517" s="598">
        <v>61644</v>
      </c>
      <c r="R11517" s="548">
        <v>535.54560000000004</v>
      </c>
      <c r="S11517" s="548">
        <v>535.77303825189802</v>
      </c>
      <c r="T11517" s="538">
        <v>15.5</v>
      </c>
      <c r="U11517" s="549">
        <v>49.52</v>
      </c>
      <c r="V11517" s="549">
        <v>39.32</v>
      </c>
      <c r="W11517" s="548"/>
      <c r="Z11517" s="548" t="s">
        <v>2953</v>
      </c>
    </row>
    <row r="11518" spans="1:26">
      <c r="A11518" s="499">
        <v>45889</v>
      </c>
      <c r="B11518" s="499">
        <v>45890</v>
      </c>
      <c r="C11518" s="500" t="s">
        <v>173</v>
      </c>
      <c r="D11518" s="500" t="s">
        <v>763</v>
      </c>
      <c r="E11518" s="501">
        <v>2585449917.6799998</v>
      </c>
      <c r="F11518" s="502" t="s">
        <v>878</v>
      </c>
      <c r="G11518" s="443">
        <v>118690508</v>
      </c>
      <c r="H11518" s="443">
        <v>118690508</v>
      </c>
      <c r="I11518" s="422" t="s">
        <v>675</v>
      </c>
      <c r="J11518" s="530" t="s">
        <v>912</v>
      </c>
      <c r="L11518" s="539"/>
      <c r="M11518" s="539"/>
      <c r="N11518" s="598">
        <v>2773068</v>
      </c>
      <c r="R11518" s="548">
        <v>931.947</v>
      </c>
      <c r="S11518" s="548">
        <v>932.34277618868305</v>
      </c>
      <c r="T11518" s="538">
        <v>15.5</v>
      </c>
      <c r="U11518" s="549">
        <v>3876.53</v>
      </c>
      <c r="V11518" s="549">
        <v>1938.26</v>
      </c>
      <c r="W11518" s="548"/>
      <c r="Z11518" s="548" t="s">
        <v>2953</v>
      </c>
    </row>
    <row r="11519" spans="1:26">
      <c r="A11519" s="499">
        <v>45889</v>
      </c>
      <c r="B11519" s="499">
        <v>45890</v>
      </c>
      <c r="C11519" s="500" t="s">
        <v>173</v>
      </c>
      <c r="D11519" s="500" t="s">
        <v>763</v>
      </c>
      <c r="E11519" s="501">
        <v>16021378.27</v>
      </c>
      <c r="F11519" s="502" t="s">
        <v>878</v>
      </c>
      <c r="G11519" s="443">
        <v>118690532</v>
      </c>
      <c r="H11519" s="443">
        <v>118690532</v>
      </c>
      <c r="I11519" s="422" t="s">
        <v>675</v>
      </c>
      <c r="J11519" s="530" t="s">
        <v>912</v>
      </c>
      <c r="L11519" s="539"/>
      <c r="M11519" s="539"/>
      <c r="N11519" s="598">
        <v>2904650</v>
      </c>
      <c r="R11519" s="548">
        <v>931.947</v>
      </c>
      <c r="S11519" s="548">
        <v>932.34277641992605</v>
      </c>
      <c r="T11519" s="538">
        <v>15.5</v>
      </c>
      <c r="U11519" s="549">
        <v>39.32</v>
      </c>
      <c r="V11519" s="549">
        <v>39.32</v>
      </c>
      <c r="W11519" s="548"/>
      <c r="Z11519" s="548" t="s">
        <v>2953</v>
      </c>
    </row>
    <row r="11520" spans="1:26">
      <c r="A11520" s="499">
        <v>45890</v>
      </c>
      <c r="B11520" s="499">
        <v>45890</v>
      </c>
      <c r="C11520" s="500" t="s">
        <v>173</v>
      </c>
      <c r="D11520" s="500" t="s">
        <v>762</v>
      </c>
      <c r="E11520" s="501">
        <v>-3011143182.9499998</v>
      </c>
      <c r="F11520" s="502" t="s">
        <v>878</v>
      </c>
      <c r="G11520" s="443">
        <v>118718694</v>
      </c>
      <c r="H11520" s="443"/>
      <c r="I11520" s="422" t="s">
        <v>656</v>
      </c>
      <c r="J11520" s="530" t="s">
        <v>906</v>
      </c>
      <c r="L11520" s="539"/>
      <c r="M11520" s="539"/>
      <c r="N11520" s="598">
        <v>18335</v>
      </c>
      <c r="R11520" s="548">
        <v>1036.663</v>
      </c>
      <c r="S11520" s="548">
        <v>1039.73562084933</v>
      </c>
      <c r="T11520" s="549">
        <v>15.4549</v>
      </c>
      <c r="U11520" s="549">
        <v>31617</v>
      </c>
      <c r="V11520" s="549">
        <v>15808.5</v>
      </c>
      <c r="W11520" s="548"/>
      <c r="Z11520" s="566" t="s">
        <v>2961</v>
      </c>
    </row>
    <row r="11521" spans="1:26">
      <c r="A11521" s="499">
        <v>45890</v>
      </c>
      <c r="B11521" s="499">
        <v>45890</v>
      </c>
      <c r="C11521" s="500" t="s">
        <v>173</v>
      </c>
      <c r="D11521" s="500" t="s">
        <v>762</v>
      </c>
      <c r="E11521" s="501">
        <v>-19007216.109999999</v>
      </c>
      <c r="F11521" s="502" t="s">
        <v>878</v>
      </c>
      <c r="G11521" s="443">
        <v>118718766</v>
      </c>
      <c r="H11521" s="443"/>
      <c r="I11521" s="422" t="s">
        <v>656</v>
      </c>
      <c r="J11521" s="530" t="s">
        <v>906</v>
      </c>
      <c r="L11521" s="539"/>
      <c r="M11521" s="539"/>
      <c r="N11521" s="598">
        <v>2904650</v>
      </c>
      <c r="R11521" s="548">
        <v>1036.663</v>
      </c>
      <c r="S11521" s="548">
        <v>1039.73562094355</v>
      </c>
      <c r="T11521" s="549">
        <v>15.4549</v>
      </c>
      <c r="U11521" s="549">
        <v>199.58</v>
      </c>
      <c r="V11521" s="549">
        <v>99.79</v>
      </c>
      <c r="Z11521" s="566" t="s">
        <v>2961</v>
      </c>
    </row>
    <row r="11522" spans="1:26">
      <c r="A11522" s="499">
        <v>45890</v>
      </c>
      <c r="B11522" s="499">
        <v>45897</v>
      </c>
      <c r="C11522" s="500" t="s">
        <v>173</v>
      </c>
      <c r="D11522" s="500" t="s">
        <v>762</v>
      </c>
      <c r="E11522" s="501">
        <v>3020068071.0999999</v>
      </c>
      <c r="F11522" s="502" t="s">
        <v>878</v>
      </c>
      <c r="G11522" s="443">
        <v>118718694</v>
      </c>
      <c r="H11522" s="443">
        <v>118718694</v>
      </c>
      <c r="I11522" s="422" t="s">
        <v>656</v>
      </c>
      <c r="J11522" s="530" t="s">
        <v>912</v>
      </c>
      <c r="L11522" s="539"/>
      <c r="M11522" s="539"/>
      <c r="N11522" s="598">
        <v>18335</v>
      </c>
      <c r="R11522" s="548">
        <v>1036.663</v>
      </c>
      <c r="S11522" s="548">
        <v>1039.73562084933</v>
      </c>
      <c r="T11522" s="549">
        <v>15.4549</v>
      </c>
      <c r="U11522" s="549">
        <v>31617</v>
      </c>
      <c r="V11522" s="549">
        <v>15808.5</v>
      </c>
      <c r="Z11522" s="566" t="s">
        <v>2961</v>
      </c>
    </row>
    <row r="11523" spans="1:26">
      <c r="A11523" s="499">
        <v>45890</v>
      </c>
      <c r="B11523" s="499">
        <v>45897</v>
      </c>
      <c r="C11523" s="500" t="s">
        <v>173</v>
      </c>
      <c r="D11523" s="500" t="s">
        <v>762</v>
      </c>
      <c r="E11523" s="501">
        <v>19063552.609999999</v>
      </c>
      <c r="F11523" s="502" t="s">
        <v>878</v>
      </c>
      <c r="G11523" s="443">
        <v>118718766</v>
      </c>
      <c r="H11523" s="443">
        <v>118718766</v>
      </c>
      <c r="I11523" s="422" t="s">
        <v>656</v>
      </c>
      <c r="J11523" s="530" t="s">
        <v>912</v>
      </c>
      <c r="L11523" s="539"/>
      <c r="M11523" s="539"/>
      <c r="N11523" s="598">
        <v>17184</v>
      </c>
      <c r="R11523" s="548">
        <v>1036.663</v>
      </c>
      <c r="S11523" s="548">
        <v>1039.73562094355</v>
      </c>
      <c r="T11523" s="549">
        <v>15.4549</v>
      </c>
      <c r="U11523" s="549">
        <v>199.58</v>
      </c>
      <c r="V11523" s="549">
        <v>99.79</v>
      </c>
      <c r="Z11523" s="566" t="s">
        <v>2961</v>
      </c>
    </row>
    <row r="11524" spans="1:26">
      <c r="A11524" s="499">
        <v>45890</v>
      </c>
      <c r="B11524" s="499">
        <v>45890</v>
      </c>
      <c r="C11524" s="500" t="s">
        <v>173</v>
      </c>
      <c r="D11524" s="500" t="s">
        <v>761</v>
      </c>
      <c r="E11524" s="501">
        <v>-1642927711.9400001</v>
      </c>
      <c r="F11524" s="502" t="s">
        <v>878</v>
      </c>
      <c r="G11524" s="443">
        <v>118713299</v>
      </c>
      <c r="H11524" s="443"/>
      <c r="I11524" s="422" t="s">
        <v>675</v>
      </c>
      <c r="J11524" s="530" t="s">
        <v>906</v>
      </c>
      <c r="K11524" s="538"/>
      <c r="L11524" s="539"/>
      <c r="M11524" s="539"/>
      <c r="N11524" s="598">
        <v>1761866</v>
      </c>
      <c r="R11524" s="548">
        <v>932.49300000113521</v>
      </c>
      <c r="S11524" s="548">
        <v>932.88901572537304</v>
      </c>
      <c r="T11524" s="538">
        <v>15.5</v>
      </c>
      <c r="U11524" s="549">
        <v>2464.39</v>
      </c>
      <c r="V11524" s="549">
        <v>1232.2</v>
      </c>
      <c r="Z11524" s="548" t="s">
        <v>2953</v>
      </c>
    </row>
    <row r="11525" spans="1:26">
      <c r="A11525" s="499">
        <v>45890</v>
      </c>
      <c r="B11525" s="499">
        <v>45890</v>
      </c>
      <c r="C11525" s="500" t="s">
        <v>173</v>
      </c>
      <c r="D11525" s="500" t="s">
        <v>761</v>
      </c>
      <c r="E11525" s="501">
        <v>-9005084.9000000004</v>
      </c>
      <c r="F11525" s="502" t="s">
        <v>878</v>
      </c>
      <c r="G11525" s="443">
        <v>118713364</v>
      </c>
      <c r="H11525" s="443"/>
      <c r="I11525" s="422" t="s">
        <v>675</v>
      </c>
      <c r="J11525" s="530" t="s">
        <v>906</v>
      </c>
      <c r="L11525" s="539"/>
      <c r="M11525" s="539"/>
      <c r="N11525" s="598">
        <v>9657</v>
      </c>
      <c r="R11525" s="548">
        <v>932.49299989644817</v>
      </c>
      <c r="S11525" s="548">
        <v>932.88901522211904</v>
      </c>
      <c r="T11525" s="538">
        <v>15.5</v>
      </c>
      <c r="U11525" s="549">
        <v>39.32</v>
      </c>
      <c r="V11525" s="549">
        <v>6.75</v>
      </c>
      <c r="Z11525" s="548" t="s">
        <v>2953</v>
      </c>
    </row>
    <row r="11526" spans="1:26">
      <c r="A11526" s="499">
        <v>45890</v>
      </c>
      <c r="B11526" s="499">
        <v>45891</v>
      </c>
      <c r="C11526" s="500" t="s">
        <v>173</v>
      </c>
      <c r="D11526" s="500" t="s">
        <v>761</v>
      </c>
      <c r="E11526" s="501">
        <v>1643625438.5799999</v>
      </c>
      <c r="F11526" s="502" t="s">
        <v>878</v>
      </c>
      <c r="G11526" s="443">
        <v>118713299</v>
      </c>
      <c r="H11526" s="443">
        <v>118713299</v>
      </c>
      <c r="I11526" s="422" t="s">
        <v>675</v>
      </c>
      <c r="J11526" s="530" t="s">
        <v>912</v>
      </c>
      <c r="L11526" s="539"/>
      <c r="M11526" s="539"/>
      <c r="N11526" s="598">
        <v>1761866</v>
      </c>
      <c r="R11526" s="548">
        <v>932.49300000113521</v>
      </c>
      <c r="S11526" s="548">
        <v>932.88901572537304</v>
      </c>
      <c r="T11526" s="538">
        <v>15.5</v>
      </c>
      <c r="U11526" s="549">
        <v>2464.39</v>
      </c>
      <c r="V11526" s="549">
        <v>1232.2</v>
      </c>
      <c r="Z11526" s="548" t="s">
        <v>2953</v>
      </c>
    </row>
    <row r="11527" spans="1:26">
      <c r="A11527" s="499">
        <v>45890</v>
      </c>
      <c r="B11527" s="499">
        <v>45891</v>
      </c>
      <c r="C11527" s="500" t="s">
        <v>173</v>
      </c>
      <c r="D11527" s="500" t="s">
        <v>761</v>
      </c>
      <c r="E11527" s="501">
        <v>9008909.2200000007</v>
      </c>
      <c r="F11527" s="502" t="s">
        <v>878</v>
      </c>
      <c r="G11527" s="443">
        <v>118713364</v>
      </c>
      <c r="H11527" s="443">
        <v>118713364</v>
      </c>
      <c r="I11527" s="422" t="s">
        <v>675</v>
      </c>
      <c r="J11527" s="530" t="s">
        <v>912</v>
      </c>
      <c r="L11527" s="539"/>
      <c r="M11527" s="539"/>
      <c r="N11527" s="598">
        <v>9657</v>
      </c>
      <c r="R11527" s="548">
        <v>932.49299989644817</v>
      </c>
      <c r="S11527" s="548">
        <v>932.88901522211904</v>
      </c>
      <c r="T11527" s="538">
        <v>15.5</v>
      </c>
      <c r="U11527" s="549">
        <v>39.32</v>
      </c>
      <c r="V11527" s="549">
        <v>6.75</v>
      </c>
      <c r="Z11527" s="548" t="s">
        <v>2953</v>
      </c>
    </row>
    <row r="11528" spans="1:26">
      <c r="A11528" s="499">
        <v>45890</v>
      </c>
      <c r="B11528" s="499">
        <v>45890</v>
      </c>
      <c r="C11528" s="500" t="s">
        <v>173</v>
      </c>
      <c r="D11528" s="500" t="s">
        <v>759</v>
      </c>
      <c r="E11528" s="501">
        <v>-2275936553.8000002</v>
      </c>
      <c r="F11528" s="502" t="s">
        <v>878</v>
      </c>
      <c r="G11528" s="443">
        <v>118720045</v>
      </c>
      <c r="H11528" s="530"/>
      <c r="I11528" s="422" t="s">
        <v>706</v>
      </c>
      <c r="J11528" s="530" t="s">
        <v>906</v>
      </c>
      <c r="L11528" s="539"/>
      <c r="M11528" s="539"/>
      <c r="N11528" s="598">
        <v>2971150</v>
      </c>
      <c r="R11528" s="548">
        <v>766.01200000000006</v>
      </c>
      <c r="S11528" s="548">
        <v>766.33729276879296</v>
      </c>
      <c r="T11528" s="538">
        <v>15.5</v>
      </c>
      <c r="U11528" s="549">
        <v>3413.9</v>
      </c>
      <c r="V11528" s="549">
        <v>1706.95</v>
      </c>
      <c r="Z11528" s="548" t="s">
        <v>2953</v>
      </c>
    </row>
    <row r="11529" spans="1:26">
      <c r="A11529" s="499">
        <v>45890</v>
      </c>
      <c r="B11529" s="499">
        <v>45890</v>
      </c>
      <c r="C11529" s="500" t="s">
        <v>173</v>
      </c>
      <c r="D11529" s="500" t="s">
        <v>759</v>
      </c>
      <c r="E11529" s="501">
        <v>-14005763.41</v>
      </c>
      <c r="F11529" s="502" t="s">
        <v>878</v>
      </c>
      <c r="G11529" s="443">
        <v>118720091</v>
      </c>
      <c r="H11529" s="530"/>
      <c r="I11529" s="422" t="s">
        <v>706</v>
      </c>
      <c r="J11529" s="530" t="s">
        <v>906</v>
      </c>
      <c r="L11529" s="539"/>
      <c r="M11529" s="539"/>
      <c r="N11529" s="598">
        <v>18284</v>
      </c>
      <c r="R11529" s="548">
        <v>766.01200010938521</v>
      </c>
      <c r="S11529" s="548">
        <v>766.33729271494201</v>
      </c>
      <c r="T11529" s="538">
        <v>15.5</v>
      </c>
      <c r="U11529" s="549">
        <v>39.32</v>
      </c>
      <c r="V11529" s="549">
        <v>10.5</v>
      </c>
      <c r="Z11529" s="548" t="s">
        <v>2953</v>
      </c>
    </row>
    <row r="11530" spans="1:26">
      <c r="A11530" s="499">
        <v>45890</v>
      </c>
      <c r="B11530" s="499">
        <v>45891</v>
      </c>
      <c r="C11530" s="500" t="s">
        <v>173</v>
      </c>
      <c r="D11530" s="500" t="s">
        <v>759</v>
      </c>
      <c r="E11530" s="501">
        <v>2276903047.4099998</v>
      </c>
      <c r="F11530" s="502" t="s">
        <v>878</v>
      </c>
      <c r="G11530" s="443">
        <v>118720045</v>
      </c>
      <c r="H11530" s="443">
        <v>118720045</v>
      </c>
      <c r="I11530" s="422" t="s">
        <v>706</v>
      </c>
      <c r="J11530" s="530" t="s">
        <v>912</v>
      </c>
      <c r="L11530" s="539"/>
      <c r="M11530" s="539"/>
      <c r="N11530" s="598">
        <v>2971150</v>
      </c>
      <c r="R11530" s="548">
        <v>766.01200000000006</v>
      </c>
      <c r="S11530" s="548">
        <v>766.33729276879296</v>
      </c>
      <c r="T11530" s="538">
        <v>15.5</v>
      </c>
      <c r="U11530" s="549">
        <v>3413.9</v>
      </c>
      <c r="V11530" s="549">
        <v>1706.95</v>
      </c>
      <c r="Z11530" s="548" t="s">
        <v>2953</v>
      </c>
    </row>
    <row r="11531" spans="1:26">
      <c r="A11531" s="499">
        <v>45890</v>
      </c>
      <c r="B11531" s="499">
        <v>45891</v>
      </c>
      <c r="C11531" s="500" t="s">
        <v>173</v>
      </c>
      <c r="D11531" s="500" t="s">
        <v>759</v>
      </c>
      <c r="E11531" s="501">
        <v>14011711.060000001</v>
      </c>
      <c r="F11531" s="502" t="s">
        <v>878</v>
      </c>
      <c r="G11531" s="443">
        <v>118720091</v>
      </c>
      <c r="H11531" s="443">
        <v>118720091</v>
      </c>
      <c r="I11531" s="422" t="s">
        <v>706</v>
      </c>
      <c r="J11531" s="530" t="s">
        <v>912</v>
      </c>
      <c r="L11531" s="539"/>
      <c r="M11531" s="539"/>
      <c r="N11531" s="598">
        <v>18284</v>
      </c>
      <c r="R11531" s="548">
        <v>766.01200010938521</v>
      </c>
      <c r="S11531" s="548">
        <v>766.33729271494201</v>
      </c>
      <c r="T11531" s="538">
        <v>15.5</v>
      </c>
      <c r="U11531" s="549">
        <v>39.32</v>
      </c>
      <c r="V11531" s="549">
        <v>10.5</v>
      </c>
      <c r="Z11531" s="548" t="s">
        <v>2953</v>
      </c>
    </row>
    <row r="11532" spans="1:26">
      <c r="A11532" s="499">
        <v>45890</v>
      </c>
      <c r="B11532" s="499">
        <v>45890</v>
      </c>
      <c r="C11532" s="500" t="s">
        <v>173</v>
      </c>
      <c r="D11532" s="500" t="s">
        <v>760</v>
      </c>
      <c r="E11532" s="501">
        <v>-905352607.00999999</v>
      </c>
      <c r="F11532" s="502" t="s">
        <v>878</v>
      </c>
      <c r="G11532" s="443">
        <v>118715872</v>
      </c>
      <c r="H11532" s="530"/>
      <c r="I11532" s="422" t="s">
        <v>2856</v>
      </c>
      <c r="J11532" s="530" t="s">
        <v>906</v>
      </c>
      <c r="L11532" s="539"/>
      <c r="M11532" s="539"/>
      <c r="N11532" s="598">
        <v>1652530</v>
      </c>
      <c r="R11532" s="548">
        <v>547.85850000000005</v>
      </c>
      <c r="S11532" s="548">
        <v>548.09119577254296</v>
      </c>
      <c r="T11532" s="538">
        <v>15.5</v>
      </c>
      <c r="U11532" s="549">
        <v>1358.03</v>
      </c>
      <c r="V11532" s="549">
        <v>679.01</v>
      </c>
      <c r="Z11532" s="548" t="s">
        <v>2953</v>
      </c>
    </row>
    <row r="11533" spans="1:26">
      <c r="A11533" s="499">
        <v>45890</v>
      </c>
      <c r="B11533" s="499">
        <v>45890</v>
      </c>
      <c r="C11533" s="500" t="s">
        <v>173</v>
      </c>
      <c r="D11533" s="500" t="s">
        <v>760</v>
      </c>
      <c r="E11533" s="501">
        <v>-5001878.8499999996</v>
      </c>
      <c r="F11533" s="502" t="s">
        <v>878</v>
      </c>
      <c r="G11533" s="443">
        <v>118716634</v>
      </c>
      <c r="H11533" s="530"/>
      <c r="I11533" s="422" t="s">
        <v>705</v>
      </c>
      <c r="J11533" s="530" t="s">
        <v>906</v>
      </c>
      <c r="L11533" s="539"/>
      <c r="M11533" s="539"/>
      <c r="N11533" s="598">
        <v>6690</v>
      </c>
      <c r="R11533" s="548">
        <v>747.66499999999996</v>
      </c>
      <c r="S11533" s="548">
        <v>747.98251420029897</v>
      </c>
      <c r="T11533" s="538">
        <v>15.5</v>
      </c>
      <c r="U11533" s="549">
        <v>39.32</v>
      </c>
      <c r="V11533" s="549">
        <v>3.75</v>
      </c>
      <c r="Z11533" s="548" t="s">
        <v>2953</v>
      </c>
    </row>
    <row r="11534" spans="1:26">
      <c r="A11534" s="499">
        <v>45890</v>
      </c>
      <c r="B11534" s="499">
        <v>45890</v>
      </c>
      <c r="C11534" s="500" t="s">
        <v>173</v>
      </c>
      <c r="D11534" s="500" t="s">
        <v>760</v>
      </c>
      <c r="E11534" s="501">
        <v>-1300066327.5599999</v>
      </c>
      <c r="F11534" s="502" t="s">
        <v>878</v>
      </c>
      <c r="G11534" s="443">
        <v>118713822</v>
      </c>
      <c r="H11534" s="530"/>
      <c r="I11534" s="422" t="s">
        <v>2956</v>
      </c>
      <c r="J11534" s="530" t="s">
        <v>906</v>
      </c>
      <c r="L11534" s="539"/>
      <c r="M11534" s="539"/>
      <c r="N11534" s="598">
        <v>13141700</v>
      </c>
      <c r="R11534" s="548">
        <v>98.9268</v>
      </c>
      <c r="S11534" s="548">
        <v>98.968828712419196</v>
      </c>
      <c r="T11534" s="538">
        <v>15.5</v>
      </c>
      <c r="U11534" s="549">
        <v>1950.1</v>
      </c>
      <c r="V11534" s="549">
        <v>975.05</v>
      </c>
      <c r="Z11534" s="548" t="s">
        <v>2953</v>
      </c>
    </row>
    <row r="11535" spans="1:26">
      <c r="A11535" s="499">
        <v>45890</v>
      </c>
      <c r="B11535" s="499">
        <v>45891</v>
      </c>
      <c r="C11535" s="500" t="s">
        <v>173</v>
      </c>
      <c r="D11535" s="500" t="s">
        <v>760</v>
      </c>
      <c r="E11535" s="501">
        <v>905737143.75</v>
      </c>
      <c r="F11535" s="502" t="s">
        <v>878</v>
      </c>
      <c r="G11535" s="443">
        <v>118715872</v>
      </c>
      <c r="H11535" s="443">
        <v>118715872</v>
      </c>
      <c r="I11535" s="422" t="s">
        <v>2856</v>
      </c>
      <c r="J11535" s="530" t="s">
        <v>912</v>
      </c>
      <c r="L11535" s="539"/>
      <c r="M11535" s="539"/>
      <c r="N11535" s="598">
        <v>1652530</v>
      </c>
      <c r="R11535" s="548">
        <v>547.85850000000005</v>
      </c>
      <c r="S11535" s="548">
        <v>548.09119577254296</v>
      </c>
      <c r="T11535" s="538">
        <v>15.5</v>
      </c>
      <c r="U11535" s="549">
        <v>1358.03</v>
      </c>
      <c r="V11535" s="549">
        <v>679.01</v>
      </c>
      <c r="Z11535" s="548" t="s">
        <v>2953</v>
      </c>
    </row>
    <row r="11536" spans="1:26">
      <c r="A11536" s="499">
        <v>45890</v>
      </c>
      <c r="B11536" s="499">
        <v>45891</v>
      </c>
      <c r="C11536" s="500" t="s">
        <v>173</v>
      </c>
      <c r="D11536" s="500" t="s">
        <v>760</v>
      </c>
      <c r="E11536" s="501">
        <v>5004003.0199999996</v>
      </c>
      <c r="F11536" s="502" t="s">
        <v>878</v>
      </c>
      <c r="G11536" s="443">
        <v>118716634</v>
      </c>
      <c r="H11536" s="443">
        <v>118716634</v>
      </c>
      <c r="I11536" s="422" t="s">
        <v>705</v>
      </c>
      <c r="J11536" s="530" t="s">
        <v>912</v>
      </c>
      <c r="L11536" s="539"/>
      <c r="M11536" s="539"/>
      <c r="N11536" s="598">
        <v>6690</v>
      </c>
      <c r="R11536" s="548">
        <v>747.66499999999996</v>
      </c>
      <c r="S11536" s="548">
        <v>747.98251420029897</v>
      </c>
      <c r="T11536" s="538">
        <v>15.5</v>
      </c>
      <c r="U11536" s="549">
        <v>39.32</v>
      </c>
      <c r="V11536" s="549">
        <v>3.75</v>
      </c>
      <c r="Z11536" s="548" t="s">
        <v>2953</v>
      </c>
    </row>
    <row r="11537" spans="1:26">
      <c r="A11537" s="499">
        <v>45890</v>
      </c>
      <c r="B11537" s="499">
        <v>45891</v>
      </c>
      <c r="C11537" s="500" t="s">
        <v>173</v>
      </c>
      <c r="D11537" s="500" t="s">
        <v>760</v>
      </c>
      <c r="E11537" s="501">
        <v>1300618656.29</v>
      </c>
      <c r="F11537" s="502" t="s">
        <v>878</v>
      </c>
      <c r="G11537" s="443">
        <v>118713822</v>
      </c>
      <c r="H11537" s="443">
        <v>118713822</v>
      </c>
      <c r="I11537" s="422" t="s">
        <v>2956</v>
      </c>
      <c r="J11537" s="530" t="s">
        <v>912</v>
      </c>
      <c r="L11537" s="539"/>
      <c r="M11537" s="539"/>
      <c r="N11537" s="598">
        <v>13141700</v>
      </c>
      <c r="R11537" s="548">
        <v>98.9268</v>
      </c>
      <c r="S11537" s="548">
        <v>98.968828712419196</v>
      </c>
      <c r="T11537" s="538">
        <v>15.5</v>
      </c>
      <c r="U11537" s="549">
        <v>1950.1</v>
      </c>
      <c r="V11537" s="549">
        <v>975.05</v>
      </c>
      <c r="Z11537" s="548" t="s">
        <v>2953</v>
      </c>
    </row>
    <row r="11538" spans="1:26">
      <c r="A11538" s="499">
        <v>45890</v>
      </c>
      <c r="B11538" s="499">
        <v>45890</v>
      </c>
      <c r="C11538" s="500" t="s">
        <v>173</v>
      </c>
      <c r="D11538" s="500" t="s">
        <v>764</v>
      </c>
      <c r="E11538" s="501">
        <v>-557096458.09000003</v>
      </c>
      <c r="F11538" s="502" t="s">
        <v>878</v>
      </c>
      <c r="G11538" s="443">
        <v>118714517</v>
      </c>
      <c r="H11538" s="530"/>
      <c r="I11538" s="422" t="s">
        <v>833</v>
      </c>
      <c r="J11538" s="530" t="s">
        <v>906</v>
      </c>
      <c r="L11538" s="539"/>
      <c r="M11538" s="539"/>
      <c r="N11538" s="598">
        <v>887301</v>
      </c>
      <c r="R11538" s="548">
        <v>627.85510000552244</v>
      </c>
      <c r="S11538" s="548">
        <v>628.121742328702</v>
      </c>
      <c r="T11538" s="538">
        <v>15.5</v>
      </c>
      <c r="U11538" s="549">
        <v>835.64</v>
      </c>
      <c r="V11538" s="549">
        <v>417.82</v>
      </c>
      <c r="Z11538" s="548" t="s">
        <v>2953</v>
      </c>
    </row>
    <row r="11539" spans="1:26">
      <c r="A11539" s="499">
        <v>45890</v>
      </c>
      <c r="B11539" s="499">
        <v>45890</v>
      </c>
      <c r="C11539" s="500" t="s">
        <v>173</v>
      </c>
      <c r="D11539" s="500" t="s">
        <v>764</v>
      </c>
      <c r="E11539" s="501">
        <v>-4251736163.9499998</v>
      </c>
      <c r="F11539" s="502" t="s">
        <v>878</v>
      </c>
      <c r="G11539" s="443">
        <v>118714520</v>
      </c>
      <c r="H11539" s="530"/>
      <c r="I11539" s="422" t="s">
        <v>833</v>
      </c>
      <c r="J11539" s="530" t="s">
        <v>906</v>
      </c>
      <c r="L11539" s="539"/>
      <c r="M11539" s="539"/>
      <c r="N11539" s="598">
        <v>6771843</v>
      </c>
      <c r="R11539" s="548">
        <v>627.85510000010333</v>
      </c>
      <c r="S11539" s="548">
        <v>628.12174232037</v>
      </c>
      <c r="T11539" s="538">
        <v>15.5</v>
      </c>
      <c r="U11539" s="549">
        <v>6377.6</v>
      </c>
      <c r="V11539" s="549">
        <v>3188.8</v>
      </c>
      <c r="Z11539" s="548" t="s">
        <v>2953</v>
      </c>
    </row>
    <row r="11540" spans="1:26">
      <c r="A11540" s="499">
        <v>45890</v>
      </c>
      <c r="B11540" s="499">
        <v>45890</v>
      </c>
      <c r="C11540" s="500" t="s">
        <v>173</v>
      </c>
      <c r="D11540" s="500" t="s">
        <v>764</v>
      </c>
      <c r="E11540" s="501">
        <v>-30005195.23</v>
      </c>
      <c r="F11540" s="502" t="s">
        <v>878</v>
      </c>
      <c r="G11540" s="443">
        <v>118714576</v>
      </c>
      <c r="H11540" s="530"/>
      <c r="I11540" s="422" t="s">
        <v>833</v>
      </c>
      <c r="J11540" s="530" t="s">
        <v>906</v>
      </c>
      <c r="L11540" s="539"/>
      <c r="M11540" s="539"/>
      <c r="N11540" s="598">
        <v>47790</v>
      </c>
      <c r="R11540" s="548">
        <v>627.85510002092485</v>
      </c>
      <c r="S11540" s="548">
        <v>628.12174241473099</v>
      </c>
      <c r="T11540" s="538">
        <v>15.5</v>
      </c>
      <c r="U11540" s="549">
        <v>45.01</v>
      </c>
      <c r="V11540" s="549">
        <v>22.5</v>
      </c>
      <c r="Z11540" s="548" t="s">
        <v>2953</v>
      </c>
    </row>
    <row r="11541" spans="1:26">
      <c r="A11541" s="499">
        <v>45890</v>
      </c>
      <c r="B11541" s="499">
        <v>45891</v>
      </c>
      <c r="C11541" s="500" t="s">
        <v>173</v>
      </c>
      <c r="D11541" s="500" t="s">
        <v>764</v>
      </c>
      <c r="E11541" s="501">
        <v>557333050.09000003</v>
      </c>
      <c r="F11541" s="502" t="s">
        <v>878</v>
      </c>
      <c r="G11541" s="443">
        <v>118714517</v>
      </c>
      <c r="H11541" s="443">
        <v>118714517</v>
      </c>
      <c r="I11541" s="422" t="s">
        <v>833</v>
      </c>
      <c r="J11541" s="530" t="s">
        <v>912</v>
      </c>
      <c r="L11541" s="539"/>
      <c r="M11541" s="539"/>
      <c r="N11541" s="598">
        <v>887301</v>
      </c>
      <c r="R11541" s="548">
        <v>627.85510000552244</v>
      </c>
      <c r="S11541" s="548">
        <v>628.121742328702</v>
      </c>
      <c r="T11541" s="538">
        <v>15.5</v>
      </c>
      <c r="U11541" s="549">
        <v>835.64</v>
      </c>
      <c r="V11541" s="549">
        <v>417.82</v>
      </c>
      <c r="Z11541" s="548" t="s">
        <v>2953</v>
      </c>
    </row>
    <row r="11542" spans="1:26">
      <c r="A11542" s="499">
        <v>45890</v>
      </c>
      <c r="B11542" s="499">
        <v>45891</v>
      </c>
      <c r="C11542" s="500" t="s">
        <v>173</v>
      </c>
      <c r="D11542" s="500" t="s">
        <v>764</v>
      </c>
      <c r="E11542" s="501">
        <v>4253541823.8800001</v>
      </c>
      <c r="F11542" s="502" t="s">
        <v>878</v>
      </c>
      <c r="G11542" s="443">
        <v>118714520</v>
      </c>
      <c r="H11542" s="443">
        <v>118714520</v>
      </c>
      <c r="I11542" s="422" t="s">
        <v>833</v>
      </c>
      <c r="J11542" s="530" t="s">
        <v>912</v>
      </c>
      <c r="L11542" s="539"/>
      <c r="M11542" s="539"/>
      <c r="N11542" s="598">
        <v>6771843</v>
      </c>
      <c r="R11542" s="548">
        <v>627.85510000010333</v>
      </c>
      <c r="S11542" s="548">
        <v>628.12174232037</v>
      </c>
      <c r="T11542" s="538">
        <v>15.5</v>
      </c>
      <c r="U11542" s="549">
        <v>6377.6</v>
      </c>
      <c r="V11542" s="549">
        <v>3188.8</v>
      </c>
      <c r="Z11542" s="548" t="s">
        <v>2953</v>
      </c>
    </row>
    <row r="11543" spans="1:26">
      <c r="A11543" s="499">
        <v>45890</v>
      </c>
      <c r="B11543" s="499">
        <v>45891</v>
      </c>
      <c r="C11543" s="500" t="s">
        <v>173</v>
      </c>
      <c r="D11543" s="500" t="s">
        <v>764</v>
      </c>
      <c r="E11543" s="501">
        <v>30017938.07</v>
      </c>
      <c r="F11543" s="502" t="s">
        <v>878</v>
      </c>
      <c r="G11543" s="443">
        <v>118714576</v>
      </c>
      <c r="H11543" s="443">
        <v>118714576</v>
      </c>
      <c r="I11543" s="422" t="s">
        <v>833</v>
      </c>
      <c r="J11543" s="530" t="s">
        <v>912</v>
      </c>
      <c r="L11543" s="539"/>
      <c r="M11543" s="539"/>
      <c r="N11543" s="598">
        <v>47790</v>
      </c>
      <c r="R11543" s="548">
        <v>627.85510002092485</v>
      </c>
      <c r="S11543" s="548">
        <v>628.12174241473099</v>
      </c>
      <c r="T11543" s="538">
        <v>15.5</v>
      </c>
      <c r="U11543" s="549">
        <v>45.01</v>
      </c>
      <c r="V11543" s="549">
        <v>22.5</v>
      </c>
      <c r="Z11543" s="548" t="s">
        <v>2953</v>
      </c>
    </row>
    <row r="11544" spans="1:26">
      <c r="A11544" s="499">
        <v>45890</v>
      </c>
      <c r="B11544" s="499">
        <v>45890</v>
      </c>
      <c r="C11544" s="500" t="s">
        <v>173</v>
      </c>
      <c r="D11544" s="500" t="s">
        <v>763</v>
      </c>
      <c r="E11544" s="501">
        <v>-356196511.63999999</v>
      </c>
      <c r="F11544" s="502" t="s">
        <v>878</v>
      </c>
      <c r="G11544" s="443">
        <v>118715091</v>
      </c>
      <c r="H11544" s="443"/>
      <c r="I11544" s="422" t="s">
        <v>673</v>
      </c>
      <c r="J11544" s="530" t="s">
        <v>906</v>
      </c>
      <c r="L11544" s="539"/>
      <c r="M11544" s="539"/>
      <c r="N11544" s="598">
        <v>394804</v>
      </c>
      <c r="R11544" s="548">
        <v>902.21100000000001</v>
      </c>
      <c r="S11544" s="548">
        <v>902.59416282509801</v>
      </c>
      <c r="T11544" s="538">
        <v>15.5</v>
      </c>
      <c r="U11544" s="549">
        <v>534.29</v>
      </c>
      <c r="V11544" s="549">
        <v>267.14999999999998</v>
      </c>
      <c r="Z11544" s="548" t="s">
        <v>2953</v>
      </c>
    </row>
    <row r="11545" spans="1:26">
      <c r="A11545" s="499">
        <v>45890</v>
      </c>
      <c r="B11545" s="499">
        <v>45890</v>
      </c>
      <c r="C11545" s="500" t="s">
        <v>173</v>
      </c>
      <c r="D11545" s="500" t="s">
        <v>763</v>
      </c>
      <c r="E11545" s="501">
        <v>-1013817274.22</v>
      </c>
      <c r="F11545" s="502" t="s">
        <v>878</v>
      </c>
      <c r="G11545" s="443">
        <v>118715094</v>
      </c>
      <c r="H11545" s="443"/>
      <c r="I11545" s="422" t="s">
        <v>1091</v>
      </c>
      <c r="J11545" s="530" t="s">
        <v>906</v>
      </c>
      <c r="L11545" s="539"/>
      <c r="M11545" s="539"/>
      <c r="N11545" s="598">
        <v>1035286</v>
      </c>
      <c r="R11545" s="548">
        <v>979.26300000000003</v>
      </c>
      <c r="S11545" s="548">
        <v>979.67888628842695</v>
      </c>
      <c r="T11545" s="538">
        <v>15.5</v>
      </c>
      <c r="U11545" s="549">
        <v>1520.73</v>
      </c>
      <c r="V11545" s="549">
        <v>760.36</v>
      </c>
      <c r="Z11545" s="548" t="s">
        <v>2953</v>
      </c>
    </row>
    <row r="11546" spans="1:26">
      <c r="A11546" s="499">
        <v>45890</v>
      </c>
      <c r="B11546" s="499">
        <v>45890</v>
      </c>
      <c r="C11546" s="500" t="s">
        <v>173</v>
      </c>
      <c r="D11546" s="500" t="s">
        <v>763</v>
      </c>
      <c r="E11546" s="501">
        <v>-547207747.87</v>
      </c>
      <c r="F11546" s="502" t="s">
        <v>878</v>
      </c>
      <c r="G11546" s="443">
        <v>118715097</v>
      </c>
      <c r="H11546" s="443"/>
      <c r="I11546" s="422" t="s">
        <v>656</v>
      </c>
      <c r="J11546" s="530" t="s">
        <v>906</v>
      </c>
      <c r="L11546" s="539"/>
      <c r="M11546" s="539"/>
      <c r="N11546" s="598">
        <v>527855</v>
      </c>
      <c r="R11546" s="548">
        <v>1036.663</v>
      </c>
      <c r="S11546" s="548">
        <v>1037.10326368037</v>
      </c>
      <c r="T11546" s="538">
        <v>15.5</v>
      </c>
      <c r="U11546" s="549">
        <v>820.81</v>
      </c>
      <c r="V11546" s="549">
        <v>410.41</v>
      </c>
      <c r="Z11546" s="548" t="s">
        <v>2953</v>
      </c>
    </row>
    <row r="11547" spans="1:26">
      <c r="A11547" s="499">
        <v>45890</v>
      </c>
      <c r="B11547" s="499">
        <v>45890</v>
      </c>
      <c r="C11547" s="500" t="s">
        <v>173</v>
      </c>
      <c r="D11547" s="500" t="s">
        <v>763</v>
      </c>
      <c r="E11547" s="501">
        <v>-11004177.75</v>
      </c>
      <c r="F11547" s="502" t="s">
        <v>878</v>
      </c>
      <c r="G11547" s="443">
        <v>118715151</v>
      </c>
      <c r="H11547" s="443"/>
      <c r="I11547" s="422" t="s">
        <v>656</v>
      </c>
      <c r="J11547" s="530" t="s">
        <v>906</v>
      </c>
      <c r="L11547" s="539"/>
      <c r="M11547" s="539"/>
      <c r="N11547" s="598">
        <v>10615</v>
      </c>
      <c r="R11547" s="548">
        <v>1036.663</v>
      </c>
      <c r="S11547" s="548">
        <v>1037.1032642487</v>
      </c>
      <c r="T11547" s="538">
        <v>15.5</v>
      </c>
      <c r="U11547" s="549">
        <v>39.32</v>
      </c>
      <c r="V11547" s="549">
        <v>39.32</v>
      </c>
      <c r="Z11547" s="548" t="s">
        <v>2953</v>
      </c>
    </row>
    <row r="11548" spans="1:26">
      <c r="A11548" s="499">
        <v>45890</v>
      </c>
      <c r="B11548" s="499">
        <v>45890</v>
      </c>
      <c r="C11548" s="500" t="s">
        <v>173</v>
      </c>
      <c r="D11548" s="500" t="s">
        <v>763</v>
      </c>
      <c r="E11548" s="501">
        <v>-1000000.26</v>
      </c>
      <c r="F11548" s="502" t="s">
        <v>878</v>
      </c>
      <c r="G11548" s="443">
        <v>118715197</v>
      </c>
      <c r="H11548" s="443"/>
      <c r="I11548" s="422" t="s">
        <v>807</v>
      </c>
      <c r="J11548" s="530" t="s">
        <v>906</v>
      </c>
      <c r="L11548" s="539"/>
      <c r="M11548" s="539"/>
      <c r="N11548" s="598">
        <v>927128</v>
      </c>
      <c r="R11548" s="548">
        <v>1.0786</v>
      </c>
      <c r="S11548" s="548">
        <v>1.0790580696516601</v>
      </c>
      <c r="T11548" s="538">
        <v>15.5</v>
      </c>
      <c r="U11548" s="549">
        <v>39.32</v>
      </c>
      <c r="V11548" s="549">
        <v>39.32</v>
      </c>
      <c r="Z11548" s="548" t="s">
        <v>2953</v>
      </c>
    </row>
    <row r="11549" spans="1:26">
      <c r="A11549" s="499">
        <v>45890</v>
      </c>
      <c r="B11549" s="499">
        <v>45891</v>
      </c>
      <c r="C11549" s="500" t="s">
        <v>173</v>
      </c>
      <c r="D11549" s="500" t="s">
        <v>763</v>
      </c>
      <c r="E11549" s="501">
        <v>356347785.86000001</v>
      </c>
      <c r="F11549" s="502" t="s">
        <v>878</v>
      </c>
      <c r="G11549" s="443">
        <v>118715091</v>
      </c>
      <c r="H11549" s="443">
        <v>118715091</v>
      </c>
      <c r="I11549" s="422" t="s">
        <v>673</v>
      </c>
      <c r="J11549" s="530" t="s">
        <v>912</v>
      </c>
      <c r="L11549" s="539"/>
      <c r="M11549" s="539"/>
      <c r="N11549" s="598">
        <v>394804</v>
      </c>
      <c r="R11549" s="548">
        <v>902.21100000000001</v>
      </c>
      <c r="S11549" s="548">
        <v>902.59416282509801</v>
      </c>
      <c r="T11549" s="538">
        <v>15.5</v>
      </c>
      <c r="U11549" s="549">
        <v>534.29</v>
      </c>
      <c r="V11549" s="549">
        <v>267.14999999999998</v>
      </c>
      <c r="Z11549" s="548" t="s">
        <v>2953</v>
      </c>
    </row>
    <row r="11550" spans="1:26">
      <c r="A11550" s="499">
        <v>45890</v>
      </c>
      <c r="B11550" s="499">
        <v>45891</v>
      </c>
      <c r="C11550" s="500" t="s">
        <v>173</v>
      </c>
      <c r="D11550" s="500" t="s">
        <v>763</v>
      </c>
      <c r="E11550" s="501">
        <v>1014247835.47</v>
      </c>
      <c r="F11550" s="502" t="s">
        <v>878</v>
      </c>
      <c r="G11550" s="443">
        <v>118715094</v>
      </c>
      <c r="H11550" s="443">
        <v>118715094</v>
      </c>
      <c r="I11550" s="422" t="s">
        <v>1091</v>
      </c>
      <c r="J11550" s="530" t="s">
        <v>912</v>
      </c>
      <c r="L11550" s="539"/>
      <c r="M11550" s="539"/>
      <c r="N11550" s="598">
        <v>1035286</v>
      </c>
      <c r="R11550" s="548">
        <v>979.26300000000003</v>
      </c>
      <c r="S11550" s="548">
        <v>979.67888628842695</v>
      </c>
      <c r="T11550" s="538">
        <v>15.5</v>
      </c>
      <c r="U11550" s="549">
        <v>1520.73</v>
      </c>
      <c r="V11550" s="549">
        <v>760.36</v>
      </c>
      <c r="Z11550" s="548" t="s">
        <v>2953</v>
      </c>
    </row>
    <row r="11551" spans="1:26">
      <c r="A11551" s="499">
        <v>45890</v>
      </c>
      <c r="B11551" s="499">
        <v>45891</v>
      </c>
      <c r="C11551" s="500" t="s">
        <v>173</v>
      </c>
      <c r="D11551" s="500" t="s">
        <v>763</v>
      </c>
      <c r="E11551" s="501">
        <v>547440143.25</v>
      </c>
      <c r="F11551" s="502" t="s">
        <v>878</v>
      </c>
      <c r="G11551" s="443">
        <v>118715097</v>
      </c>
      <c r="H11551" s="443">
        <v>118715097</v>
      </c>
      <c r="I11551" s="422" t="s">
        <v>656</v>
      </c>
      <c r="J11551" s="530" t="s">
        <v>912</v>
      </c>
      <c r="L11551" s="539"/>
      <c r="M11551" s="539"/>
      <c r="N11551" s="598">
        <v>527855</v>
      </c>
      <c r="R11551" s="548">
        <v>1036.663</v>
      </c>
      <c r="S11551" s="548">
        <v>1037.10326368037</v>
      </c>
      <c r="T11551" s="538">
        <v>15.5</v>
      </c>
      <c r="U11551" s="549">
        <v>820.81</v>
      </c>
      <c r="V11551" s="549">
        <v>410.41</v>
      </c>
      <c r="Z11551" s="548" t="s">
        <v>2953</v>
      </c>
    </row>
    <row r="11552" spans="1:26">
      <c r="A11552" s="499">
        <v>45890</v>
      </c>
      <c r="B11552" s="499">
        <v>45891</v>
      </c>
      <c r="C11552" s="500" t="s">
        <v>173</v>
      </c>
      <c r="D11552" s="500" t="s">
        <v>763</v>
      </c>
      <c r="E11552" s="501">
        <v>11008851.15</v>
      </c>
      <c r="F11552" s="502" t="s">
        <v>878</v>
      </c>
      <c r="G11552" s="443">
        <v>118715151</v>
      </c>
      <c r="H11552" s="443">
        <v>118715151</v>
      </c>
      <c r="I11552" s="422" t="s">
        <v>656</v>
      </c>
      <c r="J11552" s="530" t="s">
        <v>912</v>
      </c>
      <c r="L11552" s="539"/>
      <c r="M11552" s="539"/>
      <c r="N11552" s="598">
        <v>10615</v>
      </c>
      <c r="R11552" s="548">
        <v>1036.663</v>
      </c>
      <c r="S11552" s="548">
        <v>1037.1032642487</v>
      </c>
      <c r="T11552" s="538">
        <v>15.5</v>
      </c>
      <c r="U11552" s="549">
        <v>39.32</v>
      </c>
      <c r="V11552" s="549">
        <v>39.32</v>
      </c>
      <c r="Z11552" s="548" t="s">
        <v>2953</v>
      </c>
    </row>
    <row r="11553" spans="1:26">
      <c r="A11553" s="499">
        <v>45890</v>
      </c>
      <c r="B11553" s="499">
        <v>45891</v>
      </c>
      <c r="C11553" s="500" t="s">
        <v>173</v>
      </c>
      <c r="D11553" s="500" t="s">
        <v>763</v>
      </c>
      <c r="E11553" s="501">
        <v>1000424.95</v>
      </c>
      <c r="F11553" s="502" t="s">
        <v>878</v>
      </c>
      <c r="G11553" s="443">
        <v>118715197</v>
      </c>
      <c r="H11553" s="443">
        <v>118715197</v>
      </c>
      <c r="I11553" s="422" t="s">
        <v>807</v>
      </c>
      <c r="J11553" s="530" t="s">
        <v>912</v>
      </c>
      <c r="L11553" s="539"/>
      <c r="M11553" s="539"/>
      <c r="N11553" s="598">
        <v>927128</v>
      </c>
      <c r="R11553" s="548">
        <v>1.0786</v>
      </c>
      <c r="S11553" s="548">
        <v>1.0790580696516601</v>
      </c>
      <c r="T11553" s="538">
        <v>15.5</v>
      </c>
      <c r="U11553" s="549">
        <v>39.32</v>
      </c>
      <c r="V11553" s="549">
        <v>39.32</v>
      </c>
      <c r="Z11553" s="548" t="s">
        <v>2953</v>
      </c>
    </row>
    <row r="11554" spans="1:26">
      <c r="A11554" s="499">
        <v>45891</v>
      </c>
      <c r="B11554" s="499">
        <v>45891</v>
      </c>
      <c r="C11554" s="500" t="s">
        <v>173</v>
      </c>
      <c r="D11554" s="500" t="s">
        <v>761</v>
      </c>
      <c r="E11554" s="501">
        <v>-1643592942.27</v>
      </c>
      <c r="F11554" s="502" t="s">
        <v>878</v>
      </c>
      <c r="G11554" s="443">
        <v>118736109</v>
      </c>
      <c r="H11554" s="530"/>
      <c r="I11554" s="422" t="s">
        <v>675</v>
      </c>
      <c r="J11554" s="530" t="s">
        <v>906</v>
      </c>
      <c r="L11554" s="539"/>
      <c r="M11554" s="539"/>
      <c r="N11554" s="598">
        <v>1749795</v>
      </c>
      <c r="R11554" s="548">
        <v>939.30600000000004</v>
      </c>
      <c r="S11554" s="548">
        <v>940.50272731377095</v>
      </c>
      <c r="T11554" s="538">
        <v>15.5</v>
      </c>
      <c r="U11554" s="549">
        <v>7396.17</v>
      </c>
      <c r="V11554" s="549">
        <v>3698.08</v>
      </c>
      <c r="Z11554" s="548" t="s">
        <v>2953</v>
      </c>
    </row>
    <row r="11555" spans="1:26">
      <c r="A11555" s="499">
        <v>45891</v>
      </c>
      <c r="B11555" s="499">
        <v>45891</v>
      </c>
      <c r="C11555" s="500" t="s">
        <v>173</v>
      </c>
      <c r="D11555" s="500" t="s">
        <v>761</v>
      </c>
      <c r="E11555" s="501">
        <v>-10003608.9</v>
      </c>
      <c r="F11555" s="502" t="s">
        <v>878</v>
      </c>
      <c r="G11555" s="443">
        <v>118736128</v>
      </c>
      <c r="H11555" s="530"/>
      <c r="I11555" s="422" t="s">
        <v>675</v>
      </c>
      <c r="J11555" s="530" t="s">
        <v>906</v>
      </c>
      <c r="L11555" s="539"/>
      <c r="M11555" s="539"/>
      <c r="N11555" s="598">
        <v>10650</v>
      </c>
      <c r="R11555" s="548">
        <v>939.30600000000004</v>
      </c>
      <c r="S11555" s="548">
        <v>940.50272769953096</v>
      </c>
      <c r="T11555" s="538">
        <v>15.5</v>
      </c>
      <c r="U11555" s="549">
        <v>45.02</v>
      </c>
      <c r="V11555" s="549">
        <v>22.51</v>
      </c>
      <c r="Z11555" s="548" t="s">
        <v>2953</v>
      </c>
    </row>
    <row r="11556" spans="1:26">
      <c r="A11556" s="499">
        <v>45891</v>
      </c>
      <c r="B11556" s="499">
        <v>45894</v>
      </c>
      <c r="C11556" s="500" t="s">
        <v>173</v>
      </c>
      <c r="D11556" s="500" t="s">
        <v>761</v>
      </c>
      <c r="E11556" s="501">
        <v>1645686969.74</v>
      </c>
      <c r="F11556" s="502" t="s">
        <v>878</v>
      </c>
      <c r="G11556" s="443">
        <v>118736109</v>
      </c>
      <c r="H11556" s="443">
        <v>118736109</v>
      </c>
      <c r="I11556" s="422" t="s">
        <v>675</v>
      </c>
      <c r="J11556" s="530" t="s">
        <v>912</v>
      </c>
      <c r="L11556" s="539"/>
      <c r="M11556" s="539"/>
      <c r="N11556" s="598">
        <v>1749795</v>
      </c>
      <c r="R11556" s="548">
        <v>939.30600000000004</v>
      </c>
      <c r="S11556" s="548">
        <v>940.50272731377095</v>
      </c>
      <c r="T11556" s="538">
        <v>15.5</v>
      </c>
      <c r="U11556" s="549">
        <v>7396.17</v>
      </c>
      <c r="V11556" s="549">
        <v>3698.08</v>
      </c>
      <c r="Z11556" s="548" t="s">
        <v>2953</v>
      </c>
    </row>
    <row r="11557" spans="1:26">
      <c r="A11557" s="499">
        <v>45891</v>
      </c>
      <c r="B11557" s="499">
        <v>45894</v>
      </c>
      <c r="C11557" s="500" t="s">
        <v>173</v>
      </c>
      <c r="D11557" s="500" t="s">
        <v>761</v>
      </c>
      <c r="E11557" s="501">
        <v>10016354.050000001</v>
      </c>
      <c r="F11557" s="502" t="s">
        <v>878</v>
      </c>
      <c r="G11557" s="443">
        <v>118736128</v>
      </c>
      <c r="H11557" s="443">
        <v>118736128</v>
      </c>
      <c r="I11557" s="422" t="s">
        <v>675</v>
      </c>
      <c r="J11557" s="530" t="s">
        <v>912</v>
      </c>
      <c r="L11557" s="539"/>
      <c r="M11557" s="539"/>
      <c r="N11557" s="598">
        <v>10650</v>
      </c>
      <c r="R11557" s="548">
        <v>939.30600000000004</v>
      </c>
      <c r="S11557" s="548">
        <v>940.50272769953096</v>
      </c>
      <c r="T11557" s="538">
        <v>15.5</v>
      </c>
      <c r="U11557" s="549">
        <v>45.02</v>
      </c>
      <c r="V11557" s="549">
        <v>22.51</v>
      </c>
      <c r="Z11557" s="548" t="s">
        <v>2953</v>
      </c>
    </row>
    <row r="11558" spans="1:26">
      <c r="A11558" s="499">
        <v>45891</v>
      </c>
      <c r="B11558" s="499">
        <v>45891</v>
      </c>
      <c r="C11558" s="500" t="s">
        <v>173</v>
      </c>
      <c r="D11558" s="500" t="s">
        <v>760</v>
      </c>
      <c r="E11558" s="501">
        <v>-149062851.53999999</v>
      </c>
      <c r="F11558" s="502" t="s">
        <v>878</v>
      </c>
      <c r="G11558" s="443">
        <v>118736496</v>
      </c>
      <c r="H11558" s="530"/>
      <c r="I11558" s="422" t="s">
        <v>631</v>
      </c>
      <c r="J11558" s="530" t="s">
        <v>906</v>
      </c>
      <c r="L11558" s="539"/>
      <c r="M11558" s="539"/>
      <c r="N11558" s="598">
        <v>298298</v>
      </c>
      <c r="R11558" s="548">
        <v>499.71120000000002</v>
      </c>
      <c r="S11558" s="548">
        <v>500.34782247953399</v>
      </c>
      <c r="T11558" s="538">
        <v>15.5</v>
      </c>
      <c r="U11558" s="549">
        <v>670.78</v>
      </c>
      <c r="V11558" s="549">
        <v>335.39</v>
      </c>
      <c r="Z11558" s="548" t="s">
        <v>2953</v>
      </c>
    </row>
    <row r="11559" spans="1:26">
      <c r="A11559" s="499">
        <v>45891</v>
      </c>
      <c r="B11559" s="499">
        <v>45891</v>
      </c>
      <c r="C11559" s="500" t="s">
        <v>173</v>
      </c>
      <c r="D11559" s="500" t="s">
        <v>760</v>
      </c>
      <c r="E11559" s="501">
        <v>-904326244.55999994</v>
      </c>
      <c r="F11559" s="502" t="s">
        <v>878</v>
      </c>
      <c r="G11559" s="443">
        <v>118736890</v>
      </c>
      <c r="H11559" s="530"/>
      <c r="I11559" s="422" t="s">
        <v>675</v>
      </c>
      <c r="J11559" s="530" t="s">
        <v>906</v>
      </c>
      <c r="L11559" s="539"/>
      <c r="M11559" s="539"/>
      <c r="N11559" s="598">
        <v>962760</v>
      </c>
      <c r="R11559" s="548">
        <v>939.30600000000004</v>
      </c>
      <c r="S11559" s="548">
        <v>940.50267327267397</v>
      </c>
      <c r="T11559" s="538">
        <v>15.5</v>
      </c>
      <c r="U11559" s="549">
        <v>4069.47</v>
      </c>
      <c r="V11559" s="549">
        <v>2034.73</v>
      </c>
      <c r="Z11559" s="548" t="s">
        <v>2953</v>
      </c>
    </row>
    <row r="11560" spans="1:26">
      <c r="A11560" s="499">
        <v>45891</v>
      </c>
      <c r="B11560" s="499">
        <v>45891</v>
      </c>
      <c r="C11560" s="500" t="s">
        <v>173</v>
      </c>
      <c r="D11560" s="500" t="s">
        <v>760</v>
      </c>
      <c r="E11560" s="501">
        <v>-6002165.3399999999</v>
      </c>
      <c r="F11560" s="502" t="s">
        <v>878</v>
      </c>
      <c r="G11560" s="443">
        <v>118737041</v>
      </c>
      <c r="H11560" s="530"/>
      <c r="I11560" s="422" t="s">
        <v>675</v>
      </c>
      <c r="J11560" s="530" t="s">
        <v>906</v>
      </c>
      <c r="M11560" s="539"/>
      <c r="N11560" s="598">
        <v>6390</v>
      </c>
      <c r="R11560" s="548">
        <v>939.30600000000004</v>
      </c>
      <c r="S11560" s="548">
        <v>940.50266510172105</v>
      </c>
      <c r="T11560" s="538">
        <v>15.5</v>
      </c>
      <c r="U11560" s="549">
        <v>39.32</v>
      </c>
      <c r="V11560" s="549">
        <v>13.5</v>
      </c>
      <c r="Z11560" s="548" t="s">
        <v>2953</v>
      </c>
    </row>
    <row r="11561" spans="1:26">
      <c r="A11561" s="499">
        <v>45891</v>
      </c>
      <c r="B11561" s="499">
        <v>45891</v>
      </c>
      <c r="C11561" s="500" t="s">
        <v>173</v>
      </c>
      <c r="D11561" s="500" t="s">
        <v>760</v>
      </c>
      <c r="E11561" s="501">
        <v>-1151911610.4200001</v>
      </c>
      <c r="F11561" s="502" t="s">
        <v>878</v>
      </c>
      <c r="G11561" s="443">
        <v>118736499</v>
      </c>
      <c r="H11561" s="530"/>
      <c r="I11561" s="422" t="s">
        <v>678</v>
      </c>
      <c r="J11561" s="530" t="s">
        <v>906</v>
      </c>
      <c r="L11561" s="539"/>
      <c r="M11561" s="539"/>
      <c r="N11561" s="598">
        <v>1224664</v>
      </c>
      <c r="R11561" s="548">
        <v>940.59400000000005</v>
      </c>
      <c r="S11561" s="548">
        <v>941.79229872030203</v>
      </c>
      <c r="T11561" s="538">
        <v>15.5</v>
      </c>
      <c r="U11561" s="549">
        <v>5183.6000000000004</v>
      </c>
      <c r="V11561" s="549">
        <v>2591.8000000000002</v>
      </c>
      <c r="Z11561" s="548" t="s">
        <v>2953</v>
      </c>
    </row>
    <row r="11562" spans="1:26">
      <c r="A11562" s="499">
        <v>45891</v>
      </c>
      <c r="B11562" s="499">
        <v>45894</v>
      </c>
      <c r="C11562" s="500" t="s">
        <v>173</v>
      </c>
      <c r="D11562" s="500" t="s">
        <v>760</v>
      </c>
      <c r="E11562" s="501">
        <v>149252754.75</v>
      </c>
      <c r="F11562" s="502" t="s">
        <v>878</v>
      </c>
      <c r="G11562" s="443">
        <v>118736496</v>
      </c>
      <c r="H11562" s="443">
        <v>118736496</v>
      </c>
      <c r="I11562" s="422" t="s">
        <v>631</v>
      </c>
      <c r="J11562" s="530" t="s">
        <v>912</v>
      </c>
      <c r="L11562" s="539"/>
      <c r="M11562" s="539"/>
      <c r="N11562" s="598">
        <v>298298</v>
      </c>
      <c r="R11562" s="548">
        <v>499.71120000000002</v>
      </c>
      <c r="S11562" s="548">
        <v>500.34782247953399</v>
      </c>
      <c r="T11562" s="538">
        <v>15.5</v>
      </c>
      <c r="U11562" s="549">
        <v>670.78</v>
      </c>
      <c r="V11562" s="549">
        <v>335.39</v>
      </c>
      <c r="Z11562" s="548" t="s">
        <v>2953</v>
      </c>
    </row>
    <row r="11563" spans="1:26">
      <c r="A11563" s="499">
        <v>45891</v>
      </c>
      <c r="B11563" s="499">
        <v>45894</v>
      </c>
      <c r="C11563" s="500" t="s">
        <v>173</v>
      </c>
      <c r="D11563" s="500" t="s">
        <v>760</v>
      </c>
      <c r="E11563" s="501">
        <v>905478353.72000003</v>
      </c>
      <c r="F11563" s="502" t="s">
        <v>878</v>
      </c>
      <c r="G11563" s="443">
        <v>118736890</v>
      </c>
      <c r="H11563" s="443">
        <v>118736890</v>
      </c>
      <c r="I11563" s="422" t="s">
        <v>675</v>
      </c>
      <c r="J11563" s="530" t="s">
        <v>912</v>
      </c>
      <c r="L11563" s="539"/>
      <c r="M11563" s="539"/>
      <c r="N11563" s="598">
        <v>962760</v>
      </c>
      <c r="R11563" s="548">
        <v>939.30600000000004</v>
      </c>
      <c r="S11563" s="548">
        <v>940.50267327267397</v>
      </c>
      <c r="T11563" s="538">
        <v>15.5</v>
      </c>
      <c r="U11563" s="549">
        <v>4069.47</v>
      </c>
      <c r="V11563" s="549">
        <v>2034.73</v>
      </c>
      <c r="Z11563" s="548" t="s">
        <v>2953</v>
      </c>
    </row>
    <row r="11564" spans="1:26">
      <c r="A11564" s="499">
        <v>45891</v>
      </c>
      <c r="B11564" s="499">
        <v>45894</v>
      </c>
      <c r="C11564" s="500" t="s">
        <v>173</v>
      </c>
      <c r="D11564" s="500" t="s">
        <v>760</v>
      </c>
      <c r="E11564" s="501">
        <v>6009812.0300000003</v>
      </c>
      <c r="F11564" s="502" t="s">
        <v>878</v>
      </c>
      <c r="G11564" s="443">
        <v>118737041</v>
      </c>
      <c r="H11564" s="443">
        <v>118737041</v>
      </c>
      <c r="I11564" s="422" t="s">
        <v>675</v>
      </c>
      <c r="J11564" s="530" t="s">
        <v>912</v>
      </c>
      <c r="L11564" s="539"/>
      <c r="M11564" s="539"/>
      <c r="N11564" s="598">
        <v>6390</v>
      </c>
      <c r="R11564" s="548">
        <v>939.30600000000004</v>
      </c>
      <c r="S11564" s="548">
        <v>940.50266510172105</v>
      </c>
      <c r="T11564" s="538">
        <v>15.5</v>
      </c>
      <c r="U11564" s="549">
        <v>39.32</v>
      </c>
      <c r="V11564" s="549">
        <v>13.5</v>
      </c>
      <c r="Z11564" s="548" t="s">
        <v>2953</v>
      </c>
    </row>
    <row r="11565" spans="1:26">
      <c r="A11565" s="499">
        <v>45891</v>
      </c>
      <c r="B11565" s="499">
        <v>45894</v>
      </c>
      <c r="C11565" s="500" t="s">
        <v>173</v>
      </c>
      <c r="D11565" s="500" t="s">
        <v>760</v>
      </c>
      <c r="E11565" s="501">
        <v>1153379123.72</v>
      </c>
      <c r="F11565" s="502" t="s">
        <v>878</v>
      </c>
      <c r="G11565" s="443">
        <v>118736499</v>
      </c>
      <c r="H11565" s="443">
        <v>118736499</v>
      </c>
      <c r="I11565" s="422" t="s">
        <v>678</v>
      </c>
      <c r="J11565" s="530" t="s">
        <v>912</v>
      </c>
      <c r="L11565" s="539"/>
      <c r="M11565" s="539"/>
      <c r="N11565" s="598">
        <v>1224664</v>
      </c>
      <c r="R11565" s="548">
        <v>940.59400000000005</v>
      </c>
      <c r="S11565" s="548">
        <v>941.79229872030203</v>
      </c>
      <c r="T11565" s="538">
        <v>15.5</v>
      </c>
      <c r="U11565" s="549">
        <v>5183.6000000000004</v>
      </c>
      <c r="V11565" s="549">
        <v>2591.8000000000002</v>
      </c>
      <c r="Z11565" s="548" t="s">
        <v>2953</v>
      </c>
    </row>
    <row r="11566" spans="1:26">
      <c r="A11566" s="499">
        <v>45891</v>
      </c>
      <c r="B11566" s="499">
        <v>45891</v>
      </c>
      <c r="C11566" s="500" t="s">
        <v>173</v>
      </c>
      <c r="D11566" s="500" t="s">
        <v>759</v>
      </c>
      <c r="E11566" s="501">
        <v>-451110799.43000001</v>
      </c>
      <c r="F11566" s="502" t="s">
        <v>878</v>
      </c>
      <c r="G11566" s="443">
        <v>118739125</v>
      </c>
      <c r="H11566" s="530"/>
      <c r="I11566" s="422" t="s">
        <v>604</v>
      </c>
      <c r="J11566" s="530" t="s">
        <v>906</v>
      </c>
      <c r="L11566" s="539"/>
      <c r="M11566" s="539"/>
      <c r="N11566" s="598">
        <v>439725</v>
      </c>
      <c r="R11566" s="548">
        <v>1025.8930000113708</v>
      </c>
      <c r="S11566" s="548">
        <v>1027.1999595883799</v>
      </c>
      <c r="T11566" s="538">
        <v>15.5</v>
      </c>
      <c r="U11566" s="549">
        <v>2030</v>
      </c>
      <c r="V11566" s="549">
        <v>1015</v>
      </c>
      <c r="Z11566" s="548" t="s">
        <v>2953</v>
      </c>
    </row>
    <row r="11567" spans="1:26">
      <c r="A11567" s="499">
        <v>45891</v>
      </c>
      <c r="B11567" s="499">
        <v>45891</v>
      </c>
      <c r="C11567" s="500" t="s">
        <v>173</v>
      </c>
      <c r="D11567" s="500" t="s">
        <v>759</v>
      </c>
      <c r="E11567" s="501">
        <v>-512509670.39999998</v>
      </c>
      <c r="F11567" s="502" t="s">
        <v>878</v>
      </c>
      <c r="G11567" s="443">
        <v>118739128</v>
      </c>
      <c r="H11567" s="530"/>
      <c r="I11567" s="422" t="s">
        <v>658</v>
      </c>
      <c r="J11567" s="530" t="s">
        <v>906</v>
      </c>
      <c r="L11567" s="539"/>
      <c r="M11567" s="539"/>
      <c r="N11567" s="598">
        <v>499200</v>
      </c>
      <c r="R11567" s="548">
        <v>1026.662</v>
      </c>
      <c r="S11567" s="548">
        <v>1027.9699392628199</v>
      </c>
      <c r="T11567" s="538">
        <v>15.5</v>
      </c>
      <c r="U11567" s="549">
        <v>2306.29</v>
      </c>
      <c r="V11567" s="549">
        <v>1153.1500000000001</v>
      </c>
      <c r="Z11567" s="548" t="s">
        <v>2953</v>
      </c>
    </row>
    <row r="11568" spans="1:26">
      <c r="A11568" s="499">
        <v>45891</v>
      </c>
      <c r="B11568" s="499">
        <v>45891</v>
      </c>
      <c r="C11568" s="500" t="s">
        <v>173</v>
      </c>
      <c r="D11568" s="500" t="s">
        <v>759</v>
      </c>
      <c r="E11568" s="501">
        <v>-236105199.36000001</v>
      </c>
      <c r="F11568" s="502" t="s">
        <v>878</v>
      </c>
      <c r="G11568" s="443">
        <v>118739131</v>
      </c>
      <c r="H11568" s="530"/>
      <c r="I11568" s="422" t="s">
        <v>692</v>
      </c>
      <c r="J11568" s="530" t="s">
        <v>906</v>
      </c>
      <c r="L11568" s="539"/>
      <c r="M11568" s="539"/>
      <c r="N11568" s="598">
        <v>322848</v>
      </c>
      <c r="R11568" s="548">
        <v>731.32</v>
      </c>
      <c r="S11568" s="548">
        <v>732.25168165824198</v>
      </c>
      <c r="T11568" s="538">
        <v>15.5</v>
      </c>
      <c r="U11568" s="549">
        <v>1062.47</v>
      </c>
      <c r="V11568" s="549">
        <v>531.24</v>
      </c>
      <c r="Z11568" s="548" t="s">
        <v>2953</v>
      </c>
    </row>
    <row r="11569" spans="1:26">
      <c r="A11569" s="499">
        <v>45891</v>
      </c>
      <c r="B11569" s="499">
        <v>45891</v>
      </c>
      <c r="C11569" s="500" t="s">
        <v>173</v>
      </c>
      <c r="D11569" s="500" t="s">
        <v>759</v>
      </c>
      <c r="E11569" s="501">
        <v>-176045107.38999999</v>
      </c>
      <c r="F11569" s="502" t="s">
        <v>878</v>
      </c>
      <c r="G11569" s="443">
        <v>118739134</v>
      </c>
      <c r="H11569" s="530"/>
      <c r="I11569" s="422" t="s">
        <v>690</v>
      </c>
      <c r="J11569" s="530" t="s">
        <v>906</v>
      </c>
      <c r="L11569" s="539"/>
      <c r="M11569" s="539"/>
      <c r="N11569" s="598">
        <v>207328</v>
      </c>
      <c r="R11569" s="548">
        <v>849.11399999035336</v>
      </c>
      <c r="S11569" s="548">
        <v>850.19574794528501</v>
      </c>
      <c r="T11569" s="538">
        <v>15.5</v>
      </c>
      <c r="U11569" s="549">
        <v>792.2</v>
      </c>
      <c r="V11569" s="549">
        <v>396.1</v>
      </c>
      <c r="Z11569" s="548" t="s">
        <v>2953</v>
      </c>
    </row>
    <row r="11570" spans="1:26">
      <c r="A11570" s="499">
        <v>45891</v>
      </c>
      <c r="B11570" s="499">
        <v>45891</v>
      </c>
      <c r="C11570" s="500" t="s">
        <v>173</v>
      </c>
      <c r="D11570" s="500" t="s">
        <v>759</v>
      </c>
      <c r="E11570" s="501">
        <v>-137098160.5</v>
      </c>
      <c r="F11570" s="502" t="s">
        <v>878</v>
      </c>
      <c r="G11570" s="443">
        <v>118739137</v>
      </c>
      <c r="H11570" s="530"/>
      <c r="I11570" s="422" t="s">
        <v>598</v>
      </c>
      <c r="J11570" s="530" t="s">
        <v>906</v>
      </c>
      <c r="L11570" s="539"/>
      <c r="M11570" s="539"/>
      <c r="N11570" s="598">
        <v>131383</v>
      </c>
      <c r="R11570" s="548">
        <v>1043.5</v>
      </c>
      <c r="S11570" s="548">
        <v>1044.8293904082</v>
      </c>
      <c r="T11570" s="538">
        <v>15.5</v>
      </c>
      <c r="U11570" s="549">
        <v>616.94000000000005</v>
      </c>
      <c r="V11570" s="549">
        <v>308.47000000000003</v>
      </c>
      <c r="Z11570" s="548" t="s">
        <v>2953</v>
      </c>
    </row>
    <row r="11571" spans="1:26">
      <c r="A11571" s="499">
        <v>45891</v>
      </c>
      <c r="B11571" s="499">
        <v>45891</v>
      </c>
      <c r="C11571" s="500" t="s">
        <v>173</v>
      </c>
      <c r="D11571" s="500" t="s">
        <v>759</v>
      </c>
      <c r="E11571" s="501">
        <v>-75042115.200000003</v>
      </c>
      <c r="F11571" s="502" t="s">
        <v>878</v>
      </c>
      <c r="G11571" s="443">
        <v>118739140</v>
      </c>
      <c r="H11571" s="530"/>
      <c r="I11571" s="422" t="s">
        <v>715</v>
      </c>
      <c r="J11571" s="530" t="s">
        <v>906</v>
      </c>
      <c r="L11571" s="539"/>
      <c r="M11571" s="539"/>
      <c r="N11571" s="598">
        <v>124800</v>
      </c>
      <c r="R11571" s="548">
        <v>601.29899999999998</v>
      </c>
      <c r="S11571" s="548">
        <v>602.06503846153805</v>
      </c>
      <c r="T11571" s="538">
        <v>15.5</v>
      </c>
      <c r="U11571" s="549">
        <v>337.69</v>
      </c>
      <c r="V11571" s="549">
        <v>168.84</v>
      </c>
      <c r="Z11571" s="548" t="s">
        <v>2953</v>
      </c>
    </row>
    <row r="11572" spans="1:26">
      <c r="A11572" s="499">
        <v>45891</v>
      </c>
      <c r="B11572" s="499">
        <v>45891</v>
      </c>
      <c r="C11572" s="500" t="s">
        <v>173</v>
      </c>
      <c r="D11572" s="500" t="s">
        <v>759</v>
      </c>
      <c r="E11572" s="501">
        <v>-39019752.020000003</v>
      </c>
      <c r="F11572" s="502" t="s">
        <v>878</v>
      </c>
      <c r="G11572" s="443">
        <v>118739143</v>
      </c>
      <c r="H11572" s="530"/>
      <c r="I11572" s="422" t="s">
        <v>693</v>
      </c>
      <c r="J11572" s="530" t="s">
        <v>906</v>
      </c>
      <c r="L11572" s="539"/>
      <c r="M11572" s="539"/>
      <c r="N11572" s="598">
        <v>51363</v>
      </c>
      <c r="R11572" s="548">
        <v>759.68600003893857</v>
      </c>
      <c r="S11572" s="548">
        <v>760.65381928625698</v>
      </c>
      <c r="T11572" s="538">
        <v>15.5</v>
      </c>
      <c r="U11572" s="549">
        <v>175.59</v>
      </c>
      <c r="V11572" s="549">
        <v>87.79</v>
      </c>
      <c r="Z11572" s="548" t="s">
        <v>2953</v>
      </c>
    </row>
    <row r="11573" spans="1:26">
      <c r="A11573" s="499">
        <v>45891</v>
      </c>
      <c r="B11573" s="499">
        <v>45891</v>
      </c>
      <c r="C11573" s="500" t="s">
        <v>173</v>
      </c>
      <c r="D11573" s="500" t="s">
        <v>759</v>
      </c>
      <c r="E11573" s="501">
        <v>-36006771.780000001</v>
      </c>
      <c r="F11573" s="502" t="s">
        <v>878</v>
      </c>
      <c r="G11573" s="443">
        <v>118739146</v>
      </c>
      <c r="H11573" s="530"/>
      <c r="I11573" s="422" t="s">
        <v>590</v>
      </c>
      <c r="J11573" s="530" t="s">
        <v>906</v>
      </c>
      <c r="L11573" s="539"/>
      <c r="M11573" s="539"/>
      <c r="N11573" s="598">
        <v>40860</v>
      </c>
      <c r="R11573" s="548">
        <v>881.22300000000007</v>
      </c>
      <c r="S11573" s="548">
        <v>882.34565394028402</v>
      </c>
      <c r="T11573" s="538">
        <v>15.5</v>
      </c>
      <c r="U11573" s="549">
        <v>162.03</v>
      </c>
      <c r="V11573" s="549">
        <v>81.02</v>
      </c>
      <c r="Z11573" s="548" t="s">
        <v>2953</v>
      </c>
    </row>
    <row r="11574" spans="1:26">
      <c r="A11574" s="499">
        <v>45891</v>
      </c>
      <c r="B11574" s="499">
        <v>45891</v>
      </c>
      <c r="C11574" s="500" t="s">
        <v>173</v>
      </c>
      <c r="D11574" s="500" t="s">
        <v>759</v>
      </c>
      <c r="E11574" s="501">
        <v>-29011495.370000001</v>
      </c>
      <c r="F11574" s="502" t="s">
        <v>878</v>
      </c>
      <c r="G11574" s="443">
        <v>118739149</v>
      </c>
      <c r="H11574" s="530"/>
      <c r="I11574" s="422" t="s">
        <v>823</v>
      </c>
      <c r="J11574" s="530" t="s">
        <v>906</v>
      </c>
      <c r="L11574" s="539"/>
      <c r="M11574" s="539"/>
      <c r="N11574" s="598">
        <v>28536</v>
      </c>
      <c r="R11574" s="548">
        <v>1016.6630000700869</v>
      </c>
      <c r="S11574" s="548">
        <v>1017.95820086908</v>
      </c>
      <c r="T11574" s="538">
        <v>15.5</v>
      </c>
      <c r="U11574" s="549">
        <v>130.55000000000001</v>
      </c>
      <c r="V11574" s="549">
        <v>65.28</v>
      </c>
      <c r="Z11574" s="548" t="s">
        <v>2953</v>
      </c>
    </row>
    <row r="11575" spans="1:26">
      <c r="A11575" s="499">
        <v>45891</v>
      </c>
      <c r="B11575" s="499">
        <v>45891</v>
      </c>
      <c r="C11575" s="500" t="s">
        <v>173</v>
      </c>
      <c r="D11575" s="500" t="s">
        <v>759</v>
      </c>
      <c r="E11575" s="501">
        <v>-28006112.059999999</v>
      </c>
      <c r="F11575" s="502" t="s">
        <v>878</v>
      </c>
      <c r="G11575" s="443">
        <v>118739152</v>
      </c>
      <c r="H11575" s="530"/>
      <c r="I11575" s="422" t="s">
        <v>821</v>
      </c>
      <c r="J11575" s="530" t="s">
        <v>906</v>
      </c>
      <c r="L11575" s="539"/>
      <c r="M11575" s="539"/>
      <c r="N11575" s="598">
        <v>27552</v>
      </c>
      <c r="R11575" s="548">
        <v>1016.4819998548199</v>
      </c>
      <c r="S11575" s="548">
        <v>1017.77697009292</v>
      </c>
      <c r="T11575" s="538">
        <v>15.5</v>
      </c>
      <c r="U11575" s="549">
        <v>126.03</v>
      </c>
      <c r="V11575" s="549">
        <v>63.01</v>
      </c>
      <c r="Z11575" s="548" t="s">
        <v>2953</v>
      </c>
    </row>
    <row r="11576" spans="1:26">
      <c r="A11576" s="499">
        <v>45891</v>
      </c>
      <c r="B11576" s="499">
        <v>45891</v>
      </c>
      <c r="C11576" s="500" t="s">
        <v>173</v>
      </c>
      <c r="D11576" s="500" t="s">
        <v>759</v>
      </c>
      <c r="E11576" s="501">
        <v>-23008813.969999999</v>
      </c>
      <c r="F11576" s="502" t="s">
        <v>878</v>
      </c>
      <c r="G11576" s="443">
        <v>118739155</v>
      </c>
      <c r="H11576" s="530"/>
      <c r="I11576" s="422" t="s">
        <v>588</v>
      </c>
      <c r="J11576" s="530" t="s">
        <v>906</v>
      </c>
      <c r="L11576" s="539"/>
      <c r="M11576" s="539"/>
      <c r="N11576" s="598">
        <v>27048</v>
      </c>
      <c r="R11576" s="548">
        <v>850.66600007394254</v>
      </c>
      <c r="S11576" s="548">
        <v>851.74972530316495</v>
      </c>
      <c r="T11576" s="538">
        <v>15.5</v>
      </c>
      <c r="U11576" s="549">
        <v>103.54</v>
      </c>
      <c r="V11576" s="549">
        <v>51.77</v>
      </c>
      <c r="Z11576" s="548" t="s">
        <v>2953</v>
      </c>
    </row>
    <row r="11577" spans="1:26">
      <c r="A11577" s="499">
        <v>45891</v>
      </c>
      <c r="B11577" s="499">
        <v>45891</v>
      </c>
      <c r="C11577" s="500" t="s">
        <v>173</v>
      </c>
      <c r="D11577" s="500" t="s">
        <v>759</v>
      </c>
      <c r="E11577" s="501">
        <v>-20011230.719999999</v>
      </c>
      <c r="F11577" s="502" t="s">
        <v>878</v>
      </c>
      <c r="G11577" s="443">
        <v>118739158</v>
      </c>
      <c r="H11577" s="530"/>
      <c r="I11577" s="422" t="s">
        <v>715</v>
      </c>
      <c r="J11577" s="530" t="s">
        <v>906</v>
      </c>
      <c r="L11577" s="539"/>
      <c r="M11577" s="539"/>
      <c r="N11577" s="598">
        <v>33280</v>
      </c>
      <c r="R11577" s="548">
        <v>601.29899999999998</v>
      </c>
      <c r="S11577" s="548">
        <v>602.06503846153896</v>
      </c>
      <c r="T11577" s="538">
        <v>15.5</v>
      </c>
      <c r="U11577" s="549">
        <v>90.05</v>
      </c>
      <c r="V11577" s="549">
        <v>45.03</v>
      </c>
      <c r="Z11577" s="548" t="s">
        <v>2953</v>
      </c>
    </row>
    <row r="11578" spans="1:26">
      <c r="A11578" s="499">
        <v>45891</v>
      </c>
      <c r="B11578" s="499">
        <v>45891</v>
      </c>
      <c r="C11578" s="500" t="s">
        <v>173</v>
      </c>
      <c r="D11578" s="500" t="s">
        <v>759</v>
      </c>
      <c r="E11578" s="501">
        <v>-19008583.75</v>
      </c>
      <c r="F11578" s="502" t="s">
        <v>878</v>
      </c>
      <c r="G11578" s="443">
        <v>118739161</v>
      </c>
      <c r="H11578" s="530"/>
      <c r="I11578" s="624" t="s">
        <v>550</v>
      </c>
      <c r="J11578" s="530" t="s">
        <v>906</v>
      </c>
      <c r="L11578" s="539"/>
      <c r="M11578" s="539"/>
      <c r="N11578" s="598">
        <v>34485</v>
      </c>
      <c r="R11578" s="548">
        <v>551.21309989850658</v>
      </c>
      <c r="S11578" s="548">
        <v>551.91533014354104</v>
      </c>
      <c r="T11578" s="538">
        <v>15.5</v>
      </c>
      <c r="U11578" s="549">
        <v>85.54</v>
      </c>
      <c r="V11578" s="549">
        <v>42.77</v>
      </c>
      <c r="Z11578" s="548" t="s">
        <v>2953</v>
      </c>
    </row>
    <row r="11579" spans="1:26">
      <c r="A11579" s="499">
        <v>45891</v>
      </c>
      <c r="B11579" s="499">
        <v>45891</v>
      </c>
      <c r="C11579" s="500" t="s">
        <v>173</v>
      </c>
      <c r="D11579" s="500" t="s">
        <v>759</v>
      </c>
      <c r="E11579" s="501">
        <v>-9008959.0500000007</v>
      </c>
      <c r="F11579" s="502" t="s">
        <v>878</v>
      </c>
      <c r="G11579" s="443">
        <v>118739164</v>
      </c>
      <c r="H11579" s="530"/>
      <c r="I11579" s="422" t="s">
        <v>658</v>
      </c>
      <c r="J11579" s="530" t="s">
        <v>906</v>
      </c>
      <c r="L11579" s="539"/>
      <c r="M11579" s="539"/>
      <c r="N11579" s="598">
        <v>8775</v>
      </c>
      <c r="R11579" s="548">
        <v>1026.662</v>
      </c>
      <c r="S11579" s="548">
        <v>1027.9699396011399</v>
      </c>
      <c r="T11579" s="538">
        <v>15.5</v>
      </c>
      <c r="U11579" s="549">
        <v>40.54</v>
      </c>
      <c r="V11579" s="549">
        <v>20.27</v>
      </c>
      <c r="Z11579" s="548" t="s">
        <v>2953</v>
      </c>
    </row>
    <row r="11580" spans="1:26">
      <c r="A11580" s="499">
        <v>45891</v>
      </c>
      <c r="B11580" s="499">
        <v>45891</v>
      </c>
      <c r="C11580" s="500" t="s">
        <v>173</v>
      </c>
      <c r="D11580" s="500" t="s">
        <v>759</v>
      </c>
      <c r="E11580" s="501">
        <v>-4000933.2</v>
      </c>
      <c r="F11580" s="502" t="s">
        <v>878</v>
      </c>
      <c r="G11580" s="443">
        <v>118739167</v>
      </c>
      <c r="H11580" s="530"/>
      <c r="I11580" s="422" t="s">
        <v>673</v>
      </c>
      <c r="J11580" s="530" t="s">
        <v>906</v>
      </c>
      <c r="L11580" s="539"/>
      <c r="M11580" s="539"/>
      <c r="N11580" s="598">
        <v>4400</v>
      </c>
      <c r="R11580" s="548">
        <v>909.303</v>
      </c>
      <c r="S11580" s="548">
        <v>910.46142727272695</v>
      </c>
      <c r="T11580" s="538">
        <v>15.5</v>
      </c>
      <c r="U11580" s="549">
        <v>39.32</v>
      </c>
      <c r="V11580" s="549">
        <v>9</v>
      </c>
      <c r="Z11580" s="548" t="s">
        <v>2953</v>
      </c>
    </row>
    <row r="11581" spans="1:26">
      <c r="A11581" s="499">
        <v>45891</v>
      </c>
      <c r="B11581" s="499">
        <v>45891</v>
      </c>
      <c r="C11581" s="500" t="s">
        <v>173</v>
      </c>
      <c r="D11581" s="500" t="s">
        <v>759</v>
      </c>
      <c r="E11581" s="501">
        <v>-485245634.06999999</v>
      </c>
      <c r="F11581" s="502" t="s">
        <v>878</v>
      </c>
      <c r="G11581" s="443">
        <v>118739170</v>
      </c>
      <c r="H11581" s="530"/>
      <c r="I11581" s="422" t="s">
        <v>693</v>
      </c>
      <c r="J11581" s="530" t="s">
        <v>906</v>
      </c>
      <c r="L11581" s="539"/>
      <c r="M11581" s="539"/>
      <c r="N11581" s="598">
        <v>638745</v>
      </c>
      <c r="R11581" s="548">
        <v>759.68600000000004</v>
      </c>
      <c r="S11581" s="548">
        <v>760.65381914535499</v>
      </c>
      <c r="T11581" s="538">
        <v>15.5</v>
      </c>
      <c r="U11581" s="549">
        <v>2183.61</v>
      </c>
      <c r="V11581" s="549">
        <v>1091.8</v>
      </c>
      <c r="Z11581" s="548" t="s">
        <v>2953</v>
      </c>
    </row>
    <row r="11582" spans="1:26">
      <c r="A11582" s="499">
        <v>45891</v>
      </c>
      <c r="B11582" s="499">
        <v>45891</v>
      </c>
      <c r="C11582" s="500" t="s">
        <v>173</v>
      </c>
      <c r="D11582" s="500" t="s">
        <v>759</v>
      </c>
      <c r="E11582" s="501">
        <v>-13006584.01</v>
      </c>
      <c r="F11582" s="502" t="s">
        <v>878</v>
      </c>
      <c r="G11582" s="443">
        <v>118739188</v>
      </c>
      <c r="H11582" s="530"/>
      <c r="I11582" s="422" t="s">
        <v>693</v>
      </c>
      <c r="J11582" s="530" t="s">
        <v>906</v>
      </c>
      <c r="L11582" s="539"/>
      <c r="M11582" s="539"/>
      <c r="N11582" s="598">
        <v>17121</v>
      </c>
      <c r="R11582" s="548">
        <v>759.68600023363115</v>
      </c>
      <c r="S11582" s="548">
        <v>760.65381928625698</v>
      </c>
      <c r="T11582" s="538">
        <v>15.5</v>
      </c>
      <c r="U11582" s="549">
        <v>58.53</v>
      </c>
      <c r="V11582" s="549">
        <v>29.26</v>
      </c>
      <c r="Z11582" s="548" t="s">
        <v>2953</v>
      </c>
    </row>
    <row r="11583" spans="1:26">
      <c r="A11583" s="499">
        <v>45891</v>
      </c>
      <c r="B11583" s="499">
        <v>45894</v>
      </c>
      <c r="C11583" s="500" t="s">
        <v>173</v>
      </c>
      <c r="D11583" s="500" t="s">
        <v>759</v>
      </c>
      <c r="E11583" s="501">
        <v>451685502.23000002</v>
      </c>
      <c r="F11583" s="502" t="s">
        <v>878</v>
      </c>
      <c r="G11583" s="443">
        <v>118739125</v>
      </c>
      <c r="H11583" s="443">
        <v>118739125</v>
      </c>
      <c r="I11583" s="422" t="s">
        <v>604</v>
      </c>
      <c r="J11583" s="530" t="s">
        <v>912</v>
      </c>
      <c r="L11583" s="539"/>
      <c r="M11583" s="539"/>
      <c r="N11583" s="598">
        <v>439725</v>
      </c>
      <c r="R11583" s="548">
        <v>1025.8930000113708</v>
      </c>
      <c r="S11583" s="548">
        <v>1027.1999595883799</v>
      </c>
      <c r="T11583" s="538">
        <v>15.5</v>
      </c>
      <c r="U11583" s="549">
        <v>2030</v>
      </c>
      <c r="V11583" s="549">
        <v>1015</v>
      </c>
      <c r="Z11583" s="548" t="s">
        <v>2953</v>
      </c>
    </row>
    <row r="11584" spans="1:26">
      <c r="A11584" s="499">
        <v>45891</v>
      </c>
      <c r="B11584" s="499">
        <v>45894</v>
      </c>
      <c r="C11584" s="500" t="s">
        <v>173</v>
      </c>
      <c r="D11584" s="500" t="s">
        <v>759</v>
      </c>
      <c r="E11584" s="501">
        <v>513162593.68000001</v>
      </c>
      <c r="F11584" s="502" t="s">
        <v>878</v>
      </c>
      <c r="G11584" s="443">
        <v>118739128</v>
      </c>
      <c r="H11584" s="443">
        <v>118739128</v>
      </c>
      <c r="I11584" s="422" t="s">
        <v>658</v>
      </c>
      <c r="J11584" s="530" t="s">
        <v>912</v>
      </c>
      <c r="L11584" s="539"/>
      <c r="M11584" s="539"/>
      <c r="N11584" s="598">
        <v>499200</v>
      </c>
      <c r="R11584" s="548">
        <v>1026.662</v>
      </c>
      <c r="S11584" s="548">
        <v>1027.9699392628199</v>
      </c>
      <c r="T11584" s="538">
        <v>15.5</v>
      </c>
      <c r="U11584" s="549">
        <v>2306.29</v>
      </c>
      <c r="V11584" s="549">
        <v>1153.1500000000001</v>
      </c>
      <c r="Z11584" s="548" t="s">
        <v>2953</v>
      </c>
    </row>
    <row r="11585" spans="1:26">
      <c r="A11585" s="499">
        <v>45891</v>
      </c>
      <c r="B11585" s="499">
        <v>45894</v>
      </c>
      <c r="C11585" s="500" t="s">
        <v>173</v>
      </c>
      <c r="D11585" s="500" t="s">
        <v>759</v>
      </c>
      <c r="E11585" s="501">
        <v>236405990.91999999</v>
      </c>
      <c r="F11585" s="502" t="s">
        <v>878</v>
      </c>
      <c r="G11585" s="443">
        <v>118739131</v>
      </c>
      <c r="H11585" s="443">
        <v>118739131</v>
      </c>
      <c r="I11585" s="422" t="s">
        <v>692</v>
      </c>
      <c r="J11585" s="530" t="s">
        <v>912</v>
      </c>
      <c r="L11585" s="539"/>
      <c r="M11585" s="539"/>
      <c r="N11585" s="598">
        <v>322848</v>
      </c>
      <c r="R11585" s="548">
        <v>731.32</v>
      </c>
      <c r="S11585" s="548">
        <v>732.25168165824198</v>
      </c>
      <c r="T11585" s="538">
        <v>15.5</v>
      </c>
      <c r="U11585" s="549">
        <v>1062.47</v>
      </c>
      <c r="V11585" s="549">
        <v>531.24</v>
      </c>
      <c r="Z11585" s="548" t="s">
        <v>2953</v>
      </c>
    </row>
    <row r="11586" spans="1:26">
      <c r="A11586" s="499">
        <v>45891</v>
      </c>
      <c r="B11586" s="499">
        <v>45894</v>
      </c>
      <c r="C11586" s="500" t="s">
        <v>173</v>
      </c>
      <c r="D11586" s="500" t="s">
        <v>759</v>
      </c>
      <c r="E11586" s="501">
        <v>176269384.03</v>
      </c>
      <c r="F11586" s="502" t="s">
        <v>878</v>
      </c>
      <c r="G11586" s="443">
        <v>118739134</v>
      </c>
      <c r="H11586" s="443">
        <v>118739134</v>
      </c>
      <c r="I11586" s="422" t="s">
        <v>690</v>
      </c>
      <c r="J11586" s="530" t="s">
        <v>912</v>
      </c>
      <c r="L11586" s="539"/>
      <c r="M11586" s="539"/>
      <c r="N11586" s="598">
        <v>207328</v>
      </c>
      <c r="R11586" s="548">
        <v>849.11399999035336</v>
      </c>
      <c r="S11586" s="548">
        <v>850.19574794528501</v>
      </c>
      <c r="T11586" s="538">
        <v>15.5</v>
      </c>
      <c r="U11586" s="549">
        <v>792.2</v>
      </c>
      <c r="V11586" s="549">
        <v>396.1</v>
      </c>
      <c r="Z11586" s="548" t="s">
        <v>2953</v>
      </c>
    </row>
    <row r="11587" spans="1:26">
      <c r="A11587" s="499">
        <v>45891</v>
      </c>
      <c r="B11587" s="499">
        <v>45894</v>
      </c>
      <c r="C11587" s="500" t="s">
        <v>173</v>
      </c>
      <c r="D11587" s="500" t="s">
        <v>759</v>
      </c>
      <c r="E11587" s="501">
        <v>137272819.80000001</v>
      </c>
      <c r="F11587" s="502" t="s">
        <v>878</v>
      </c>
      <c r="G11587" s="443">
        <v>118739137</v>
      </c>
      <c r="H11587" s="443">
        <v>118739137</v>
      </c>
      <c r="I11587" s="422" t="s">
        <v>598</v>
      </c>
      <c r="J11587" s="530" t="s">
        <v>912</v>
      </c>
      <c r="L11587" s="539"/>
      <c r="M11587" s="539"/>
      <c r="N11587" s="598">
        <v>131383</v>
      </c>
      <c r="R11587" s="548">
        <v>1043.5</v>
      </c>
      <c r="S11587" s="548">
        <v>1044.8293904082</v>
      </c>
      <c r="T11587" s="538">
        <v>15.5</v>
      </c>
      <c r="U11587" s="549">
        <v>616.94000000000005</v>
      </c>
      <c r="V11587" s="549">
        <v>308.47000000000003</v>
      </c>
      <c r="Z11587" s="548" t="s">
        <v>2953</v>
      </c>
    </row>
    <row r="11588" spans="1:26">
      <c r="A11588" s="499">
        <v>45891</v>
      </c>
      <c r="B11588" s="499">
        <v>45894</v>
      </c>
      <c r="C11588" s="500" t="s">
        <v>173</v>
      </c>
      <c r="D11588" s="500" t="s">
        <v>759</v>
      </c>
      <c r="E11588" s="501">
        <v>75137716.799999997</v>
      </c>
      <c r="F11588" s="502" t="s">
        <v>878</v>
      </c>
      <c r="G11588" s="443">
        <v>118739140</v>
      </c>
      <c r="H11588" s="443">
        <v>118739140</v>
      </c>
      <c r="I11588" s="422" t="s">
        <v>715</v>
      </c>
      <c r="J11588" s="530" t="s">
        <v>912</v>
      </c>
      <c r="L11588" s="539"/>
      <c r="M11588" s="539"/>
      <c r="N11588" s="598">
        <v>124800</v>
      </c>
      <c r="R11588" s="548">
        <v>601.29899999999998</v>
      </c>
      <c r="S11588" s="548">
        <v>602.06503846153805</v>
      </c>
      <c r="T11588" s="538">
        <v>15.5</v>
      </c>
      <c r="U11588" s="549">
        <v>337.69</v>
      </c>
      <c r="V11588" s="549">
        <v>168.84</v>
      </c>
      <c r="Z11588" s="548" t="s">
        <v>2953</v>
      </c>
    </row>
    <row r="11589" spans="1:26">
      <c r="A11589" s="499">
        <v>45891</v>
      </c>
      <c r="B11589" s="499">
        <v>45894</v>
      </c>
      <c r="C11589" s="500" t="s">
        <v>173</v>
      </c>
      <c r="D11589" s="500" t="s">
        <v>759</v>
      </c>
      <c r="E11589" s="501">
        <v>39069462.119999997</v>
      </c>
      <c r="F11589" s="502" t="s">
        <v>878</v>
      </c>
      <c r="G11589" s="443">
        <v>118739143</v>
      </c>
      <c r="H11589" s="443">
        <v>118739143</v>
      </c>
      <c r="I11589" s="422" t="s">
        <v>693</v>
      </c>
      <c r="J11589" s="530" t="s">
        <v>912</v>
      </c>
      <c r="L11589" s="539"/>
      <c r="M11589" s="539"/>
      <c r="N11589" s="598">
        <v>51363</v>
      </c>
      <c r="R11589" s="548">
        <v>759.68600003893857</v>
      </c>
      <c r="S11589" s="548">
        <v>760.65381928625698</v>
      </c>
      <c r="T11589" s="538">
        <v>15.5</v>
      </c>
      <c r="U11589" s="549">
        <v>175.59</v>
      </c>
      <c r="V11589" s="549">
        <v>87.79</v>
      </c>
      <c r="Z11589" s="548" t="s">
        <v>2953</v>
      </c>
    </row>
    <row r="11590" spans="1:26">
      <c r="A11590" s="499">
        <v>45891</v>
      </c>
      <c r="B11590" s="499">
        <v>45894</v>
      </c>
      <c r="C11590" s="500" t="s">
        <v>173</v>
      </c>
      <c r="D11590" s="500" t="s">
        <v>759</v>
      </c>
      <c r="E11590" s="501">
        <v>36052643.420000002</v>
      </c>
      <c r="F11590" s="502" t="s">
        <v>878</v>
      </c>
      <c r="G11590" s="443">
        <v>118739146</v>
      </c>
      <c r="H11590" s="443">
        <v>118739146</v>
      </c>
      <c r="I11590" s="422" t="s">
        <v>590</v>
      </c>
      <c r="J11590" s="530" t="s">
        <v>912</v>
      </c>
      <c r="L11590" s="539"/>
      <c r="M11590" s="539"/>
      <c r="N11590" s="598">
        <v>40860</v>
      </c>
      <c r="R11590" s="548">
        <v>881.22300000000007</v>
      </c>
      <c r="S11590" s="548">
        <v>882.34565394028402</v>
      </c>
      <c r="T11590" s="538">
        <v>15.5</v>
      </c>
      <c r="U11590" s="549">
        <v>162.03</v>
      </c>
      <c r="V11590" s="549">
        <v>81.02</v>
      </c>
      <c r="Z11590" s="548" t="s">
        <v>2953</v>
      </c>
    </row>
    <row r="11591" spans="1:26">
      <c r="A11591" s="499">
        <v>45891</v>
      </c>
      <c r="B11591" s="499">
        <v>45894</v>
      </c>
      <c r="C11591" s="500" t="s">
        <v>173</v>
      </c>
      <c r="D11591" s="500" t="s">
        <v>759</v>
      </c>
      <c r="E11591" s="501">
        <v>29048455.219999999</v>
      </c>
      <c r="F11591" s="502" t="s">
        <v>878</v>
      </c>
      <c r="G11591" s="443">
        <v>118739149</v>
      </c>
      <c r="H11591" s="443">
        <v>118739149</v>
      </c>
      <c r="I11591" s="422" t="s">
        <v>823</v>
      </c>
      <c r="J11591" s="530" t="s">
        <v>912</v>
      </c>
      <c r="L11591" s="539"/>
      <c r="M11591" s="539"/>
      <c r="N11591" s="598">
        <v>28536</v>
      </c>
      <c r="R11591" s="548">
        <v>1016.6630000700869</v>
      </c>
      <c r="S11591" s="548">
        <v>1017.95820086908</v>
      </c>
      <c r="T11591" s="538">
        <v>15.5</v>
      </c>
      <c r="U11591" s="549">
        <v>130.55000000000001</v>
      </c>
      <c r="V11591" s="549">
        <v>65.28</v>
      </c>
      <c r="Z11591" s="548" t="s">
        <v>2953</v>
      </c>
    </row>
    <row r="11592" spans="1:26">
      <c r="A11592" s="499">
        <v>45891</v>
      </c>
      <c r="B11592" s="499">
        <v>45894</v>
      </c>
      <c r="C11592" s="500" t="s">
        <v>173</v>
      </c>
      <c r="D11592" s="500" t="s">
        <v>759</v>
      </c>
      <c r="E11592" s="501">
        <v>28041791.079999998</v>
      </c>
      <c r="F11592" s="502" t="s">
        <v>878</v>
      </c>
      <c r="G11592" s="443">
        <v>118739152</v>
      </c>
      <c r="H11592" s="443">
        <v>118739152</v>
      </c>
      <c r="I11592" s="422" t="s">
        <v>821</v>
      </c>
      <c r="J11592" s="530" t="s">
        <v>912</v>
      </c>
      <c r="L11592" s="539"/>
      <c r="M11592" s="539"/>
      <c r="N11592" s="598">
        <v>27552</v>
      </c>
      <c r="R11592" s="548">
        <v>1016.4819998548199</v>
      </c>
      <c r="S11592" s="548">
        <v>1017.77697009292</v>
      </c>
      <c r="T11592" s="538">
        <v>15.5</v>
      </c>
      <c r="U11592" s="549">
        <v>126.03</v>
      </c>
      <c r="V11592" s="549">
        <v>63.01</v>
      </c>
      <c r="Z11592" s="548" t="s">
        <v>2953</v>
      </c>
    </row>
    <row r="11593" spans="1:26">
      <c r="A11593" s="499">
        <v>45891</v>
      </c>
      <c r="B11593" s="499">
        <v>45894</v>
      </c>
      <c r="C11593" s="500" t="s">
        <v>173</v>
      </c>
      <c r="D11593" s="500" t="s">
        <v>759</v>
      </c>
      <c r="E11593" s="501">
        <v>23038126.57</v>
      </c>
      <c r="F11593" s="502" t="s">
        <v>878</v>
      </c>
      <c r="G11593" s="443">
        <v>118739155</v>
      </c>
      <c r="H11593" s="443">
        <v>118739155</v>
      </c>
      <c r="I11593" s="422" t="s">
        <v>588</v>
      </c>
      <c r="J11593" s="530" t="s">
        <v>912</v>
      </c>
      <c r="L11593" s="539"/>
      <c r="M11593" s="539"/>
      <c r="N11593" s="598">
        <v>27048</v>
      </c>
      <c r="R11593" s="548">
        <v>850.66600007394254</v>
      </c>
      <c r="S11593" s="548">
        <v>851.74972530316495</v>
      </c>
      <c r="T11593" s="538">
        <v>15.5</v>
      </c>
      <c r="U11593" s="549">
        <v>103.54</v>
      </c>
      <c r="V11593" s="549">
        <v>51.77</v>
      </c>
      <c r="Z11593" s="548" t="s">
        <v>2953</v>
      </c>
    </row>
    <row r="11594" spans="1:26">
      <c r="A11594" s="499">
        <v>45891</v>
      </c>
      <c r="B11594" s="499">
        <v>45894</v>
      </c>
      <c r="C11594" s="500" t="s">
        <v>173</v>
      </c>
      <c r="D11594" s="500" t="s">
        <v>759</v>
      </c>
      <c r="E11594" s="501">
        <v>20036724.48</v>
      </c>
      <c r="F11594" s="502" t="s">
        <v>878</v>
      </c>
      <c r="G11594" s="443">
        <v>118739158</v>
      </c>
      <c r="H11594" s="443">
        <v>118739158</v>
      </c>
      <c r="I11594" s="422" t="s">
        <v>715</v>
      </c>
      <c r="J11594" s="530" t="s">
        <v>912</v>
      </c>
      <c r="L11594" s="539"/>
      <c r="M11594" s="539"/>
      <c r="N11594" s="598">
        <v>33280</v>
      </c>
      <c r="R11594" s="548">
        <v>601.29899999999998</v>
      </c>
      <c r="S11594" s="548">
        <v>602.06503846153896</v>
      </c>
      <c r="T11594" s="538">
        <v>15.5</v>
      </c>
      <c r="U11594" s="549">
        <v>90.05</v>
      </c>
      <c r="V11594" s="549">
        <v>45.03</v>
      </c>
      <c r="Z11594" s="548" t="s">
        <v>2953</v>
      </c>
    </row>
    <row r="11595" spans="1:26">
      <c r="A11595" s="499">
        <v>45891</v>
      </c>
      <c r="B11595" s="499">
        <v>45894</v>
      </c>
      <c r="C11595" s="500" t="s">
        <v>173</v>
      </c>
      <c r="D11595" s="500" t="s">
        <v>759</v>
      </c>
      <c r="E11595" s="501">
        <v>19032800.16</v>
      </c>
      <c r="F11595" s="502" t="s">
        <v>878</v>
      </c>
      <c r="G11595" s="443">
        <v>118739161</v>
      </c>
      <c r="H11595" s="443">
        <v>118739161</v>
      </c>
      <c r="I11595" s="422" t="s">
        <v>550</v>
      </c>
      <c r="J11595" s="530" t="s">
        <v>912</v>
      </c>
      <c r="L11595" s="539"/>
      <c r="M11595" s="539"/>
      <c r="N11595" s="598">
        <v>34485</v>
      </c>
      <c r="R11595" s="548">
        <v>551.21309989850658</v>
      </c>
      <c r="S11595" s="548">
        <v>551.91533014354104</v>
      </c>
      <c r="T11595" s="538">
        <v>15.5</v>
      </c>
      <c r="U11595" s="549">
        <v>85.54</v>
      </c>
      <c r="V11595" s="549">
        <v>42.77</v>
      </c>
      <c r="Z11595" s="548" t="s">
        <v>2953</v>
      </c>
    </row>
    <row r="11596" spans="1:26">
      <c r="A11596" s="499">
        <v>45891</v>
      </c>
      <c r="B11596" s="499">
        <v>45894</v>
      </c>
      <c r="C11596" s="500" t="s">
        <v>173</v>
      </c>
      <c r="D11596" s="500" t="s">
        <v>759</v>
      </c>
      <c r="E11596" s="501">
        <v>9020436.2200000007</v>
      </c>
      <c r="F11596" s="502" t="s">
        <v>878</v>
      </c>
      <c r="G11596" s="443">
        <v>118739164</v>
      </c>
      <c r="H11596" s="443">
        <v>118739164</v>
      </c>
      <c r="I11596" s="422" t="s">
        <v>658</v>
      </c>
      <c r="J11596" s="530" t="s">
        <v>912</v>
      </c>
      <c r="L11596" s="539"/>
      <c r="M11596" s="539"/>
      <c r="N11596" s="598">
        <v>8775</v>
      </c>
      <c r="R11596" s="548">
        <v>1026.662</v>
      </c>
      <c r="S11596" s="548">
        <v>1027.9699396011399</v>
      </c>
      <c r="T11596" s="538">
        <v>15.5</v>
      </c>
      <c r="U11596" s="549">
        <v>40.54</v>
      </c>
      <c r="V11596" s="549">
        <v>20.27</v>
      </c>
      <c r="Z11596" s="548" t="s">
        <v>2953</v>
      </c>
    </row>
    <row r="11597" spans="1:26">
      <c r="A11597" s="499">
        <v>45891</v>
      </c>
      <c r="B11597" s="499">
        <v>45894</v>
      </c>
      <c r="C11597" s="500" t="s">
        <v>173</v>
      </c>
      <c r="D11597" s="500" t="s">
        <v>759</v>
      </c>
      <c r="E11597" s="501">
        <v>4006030.28</v>
      </c>
      <c r="F11597" s="502" t="s">
        <v>878</v>
      </c>
      <c r="G11597" s="443">
        <v>118739167</v>
      </c>
      <c r="H11597" s="443">
        <v>118739167</v>
      </c>
      <c r="I11597" s="422" t="s">
        <v>673</v>
      </c>
      <c r="J11597" s="530" t="s">
        <v>912</v>
      </c>
      <c r="L11597" s="539"/>
      <c r="M11597" s="539"/>
      <c r="N11597" s="598">
        <v>4400</v>
      </c>
      <c r="R11597" s="548">
        <v>909.303</v>
      </c>
      <c r="S11597" s="548">
        <v>910.46142727272695</v>
      </c>
      <c r="T11597" s="538">
        <v>15.5</v>
      </c>
      <c r="U11597" s="549">
        <v>39.32</v>
      </c>
      <c r="V11597" s="549">
        <v>9</v>
      </c>
      <c r="Z11597" s="548" t="s">
        <v>2953</v>
      </c>
    </row>
    <row r="11598" spans="1:26">
      <c r="A11598" s="499">
        <v>45891</v>
      </c>
      <c r="B11598" s="499">
        <v>45894</v>
      </c>
      <c r="C11598" s="500" t="s">
        <v>173</v>
      </c>
      <c r="D11598" s="500" t="s">
        <v>759</v>
      </c>
      <c r="E11598" s="501">
        <v>485863823.70999998</v>
      </c>
      <c r="F11598" s="502" t="s">
        <v>878</v>
      </c>
      <c r="G11598" s="443">
        <v>118739170</v>
      </c>
      <c r="H11598" s="443">
        <v>118739170</v>
      </c>
      <c r="I11598" s="422" t="s">
        <v>693</v>
      </c>
      <c r="J11598" s="530" t="s">
        <v>912</v>
      </c>
      <c r="L11598" s="539"/>
      <c r="M11598" s="539"/>
      <c r="N11598" s="598">
        <v>638745</v>
      </c>
      <c r="R11598" s="548">
        <v>759.68600000000004</v>
      </c>
      <c r="S11598" s="548">
        <v>760.65381914535499</v>
      </c>
      <c r="T11598" s="538">
        <v>15.5</v>
      </c>
      <c r="U11598" s="549">
        <v>2183.61</v>
      </c>
      <c r="V11598" s="549">
        <v>1091.8</v>
      </c>
      <c r="Z11598" s="548" t="s">
        <v>2953</v>
      </c>
    </row>
    <row r="11599" spans="1:26">
      <c r="A11599" s="499">
        <v>45891</v>
      </c>
      <c r="B11599" s="499">
        <v>45894</v>
      </c>
      <c r="C11599" s="500" t="s">
        <v>173</v>
      </c>
      <c r="D11599" s="500" t="s">
        <v>759</v>
      </c>
      <c r="E11599" s="501">
        <v>13023154.039999999</v>
      </c>
      <c r="F11599" s="502" t="s">
        <v>878</v>
      </c>
      <c r="G11599" s="443">
        <v>118739188</v>
      </c>
      <c r="H11599" s="443">
        <v>118739188</v>
      </c>
      <c r="I11599" s="422" t="s">
        <v>693</v>
      </c>
      <c r="J11599" s="530" t="s">
        <v>912</v>
      </c>
      <c r="L11599" s="539"/>
      <c r="M11599" s="539"/>
      <c r="N11599" s="598">
        <v>17121</v>
      </c>
      <c r="R11599" s="548">
        <v>759.68600023363115</v>
      </c>
      <c r="S11599" s="548">
        <v>760.65381928625698</v>
      </c>
      <c r="T11599" s="538">
        <v>15.5</v>
      </c>
      <c r="U11599" s="549">
        <v>58.53</v>
      </c>
      <c r="V11599" s="549">
        <v>29.26</v>
      </c>
      <c r="Z11599" s="548" t="s">
        <v>2953</v>
      </c>
    </row>
    <row r="11600" spans="1:26" ht="15">
      <c r="A11600" s="499">
        <v>45891</v>
      </c>
      <c r="B11600" s="499">
        <v>45891</v>
      </c>
      <c r="C11600" s="500" t="s">
        <v>173</v>
      </c>
      <c r="D11600" s="500" t="s">
        <v>764</v>
      </c>
      <c r="E11600" s="501">
        <v>-4078471348.5300002</v>
      </c>
      <c r="F11600" s="502" t="s">
        <v>878</v>
      </c>
      <c r="G11600" s="443">
        <v>118737010</v>
      </c>
      <c r="H11600" s="530"/>
      <c r="I11600" s="527" t="s">
        <v>675</v>
      </c>
      <c r="J11600" s="530" t="s">
        <v>906</v>
      </c>
      <c r="L11600" s="539"/>
      <c r="M11600" s="539"/>
      <c r="N11600" s="598">
        <v>4342005</v>
      </c>
      <c r="R11600" s="548">
        <v>939.30600000000004</v>
      </c>
      <c r="S11600" s="548">
        <v>940.50267326960704</v>
      </c>
      <c r="T11600" s="538">
        <v>15.5</v>
      </c>
      <c r="U11600" s="549">
        <v>18353.12</v>
      </c>
      <c r="V11600" s="549">
        <v>9176.56</v>
      </c>
      <c r="Z11600" s="548" t="s">
        <v>2953</v>
      </c>
    </row>
    <row r="11601" spans="1:26" ht="15">
      <c r="A11601" s="499">
        <v>45891</v>
      </c>
      <c r="B11601" s="499">
        <v>45891</v>
      </c>
      <c r="C11601" s="500" t="s">
        <v>173</v>
      </c>
      <c r="D11601" s="500" t="s">
        <v>764</v>
      </c>
      <c r="E11601" s="501">
        <v>-733264532.37</v>
      </c>
      <c r="F11601" s="502" t="s">
        <v>878</v>
      </c>
      <c r="G11601" s="443">
        <v>118737093</v>
      </c>
      <c r="H11601" s="530"/>
      <c r="I11601" s="527" t="s">
        <v>675</v>
      </c>
      <c r="J11601" s="530" t="s">
        <v>906</v>
      </c>
      <c r="L11601" s="539"/>
      <c r="M11601" s="539"/>
      <c r="N11601" s="598">
        <v>780645</v>
      </c>
      <c r="R11601" s="548">
        <v>939.30600000000004</v>
      </c>
      <c r="S11601" s="548">
        <v>940.50266555220401</v>
      </c>
      <c r="T11601" s="538">
        <v>15.5</v>
      </c>
      <c r="U11601" s="549">
        <v>3299.69</v>
      </c>
      <c r="V11601" s="549">
        <v>1649.85</v>
      </c>
      <c r="Z11601" s="548" t="s">
        <v>2953</v>
      </c>
    </row>
    <row r="11602" spans="1:26" ht="15">
      <c r="A11602" s="499">
        <v>45891</v>
      </c>
      <c r="B11602" s="499">
        <v>45891</v>
      </c>
      <c r="C11602" s="500" t="s">
        <v>173</v>
      </c>
      <c r="D11602" s="500" t="s">
        <v>764</v>
      </c>
      <c r="E11602" s="501">
        <v>-29010465.809999999</v>
      </c>
      <c r="F11602" s="502" t="s">
        <v>878</v>
      </c>
      <c r="G11602" s="443">
        <v>118737110</v>
      </c>
      <c r="H11602" s="530"/>
      <c r="I11602" s="527" t="s">
        <v>675</v>
      </c>
      <c r="J11602" s="530" t="s">
        <v>906</v>
      </c>
      <c r="L11602" s="539"/>
      <c r="M11602" s="539"/>
      <c r="N11602" s="598">
        <v>30885</v>
      </c>
      <c r="R11602" s="548">
        <v>939.30599999999993</v>
      </c>
      <c r="S11602" s="548">
        <v>940.50266569532096</v>
      </c>
      <c r="T11602" s="538">
        <v>15.5</v>
      </c>
      <c r="U11602" s="549">
        <v>130.55000000000001</v>
      </c>
      <c r="V11602" s="549">
        <v>65.27</v>
      </c>
      <c r="Z11602" s="548" t="s">
        <v>2953</v>
      </c>
    </row>
    <row r="11603" spans="1:26" ht="15">
      <c r="A11603" s="499">
        <v>45891</v>
      </c>
      <c r="B11603" s="499">
        <v>45894</v>
      </c>
      <c r="C11603" s="500" t="s">
        <v>173</v>
      </c>
      <c r="D11603" s="500" t="s">
        <v>764</v>
      </c>
      <c r="E11603" s="501">
        <v>4083667309.8499999</v>
      </c>
      <c r="F11603" s="502" t="s">
        <v>878</v>
      </c>
      <c r="G11603" s="443">
        <v>118737010</v>
      </c>
      <c r="H11603" s="607">
        <v>118737010</v>
      </c>
      <c r="I11603" s="527" t="s">
        <v>675</v>
      </c>
      <c r="J11603" s="530" t="s">
        <v>912</v>
      </c>
      <c r="L11603" s="539"/>
      <c r="M11603" s="539"/>
      <c r="N11603" s="598">
        <v>4342005</v>
      </c>
      <c r="R11603" s="548">
        <v>939.30600000000004</v>
      </c>
      <c r="S11603" s="548">
        <v>940.50267326960704</v>
      </c>
      <c r="T11603" s="538">
        <v>15.5</v>
      </c>
      <c r="U11603" s="549">
        <v>18353.12</v>
      </c>
      <c r="V11603" s="549">
        <v>9176.56</v>
      </c>
      <c r="Z11603" s="548" t="s">
        <v>2953</v>
      </c>
    </row>
    <row r="11604" spans="1:26" ht="15">
      <c r="A11604" s="499">
        <v>45891</v>
      </c>
      <c r="B11604" s="499">
        <v>45894</v>
      </c>
      <c r="C11604" s="500" t="s">
        <v>173</v>
      </c>
      <c r="D11604" s="500" t="s">
        <v>764</v>
      </c>
      <c r="E11604" s="501">
        <v>734198703.35000002</v>
      </c>
      <c r="F11604" s="502" t="s">
        <v>878</v>
      </c>
      <c r="G11604" s="443">
        <v>118737093</v>
      </c>
      <c r="H11604" s="607">
        <v>118737093</v>
      </c>
      <c r="I11604" s="527" t="s">
        <v>675</v>
      </c>
      <c r="J11604" s="530" t="s">
        <v>912</v>
      </c>
      <c r="L11604" s="539"/>
      <c r="M11604" s="539"/>
      <c r="N11604" s="598">
        <v>780645</v>
      </c>
      <c r="R11604" s="548">
        <v>939.30600000000004</v>
      </c>
      <c r="S11604" s="548">
        <v>940.50266555220401</v>
      </c>
      <c r="T11604" s="538">
        <v>15.5</v>
      </c>
      <c r="U11604" s="549">
        <v>3299.69</v>
      </c>
      <c r="V11604" s="549">
        <v>1649.85</v>
      </c>
      <c r="Z11604" s="548" t="s">
        <v>2953</v>
      </c>
    </row>
    <row r="11605" spans="1:26" ht="15">
      <c r="A11605" s="499">
        <v>45891</v>
      </c>
      <c r="B11605" s="499">
        <v>45894</v>
      </c>
      <c r="C11605" s="500" t="s">
        <v>173</v>
      </c>
      <c r="D11605" s="500" t="s">
        <v>764</v>
      </c>
      <c r="E11605" s="501">
        <v>29047424.829999998</v>
      </c>
      <c r="F11605" s="502" t="s">
        <v>878</v>
      </c>
      <c r="G11605" s="443">
        <v>118737110</v>
      </c>
      <c r="H11605" s="607">
        <v>118737110</v>
      </c>
      <c r="I11605" s="527" t="s">
        <v>675</v>
      </c>
      <c r="J11605" s="530" t="s">
        <v>912</v>
      </c>
      <c r="L11605" s="539"/>
      <c r="M11605" s="539"/>
      <c r="N11605" s="598">
        <v>30885</v>
      </c>
      <c r="R11605" s="548">
        <v>939.30599999999993</v>
      </c>
      <c r="S11605" s="548">
        <v>940.50266569532096</v>
      </c>
      <c r="T11605" s="538">
        <v>15.5</v>
      </c>
      <c r="U11605" s="549">
        <v>130.55000000000001</v>
      </c>
      <c r="V11605" s="549">
        <v>65.27</v>
      </c>
      <c r="Z11605" s="548" t="s">
        <v>2953</v>
      </c>
    </row>
    <row r="11606" spans="1:26" ht="14.25">
      <c r="A11606" s="499">
        <v>45891</v>
      </c>
      <c r="B11606" s="499">
        <v>45891</v>
      </c>
      <c r="C11606" s="500" t="s">
        <v>173</v>
      </c>
      <c r="D11606" s="500" t="s">
        <v>763</v>
      </c>
      <c r="E11606" s="501">
        <v>-1917691826.1300001</v>
      </c>
      <c r="F11606" s="502" t="s">
        <v>878</v>
      </c>
      <c r="G11606" s="443">
        <v>118735948</v>
      </c>
      <c r="H11606" s="530"/>
      <c r="I11606" s="528" t="s">
        <v>675</v>
      </c>
      <c r="J11606" s="530" t="s">
        <v>906</v>
      </c>
      <c r="L11606" s="539"/>
      <c r="M11606" s="539"/>
      <c r="N11606" s="598">
        <v>2041605</v>
      </c>
      <c r="R11606" s="548">
        <v>939.30600000000004</v>
      </c>
      <c r="S11606" s="548">
        <v>940.50272731502901</v>
      </c>
      <c r="T11606" s="538">
        <v>15.5</v>
      </c>
      <c r="U11606" s="549">
        <v>8629.61</v>
      </c>
      <c r="V11606" s="549">
        <v>4314.8100000000004</v>
      </c>
      <c r="Z11606" s="548" t="s">
        <v>2953</v>
      </c>
    </row>
    <row r="11607" spans="1:26" ht="14.25">
      <c r="A11607" s="499">
        <v>45891</v>
      </c>
      <c r="B11607" s="499">
        <v>45891</v>
      </c>
      <c r="C11607" s="500" t="s">
        <v>173</v>
      </c>
      <c r="D11607" s="500" t="s">
        <v>763</v>
      </c>
      <c r="E11607" s="501">
        <v>-12004330.68</v>
      </c>
      <c r="F11607" s="502" t="s">
        <v>878</v>
      </c>
      <c r="G11607" s="443">
        <v>118735994</v>
      </c>
      <c r="H11607" s="530"/>
      <c r="I11607" s="528" t="s">
        <v>675</v>
      </c>
      <c r="J11607" s="530" t="s">
        <v>906</v>
      </c>
      <c r="L11607" s="539"/>
      <c r="M11607" s="539"/>
      <c r="N11607" s="598">
        <v>12780</v>
      </c>
      <c r="R11607" s="548">
        <v>939.30600000000004</v>
      </c>
      <c r="S11607" s="548">
        <v>940.50272769953006</v>
      </c>
      <c r="T11607" s="538">
        <v>15.5</v>
      </c>
      <c r="U11607" s="549">
        <v>54.02</v>
      </c>
      <c r="V11607" s="549">
        <v>39.32</v>
      </c>
      <c r="Z11607" s="548" t="s">
        <v>2953</v>
      </c>
    </row>
    <row r="11608" spans="1:26" ht="14.25">
      <c r="A11608" s="499">
        <v>45891</v>
      </c>
      <c r="B11608" s="499">
        <v>45894</v>
      </c>
      <c r="C11608" s="500" t="s">
        <v>173</v>
      </c>
      <c r="D11608" s="500" t="s">
        <v>763</v>
      </c>
      <c r="E11608" s="501">
        <v>1920135070.5999999</v>
      </c>
      <c r="F11608" s="502" t="s">
        <v>878</v>
      </c>
      <c r="G11608" s="443">
        <v>118735948</v>
      </c>
      <c r="H11608" s="608">
        <v>118735948</v>
      </c>
      <c r="I11608" s="528" t="s">
        <v>675</v>
      </c>
      <c r="J11608" s="530" t="s">
        <v>912</v>
      </c>
      <c r="L11608" s="539"/>
      <c r="M11608" s="539"/>
      <c r="N11608" s="598">
        <v>2041605</v>
      </c>
      <c r="R11608" s="548">
        <v>939.30600000000004</v>
      </c>
      <c r="S11608" s="548">
        <v>940.50272731502901</v>
      </c>
      <c r="T11608" s="538">
        <v>15.5</v>
      </c>
      <c r="U11608" s="549">
        <v>8629.61</v>
      </c>
      <c r="V11608" s="549">
        <v>4314.8100000000004</v>
      </c>
      <c r="Z11608" s="548" t="s">
        <v>2953</v>
      </c>
    </row>
    <row r="11609" spans="1:26" ht="14.25">
      <c r="A11609" s="499">
        <v>45891</v>
      </c>
      <c r="B11609" s="499">
        <v>45894</v>
      </c>
      <c r="C11609" s="500" t="s">
        <v>173</v>
      </c>
      <c r="D11609" s="500" t="s">
        <v>763</v>
      </c>
      <c r="E11609" s="501">
        <v>12019624.859999999</v>
      </c>
      <c r="F11609" s="502" t="s">
        <v>878</v>
      </c>
      <c r="G11609" s="443">
        <v>118735994</v>
      </c>
      <c r="H11609" s="608">
        <v>118735994</v>
      </c>
      <c r="I11609" s="528" t="s">
        <v>675</v>
      </c>
      <c r="J11609" s="530" t="s">
        <v>912</v>
      </c>
      <c r="L11609" s="539"/>
      <c r="M11609" s="539"/>
      <c r="N11609" s="598">
        <v>12780</v>
      </c>
      <c r="R11609" s="548">
        <v>939.30600000000004</v>
      </c>
      <c r="S11609" s="548">
        <v>940.50272769953006</v>
      </c>
      <c r="T11609" s="538">
        <v>15.5</v>
      </c>
      <c r="U11609" s="549">
        <v>54.02</v>
      </c>
      <c r="V11609" s="549">
        <v>39.32</v>
      </c>
      <c r="Z11609" s="548" t="s">
        <v>2953</v>
      </c>
    </row>
    <row r="11610" spans="1:26">
      <c r="A11610" s="499">
        <v>45894</v>
      </c>
      <c r="B11610" s="499">
        <v>45894</v>
      </c>
      <c r="C11610" s="500" t="s">
        <v>173</v>
      </c>
      <c r="D11610" s="500" t="s">
        <v>761</v>
      </c>
      <c r="E11610" s="501">
        <v>-1645831419.1900001</v>
      </c>
      <c r="F11610" s="502" t="s">
        <v>878</v>
      </c>
      <c r="G11610" s="443">
        <v>118756950</v>
      </c>
      <c r="H11610" s="530"/>
      <c r="I11610" s="422" t="s">
        <v>673</v>
      </c>
      <c r="J11610" s="530" t="s">
        <v>906</v>
      </c>
      <c r="L11610" s="539"/>
      <c r="M11610" s="539"/>
      <c r="N11610" s="598">
        <v>1807855</v>
      </c>
      <c r="R11610" s="548">
        <v>910.37800000000004</v>
      </c>
      <c r="S11610" s="548">
        <v>910.76509771524798</v>
      </c>
      <c r="T11610" s="549">
        <v>15.52</v>
      </c>
      <c r="U11610" s="549">
        <v>2468.75</v>
      </c>
      <c r="V11610" s="549">
        <v>1234.3699999999999</v>
      </c>
      <c r="Z11610" s="548" t="s">
        <v>2953</v>
      </c>
    </row>
    <row r="11611" spans="1:26">
      <c r="A11611" s="499">
        <v>45894</v>
      </c>
      <c r="B11611" s="499">
        <v>45894</v>
      </c>
      <c r="C11611" s="500" t="s">
        <v>173</v>
      </c>
      <c r="D11611" s="500" t="s">
        <v>761</v>
      </c>
      <c r="E11611" s="501">
        <v>-10000397.689999999</v>
      </c>
      <c r="F11611" s="502" t="s">
        <v>878</v>
      </c>
      <c r="G11611" s="443">
        <v>118759081</v>
      </c>
      <c r="H11611" s="530"/>
      <c r="I11611" s="422" t="s">
        <v>2856</v>
      </c>
      <c r="J11611" s="530" t="s">
        <v>906</v>
      </c>
      <c r="L11611" s="539"/>
      <c r="M11611" s="539"/>
      <c r="N11611" s="598">
        <v>18290</v>
      </c>
      <c r="R11611" s="548">
        <v>546.76859978130119</v>
      </c>
      <c r="S11611" s="548">
        <v>547.00079059595396</v>
      </c>
      <c r="T11611" s="549">
        <v>15.5001</v>
      </c>
      <c r="U11611" s="549">
        <v>39.32</v>
      </c>
      <c r="V11611" s="549">
        <v>7.5</v>
      </c>
      <c r="Z11611" s="548" t="s">
        <v>2953</v>
      </c>
    </row>
    <row r="11612" spans="1:26">
      <c r="A11612" s="499">
        <v>45894</v>
      </c>
      <c r="B11612" s="499">
        <v>45895</v>
      </c>
      <c r="C11612" s="500" t="s">
        <v>173</v>
      </c>
      <c r="D11612" s="500" t="s">
        <v>761</v>
      </c>
      <c r="E11612" s="501">
        <v>1646531235.73</v>
      </c>
      <c r="F11612" s="502" t="s">
        <v>878</v>
      </c>
      <c r="G11612" s="443">
        <v>118756950</v>
      </c>
      <c r="H11612" s="443">
        <v>118756950</v>
      </c>
      <c r="I11612" s="422" t="s">
        <v>673</v>
      </c>
      <c r="J11612" s="530" t="s">
        <v>912</v>
      </c>
      <c r="L11612" s="539"/>
      <c r="M11612" s="539"/>
      <c r="N11612" s="598">
        <v>1807855</v>
      </c>
      <c r="R11612" s="548">
        <v>910.37800000000004</v>
      </c>
      <c r="S11612" s="548">
        <v>910.76509771524798</v>
      </c>
      <c r="T11612" s="549">
        <v>15.52</v>
      </c>
      <c r="U11612" s="549">
        <v>2468.75</v>
      </c>
      <c r="V11612" s="549">
        <v>1234.3699999999999</v>
      </c>
      <c r="Z11612" s="548" t="s">
        <v>2953</v>
      </c>
    </row>
    <row r="11613" spans="1:26">
      <c r="A11613" s="499">
        <v>45894</v>
      </c>
      <c r="B11613" s="499">
        <v>45895</v>
      </c>
      <c r="C11613" s="500" t="s">
        <v>173</v>
      </c>
      <c r="D11613" s="500" t="s">
        <v>761</v>
      </c>
      <c r="E11613" s="501">
        <v>10004644.460000001</v>
      </c>
      <c r="F11613" s="502" t="s">
        <v>878</v>
      </c>
      <c r="G11613" s="443">
        <v>118759081</v>
      </c>
      <c r="H11613" s="443">
        <v>118759081</v>
      </c>
      <c r="I11613" s="422" t="s">
        <v>2856</v>
      </c>
      <c r="J11613" s="530" t="s">
        <v>912</v>
      </c>
      <c r="L11613" s="539"/>
      <c r="M11613" s="539"/>
      <c r="N11613" s="598">
        <v>18290</v>
      </c>
      <c r="R11613" s="548">
        <v>546.76859978130119</v>
      </c>
      <c r="S11613" s="548">
        <v>547.00079059595396</v>
      </c>
      <c r="T11613" s="549">
        <v>15.5001</v>
      </c>
      <c r="U11613" s="549">
        <v>39.32</v>
      </c>
      <c r="V11613" s="549">
        <v>7.5</v>
      </c>
      <c r="Z11613" s="548" t="s">
        <v>2953</v>
      </c>
    </row>
    <row r="11614" spans="1:26">
      <c r="A11614" s="499">
        <v>45894</v>
      </c>
      <c r="B11614" s="499">
        <v>45894</v>
      </c>
      <c r="C11614" s="500" t="s">
        <v>173</v>
      </c>
      <c r="D11614" s="500" t="s">
        <v>760</v>
      </c>
      <c r="E11614" s="501">
        <v>-787341423.89999998</v>
      </c>
      <c r="F11614" s="502" t="s">
        <v>878</v>
      </c>
      <c r="G11614" s="443">
        <v>118760896</v>
      </c>
      <c r="H11614" s="530"/>
      <c r="I11614" s="422" t="s">
        <v>2854</v>
      </c>
      <c r="J11614" s="530" t="s">
        <v>906</v>
      </c>
      <c r="L11614" s="539"/>
      <c r="M11614" s="539"/>
      <c r="N11614" s="598">
        <v>1444932</v>
      </c>
      <c r="R11614" s="548">
        <v>544.89859999999999</v>
      </c>
      <c r="S11614" s="548">
        <v>545.12999828365605</v>
      </c>
      <c r="T11614" s="549">
        <v>15.5001</v>
      </c>
      <c r="U11614" s="549">
        <v>1181.01</v>
      </c>
      <c r="V11614" s="549">
        <v>590.51</v>
      </c>
      <c r="Z11614" s="548" t="s">
        <v>2953</v>
      </c>
    </row>
    <row r="11615" spans="1:26">
      <c r="A11615" s="499">
        <v>45894</v>
      </c>
      <c r="B11615" s="499">
        <v>45894</v>
      </c>
      <c r="C11615" s="500" t="s">
        <v>173</v>
      </c>
      <c r="D11615" s="500" t="s">
        <v>760</v>
      </c>
      <c r="E11615" s="501">
        <v>-1300051700.22</v>
      </c>
      <c r="F11615" s="502" t="s">
        <v>878</v>
      </c>
      <c r="G11615" s="443">
        <v>118758748</v>
      </c>
      <c r="H11615" s="530"/>
      <c r="I11615" s="422" t="s">
        <v>2856</v>
      </c>
      <c r="J11615" s="530" t="s">
        <v>906</v>
      </c>
      <c r="L11615" s="539"/>
      <c r="M11615" s="539"/>
      <c r="N11615" s="598">
        <v>2377700</v>
      </c>
      <c r="R11615" s="548">
        <v>546.76859999999999</v>
      </c>
      <c r="S11615" s="548">
        <v>547.00079090297299</v>
      </c>
      <c r="T11615" s="549">
        <v>15.5001</v>
      </c>
      <c r="U11615" s="549">
        <v>1950.08</v>
      </c>
      <c r="V11615" s="549">
        <v>975.04</v>
      </c>
      <c r="Z11615" s="548" t="s">
        <v>2953</v>
      </c>
    </row>
    <row r="11616" spans="1:26">
      <c r="A11616" s="499">
        <v>45894</v>
      </c>
      <c r="B11616" s="499">
        <v>45894</v>
      </c>
      <c r="C11616" s="500" t="s">
        <v>173</v>
      </c>
      <c r="D11616" s="500" t="s">
        <v>760</v>
      </c>
      <c r="E11616" s="501">
        <v>-121004812.09999999</v>
      </c>
      <c r="F11616" s="502" t="s">
        <v>878</v>
      </c>
      <c r="G11616" s="443">
        <v>118760899</v>
      </c>
      <c r="H11616" s="530"/>
      <c r="I11616" s="422" t="s">
        <v>2856</v>
      </c>
      <c r="J11616" s="530" t="s">
        <v>906</v>
      </c>
      <c r="L11616" s="539"/>
      <c r="M11616" s="539"/>
      <c r="N11616" s="598">
        <v>221309</v>
      </c>
      <c r="R11616" s="548">
        <v>546.76859999999999</v>
      </c>
      <c r="S11616" s="548">
        <v>547.00079093032798</v>
      </c>
      <c r="T11616" s="549">
        <v>15.5001</v>
      </c>
      <c r="U11616" s="549">
        <v>181.51</v>
      </c>
      <c r="V11616" s="549">
        <v>90.75</v>
      </c>
      <c r="Z11616" s="548" t="s">
        <v>2953</v>
      </c>
    </row>
    <row r="11617" spans="1:26">
      <c r="A11617" s="499">
        <v>45894</v>
      </c>
      <c r="B11617" s="499">
        <v>45894</v>
      </c>
      <c r="C11617" s="500" t="s">
        <v>173</v>
      </c>
      <c r="D11617" s="500" t="s">
        <v>760</v>
      </c>
      <c r="E11617" s="501">
        <v>-5000198.8499999996</v>
      </c>
      <c r="F11617" s="502" t="s">
        <v>878</v>
      </c>
      <c r="G11617" s="443">
        <v>118760928</v>
      </c>
      <c r="H11617" s="530"/>
      <c r="I11617" s="422" t="s">
        <v>2856</v>
      </c>
      <c r="J11617" s="530" t="s">
        <v>906</v>
      </c>
      <c r="L11617" s="539"/>
      <c r="M11617" s="539"/>
      <c r="N11617" s="598">
        <v>9145</v>
      </c>
      <c r="R11617" s="548">
        <v>546.76859999999999</v>
      </c>
      <c r="S11617" s="548">
        <v>547.00079168944796</v>
      </c>
      <c r="T11617" s="549">
        <v>15.5001</v>
      </c>
      <c r="U11617" s="549">
        <v>39.32</v>
      </c>
      <c r="V11617" s="549">
        <v>3.75</v>
      </c>
      <c r="Z11617" s="548" t="s">
        <v>2953</v>
      </c>
    </row>
    <row r="11618" spans="1:26">
      <c r="A11618" s="499">
        <v>45894</v>
      </c>
      <c r="B11618" s="499">
        <v>45895</v>
      </c>
      <c r="C11618" s="500" t="s">
        <v>173</v>
      </c>
      <c r="D11618" s="500" t="s">
        <v>760</v>
      </c>
      <c r="E11618" s="501">
        <v>787675778.67999995</v>
      </c>
      <c r="F11618" s="502" t="s">
        <v>878</v>
      </c>
      <c r="G11618" s="443">
        <v>118760896</v>
      </c>
      <c r="H11618" s="443">
        <v>118760896</v>
      </c>
      <c r="I11618" s="422" t="s">
        <v>2854</v>
      </c>
      <c r="J11618" s="530" t="s">
        <v>912</v>
      </c>
      <c r="L11618" s="539"/>
      <c r="M11618" s="539"/>
      <c r="N11618" s="598">
        <v>1444932</v>
      </c>
      <c r="R11618" s="548">
        <v>544.89859999999999</v>
      </c>
      <c r="S11618" s="548">
        <v>545.12999828365605</v>
      </c>
      <c r="T11618" s="549">
        <v>15.5001</v>
      </c>
      <c r="U11618" s="549">
        <v>1181.01</v>
      </c>
      <c r="V11618" s="549">
        <v>590.51</v>
      </c>
      <c r="Z11618" s="548" t="s">
        <v>2953</v>
      </c>
    </row>
    <row r="11619" spans="1:26">
      <c r="A11619" s="499">
        <v>45894</v>
      </c>
      <c r="B11619" s="499">
        <v>45895</v>
      </c>
      <c r="C11619" s="500" t="s">
        <v>173</v>
      </c>
      <c r="D11619" s="500" t="s">
        <v>760</v>
      </c>
      <c r="E11619" s="501">
        <v>1300603780.53</v>
      </c>
      <c r="F11619" s="502" t="s">
        <v>878</v>
      </c>
      <c r="G11619" s="443">
        <v>118758748</v>
      </c>
      <c r="H11619" s="443">
        <v>118758748</v>
      </c>
      <c r="I11619" s="422" t="s">
        <v>2856</v>
      </c>
      <c r="J11619" s="530" t="s">
        <v>912</v>
      </c>
      <c r="L11619" s="539"/>
      <c r="M11619" s="539"/>
      <c r="N11619" s="598">
        <v>2377700</v>
      </c>
      <c r="R11619" s="548">
        <v>546.76859999999999</v>
      </c>
      <c r="S11619" s="548">
        <v>547.00079090297299</v>
      </c>
      <c r="T11619" s="549">
        <v>15.5001</v>
      </c>
      <c r="U11619" s="549">
        <v>1950.08</v>
      </c>
      <c r="V11619" s="549">
        <v>975.04</v>
      </c>
      <c r="Z11619" s="548" t="s">
        <v>2953</v>
      </c>
    </row>
    <row r="11620" spans="1:26">
      <c r="A11620" s="499">
        <v>45894</v>
      </c>
      <c r="B11620" s="499">
        <v>45895</v>
      </c>
      <c r="C11620" s="500" t="s">
        <v>173</v>
      </c>
      <c r="D11620" s="500" t="s">
        <v>760</v>
      </c>
      <c r="E11620" s="501">
        <v>121056198.04000001</v>
      </c>
      <c r="F11620" s="502" t="s">
        <v>878</v>
      </c>
      <c r="G11620" s="443">
        <v>118760899</v>
      </c>
      <c r="H11620" s="443">
        <v>118760899</v>
      </c>
      <c r="I11620" s="422" t="s">
        <v>2856</v>
      </c>
      <c r="J11620" s="530" t="s">
        <v>912</v>
      </c>
      <c r="L11620" s="539"/>
      <c r="M11620" s="539"/>
      <c r="N11620" s="598">
        <v>221309</v>
      </c>
      <c r="R11620" s="548">
        <v>546.76859999999999</v>
      </c>
      <c r="S11620" s="548">
        <v>547.00079093032798</v>
      </c>
      <c r="T11620" s="549">
        <v>15.5001</v>
      </c>
      <c r="U11620" s="549">
        <v>181.51</v>
      </c>
      <c r="V11620" s="549">
        <v>90.75</v>
      </c>
      <c r="Z11620" s="548" t="s">
        <v>2953</v>
      </c>
    </row>
    <row r="11621" spans="1:26">
      <c r="A11621" s="499">
        <v>45894</v>
      </c>
      <c r="B11621" s="499">
        <v>45895</v>
      </c>
      <c r="C11621" s="500" t="s">
        <v>173</v>
      </c>
      <c r="D11621" s="500" t="s">
        <v>760</v>
      </c>
      <c r="E11621" s="501">
        <v>5002322.24</v>
      </c>
      <c r="F11621" s="502" t="s">
        <v>878</v>
      </c>
      <c r="G11621" s="443">
        <v>118760928</v>
      </c>
      <c r="H11621" s="443">
        <v>118760928</v>
      </c>
      <c r="I11621" s="422" t="s">
        <v>2856</v>
      </c>
      <c r="J11621" s="530" t="s">
        <v>912</v>
      </c>
      <c r="L11621" s="539"/>
      <c r="M11621" s="539"/>
      <c r="N11621" s="598">
        <v>9145</v>
      </c>
      <c r="R11621" s="548">
        <v>546.76859999999999</v>
      </c>
      <c r="S11621" s="548">
        <v>547.00079168944796</v>
      </c>
      <c r="T11621" s="549">
        <v>15.5001</v>
      </c>
      <c r="U11621" s="549">
        <v>39.32</v>
      </c>
      <c r="V11621" s="549">
        <v>3.75</v>
      </c>
      <c r="Z11621" s="548" t="s">
        <v>2953</v>
      </c>
    </row>
    <row r="11622" spans="1:26">
      <c r="A11622" s="499">
        <v>45894</v>
      </c>
      <c r="B11622" s="499">
        <v>45894</v>
      </c>
      <c r="C11622" s="500" t="s">
        <v>173</v>
      </c>
      <c r="D11622" s="500" t="s">
        <v>764</v>
      </c>
      <c r="E11622" s="501">
        <v>-4818984224.7700005</v>
      </c>
      <c r="F11622" s="502" t="s">
        <v>878</v>
      </c>
      <c r="G11622" s="443">
        <v>118758764</v>
      </c>
      <c r="H11622" s="443"/>
      <c r="I11622" s="422" t="s">
        <v>675</v>
      </c>
      <c r="J11622" s="530" t="s">
        <v>906</v>
      </c>
      <c r="L11622" s="539"/>
      <c r="M11622" s="539"/>
      <c r="N11622" s="598">
        <v>5124224</v>
      </c>
      <c r="R11622" s="548">
        <v>940.43200000039042</v>
      </c>
      <c r="S11622" s="548">
        <v>940.83174801296695</v>
      </c>
      <c r="T11622" s="549">
        <v>15.515000000000001</v>
      </c>
      <c r="U11622" s="549">
        <v>7228.48</v>
      </c>
      <c r="V11622" s="549">
        <v>3614.24</v>
      </c>
      <c r="Z11622" s="548" t="s">
        <v>2953</v>
      </c>
    </row>
    <row r="11623" spans="1:26">
      <c r="A11623" s="499">
        <v>45894</v>
      </c>
      <c r="B11623" s="499">
        <v>45894</v>
      </c>
      <c r="C11623" s="500" t="s">
        <v>173</v>
      </c>
      <c r="D11623" s="500" t="s">
        <v>764</v>
      </c>
      <c r="E11623" s="501">
        <v>-28017350.140000001</v>
      </c>
      <c r="F11623" s="502" t="s">
        <v>878</v>
      </c>
      <c r="G11623" s="443">
        <v>118759006</v>
      </c>
      <c r="H11623" s="443"/>
      <c r="I11623" s="422" t="s">
        <v>675</v>
      </c>
      <c r="J11623" s="530" t="s">
        <v>906</v>
      </c>
      <c r="K11623" s="538"/>
      <c r="L11623" s="539"/>
      <c r="M11623" s="539"/>
      <c r="N11623" s="598">
        <v>29792</v>
      </c>
      <c r="R11623" s="548">
        <v>940.43199986573575</v>
      </c>
      <c r="S11623" s="548">
        <v>940.83174778464002</v>
      </c>
      <c r="T11623" s="549">
        <v>15.515000000000001</v>
      </c>
      <c r="U11623" s="549">
        <v>42.03</v>
      </c>
      <c r="V11623" s="549">
        <v>21.01</v>
      </c>
      <c r="Z11623" s="548" t="s">
        <v>2953</v>
      </c>
    </row>
    <row r="11624" spans="1:26">
      <c r="A11624" s="499">
        <v>45894</v>
      </c>
      <c r="B11624" s="499">
        <v>45895</v>
      </c>
      <c r="C11624" s="500" t="s">
        <v>173</v>
      </c>
      <c r="D11624" s="500" t="s">
        <v>764</v>
      </c>
      <c r="E11624" s="501">
        <v>4821032623.1300001</v>
      </c>
      <c r="F11624" s="502" t="s">
        <v>878</v>
      </c>
      <c r="G11624" s="443">
        <v>118758764</v>
      </c>
      <c r="H11624" s="443">
        <v>118758764</v>
      </c>
      <c r="I11624" s="422" t="s">
        <v>675</v>
      </c>
      <c r="J11624" s="530" t="s">
        <v>912</v>
      </c>
      <c r="L11624" s="539"/>
      <c r="M11624" s="539"/>
      <c r="N11624" s="598">
        <v>5124224</v>
      </c>
      <c r="R11624" s="548">
        <v>940.43200000039042</v>
      </c>
      <c r="S11624" s="548">
        <v>940.83174801296695</v>
      </c>
      <c r="T11624" s="549">
        <v>15.515000000000001</v>
      </c>
      <c r="U11624" s="549">
        <v>7228.48</v>
      </c>
      <c r="V11624" s="549">
        <v>3614.24</v>
      </c>
      <c r="Z11624" s="548" t="s">
        <v>2953</v>
      </c>
    </row>
    <row r="11625" spans="1:26">
      <c r="A11625" s="499">
        <v>45894</v>
      </c>
      <c r="B11625" s="499">
        <v>45895</v>
      </c>
      <c r="C11625" s="500" t="s">
        <v>173</v>
      </c>
      <c r="D11625" s="500" t="s">
        <v>764</v>
      </c>
      <c r="E11625" s="501">
        <v>28029259.43</v>
      </c>
      <c r="F11625" s="502" t="s">
        <v>878</v>
      </c>
      <c r="G11625" s="443">
        <v>118759006</v>
      </c>
      <c r="H11625" s="443">
        <v>118759006</v>
      </c>
      <c r="I11625" s="422" t="s">
        <v>675</v>
      </c>
      <c r="J11625" s="530" t="s">
        <v>912</v>
      </c>
      <c r="L11625" s="539"/>
      <c r="M11625" s="539"/>
      <c r="N11625" s="598">
        <v>29792</v>
      </c>
      <c r="R11625" s="548">
        <v>940.43199986573575</v>
      </c>
      <c r="S11625" s="548">
        <v>940.83174778464002</v>
      </c>
      <c r="T11625" s="549">
        <v>15.515000000000001</v>
      </c>
      <c r="U11625" s="549">
        <v>42.03</v>
      </c>
      <c r="V11625" s="549">
        <v>21.01</v>
      </c>
      <c r="Z11625" s="548" t="s">
        <v>2953</v>
      </c>
    </row>
    <row r="11626" spans="1:26">
      <c r="A11626" s="499">
        <v>45894</v>
      </c>
      <c r="B11626" s="499">
        <v>45894</v>
      </c>
      <c r="C11626" s="500" t="s">
        <v>173</v>
      </c>
      <c r="D11626" s="500" t="s">
        <v>763</v>
      </c>
      <c r="E11626" s="501">
        <v>-1921010211.8399999</v>
      </c>
      <c r="F11626" s="502" t="s">
        <v>878</v>
      </c>
      <c r="G11626" s="443">
        <v>118758023</v>
      </c>
      <c r="H11626" s="443"/>
      <c r="I11626" s="422" t="s">
        <v>705</v>
      </c>
      <c r="J11626" s="530" t="s">
        <v>906</v>
      </c>
      <c r="L11626" s="539"/>
      <c r="M11626" s="539"/>
      <c r="N11626" s="598">
        <v>2547840</v>
      </c>
      <c r="R11626" s="548">
        <v>753.976</v>
      </c>
      <c r="S11626" s="548">
        <v>754.29618985101104</v>
      </c>
      <c r="T11626" s="549">
        <v>15.500400000000001</v>
      </c>
      <c r="U11626" s="549">
        <v>2881.52</v>
      </c>
      <c r="V11626" s="549">
        <v>1440.76</v>
      </c>
      <c r="Z11626" s="548" t="s">
        <v>2953</v>
      </c>
    </row>
    <row r="11627" spans="1:26">
      <c r="A11627" s="499">
        <v>45894</v>
      </c>
      <c r="B11627" s="499">
        <v>45894</v>
      </c>
      <c r="C11627" s="500" t="s">
        <v>173</v>
      </c>
      <c r="D11627" s="500" t="s">
        <v>763</v>
      </c>
      <c r="E11627" s="501">
        <v>-11005787.67</v>
      </c>
      <c r="F11627" s="502" t="s">
        <v>878</v>
      </c>
      <c r="G11627" s="443">
        <v>118758050</v>
      </c>
      <c r="H11627" s="443"/>
      <c r="I11627" s="422" t="s">
        <v>705</v>
      </c>
      <c r="J11627" s="530" t="s">
        <v>906</v>
      </c>
      <c r="L11627" s="539"/>
      <c r="M11627" s="539"/>
      <c r="N11627" s="598">
        <v>14597</v>
      </c>
      <c r="R11627" s="548">
        <v>753.976</v>
      </c>
      <c r="S11627" s="548">
        <v>754.296189628006</v>
      </c>
      <c r="T11627" s="549">
        <v>15.500400000000001</v>
      </c>
      <c r="U11627" s="549">
        <v>39.32</v>
      </c>
      <c r="V11627" s="549">
        <v>39.32</v>
      </c>
      <c r="Z11627" s="548" t="s">
        <v>2953</v>
      </c>
    </row>
    <row r="11628" spans="1:26">
      <c r="A11628" s="499">
        <v>45894</v>
      </c>
      <c r="B11628" s="499">
        <v>45895</v>
      </c>
      <c r="C11628" s="500" t="s">
        <v>173</v>
      </c>
      <c r="D11628" s="500" t="s">
        <v>763</v>
      </c>
      <c r="E11628" s="501">
        <v>1921826004.3499999</v>
      </c>
      <c r="F11628" s="502" t="s">
        <v>878</v>
      </c>
      <c r="G11628" s="443">
        <v>118758023</v>
      </c>
      <c r="H11628" s="443">
        <v>118758023</v>
      </c>
      <c r="I11628" s="422" t="s">
        <v>705</v>
      </c>
      <c r="J11628" s="530" t="s">
        <v>912</v>
      </c>
      <c r="L11628" s="539"/>
      <c r="M11628" s="539"/>
      <c r="N11628" s="598">
        <v>2547840</v>
      </c>
      <c r="R11628" s="548">
        <v>753.976</v>
      </c>
      <c r="S11628" s="548">
        <v>754.29618985101104</v>
      </c>
      <c r="T11628" s="549">
        <v>15.500400000000001</v>
      </c>
      <c r="U11628" s="549">
        <v>2881.52</v>
      </c>
      <c r="V11628" s="549">
        <v>1440.76</v>
      </c>
      <c r="Z11628" s="548" t="s">
        <v>2953</v>
      </c>
    </row>
    <row r="11629" spans="1:26">
      <c r="A11629" s="499">
        <v>45894</v>
      </c>
      <c r="B11629" s="499">
        <v>45895</v>
      </c>
      <c r="C11629" s="500" t="s">
        <v>173</v>
      </c>
      <c r="D11629" s="500" t="s">
        <v>763</v>
      </c>
      <c r="E11629" s="501">
        <v>11010461.48</v>
      </c>
      <c r="F11629" s="502" t="s">
        <v>878</v>
      </c>
      <c r="G11629" s="443">
        <v>118758050</v>
      </c>
      <c r="H11629" s="443">
        <v>118758050</v>
      </c>
      <c r="I11629" s="422" t="s">
        <v>705</v>
      </c>
      <c r="J11629" s="530" t="s">
        <v>912</v>
      </c>
      <c r="L11629" s="539"/>
      <c r="M11629" s="539"/>
      <c r="N11629" s="598">
        <v>14597</v>
      </c>
      <c r="R11629" s="548">
        <v>753.976</v>
      </c>
      <c r="S11629" s="548">
        <v>754.296189628006</v>
      </c>
      <c r="T11629" s="549">
        <v>15.500400000000001</v>
      </c>
      <c r="U11629" s="549">
        <v>39.32</v>
      </c>
      <c r="V11629" s="549">
        <v>39.32</v>
      </c>
      <c r="Z11629" s="548" t="s">
        <v>2953</v>
      </c>
    </row>
    <row r="11630" spans="1:26">
      <c r="A11630" s="499">
        <v>45894</v>
      </c>
      <c r="B11630" s="499">
        <v>45894</v>
      </c>
      <c r="C11630" s="500" t="s">
        <v>173</v>
      </c>
      <c r="D11630" s="500" t="s">
        <v>759</v>
      </c>
      <c r="E11630" s="501">
        <v>-2281318381.98</v>
      </c>
      <c r="F11630" s="502" t="s">
        <v>878</v>
      </c>
      <c r="G11630" s="443">
        <v>118765599</v>
      </c>
      <c r="H11630" s="443"/>
      <c r="I11630" s="422" t="s">
        <v>719</v>
      </c>
      <c r="J11630" s="530" t="s">
        <v>906</v>
      </c>
      <c r="L11630" s="539"/>
      <c r="M11630" s="539"/>
      <c r="N11630" s="598">
        <v>3530988</v>
      </c>
      <c r="R11630" s="548">
        <v>646.08500000000004</v>
      </c>
      <c r="S11630" s="548">
        <v>646.359364863319</v>
      </c>
      <c r="T11630" s="549">
        <v>15.5001</v>
      </c>
      <c r="U11630" s="549">
        <v>3421.98</v>
      </c>
      <c r="V11630" s="549">
        <v>1710.99</v>
      </c>
      <c r="Z11630" s="548" t="s">
        <v>2953</v>
      </c>
    </row>
    <row r="11631" spans="1:26">
      <c r="A11631" s="499">
        <v>45894</v>
      </c>
      <c r="B11631" s="499">
        <v>45894</v>
      </c>
      <c r="C11631" s="500" t="s">
        <v>173</v>
      </c>
      <c r="D11631" s="500" t="s">
        <v>759</v>
      </c>
      <c r="E11631" s="501">
        <v>-14001954.119999999</v>
      </c>
      <c r="F11631" s="502" t="s">
        <v>878</v>
      </c>
      <c r="G11631" s="443">
        <v>118765627</v>
      </c>
      <c r="H11631" s="443"/>
      <c r="I11631" s="422" t="s">
        <v>719</v>
      </c>
      <c r="J11631" s="530" t="s">
        <v>906</v>
      </c>
      <c r="L11631" s="539"/>
      <c r="M11631" s="539"/>
      <c r="N11631" s="598">
        <v>21672</v>
      </c>
      <c r="R11631" s="548">
        <v>646.08499999999992</v>
      </c>
      <c r="S11631" s="548">
        <v>646.35936507936503</v>
      </c>
      <c r="T11631" s="549">
        <v>15.5001</v>
      </c>
      <c r="U11631" s="549">
        <v>39.32</v>
      </c>
      <c r="V11631" s="549">
        <v>10.5</v>
      </c>
      <c r="Z11631" s="548" t="s">
        <v>2953</v>
      </c>
    </row>
    <row r="11632" spans="1:26">
      <c r="A11632" s="499">
        <v>45894</v>
      </c>
      <c r="B11632" s="499">
        <v>45894</v>
      </c>
      <c r="C11632" s="500" t="s">
        <v>173</v>
      </c>
      <c r="D11632" s="500" t="s">
        <v>759</v>
      </c>
      <c r="E11632" s="501">
        <v>-107009823.23999999</v>
      </c>
      <c r="F11632" s="502" t="s">
        <v>878</v>
      </c>
      <c r="G11632" s="443">
        <v>118769520</v>
      </c>
      <c r="H11632" s="443"/>
      <c r="I11632" s="422" t="s">
        <v>677</v>
      </c>
      <c r="J11632" s="530" t="s">
        <v>906</v>
      </c>
      <c r="L11632" s="539"/>
      <c r="M11632" s="539"/>
      <c r="N11632" s="598">
        <v>120482</v>
      </c>
      <c r="R11632" s="548">
        <v>888.18099998339994</v>
      </c>
      <c r="S11632" s="548">
        <v>888.55818487408897</v>
      </c>
      <c r="T11632" s="549">
        <v>15.5001</v>
      </c>
      <c r="U11632" s="549">
        <v>160.51</v>
      </c>
      <c r="V11632" s="549">
        <v>80.260000000000005</v>
      </c>
      <c r="Z11632" s="548" t="s">
        <v>2953</v>
      </c>
    </row>
    <row r="11633" spans="1:26">
      <c r="A11633" s="499">
        <v>45894</v>
      </c>
      <c r="B11633" s="499">
        <v>45895</v>
      </c>
      <c r="C11633" s="500" t="s">
        <v>173</v>
      </c>
      <c r="D11633" s="500" t="s">
        <v>759</v>
      </c>
      <c r="E11633" s="501">
        <v>2282287161.02</v>
      </c>
      <c r="F11633" s="502" t="s">
        <v>878</v>
      </c>
      <c r="G11633" s="443">
        <v>118765599</v>
      </c>
      <c r="H11633" s="443">
        <v>118765599</v>
      </c>
      <c r="I11633" s="422" t="s">
        <v>719</v>
      </c>
      <c r="J11633" s="530" t="s">
        <v>912</v>
      </c>
      <c r="L11633" s="539"/>
      <c r="M11633" s="539"/>
      <c r="N11633" s="598">
        <v>3530988</v>
      </c>
      <c r="R11633" s="548">
        <v>646.08500000000004</v>
      </c>
      <c r="S11633" s="548">
        <v>646.359364863319</v>
      </c>
      <c r="T11633" s="549">
        <v>15.5001</v>
      </c>
      <c r="U11633" s="549">
        <v>3421.98</v>
      </c>
      <c r="V11633" s="549">
        <v>1710.99</v>
      </c>
      <c r="Z11633" s="548" t="s">
        <v>2953</v>
      </c>
    </row>
    <row r="11634" spans="1:26">
      <c r="A11634" s="499">
        <v>45894</v>
      </c>
      <c r="B11634" s="499">
        <v>45895</v>
      </c>
      <c r="C11634" s="500" t="s">
        <v>173</v>
      </c>
      <c r="D11634" s="500" t="s">
        <v>759</v>
      </c>
      <c r="E11634" s="501">
        <v>14007900.16</v>
      </c>
      <c r="F11634" s="502" t="s">
        <v>878</v>
      </c>
      <c r="G11634" s="443">
        <v>118765627</v>
      </c>
      <c r="H11634" s="443">
        <v>118765627</v>
      </c>
      <c r="I11634" s="422" t="s">
        <v>719</v>
      </c>
      <c r="J11634" s="530" t="s">
        <v>912</v>
      </c>
      <c r="L11634" s="539"/>
      <c r="M11634" s="539"/>
      <c r="N11634" s="598">
        <v>21672</v>
      </c>
      <c r="R11634" s="548">
        <v>646.08499999999992</v>
      </c>
      <c r="S11634" s="548">
        <v>646.35936507936503</v>
      </c>
      <c r="T11634" s="549">
        <v>15.5001</v>
      </c>
      <c r="U11634" s="549">
        <v>39.32</v>
      </c>
      <c r="V11634" s="549">
        <v>10.5</v>
      </c>
      <c r="Z11634" s="548" t="s">
        <v>2953</v>
      </c>
    </row>
    <row r="11635" spans="1:26">
      <c r="A11635" s="499">
        <v>45894</v>
      </c>
      <c r="B11635" s="499">
        <v>45895</v>
      </c>
      <c r="C11635" s="500" t="s">
        <v>173</v>
      </c>
      <c r="D11635" s="500" t="s">
        <v>759</v>
      </c>
      <c r="E11635" s="501">
        <v>107055267.23</v>
      </c>
      <c r="F11635" s="502" t="s">
        <v>878</v>
      </c>
      <c r="G11635" s="443">
        <v>118769520</v>
      </c>
      <c r="H11635" s="443">
        <v>118769520</v>
      </c>
      <c r="I11635" s="422" t="s">
        <v>677</v>
      </c>
      <c r="J11635" s="530" t="s">
        <v>912</v>
      </c>
      <c r="L11635" s="539"/>
      <c r="M11635" s="539"/>
      <c r="N11635" s="598">
        <v>120482</v>
      </c>
      <c r="R11635" s="548">
        <v>888.18099998339994</v>
      </c>
      <c r="S11635" s="548">
        <v>888.55818487408897</v>
      </c>
      <c r="T11635" s="549">
        <v>15.5001</v>
      </c>
      <c r="U11635" s="549">
        <v>160.51</v>
      </c>
      <c r="V11635" s="549">
        <v>80.260000000000005</v>
      </c>
      <c r="Z11635" s="548" t="s">
        <v>2953</v>
      </c>
    </row>
    <row r="11636" spans="1:26">
      <c r="A11636" s="499">
        <v>45894</v>
      </c>
      <c r="B11636" s="499">
        <v>45894</v>
      </c>
      <c r="C11636" s="500" t="s">
        <v>173</v>
      </c>
      <c r="D11636" s="500" t="s">
        <v>759</v>
      </c>
      <c r="E11636" s="501">
        <v>107800000</v>
      </c>
      <c r="F11636" s="502" t="s">
        <v>381</v>
      </c>
      <c r="G11636" s="443" t="s">
        <v>710</v>
      </c>
      <c r="H11636" s="530"/>
      <c r="L11636" s="539"/>
      <c r="M11636" s="539"/>
      <c r="U11636" s="549"/>
      <c r="V11636" s="549"/>
    </row>
    <row r="11637" spans="1:26">
      <c r="A11637" s="499">
        <v>45895</v>
      </c>
      <c r="B11637" s="499">
        <v>45895</v>
      </c>
      <c r="C11637" s="500" t="s">
        <v>173</v>
      </c>
      <c r="D11637" s="500" t="s">
        <v>761</v>
      </c>
      <c r="E11637" s="501">
        <v>-1646105432.55</v>
      </c>
      <c r="F11637" s="502" t="s">
        <v>878</v>
      </c>
      <c r="G11637" s="443">
        <v>118779576</v>
      </c>
      <c r="H11637" s="530"/>
      <c r="I11637" s="422" t="s">
        <v>2956</v>
      </c>
      <c r="J11637" s="530" t="s">
        <v>906</v>
      </c>
      <c r="L11637" s="539"/>
      <c r="M11637" s="539"/>
      <c r="N11637" s="598">
        <v>16606494</v>
      </c>
      <c r="R11637" s="548">
        <v>99.124199999710953</v>
      </c>
      <c r="S11637" s="548">
        <v>99.166348152716594</v>
      </c>
      <c r="T11637" s="549">
        <v>15.52</v>
      </c>
      <c r="U11637" s="549">
        <v>2469.16</v>
      </c>
      <c r="V11637" s="549">
        <v>1234.58</v>
      </c>
      <c r="Z11637" s="548" t="s">
        <v>2953</v>
      </c>
    </row>
    <row r="11638" spans="1:26">
      <c r="A11638" s="499">
        <v>45895</v>
      </c>
      <c r="B11638" s="499">
        <v>45895</v>
      </c>
      <c r="C11638" s="500" t="s">
        <v>173</v>
      </c>
      <c r="D11638" s="500" t="s">
        <v>761</v>
      </c>
      <c r="E11638" s="501">
        <v>-10005399.359999999</v>
      </c>
      <c r="F11638" s="502" t="s">
        <v>878</v>
      </c>
      <c r="G11638" s="443">
        <v>118780464</v>
      </c>
      <c r="H11638" s="530"/>
      <c r="I11638" s="523" t="s">
        <v>678</v>
      </c>
      <c r="J11638" s="530" t="s">
        <v>906</v>
      </c>
      <c r="L11638" s="539"/>
      <c r="M11638" s="539"/>
      <c r="N11638" s="598">
        <v>10620</v>
      </c>
      <c r="R11638" s="548">
        <v>942.12799999999993</v>
      </c>
      <c r="S11638" s="548">
        <v>942.52859792843697</v>
      </c>
      <c r="T11638" s="549">
        <v>15.52</v>
      </c>
      <c r="U11638" s="549">
        <v>39.32</v>
      </c>
      <c r="V11638" s="549">
        <v>7.5</v>
      </c>
      <c r="Z11638" s="548" t="s">
        <v>2953</v>
      </c>
    </row>
    <row r="11639" spans="1:26">
      <c r="A11639" s="499">
        <v>45895</v>
      </c>
      <c r="B11639" s="499">
        <v>45896</v>
      </c>
      <c r="C11639" s="500" t="s">
        <v>173</v>
      </c>
      <c r="D11639" s="500" t="s">
        <v>761</v>
      </c>
      <c r="E11639" s="501">
        <v>1646805365.5999999</v>
      </c>
      <c r="F11639" s="502" t="s">
        <v>878</v>
      </c>
      <c r="G11639" s="443">
        <v>118779576</v>
      </c>
      <c r="H11639" s="443">
        <v>118779576</v>
      </c>
      <c r="I11639" s="523" t="s">
        <v>2956</v>
      </c>
      <c r="J11639" s="530" t="s">
        <v>912</v>
      </c>
      <c r="L11639" s="539"/>
      <c r="M11639" s="539"/>
      <c r="N11639" s="598">
        <v>16606494</v>
      </c>
      <c r="R11639" s="548">
        <v>99.124199999710953</v>
      </c>
      <c r="S11639" s="548">
        <v>99.166348152716594</v>
      </c>
      <c r="T11639" s="549">
        <v>15.52</v>
      </c>
      <c r="U11639" s="549">
        <v>2469.16</v>
      </c>
      <c r="V11639" s="549">
        <v>1234.58</v>
      </c>
      <c r="Z11639" s="548" t="s">
        <v>2953</v>
      </c>
    </row>
    <row r="11640" spans="1:26">
      <c r="A11640" s="499">
        <v>45895</v>
      </c>
      <c r="B11640" s="499">
        <v>45896</v>
      </c>
      <c r="C11640" s="500" t="s">
        <v>173</v>
      </c>
      <c r="D11640" s="500" t="s">
        <v>761</v>
      </c>
      <c r="E11640" s="501">
        <v>10009653.710000001</v>
      </c>
      <c r="F11640" s="502" t="s">
        <v>878</v>
      </c>
      <c r="G11640" s="443">
        <v>118780464</v>
      </c>
      <c r="H11640" s="443">
        <v>118780464</v>
      </c>
      <c r="I11640" s="523" t="s">
        <v>678</v>
      </c>
      <c r="J11640" s="530" t="s">
        <v>912</v>
      </c>
      <c r="L11640" s="539"/>
      <c r="M11640" s="539"/>
      <c r="N11640" s="598">
        <v>10620</v>
      </c>
      <c r="R11640" s="548">
        <v>942.12799999999993</v>
      </c>
      <c r="S11640" s="548">
        <v>942.52859792843697</v>
      </c>
      <c r="T11640" s="549">
        <v>15.52</v>
      </c>
      <c r="U11640" s="549">
        <v>39.32</v>
      </c>
      <c r="V11640" s="549">
        <v>7.5</v>
      </c>
      <c r="Z11640" s="548" t="s">
        <v>2953</v>
      </c>
    </row>
    <row r="11641" spans="1:26">
      <c r="A11641" s="499">
        <v>45895</v>
      </c>
      <c r="B11641" s="499">
        <v>45895</v>
      </c>
      <c r="C11641" s="500" t="s">
        <v>173</v>
      </c>
      <c r="D11641" s="500" t="s">
        <v>760</v>
      </c>
      <c r="E11641" s="501">
        <v>-410215330.76999998</v>
      </c>
      <c r="F11641" s="502" t="s">
        <v>878</v>
      </c>
      <c r="G11641" s="443">
        <v>118780026</v>
      </c>
      <c r="H11641" s="530"/>
      <c r="I11641" s="523" t="s">
        <v>658</v>
      </c>
      <c r="J11641" s="530" t="s">
        <v>906</v>
      </c>
      <c r="L11641" s="539"/>
      <c r="M11641" s="539"/>
      <c r="N11641" s="598">
        <v>398930</v>
      </c>
      <c r="R11641" s="548">
        <v>1028.289</v>
      </c>
      <c r="S11641" s="548">
        <v>1028.7262341262899</v>
      </c>
      <c r="T11641" s="549">
        <v>15.52</v>
      </c>
      <c r="U11641" s="549">
        <v>615.32000000000005</v>
      </c>
      <c r="V11641" s="549">
        <v>307.66000000000003</v>
      </c>
    </row>
    <row r="11642" spans="1:26">
      <c r="A11642" s="499">
        <v>45895</v>
      </c>
      <c r="B11642" s="499">
        <v>45895</v>
      </c>
      <c r="C11642" s="500" t="s">
        <v>173</v>
      </c>
      <c r="D11642" s="500" t="s">
        <v>760</v>
      </c>
      <c r="E11642" s="501">
        <v>-914480030.05999994</v>
      </c>
      <c r="F11642" s="502" t="s">
        <v>878</v>
      </c>
      <c r="G11642" s="443">
        <v>118780229</v>
      </c>
      <c r="H11642" s="530"/>
      <c r="I11642" s="523" t="s">
        <v>658</v>
      </c>
      <c r="J11642" s="530" t="s">
        <v>906</v>
      </c>
      <c r="L11642" s="539"/>
      <c r="M11642" s="539"/>
      <c r="N11642" s="598">
        <v>889322</v>
      </c>
      <c r="R11642" s="548">
        <v>1028.289</v>
      </c>
      <c r="S11642" s="548">
        <v>1028.72679756039</v>
      </c>
      <c r="T11642" s="549">
        <v>15.54</v>
      </c>
      <c r="U11642" s="549">
        <v>1371.72</v>
      </c>
      <c r="V11642" s="549">
        <v>685.86</v>
      </c>
    </row>
    <row r="11643" spans="1:26">
      <c r="A11643" s="499">
        <v>45895</v>
      </c>
      <c r="B11643" s="499">
        <v>45895</v>
      </c>
      <c r="C11643" s="500" t="s">
        <v>173</v>
      </c>
      <c r="D11643" s="500" t="s">
        <v>760</v>
      </c>
      <c r="E11643" s="501">
        <v>-392312050.81999999</v>
      </c>
      <c r="F11643" s="502" t="s">
        <v>878</v>
      </c>
      <c r="G11643" s="443">
        <v>118780023</v>
      </c>
      <c r="H11643" s="530"/>
      <c r="I11643" s="523" t="s">
        <v>676</v>
      </c>
      <c r="J11643" s="530" t="s">
        <v>906</v>
      </c>
      <c r="L11643" s="539"/>
      <c r="M11643" s="539"/>
      <c r="N11643" s="598">
        <v>467264</v>
      </c>
      <c r="R11643" s="548">
        <v>839.59400000000005</v>
      </c>
      <c r="S11643" s="548">
        <v>839.95099997003797</v>
      </c>
      <c r="T11643" s="549">
        <v>15.52</v>
      </c>
      <c r="U11643" s="549">
        <v>588.47</v>
      </c>
      <c r="V11643" s="549">
        <v>294.23</v>
      </c>
    </row>
    <row r="11644" spans="1:26">
      <c r="A11644" s="499">
        <v>45895</v>
      </c>
      <c r="B11644" s="499">
        <v>45895</v>
      </c>
      <c r="C11644" s="500" t="s">
        <v>173</v>
      </c>
      <c r="D11644" s="500" t="s">
        <v>760</v>
      </c>
      <c r="E11644" s="501">
        <v>-6003239.6200000001</v>
      </c>
      <c r="F11644" s="502" t="s">
        <v>878</v>
      </c>
      <c r="G11644" s="443">
        <v>118782052</v>
      </c>
      <c r="H11644" s="530"/>
      <c r="I11644" s="523" t="s">
        <v>678</v>
      </c>
      <c r="J11644" s="530" t="s">
        <v>906</v>
      </c>
      <c r="L11644" s="539"/>
      <c r="M11644" s="539"/>
      <c r="N11644" s="598">
        <v>6372</v>
      </c>
      <c r="R11644" s="548">
        <v>942.12800000000004</v>
      </c>
      <c r="S11644" s="548">
        <v>942.52859855618306</v>
      </c>
      <c r="T11644" s="549">
        <v>15.52</v>
      </c>
      <c r="U11644" s="549">
        <v>39.32</v>
      </c>
      <c r="V11644" s="549">
        <v>4.5</v>
      </c>
    </row>
    <row r="11645" spans="1:26">
      <c r="A11645" s="499">
        <v>45895</v>
      </c>
      <c r="B11645" s="499">
        <v>45895</v>
      </c>
      <c r="C11645" s="500" t="s">
        <v>173</v>
      </c>
      <c r="D11645" s="500" t="s">
        <v>760</v>
      </c>
      <c r="E11645" s="501">
        <v>-242150270.87</v>
      </c>
      <c r="F11645" s="502" t="s">
        <v>878</v>
      </c>
      <c r="G11645" s="443">
        <v>118780020</v>
      </c>
      <c r="H11645" s="530"/>
      <c r="I11645" s="523" t="s">
        <v>692</v>
      </c>
      <c r="J11645" s="530" t="s">
        <v>906</v>
      </c>
      <c r="L11645" s="539"/>
      <c r="M11645" s="539"/>
      <c r="N11645" s="598">
        <v>330572</v>
      </c>
      <c r="R11645" s="548">
        <v>732.51900000000001</v>
      </c>
      <c r="S11645" s="548">
        <v>732.83047109253096</v>
      </c>
      <c r="T11645" s="549">
        <v>15.52</v>
      </c>
      <c r="U11645" s="549">
        <v>363.23</v>
      </c>
      <c r="V11645" s="549">
        <v>181.61</v>
      </c>
    </row>
    <row r="11646" spans="1:26">
      <c r="A11646" s="499">
        <v>45895</v>
      </c>
      <c r="B11646" s="499">
        <v>45895</v>
      </c>
      <c r="C11646" s="500" t="s">
        <v>173</v>
      </c>
      <c r="D11646" s="500" t="s">
        <v>760</v>
      </c>
      <c r="E11646" s="501">
        <v>-256120764.41999999</v>
      </c>
      <c r="F11646" s="502" t="s">
        <v>878</v>
      </c>
      <c r="G11646" s="443">
        <v>118780029</v>
      </c>
      <c r="H11646" s="530"/>
      <c r="I11646" s="523" t="s">
        <v>696</v>
      </c>
      <c r="J11646" s="530" t="s">
        <v>906</v>
      </c>
      <c r="L11646" s="539"/>
      <c r="M11646" s="539"/>
      <c r="N11646" s="598">
        <v>343552</v>
      </c>
      <c r="R11646" s="548">
        <v>745.50800000000004</v>
      </c>
      <c r="S11646" s="548">
        <v>745.824994091142</v>
      </c>
      <c r="T11646" s="549">
        <v>15.52</v>
      </c>
      <c r="U11646" s="549">
        <v>384.18</v>
      </c>
      <c r="V11646" s="549">
        <v>192.09</v>
      </c>
    </row>
    <row r="11647" spans="1:26">
      <c r="A11647" s="499">
        <v>45895</v>
      </c>
      <c r="B11647" s="499">
        <v>45896</v>
      </c>
      <c r="C11647" s="500" t="s">
        <v>173</v>
      </c>
      <c r="D11647" s="500" t="s">
        <v>760</v>
      </c>
      <c r="E11647" s="501">
        <v>410389756.57999998</v>
      </c>
      <c r="F11647" s="502" t="s">
        <v>878</v>
      </c>
      <c r="G11647" s="443">
        <v>118780026</v>
      </c>
      <c r="H11647" s="443">
        <v>118780026</v>
      </c>
      <c r="I11647" s="523" t="s">
        <v>658</v>
      </c>
      <c r="J11647" s="530" t="s">
        <v>912</v>
      </c>
      <c r="L11647" s="539"/>
      <c r="M11647" s="539"/>
      <c r="N11647" s="598">
        <v>398930</v>
      </c>
      <c r="R11647" s="548">
        <v>1028.289</v>
      </c>
      <c r="S11647" s="548">
        <v>1028.7262341262899</v>
      </c>
      <c r="T11647" s="549">
        <v>15.52</v>
      </c>
      <c r="U11647" s="549">
        <v>615.32000000000005</v>
      </c>
      <c r="V11647" s="549">
        <v>307.66000000000003</v>
      </c>
    </row>
    <row r="11648" spans="1:26">
      <c r="A11648" s="499">
        <v>45895</v>
      </c>
      <c r="B11648" s="499">
        <v>45896</v>
      </c>
      <c r="C11648" s="500" t="s">
        <v>173</v>
      </c>
      <c r="D11648" s="500" t="s">
        <v>760</v>
      </c>
      <c r="E11648" s="501">
        <v>914869373.05999994</v>
      </c>
      <c r="F11648" s="502" t="s">
        <v>878</v>
      </c>
      <c r="G11648" s="443">
        <v>118780229</v>
      </c>
      <c r="H11648" s="443">
        <v>118780229</v>
      </c>
      <c r="I11648" s="523" t="s">
        <v>658</v>
      </c>
      <c r="J11648" s="530" t="s">
        <v>912</v>
      </c>
      <c r="L11648" s="539"/>
      <c r="M11648" s="539"/>
      <c r="N11648" s="598">
        <v>889322</v>
      </c>
      <c r="R11648" s="548">
        <v>1028.289</v>
      </c>
      <c r="S11648" s="548">
        <v>1028.72679756039</v>
      </c>
      <c r="T11648" s="549">
        <v>15.54</v>
      </c>
      <c r="U11648" s="549">
        <v>1371.72</v>
      </c>
      <c r="V11648" s="549">
        <v>685.86</v>
      </c>
    </row>
    <row r="11649" spans="1:25">
      <c r="A11649" s="499">
        <v>45895</v>
      </c>
      <c r="B11649" s="499">
        <v>45896</v>
      </c>
      <c r="C11649" s="500" t="s">
        <v>173</v>
      </c>
      <c r="D11649" s="500" t="s">
        <v>760</v>
      </c>
      <c r="E11649" s="501">
        <v>392478864.05000001</v>
      </c>
      <c r="F11649" s="502" t="s">
        <v>878</v>
      </c>
      <c r="G11649" s="443">
        <v>118780023</v>
      </c>
      <c r="H11649" s="443">
        <v>118780023</v>
      </c>
      <c r="I11649" s="523" t="s">
        <v>676</v>
      </c>
      <c r="J11649" s="530" t="s">
        <v>912</v>
      </c>
      <c r="L11649" s="539"/>
      <c r="M11649" s="539"/>
      <c r="N11649" s="598">
        <v>467264</v>
      </c>
      <c r="R11649" s="548">
        <v>839.59400000000005</v>
      </c>
      <c r="S11649" s="548">
        <v>839.95099997003797</v>
      </c>
      <c r="T11649" s="549">
        <v>15.52</v>
      </c>
      <c r="U11649" s="549">
        <v>588.47</v>
      </c>
      <c r="V11649" s="549">
        <v>294.23</v>
      </c>
    </row>
    <row r="11650" spans="1:25">
      <c r="A11650" s="499">
        <v>45895</v>
      </c>
      <c r="B11650" s="499">
        <v>45896</v>
      </c>
      <c r="C11650" s="500" t="s">
        <v>173</v>
      </c>
      <c r="D11650" s="500" t="s">
        <v>760</v>
      </c>
      <c r="E11650" s="501">
        <v>6005792.2300000004</v>
      </c>
      <c r="F11650" s="502" t="s">
        <v>878</v>
      </c>
      <c r="G11650" s="443">
        <v>118782052</v>
      </c>
      <c r="H11650" s="443">
        <v>118782052</v>
      </c>
      <c r="I11650" s="523" t="s">
        <v>678</v>
      </c>
      <c r="J11650" s="530" t="s">
        <v>912</v>
      </c>
      <c r="L11650" s="539"/>
      <c r="M11650" s="539"/>
      <c r="N11650" s="598">
        <v>6372</v>
      </c>
      <c r="R11650" s="548">
        <v>942.12800000000004</v>
      </c>
      <c r="S11650" s="548">
        <v>942.52859855618306</v>
      </c>
      <c r="T11650" s="549">
        <v>15.52</v>
      </c>
      <c r="U11650" s="549">
        <v>39.32</v>
      </c>
      <c r="V11650" s="549">
        <v>4.5</v>
      </c>
    </row>
    <row r="11651" spans="1:25">
      <c r="A11651" s="499">
        <v>45895</v>
      </c>
      <c r="B11651" s="499">
        <v>45896</v>
      </c>
      <c r="C11651" s="500" t="s">
        <v>173</v>
      </c>
      <c r="D11651" s="500" t="s">
        <v>760</v>
      </c>
      <c r="E11651" s="501">
        <v>242253234.49000001</v>
      </c>
      <c r="F11651" s="502" t="s">
        <v>878</v>
      </c>
      <c r="G11651" s="443">
        <v>118780020</v>
      </c>
      <c r="H11651" s="443">
        <v>118780020</v>
      </c>
      <c r="I11651" s="523" t="s">
        <v>692</v>
      </c>
      <c r="J11651" s="530" t="s">
        <v>912</v>
      </c>
      <c r="L11651" s="539"/>
      <c r="M11651" s="539"/>
      <c r="N11651" s="598">
        <v>330572</v>
      </c>
      <c r="R11651" s="548">
        <v>732.51900000000001</v>
      </c>
      <c r="S11651" s="548">
        <v>732.83047109253096</v>
      </c>
      <c r="T11651" s="549">
        <v>15.52</v>
      </c>
      <c r="U11651" s="549">
        <v>363.23</v>
      </c>
      <c r="V11651" s="549">
        <v>181.61</v>
      </c>
    </row>
    <row r="11652" spans="1:25">
      <c r="A11652" s="499">
        <v>45895</v>
      </c>
      <c r="B11652" s="499">
        <v>45896</v>
      </c>
      <c r="C11652" s="500" t="s">
        <v>173</v>
      </c>
      <c r="D11652" s="500" t="s">
        <v>760</v>
      </c>
      <c r="E11652" s="501">
        <v>256229668.37</v>
      </c>
      <c r="F11652" s="502" t="s">
        <v>878</v>
      </c>
      <c r="G11652" s="443">
        <v>118780029</v>
      </c>
      <c r="H11652" s="443">
        <v>118780029</v>
      </c>
      <c r="I11652" s="523" t="s">
        <v>696</v>
      </c>
      <c r="J11652" s="530" t="s">
        <v>912</v>
      </c>
      <c r="L11652" s="539"/>
      <c r="M11652" s="539"/>
      <c r="N11652" s="598">
        <v>343552</v>
      </c>
      <c r="R11652" s="548">
        <v>745.50800000000004</v>
      </c>
      <c r="S11652" s="548">
        <v>745.824994091142</v>
      </c>
      <c r="T11652" s="549">
        <v>15.52</v>
      </c>
      <c r="U11652" s="549">
        <v>384.18</v>
      </c>
      <c r="V11652" s="549">
        <v>192.09</v>
      </c>
    </row>
    <row r="11653" spans="1:25">
      <c r="A11653" s="499">
        <v>45895</v>
      </c>
      <c r="B11653" s="499">
        <v>45897</v>
      </c>
      <c r="C11653" s="500" t="s">
        <v>173</v>
      </c>
      <c r="D11653" s="500" t="s">
        <v>760</v>
      </c>
      <c r="E11653" s="501">
        <v>-499999980.85000002</v>
      </c>
      <c r="F11653" s="502" t="s">
        <v>906</v>
      </c>
      <c r="G11653" s="443" t="str">
        <f>VLOOKUP(I11653,Справочник!I:M,5,0)</f>
        <v>KZK200000760</v>
      </c>
      <c r="H11653" s="530"/>
      <c r="I11653" s="523" t="s">
        <v>2939</v>
      </c>
      <c r="K11653" s="548">
        <v>118789507</v>
      </c>
      <c r="L11653" s="548">
        <v>100.0205</v>
      </c>
      <c r="M11653" s="549">
        <f>E11653*(-1)/(N11653*O11653)*100</f>
        <v>101.0127500015152</v>
      </c>
      <c r="N11653" s="598">
        <v>494987</v>
      </c>
      <c r="O11653" s="539">
        <v>1000</v>
      </c>
      <c r="T11653" s="549">
        <v>16.989999999999998</v>
      </c>
      <c r="U11653" s="538">
        <v>0</v>
      </c>
      <c r="V11653" s="538">
        <v>50000</v>
      </c>
      <c r="W11653" s="550">
        <f>VLOOKUP(G11653,Справочник!A:C,3,0)</f>
        <v>0.1701</v>
      </c>
      <c r="X11653" s="539" t="str">
        <f>VLOOKUP(G11653,Справочник!A:G,7,0)</f>
        <v>Министерство финансов Республики Казахстан</v>
      </c>
      <c r="Y11653" s="551">
        <f>VLOOKUP(G11653,Справочник!A:B,2,0)</f>
        <v>47337</v>
      </c>
    </row>
    <row r="11654" spans="1:25">
      <c r="A11654" s="499">
        <v>45895</v>
      </c>
      <c r="B11654" s="499">
        <v>45895</v>
      </c>
      <c r="C11654" s="500" t="s">
        <v>173</v>
      </c>
      <c r="D11654" s="500" t="s">
        <v>759</v>
      </c>
      <c r="E11654" s="501">
        <v>-9390050273.6000004</v>
      </c>
      <c r="F11654" s="502" t="s">
        <v>878</v>
      </c>
      <c r="G11654" s="443">
        <v>118782442</v>
      </c>
      <c r="H11654" s="530"/>
      <c r="I11654" s="523" t="s">
        <v>657</v>
      </c>
      <c r="J11654" s="530" t="s">
        <v>906</v>
      </c>
      <c r="N11654" s="598">
        <v>9777086</v>
      </c>
      <c r="R11654" s="548">
        <v>960.41399999959094</v>
      </c>
      <c r="S11654" s="548">
        <v>966.25279086529497</v>
      </c>
      <c r="T11654" s="549">
        <v>15.85</v>
      </c>
      <c r="U11654" s="549">
        <v>197191.06</v>
      </c>
      <c r="V11654" s="549">
        <v>98595.53</v>
      </c>
    </row>
    <row r="11655" spans="1:25">
      <c r="A11655" s="499">
        <v>45895</v>
      </c>
      <c r="B11655" s="499">
        <v>45895</v>
      </c>
      <c r="C11655" s="500" t="s">
        <v>173</v>
      </c>
      <c r="D11655" s="500" t="s">
        <v>759</v>
      </c>
      <c r="E11655" s="501">
        <v>-49006253.079999998</v>
      </c>
      <c r="F11655" s="502" t="s">
        <v>878</v>
      </c>
      <c r="G11655" s="443">
        <v>118782828</v>
      </c>
      <c r="H11655" s="530"/>
      <c r="I11655" s="523" t="s">
        <v>631</v>
      </c>
      <c r="J11655" s="530" t="s">
        <v>906</v>
      </c>
      <c r="N11655" s="598">
        <v>98049</v>
      </c>
      <c r="R11655" s="548">
        <v>499.81389998878109</v>
      </c>
      <c r="S11655" s="548">
        <v>500.028203755265</v>
      </c>
      <c r="T11655" s="549">
        <v>15.65</v>
      </c>
      <c r="U11655" s="549">
        <v>73.510000000000005</v>
      </c>
      <c r="V11655" s="549">
        <v>36.75</v>
      </c>
    </row>
    <row r="11656" spans="1:25">
      <c r="A11656" s="499">
        <v>45895</v>
      </c>
      <c r="B11656" s="499">
        <v>45895</v>
      </c>
      <c r="C11656" s="500" t="s">
        <v>173</v>
      </c>
      <c r="D11656" s="500" t="s">
        <v>759</v>
      </c>
      <c r="E11656" s="501">
        <v>-206111226.81999999</v>
      </c>
      <c r="F11656" s="502" t="s">
        <v>878</v>
      </c>
      <c r="G11656" s="443">
        <v>118782833</v>
      </c>
      <c r="H11656" s="530"/>
      <c r="I11656" s="523" t="s">
        <v>678</v>
      </c>
      <c r="J11656" s="530" t="s">
        <v>906</v>
      </c>
      <c r="N11656" s="598">
        <v>218772</v>
      </c>
      <c r="R11656" s="548">
        <v>942.12800001828384</v>
      </c>
      <c r="S11656" s="548">
        <v>942.53195354067304</v>
      </c>
      <c r="T11656" s="549">
        <v>15.65</v>
      </c>
      <c r="U11656" s="549">
        <v>309.17</v>
      </c>
      <c r="V11656" s="549">
        <v>154.58000000000001</v>
      </c>
    </row>
    <row r="11657" spans="1:25">
      <c r="A11657" s="499">
        <v>45895</v>
      </c>
      <c r="B11657" s="499">
        <v>45895</v>
      </c>
      <c r="C11657" s="500" t="s">
        <v>173</v>
      </c>
      <c r="D11657" s="500" t="s">
        <v>759</v>
      </c>
      <c r="E11657" s="501">
        <v>-1745494868.04</v>
      </c>
      <c r="F11657" s="502" t="s">
        <v>878</v>
      </c>
      <c r="G11657" s="443">
        <v>118783777</v>
      </c>
      <c r="H11657" s="530"/>
      <c r="I11657" s="523" t="s">
        <v>2854</v>
      </c>
      <c r="J11657" s="530" t="s">
        <v>906</v>
      </c>
      <c r="N11657" s="598">
        <v>3209055</v>
      </c>
      <c r="R11657" s="548">
        <v>543.928</v>
      </c>
      <c r="S11657" s="548">
        <v>544.16121844281304</v>
      </c>
      <c r="T11657" s="549">
        <v>15.65</v>
      </c>
      <c r="U11657" s="549">
        <v>2618.2399999999998</v>
      </c>
      <c r="V11657" s="549">
        <v>1309.1199999999999</v>
      </c>
    </row>
    <row r="11658" spans="1:25">
      <c r="A11658" s="499">
        <v>45895</v>
      </c>
      <c r="B11658" s="499">
        <v>45895</v>
      </c>
      <c r="C11658" s="500" t="s">
        <v>173</v>
      </c>
      <c r="D11658" s="500" t="s">
        <v>759</v>
      </c>
      <c r="E11658" s="501">
        <v>-64048088.829999998</v>
      </c>
      <c r="F11658" s="502" t="s">
        <v>878</v>
      </c>
      <c r="G11658" s="443">
        <v>118785842</v>
      </c>
      <c r="H11658" s="530"/>
      <c r="I11658" s="523" t="s">
        <v>657</v>
      </c>
      <c r="J11658" s="530" t="s">
        <v>906</v>
      </c>
      <c r="N11658" s="598">
        <v>66688</v>
      </c>
      <c r="R11658" s="548">
        <v>960.41399997000963</v>
      </c>
      <c r="S11658" s="548">
        <v>960.82448086612305</v>
      </c>
      <c r="T11658" s="549">
        <v>15.600099999999999</v>
      </c>
      <c r="U11658" s="549">
        <v>96.07</v>
      </c>
      <c r="V11658" s="549">
        <v>48.04</v>
      </c>
    </row>
    <row r="11659" spans="1:25">
      <c r="A11659" s="499">
        <v>45895</v>
      </c>
      <c r="B11659" s="275">
        <v>45909</v>
      </c>
      <c r="C11659" s="500" t="s">
        <v>173</v>
      </c>
      <c r="D11659" s="500" t="s">
        <v>759</v>
      </c>
      <c r="E11659" s="501">
        <v>9447136634.0300007</v>
      </c>
      <c r="F11659" s="502" t="s">
        <v>878</v>
      </c>
      <c r="G11659" s="443">
        <v>118782442</v>
      </c>
      <c r="H11659" s="443">
        <v>118782442</v>
      </c>
      <c r="I11659" s="523" t="s">
        <v>657</v>
      </c>
      <c r="J11659" s="530" t="s">
        <v>912</v>
      </c>
      <c r="N11659" s="598">
        <v>9777086</v>
      </c>
      <c r="R11659" s="548">
        <v>960.41399999959094</v>
      </c>
      <c r="S11659" s="548">
        <v>966.25279086529497</v>
      </c>
      <c r="T11659" s="549">
        <v>15.85</v>
      </c>
      <c r="U11659" s="549">
        <v>197191.06</v>
      </c>
      <c r="V11659" s="549">
        <v>98595.53</v>
      </c>
    </row>
    <row r="11660" spans="1:25">
      <c r="A11660" s="499">
        <v>45895</v>
      </c>
      <c r="B11660" s="275">
        <v>45896</v>
      </c>
      <c r="C11660" s="500" t="s">
        <v>173</v>
      </c>
      <c r="D11660" s="500" t="s">
        <v>759</v>
      </c>
      <c r="E11660" s="501">
        <v>49027265.350000001</v>
      </c>
      <c r="F11660" s="502" t="s">
        <v>878</v>
      </c>
      <c r="G11660" s="443">
        <v>118782828</v>
      </c>
      <c r="H11660" s="443">
        <v>118782828</v>
      </c>
      <c r="I11660" s="523" t="s">
        <v>631</v>
      </c>
      <c r="J11660" s="530" t="s">
        <v>912</v>
      </c>
      <c r="N11660" s="598">
        <v>98049</v>
      </c>
      <c r="R11660" s="548">
        <v>499.81389998878109</v>
      </c>
      <c r="S11660" s="548">
        <v>500.028203755265</v>
      </c>
      <c r="T11660" s="549">
        <v>15.65</v>
      </c>
      <c r="U11660" s="549">
        <v>73.510000000000005</v>
      </c>
      <c r="V11660" s="549">
        <v>36.75</v>
      </c>
    </row>
    <row r="11661" spans="1:25">
      <c r="A11661" s="499">
        <v>45895</v>
      </c>
      <c r="B11661" s="275">
        <v>45896</v>
      </c>
      <c r="C11661" s="500" t="s">
        <v>173</v>
      </c>
      <c r="D11661" s="500" t="s">
        <v>759</v>
      </c>
      <c r="E11661" s="501">
        <v>206199600.53999999</v>
      </c>
      <c r="F11661" s="502" t="s">
        <v>878</v>
      </c>
      <c r="G11661" s="443">
        <v>118782833</v>
      </c>
      <c r="H11661" s="443">
        <v>118782833</v>
      </c>
      <c r="I11661" s="523" t="s">
        <v>678</v>
      </c>
      <c r="J11661" s="530" t="s">
        <v>912</v>
      </c>
      <c r="N11661" s="598">
        <v>218772</v>
      </c>
      <c r="R11661" s="548">
        <v>942.12800001828384</v>
      </c>
      <c r="S11661" s="548">
        <v>942.53195354067304</v>
      </c>
      <c r="T11661" s="549">
        <v>15.65</v>
      </c>
      <c r="U11661" s="549">
        <v>309.17</v>
      </c>
      <c r="V11661" s="549">
        <v>154.58000000000001</v>
      </c>
    </row>
    <row r="11662" spans="1:25">
      <c r="A11662" s="499">
        <v>45895</v>
      </c>
      <c r="B11662" s="275">
        <v>45896</v>
      </c>
      <c r="C11662" s="500" t="s">
        <v>173</v>
      </c>
      <c r="D11662" s="500" t="s">
        <v>759</v>
      </c>
      <c r="E11662" s="501">
        <v>1746243278.8499999</v>
      </c>
      <c r="F11662" s="502" t="s">
        <v>878</v>
      </c>
      <c r="G11662" s="443">
        <v>118783777</v>
      </c>
      <c r="H11662" s="443">
        <v>118783777</v>
      </c>
      <c r="I11662" s="523" t="s">
        <v>2854</v>
      </c>
      <c r="J11662" s="530" t="s">
        <v>912</v>
      </c>
      <c r="N11662" s="598">
        <v>3209055</v>
      </c>
      <c r="R11662" s="548">
        <v>543.928</v>
      </c>
      <c r="S11662" s="548">
        <v>544.16121844281304</v>
      </c>
      <c r="T11662" s="549">
        <v>15.65</v>
      </c>
      <c r="U11662" s="549">
        <v>2618.2399999999998</v>
      </c>
      <c r="V11662" s="549">
        <v>1309.1199999999999</v>
      </c>
    </row>
    <row r="11663" spans="1:25">
      <c r="A11663" s="499">
        <v>45895</v>
      </c>
      <c r="B11663" s="275">
        <v>45896</v>
      </c>
      <c r="C11663" s="500" t="s">
        <v>173</v>
      </c>
      <c r="D11663" s="500" t="s">
        <v>759</v>
      </c>
      <c r="E11663" s="501">
        <v>64075462.979999997</v>
      </c>
      <c r="F11663" s="502" t="s">
        <v>878</v>
      </c>
      <c r="G11663" s="443">
        <v>118785842</v>
      </c>
      <c r="H11663" s="443">
        <v>118785842</v>
      </c>
      <c r="I11663" s="523" t="s">
        <v>657</v>
      </c>
      <c r="J11663" s="530" t="s">
        <v>912</v>
      </c>
      <c r="N11663" s="598">
        <v>66688</v>
      </c>
      <c r="R11663" s="548">
        <v>960.41399997000963</v>
      </c>
      <c r="S11663" s="548">
        <v>960.82448086612305</v>
      </c>
      <c r="T11663" s="549">
        <v>15.600099999999999</v>
      </c>
      <c r="U11663" s="549">
        <v>96.07</v>
      </c>
      <c r="V11663" s="549">
        <v>48.04</v>
      </c>
    </row>
    <row r="11664" spans="1:25">
      <c r="A11664" s="499">
        <v>45895</v>
      </c>
      <c r="B11664" s="499">
        <v>45895</v>
      </c>
      <c r="C11664" s="500" t="s">
        <v>173</v>
      </c>
      <c r="D11664" s="500" t="s">
        <v>763</v>
      </c>
      <c r="E11664" s="501">
        <v>-75039389.780000001</v>
      </c>
      <c r="F11664" s="502" t="s">
        <v>878</v>
      </c>
      <c r="G11664" s="443">
        <v>118780247</v>
      </c>
      <c r="H11664" s="530"/>
      <c r="I11664" s="523" t="s">
        <v>658</v>
      </c>
      <c r="J11664" s="530" t="s">
        <v>906</v>
      </c>
      <c r="N11664" s="598">
        <v>72975</v>
      </c>
      <c r="R11664" s="539">
        <v>1028.289</v>
      </c>
      <c r="S11664" s="539">
        <v>1028.72679767044</v>
      </c>
      <c r="T11664" s="538">
        <v>15.54</v>
      </c>
      <c r="U11664" s="538">
        <v>112.56</v>
      </c>
      <c r="V11664" s="538">
        <v>56.28</v>
      </c>
    </row>
    <row r="11665" spans="1:22">
      <c r="A11665" s="499">
        <v>45895</v>
      </c>
      <c r="B11665" s="499">
        <v>45895</v>
      </c>
      <c r="C11665" s="500" t="s">
        <v>173</v>
      </c>
      <c r="D11665" s="500" t="s">
        <v>763</v>
      </c>
      <c r="E11665" s="501">
        <v>-441247105.52999997</v>
      </c>
      <c r="F11665" s="502" t="s">
        <v>878</v>
      </c>
      <c r="G11665" s="443">
        <v>118780250</v>
      </c>
      <c r="H11665" s="530"/>
      <c r="I11665" s="523" t="s">
        <v>717</v>
      </c>
      <c r="J11665" s="530" t="s">
        <v>906</v>
      </c>
      <c r="N11665" s="598">
        <v>754110</v>
      </c>
      <c r="R11665" s="539">
        <v>585.12300000000005</v>
      </c>
      <c r="S11665" s="539">
        <v>585.37179750964697</v>
      </c>
      <c r="T11665" s="538">
        <v>15.52</v>
      </c>
      <c r="U11665" s="538">
        <v>661.87</v>
      </c>
      <c r="V11665" s="538">
        <v>330.94</v>
      </c>
    </row>
    <row r="11666" spans="1:22">
      <c r="A11666" s="499">
        <v>45895</v>
      </c>
      <c r="B11666" s="499">
        <v>45895</v>
      </c>
      <c r="C11666" s="500" t="s">
        <v>173</v>
      </c>
      <c r="D11666" s="500" t="s">
        <v>763</v>
      </c>
      <c r="E11666" s="501">
        <v>-519280226.77999997</v>
      </c>
      <c r="F11666" s="502" t="s">
        <v>878</v>
      </c>
      <c r="G11666" s="443">
        <v>118780253</v>
      </c>
      <c r="H11666" s="530"/>
      <c r="I11666" s="523" t="s">
        <v>678</v>
      </c>
      <c r="J11666" s="530" t="s">
        <v>906</v>
      </c>
      <c r="N11666" s="598">
        <v>551178</v>
      </c>
      <c r="R11666" s="539">
        <v>942.12800000000004</v>
      </c>
      <c r="S11666" s="539">
        <v>942.52859798468</v>
      </c>
      <c r="T11666" s="538">
        <v>15.52</v>
      </c>
      <c r="U11666" s="538">
        <v>778.92</v>
      </c>
      <c r="V11666" s="538">
        <v>389.46</v>
      </c>
    </row>
    <row r="11667" spans="1:22">
      <c r="A11667" s="499">
        <v>45895</v>
      </c>
      <c r="B11667" s="499">
        <v>45895</v>
      </c>
      <c r="C11667" s="500" t="s">
        <v>173</v>
      </c>
      <c r="D11667" s="500" t="s">
        <v>763</v>
      </c>
      <c r="E11667" s="501">
        <v>-550480924.95000005</v>
      </c>
      <c r="F11667" s="502" t="s">
        <v>878</v>
      </c>
      <c r="G11667" s="443">
        <v>118780256</v>
      </c>
      <c r="H11667" s="530"/>
      <c r="I11667" s="523" t="s">
        <v>682</v>
      </c>
      <c r="J11667" s="530" t="s">
        <v>906</v>
      </c>
      <c r="N11667" s="598">
        <v>592350</v>
      </c>
      <c r="R11667" s="539">
        <v>929.31700000000001</v>
      </c>
      <c r="S11667" s="539">
        <v>929.71215068793799</v>
      </c>
      <c r="T11667" s="538">
        <v>15.52</v>
      </c>
      <c r="U11667" s="538">
        <v>825.72</v>
      </c>
      <c r="V11667" s="538">
        <v>412.86</v>
      </c>
    </row>
    <row r="11668" spans="1:22">
      <c r="A11668" s="499">
        <v>45895</v>
      </c>
      <c r="B11668" s="499">
        <v>45895</v>
      </c>
      <c r="C11668" s="500" t="s">
        <v>173</v>
      </c>
      <c r="D11668" s="500" t="s">
        <v>763</v>
      </c>
      <c r="E11668" s="501">
        <v>-336114140.54000002</v>
      </c>
      <c r="F11668" s="502" t="s">
        <v>878</v>
      </c>
      <c r="G11668" s="443">
        <v>118780259</v>
      </c>
      <c r="H11668" s="530"/>
      <c r="I11668" s="523" t="s">
        <v>2616</v>
      </c>
      <c r="J11668" s="530" t="s">
        <v>906</v>
      </c>
      <c r="N11668" s="598">
        <v>359856</v>
      </c>
      <c r="R11668" s="539">
        <v>934.024</v>
      </c>
      <c r="S11668" s="539">
        <v>934.42115209972906</v>
      </c>
      <c r="T11668" s="538">
        <v>15.52</v>
      </c>
      <c r="U11668" s="538">
        <v>504.17</v>
      </c>
      <c r="V11668" s="538">
        <v>252.09</v>
      </c>
    </row>
    <row r="11669" spans="1:22">
      <c r="A11669" s="499">
        <v>45895</v>
      </c>
      <c r="B11669" s="499">
        <v>45895</v>
      </c>
      <c r="C11669" s="500" t="s">
        <v>173</v>
      </c>
      <c r="D11669" s="500" t="s">
        <v>763</v>
      </c>
      <c r="E11669" s="501">
        <v>-11009199.27</v>
      </c>
      <c r="F11669" s="502" t="s">
        <v>878</v>
      </c>
      <c r="G11669" s="443">
        <v>118780307</v>
      </c>
      <c r="H11669" s="530"/>
      <c r="I11669" s="523" t="s">
        <v>671</v>
      </c>
      <c r="J11669" s="530" t="s">
        <v>906</v>
      </c>
      <c r="N11669" s="598">
        <v>10637</v>
      </c>
      <c r="R11669" s="539">
        <v>1034.991</v>
      </c>
      <c r="S11669" s="539">
        <v>1035.43108395224</v>
      </c>
      <c r="T11669" s="538">
        <v>15.52</v>
      </c>
      <c r="U11669" s="538">
        <v>39.32</v>
      </c>
      <c r="V11669" s="538">
        <v>39.32</v>
      </c>
    </row>
    <row r="11670" spans="1:22">
      <c r="A11670" s="499">
        <v>45895</v>
      </c>
      <c r="B11670" s="499">
        <v>45896</v>
      </c>
      <c r="C11670" s="500" t="s">
        <v>173</v>
      </c>
      <c r="D11670" s="500" t="s">
        <v>763</v>
      </c>
      <c r="E11670" s="501">
        <v>75071338.060000002</v>
      </c>
      <c r="F11670" s="502" t="s">
        <v>878</v>
      </c>
      <c r="G11670" s="443">
        <v>118780247</v>
      </c>
      <c r="H11670" s="484">
        <v>118780247</v>
      </c>
      <c r="I11670" s="523" t="s">
        <v>658</v>
      </c>
      <c r="J11670" s="530" t="s">
        <v>912</v>
      </c>
      <c r="N11670" s="598">
        <v>72975</v>
      </c>
      <c r="R11670" s="539">
        <v>1028.289</v>
      </c>
      <c r="S11670" s="539">
        <v>1028.72679767044</v>
      </c>
      <c r="T11670" s="538">
        <v>15.54</v>
      </c>
      <c r="U11670" s="538">
        <v>112.56</v>
      </c>
      <c r="V11670" s="538">
        <v>56.28</v>
      </c>
    </row>
    <row r="11671" spans="1:22">
      <c r="A11671" s="499">
        <v>45895</v>
      </c>
      <c r="B11671" s="499">
        <v>45896</v>
      </c>
      <c r="C11671" s="500" t="s">
        <v>173</v>
      </c>
      <c r="D11671" s="500" t="s">
        <v>763</v>
      </c>
      <c r="E11671" s="501">
        <v>441434726.22000003</v>
      </c>
      <c r="F11671" s="502" t="s">
        <v>878</v>
      </c>
      <c r="G11671" s="443">
        <v>118780250</v>
      </c>
      <c r="H11671" s="484">
        <v>118780250</v>
      </c>
      <c r="I11671" s="523" t="s">
        <v>717</v>
      </c>
      <c r="J11671" s="530" t="s">
        <v>912</v>
      </c>
      <c r="N11671" s="598">
        <v>754110</v>
      </c>
      <c r="R11671" s="539">
        <v>585.12300000000005</v>
      </c>
      <c r="S11671" s="539">
        <v>585.37179750964697</v>
      </c>
      <c r="T11671" s="538">
        <v>15.52</v>
      </c>
      <c r="U11671" s="538">
        <v>661.87</v>
      </c>
      <c r="V11671" s="538">
        <v>330.94</v>
      </c>
    </row>
    <row r="11672" spans="1:22">
      <c r="A11672" s="499">
        <v>45895</v>
      </c>
      <c r="B11672" s="499">
        <v>45896</v>
      </c>
      <c r="C11672" s="500" t="s">
        <v>173</v>
      </c>
      <c r="D11672" s="500" t="s">
        <v>763</v>
      </c>
      <c r="E11672" s="501">
        <v>519501027.57999998</v>
      </c>
      <c r="F11672" s="502" t="s">
        <v>878</v>
      </c>
      <c r="G11672" s="443">
        <v>118780253</v>
      </c>
      <c r="H11672" s="484">
        <v>118780253</v>
      </c>
      <c r="I11672" s="523" t="s">
        <v>678</v>
      </c>
      <c r="J11672" s="530" t="s">
        <v>912</v>
      </c>
      <c r="N11672" s="598">
        <v>551178</v>
      </c>
      <c r="R11672" s="539">
        <v>942.12800000000004</v>
      </c>
      <c r="S11672" s="539">
        <v>942.52859798468</v>
      </c>
      <c r="T11672" s="538">
        <v>15.52</v>
      </c>
      <c r="U11672" s="538">
        <v>778.92</v>
      </c>
      <c r="V11672" s="538">
        <v>389.46</v>
      </c>
    </row>
    <row r="11673" spans="1:22">
      <c r="A11673" s="499">
        <v>45895</v>
      </c>
      <c r="B11673" s="499">
        <v>45896</v>
      </c>
      <c r="C11673" s="500" t="s">
        <v>173</v>
      </c>
      <c r="D11673" s="500" t="s">
        <v>763</v>
      </c>
      <c r="E11673" s="501">
        <v>550714992.46000004</v>
      </c>
      <c r="F11673" s="502" t="s">
        <v>878</v>
      </c>
      <c r="G11673" s="443">
        <v>118780256</v>
      </c>
      <c r="H11673" s="484">
        <v>118780256</v>
      </c>
      <c r="I11673" s="523" t="s">
        <v>682</v>
      </c>
      <c r="J11673" s="530" t="s">
        <v>912</v>
      </c>
      <c r="N11673" s="598">
        <v>592350</v>
      </c>
      <c r="R11673" s="539">
        <v>929.31700000000001</v>
      </c>
      <c r="S11673" s="539">
        <v>929.71215068793799</v>
      </c>
      <c r="T11673" s="538">
        <v>15.52</v>
      </c>
      <c r="U11673" s="538">
        <v>825.72</v>
      </c>
      <c r="V11673" s="538">
        <v>412.86</v>
      </c>
    </row>
    <row r="11674" spans="1:22">
      <c r="A11674" s="499">
        <v>45895</v>
      </c>
      <c r="B11674" s="499">
        <v>45896</v>
      </c>
      <c r="C11674" s="500" t="s">
        <v>173</v>
      </c>
      <c r="D11674" s="500" t="s">
        <v>763</v>
      </c>
      <c r="E11674" s="501">
        <v>336257058.11000001</v>
      </c>
      <c r="F11674" s="502" t="s">
        <v>878</v>
      </c>
      <c r="G11674" s="443">
        <v>118780259</v>
      </c>
      <c r="H11674" s="484">
        <v>118780259</v>
      </c>
      <c r="I11674" s="523" t="s">
        <v>2616</v>
      </c>
      <c r="J11674" s="530" t="s">
        <v>912</v>
      </c>
      <c r="N11674" s="598">
        <v>359856</v>
      </c>
      <c r="R11674" s="539">
        <v>934.024</v>
      </c>
      <c r="S11674" s="539">
        <v>934.42115209972906</v>
      </c>
      <c r="T11674" s="538">
        <v>15.52</v>
      </c>
      <c r="U11674" s="538">
        <v>504.17</v>
      </c>
      <c r="V11674" s="538">
        <v>252.09</v>
      </c>
    </row>
    <row r="11675" spans="1:22">
      <c r="A11675" s="499">
        <v>45895</v>
      </c>
      <c r="B11675" s="499">
        <v>45896</v>
      </c>
      <c r="C11675" s="500" t="s">
        <v>173</v>
      </c>
      <c r="D11675" s="500" t="s">
        <v>763</v>
      </c>
      <c r="E11675" s="501">
        <v>11013880.439999999</v>
      </c>
      <c r="F11675" s="502" t="s">
        <v>878</v>
      </c>
      <c r="G11675" s="443">
        <v>118780307</v>
      </c>
      <c r="H11675" s="484">
        <v>118780307</v>
      </c>
      <c r="I11675" s="523" t="s">
        <v>671</v>
      </c>
      <c r="J11675" s="530" t="s">
        <v>912</v>
      </c>
      <c r="N11675" s="598">
        <v>10637</v>
      </c>
      <c r="R11675" s="539">
        <v>1034.991</v>
      </c>
      <c r="S11675" s="539">
        <v>1035.43108395224</v>
      </c>
      <c r="T11675" s="538">
        <v>15.52</v>
      </c>
      <c r="U11675" s="538">
        <v>39.32</v>
      </c>
      <c r="V11675" s="538">
        <v>39.32</v>
      </c>
    </row>
    <row r="11676" spans="1:22">
      <c r="A11676" s="499">
        <v>45895</v>
      </c>
      <c r="B11676" s="499">
        <v>45895</v>
      </c>
      <c r="C11676" s="500" t="s">
        <v>173</v>
      </c>
      <c r="D11676" s="500" t="s">
        <v>764</v>
      </c>
      <c r="E11676" s="501">
        <v>-163055371.75</v>
      </c>
      <c r="F11676" s="502" t="s">
        <v>878</v>
      </c>
      <c r="G11676" s="443">
        <v>118780271</v>
      </c>
      <c r="H11676" s="530"/>
      <c r="I11676" s="523" t="s">
        <v>2616</v>
      </c>
      <c r="J11676" s="530" t="s">
        <v>906</v>
      </c>
      <c r="N11676" s="598">
        <v>174573</v>
      </c>
      <c r="R11676" s="539">
        <v>934.02399998854344</v>
      </c>
      <c r="S11676" s="539">
        <v>934.42115212547196</v>
      </c>
      <c r="T11676" s="538">
        <v>15.52</v>
      </c>
      <c r="U11676" s="538">
        <v>244.58</v>
      </c>
      <c r="V11676" s="538">
        <v>122.29</v>
      </c>
    </row>
    <row r="11677" spans="1:22">
      <c r="A11677" s="499">
        <v>45895</v>
      </c>
      <c r="B11677" s="499">
        <v>45895</v>
      </c>
      <c r="C11677" s="500" t="s">
        <v>173</v>
      </c>
      <c r="D11677" s="500" t="s">
        <v>764</v>
      </c>
      <c r="E11677" s="501">
        <v>-959337470.17999995</v>
      </c>
      <c r="F11677" s="502" t="s">
        <v>878</v>
      </c>
      <c r="G11677" s="443">
        <v>118780274</v>
      </c>
      <c r="H11677" s="530"/>
      <c r="I11677" s="523" t="s">
        <v>550</v>
      </c>
      <c r="J11677" s="530" t="s">
        <v>906</v>
      </c>
      <c r="N11677" s="598">
        <v>1745380</v>
      </c>
      <c r="R11677" s="539">
        <v>549.64389999885407</v>
      </c>
      <c r="S11677" s="539">
        <v>549.87761159747402</v>
      </c>
      <c r="T11677" s="538">
        <v>15.52</v>
      </c>
      <c r="U11677" s="538">
        <v>1439.01</v>
      </c>
      <c r="V11677" s="538">
        <v>719.5</v>
      </c>
    </row>
    <row r="11678" spans="1:22">
      <c r="A11678" s="499">
        <v>45895</v>
      </c>
      <c r="B11678" s="499">
        <v>45895</v>
      </c>
      <c r="C11678" s="500" t="s">
        <v>173</v>
      </c>
      <c r="D11678" s="500" t="s">
        <v>764</v>
      </c>
      <c r="E11678" s="501">
        <v>-510042409.56</v>
      </c>
      <c r="F11678" s="502" t="s">
        <v>878</v>
      </c>
      <c r="G11678" s="443">
        <v>118780277</v>
      </c>
      <c r="H11678" s="530"/>
      <c r="I11678" s="523" t="s">
        <v>675</v>
      </c>
      <c r="J11678" s="530" t="s">
        <v>906</v>
      </c>
      <c r="N11678" s="598">
        <v>542130</v>
      </c>
      <c r="R11678" s="539">
        <v>940.81200000000001</v>
      </c>
      <c r="S11678" s="539">
        <v>941.21203842251896</v>
      </c>
      <c r="T11678" s="538">
        <v>15.52</v>
      </c>
      <c r="U11678" s="538">
        <v>765.06</v>
      </c>
      <c r="V11678" s="538">
        <v>382.53</v>
      </c>
    </row>
    <row r="11679" spans="1:22">
      <c r="A11679" s="499">
        <v>45895</v>
      </c>
      <c r="B11679" s="499">
        <v>45895</v>
      </c>
      <c r="C11679" s="500" t="s">
        <v>173</v>
      </c>
      <c r="D11679" s="500" t="s">
        <v>764</v>
      </c>
      <c r="E11679" s="501">
        <v>-678268379.51999998</v>
      </c>
      <c r="F11679" s="502" t="s">
        <v>878</v>
      </c>
      <c r="G11679" s="443">
        <v>118780280</v>
      </c>
      <c r="H11679" s="530"/>
      <c r="I11679" s="523" t="s">
        <v>656</v>
      </c>
      <c r="J11679" s="530" t="s">
        <v>906</v>
      </c>
      <c r="N11679" s="598">
        <v>650880</v>
      </c>
      <c r="R11679" s="539">
        <v>1042.079</v>
      </c>
      <c r="S11679" s="539">
        <v>1042.5220976984999</v>
      </c>
      <c r="T11679" s="538">
        <v>15.52</v>
      </c>
      <c r="U11679" s="538">
        <v>1017.4</v>
      </c>
      <c r="V11679" s="538">
        <v>508.7</v>
      </c>
    </row>
    <row r="11680" spans="1:22">
      <c r="A11680" s="499">
        <v>45895</v>
      </c>
      <c r="B11680" s="499">
        <v>45895</v>
      </c>
      <c r="C11680" s="500" t="s">
        <v>173</v>
      </c>
      <c r="D11680" s="500" t="s">
        <v>764</v>
      </c>
      <c r="E11680" s="501">
        <v>-591099672.14999998</v>
      </c>
      <c r="F11680" s="502" t="s">
        <v>878</v>
      </c>
      <c r="G11680" s="443">
        <v>118780283</v>
      </c>
      <c r="H11680" s="530"/>
      <c r="I11680" s="523" t="s">
        <v>705</v>
      </c>
      <c r="J11680" s="530" t="s">
        <v>906</v>
      </c>
      <c r="N11680" s="598">
        <v>783666</v>
      </c>
      <c r="R11680" s="539">
        <v>754.27499999999998</v>
      </c>
      <c r="S11680" s="539">
        <v>754.59572186365097</v>
      </c>
      <c r="T11680" s="538">
        <v>15.52</v>
      </c>
      <c r="U11680" s="538">
        <v>886.65</v>
      </c>
      <c r="V11680" s="538">
        <v>443.32</v>
      </c>
    </row>
    <row r="11681" spans="1:22">
      <c r="A11681" s="499">
        <v>45895</v>
      </c>
      <c r="B11681" s="499">
        <v>45895</v>
      </c>
      <c r="C11681" s="500" t="s">
        <v>173</v>
      </c>
      <c r="D11681" s="500" t="s">
        <v>764</v>
      </c>
      <c r="E11681" s="501">
        <v>-609297973.96000004</v>
      </c>
      <c r="F11681" s="502" t="s">
        <v>878</v>
      </c>
      <c r="G11681" s="443">
        <v>118780286</v>
      </c>
      <c r="H11681" s="530"/>
      <c r="I11681" s="523" t="s">
        <v>677</v>
      </c>
      <c r="J11681" s="530" t="s">
        <v>906</v>
      </c>
      <c r="N11681" s="598">
        <v>685734</v>
      </c>
      <c r="R11681" s="539">
        <v>888.53400000583326</v>
      </c>
      <c r="S11681" s="539">
        <v>888.91180953547598</v>
      </c>
      <c r="T11681" s="538">
        <v>15.52</v>
      </c>
      <c r="U11681" s="538">
        <v>913.95</v>
      </c>
      <c r="V11681" s="538">
        <v>456.97</v>
      </c>
    </row>
    <row r="11682" spans="1:22">
      <c r="A11682" s="499">
        <v>45895</v>
      </c>
      <c r="B11682" s="499">
        <v>45895</v>
      </c>
      <c r="C11682" s="500" t="s">
        <v>173</v>
      </c>
      <c r="D11682" s="500" t="s">
        <v>764</v>
      </c>
      <c r="E11682" s="501">
        <v>-664033399.20000005</v>
      </c>
      <c r="F11682" s="502" t="s">
        <v>878</v>
      </c>
      <c r="G11682" s="443">
        <v>118780289</v>
      </c>
      <c r="H11682" s="530"/>
      <c r="I11682" s="523" t="s">
        <v>654</v>
      </c>
      <c r="J11682" s="530" t="s">
        <v>906</v>
      </c>
      <c r="N11682" s="598">
        <v>659352</v>
      </c>
      <c r="R11682" s="539">
        <v>1007.1</v>
      </c>
      <c r="S11682" s="539">
        <v>1007.52822443854</v>
      </c>
      <c r="T11682" s="538">
        <v>15.52</v>
      </c>
      <c r="U11682" s="538">
        <v>996.05</v>
      </c>
      <c r="V11682" s="538">
        <v>498.03</v>
      </c>
    </row>
    <row r="11683" spans="1:22">
      <c r="A11683" s="499">
        <v>45895</v>
      </c>
      <c r="B11683" s="499">
        <v>45895</v>
      </c>
      <c r="C11683" s="500" t="s">
        <v>173</v>
      </c>
      <c r="D11683" s="500" t="s">
        <v>764</v>
      </c>
      <c r="E11683" s="501">
        <v>-644538575.26999998</v>
      </c>
      <c r="F11683" s="502" t="s">
        <v>878</v>
      </c>
      <c r="G11683" s="443">
        <v>118780292</v>
      </c>
      <c r="H11683" s="530"/>
      <c r="I11683" s="523" t="s">
        <v>671</v>
      </c>
      <c r="J11683" s="530" t="s">
        <v>906</v>
      </c>
      <c r="N11683" s="598">
        <v>622748</v>
      </c>
      <c r="R11683" s="539">
        <v>1034.9910000032116</v>
      </c>
      <c r="S11683" s="539">
        <v>1035.4310838413001</v>
      </c>
      <c r="T11683" s="538">
        <v>15.52</v>
      </c>
      <c r="U11683" s="538">
        <v>966.81</v>
      </c>
      <c r="V11683" s="538">
        <v>483.4</v>
      </c>
    </row>
    <row r="11684" spans="1:22">
      <c r="A11684" s="499">
        <v>45895</v>
      </c>
      <c r="B11684" s="499">
        <v>45895</v>
      </c>
      <c r="C11684" s="500" t="s">
        <v>173</v>
      </c>
      <c r="D11684" s="500" t="s">
        <v>764</v>
      </c>
      <c r="E11684" s="501">
        <v>-27022580.02</v>
      </c>
      <c r="F11684" s="502" t="s">
        <v>878</v>
      </c>
      <c r="G11684" s="443">
        <v>118780313</v>
      </c>
      <c r="H11684" s="530"/>
      <c r="I11684" s="523" t="s">
        <v>671</v>
      </c>
      <c r="J11684" s="530" t="s">
        <v>906</v>
      </c>
      <c r="N11684" s="598">
        <v>26109</v>
      </c>
      <c r="R11684" s="539">
        <v>1034.9910000383009</v>
      </c>
      <c r="S11684" s="539">
        <v>1035.43108391742</v>
      </c>
      <c r="T11684" s="538">
        <v>15.52</v>
      </c>
      <c r="U11684" s="538">
        <v>40.53</v>
      </c>
      <c r="V11684" s="538">
        <v>20.27</v>
      </c>
    </row>
    <row r="11685" spans="1:22">
      <c r="A11685" s="499">
        <v>45895</v>
      </c>
      <c r="B11685" s="499">
        <v>45895</v>
      </c>
      <c r="C11685" s="500" t="s">
        <v>173</v>
      </c>
      <c r="D11685" s="500" t="s">
        <v>764</v>
      </c>
      <c r="E11685" s="501">
        <v>-2000007</v>
      </c>
      <c r="F11685" s="502" t="s">
        <v>878</v>
      </c>
      <c r="G11685" s="443">
        <v>118780316</v>
      </c>
      <c r="H11685" s="530"/>
      <c r="I11685" s="523" t="s">
        <v>673</v>
      </c>
      <c r="J11685" s="530" t="s">
        <v>906</v>
      </c>
      <c r="N11685" s="598">
        <v>2196</v>
      </c>
      <c r="R11685" s="539">
        <v>910.75</v>
      </c>
      <c r="S11685" s="539">
        <v>911.13725409836104</v>
      </c>
      <c r="T11685" s="538">
        <v>15.52</v>
      </c>
      <c r="U11685" s="538">
        <v>39.32</v>
      </c>
      <c r="V11685" s="538">
        <v>1.5</v>
      </c>
    </row>
    <row r="11686" spans="1:22">
      <c r="A11686" s="499">
        <v>45895</v>
      </c>
      <c r="B11686" s="499">
        <v>45896</v>
      </c>
      <c r="C11686" s="500" t="s">
        <v>173</v>
      </c>
      <c r="D11686" s="500" t="s">
        <v>764</v>
      </c>
      <c r="E11686" s="501">
        <v>163124703.78999999</v>
      </c>
      <c r="F11686" s="502" t="s">
        <v>878</v>
      </c>
      <c r="G11686" s="443">
        <v>118780271</v>
      </c>
      <c r="H11686" s="484">
        <v>118780271</v>
      </c>
      <c r="I11686" s="523" t="s">
        <v>2616</v>
      </c>
      <c r="J11686" s="530" t="s">
        <v>912</v>
      </c>
      <c r="N11686" s="598">
        <v>174573</v>
      </c>
      <c r="R11686" s="539">
        <v>934.02399998854344</v>
      </c>
      <c r="S11686" s="539">
        <v>934.42115212547196</v>
      </c>
      <c r="T11686" s="538">
        <v>15.52</v>
      </c>
      <c r="U11686" s="538">
        <v>244.58</v>
      </c>
      <c r="V11686" s="538">
        <v>122.29</v>
      </c>
    </row>
    <row r="11687" spans="1:22">
      <c r="A11687" s="499">
        <v>45895</v>
      </c>
      <c r="B11687" s="499">
        <v>45896</v>
      </c>
      <c r="C11687" s="500" t="s">
        <v>173</v>
      </c>
      <c r="D11687" s="500" t="s">
        <v>764</v>
      </c>
      <c r="E11687" s="501">
        <v>959745385.73000002</v>
      </c>
      <c r="F11687" s="502" t="s">
        <v>878</v>
      </c>
      <c r="G11687" s="443">
        <v>118780274</v>
      </c>
      <c r="H11687" s="484">
        <v>118780274</v>
      </c>
      <c r="I11687" s="523" t="s">
        <v>550</v>
      </c>
      <c r="J11687" s="530" t="s">
        <v>912</v>
      </c>
      <c r="N11687" s="598">
        <v>1745380</v>
      </c>
      <c r="R11687" s="539">
        <v>549.64389999885407</v>
      </c>
      <c r="S11687" s="539">
        <v>549.87761159747402</v>
      </c>
      <c r="T11687" s="538">
        <v>15.52</v>
      </c>
      <c r="U11687" s="538">
        <v>1439.01</v>
      </c>
      <c r="V11687" s="538">
        <v>719.5</v>
      </c>
    </row>
    <row r="11688" spans="1:22">
      <c r="A11688" s="499">
        <v>45895</v>
      </c>
      <c r="B11688" s="499">
        <v>45896</v>
      </c>
      <c r="C11688" s="500" t="s">
        <v>173</v>
      </c>
      <c r="D11688" s="500" t="s">
        <v>764</v>
      </c>
      <c r="E11688" s="501">
        <v>510259282.38999999</v>
      </c>
      <c r="F11688" s="502" t="s">
        <v>878</v>
      </c>
      <c r="G11688" s="443">
        <v>118780277</v>
      </c>
      <c r="H11688" s="484">
        <v>118780277</v>
      </c>
      <c r="I11688" s="523" t="s">
        <v>675</v>
      </c>
      <c r="J11688" s="530" t="s">
        <v>912</v>
      </c>
      <c r="N11688" s="598">
        <v>542130</v>
      </c>
      <c r="R11688" s="539">
        <v>940.81200000000001</v>
      </c>
      <c r="S11688" s="539">
        <v>941.21203842251896</v>
      </c>
      <c r="T11688" s="538">
        <v>15.52</v>
      </c>
      <c r="U11688" s="538">
        <v>765.06</v>
      </c>
      <c r="V11688" s="538">
        <v>382.53</v>
      </c>
    </row>
    <row r="11689" spans="1:22">
      <c r="A11689" s="499">
        <v>45895</v>
      </c>
      <c r="B11689" s="499">
        <v>45896</v>
      </c>
      <c r="C11689" s="500" t="s">
        <v>173</v>
      </c>
      <c r="D11689" s="500" t="s">
        <v>764</v>
      </c>
      <c r="E11689" s="501">
        <v>678556782.95000005</v>
      </c>
      <c r="F11689" s="502" t="s">
        <v>878</v>
      </c>
      <c r="G11689" s="443">
        <v>118780280</v>
      </c>
      <c r="H11689" s="484">
        <v>118780280</v>
      </c>
      <c r="I11689" s="523" t="s">
        <v>656</v>
      </c>
      <c r="J11689" s="530" t="s">
        <v>912</v>
      </c>
      <c r="N11689" s="598">
        <v>650880</v>
      </c>
      <c r="R11689" s="539">
        <v>1042.079</v>
      </c>
      <c r="S11689" s="539">
        <v>1042.5220976984999</v>
      </c>
      <c r="T11689" s="538">
        <v>15.52</v>
      </c>
      <c r="U11689" s="538">
        <v>1017.4</v>
      </c>
      <c r="V11689" s="538">
        <v>508.7</v>
      </c>
    </row>
    <row r="11690" spans="1:22">
      <c r="A11690" s="499">
        <v>45895</v>
      </c>
      <c r="B11690" s="499">
        <v>45896</v>
      </c>
      <c r="C11690" s="500" t="s">
        <v>173</v>
      </c>
      <c r="D11690" s="500" t="s">
        <v>764</v>
      </c>
      <c r="E11690" s="501">
        <v>591351010.97000003</v>
      </c>
      <c r="F11690" s="502" t="s">
        <v>878</v>
      </c>
      <c r="G11690" s="443">
        <v>118780283</v>
      </c>
      <c r="H11690" s="484">
        <v>118780283</v>
      </c>
      <c r="I11690" s="523" t="s">
        <v>705</v>
      </c>
      <c r="J11690" s="530" t="s">
        <v>912</v>
      </c>
      <c r="N11690" s="598">
        <v>783666</v>
      </c>
      <c r="R11690" s="539">
        <v>754.27499999999998</v>
      </c>
      <c r="S11690" s="539">
        <v>754.59572186365097</v>
      </c>
      <c r="T11690" s="538">
        <v>15.52</v>
      </c>
      <c r="U11690" s="538">
        <v>886.65</v>
      </c>
      <c r="V11690" s="538">
        <v>443.32</v>
      </c>
    </row>
    <row r="11691" spans="1:22">
      <c r="A11691" s="499">
        <v>45895</v>
      </c>
      <c r="B11691" s="499">
        <v>45896</v>
      </c>
      <c r="C11691" s="500" t="s">
        <v>173</v>
      </c>
      <c r="D11691" s="500" t="s">
        <v>764</v>
      </c>
      <c r="E11691" s="501">
        <v>609557050.79999995</v>
      </c>
      <c r="F11691" s="502" t="s">
        <v>878</v>
      </c>
      <c r="G11691" s="443">
        <v>118780286</v>
      </c>
      <c r="H11691" s="484">
        <v>118780286</v>
      </c>
      <c r="I11691" s="523" t="s">
        <v>677</v>
      </c>
      <c r="J11691" s="530" t="s">
        <v>912</v>
      </c>
      <c r="N11691" s="598">
        <v>685734</v>
      </c>
      <c r="R11691" s="539">
        <v>888.53400000583326</v>
      </c>
      <c r="S11691" s="539">
        <v>888.91180953547598</v>
      </c>
      <c r="T11691" s="538">
        <v>15.52</v>
      </c>
      <c r="U11691" s="538">
        <v>913.95</v>
      </c>
      <c r="V11691" s="538">
        <v>456.97</v>
      </c>
    </row>
    <row r="11692" spans="1:22">
      <c r="A11692" s="499">
        <v>45895</v>
      </c>
      <c r="B11692" s="499">
        <v>45896</v>
      </c>
      <c r="C11692" s="500" t="s">
        <v>173</v>
      </c>
      <c r="D11692" s="500" t="s">
        <v>764</v>
      </c>
      <c r="E11692" s="501">
        <v>664315749.84000003</v>
      </c>
      <c r="F11692" s="502" t="s">
        <v>878</v>
      </c>
      <c r="G11692" s="443">
        <v>118780289</v>
      </c>
      <c r="H11692" s="484">
        <v>118780289</v>
      </c>
      <c r="I11692" s="523" t="s">
        <v>654</v>
      </c>
      <c r="J11692" s="530" t="s">
        <v>912</v>
      </c>
      <c r="N11692" s="598">
        <v>659352</v>
      </c>
      <c r="R11692" s="539">
        <v>1007.1</v>
      </c>
      <c r="S11692" s="539">
        <v>1007.52822443854</v>
      </c>
      <c r="T11692" s="538">
        <v>15.52</v>
      </c>
      <c r="U11692" s="538">
        <v>996.05</v>
      </c>
      <c r="V11692" s="538">
        <v>498.03</v>
      </c>
    </row>
    <row r="11693" spans="1:22">
      <c r="A11693" s="499">
        <v>45895</v>
      </c>
      <c r="B11693" s="499">
        <v>45896</v>
      </c>
      <c r="C11693" s="500" t="s">
        <v>173</v>
      </c>
      <c r="D11693" s="500" t="s">
        <v>764</v>
      </c>
      <c r="E11693" s="501">
        <v>644812636.60000002</v>
      </c>
      <c r="F11693" s="502" t="s">
        <v>878</v>
      </c>
      <c r="G11693" s="443">
        <v>118780292</v>
      </c>
      <c r="H11693" s="484">
        <v>118780292</v>
      </c>
      <c r="I11693" s="523" t="s">
        <v>671</v>
      </c>
      <c r="J11693" s="530" t="s">
        <v>912</v>
      </c>
      <c r="N11693" s="598">
        <v>622748</v>
      </c>
      <c r="R11693" s="539">
        <v>1034.9910000032116</v>
      </c>
      <c r="S11693" s="539">
        <v>1035.4310838413001</v>
      </c>
      <c r="T11693" s="538">
        <v>15.52</v>
      </c>
      <c r="U11693" s="538">
        <v>966.81</v>
      </c>
      <c r="V11693" s="538">
        <v>483.4</v>
      </c>
    </row>
    <row r="11694" spans="1:22">
      <c r="A11694" s="499">
        <v>45895</v>
      </c>
      <c r="B11694" s="499">
        <v>45896</v>
      </c>
      <c r="C11694" s="500" t="s">
        <v>173</v>
      </c>
      <c r="D11694" s="500" t="s">
        <v>764</v>
      </c>
      <c r="E11694" s="501">
        <v>27034070.170000002</v>
      </c>
      <c r="F11694" s="502" t="s">
        <v>878</v>
      </c>
      <c r="G11694" s="443">
        <v>118780313</v>
      </c>
      <c r="H11694" s="484">
        <v>118780313</v>
      </c>
      <c r="I11694" s="523" t="s">
        <v>671</v>
      </c>
      <c r="J11694" s="530" t="s">
        <v>912</v>
      </c>
      <c r="N11694" s="598">
        <v>26109</v>
      </c>
      <c r="R11694" s="539">
        <v>1034.9910000383009</v>
      </c>
      <c r="S11694" s="539">
        <v>1035.43108391742</v>
      </c>
      <c r="T11694" s="538">
        <v>15.52</v>
      </c>
      <c r="U11694" s="538">
        <v>40.53</v>
      </c>
      <c r="V11694" s="538">
        <v>20.27</v>
      </c>
    </row>
    <row r="11695" spans="1:22">
      <c r="A11695" s="499">
        <v>45895</v>
      </c>
      <c r="B11695" s="499">
        <v>45896</v>
      </c>
      <c r="C11695" s="500" t="s">
        <v>173</v>
      </c>
      <c r="D11695" s="500" t="s">
        <v>764</v>
      </c>
      <c r="E11695" s="501">
        <v>2000857.41</v>
      </c>
      <c r="F11695" s="502" t="s">
        <v>878</v>
      </c>
      <c r="G11695" s="443">
        <v>118780316</v>
      </c>
      <c r="H11695" s="484">
        <v>118780316</v>
      </c>
      <c r="I11695" s="523" t="s">
        <v>673</v>
      </c>
      <c r="J11695" s="530" t="s">
        <v>912</v>
      </c>
      <c r="N11695" s="598">
        <v>2196</v>
      </c>
      <c r="R11695" s="539">
        <v>910.75</v>
      </c>
      <c r="S11695" s="539">
        <v>911.13725409836104</v>
      </c>
      <c r="T11695" s="538">
        <v>15.52</v>
      </c>
      <c r="U11695" s="538">
        <v>39.32</v>
      </c>
      <c r="V11695" s="538">
        <v>1.5</v>
      </c>
    </row>
    <row r="11696" spans="1:22">
      <c r="A11696" s="499">
        <v>45896</v>
      </c>
      <c r="B11696" s="499">
        <v>45896</v>
      </c>
      <c r="C11696" s="500" t="s">
        <v>173</v>
      </c>
      <c r="D11696" s="500" t="s">
        <v>763</v>
      </c>
      <c r="E11696" s="501">
        <v>-1922290904.3199999</v>
      </c>
      <c r="F11696" s="502" t="s">
        <v>878</v>
      </c>
      <c r="G11696" s="443">
        <v>118801389</v>
      </c>
      <c r="H11696" s="530"/>
      <c r="I11696" s="523" t="s">
        <v>658</v>
      </c>
      <c r="J11696" s="530" t="s">
        <v>906</v>
      </c>
      <c r="N11696" s="598">
        <v>1878738</v>
      </c>
      <c r="R11696" s="539">
        <v>1023.182</v>
      </c>
      <c r="S11696" s="539">
        <v>1023.61735693322</v>
      </c>
      <c r="T11696" s="538">
        <v>15.5305</v>
      </c>
      <c r="U11696" s="538">
        <v>2883.44</v>
      </c>
      <c r="V11696" s="538">
        <v>1441.72</v>
      </c>
    </row>
    <row r="11697" spans="1:22">
      <c r="A11697" s="499">
        <v>45896</v>
      </c>
      <c r="B11697" s="499">
        <v>45896</v>
      </c>
      <c r="C11697" s="500" t="s">
        <v>173</v>
      </c>
      <c r="D11697" s="500" t="s">
        <v>763</v>
      </c>
      <c r="E11697" s="501">
        <v>-11007391.960000001</v>
      </c>
      <c r="F11697" s="502" t="s">
        <v>878</v>
      </c>
      <c r="G11697" s="443">
        <v>118801454</v>
      </c>
      <c r="H11697" s="530"/>
      <c r="I11697" s="523" t="s">
        <v>658</v>
      </c>
      <c r="J11697" s="530" t="s">
        <v>906</v>
      </c>
      <c r="N11697" s="598">
        <v>10758</v>
      </c>
      <c r="R11697" s="539">
        <v>1023.182</v>
      </c>
      <c r="S11697" s="539">
        <v>1023.61930563302</v>
      </c>
      <c r="T11697" s="538">
        <v>15.6</v>
      </c>
      <c r="U11697" s="538">
        <v>39.32</v>
      </c>
      <c r="V11697" s="538">
        <v>39.32</v>
      </c>
    </row>
    <row r="11698" spans="1:22">
      <c r="A11698" s="499">
        <v>45896</v>
      </c>
      <c r="B11698" s="499">
        <v>45897</v>
      </c>
      <c r="C11698" s="500" t="s">
        <v>173</v>
      </c>
      <c r="D11698" s="500" t="s">
        <v>763</v>
      </c>
      <c r="E11698" s="501">
        <v>1923108825.9300001</v>
      </c>
      <c r="F11698" s="502" t="s">
        <v>878</v>
      </c>
      <c r="G11698" s="443">
        <v>118801389</v>
      </c>
      <c r="H11698" s="484">
        <v>118801389</v>
      </c>
      <c r="I11698" s="523" t="s">
        <v>658</v>
      </c>
      <c r="J11698" s="530" t="s">
        <v>912</v>
      </c>
      <c r="N11698" s="598">
        <v>1878738</v>
      </c>
      <c r="R11698" s="539">
        <v>1023.182</v>
      </c>
      <c r="S11698" s="539">
        <v>1023.61735693322</v>
      </c>
      <c r="T11698" s="538">
        <v>15.5305</v>
      </c>
      <c r="U11698" s="538">
        <v>2883.44</v>
      </c>
      <c r="V11698" s="538">
        <v>1441.72</v>
      </c>
    </row>
    <row r="11699" spans="1:22">
      <c r="A11699" s="499">
        <v>45896</v>
      </c>
      <c r="B11699" s="499">
        <v>45897</v>
      </c>
      <c r="C11699" s="500" t="s">
        <v>173</v>
      </c>
      <c r="D11699" s="500" t="s">
        <v>763</v>
      </c>
      <c r="E11699" s="501">
        <v>11012096.49</v>
      </c>
      <c r="F11699" s="502" t="s">
        <v>878</v>
      </c>
      <c r="G11699" s="443">
        <v>118801454</v>
      </c>
      <c r="H11699" s="484">
        <v>118801454</v>
      </c>
      <c r="I11699" s="523" t="s">
        <v>658</v>
      </c>
      <c r="J11699" s="530" t="s">
        <v>912</v>
      </c>
      <c r="N11699" s="598">
        <v>10758</v>
      </c>
      <c r="R11699" s="539">
        <v>1023.182</v>
      </c>
      <c r="S11699" s="539">
        <v>1023.61930563302</v>
      </c>
      <c r="T11699" s="538">
        <v>15.6</v>
      </c>
      <c r="U11699" s="538">
        <v>39.32</v>
      </c>
      <c r="V11699" s="538">
        <v>39.32</v>
      </c>
    </row>
    <row r="11700" spans="1:22">
      <c r="A11700" s="499">
        <v>45896</v>
      </c>
      <c r="B11700" s="499">
        <v>45896</v>
      </c>
      <c r="C11700" s="500" t="s">
        <v>173</v>
      </c>
      <c r="D11700" s="500" t="s">
        <v>760</v>
      </c>
      <c r="E11700" s="501">
        <v>-5002732.8</v>
      </c>
      <c r="F11700" s="502" t="s">
        <v>878</v>
      </c>
      <c r="G11700" s="443">
        <v>118801712</v>
      </c>
      <c r="H11700" s="530"/>
      <c r="I11700" s="523" t="s">
        <v>704</v>
      </c>
      <c r="J11700" s="530" t="s">
        <v>906</v>
      </c>
      <c r="N11700" s="598">
        <v>6120</v>
      </c>
      <c r="R11700" s="548">
        <v>817.44</v>
      </c>
      <c r="S11700" s="548">
        <v>817.78937091503303</v>
      </c>
      <c r="T11700" s="549">
        <v>15.6</v>
      </c>
      <c r="U11700" s="538">
        <v>39.32</v>
      </c>
      <c r="V11700" s="538">
        <v>3.75</v>
      </c>
    </row>
    <row r="11701" spans="1:22">
      <c r="A11701" s="499">
        <v>45896</v>
      </c>
      <c r="B11701" s="499">
        <v>45896</v>
      </c>
      <c r="C11701" s="500" t="s">
        <v>173</v>
      </c>
      <c r="D11701" s="500" t="s">
        <v>760</v>
      </c>
      <c r="E11701" s="501">
        <v>-1300119776.1500001</v>
      </c>
      <c r="F11701" s="502" t="s">
        <v>878</v>
      </c>
      <c r="G11701" s="443">
        <v>118801202</v>
      </c>
      <c r="H11701" s="530"/>
      <c r="I11701" s="523" t="s">
        <v>2956</v>
      </c>
      <c r="J11701" s="530" t="s">
        <v>906</v>
      </c>
      <c r="N11701" s="598">
        <v>13110500</v>
      </c>
      <c r="R11701" s="548">
        <v>99.166300000000007</v>
      </c>
      <c r="S11701" s="548">
        <v>99.208683404904505</v>
      </c>
      <c r="T11701" s="549">
        <v>15.6</v>
      </c>
      <c r="U11701" s="538">
        <v>1950.18</v>
      </c>
      <c r="V11701" s="538">
        <v>975.09</v>
      </c>
    </row>
    <row r="11702" spans="1:22">
      <c r="A11702" s="499">
        <v>45896</v>
      </c>
      <c r="B11702" s="499">
        <v>45896</v>
      </c>
      <c r="C11702" s="500" t="s">
        <v>173</v>
      </c>
      <c r="D11702" s="500" t="s">
        <v>760</v>
      </c>
      <c r="E11702" s="501">
        <v>-916084396.12</v>
      </c>
      <c r="F11702" s="502" t="s">
        <v>878</v>
      </c>
      <c r="G11702" s="443">
        <v>118801433</v>
      </c>
      <c r="H11702" s="530"/>
      <c r="I11702" s="523" t="s">
        <v>2956</v>
      </c>
      <c r="J11702" s="530" t="s">
        <v>906</v>
      </c>
      <c r="N11702" s="598">
        <v>9237860</v>
      </c>
      <c r="R11702" s="548">
        <v>99.166300000000007</v>
      </c>
      <c r="S11702" s="548">
        <v>99.208683405030996</v>
      </c>
      <c r="T11702" s="549">
        <v>15.6</v>
      </c>
      <c r="U11702" s="538">
        <v>1374.13</v>
      </c>
      <c r="V11702" s="538">
        <v>687.06</v>
      </c>
    </row>
    <row r="11703" spans="1:22">
      <c r="A11703" s="499">
        <v>45896</v>
      </c>
      <c r="B11703" s="499">
        <v>45897</v>
      </c>
      <c r="C11703" s="500" t="s">
        <v>173</v>
      </c>
      <c r="D11703" s="500" t="s">
        <v>760</v>
      </c>
      <c r="E11703" s="501">
        <v>5004870.95</v>
      </c>
      <c r="F11703" s="502" t="s">
        <v>878</v>
      </c>
      <c r="G11703" s="443">
        <v>118801712</v>
      </c>
      <c r="H11703" s="443">
        <v>118801712</v>
      </c>
      <c r="I11703" s="523" t="s">
        <v>704</v>
      </c>
      <c r="J11703" s="530" t="s">
        <v>912</v>
      </c>
      <c r="N11703" s="598">
        <v>6120</v>
      </c>
      <c r="R11703" s="548">
        <v>817.44</v>
      </c>
      <c r="S11703" s="548">
        <v>817.78937091503303</v>
      </c>
      <c r="T11703" s="549">
        <v>15.6</v>
      </c>
      <c r="U11703" s="538">
        <v>39.32</v>
      </c>
      <c r="V11703" s="538">
        <v>3.75</v>
      </c>
    </row>
    <row r="11704" spans="1:22">
      <c r="A11704" s="499">
        <v>45896</v>
      </c>
      <c r="B11704" s="499">
        <v>45897</v>
      </c>
      <c r="C11704" s="500" t="s">
        <v>173</v>
      </c>
      <c r="D11704" s="500" t="s">
        <v>760</v>
      </c>
      <c r="E11704" s="501">
        <v>1300675443.78</v>
      </c>
      <c r="F11704" s="502" t="s">
        <v>878</v>
      </c>
      <c r="G11704" s="443">
        <v>118801202</v>
      </c>
      <c r="H11704" s="443">
        <v>118801202</v>
      </c>
      <c r="I11704" s="523" t="s">
        <v>2956</v>
      </c>
      <c r="J11704" s="530" t="s">
        <v>912</v>
      </c>
      <c r="N11704" s="598">
        <v>13110500</v>
      </c>
      <c r="R11704" s="548">
        <v>99.166300000000007</v>
      </c>
      <c r="S11704" s="548">
        <v>99.208683404904505</v>
      </c>
      <c r="T11704" s="549">
        <v>15.6</v>
      </c>
      <c r="U11704" s="538">
        <v>1950.18</v>
      </c>
      <c r="V11704" s="538">
        <v>975.09</v>
      </c>
    </row>
    <row r="11705" spans="1:22">
      <c r="A11705" s="499">
        <v>45896</v>
      </c>
      <c r="B11705" s="499">
        <v>45897</v>
      </c>
      <c r="C11705" s="500" t="s">
        <v>173</v>
      </c>
      <c r="D11705" s="500" t="s">
        <v>760</v>
      </c>
      <c r="E11705" s="501">
        <v>916475928.08000004</v>
      </c>
      <c r="F11705" s="502" t="s">
        <v>878</v>
      </c>
      <c r="G11705" s="443">
        <v>118801433</v>
      </c>
      <c r="H11705" s="443">
        <v>118801433</v>
      </c>
      <c r="I11705" s="523" t="s">
        <v>2956</v>
      </c>
      <c r="J11705" s="530" t="s">
        <v>912</v>
      </c>
      <c r="N11705" s="598">
        <v>9237860</v>
      </c>
      <c r="R11705" s="548">
        <v>99.166300000000007</v>
      </c>
      <c r="S11705" s="548">
        <v>99.208683405030996</v>
      </c>
      <c r="T11705" s="549">
        <v>15.6</v>
      </c>
      <c r="U11705" s="538">
        <v>1374.13</v>
      </c>
      <c r="V11705" s="538">
        <v>687.06</v>
      </c>
    </row>
    <row r="11706" spans="1:22">
      <c r="A11706" s="499">
        <v>45896</v>
      </c>
      <c r="B11706" s="499">
        <v>45896</v>
      </c>
      <c r="C11706" s="500" t="s">
        <v>173</v>
      </c>
      <c r="D11706" s="500" t="s">
        <v>764</v>
      </c>
      <c r="E11706" s="501">
        <v>-4820723038.5600004</v>
      </c>
      <c r="F11706" s="502" t="s">
        <v>878</v>
      </c>
      <c r="G11706" s="443">
        <v>118801735</v>
      </c>
      <c r="H11706" s="530"/>
      <c r="I11706" s="523" t="s">
        <v>691</v>
      </c>
      <c r="J11706" s="530" t="s">
        <v>906</v>
      </c>
      <c r="N11706" s="598">
        <v>5514080</v>
      </c>
      <c r="R11706" s="548">
        <v>874.25700000000006</v>
      </c>
      <c r="S11706" s="548">
        <v>874.63185265901097</v>
      </c>
      <c r="T11706" s="549">
        <v>15.65</v>
      </c>
      <c r="U11706" s="549">
        <v>7231.08</v>
      </c>
      <c r="V11706" s="549">
        <v>3615.54</v>
      </c>
    </row>
    <row r="11707" spans="1:22">
      <c r="A11707" s="499">
        <v>45896</v>
      </c>
      <c r="B11707" s="499">
        <v>45896</v>
      </c>
      <c r="C11707" s="500" t="s">
        <v>173</v>
      </c>
      <c r="D11707" s="500" t="s">
        <v>764</v>
      </c>
      <c r="E11707" s="501">
        <v>-30006959.559999999</v>
      </c>
      <c r="F11707" s="502" t="s">
        <v>878</v>
      </c>
      <c r="G11707" s="443">
        <v>118801819</v>
      </c>
      <c r="H11707" s="530"/>
      <c r="I11707" s="523" t="s">
        <v>833</v>
      </c>
      <c r="J11707" s="530" t="s">
        <v>906</v>
      </c>
      <c r="N11707" s="598">
        <v>47940</v>
      </c>
      <c r="R11707" s="548">
        <v>625.92740008343765</v>
      </c>
      <c r="S11707" s="548">
        <v>626.19577889027903</v>
      </c>
      <c r="T11707" s="549">
        <v>15.6501</v>
      </c>
      <c r="U11707" s="549">
        <v>45.01</v>
      </c>
      <c r="V11707" s="549">
        <v>22.51</v>
      </c>
    </row>
    <row r="11708" spans="1:22">
      <c r="A11708" s="499">
        <v>45896</v>
      </c>
      <c r="B11708" s="499">
        <v>45897</v>
      </c>
      <c r="C11708" s="500" t="s">
        <v>173</v>
      </c>
      <c r="D11708" s="500" t="s">
        <v>764</v>
      </c>
      <c r="E11708" s="501">
        <v>4822790006.1099997</v>
      </c>
      <c r="F11708" s="502" t="s">
        <v>878</v>
      </c>
      <c r="G11708" s="443">
        <v>118801735</v>
      </c>
      <c r="H11708" s="443">
        <v>118801735</v>
      </c>
      <c r="I11708" s="523" t="s">
        <v>691</v>
      </c>
      <c r="J11708" s="530" t="s">
        <v>912</v>
      </c>
      <c r="N11708" s="598">
        <v>5514080</v>
      </c>
      <c r="R11708" s="548">
        <v>874.25700000000006</v>
      </c>
      <c r="S11708" s="548">
        <v>874.63185265901097</v>
      </c>
      <c r="T11708" s="549">
        <v>15.65</v>
      </c>
      <c r="U11708" s="549">
        <v>7231.08</v>
      </c>
      <c r="V11708" s="549">
        <v>3615.54</v>
      </c>
    </row>
    <row r="11709" spans="1:22">
      <c r="A11709" s="499">
        <v>45896</v>
      </c>
      <c r="B11709" s="499">
        <v>45897</v>
      </c>
      <c r="C11709" s="500" t="s">
        <v>173</v>
      </c>
      <c r="D11709" s="500" t="s">
        <v>764</v>
      </c>
      <c r="E11709" s="501">
        <v>30019825.640000001</v>
      </c>
      <c r="F11709" s="502" t="s">
        <v>878</v>
      </c>
      <c r="G11709" s="443">
        <v>118801819</v>
      </c>
      <c r="H11709" s="443">
        <v>118801819</v>
      </c>
      <c r="I11709" s="523" t="s">
        <v>833</v>
      </c>
      <c r="J11709" s="530" t="s">
        <v>912</v>
      </c>
      <c r="N11709" s="598">
        <v>47940</v>
      </c>
      <c r="R11709" s="548">
        <v>625.92740008343765</v>
      </c>
      <c r="S11709" s="548">
        <v>626.19577889027903</v>
      </c>
      <c r="T11709" s="549">
        <v>15.6501</v>
      </c>
      <c r="U11709" s="549">
        <v>45.01</v>
      </c>
      <c r="V11709" s="549">
        <v>22.51</v>
      </c>
    </row>
    <row r="11710" spans="1:22">
      <c r="A11710" s="499">
        <v>45896</v>
      </c>
      <c r="B11710" s="499">
        <v>45896</v>
      </c>
      <c r="C11710" s="500" t="s">
        <v>173</v>
      </c>
      <c r="D11710" s="500" t="s">
        <v>759</v>
      </c>
      <c r="E11710" s="501">
        <v>-2054024687.8800001</v>
      </c>
      <c r="F11710" s="502" t="s">
        <v>878</v>
      </c>
      <c r="G11710" s="443">
        <v>118804708</v>
      </c>
      <c r="H11710" s="530"/>
      <c r="I11710" s="523" t="s">
        <v>1051</v>
      </c>
      <c r="J11710" s="530" t="s">
        <v>906</v>
      </c>
      <c r="N11710" s="598">
        <v>1918620</v>
      </c>
      <c r="R11710" s="548">
        <v>1070.5740000000001</v>
      </c>
      <c r="S11710" s="548">
        <v>1071.03155746318</v>
      </c>
      <c r="T11710" s="549">
        <v>15.5999</v>
      </c>
      <c r="U11710" s="549">
        <v>3081.04</v>
      </c>
      <c r="V11710" s="549">
        <v>1540.52</v>
      </c>
    </row>
    <row r="11711" spans="1:22">
      <c r="A11711" s="499">
        <v>45896</v>
      </c>
      <c r="B11711" s="499">
        <v>45896</v>
      </c>
      <c r="C11711" s="500" t="s">
        <v>173</v>
      </c>
      <c r="D11711" s="500" t="s">
        <v>759</v>
      </c>
      <c r="E11711" s="501">
        <v>-11003708.029999999</v>
      </c>
      <c r="F11711" s="502" t="s">
        <v>878</v>
      </c>
      <c r="G11711" s="443">
        <v>118805538</v>
      </c>
      <c r="H11711" s="530"/>
      <c r="I11711" s="523" t="s">
        <v>685</v>
      </c>
      <c r="J11711" s="530" t="s">
        <v>906</v>
      </c>
      <c r="N11711" s="598">
        <v>11682</v>
      </c>
      <c r="R11711" s="548">
        <v>941.93699965759276</v>
      </c>
      <c r="S11711" s="548">
        <v>942.34061547680199</v>
      </c>
      <c r="T11711" s="549">
        <v>15.6401</v>
      </c>
      <c r="U11711" s="549">
        <v>39.32</v>
      </c>
      <c r="V11711" s="549">
        <v>8.25</v>
      </c>
    </row>
    <row r="11712" spans="1:22">
      <c r="A11712" s="499">
        <v>45896</v>
      </c>
      <c r="B11712" s="499">
        <v>45897</v>
      </c>
      <c r="C11712" s="500" t="s">
        <v>173</v>
      </c>
      <c r="D11712" s="500" t="s">
        <v>759</v>
      </c>
      <c r="E11712" s="501">
        <v>2054902566.78</v>
      </c>
      <c r="F11712" s="502" t="s">
        <v>878</v>
      </c>
      <c r="G11712" s="443">
        <v>118804708</v>
      </c>
      <c r="H11712" s="443">
        <v>118804708</v>
      </c>
      <c r="I11712" s="523" t="s">
        <v>1051</v>
      </c>
      <c r="J11712" s="530" t="s">
        <v>912</v>
      </c>
      <c r="N11712" s="598">
        <v>1918620</v>
      </c>
      <c r="R11712" s="548">
        <v>1070.5740000000001</v>
      </c>
      <c r="S11712" s="548">
        <v>1071.03155746318</v>
      </c>
      <c r="T11712" s="549">
        <v>15.5999</v>
      </c>
      <c r="U11712" s="549">
        <v>3081.04</v>
      </c>
      <c r="V11712" s="549">
        <v>1540.52</v>
      </c>
    </row>
    <row r="11713" spans="1:25">
      <c r="A11713" s="499">
        <v>45896</v>
      </c>
      <c r="B11713" s="499">
        <v>45897</v>
      </c>
      <c r="C11713" s="500" t="s">
        <v>173</v>
      </c>
      <c r="D11713" s="500" t="s">
        <v>759</v>
      </c>
      <c r="E11713" s="501">
        <v>11008423.07</v>
      </c>
      <c r="F11713" s="502" t="s">
        <v>878</v>
      </c>
      <c r="G11713" s="443">
        <v>118805538</v>
      </c>
      <c r="H11713" s="443">
        <v>118805538</v>
      </c>
      <c r="I11713" s="523" t="s">
        <v>685</v>
      </c>
      <c r="J11713" s="530" t="s">
        <v>912</v>
      </c>
      <c r="N11713" s="598">
        <v>11682</v>
      </c>
      <c r="R11713" s="548">
        <v>941.93699965759276</v>
      </c>
      <c r="S11713" s="548">
        <v>942.34061547680199</v>
      </c>
      <c r="T11713" s="549">
        <v>15.6401</v>
      </c>
      <c r="U11713" s="549">
        <v>39.32</v>
      </c>
      <c r="V11713" s="549">
        <v>8.25</v>
      </c>
    </row>
    <row r="11714" spans="1:25">
      <c r="A11714" s="499">
        <v>45896</v>
      </c>
      <c r="B11714" s="499">
        <v>45896</v>
      </c>
      <c r="C11714" s="500" t="s">
        <v>173</v>
      </c>
      <c r="D11714" s="500" t="s">
        <v>761</v>
      </c>
      <c r="E11714" s="501">
        <v>-30018026.100000001</v>
      </c>
      <c r="F11714" s="502" t="s">
        <v>878</v>
      </c>
      <c r="G11714" s="443">
        <v>118803072</v>
      </c>
      <c r="H11714" s="530"/>
      <c r="I11714" s="523" t="s">
        <v>670</v>
      </c>
      <c r="J11714" s="530" t="s">
        <v>906</v>
      </c>
      <c r="N11714" s="598">
        <v>32100</v>
      </c>
      <c r="R11714" s="548">
        <v>935.14100000000008</v>
      </c>
      <c r="S11714" s="548">
        <v>935.54323862928402</v>
      </c>
      <c r="T11714" s="549">
        <v>15.7</v>
      </c>
      <c r="U11714" s="549">
        <v>45.03</v>
      </c>
      <c r="V11714" s="549">
        <v>22.51</v>
      </c>
    </row>
    <row r="11715" spans="1:25">
      <c r="A11715" s="499">
        <v>45896</v>
      </c>
      <c r="B11715" s="499">
        <v>45896</v>
      </c>
      <c r="C11715" s="500" t="s">
        <v>173</v>
      </c>
      <c r="D11715" s="500" t="s">
        <v>761</v>
      </c>
      <c r="E11715" s="501">
        <v>-505052065.5</v>
      </c>
      <c r="F11715" s="502" t="s">
        <v>878</v>
      </c>
      <c r="G11715" s="443">
        <v>118803454</v>
      </c>
      <c r="H11715" s="530"/>
      <c r="I11715" s="523" t="s">
        <v>712</v>
      </c>
      <c r="J11715" s="530" t="s">
        <v>906</v>
      </c>
      <c r="N11715" s="598">
        <v>595900</v>
      </c>
      <c r="R11715" s="548">
        <v>847.54499999999996</v>
      </c>
      <c r="S11715" s="548">
        <v>847.90654645074699</v>
      </c>
      <c r="T11715" s="549">
        <v>15.5702</v>
      </c>
      <c r="U11715" s="549">
        <v>757.58</v>
      </c>
      <c r="V11715" s="549">
        <v>378.79</v>
      </c>
    </row>
    <row r="11716" spans="1:25">
      <c r="A11716" s="499">
        <v>45896</v>
      </c>
      <c r="B11716" s="499">
        <v>45896</v>
      </c>
      <c r="C11716" s="500" t="s">
        <v>173</v>
      </c>
      <c r="D11716" s="500" t="s">
        <v>761</v>
      </c>
      <c r="E11716" s="501">
        <v>-608036698.88</v>
      </c>
      <c r="F11716" s="502" t="s">
        <v>878</v>
      </c>
      <c r="G11716" s="443">
        <v>118803457</v>
      </c>
      <c r="H11716" s="530"/>
      <c r="I11716" s="523" t="s">
        <v>673</v>
      </c>
      <c r="J11716" s="530" t="s">
        <v>906</v>
      </c>
      <c r="N11716" s="598">
        <v>671840</v>
      </c>
      <c r="R11716" s="548">
        <v>905.03200000000004</v>
      </c>
      <c r="S11716" s="548">
        <v>905.41806681650405</v>
      </c>
      <c r="T11716" s="549">
        <v>15.5701</v>
      </c>
      <c r="U11716" s="549">
        <v>912.06</v>
      </c>
      <c r="V11716" s="549">
        <v>456.03</v>
      </c>
    </row>
    <row r="11717" spans="1:25">
      <c r="A11717" s="499">
        <v>45896</v>
      </c>
      <c r="B11717" s="499">
        <v>45896</v>
      </c>
      <c r="C11717" s="500" t="s">
        <v>173</v>
      </c>
      <c r="D11717" s="500" t="s">
        <v>761</v>
      </c>
      <c r="E11717" s="501">
        <v>-13000784.68</v>
      </c>
      <c r="F11717" s="502" t="s">
        <v>878</v>
      </c>
      <c r="G11717" s="443">
        <v>118803555</v>
      </c>
      <c r="H11717" s="530"/>
      <c r="I11717" s="523" t="s">
        <v>673</v>
      </c>
      <c r="J11717" s="530" t="s">
        <v>906</v>
      </c>
      <c r="N11717" s="598">
        <v>14365</v>
      </c>
      <c r="R11717" s="548">
        <v>905.03199999999993</v>
      </c>
      <c r="S11717" s="548">
        <v>905.41806682909805</v>
      </c>
      <c r="T11717" s="549">
        <v>15.5701</v>
      </c>
      <c r="U11717" s="549">
        <v>39.32</v>
      </c>
      <c r="V11717" s="549">
        <v>9.75</v>
      </c>
    </row>
    <row r="11718" spans="1:25">
      <c r="A11718" s="499">
        <v>45896</v>
      </c>
      <c r="B11718" s="499">
        <v>45897</v>
      </c>
      <c r="C11718" s="500" t="s">
        <v>173</v>
      </c>
      <c r="D11718" s="500" t="s">
        <v>761</v>
      </c>
      <c r="E11718" s="501">
        <v>30030937.960000001</v>
      </c>
      <c r="F11718" s="502" t="s">
        <v>878</v>
      </c>
      <c r="G11718" s="443">
        <v>118803072</v>
      </c>
      <c r="H11718" s="443">
        <v>118803072</v>
      </c>
      <c r="I11718" s="523" t="s">
        <v>670</v>
      </c>
      <c r="J11718" s="530" t="s">
        <v>912</v>
      </c>
      <c r="N11718" s="598">
        <v>32100</v>
      </c>
      <c r="R11718" s="548">
        <v>935.14100000000008</v>
      </c>
      <c r="S11718" s="548">
        <v>935.54323862928402</v>
      </c>
      <c r="T11718" s="549">
        <v>15.7</v>
      </c>
      <c r="U11718" s="549">
        <v>45.03</v>
      </c>
      <c r="V11718" s="549">
        <v>22.51</v>
      </c>
    </row>
    <row r="11719" spans="1:25">
      <c r="A11719" s="499">
        <v>45896</v>
      </c>
      <c r="B11719" s="499">
        <v>45897</v>
      </c>
      <c r="C11719" s="500" t="s">
        <v>173</v>
      </c>
      <c r="D11719" s="500" t="s">
        <v>761</v>
      </c>
      <c r="E11719" s="501">
        <v>505267511.02999997</v>
      </c>
      <c r="F11719" s="502" t="s">
        <v>878</v>
      </c>
      <c r="G11719" s="443">
        <v>118803454</v>
      </c>
      <c r="H11719" s="443">
        <v>118803454</v>
      </c>
      <c r="I11719" s="523" t="s">
        <v>712</v>
      </c>
      <c r="J11719" s="530" t="s">
        <v>912</v>
      </c>
      <c r="N11719" s="598">
        <v>595900</v>
      </c>
      <c r="R11719" s="548">
        <v>847.54499999999996</v>
      </c>
      <c r="S11719" s="548">
        <v>847.90654645074699</v>
      </c>
      <c r="T11719" s="549">
        <v>15.5702</v>
      </c>
      <c r="U11719" s="549">
        <v>757.58</v>
      </c>
      <c r="V11719" s="549">
        <v>378.79</v>
      </c>
    </row>
    <row r="11720" spans="1:25">
      <c r="A11720" s="499">
        <v>45896</v>
      </c>
      <c r="B11720" s="499">
        <v>45897</v>
      </c>
      <c r="C11720" s="500" t="s">
        <v>173</v>
      </c>
      <c r="D11720" s="500" t="s">
        <v>761</v>
      </c>
      <c r="E11720" s="501">
        <v>608296074.00999999</v>
      </c>
      <c r="F11720" s="502" t="s">
        <v>878</v>
      </c>
      <c r="G11720" s="443">
        <v>118803457</v>
      </c>
      <c r="H11720" s="443">
        <v>118803457</v>
      </c>
      <c r="I11720" s="523" t="s">
        <v>673</v>
      </c>
      <c r="J11720" s="530" t="s">
        <v>912</v>
      </c>
      <c r="N11720" s="598">
        <v>671840</v>
      </c>
      <c r="R11720" s="548">
        <v>905.03200000000004</v>
      </c>
      <c r="S11720" s="548">
        <v>905.41806681650405</v>
      </c>
      <c r="T11720" s="549">
        <v>15.5701</v>
      </c>
      <c r="U11720" s="549">
        <v>912.06</v>
      </c>
      <c r="V11720" s="549">
        <v>456.03</v>
      </c>
    </row>
    <row r="11721" spans="1:25">
      <c r="A11721" s="499">
        <v>45896</v>
      </c>
      <c r="B11721" s="499">
        <v>45897</v>
      </c>
      <c r="C11721" s="500" t="s">
        <v>173</v>
      </c>
      <c r="D11721" s="500" t="s">
        <v>761</v>
      </c>
      <c r="E11721" s="501">
        <v>13006330.529999999</v>
      </c>
      <c r="F11721" s="502" t="s">
        <v>878</v>
      </c>
      <c r="G11721" s="443">
        <v>118803555</v>
      </c>
      <c r="H11721" s="443">
        <v>118803555</v>
      </c>
      <c r="I11721" s="523" t="s">
        <v>673</v>
      </c>
      <c r="J11721" s="530" t="s">
        <v>912</v>
      </c>
      <c r="N11721" s="598">
        <v>14365</v>
      </c>
      <c r="R11721" s="548">
        <v>905.03199999999993</v>
      </c>
      <c r="S11721" s="548">
        <v>905.41806682909805</v>
      </c>
      <c r="T11721" s="549">
        <v>15.5701</v>
      </c>
      <c r="U11721" s="549">
        <v>39.32</v>
      </c>
      <c r="V11721" s="549">
        <v>9.75</v>
      </c>
    </row>
    <row r="11722" spans="1:25">
      <c r="A11722" s="499">
        <v>45896</v>
      </c>
      <c r="B11722" s="499">
        <v>45896</v>
      </c>
      <c r="C11722" s="500" t="s">
        <v>173</v>
      </c>
      <c r="D11722" s="500" t="s">
        <v>761</v>
      </c>
      <c r="E11722" s="501">
        <v>-500000000</v>
      </c>
      <c r="F11722" s="502" t="s">
        <v>906</v>
      </c>
      <c r="G11722" s="443" t="str">
        <f>VLOOKUP(I11722,Справочник!I:M,5,0)</f>
        <v>KZ2C00014744</v>
      </c>
      <c r="H11722" s="530"/>
      <c r="I11722" s="523" t="s">
        <v>2968</v>
      </c>
      <c r="K11722" s="548">
        <v>118809456</v>
      </c>
      <c r="L11722" s="548">
        <v>100</v>
      </c>
      <c r="M11722" s="549">
        <f>E11722*(-1)/(N11722*O11722)*100</f>
        <v>100</v>
      </c>
      <c r="N11722" s="598">
        <v>500000</v>
      </c>
      <c r="O11722" s="539">
        <f>VLOOKUP(G11722,Справочник!A:J,10,0)</f>
        <v>1000</v>
      </c>
      <c r="T11722" s="538">
        <v>18.7</v>
      </c>
      <c r="W11722" s="550">
        <f>VLOOKUP(G11722,Справочник!A:C,3,0)</f>
        <v>0.187</v>
      </c>
      <c r="X11722" s="539" t="str">
        <f>VLOOKUP(G11722,Справочник!A:G,7,0)</f>
        <v>АО "Казахстанская Жилищная Компания"</v>
      </c>
      <c r="Y11722" s="551">
        <f>VLOOKUP(G11722,Справочник!A:B,2,0)</f>
        <v>46992</v>
      </c>
    </row>
    <row r="11723" spans="1:25">
      <c r="A11723" s="499">
        <v>45897</v>
      </c>
      <c r="B11723" s="499">
        <v>45897</v>
      </c>
      <c r="C11723" s="500" t="s">
        <v>173</v>
      </c>
      <c r="D11723" s="500" t="s">
        <v>762</v>
      </c>
      <c r="E11723" s="501">
        <v>-73045224.670000002</v>
      </c>
      <c r="F11723" s="502" t="s">
        <v>878</v>
      </c>
      <c r="G11723" s="443">
        <v>118821371</v>
      </c>
      <c r="H11723" s="530"/>
      <c r="I11723" s="523" t="s">
        <v>704</v>
      </c>
      <c r="J11723" s="530" t="s">
        <v>906</v>
      </c>
      <c r="N11723" s="598">
        <v>89498</v>
      </c>
      <c r="R11723" s="539">
        <v>816.16600000000005</v>
      </c>
      <c r="S11723" s="539">
        <v>816.52936378466597</v>
      </c>
      <c r="T11723" s="538">
        <v>16.2501</v>
      </c>
      <c r="U11723" s="538">
        <v>109.57</v>
      </c>
      <c r="V11723" s="538">
        <v>54.78</v>
      </c>
    </row>
    <row r="11724" spans="1:25">
      <c r="A11724" s="499">
        <v>45897</v>
      </c>
      <c r="B11724" s="499">
        <v>45897</v>
      </c>
      <c r="C11724" s="500" t="s">
        <v>173</v>
      </c>
      <c r="D11724" s="500" t="s">
        <v>762</v>
      </c>
      <c r="E11724" s="501">
        <v>-2946266439.1900001</v>
      </c>
      <c r="F11724" s="502" t="s">
        <v>878</v>
      </c>
      <c r="G11724" s="443">
        <v>118821374</v>
      </c>
      <c r="H11724" s="530"/>
      <c r="I11724" s="523" t="s">
        <v>1013</v>
      </c>
      <c r="J11724" s="530" t="s">
        <v>906</v>
      </c>
      <c r="N11724" s="598">
        <v>5485452</v>
      </c>
      <c r="R11724" s="539">
        <v>537.10550000000001</v>
      </c>
      <c r="S11724" s="539">
        <v>537.34462231189002</v>
      </c>
      <c r="T11724" s="538">
        <v>16.25</v>
      </c>
      <c r="U11724" s="538">
        <v>4419.3999999999996</v>
      </c>
      <c r="V11724" s="538">
        <v>2209.6999999999998</v>
      </c>
    </row>
    <row r="11725" spans="1:25">
      <c r="A11725" s="499">
        <v>45897</v>
      </c>
      <c r="B11725" s="499">
        <v>45897</v>
      </c>
      <c r="C11725" s="500" t="s">
        <v>173</v>
      </c>
      <c r="D11725" s="500" t="s">
        <v>762</v>
      </c>
      <c r="E11725" s="501">
        <v>-19004045.390000001</v>
      </c>
      <c r="F11725" s="502" t="s">
        <v>878</v>
      </c>
      <c r="G11725" s="443">
        <v>118830679</v>
      </c>
      <c r="H11725" s="530"/>
      <c r="I11725" s="523" t="s">
        <v>696</v>
      </c>
      <c r="J11725" s="530" t="s">
        <v>906</v>
      </c>
      <c r="N11725" s="598">
        <v>25441</v>
      </c>
      <c r="R11725" s="539">
        <v>746.98500000000001</v>
      </c>
      <c r="S11725" s="539">
        <v>747.30426162493598</v>
      </c>
      <c r="T11725" s="538">
        <v>15.600099999999999</v>
      </c>
      <c r="U11725" s="538">
        <v>39.32</v>
      </c>
      <c r="V11725" s="538">
        <v>14.25</v>
      </c>
    </row>
    <row r="11726" spans="1:25">
      <c r="A11726" s="499">
        <v>45897</v>
      </c>
      <c r="B11726" s="499">
        <v>45898</v>
      </c>
      <c r="C11726" s="500" t="s">
        <v>173</v>
      </c>
      <c r="D11726" s="500" t="s">
        <v>762</v>
      </c>
      <c r="E11726" s="501">
        <v>73077745</v>
      </c>
      <c r="F11726" s="502" t="s">
        <v>878</v>
      </c>
      <c r="G11726" s="443">
        <v>118821371</v>
      </c>
      <c r="H11726" s="484">
        <v>118821371</v>
      </c>
      <c r="I11726" s="523" t="s">
        <v>704</v>
      </c>
      <c r="J11726" s="530" t="s">
        <v>912</v>
      </c>
      <c r="N11726" s="598">
        <v>89498</v>
      </c>
      <c r="R11726" s="539">
        <v>816.16600000000005</v>
      </c>
      <c r="S11726" s="539">
        <v>816.52936378466597</v>
      </c>
      <c r="T11726" s="538">
        <v>16.2501</v>
      </c>
      <c r="U11726" s="538">
        <v>109.57</v>
      </c>
      <c r="V11726" s="538">
        <v>54.78</v>
      </c>
    </row>
    <row r="11727" spans="1:25">
      <c r="A11727" s="499">
        <v>45897</v>
      </c>
      <c r="B11727" s="499">
        <v>45898</v>
      </c>
      <c r="C11727" s="500" t="s">
        <v>173</v>
      </c>
      <c r="D11727" s="500" t="s">
        <v>762</v>
      </c>
      <c r="E11727" s="501">
        <v>2947578133.1500001</v>
      </c>
      <c r="F11727" s="502" t="s">
        <v>878</v>
      </c>
      <c r="G11727" s="443">
        <v>118821374</v>
      </c>
      <c r="H11727" s="484">
        <v>118821374</v>
      </c>
      <c r="I11727" s="523" t="s">
        <v>1013</v>
      </c>
      <c r="J11727" s="530" t="s">
        <v>912</v>
      </c>
      <c r="N11727" s="598">
        <v>5485452</v>
      </c>
      <c r="R11727" s="539">
        <v>537.10550000000001</v>
      </c>
      <c r="S11727" s="539">
        <v>537.34462231189002</v>
      </c>
      <c r="T11727" s="538">
        <v>16.25</v>
      </c>
      <c r="U11727" s="538">
        <v>4419.3999999999996</v>
      </c>
      <c r="V11727" s="538">
        <v>2209.6999999999998</v>
      </c>
    </row>
    <row r="11728" spans="1:25">
      <c r="A11728" s="499">
        <v>45897</v>
      </c>
      <c r="B11728" s="499">
        <v>45898</v>
      </c>
      <c r="C11728" s="500" t="s">
        <v>173</v>
      </c>
      <c r="D11728" s="500" t="s">
        <v>762</v>
      </c>
      <c r="E11728" s="501">
        <v>19012167.719999999</v>
      </c>
      <c r="F11728" s="502" t="s">
        <v>878</v>
      </c>
      <c r="G11728" s="443">
        <v>118830679</v>
      </c>
      <c r="H11728" s="484">
        <v>118830679</v>
      </c>
      <c r="I11728" s="523" t="s">
        <v>696</v>
      </c>
      <c r="J11728" s="530" t="s">
        <v>912</v>
      </c>
      <c r="N11728" s="598">
        <v>25441</v>
      </c>
      <c r="R11728" s="539">
        <v>746.98500000000001</v>
      </c>
      <c r="S11728" s="539">
        <v>747.30426162493598</v>
      </c>
      <c r="T11728" s="538">
        <v>15.600099999999999</v>
      </c>
      <c r="U11728" s="538">
        <v>39.32</v>
      </c>
      <c r="V11728" s="538">
        <v>14.25</v>
      </c>
    </row>
    <row r="11729" spans="1:22">
      <c r="A11729" s="499">
        <v>45897</v>
      </c>
      <c r="B11729" s="499">
        <v>45897</v>
      </c>
      <c r="C11729" s="500" t="s">
        <v>173</v>
      </c>
      <c r="D11729" s="500" t="s">
        <v>761</v>
      </c>
      <c r="E11729" s="501">
        <v>-240150289.91999999</v>
      </c>
      <c r="F11729" s="502" t="s">
        <v>878</v>
      </c>
      <c r="G11729" s="443">
        <v>118823234</v>
      </c>
      <c r="H11729" s="530"/>
      <c r="I11729" s="523" t="s">
        <v>596</v>
      </c>
      <c r="J11729" s="530" t="s">
        <v>906</v>
      </c>
      <c r="N11729" s="598">
        <v>222720</v>
      </c>
      <c r="R11729" s="548">
        <v>1078.261</v>
      </c>
      <c r="S11729" s="548">
        <v>1078.7336682830501</v>
      </c>
      <c r="T11729" s="549">
        <v>16.0002</v>
      </c>
      <c r="U11729" s="549">
        <v>360.23</v>
      </c>
      <c r="V11729" s="549">
        <v>180.11</v>
      </c>
    </row>
    <row r="11730" spans="1:22">
      <c r="A11730" s="499">
        <v>45897</v>
      </c>
      <c r="B11730" s="499">
        <v>45897</v>
      </c>
      <c r="C11730" s="500" t="s">
        <v>173</v>
      </c>
      <c r="D11730" s="500" t="s">
        <v>761</v>
      </c>
      <c r="E11730" s="501">
        <v>-402248599.61000001</v>
      </c>
      <c r="F11730" s="502" t="s">
        <v>878</v>
      </c>
      <c r="G11730" s="443">
        <v>118823237</v>
      </c>
      <c r="H11730" s="530"/>
      <c r="I11730" s="523" t="s">
        <v>699</v>
      </c>
      <c r="J11730" s="530" t="s">
        <v>906</v>
      </c>
      <c r="N11730" s="598">
        <v>445014</v>
      </c>
      <c r="R11730" s="548">
        <v>903.90099999101153</v>
      </c>
      <c r="S11730" s="548">
        <v>904.29723552517498</v>
      </c>
      <c r="T11730" s="549">
        <v>16.0002</v>
      </c>
      <c r="U11730" s="549">
        <v>603.37</v>
      </c>
      <c r="V11730" s="549">
        <v>301.69</v>
      </c>
    </row>
    <row r="11731" spans="1:22">
      <c r="A11731" s="499">
        <v>45897</v>
      </c>
      <c r="B11731" s="499">
        <v>45897</v>
      </c>
      <c r="C11731" s="500" t="s">
        <v>173</v>
      </c>
      <c r="D11731" s="500" t="s">
        <v>761</v>
      </c>
      <c r="E11731" s="501">
        <v>-508177068.48000002</v>
      </c>
      <c r="F11731" s="502" t="s">
        <v>878</v>
      </c>
      <c r="G11731" s="443">
        <v>118823240</v>
      </c>
      <c r="H11731" s="530"/>
      <c r="I11731" s="523" t="s">
        <v>712</v>
      </c>
      <c r="J11731" s="530" t="s">
        <v>906</v>
      </c>
      <c r="N11731" s="598">
        <v>601980</v>
      </c>
      <c r="R11731" s="548">
        <v>844.17600000000004</v>
      </c>
      <c r="S11731" s="548">
        <v>844.54605206152996</v>
      </c>
      <c r="T11731" s="549">
        <v>16.0001</v>
      </c>
      <c r="U11731" s="549">
        <v>762.27</v>
      </c>
      <c r="V11731" s="549">
        <v>381.13</v>
      </c>
    </row>
    <row r="11732" spans="1:22">
      <c r="A11732" s="499">
        <v>45897</v>
      </c>
      <c r="B11732" s="499">
        <v>45897</v>
      </c>
      <c r="C11732" s="500" t="s">
        <v>173</v>
      </c>
      <c r="D11732" s="500" t="s">
        <v>761</v>
      </c>
      <c r="E11732" s="501">
        <v>-7002439.9199999999</v>
      </c>
      <c r="F11732" s="502" t="s">
        <v>878</v>
      </c>
      <c r="G11732" s="443">
        <v>118823252</v>
      </c>
      <c r="H11732" s="530"/>
      <c r="I11732" s="523" t="s">
        <v>712</v>
      </c>
      <c r="J11732" s="530" t="s">
        <v>906</v>
      </c>
      <c r="N11732" s="598">
        <v>8295</v>
      </c>
      <c r="R11732" s="548">
        <v>844.17600000000004</v>
      </c>
      <c r="S11732" s="548">
        <v>844.54605183845695</v>
      </c>
      <c r="T11732" s="549">
        <v>16.0001</v>
      </c>
      <c r="U11732" s="549">
        <v>39.32</v>
      </c>
      <c r="V11732" s="549">
        <v>5.25</v>
      </c>
    </row>
    <row r="11733" spans="1:22">
      <c r="A11733" s="499">
        <v>45897</v>
      </c>
      <c r="B11733" s="499">
        <v>45898</v>
      </c>
      <c r="C11733" s="500" t="s">
        <v>173</v>
      </c>
      <c r="D11733" s="500" t="s">
        <v>761</v>
      </c>
      <c r="E11733" s="501">
        <v>240255562.59999999</v>
      </c>
      <c r="F11733" s="502" t="s">
        <v>878</v>
      </c>
      <c r="G11733" s="443">
        <v>118823234</v>
      </c>
      <c r="H11733" s="443">
        <v>118823234</v>
      </c>
      <c r="I11733" s="523" t="s">
        <v>596</v>
      </c>
      <c r="J11733" s="530" t="s">
        <v>912</v>
      </c>
      <c r="N11733" s="598">
        <v>222720</v>
      </c>
      <c r="R11733" s="548">
        <v>1078.261</v>
      </c>
      <c r="S11733" s="548">
        <v>1078.7336682830501</v>
      </c>
      <c r="T11733" s="549">
        <v>16.0002</v>
      </c>
      <c r="U11733" s="549">
        <v>360.23</v>
      </c>
      <c r="V11733" s="549">
        <v>180.11</v>
      </c>
    </row>
    <row r="11734" spans="1:22">
      <c r="A11734" s="499">
        <v>45897</v>
      </c>
      <c r="B11734" s="499">
        <v>45898</v>
      </c>
      <c r="C11734" s="500" t="s">
        <v>173</v>
      </c>
      <c r="D11734" s="500" t="s">
        <v>761</v>
      </c>
      <c r="E11734" s="501">
        <v>402424929.97000003</v>
      </c>
      <c r="F11734" s="502" t="s">
        <v>878</v>
      </c>
      <c r="G11734" s="443">
        <v>118823237</v>
      </c>
      <c r="H11734" s="443">
        <v>118823237</v>
      </c>
      <c r="I11734" s="523" t="s">
        <v>699</v>
      </c>
      <c r="J11734" s="530" t="s">
        <v>912</v>
      </c>
      <c r="N11734" s="598">
        <v>445014</v>
      </c>
      <c r="R11734" s="548">
        <v>903.90099999101153</v>
      </c>
      <c r="S11734" s="548">
        <v>904.29723552517498</v>
      </c>
      <c r="T11734" s="549">
        <v>16.0002</v>
      </c>
      <c r="U11734" s="549">
        <v>603.37</v>
      </c>
      <c r="V11734" s="549">
        <v>301.69</v>
      </c>
    </row>
    <row r="11735" spans="1:22">
      <c r="A11735" s="499">
        <v>45897</v>
      </c>
      <c r="B11735" s="499">
        <v>45898</v>
      </c>
      <c r="C11735" s="500" t="s">
        <v>173</v>
      </c>
      <c r="D11735" s="500" t="s">
        <v>761</v>
      </c>
      <c r="E11735" s="501">
        <v>508399832.42000002</v>
      </c>
      <c r="F11735" s="502" t="s">
        <v>878</v>
      </c>
      <c r="G11735" s="443">
        <v>118823240</v>
      </c>
      <c r="H11735" s="443">
        <v>118823240</v>
      </c>
      <c r="I11735" s="523" t="s">
        <v>712</v>
      </c>
      <c r="J11735" s="530" t="s">
        <v>912</v>
      </c>
      <c r="N11735" s="598">
        <v>601980</v>
      </c>
      <c r="R11735" s="548">
        <v>844.17600000000004</v>
      </c>
      <c r="S11735" s="548">
        <v>844.54605206152996</v>
      </c>
      <c r="T11735" s="549">
        <v>16.0001</v>
      </c>
      <c r="U11735" s="549">
        <v>762.27</v>
      </c>
      <c r="V11735" s="549">
        <v>381.13</v>
      </c>
    </row>
    <row r="11736" spans="1:22">
      <c r="A11736" s="499">
        <v>45897</v>
      </c>
      <c r="B11736" s="499">
        <v>45898</v>
      </c>
      <c r="C11736" s="500" t="s">
        <v>173</v>
      </c>
      <c r="D11736" s="500" t="s">
        <v>761</v>
      </c>
      <c r="E11736" s="501">
        <v>7005509.5</v>
      </c>
      <c r="F11736" s="502" t="s">
        <v>878</v>
      </c>
      <c r="G11736" s="443">
        <v>118823252</v>
      </c>
      <c r="H11736" s="443">
        <v>118823252</v>
      </c>
      <c r="I11736" s="523" t="s">
        <v>712</v>
      </c>
      <c r="J11736" s="530" t="s">
        <v>912</v>
      </c>
      <c r="N11736" s="598">
        <v>8295</v>
      </c>
      <c r="R11736" s="548">
        <v>844.17600000000004</v>
      </c>
      <c r="S11736" s="548">
        <v>844.54605183845695</v>
      </c>
      <c r="T11736" s="549">
        <v>16.0001</v>
      </c>
      <c r="U11736" s="549">
        <v>39.32</v>
      </c>
      <c r="V11736" s="549">
        <v>5.25</v>
      </c>
    </row>
    <row r="11737" spans="1:22">
      <c r="A11737" s="499">
        <v>45897</v>
      </c>
      <c r="B11737" s="499">
        <v>45897</v>
      </c>
      <c r="C11737" s="500" t="s">
        <v>173</v>
      </c>
      <c r="D11737" s="500" t="s">
        <v>759</v>
      </c>
      <c r="E11737" s="501">
        <v>-2054381340.71</v>
      </c>
      <c r="F11737" s="502" t="s">
        <v>878</v>
      </c>
      <c r="G11737" s="443">
        <v>118825286</v>
      </c>
      <c r="H11737" s="530"/>
      <c r="I11737" s="523" t="s">
        <v>2854</v>
      </c>
      <c r="J11737" s="530" t="s">
        <v>906</v>
      </c>
      <c r="N11737" s="598">
        <v>3746496</v>
      </c>
      <c r="R11737" s="548">
        <v>548.34739999989324</v>
      </c>
      <c r="S11737" s="548">
        <v>548.58927378542501</v>
      </c>
      <c r="T11737" s="549">
        <v>16.100000000000001</v>
      </c>
      <c r="U11737" s="549">
        <v>3081.57</v>
      </c>
      <c r="V11737" s="549">
        <v>1540.79</v>
      </c>
    </row>
    <row r="11738" spans="1:22">
      <c r="A11738" s="499">
        <v>45897</v>
      </c>
      <c r="B11738" s="499">
        <v>45897</v>
      </c>
      <c r="C11738" s="500" t="s">
        <v>173</v>
      </c>
      <c r="D11738" s="500" t="s">
        <v>759</v>
      </c>
      <c r="E11738" s="501">
        <v>-12000008.119999999</v>
      </c>
      <c r="F11738" s="502" t="s">
        <v>878</v>
      </c>
      <c r="G11738" s="443">
        <v>118827354</v>
      </c>
      <c r="H11738" s="530"/>
      <c r="I11738" s="523" t="s">
        <v>809</v>
      </c>
      <c r="J11738" s="530" t="s">
        <v>906</v>
      </c>
      <c r="N11738" s="598">
        <v>11897688</v>
      </c>
      <c r="R11738" s="548">
        <v>1.0086000002689597</v>
      </c>
      <c r="S11738" s="548">
        <v>1.0090368759039601</v>
      </c>
      <c r="T11738" s="549">
        <v>15.81</v>
      </c>
      <c r="U11738" s="549">
        <v>39.32</v>
      </c>
      <c r="V11738" s="549">
        <v>9</v>
      </c>
    </row>
    <row r="11739" spans="1:22">
      <c r="A11739" s="499">
        <v>45897</v>
      </c>
      <c r="B11739" s="499">
        <v>45898</v>
      </c>
      <c r="C11739" s="500" t="s">
        <v>173</v>
      </c>
      <c r="D11739" s="500" t="s">
        <v>759</v>
      </c>
      <c r="E11739" s="501">
        <v>2055287519.8800001</v>
      </c>
      <c r="F11739" s="502" t="s">
        <v>878</v>
      </c>
      <c r="G11739" s="443">
        <v>118825286</v>
      </c>
      <c r="H11739" s="443">
        <v>118825286</v>
      </c>
      <c r="I11739" s="523" t="s">
        <v>2854</v>
      </c>
      <c r="J11739" s="530" t="s">
        <v>912</v>
      </c>
      <c r="N11739" s="598">
        <v>3746496</v>
      </c>
      <c r="R11739" s="548">
        <v>548.34739999989324</v>
      </c>
      <c r="S11739" s="548">
        <v>548.58927378542501</v>
      </c>
      <c r="T11739" s="549">
        <v>16.100000000000001</v>
      </c>
      <c r="U11739" s="549">
        <v>3081.57</v>
      </c>
      <c r="V11739" s="549">
        <v>1540.79</v>
      </c>
    </row>
    <row r="11740" spans="1:22">
      <c r="A11740" s="499">
        <v>45897</v>
      </c>
      <c r="B11740" s="499">
        <v>45898</v>
      </c>
      <c r="C11740" s="500" t="s">
        <v>173</v>
      </c>
      <c r="D11740" s="500" t="s">
        <v>759</v>
      </c>
      <c r="E11740" s="501">
        <v>12005205.93</v>
      </c>
      <c r="F11740" s="502" t="s">
        <v>878</v>
      </c>
      <c r="G11740" s="443">
        <v>118827354</v>
      </c>
      <c r="H11740" s="443">
        <v>118827354</v>
      </c>
      <c r="I11740" s="523" t="s">
        <v>809</v>
      </c>
      <c r="J11740" s="530" t="s">
        <v>912</v>
      </c>
      <c r="N11740" s="598">
        <v>11897688</v>
      </c>
      <c r="R11740" s="548">
        <v>1.0086000002689597</v>
      </c>
      <c r="S11740" s="548">
        <v>1.0090368759039601</v>
      </c>
      <c r="T11740" s="549">
        <v>15.81</v>
      </c>
      <c r="U11740" s="549">
        <v>39.32</v>
      </c>
      <c r="V11740" s="549">
        <v>9</v>
      </c>
    </row>
    <row r="11741" spans="1:22">
      <c r="A11741" s="499">
        <v>45897</v>
      </c>
      <c r="B11741" s="499">
        <v>45897</v>
      </c>
      <c r="C11741" s="500" t="s">
        <v>173</v>
      </c>
      <c r="D11741" s="500" t="s">
        <v>760</v>
      </c>
      <c r="E11741" s="501">
        <v>-1301256252.4000001</v>
      </c>
      <c r="F11741" s="502" t="s">
        <v>878</v>
      </c>
      <c r="G11741" s="443">
        <v>118821052</v>
      </c>
      <c r="H11741" s="530"/>
      <c r="I11741" s="523" t="s">
        <v>658</v>
      </c>
      <c r="J11741" s="530" t="s">
        <v>906</v>
      </c>
      <c r="N11741" s="598">
        <v>1276600</v>
      </c>
      <c r="R11741" s="548">
        <v>1019.314</v>
      </c>
      <c r="S11741" s="548">
        <v>1019.77478298606</v>
      </c>
      <c r="T11741" s="549">
        <v>16.4999</v>
      </c>
      <c r="U11741" s="549">
        <v>1951.88</v>
      </c>
      <c r="V11741" s="549">
        <v>975.94</v>
      </c>
    </row>
    <row r="11742" spans="1:22">
      <c r="A11742" s="499">
        <v>45897</v>
      </c>
      <c r="B11742" s="499">
        <v>45897</v>
      </c>
      <c r="C11742" s="500" t="s">
        <v>173</v>
      </c>
      <c r="D11742" s="500" t="s">
        <v>760</v>
      </c>
      <c r="E11742" s="501">
        <v>-418258957.69</v>
      </c>
      <c r="F11742" s="502" t="s">
        <v>878</v>
      </c>
      <c r="G11742" s="443">
        <v>118821839</v>
      </c>
      <c r="H11742" s="530"/>
      <c r="I11742" s="523" t="s">
        <v>704</v>
      </c>
      <c r="J11742" s="530" t="s">
        <v>906</v>
      </c>
      <c r="N11742" s="598">
        <v>512468</v>
      </c>
      <c r="R11742" s="548">
        <v>816.16600000000005</v>
      </c>
      <c r="S11742" s="548">
        <v>816.52198254330006</v>
      </c>
      <c r="T11742" s="549">
        <v>15.92</v>
      </c>
      <c r="U11742" s="549">
        <v>627.39</v>
      </c>
      <c r="V11742" s="549">
        <v>313.69</v>
      </c>
    </row>
    <row r="11743" spans="1:22">
      <c r="A11743" s="499">
        <v>45897</v>
      </c>
      <c r="B11743" s="499">
        <v>45898</v>
      </c>
      <c r="C11743" s="500" t="s">
        <v>173</v>
      </c>
      <c r="D11743" s="500" t="s">
        <v>760</v>
      </c>
      <c r="E11743" s="501">
        <v>1301844487.96</v>
      </c>
      <c r="F11743" s="502" t="s">
        <v>878</v>
      </c>
      <c r="G11743" s="443">
        <v>118821052</v>
      </c>
      <c r="H11743" s="443">
        <v>118821052</v>
      </c>
      <c r="I11743" s="523" t="s">
        <v>658</v>
      </c>
      <c r="J11743" s="530" t="s">
        <v>912</v>
      </c>
      <c r="N11743" s="598">
        <v>1276600</v>
      </c>
      <c r="R11743" s="548">
        <v>1019.314</v>
      </c>
      <c r="S11743" s="548">
        <v>1019.77478298606</v>
      </c>
      <c r="T11743" s="549">
        <v>16.4999</v>
      </c>
      <c r="U11743" s="549">
        <v>1951.88</v>
      </c>
      <c r="V11743" s="549">
        <v>975.94</v>
      </c>
    </row>
    <row r="11744" spans="1:22">
      <c r="A11744" s="499">
        <v>45897</v>
      </c>
      <c r="B11744" s="499">
        <v>45898</v>
      </c>
      <c r="C11744" s="500" t="s">
        <v>173</v>
      </c>
      <c r="D11744" s="500" t="s">
        <v>760</v>
      </c>
      <c r="E11744" s="501">
        <v>418441387.35000002</v>
      </c>
      <c r="F11744" s="502" t="s">
        <v>878</v>
      </c>
      <c r="G11744" s="443">
        <v>118821839</v>
      </c>
      <c r="H11744" s="443">
        <v>118821839</v>
      </c>
      <c r="I11744" s="523" t="s">
        <v>704</v>
      </c>
      <c r="J11744" s="530" t="s">
        <v>912</v>
      </c>
      <c r="N11744" s="598">
        <v>512468</v>
      </c>
      <c r="R11744" s="548">
        <v>816.16600000000005</v>
      </c>
      <c r="S11744" s="548">
        <v>816.52198254330006</v>
      </c>
      <c r="T11744" s="549">
        <v>15.92</v>
      </c>
      <c r="U11744" s="549">
        <v>627.39</v>
      </c>
      <c r="V11744" s="549">
        <v>313.69</v>
      </c>
    </row>
    <row r="11745" spans="1:26">
      <c r="A11745" s="499">
        <v>45897</v>
      </c>
      <c r="B11745" s="499">
        <v>45897</v>
      </c>
      <c r="C11745" s="500" t="s">
        <v>173</v>
      </c>
      <c r="D11745" s="500" t="s">
        <v>764</v>
      </c>
      <c r="E11745" s="501">
        <v>-4822436106.5</v>
      </c>
      <c r="F11745" s="502" t="s">
        <v>878</v>
      </c>
      <c r="G11745" s="443">
        <v>118821031</v>
      </c>
      <c r="H11745" s="530"/>
      <c r="I11745" s="523" t="s">
        <v>1013</v>
      </c>
      <c r="J11745" s="530" t="s">
        <v>906</v>
      </c>
      <c r="N11745" s="598">
        <v>8978564</v>
      </c>
      <c r="R11745" s="548">
        <v>537.10549999977729</v>
      </c>
      <c r="S11745" s="548">
        <v>537.344622311541</v>
      </c>
      <c r="T11745" s="549">
        <v>16.25</v>
      </c>
      <c r="U11745" s="549">
        <v>7233.65</v>
      </c>
      <c r="V11745" s="549">
        <v>3616.83</v>
      </c>
    </row>
    <row r="11746" spans="1:26">
      <c r="A11746" s="499">
        <v>45897</v>
      </c>
      <c r="B11746" s="499">
        <v>45897</v>
      </c>
      <c r="C11746" s="500" t="s">
        <v>173</v>
      </c>
      <c r="D11746" s="500" t="s">
        <v>764</v>
      </c>
      <c r="E11746" s="501">
        <v>-30002713.23</v>
      </c>
      <c r="F11746" s="502" t="s">
        <v>878</v>
      </c>
      <c r="G11746" s="443">
        <v>118821104</v>
      </c>
      <c r="H11746" s="530"/>
      <c r="I11746" s="523" t="s">
        <v>1013</v>
      </c>
      <c r="J11746" s="530" t="s">
        <v>906</v>
      </c>
      <c r="N11746" s="598">
        <v>55860</v>
      </c>
      <c r="R11746" s="548">
        <v>537.10550000000001</v>
      </c>
      <c r="S11746" s="548">
        <v>537.34462226996095</v>
      </c>
      <c r="T11746" s="549">
        <v>16.25</v>
      </c>
      <c r="U11746" s="549">
        <v>45</v>
      </c>
      <c r="V11746" s="549">
        <v>22.5</v>
      </c>
    </row>
    <row r="11747" spans="1:26">
      <c r="A11747" s="499">
        <v>45897</v>
      </c>
      <c r="B11747" s="499">
        <v>45898</v>
      </c>
      <c r="C11747" s="500" t="s">
        <v>173</v>
      </c>
      <c r="D11747" s="500" t="s">
        <v>764</v>
      </c>
      <c r="E11747" s="501">
        <v>4824583081.4799995</v>
      </c>
      <c r="F11747" s="502" t="s">
        <v>878</v>
      </c>
      <c r="G11747" s="443">
        <v>118821031</v>
      </c>
      <c r="H11747" s="443">
        <v>118821031</v>
      </c>
      <c r="I11747" s="523" t="s">
        <v>1013</v>
      </c>
      <c r="J11747" s="530" t="s">
        <v>912</v>
      </c>
      <c r="N11747" s="598">
        <v>8978564</v>
      </c>
      <c r="R11747" s="548">
        <v>537.10549999977729</v>
      </c>
      <c r="S11747" s="548">
        <v>537.344622311541</v>
      </c>
      <c r="T11747" s="549">
        <v>16.25</v>
      </c>
      <c r="U11747" s="549">
        <v>7233.65</v>
      </c>
      <c r="V11747" s="549">
        <v>3616.83</v>
      </c>
    </row>
    <row r="11748" spans="1:26">
      <c r="A11748" s="499">
        <v>45897</v>
      </c>
      <c r="B11748" s="499">
        <v>45898</v>
      </c>
      <c r="C11748" s="500" t="s">
        <v>173</v>
      </c>
      <c r="D11748" s="500" t="s">
        <v>764</v>
      </c>
      <c r="E11748" s="501">
        <v>30016070.600000001</v>
      </c>
      <c r="F11748" s="502" t="s">
        <v>878</v>
      </c>
      <c r="G11748" s="443">
        <v>118821104</v>
      </c>
      <c r="H11748" s="443">
        <v>118821104</v>
      </c>
      <c r="I11748" s="523" t="s">
        <v>1013</v>
      </c>
      <c r="J11748" s="530" t="s">
        <v>912</v>
      </c>
      <c r="N11748" s="598">
        <v>55860</v>
      </c>
      <c r="R11748" s="548">
        <v>537.10550000000001</v>
      </c>
      <c r="S11748" s="548">
        <v>537.34462226996095</v>
      </c>
      <c r="T11748" s="549">
        <v>16.25</v>
      </c>
      <c r="U11748" s="549">
        <v>45</v>
      </c>
      <c r="V11748" s="549">
        <v>22.5</v>
      </c>
    </row>
    <row r="11749" spans="1:26">
      <c r="A11749" s="499">
        <v>45897</v>
      </c>
      <c r="B11749" s="499">
        <v>45897</v>
      </c>
      <c r="C11749" s="500" t="s">
        <v>173</v>
      </c>
      <c r="D11749" s="500" t="s">
        <v>763</v>
      </c>
      <c r="E11749" s="501">
        <v>-1922178868.6199999</v>
      </c>
      <c r="F11749" s="502" t="s">
        <v>878</v>
      </c>
      <c r="G11749" s="443">
        <v>118820508</v>
      </c>
      <c r="H11749" s="530"/>
      <c r="I11749" s="523" t="s">
        <v>2956</v>
      </c>
      <c r="J11749" s="530" t="s">
        <v>906</v>
      </c>
      <c r="N11749" s="598">
        <v>19377604</v>
      </c>
      <c r="R11749" s="539">
        <v>99.195899999999995</v>
      </c>
      <c r="S11749" s="539">
        <v>99.238839594926205</v>
      </c>
      <c r="T11749" s="538">
        <v>15.8</v>
      </c>
      <c r="U11749" s="538">
        <v>2883.27</v>
      </c>
      <c r="V11749" s="538">
        <v>1441.63</v>
      </c>
    </row>
    <row r="11750" spans="1:26">
      <c r="A11750" s="499">
        <v>45897</v>
      </c>
      <c r="B11750" s="499">
        <v>45897</v>
      </c>
      <c r="C11750" s="500" t="s">
        <v>173</v>
      </c>
      <c r="D11750" s="500" t="s">
        <v>763</v>
      </c>
      <c r="E11750" s="501">
        <v>-12000409.24</v>
      </c>
      <c r="F11750" s="502" t="s">
        <v>878</v>
      </c>
      <c r="G11750" s="443">
        <v>118820524</v>
      </c>
      <c r="H11750" s="530"/>
      <c r="I11750" s="523" t="s">
        <v>1018</v>
      </c>
      <c r="J11750" s="530" t="s">
        <v>906</v>
      </c>
      <c r="N11750" s="598">
        <v>122844</v>
      </c>
      <c r="R11750" s="539">
        <v>97.688199999999995</v>
      </c>
      <c r="S11750" s="539">
        <v>97.730489645403907</v>
      </c>
      <c r="T11750" s="538">
        <v>15.801</v>
      </c>
      <c r="U11750" s="538">
        <v>39.32</v>
      </c>
      <c r="V11750" s="538">
        <v>39.32</v>
      </c>
    </row>
    <row r="11751" spans="1:26">
      <c r="A11751" s="499">
        <v>45897</v>
      </c>
      <c r="B11751" s="499">
        <v>45898</v>
      </c>
      <c r="C11751" s="500" t="s">
        <v>173</v>
      </c>
      <c r="D11751" s="500" t="s">
        <v>763</v>
      </c>
      <c r="E11751" s="501">
        <v>1923010935.0899999</v>
      </c>
      <c r="F11751" s="502" t="s">
        <v>878</v>
      </c>
      <c r="G11751" s="443">
        <v>118820508</v>
      </c>
      <c r="H11751" s="484">
        <v>118820508</v>
      </c>
      <c r="I11751" s="523" t="s">
        <v>2956</v>
      </c>
      <c r="J11751" s="530" t="s">
        <v>912</v>
      </c>
      <c r="N11751" s="598">
        <v>19377604</v>
      </c>
      <c r="R11751" s="539">
        <v>99.195899999999995</v>
      </c>
      <c r="S11751" s="539">
        <v>99.238839594926205</v>
      </c>
      <c r="T11751" s="538">
        <v>15.8</v>
      </c>
      <c r="U11751" s="538">
        <v>2883.27</v>
      </c>
      <c r="V11751" s="538">
        <v>1441.63</v>
      </c>
    </row>
    <row r="11752" spans="1:26">
      <c r="A11752" s="499">
        <v>45897</v>
      </c>
      <c r="B11752" s="499">
        <v>45898</v>
      </c>
      <c r="C11752" s="500" t="s">
        <v>173</v>
      </c>
      <c r="D11752" s="500" t="s">
        <v>763</v>
      </c>
      <c r="E11752" s="501">
        <v>12005604.27</v>
      </c>
      <c r="F11752" s="502" t="s">
        <v>878</v>
      </c>
      <c r="G11752" s="443">
        <v>118820524</v>
      </c>
      <c r="H11752" s="484">
        <v>118820524</v>
      </c>
      <c r="I11752" s="523" t="s">
        <v>1018</v>
      </c>
      <c r="J11752" s="530" t="s">
        <v>912</v>
      </c>
      <c r="N11752" s="598">
        <v>122844</v>
      </c>
      <c r="R11752" s="539">
        <v>97.688199999999995</v>
      </c>
      <c r="S11752" s="539">
        <v>97.730489645403907</v>
      </c>
      <c r="T11752" s="538">
        <v>15.801</v>
      </c>
      <c r="U11752" s="538">
        <v>39.32</v>
      </c>
      <c r="V11752" s="538">
        <v>39.32</v>
      </c>
    </row>
    <row r="11753" spans="1:26">
      <c r="A11753" s="499">
        <v>45898</v>
      </c>
      <c r="B11753" s="499">
        <v>45898</v>
      </c>
      <c r="C11753" s="500" t="s">
        <v>173</v>
      </c>
      <c r="D11753" s="500" t="s">
        <v>762</v>
      </c>
      <c r="E11753" s="501">
        <v>-507036022.35000002</v>
      </c>
      <c r="F11753" s="502" t="s">
        <v>878</v>
      </c>
      <c r="G11753" s="443">
        <v>118848236</v>
      </c>
      <c r="H11753" s="530"/>
      <c r="I11753" s="523" t="s">
        <v>714</v>
      </c>
      <c r="J11753" s="530" t="s">
        <v>906</v>
      </c>
      <c r="N11753" s="598">
        <v>641355</v>
      </c>
      <c r="R11753" s="539">
        <v>790.57</v>
      </c>
      <c r="S11753" s="539">
        <v>791.94423158781001</v>
      </c>
      <c r="T11753" s="538">
        <v>15.861800000000001</v>
      </c>
      <c r="U11753" s="538">
        <v>3042.22</v>
      </c>
      <c r="V11753" s="538">
        <v>1521.11</v>
      </c>
      <c r="Z11753" s="539" t="s">
        <v>2953</v>
      </c>
    </row>
    <row r="11754" spans="1:26">
      <c r="A11754" s="499">
        <v>45898</v>
      </c>
      <c r="B11754" s="499">
        <v>45898</v>
      </c>
      <c r="C11754" s="500" t="s">
        <v>173</v>
      </c>
      <c r="D11754" s="500" t="s">
        <v>762</v>
      </c>
      <c r="E11754" s="501">
        <v>-2180493965.98</v>
      </c>
      <c r="F11754" s="502" t="s">
        <v>878</v>
      </c>
      <c r="G11754" s="443">
        <v>118848239</v>
      </c>
      <c r="H11754" s="530"/>
      <c r="I11754" s="523" t="s">
        <v>1051</v>
      </c>
      <c r="J11754" s="530" t="s">
        <v>906</v>
      </c>
      <c r="N11754" s="598">
        <v>2037365</v>
      </c>
      <c r="R11754" s="539">
        <v>1070.252</v>
      </c>
      <c r="S11754" s="539">
        <v>1072.1123970618901</v>
      </c>
      <c r="T11754" s="538">
        <v>15.861800000000001</v>
      </c>
      <c r="U11754" s="538">
        <v>13082.96</v>
      </c>
      <c r="V11754" s="538">
        <v>6541.48</v>
      </c>
      <c r="Z11754" s="539" t="s">
        <v>2953</v>
      </c>
    </row>
    <row r="11755" spans="1:26">
      <c r="A11755" s="499">
        <v>45898</v>
      </c>
      <c r="B11755" s="499">
        <v>45898</v>
      </c>
      <c r="C11755" s="500" t="s">
        <v>173</v>
      </c>
      <c r="D11755" s="500" t="s">
        <v>762</v>
      </c>
      <c r="E11755" s="501">
        <v>-334295404.30000001</v>
      </c>
      <c r="F11755" s="502" t="s">
        <v>878</v>
      </c>
      <c r="G11755" s="443">
        <v>118848242</v>
      </c>
      <c r="H11755" s="530"/>
      <c r="I11755" s="523" t="s">
        <v>1047</v>
      </c>
      <c r="J11755" s="530" t="s">
        <v>906</v>
      </c>
      <c r="N11755" s="598">
        <v>343352</v>
      </c>
      <c r="R11755" s="539">
        <v>973.62300000000005</v>
      </c>
      <c r="S11755" s="539">
        <v>975.31541820056395</v>
      </c>
      <c r="T11755" s="538">
        <v>15.861700000000001</v>
      </c>
      <c r="U11755" s="538">
        <v>2005.77</v>
      </c>
      <c r="V11755" s="538">
        <v>1002.89</v>
      </c>
      <c r="Z11755" s="539" t="s">
        <v>2953</v>
      </c>
    </row>
    <row r="11756" spans="1:26">
      <c r="A11756" s="499">
        <v>45898</v>
      </c>
      <c r="B11756" s="499">
        <v>45898</v>
      </c>
      <c r="C11756" s="500" t="s">
        <v>173</v>
      </c>
      <c r="D11756" s="500" t="s">
        <v>762</v>
      </c>
      <c r="E11756" s="501">
        <v>-17015035.550000001</v>
      </c>
      <c r="F11756" s="502" t="s">
        <v>878</v>
      </c>
      <c r="G11756" s="443">
        <v>118848257</v>
      </c>
      <c r="H11756" s="530"/>
      <c r="I11756" s="523" t="s">
        <v>1047</v>
      </c>
      <c r="J11756" s="530" t="s">
        <v>906</v>
      </c>
      <c r="N11756" s="598">
        <v>17476</v>
      </c>
      <c r="R11756" s="539">
        <v>973.62300000000005</v>
      </c>
      <c r="S11756" s="539">
        <v>975.31541828793797</v>
      </c>
      <c r="T11756" s="538">
        <v>15.861700000000001</v>
      </c>
      <c r="U11756" s="538">
        <v>102.09</v>
      </c>
      <c r="V11756" s="538">
        <v>51.05</v>
      </c>
      <c r="Z11756" s="539" t="s">
        <v>2953</v>
      </c>
    </row>
    <row r="11757" spans="1:26">
      <c r="A11757" s="499">
        <v>45898</v>
      </c>
      <c r="B11757" s="499">
        <v>45902</v>
      </c>
      <c r="C11757" s="500" t="s">
        <v>173</v>
      </c>
      <c r="D11757" s="500" t="s">
        <v>762</v>
      </c>
      <c r="E11757" s="501">
        <v>507917392.64999998</v>
      </c>
      <c r="F11757" s="502" t="s">
        <v>878</v>
      </c>
      <c r="G11757" s="443">
        <v>118848236</v>
      </c>
      <c r="H11757" s="484">
        <v>118848236</v>
      </c>
      <c r="I11757" s="523" t="s">
        <v>714</v>
      </c>
      <c r="J11757" s="530" t="s">
        <v>912</v>
      </c>
      <c r="N11757" s="598">
        <v>641355</v>
      </c>
      <c r="R11757" s="539">
        <v>790.57</v>
      </c>
      <c r="S11757" s="539">
        <v>791.94423158781001</v>
      </c>
      <c r="T11757" s="538">
        <v>15.861800000000001</v>
      </c>
      <c r="U11757" s="538">
        <v>3042.22</v>
      </c>
      <c r="V11757" s="538">
        <v>1521.11</v>
      </c>
      <c r="Z11757" s="539" t="s">
        <v>2953</v>
      </c>
    </row>
    <row r="11758" spans="1:26">
      <c r="A11758" s="499">
        <v>45898</v>
      </c>
      <c r="B11758" s="499">
        <v>45902</v>
      </c>
      <c r="C11758" s="500" t="s">
        <v>173</v>
      </c>
      <c r="D11758" s="500" t="s">
        <v>762</v>
      </c>
      <c r="E11758" s="501">
        <v>2184284273.8400002</v>
      </c>
      <c r="F11758" s="502" t="s">
        <v>878</v>
      </c>
      <c r="G11758" s="443">
        <v>118848239</v>
      </c>
      <c r="H11758" s="484">
        <v>118848239</v>
      </c>
      <c r="I11758" s="523" t="s">
        <v>1051</v>
      </c>
      <c r="J11758" s="530" t="s">
        <v>912</v>
      </c>
      <c r="N11758" s="598">
        <v>2037365</v>
      </c>
      <c r="R11758" s="539">
        <v>1070.252</v>
      </c>
      <c r="S11758" s="539">
        <v>1072.1123970618901</v>
      </c>
      <c r="T11758" s="538">
        <v>15.861800000000001</v>
      </c>
      <c r="U11758" s="538">
        <v>13082.96</v>
      </c>
      <c r="V11758" s="538">
        <v>6541.48</v>
      </c>
      <c r="Z11758" s="539" t="s">
        <v>2953</v>
      </c>
    </row>
    <row r="11759" spans="1:26">
      <c r="A11759" s="499">
        <v>45898</v>
      </c>
      <c r="B11759" s="499">
        <v>45902</v>
      </c>
      <c r="C11759" s="500" t="s">
        <v>173</v>
      </c>
      <c r="D11759" s="500" t="s">
        <v>762</v>
      </c>
      <c r="E11759" s="501">
        <v>334876499.47000003</v>
      </c>
      <c r="F11759" s="502" t="s">
        <v>878</v>
      </c>
      <c r="G11759" s="443">
        <v>118848242</v>
      </c>
      <c r="H11759" s="484">
        <v>118848242</v>
      </c>
      <c r="I11759" s="523" t="s">
        <v>1047</v>
      </c>
      <c r="J11759" s="530" t="s">
        <v>912</v>
      </c>
      <c r="N11759" s="598">
        <v>343352</v>
      </c>
      <c r="R11759" s="539">
        <v>973.62300000000005</v>
      </c>
      <c r="S11759" s="539">
        <v>975.31541820056395</v>
      </c>
      <c r="T11759" s="538">
        <v>15.861700000000001</v>
      </c>
      <c r="U11759" s="538">
        <v>2005.77</v>
      </c>
      <c r="V11759" s="538">
        <v>1002.89</v>
      </c>
      <c r="Z11759" s="539" t="s">
        <v>2953</v>
      </c>
    </row>
    <row r="11760" spans="1:26">
      <c r="A11760" s="499">
        <v>45898</v>
      </c>
      <c r="B11760" s="499">
        <v>45902</v>
      </c>
      <c r="C11760" s="500" t="s">
        <v>173</v>
      </c>
      <c r="D11760" s="500" t="s">
        <v>762</v>
      </c>
      <c r="E11760" s="501">
        <v>17044612.25</v>
      </c>
      <c r="F11760" s="502" t="s">
        <v>878</v>
      </c>
      <c r="G11760" s="443">
        <v>118848257</v>
      </c>
      <c r="H11760" s="484">
        <v>118848257</v>
      </c>
      <c r="I11760" s="523" t="s">
        <v>1047</v>
      </c>
      <c r="J11760" s="530" t="s">
        <v>912</v>
      </c>
      <c r="N11760" s="598">
        <v>17476</v>
      </c>
      <c r="R11760" s="539">
        <v>973.62300000000005</v>
      </c>
      <c r="S11760" s="539">
        <v>975.31541828793797</v>
      </c>
      <c r="T11760" s="538">
        <v>15.861700000000001</v>
      </c>
      <c r="U11760" s="538">
        <v>102.09</v>
      </c>
      <c r="V11760" s="538">
        <v>51.05</v>
      </c>
      <c r="Z11760" s="539" t="s">
        <v>2953</v>
      </c>
    </row>
    <row r="11761" spans="1:26">
      <c r="A11761" s="499">
        <v>45898</v>
      </c>
      <c r="B11761" s="499">
        <v>45898</v>
      </c>
      <c r="C11761" s="500" t="s">
        <v>173</v>
      </c>
      <c r="D11761" s="500" t="s">
        <v>759</v>
      </c>
      <c r="E11761" s="501">
        <v>-338078617.44999999</v>
      </c>
      <c r="F11761" s="502" t="s">
        <v>878</v>
      </c>
      <c r="G11761" s="443">
        <v>118845411</v>
      </c>
      <c r="H11761" s="530"/>
      <c r="I11761" s="523" t="s">
        <v>673</v>
      </c>
      <c r="J11761" s="530" t="s">
        <v>906</v>
      </c>
      <c r="N11761" s="598">
        <v>374504</v>
      </c>
      <c r="R11761" s="548">
        <v>902.73700000534041</v>
      </c>
      <c r="S11761" s="548">
        <v>904.30998830453098</v>
      </c>
      <c r="T11761" s="549">
        <v>15.9</v>
      </c>
      <c r="U11761" s="549">
        <v>2028.47</v>
      </c>
      <c r="V11761" s="549">
        <v>1014.24</v>
      </c>
      <c r="Z11761" s="548" t="s">
        <v>2953</v>
      </c>
    </row>
    <row r="11762" spans="1:26">
      <c r="A11762" s="499">
        <v>45898</v>
      </c>
      <c r="B11762" s="499">
        <v>45898</v>
      </c>
      <c r="C11762" s="500" t="s">
        <v>173</v>
      </c>
      <c r="D11762" s="500" t="s">
        <v>759</v>
      </c>
      <c r="E11762" s="501">
        <v>-587227431.98000002</v>
      </c>
      <c r="F11762" s="502" t="s">
        <v>878</v>
      </c>
      <c r="G11762" s="443">
        <v>118845425</v>
      </c>
      <c r="H11762" s="530"/>
      <c r="I11762" s="523" t="s">
        <v>705</v>
      </c>
      <c r="J11762" s="530" t="s">
        <v>906</v>
      </c>
      <c r="N11762" s="598">
        <v>784232</v>
      </c>
      <c r="R11762" s="548">
        <v>748.79300000510057</v>
      </c>
      <c r="S11762" s="548">
        <v>750.09774616439995</v>
      </c>
      <c r="T11762" s="549">
        <v>15.9</v>
      </c>
      <c r="U11762" s="549">
        <v>3523.36</v>
      </c>
      <c r="V11762" s="549">
        <v>1761.68</v>
      </c>
      <c r="Z11762" s="548" t="s">
        <v>2953</v>
      </c>
    </row>
    <row r="11763" spans="1:26">
      <c r="A11763" s="499">
        <v>45898</v>
      </c>
      <c r="B11763" s="499">
        <v>45898</v>
      </c>
      <c r="C11763" s="500" t="s">
        <v>173</v>
      </c>
      <c r="D11763" s="500" t="s">
        <v>759</v>
      </c>
      <c r="E11763" s="501">
        <v>-796634080.86000001</v>
      </c>
      <c r="F11763" s="502" t="s">
        <v>878</v>
      </c>
      <c r="G11763" s="443">
        <v>118845436</v>
      </c>
      <c r="H11763" s="530"/>
      <c r="I11763" s="523" t="s">
        <v>1091</v>
      </c>
      <c r="J11763" s="530" t="s">
        <v>906</v>
      </c>
      <c r="N11763" s="598">
        <v>811124</v>
      </c>
      <c r="R11763" s="548">
        <v>982.13599999506857</v>
      </c>
      <c r="S11763" s="548">
        <v>983.84733833544601</v>
      </c>
      <c r="T11763" s="549">
        <v>15.9</v>
      </c>
      <c r="U11763" s="549">
        <v>4779.8</v>
      </c>
      <c r="V11763" s="549">
        <v>2389.9</v>
      </c>
      <c r="Z11763" s="548" t="s">
        <v>2953</v>
      </c>
    </row>
    <row r="11764" spans="1:26">
      <c r="A11764" s="499">
        <v>45898</v>
      </c>
      <c r="B11764" s="499">
        <v>45898</v>
      </c>
      <c r="C11764" s="500" t="s">
        <v>173</v>
      </c>
      <c r="D11764" s="500" t="s">
        <v>759</v>
      </c>
      <c r="E11764" s="501">
        <v>-334083900.80000001</v>
      </c>
      <c r="F11764" s="502" t="s">
        <v>878</v>
      </c>
      <c r="G11764" s="443">
        <v>118845439</v>
      </c>
      <c r="H11764" s="530"/>
      <c r="I11764" s="523" t="s">
        <v>631</v>
      </c>
      <c r="J11764" s="530" t="s">
        <v>906</v>
      </c>
      <c r="N11764" s="598">
        <v>668000</v>
      </c>
      <c r="R11764" s="548">
        <v>500.12560000000002</v>
      </c>
      <c r="S11764" s="548">
        <v>500.997051736527</v>
      </c>
      <c r="T11764" s="549">
        <v>15.9</v>
      </c>
      <c r="U11764" s="549">
        <v>2004.5</v>
      </c>
      <c r="V11764" s="549">
        <v>1002.25</v>
      </c>
      <c r="Z11764" s="548" t="s">
        <v>2953</v>
      </c>
    </row>
    <row r="11765" spans="1:26">
      <c r="A11765" s="499">
        <v>45898</v>
      </c>
      <c r="B11765" s="499">
        <v>45898</v>
      </c>
      <c r="C11765" s="500" t="s">
        <v>173</v>
      </c>
      <c r="D11765" s="500" t="s">
        <v>759</v>
      </c>
      <c r="E11765" s="501">
        <v>-12000033.85</v>
      </c>
      <c r="F11765" s="502" t="s">
        <v>878</v>
      </c>
      <c r="G11765" s="443">
        <v>118850531</v>
      </c>
      <c r="H11765" s="530"/>
      <c r="I11765" s="523" t="s">
        <v>2556</v>
      </c>
      <c r="J11765" s="530" t="s">
        <v>906</v>
      </c>
      <c r="N11765" s="598">
        <v>134208</v>
      </c>
      <c r="R11765" s="548">
        <v>89.413700002980448</v>
      </c>
      <c r="S11765" s="548">
        <v>89.568031488435906</v>
      </c>
      <c r="T11765" s="549">
        <v>15.7501</v>
      </c>
      <c r="U11765" s="549">
        <v>72</v>
      </c>
      <c r="V11765" s="549">
        <v>36</v>
      </c>
      <c r="Z11765" s="548" t="s">
        <v>2953</v>
      </c>
    </row>
    <row r="11766" spans="1:26">
      <c r="A11766" s="499">
        <v>45898</v>
      </c>
      <c r="B11766" s="499">
        <v>45902</v>
      </c>
      <c r="C11766" s="500" t="s">
        <v>173</v>
      </c>
      <c r="D11766" s="500" t="s">
        <v>759</v>
      </c>
      <c r="E11766" s="501">
        <v>338667707.86000001</v>
      </c>
      <c r="F11766" s="502" t="s">
        <v>878</v>
      </c>
      <c r="G11766" s="443">
        <v>118845411</v>
      </c>
      <c r="H11766" s="443">
        <v>118845411</v>
      </c>
      <c r="I11766" s="523" t="s">
        <v>673</v>
      </c>
      <c r="J11766" s="530" t="s">
        <v>912</v>
      </c>
      <c r="N11766" s="598">
        <v>374504</v>
      </c>
      <c r="R11766" s="548">
        <v>902.73700000534041</v>
      </c>
      <c r="S11766" s="548">
        <v>904.30998830453098</v>
      </c>
      <c r="T11766" s="549">
        <v>15.9</v>
      </c>
      <c r="U11766" s="549">
        <v>2028.47</v>
      </c>
      <c r="V11766" s="549">
        <v>1014.24</v>
      </c>
      <c r="Z11766" s="548" t="s">
        <v>2953</v>
      </c>
    </row>
    <row r="11767" spans="1:26">
      <c r="A11767" s="499">
        <v>45898</v>
      </c>
      <c r="B11767" s="499">
        <v>45902</v>
      </c>
      <c r="C11767" s="500" t="s">
        <v>173</v>
      </c>
      <c r="D11767" s="500" t="s">
        <v>759</v>
      </c>
      <c r="E11767" s="501">
        <v>588250655.66999996</v>
      </c>
      <c r="F11767" s="502" t="s">
        <v>878</v>
      </c>
      <c r="G11767" s="443">
        <v>118845425</v>
      </c>
      <c r="H11767" s="443">
        <v>118845425</v>
      </c>
      <c r="I11767" s="523" t="s">
        <v>705</v>
      </c>
      <c r="J11767" s="530" t="s">
        <v>912</v>
      </c>
      <c r="N11767" s="598">
        <v>784232</v>
      </c>
      <c r="R11767" s="548">
        <v>748.79300000510057</v>
      </c>
      <c r="S11767" s="548">
        <v>750.09774616439995</v>
      </c>
      <c r="T11767" s="549">
        <v>15.9</v>
      </c>
      <c r="U11767" s="549">
        <v>3523.36</v>
      </c>
      <c r="V11767" s="549">
        <v>1761.68</v>
      </c>
      <c r="Z11767" s="548" t="s">
        <v>2953</v>
      </c>
    </row>
    <row r="11768" spans="1:26">
      <c r="A11768" s="499">
        <v>45898</v>
      </c>
      <c r="B11768" s="499">
        <v>45902</v>
      </c>
      <c r="C11768" s="500" t="s">
        <v>173</v>
      </c>
      <c r="D11768" s="500" t="s">
        <v>759</v>
      </c>
      <c r="E11768" s="501">
        <v>798022188.46000004</v>
      </c>
      <c r="F11768" s="502" t="s">
        <v>878</v>
      </c>
      <c r="G11768" s="443">
        <v>118845436</v>
      </c>
      <c r="H11768" s="443">
        <v>118845436</v>
      </c>
      <c r="I11768" s="523" t="s">
        <v>1091</v>
      </c>
      <c r="J11768" s="530" t="s">
        <v>912</v>
      </c>
      <c r="N11768" s="598">
        <v>811124</v>
      </c>
      <c r="R11768" s="548">
        <v>982.13599999506857</v>
      </c>
      <c r="S11768" s="548">
        <v>983.84733833544601</v>
      </c>
      <c r="T11768" s="549">
        <v>15.9</v>
      </c>
      <c r="U11768" s="549">
        <v>4779.8</v>
      </c>
      <c r="V11768" s="549">
        <v>2389.9</v>
      </c>
      <c r="Z11768" s="548" t="s">
        <v>2953</v>
      </c>
    </row>
    <row r="11769" spans="1:26">
      <c r="A11769" s="499">
        <v>45898</v>
      </c>
      <c r="B11769" s="499">
        <v>45902</v>
      </c>
      <c r="C11769" s="500" t="s">
        <v>173</v>
      </c>
      <c r="D11769" s="500" t="s">
        <v>759</v>
      </c>
      <c r="E11769" s="501">
        <v>334666030.56</v>
      </c>
      <c r="F11769" s="502" t="s">
        <v>878</v>
      </c>
      <c r="G11769" s="443">
        <v>118845439</v>
      </c>
      <c r="H11769" s="443">
        <v>118845439</v>
      </c>
      <c r="I11769" s="523" t="s">
        <v>631</v>
      </c>
      <c r="J11769" s="530" t="s">
        <v>912</v>
      </c>
      <c r="N11769" s="598">
        <v>668000</v>
      </c>
      <c r="R11769" s="548">
        <v>500.12560000000002</v>
      </c>
      <c r="S11769" s="548">
        <v>500.997051736527</v>
      </c>
      <c r="T11769" s="549">
        <v>15.9</v>
      </c>
      <c r="U11769" s="549">
        <v>2004.5</v>
      </c>
      <c r="V11769" s="549">
        <v>1002.25</v>
      </c>
      <c r="Z11769" s="548" t="s">
        <v>2953</v>
      </c>
    </row>
    <row r="11770" spans="1:26">
      <c r="A11770" s="499">
        <v>45898</v>
      </c>
      <c r="B11770" s="499">
        <v>45902</v>
      </c>
      <c r="C11770" s="500" t="s">
        <v>173</v>
      </c>
      <c r="D11770" s="500" t="s">
        <v>759</v>
      </c>
      <c r="E11770" s="501">
        <v>12020746.369999999</v>
      </c>
      <c r="F11770" s="502" t="s">
        <v>878</v>
      </c>
      <c r="G11770" s="443">
        <v>118850531</v>
      </c>
      <c r="H11770" s="443">
        <v>118850531</v>
      </c>
      <c r="I11770" s="523" t="s">
        <v>2556</v>
      </c>
      <c r="J11770" s="530" t="s">
        <v>912</v>
      </c>
      <c r="N11770" s="598">
        <v>134208</v>
      </c>
      <c r="R11770" s="548">
        <v>89.413700002980448</v>
      </c>
      <c r="S11770" s="548">
        <v>89.568031488435906</v>
      </c>
      <c r="T11770" s="549">
        <v>15.7501</v>
      </c>
      <c r="U11770" s="549">
        <v>72</v>
      </c>
      <c r="V11770" s="549">
        <v>36</v>
      </c>
      <c r="Z11770" s="548" t="s">
        <v>2953</v>
      </c>
    </row>
    <row r="11771" spans="1:26">
      <c r="A11771" s="499">
        <v>45898</v>
      </c>
      <c r="B11771" s="499">
        <v>45898</v>
      </c>
      <c r="C11771" s="500" t="s">
        <v>173</v>
      </c>
      <c r="D11771" s="500" t="s">
        <v>763</v>
      </c>
      <c r="E11771" s="501">
        <v>-1923823236.3</v>
      </c>
      <c r="F11771" s="502" t="s">
        <v>878</v>
      </c>
      <c r="G11771" s="443">
        <v>118844876</v>
      </c>
      <c r="H11771" s="530"/>
      <c r="I11771" s="523" t="s">
        <v>704</v>
      </c>
      <c r="J11771" s="530" t="s">
        <v>906</v>
      </c>
      <c r="N11771" s="598">
        <v>2355675</v>
      </c>
      <c r="R11771" s="548">
        <v>816.67600000000004</v>
      </c>
      <c r="S11771" s="548">
        <v>818.095485811922</v>
      </c>
      <c r="T11771" s="549">
        <v>15.8604</v>
      </c>
      <c r="U11771" s="549">
        <v>11542.94</v>
      </c>
      <c r="V11771" s="549">
        <v>5771.47</v>
      </c>
      <c r="Z11771" s="548" t="s">
        <v>2953</v>
      </c>
    </row>
    <row r="11772" spans="1:26">
      <c r="A11772" s="499">
        <v>45898</v>
      </c>
      <c r="B11772" s="499">
        <v>45898</v>
      </c>
      <c r="C11772" s="500" t="s">
        <v>173</v>
      </c>
      <c r="D11772" s="500" t="s">
        <v>763</v>
      </c>
      <c r="E11772" s="501">
        <v>-11004709.1</v>
      </c>
      <c r="F11772" s="502" t="s">
        <v>878</v>
      </c>
      <c r="G11772" s="443">
        <v>118844911</v>
      </c>
      <c r="H11772" s="530"/>
      <c r="I11772" s="523" t="s">
        <v>704</v>
      </c>
      <c r="J11772" s="530" t="s">
        <v>906</v>
      </c>
      <c r="N11772" s="598">
        <v>13475</v>
      </c>
      <c r="R11772" s="548">
        <v>816.67600000000004</v>
      </c>
      <c r="S11772" s="548">
        <v>818.09548571428604</v>
      </c>
      <c r="T11772" s="549">
        <v>15.8604</v>
      </c>
      <c r="U11772" s="549">
        <v>66.03</v>
      </c>
      <c r="V11772" s="549">
        <v>39.32</v>
      </c>
      <c r="Z11772" s="548" t="s">
        <v>2953</v>
      </c>
    </row>
    <row r="11773" spans="1:26">
      <c r="A11773" s="499">
        <v>45898</v>
      </c>
      <c r="B11773" s="499">
        <v>45902</v>
      </c>
      <c r="C11773" s="500" t="s">
        <v>173</v>
      </c>
      <c r="D11773" s="500" t="s">
        <v>763</v>
      </c>
      <c r="E11773" s="501">
        <v>1927167083.54</v>
      </c>
      <c r="F11773" s="502" t="s">
        <v>878</v>
      </c>
      <c r="G11773" s="443">
        <v>118844876</v>
      </c>
      <c r="H11773" s="443">
        <v>118844876</v>
      </c>
      <c r="I11773" s="523" t="s">
        <v>704</v>
      </c>
      <c r="J11773" s="530" t="s">
        <v>912</v>
      </c>
      <c r="N11773" s="598">
        <v>2355675</v>
      </c>
      <c r="R11773" s="548">
        <v>816.67600000000004</v>
      </c>
      <c r="S11773" s="548">
        <v>818.095485811922</v>
      </c>
      <c r="T11773" s="549">
        <v>15.8604</v>
      </c>
      <c r="U11773" s="549">
        <v>11542.94</v>
      </c>
      <c r="V11773" s="549">
        <v>5771.47</v>
      </c>
      <c r="Z11773" s="548" t="s">
        <v>2953</v>
      </c>
    </row>
    <row r="11774" spans="1:26">
      <c r="A11774" s="499">
        <v>45898</v>
      </c>
      <c r="B11774" s="499">
        <v>45902</v>
      </c>
      <c r="C11774" s="500" t="s">
        <v>173</v>
      </c>
      <c r="D11774" s="500" t="s">
        <v>763</v>
      </c>
      <c r="E11774" s="501">
        <v>11023836.67</v>
      </c>
      <c r="F11774" s="502" t="s">
        <v>878</v>
      </c>
      <c r="G11774" s="443">
        <v>118844911</v>
      </c>
      <c r="H11774" s="443">
        <v>118844911</v>
      </c>
      <c r="I11774" s="523" t="s">
        <v>704</v>
      </c>
      <c r="J11774" s="530" t="s">
        <v>912</v>
      </c>
      <c r="N11774" s="598">
        <v>13475</v>
      </c>
      <c r="R11774" s="548">
        <v>816.67600000000004</v>
      </c>
      <c r="S11774" s="548">
        <v>818.09548571428604</v>
      </c>
      <c r="T11774" s="549">
        <v>15.8604</v>
      </c>
      <c r="U11774" s="549">
        <v>66.03</v>
      </c>
      <c r="V11774" s="549">
        <v>39.32</v>
      </c>
      <c r="Z11774" s="548" t="s">
        <v>2953</v>
      </c>
    </row>
    <row r="11775" spans="1:26">
      <c r="A11775" s="499">
        <v>45898</v>
      </c>
      <c r="B11775" s="499">
        <v>45898</v>
      </c>
      <c r="C11775" s="500" t="s">
        <v>173</v>
      </c>
      <c r="D11775" s="500" t="s">
        <v>764</v>
      </c>
      <c r="E11775" s="501">
        <v>-4826249412.8699999</v>
      </c>
      <c r="F11775" s="502" t="s">
        <v>878</v>
      </c>
      <c r="G11775" s="443">
        <v>118845398</v>
      </c>
      <c r="H11775" s="530"/>
      <c r="I11775" s="523" t="s">
        <v>2854</v>
      </c>
      <c r="J11775" s="530" t="s">
        <v>906</v>
      </c>
      <c r="N11775" s="598">
        <v>8813448</v>
      </c>
      <c r="R11775" s="548">
        <v>547.60060000013618</v>
      </c>
      <c r="S11775" s="548">
        <v>549.30191254886802</v>
      </c>
      <c r="T11775" s="549">
        <v>16.2</v>
      </c>
      <c r="U11775" s="549">
        <v>50675.62</v>
      </c>
      <c r="V11775" s="549">
        <v>25337.81</v>
      </c>
      <c r="Z11775" s="548" t="s">
        <v>2961</v>
      </c>
    </row>
    <row r="11776" spans="1:26">
      <c r="A11776" s="499">
        <v>45898</v>
      </c>
      <c r="B11776" s="499">
        <v>45898</v>
      </c>
      <c r="C11776" s="500" t="s">
        <v>173</v>
      </c>
      <c r="D11776" s="500" t="s">
        <v>764</v>
      </c>
      <c r="E11776" s="501">
        <v>-29006745.280000001</v>
      </c>
      <c r="F11776" s="502" t="s">
        <v>878</v>
      </c>
      <c r="G11776" s="443">
        <v>118845526</v>
      </c>
      <c r="H11776" s="530"/>
      <c r="I11776" s="523" t="s">
        <v>673</v>
      </c>
      <c r="J11776" s="530" t="s">
        <v>906</v>
      </c>
      <c r="N11776" s="598">
        <v>32132</v>
      </c>
      <c r="R11776" s="548">
        <v>902.73699987551356</v>
      </c>
      <c r="S11776" s="548">
        <v>905.54166780779303</v>
      </c>
      <c r="T11776" s="549">
        <v>16.2</v>
      </c>
      <c r="U11776" s="549">
        <v>304.57</v>
      </c>
      <c r="V11776" s="549">
        <v>152.29</v>
      </c>
      <c r="Z11776" s="548" t="s">
        <v>2961</v>
      </c>
    </row>
    <row r="11777" spans="1:26">
      <c r="A11777" s="499">
        <v>45898</v>
      </c>
      <c r="B11777" s="499">
        <v>45905</v>
      </c>
      <c r="C11777" s="500" t="s">
        <v>173</v>
      </c>
      <c r="D11777" s="500" t="s">
        <v>764</v>
      </c>
      <c r="E11777" s="501">
        <v>4841243842.5500002</v>
      </c>
      <c r="F11777" s="502" t="s">
        <v>878</v>
      </c>
      <c r="G11777" s="443">
        <v>118845398</v>
      </c>
      <c r="H11777" s="484">
        <v>118845398</v>
      </c>
      <c r="I11777" s="523" t="s">
        <v>2854</v>
      </c>
      <c r="J11777" s="530" t="s">
        <v>912</v>
      </c>
      <c r="N11777" s="598">
        <v>8813448</v>
      </c>
      <c r="R11777" s="548">
        <v>547.60060000013618</v>
      </c>
      <c r="S11777" s="548">
        <v>549.30191254886802</v>
      </c>
      <c r="T11777" s="549">
        <v>16.2</v>
      </c>
      <c r="U11777" s="549">
        <v>50675.62</v>
      </c>
      <c r="V11777" s="549">
        <v>25337.81</v>
      </c>
      <c r="Z11777" s="548" t="s">
        <v>2961</v>
      </c>
    </row>
    <row r="11778" spans="1:26">
      <c r="A11778" s="499">
        <v>45898</v>
      </c>
      <c r="B11778" s="499">
        <v>45905</v>
      </c>
      <c r="C11778" s="500" t="s">
        <v>173</v>
      </c>
      <c r="D11778" s="500" t="s">
        <v>764</v>
      </c>
      <c r="E11778" s="501">
        <v>29096864.870000001</v>
      </c>
      <c r="F11778" s="502" t="s">
        <v>878</v>
      </c>
      <c r="G11778" s="443">
        <v>118845526</v>
      </c>
      <c r="H11778" s="484">
        <v>118845526</v>
      </c>
      <c r="I11778" s="523" t="s">
        <v>673</v>
      </c>
      <c r="J11778" s="530" t="s">
        <v>912</v>
      </c>
      <c r="N11778" s="598">
        <v>32132</v>
      </c>
      <c r="R11778" s="548">
        <v>902.73699987551356</v>
      </c>
      <c r="S11778" s="548">
        <v>905.54166780779303</v>
      </c>
      <c r="T11778" s="549">
        <v>16.2</v>
      </c>
      <c r="U11778" s="549">
        <v>304.57</v>
      </c>
      <c r="V11778" s="549">
        <v>152.29</v>
      </c>
      <c r="Z11778" s="548" t="s">
        <v>2961</v>
      </c>
    </row>
    <row r="11779" spans="1:26">
      <c r="A11779" s="499">
        <v>45898</v>
      </c>
      <c r="B11779" s="499">
        <v>45898</v>
      </c>
      <c r="C11779" s="500" t="s">
        <v>173</v>
      </c>
      <c r="D11779" s="500" t="s">
        <v>761</v>
      </c>
      <c r="E11779" s="501">
        <v>-804024819.32000005</v>
      </c>
      <c r="F11779" s="502" t="s">
        <v>878</v>
      </c>
      <c r="G11779" s="443">
        <v>118844503</v>
      </c>
      <c r="H11779" s="530"/>
      <c r="I11779" s="523" t="s">
        <v>2956</v>
      </c>
      <c r="J11779" s="530" t="s">
        <v>906</v>
      </c>
      <c r="N11779" s="598">
        <v>8102712</v>
      </c>
      <c r="R11779" s="548">
        <v>99.22910000009874</v>
      </c>
      <c r="S11779" s="548">
        <v>99.405265635752599</v>
      </c>
      <c r="T11779" s="549">
        <v>16.2</v>
      </c>
      <c r="U11779" s="549">
        <v>4824.1499999999996</v>
      </c>
      <c r="V11779" s="549">
        <v>2412.0700000000002</v>
      </c>
      <c r="Z11779" s="548" t="s">
        <v>2953</v>
      </c>
    </row>
    <row r="11780" spans="1:26">
      <c r="A11780" s="499">
        <v>45898</v>
      </c>
      <c r="B11780" s="499">
        <v>45898</v>
      </c>
      <c r="C11780" s="500" t="s">
        <v>173</v>
      </c>
      <c r="D11780" s="500" t="s">
        <v>761</v>
      </c>
      <c r="E11780" s="501">
        <v>-347000180.44</v>
      </c>
      <c r="F11780" s="502" t="s">
        <v>878</v>
      </c>
      <c r="G11780" s="443">
        <v>118849018</v>
      </c>
      <c r="H11780" s="530"/>
      <c r="I11780" s="523" t="s">
        <v>811</v>
      </c>
      <c r="J11780" s="530" t="s">
        <v>906</v>
      </c>
      <c r="N11780" s="598">
        <v>337943300</v>
      </c>
      <c r="R11780" s="548">
        <v>1.0267999999999999</v>
      </c>
      <c r="S11780" s="548">
        <v>1.0285722849365599</v>
      </c>
      <c r="T11780" s="549">
        <v>15.75</v>
      </c>
      <c r="U11780" s="549">
        <v>2082</v>
      </c>
      <c r="V11780" s="549">
        <v>1041</v>
      </c>
      <c r="Z11780" s="548" t="s">
        <v>2953</v>
      </c>
    </row>
    <row r="11781" spans="1:26">
      <c r="A11781" s="499">
        <v>45898</v>
      </c>
      <c r="B11781" s="499">
        <v>45898</v>
      </c>
      <c r="C11781" s="500" t="s">
        <v>173</v>
      </c>
      <c r="D11781" s="500" t="s">
        <v>761</v>
      </c>
      <c r="E11781" s="501">
        <v>-7000003.6399999997</v>
      </c>
      <c r="F11781" s="502" t="s">
        <v>878</v>
      </c>
      <c r="G11781" s="443">
        <v>118849045</v>
      </c>
      <c r="H11781" s="530"/>
      <c r="I11781" s="523" t="s">
        <v>811</v>
      </c>
      <c r="J11781" s="530" t="s">
        <v>906</v>
      </c>
      <c r="N11781" s="598">
        <v>6817300</v>
      </c>
      <c r="R11781" s="548">
        <v>1.0267999999999999</v>
      </c>
      <c r="S11781" s="548">
        <v>1.0285722852155501</v>
      </c>
      <c r="T11781" s="549">
        <v>15.75</v>
      </c>
      <c r="U11781" s="549">
        <v>42</v>
      </c>
      <c r="V11781" s="549">
        <v>21</v>
      </c>
      <c r="Z11781" s="548" t="s">
        <v>2953</v>
      </c>
    </row>
    <row r="11782" spans="1:26">
      <c r="A11782" s="499">
        <v>45898</v>
      </c>
      <c r="B11782" s="499">
        <v>45902</v>
      </c>
      <c r="C11782" s="500" t="s">
        <v>173</v>
      </c>
      <c r="D11782" s="500" t="s">
        <v>761</v>
      </c>
      <c r="E11782" s="501">
        <v>805452238.73000002</v>
      </c>
      <c r="F11782" s="502" t="s">
        <v>878</v>
      </c>
      <c r="G11782" s="443">
        <v>118844503</v>
      </c>
      <c r="H11782" s="443">
        <v>118844503</v>
      </c>
      <c r="I11782" s="523" t="s">
        <v>2956</v>
      </c>
      <c r="J11782" s="530" t="s">
        <v>912</v>
      </c>
      <c r="N11782" s="598">
        <v>8102712</v>
      </c>
      <c r="R11782" s="548">
        <v>99.22910000009874</v>
      </c>
      <c r="S11782" s="548">
        <v>99.405265635752599</v>
      </c>
      <c r="T11782" s="549">
        <v>16.2</v>
      </c>
      <c r="U11782" s="549">
        <v>4824.1499999999996</v>
      </c>
      <c r="V11782" s="549">
        <v>2412.0700000000002</v>
      </c>
      <c r="Z11782" s="548" t="s">
        <v>2953</v>
      </c>
    </row>
    <row r="11783" spans="1:26">
      <c r="A11783" s="499">
        <v>45898</v>
      </c>
      <c r="B11783" s="499">
        <v>45902</v>
      </c>
      <c r="C11783" s="500" t="s">
        <v>173</v>
      </c>
      <c r="D11783" s="500" t="s">
        <v>761</v>
      </c>
      <c r="E11783" s="501">
        <v>347599112.25999999</v>
      </c>
      <c r="F11783" s="502" t="s">
        <v>878</v>
      </c>
      <c r="G11783" s="443">
        <v>118849018</v>
      </c>
      <c r="H11783" s="443">
        <v>118849018</v>
      </c>
      <c r="I11783" s="523" t="s">
        <v>811</v>
      </c>
      <c r="J11783" s="530" t="s">
        <v>912</v>
      </c>
      <c r="N11783" s="598">
        <v>337943300</v>
      </c>
      <c r="R11783" s="548">
        <v>1.0267999999999999</v>
      </c>
      <c r="S11783" s="548">
        <v>1.0285722849365599</v>
      </c>
      <c r="T11783" s="549">
        <v>15.75</v>
      </c>
      <c r="U11783" s="549">
        <v>2082</v>
      </c>
      <c r="V11783" s="549">
        <v>1041</v>
      </c>
      <c r="Z11783" s="548" t="s">
        <v>2953</v>
      </c>
    </row>
    <row r="11784" spans="1:26">
      <c r="A11784" s="499">
        <v>45898</v>
      </c>
      <c r="B11784" s="499">
        <v>45902</v>
      </c>
      <c r="C11784" s="500" t="s">
        <v>173</v>
      </c>
      <c r="D11784" s="500" t="s">
        <v>761</v>
      </c>
      <c r="E11784" s="501">
        <v>7012085.8399999999</v>
      </c>
      <c r="F11784" s="502" t="s">
        <v>878</v>
      </c>
      <c r="G11784" s="443">
        <v>118849045</v>
      </c>
      <c r="H11784" s="443">
        <v>118849045</v>
      </c>
      <c r="I11784" s="523" t="s">
        <v>811</v>
      </c>
      <c r="J11784" s="530" t="s">
        <v>912</v>
      </c>
      <c r="N11784" s="598">
        <v>6817300</v>
      </c>
      <c r="R11784" s="548">
        <v>1.0267999999999999</v>
      </c>
      <c r="S11784" s="548">
        <v>1.0285722852155501</v>
      </c>
      <c r="T11784" s="549">
        <v>15.75</v>
      </c>
      <c r="U11784" s="549">
        <v>42</v>
      </c>
      <c r="V11784" s="549">
        <v>21</v>
      </c>
      <c r="Z11784" s="548" t="s">
        <v>2953</v>
      </c>
    </row>
    <row r="11785" spans="1:26">
      <c r="A11785" s="499">
        <v>45898</v>
      </c>
      <c r="B11785" s="499">
        <v>45898</v>
      </c>
      <c r="C11785" s="500" t="s">
        <v>173</v>
      </c>
      <c r="D11785" s="500" t="s">
        <v>760</v>
      </c>
      <c r="E11785" s="501">
        <v>-97063632.579999998</v>
      </c>
      <c r="F11785" s="502" t="s">
        <v>878</v>
      </c>
      <c r="G11785" s="443">
        <v>118844108</v>
      </c>
      <c r="H11785" s="530"/>
      <c r="I11785" s="523" t="s">
        <v>590</v>
      </c>
      <c r="J11785" s="530" t="s">
        <v>906</v>
      </c>
      <c r="N11785" s="598">
        <v>102238</v>
      </c>
      <c r="R11785" s="548">
        <v>949.38900000000001</v>
      </c>
      <c r="S11785" s="548">
        <v>951.05367162894402</v>
      </c>
      <c r="T11785" s="548">
        <v>15.9999</v>
      </c>
      <c r="U11785" s="549">
        <v>582.38</v>
      </c>
      <c r="V11785" s="549">
        <v>291.19</v>
      </c>
      <c r="Z11785" s="548" t="s">
        <v>2953</v>
      </c>
    </row>
    <row r="11786" spans="1:26">
      <c r="A11786" s="499">
        <v>45898</v>
      </c>
      <c r="B11786" s="499">
        <v>45898</v>
      </c>
      <c r="C11786" s="500" t="s">
        <v>173</v>
      </c>
      <c r="D11786" s="500" t="s">
        <v>760</v>
      </c>
      <c r="E11786" s="501">
        <v>-37024272.219999999</v>
      </c>
      <c r="F11786" s="502" t="s">
        <v>878</v>
      </c>
      <c r="G11786" s="443">
        <v>118844111</v>
      </c>
      <c r="H11786" s="530"/>
      <c r="I11786" s="523" t="s">
        <v>590</v>
      </c>
      <c r="J11786" s="530" t="s">
        <v>906</v>
      </c>
      <c r="N11786" s="598">
        <v>38998</v>
      </c>
      <c r="R11786" s="548">
        <v>949.38900000000001</v>
      </c>
      <c r="S11786" s="548">
        <v>951.05367172675506</v>
      </c>
      <c r="T11786" s="548">
        <v>15.9999</v>
      </c>
      <c r="U11786" s="549">
        <v>222.15</v>
      </c>
      <c r="V11786" s="549">
        <v>111.07</v>
      </c>
      <c r="Z11786" s="548" t="s">
        <v>2953</v>
      </c>
    </row>
    <row r="11787" spans="1:26">
      <c r="A11787" s="499">
        <v>45898</v>
      </c>
      <c r="B11787" s="499">
        <v>45898</v>
      </c>
      <c r="C11787" s="500" t="s">
        <v>173</v>
      </c>
      <c r="D11787" s="500" t="s">
        <v>760</v>
      </c>
      <c r="E11787" s="501">
        <v>-5003325.92</v>
      </c>
      <c r="F11787" s="502" t="s">
        <v>878</v>
      </c>
      <c r="G11787" s="443">
        <v>118844809</v>
      </c>
      <c r="H11787" s="530"/>
      <c r="I11787" s="523" t="s">
        <v>596</v>
      </c>
      <c r="J11787" s="530" t="s">
        <v>906</v>
      </c>
      <c r="N11787" s="598">
        <v>4640</v>
      </c>
      <c r="R11787" s="548">
        <v>1078.3030000000001</v>
      </c>
      <c r="S11787" s="548">
        <v>1080.2173448275901</v>
      </c>
      <c r="T11787" s="548">
        <v>16.1999</v>
      </c>
      <c r="U11787" s="549">
        <v>39.32</v>
      </c>
      <c r="V11787" s="549">
        <v>15.01</v>
      </c>
      <c r="Z11787" s="548" t="s">
        <v>2953</v>
      </c>
    </row>
    <row r="11788" spans="1:26">
      <c r="A11788" s="499">
        <v>45898</v>
      </c>
      <c r="B11788" s="499">
        <v>45898</v>
      </c>
      <c r="C11788" s="500" t="s">
        <v>173</v>
      </c>
      <c r="D11788" s="500" t="s">
        <v>760</v>
      </c>
      <c r="E11788" s="501">
        <v>-36030054.200000003</v>
      </c>
      <c r="F11788" s="502" t="s">
        <v>878</v>
      </c>
      <c r="G11788" s="443">
        <v>118844061</v>
      </c>
      <c r="H11788" s="530"/>
      <c r="I11788" s="523" t="s">
        <v>823</v>
      </c>
      <c r="J11788" s="530" t="s">
        <v>906</v>
      </c>
      <c r="N11788" s="598">
        <v>35316</v>
      </c>
      <c r="R11788" s="548">
        <v>1020.2190000000001</v>
      </c>
      <c r="S11788" s="548">
        <v>1022.00786583985</v>
      </c>
      <c r="T11788" s="548">
        <v>15.9999</v>
      </c>
      <c r="U11788" s="549">
        <v>216.18</v>
      </c>
      <c r="V11788" s="549">
        <v>108.09</v>
      </c>
      <c r="Z11788" s="548" t="s">
        <v>2953</v>
      </c>
    </row>
    <row r="11789" spans="1:26">
      <c r="A11789" s="499">
        <v>45898</v>
      </c>
      <c r="B11789" s="499">
        <v>45898</v>
      </c>
      <c r="C11789" s="500" t="s">
        <v>173</v>
      </c>
      <c r="D11789" s="500" t="s">
        <v>760</v>
      </c>
      <c r="E11789" s="501">
        <v>-518140265.07999998</v>
      </c>
      <c r="F11789" s="502" t="s">
        <v>878</v>
      </c>
      <c r="G11789" s="443">
        <v>118844117</v>
      </c>
      <c r="H11789" s="530"/>
      <c r="I11789" s="523" t="s">
        <v>604</v>
      </c>
      <c r="J11789" s="530" t="s">
        <v>906</v>
      </c>
      <c r="N11789" s="598">
        <v>500388</v>
      </c>
      <c r="R11789" s="548">
        <v>1035.4770000000001</v>
      </c>
      <c r="S11789" s="548">
        <v>1037.2926195672201</v>
      </c>
      <c r="T11789" s="548">
        <v>15.9999</v>
      </c>
      <c r="U11789" s="549">
        <v>3108.84</v>
      </c>
      <c r="V11789" s="549">
        <v>1554.42</v>
      </c>
      <c r="Z11789" s="548" t="s">
        <v>2953</v>
      </c>
    </row>
    <row r="11790" spans="1:26">
      <c r="A11790" s="499">
        <v>45898</v>
      </c>
      <c r="B11790" s="499">
        <v>45898</v>
      </c>
      <c r="C11790" s="500" t="s">
        <v>173</v>
      </c>
      <c r="D11790" s="500" t="s">
        <v>760</v>
      </c>
      <c r="E11790" s="501">
        <v>-47011806.399999999</v>
      </c>
      <c r="F11790" s="502" t="s">
        <v>878</v>
      </c>
      <c r="G11790" s="443">
        <v>118844995</v>
      </c>
      <c r="H11790" s="530"/>
      <c r="I11790" s="523" t="s">
        <v>631</v>
      </c>
      <c r="J11790" s="530" t="s">
        <v>906</v>
      </c>
      <c r="N11790" s="598">
        <v>94000</v>
      </c>
      <c r="R11790" s="548">
        <v>500.12560000000002</v>
      </c>
      <c r="S11790" s="548">
        <v>500.997046276596</v>
      </c>
      <c r="T11790" s="548">
        <v>15.899900000000001</v>
      </c>
      <c r="U11790" s="549">
        <v>282.07</v>
      </c>
      <c r="V11790" s="549">
        <v>141.04</v>
      </c>
      <c r="Z11790" s="548" t="s">
        <v>2953</v>
      </c>
    </row>
    <row r="11791" spans="1:26">
      <c r="A11791" s="499">
        <v>45898</v>
      </c>
      <c r="B11791" s="499">
        <v>45898</v>
      </c>
      <c r="C11791" s="500" t="s">
        <v>173</v>
      </c>
      <c r="D11791" s="500" t="s">
        <v>760</v>
      </c>
      <c r="E11791" s="501">
        <v>-19008923.23</v>
      </c>
      <c r="F11791" s="502" t="s">
        <v>878</v>
      </c>
      <c r="G11791" s="443">
        <v>118844089</v>
      </c>
      <c r="H11791" s="530"/>
      <c r="I11791" s="523" t="s">
        <v>833</v>
      </c>
      <c r="J11791" s="530" t="s">
        <v>906</v>
      </c>
      <c r="N11791" s="598">
        <v>30229</v>
      </c>
      <c r="R11791" s="548">
        <v>628.83069999999998</v>
      </c>
      <c r="S11791" s="548">
        <v>629.93330047305597</v>
      </c>
      <c r="T11791" s="548">
        <v>15.9999</v>
      </c>
      <c r="U11791" s="549">
        <v>114.05</v>
      </c>
      <c r="V11791" s="549">
        <v>57.03</v>
      </c>
      <c r="Z11791" s="548" t="s">
        <v>2953</v>
      </c>
    </row>
    <row r="11792" spans="1:26">
      <c r="A11792" s="499">
        <v>45898</v>
      </c>
      <c r="B11792" s="499">
        <v>45898</v>
      </c>
      <c r="C11792" s="500" t="s">
        <v>173</v>
      </c>
      <c r="D11792" s="500" t="s">
        <v>760</v>
      </c>
      <c r="E11792" s="501">
        <v>-125058705.45999999</v>
      </c>
      <c r="F11792" s="502" t="s">
        <v>878</v>
      </c>
      <c r="G11792" s="443">
        <v>118844092</v>
      </c>
      <c r="H11792" s="530"/>
      <c r="I11792" s="523" t="s">
        <v>833</v>
      </c>
      <c r="J11792" s="530" t="s">
        <v>906</v>
      </c>
      <c r="N11792" s="598">
        <v>198875</v>
      </c>
      <c r="R11792" s="548">
        <v>628.83069999999998</v>
      </c>
      <c r="S11792" s="548">
        <v>629.93330036455097</v>
      </c>
      <c r="T11792" s="548">
        <v>15.9999</v>
      </c>
      <c r="U11792" s="549">
        <v>750.35</v>
      </c>
      <c r="V11792" s="549">
        <v>375.18</v>
      </c>
      <c r="Z11792" s="548" t="s">
        <v>2953</v>
      </c>
    </row>
    <row r="11793" spans="1:26">
      <c r="A11793" s="499">
        <v>45898</v>
      </c>
      <c r="B11793" s="499">
        <v>45898</v>
      </c>
      <c r="C11793" s="500" t="s">
        <v>173</v>
      </c>
      <c r="D11793" s="500" t="s">
        <v>760</v>
      </c>
      <c r="E11793" s="501">
        <v>-200093928.74000001</v>
      </c>
      <c r="F11793" s="502" t="s">
        <v>878</v>
      </c>
      <c r="G11793" s="443">
        <v>118844095</v>
      </c>
      <c r="H11793" s="530"/>
      <c r="I11793" s="523" t="s">
        <v>833</v>
      </c>
      <c r="J11793" s="530" t="s">
        <v>906</v>
      </c>
      <c r="N11793" s="598">
        <v>318200</v>
      </c>
      <c r="R11793" s="548">
        <v>628.83069999999998</v>
      </c>
      <c r="S11793" s="548">
        <v>629.93330037712099</v>
      </c>
      <c r="T11793" s="548">
        <v>15.9999</v>
      </c>
      <c r="U11793" s="549">
        <v>1200.56</v>
      </c>
      <c r="V11793" s="549">
        <v>600.28</v>
      </c>
      <c r="Z11793" s="548" t="s">
        <v>2953</v>
      </c>
    </row>
    <row r="11794" spans="1:26">
      <c r="A11794" s="499">
        <v>45898</v>
      </c>
      <c r="B11794" s="499">
        <v>45898</v>
      </c>
      <c r="C11794" s="500" t="s">
        <v>173</v>
      </c>
      <c r="D11794" s="500" t="s">
        <v>760</v>
      </c>
      <c r="E11794" s="501">
        <v>-33012405.66</v>
      </c>
      <c r="F11794" s="502" t="s">
        <v>878</v>
      </c>
      <c r="G11794" s="443">
        <v>118844989</v>
      </c>
      <c r="H11794" s="530"/>
      <c r="I11794" s="523" t="s">
        <v>1013</v>
      </c>
      <c r="J11794" s="530" t="s">
        <v>906</v>
      </c>
      <c r="N11794" s="598">
        <v>61545</v>
      </c>
      <c r="R11794" s="548">
        <v>536.39459999999997</v>
      </c>
      <c r="S11794" s="548">
        <v>537.32924331789798</v>
      </c>
      <c r="T11794" s="548">
        <v>15.899900000000001</v>
      </c>
      <c r="U11794" s="549">
        <v>198.07</v>
      </c>
      <c r="V11794" s="549">
        <v>99.04</v>
      </c>
      <c r="Z11794" s="548" t="s">
        <v>2953</v>
      </c>
    </row>
    <row r="11795" spans="1:26">
      <c r="A11795" s="499">
        <v>45898</v>
      </c>
      <c r="B11795" s="499">
        <v>45898</v>
      </c>
      <c r="C11795" s="500" t="s">
        <v>173</v>
      </c>
      <c r="D11795" s="500" t="s">
        <v>760</v>
      </c>
      <c r="E11795" s="501">
        <v>-77028946.530000001</v>
      </c>
      <c r="F11795" s="502" t="s">
        <v>878</v>
      </c>
      <c r="G11795" s="443">
        <v>118845000</v>
      </c>
      <c r="H11795" s="530"/>
      <c r="I11795" s="523" t="s">
        <v>1013</v>
      </c>
      <c r="J11795" s="530" t="s">
        <v>906</v>
      </c>
      <c r="N11795" s="598">
        <v>143605</v>
      </c>
      <c r="R11795" s="548">
        <v>536.39459999999997</v>
      </c>
      <c r="S11795" s="548">
        <v>537.32924334110896</v>
      </c>
      <c r="T11795" s="548">
        <v>15.899900000000001</v>
      </c>
      <c r="U11795" s="549">
        <v>462.17</v>
      </c>
      <c r="V11795" s="549">
        <v>231.09</v>
      </c>
      <c r="Z11795" s="548" t="s">
        <v>2953</v>
      </c>
    </row>
    <row r="11796" spans="1:26">
      <c r="A11796" s="499">
        <v>45898</v>
      </c>
      <c r="B11796" s="499">
        <v>45898</v>
      </c>
      <c r="C11796" s="500" t="s">
        <v>173</v>
      </c>
      <c r="D11796" s="500" t="s">
        <v>760</v>
      </c>
      <c r="E11796" s="501">
        <v>-16005747.01</v>
      </c>
      <c r="F11796" s="502" t="s">
        <v>878</v>
      </c>
      <c r="G11796" s="443">
        <v>118844101</v>
      </c>
      <c r="H11796" s="530"/>
      <c r="I11796" s="523" t="s">
        <v>656</v>
      </c>
      <c r="J11796" s="530" t="s">
        <v>906</v>
      </c>
      <c r="N11796" s="598">
        <v>15424</v>
      </c>
      <c r="R11796" s="548">
        <v>1037.7170000000001</v>
      </c>
      <c r="S11796" s="548">
        <v>1039.5365475881699</v>
      </c>
      <c r="T11796" s="548">
        <v>15.9999</v>
      </c>
      <c r="U11796" s="549">
        <v>96.03</v>
      </c>
      <c r="V11796" s="549">
        <v>48.02</v>
      </c>
      <c r="Z11796" s="548" t="s">
        <v>2953</v>
      </c>
    </row>
    <row r="11797" spans="1:26">
      <c r="A11797" s="499">
        <v>45898</v>
      </c>
      <c r="B11797" s="499">
        <v>45898</v>
      </c>
      <c r="C11797" s="500" t="s">
        <v>173</v>
      </c>
      <c r="D11797" s="500" t="s">
        <v>760</v>
      </c>
      <c r="E11797" s="501">
        <v>-31011134.829999998</v>
      </c>
      <c r="F11797" s="502" t="s">
        <v>878</v>
      </c>
      <c r="G11797" s="443">
        <v>118844104</v>
      </c>
      <c r="H11797" s="530"/>
      <c r="I11797" s="523" t="s">
        <v>656</v>
      </c>
      <c r="J11797" s="530" t="s">
        <v>906</v>
      </c>
      <c r="N11797" s="598">
        <v>29884</v>
      </c>
      <c r="R11797" s="548">
        <v>1037.7170000000001</v>
      </c>
      <c r="S11797" s="548">
        <v>1039.5365473162899</v>
      </c>
      <c r="T11797" s="548">
        <v>15.9999</v>
      </c>
      <c r="U11797" s="549">
        <v>186.07</v>
      </c>
      <c r="V11797" s="549">
        <v>93.03</v>
      </c>
      <c r="Z11797" s="548" t="s">
        <v>2953</v>
      </c>
    </row>
    <row r="11798" spans="1:26">
      <c r="A11798" s="499">
        <v>45898</v>
      </c>
      <c r="B11798" s="499">
        <v>45898</v>
      </c>
      <c r="C11798" s="500" t="s">
        <v>173</v>
      </c>
      <c r="D11798" s="500" t="s">
        <v>760</v>
      </c>
      <c r="E11798" s="501">
        <v>-20016130.48</v>
      </c>
      <c r="F11798" s="502" t="s">
        <v>878</v>
      </c>
      <c r="G11798" s="443">
        <v>118844979</v>
      </c>
      <c r="H11798" s="530"/>
      <c r="I11798" s="523" t="s">
        <v>657</v>
      </c>
      <c r="J11798" s="530" t="s">
        <v>906</v>
      </c>
      <c r="N11798" s="598">
        <v>20920</v>
      </c>
      <c r="R11798" s="548">
        <v>956.79399999999998</v>
      </c>
      <c r="S11798" s="548">
        <v>958.46117017208405</v>
      </c>
      <c r="T11798" s="548">
        <v>15.899900000000001</v>
      </c>
      <c r="U11798" s="549">
        <v>120.1</v>
      </c>
      <c r="V11798" s="549">
        <v>60.05</v>
      </c>
      <c r="Z11798" s="548" t="s">
        <v>2953</v>
      </c>
    </row>
    <row r="11799" spans="1:26">
      <c r="A11799" s="499">
        <v>45898</v>
      </c>
      <c r="B11799" s="499">
        <v>45898</v>
      </c>
      <c r="C11799" s="500" t="s">
        <v>173</v>
      </c>
      <c r="D11799" s="500" t="s">
        <v>760</v>
      </c>
      <c r="E11799" s="501">
        <v>-91050528.109999999</v>
      </c>
      <c r="F11799" s="502" t="s">
        <v>878</v>
      </c>
      <c r="G11799" s="443">
        <v>118844098</v>
      </c>
      <c r="H11799" s="530"/>
      <c r="I11799" s="523" t="s">
        <v>658</v>
      </c>
      <c r="J11799" s="530" t="s">
        <v>906</v>
      </c>
      <c r="N11799" s="598">
        <v>89271</v>
      </c>
      <c r="R11799" s="548">
        <v>1019.934</v>
      </c>
      <c r="S11799" s="548">
        <v>1021.72236616594</v>
      </c>
      <c r="T11799" s="548">
        <v>15.9999</v>
      </c>
      <c r="U11799" s="549">
        <v>546.29999999999995</v>
      </c>
      <c r="V11799" s="549">
        <v>273.14999999999998</v>
      </c>
      <c r="Z11799" s="548" t="s">
        <v>2953</v>
      </c>
    </row>
    <row r="11800" spans="1:26">
      <c r="A11800" s="499">
        <v>45898</v>
      </c>
      <c r="B11800" s="499">
        <v>45898</v>
      </c>
      <c r="C11800" s="500" t="s">
        <v>173</v>
      </c>
      <c r="D11800" s="500" t="s">
        <v>760</v>
      </c>
      <c r="E11800" s="501">
        <v>-130033264.40000001</v>
      </c>
      <c r="F11800" s="502" t="s">
        <v>878</v>
      </c>
      <c r="G11800" s="443">
        <v>118844114</v>
      </c>
      <c r="H11800" s="530"/>
      <c r="I11800" s="523" t="s">
        <v>687</v>
      </c>
      <c r="J11800" s="530" t="s">
        <v>906</v>
      </c>
      <c r="N11800" s="598">
        <v>158860</v>
      </c>
      <c r="R11800" s="548">
        <v>818.54</v>
      </c>
      <c r="S11800" s="548">
        <v>819.97523926727899</v>
      </c>
      <c r="T11800" s="548">
        <v>15.9999</v>
      </c>
      <c r="U11800" s="549">
        <v>780.2</v>
      </c>
      <c r="V11800" s="549">
        <v>390.1</v>
      </c>
      <c r="Z11800" s="548" t="s">
        <v>2953</v>
      </c>
    </row>
    <row r="11801" spans="1:26">
      <c r="A11801" s="499">
        <v>45898</v>
      </c>
      <c r="B11801" s="499">
        <v>45898</v>
      </c>
      <c r="C11801" s="500" t="s">
        <v>173</v>
      </c>
      <c r="D11801" s="500" t="s">
        <v>760</v>
      </c>
      <c r="E11801" s="501">
        <v>-213031374.05000001</v>
      </c>
      <c r="F11801" s="502" t="s">
        <v>878</v>
      </c>
      <c r="G11801" s="443">
        <v>118845149</v>
      </c>
      <c r="H11801" s="530"/>
      <c r="I11801" s="523" t="s">
        <v>712</v>
      </c>
      <c r="J11801" s="530" t="s">
        <v>906</v>
      </c>
      <c r="N11801" s="598">
        <v>252192</v>
      </c>
      <c r="R11801" s="548">
        <v>844.71900000000005</v>
      </c>
      <c r="S11801" s="548">
        <v>846.19088468309894</v>
      </c>
      <c r="T11801" s="548">
        <v>15.899900000000001</v>
      </c>
      <c r="U11801" s="549">
        <v>1278.19</v>
      </c>
      <c r="V11801" s="549">
        <v>639.09</v>
      </c>
      <c r="Z11801" s="548" t="s">
        <v>2953</v>
      </c>
    </row>
    <row r="11802" spans="1:26">
      <c r="A11802" s="499">
        <v>45898</v>
      </c>
      <c r="B11802" s="499">
        <v>45898</v>
      </c>
      <c r="C11802" s="500" t="s">
        <v>173</v>
      </c>
      <c r="D11802" s="500" t="s">
        <v>760</v>
      </c>
      <c r="E11802" s="501">
        <v>-22002593.710000001</v>
      </c>
      <c r="F11802" s="502" t="s">
        <v>878</v>
      </c>
      <c r="G11802" s="443">
        <v>118844972</v>
      </c>
      <c r="H11802" s="530"/>
      <c r="I11802" s="523" t="s">
        <v>715</v>
      </c>
      <c r="J11802" s="530" t="s">
        <v>906</v>
      </c>
      <c r="N11802" s="598">
        <v>36366</v>
      </c>
      <c r="R11802" s="548">
        <v>605.03200000000004</v>
      </c>
      <c r="S11802" s="548">
        <v>606.08624071935299</v>
      </c>
      <c r="T11802" s="548">
        <v>15.899900000000001</v>
      </c>
      <c r="U11802" s="549">
        <v>132.02000000000001</v>
      </c>
      <c r="V11802" s="549">
        <v>66.010000000000005</v>
      </c>
      <c r="Z11802" s="548" t="s">
        <v>2953</v>
      </c>
    </row>
    <row r="11803" spans="1:26">
      <c r="A11803" s="499">
        <v>45898</v>
      </c>
      <c r="B11803" s="499">
        <v>45902</v>
      </c>
      <c r="C11803" s="500" t="s">
        <v>173</v>
      </c>
      <c r="D11803" s="500" t="s">
        <v>760</v>
      </c>
      <c r="E11803" s="501">
        <v>97233825.280000001</v>
      </c>
      <c r="F11803" s="502" t="s">
        <v>878</v>
      </c>
      <c r="G11803" s="443">
        <v>118844108</v>
      </c>
      <c r="H11803" s="443">
        <v>118844108</v>
      </c>
      <c r="I11803" s="523" t="s">
        <v>590</v>
      </c>
      <c r="J11803" s="530" t="s">
        <v>912</v>
      </c>
      <c r="N11803" s="598">
        <v>102238</v>
      </c>
      <c r="R11803" s="548">
        <v>949.38900000000001</v>
      </c>
      <c r="S11803" s="548">
        <v>951.05367162894402</v>
      </c>
      <c r="T11803" s="548">
        <v>15.9999</v>
      </c>
      <c r="U11803" s="549">
        <v>582.38</v>
      </c>
      <c r="V11803" s="549">
        <v>291.19</v>
      </c>
      <c r="Z11803" s="548" t="s">
        <v>2953</v>
      </c>
    </row>
    <row r="11804" spans="1:26">
      <c r="A11804" s="499">
        <v>45898</v>
      </c>
      <c r="B11804" s="499">
        <v>45902</v>
      </c>
      <c r="C11804" s="500" t="s">
        <v>173</v>
      </c>
      <c r="D11804" s="500" t="s">
        <v>760</v>
      </c>
      <c r="E11804" s="501">
        <v>37089191.090000004</v>
      </c>
      <c r="F11804" s="502" t="s">
        <v>878</v>
      </c>
      <c r="G11804" s="443">
        <v>118844111</v>
      </c>
      <c r="H11804" s="443">
        <v>118844111</v>
      </c>
      <c r="I11804" s="523" t="s">
        <v>590</v>
      </c>
      <c r="J11804" s="530" t="s">
        <v>912</v>
      </c>
      <c r="N11804" s="598">
        <v>38998</v>
      </c>
      <c r="R11804" s="548">
        <v>949.38900000000001</v>
      </c>
      <c r="S11804" s="548">
        <v>951.05367172675506</v>
      </c>
      <c r="T11804" s="548">
        <v>15.9999</v>
      </c>
      <c r="U11804" s="549">
        <v>222.15</v>
      </c>
      <c r="V11804" s="549">
        <v>111.07</v>
      </c>
      <c r="Z11804" s="548" t="s">
        <v>2953</v>
      </c>
    </row>
    <row r="11805" spans="1:26">
      <c r="A11805" s="499">
        <v>45898</v>
      </c>
      <c r="B11805" s="499">
        <v>45902</v>
      </c>
      <c r="C11805" s="500" t="s">
        <v>173</v>
      </c>
      <c r="D11805" s="500" t="s">
        <v>760</v>
      </c>
      <c r="E11805" s="501">
        <v>5012208.4800000004</v>
      </c>
      <c r="F11805" s="502" t="s">
        <v>878</v>
      </c>
      <c r="G11805" s="443">
        <v>118844809</v>
      </c>
      <c r="H11805" s="443">
        <v>118844809</v>
      </c>
      <c r="I11805" s="523" t="s">
        <v>596</v>
      </c>
      <c r="J11805" s="530" t="s">
        <v>912</v>
      </c>
      <c r="N11805" s="598">
        <v>4640</v>
      </c>
      <c r="R11805" s="548">
        <v>1078.3030000000001</v>
      </c>
      <c r="S11805" s="548">
        <v>1080.2173448275901</v>
      </c>
      <c r="T11805" s="548">
        <v>16.1999</v>
      </c>
      <c r="U11805" s="549">
        <v>39.32</v>
      </c>
      <c r="V11805" s="549">
        <v>15.01</v>
      </c>
      <c r="Z11805" s="548" t="s">
        <v>2953</v>
      </c>
    </row>
    <row r="11806" spans="1:26">
      <c r="A11806" s="499">
        <v>45898</v>
      </c>
      <c r="B11806" s="499">
        <v>45902</v>
      </c>
      <c r="C11806" s="500" t="s">
        <v>173</v>
      </c>
      <c r="D11806" s="500" t="s">
        <v>760</v>
      </c>
      <c r="E11806" s="501">
        <v>36093229.789999999</v>
      </c>
      <c r="F11806" s="502" t="s">
        <v>878</v>
      </c>
      <c r="G11806" s="443">
        <v>118844061</v>
      </c>
      <c r="H11806" s="443">
        <v>118844061</v>
      </c>
      <c r="I11806" s="523" t="s">
        <v>823</v>
      </c>
      <c r="J11806" s="530" t="s">
        <v>912</v>
      </c>
      <c r="N11806" s="598">
        <v>35316</v>
      </c>
      <c r="R11806" s="548">
        <v>1020.2190000000001</v>
      </c>
      <c r="S11806" s="548">
        <v>1022.00786583985</v>
      </c>
      <c r="T11806" s="548">
        <v>15.9999</v>
      </c>
      <c r="U11806" s="549">
        <v>216.18</v>
      </c>
      <c r="V11806" s="549">
        <v>108.09</v>
      </c>
      <c r="Z11806" s="548" t="s">
        <v>2953</v>
      </c>
    </row>
    <row r="11807" spans="1:26">
      <c r="A11807" s="499">
        <v>45898</v>
      </c>
      <c r="B11807" s="499">
        <v>45902</v>
      </c>
      <c r="C11807" s="500" t="s">
        <v>173</v>
      </c>
      <c r="D11807" s="500" t="s">
        <v>760</v>
      </c>
      <c r="E11807" s="501">
        <v>519048779.31999999</v>
      </c>
      <c r="F11807" s="502" t="s">
        <v>878</v>
      </c>
      <c r="G11807" s="443">
        <v>118844117</v>
      </c>
      <c r="H11807" s="443">
        <v>118844117</v>
      </c>
      <c r="I11807" s="523" t="s">
        <v>604</v>
      </c>
      <c r="J11807" s="530" t="s">
        <v>912</v>
      </c>
      <c r="N11807" s="598">
        <v>500388</v>
      </c>
      <c r="R11807" s="548">
        <v>1035.4770000000001</v>
      </c>
      <c r="S11807" s="548">
        <v>1037.2926195672201</v>
      </c>
      <c r="T11807" s="548">
        <v>15.9999</v>
      </c>
      <c r="U11807" s="549">
        <v>3108.84</v>
      </c>
      <c r="V11807" s="549">
        <v>1554.42</v>
      </c>
      <c r="Z11807" s="548" t="s">
        <v>2953</v>
      </c>
    </row>
    <row r="11808" spans="1:26">
      <c r="A11808" s="499">
        <v>45898</v>
      </c>
      <c r="B11808" s="499">
        <v>45902</v>
      </c>
      <c r="C11808" s="500" t="s">
        <v>173</v>
      </c>
      <c r="D11808" s="500" t="s">
        <v>760</v>
      </c>
      <c r="E11808" s="501">
        <v>47093722.350000001</v>
      </c>
      <c r="F11808" s="502" t="s">
        <v>878</v>
      </c>
      <c r="G11808" s="443">
        <v>118844995</v>
      </c>
      <c r="H11808" s="443">
        <v>118844995</v>
      </c>
      <c r="I11808" s="523" t="s">
        <v>631</v>
      </c>
      <c r="J11808" s="530" t="s">
        <v>912</v>
      </c>
      <c r="N11808" s="598">
        <v>94000</v>
      </c>
      <c r="R11808" s="548">
        <v>500.12560000000002</v>
      </c>
      <c r="S11808" s="548">
        <v>500.997046276596</v>
      </c>
      <c r="T11808" s="548">
        <v>15.899900000000001</v>
      </c>
      <c r="U11808" s="549">
        <v>282.07</v>
      </c>
      <c r="V11808" s="549">
        <v>141.04</v>
      </c>
      <c r="Z11808" s="548" t="s">
        <v>2953</v>
      </c>
    </row>
    <row r="11809" spans="1:26">
      <c r="A11809" s="499">
        <v>45898</v>
      </c>
      <c r="B11809" s="499">
        <v>45902</v>
      </c>
      <c r="C11809" s="500" t="s">
        <v>173</v>
      </c>
      <c r="D11809" s="500" t="s">
        <v>760</v>
      </c>
      <c r="E11809" s="501">
        <v>19042253.739999998</v>
      </c>
      <c r="F11809" s="502" t="s">
        <v>878</v>
      </c>
      <c r="G11809" s="443">
        <v>118844089</v>
      </c>
      <c r="H11809" s="443">
        <v>118844089</v>
      </c>
      <c r="I11809" s="523" t="s">
        <v>833</v>
      </c>
      <c r="J11809" s="530" t="s">
        <v>912</v>
      </c>
      <c r="N11809" s="598">
        <v>30229</v>
      </c>
      <c r="R11809" s="548">
        <v>628.83069999999998</v>
      </c>
      <c r="S11809" s="548">
        <v>629.93330047305597</v>
      </c>
      <c r="T11809" s="548">
        <v>15.9999</v>
      </c>
      <c r="U11809" s="549">
        <v>114.05</v>
      </c>
      <c r="V11809" s="549">
        <v>57.03</v>
      </c>
      <c r="Z11809" s="548" t="s">
        <v>2953</v>
      </c>
    </row>
    <row r="11810" spans="1:26">
      <c r="A11810" s="499">
        <v>45898</v>
      </c>
      <c r="B11810" s="499">
        <v>45902</v>
      </c>
      <c r="C11810" s="500" t="s">
        <v>173</v>
      </c>
      <c r="D11810" s="500" t="s">
        <v>760</v>
      </c>
      <c r="E11810" s="501">
        <v>125277985.11</v>
      </c>
      <c r="F11810" s="502" t="s">
        <v>878</v>
      </c>
      <c r="G11810" s="443">
        <v>118844092</v>
      </c>
      <c r="H11810" s="443">
        <v>118844092</v>
      </c>
      <c r="I11810" s="523" t="s">
        <v>833</v>
      </c>
      <c r="J11810" s="530" t="s">
        <v>912</v>
      </c>
      <c r="N11810" s="598">
        <v>198875</v>
      </c>
      <c r="R11810" s="548">
        <v>628.83069999999998</v>
      </c>
      <c r="S11810" s="548">
        <v>629.93330036455097</v>
      </c>
      <c r="T11810" s="548">
        <v>15.9999</v>
      </c>
      <c r="U11810" s="549">
        <v>750.35</v>
      </c>
      <c r="V11810" s="549">
        <v>375.18</v>
      </c>
      <c r="Z11810" s="548" t="s">
        <v>2953</v>
      </c>
    </row>
    <row r="11811" spans="1:26">
      <c r="A11811" s="499">
        <v>45898</v>
      </c>
      <c r="B11811" s="499">
        <v>45902</v>
      </c>
      <c r="C11811" s="500" t="s">
        <v>173</v>
      </c>
      <c r="D11811" s="500" t="s">
        <v>760</v>
      </c>
      <c r="E11811" s="501">
        <v>200444776.18000001</v>
      </c>
      <c r="F11811" s="502" t="s">
        <v>878</v>
      </c>
      <c r="G11811" s="443">
        <v>118844095</v>
      </c>
      <c r="H11811" s="443">
        <v>118844095</v>
      </c>
      <c r="I11811" s="523" t="s">
        <v>833</v>
      </c>
      <c r="J11811" s="530" t="s">
        <v>912</v>
      </c>
      <c r="N11811" s="598">
        <v>318200</v>
      </c>
      <c r="R11811" s="548">
        <v>628.83069999999998</v>
      </c>
      <c r="S11811" s="548">
        <v>629.93330037712099</v>
      </c>
      <c r="T11811" s="548">
        <v>15.9999</v>
      </c>
      <c r="U11811" s="549">
        <v>1200.56</v>
      </c>
      <c r="V11811" s="549">
        <v>600.28</v>
      </c>
      <c r="Z11811" s="548" t="s">
        <v>2953</v>
      </c>
    </row>
    <row r="11812" spans="1:26">
      <c r="A11812" s="499">
        <v>45898</v>
      </c>
      <c r="B11812" s="499">
        <v>45902</v>
      </c>
      <c r="C11812" s="500" t="s">
        <v>173</v>
      </c>
      <c r="D11812" s="500" t="s">
        <v>760</v>
      </c>
      <c r="E11812" s="501">
        <v>33069928.280000001</v>
      </c>
      <c r="F11812" s="502" t="s">
        <v>878</v>
      </c>
      <c r="G11812" s="443">
        <v>118844989</v>
      </c>
      <c r="H11812" s="443">
        <v>118844989</v>
      </c>
      <c r="I11812" s="523" t="s">
        <v>1013</v>
      </c>
      <c r="J11812" s="530" t="s">
        <v>912</v>
      </c>
      <c r="N11812" s="598">
        <v>61545</v>
      </c>
      <c r="R11812" s="548">
        <v>536.39459999999997</v>
      </c>
      <c r="S11812" s="548">
        <v>537.32924331789798</v>
      </c>
      <c r="T11812" s="548">
        <v>15.899900000000001</v>
      </c>
      <c r="U11812" s="549">
        <v>198.07</v>
      </c>
      <c r="V11812" s="549">
        <v>99.04</v>
      </c>
      <c r="Z11812" s="548" t="s">
        <v>2953</v>
      </c>
    </row>
    <row r="11813" spans="1:26">
      <c r="A11813" s="499">
        <v>45898</v>
      </c>
      <c r="B11813" s="499">
        <v>45902</v>
      </c>
      <c r="C11813" s="500" t="s">
        <v>173</v>
      </c>
      <c r="D11813" s="500" t="s">
        <v>760</v>
      </c>
      <c r="E11813" s="501">
        <v>77163165.989999995</v>
      </c>
      <c r="F11813" s="502" t="s">
        <v>878</v>
      </c>
      <c r="G11813" s="443">
        <v>118845000</v>
      </c>
      <c r="H11813" s="443">
        <v>118845000</v>
      </c>
      <c r="I11813" s="523" t="s">
        <v>1013</v>
      </c>
      <c r="J11813" s="530" t="s">
        <v>912</v>
      </c>
      <c r="N11813" s="598">
        <v>143605</v>
      </c>
      <c r="R11813" s="548">
        <v>536.39459999999997</v>
      </c>
      <c r="S11813" s="548">
        <v>537.32924334110896</v>
      </c>
      <c r="T11813" s="548">
        <v>15.899900000000001</v>
      </c>
      <c r="U11813" s="549">
        <v>462.17</v>
      </c>
      <c r="V11813" s="549">
        <v>231.09</v>
      </c>
      <c r="Z11813" s="548" t="s">
        <v>2953</v>
      </c>
    </row>
    <row r="11814" spans="1:26">
      <c r="A11814" s="499">
        <v>45898</v>
      </c>
      <c r="B11814" s="499">
        <v>45902</v>
      </c>
      <c r="C11814" s="500" t="s">
        <v>173</v>
      </c>
      <c r="D11814" s="500" t="s">
        <v>760</v>
      </c>
      <c r="E11814" s="501">
        <v>16033811.710000001</v>
      </c>
      <c r="F11814" s="502" t="s">
        <v>878</v>
      </c>
      <c r="G11814" s="443">
        <v>118844101</v>
      </c>
      <c r="H11814" s="443">
        <v>118844101</v>
      </c>
      <c r="I11814" s="523" t="s">
        <v>656</v>
      </c>
      <c r="J11814" s="530" t="s">
        <v>912</v>
      </c>
      <c r="N11814" s="598">
        <v>15424</v>
      </c>
      <c r="R11814" s="548">
        <v>1037.7170000000001</v>
      </c>
      <c r="S11814" s="548">
        <v>1039.5365475881699</v>
      </c>
      <c r="T11814" s="548">
        <v>15.9999</v>
      </c>
      <c r="U11814" s="549">
        <v>96.03</v>
      </c>
      <c r="V11814" s="549">
        <v>48.02</v>
      </c>
      <c r="Z11814" s="548" t="s">
        <v>2953</v>
      </c>
    </row>
    <row r="11815" spans="1:26">
      <c r="A11815" s="499">
        <v>45898</v>
      </c>
      <c r="B11815" s="499">
        <v>45902</v>
      </c>
      <c r="C11815" s="500" t="s">
        <v>173</v>
      </c>
      <c r="D11815" s="500" t="s">
        <v>760</v>
      </c>
      <c r="E11815" s="501">
        <v>31065510.18</v>
      </c>
      <c r="F11815" s="502" t="s">
        <v>878</v>
      </c>
      <c r="G11815" s="443">
        <v>118844104</v>
      </c>
      <c r="H11815" s="443">
        <v>118844104</v>
      </c>
      <c r="I11815" s="523" t="s">
        <v>656</v>
      </c>
      <c r="J11815" s="530" t="s">
        <v>912</v>
      </c>
      <c r="N11815" s="598">
        <v>29884</v>
      </c>
      <c r="R11815" s="548">
        <v>1037.7170000000001</v>
      </c>
      <c r="S11815" s="548">
        <v>1039.5365473162899</v>
      </c>
      <c r="T11815" s="548">
        <v>15.9999</v>
      </c>
      <c r="U11815" s="549">
        <v>186.07</v>
      </c>
      <c r="V11815" s="549">
        <v>93.03</v>
      </c>
      <c r="Z11815" s="548" t="s">
        <v>2953</v>
      </c>
    </row>
    <row r="11816" spans="1:26">
      <c r="A11816" s="499">
        <v>45898</v>
      </c>
      <c r="B11816" s="499">
        <v>45902</v>
      </c>
      <c r="C11816" s="500" t="s">
        <v>173</v>
      </c>
      <c r="D11816" s="500" t="s">
        <v>760</v>
      </c>
      <c r="E11816" s="501">
        <v>20051007.68</v>
      </c>
      <c r="F11816" s="502" t="s">
        <v>878</v>
      </c>
      <c r="G11816" s="443">
        <v>118844979</v>
      </c>
      <c r="H11816" s="443">
        <v>118844979</v>
      </c>
      <c r="I11816" s="523" t="s">
        <v>657</v>
      </c>
      <c r="J11816" s="530" t="s">
        <v>912</v>
      </c>
      <c r="N11816" s="598">
        <v>20920</v>
      </c>
      <c r="R11816" s="548">
        <v>956.79399999999998</v>
      </c>
      <c r="S11816" s="548">
        <v>958.46117017208405</v>
      </c>
      <c r="T11816" s="548">
        <v>15.899900000000001</v>
      </c>
      <c r="U11816" s="549">
        <v>120.1</v>
      </c>
      <c r="V11816" s="549">
        <v>60.05</v>
      </c>
      <c r="Z11816" s="548" t="s">
        <v>2953</v>
      </c>
    </row>
    <row r="11817" spans="1:26">
      <c r="A11817" s="499">
        <v>45898</v>
      </c>
      <c r="B11817" s="499">
        <v>45902</v>
      </c>
      <c r="C11817" s="500" t="s">
        <v>173</v>
      </c>
      <c r="D11817" s="500" t="s">
        <v>760</v>
      </c>
      <c r="E11817" s="501">
        <v>91210177.349999994</v>
      </c>
      <c r="F11817" s="502" t="s">
        <v>878</v>
      </c>
      <c r="G11817" s="443">
        <v>118844098</v>
      </c>
      <c r="H11817" s="443">
        <v>118844098</v>
      </c>
      <c r="I11817" s="523" t="s">
        <v>658</v>
      </c>
      <c r="J11817" s="530" t="s">
        <v>912</v>
      </c>
      <c r="N11817" s="598">
        <v>89271</v>
      </c>
      <c r="R11817" s="548">
        <v>1019.934</v>
      </c>
      <c r="S11817" s="548">
        <v>1021.72236616594</v>
      </c>
      <c r="T11817" s="548">
        <v>15.9999</v>
      </c>
      <c r="U11817" s="549">
        <v>546.29999999999995</v>
      </c>
      <c r="V11817" s="549">
        <v>273.14999999999998</v>
      </c>
      <c r="Z11817" s="548" t="s">
        <v>2953</v>
      </c>
    </row>
    <row r="11818" spans="1:26">
      <c r="A11818" s="499">
        <v>45898</v>
      </c>
      <c r="B11818" s="499">
        <v>45902</v>
      </c>
      <c r="C11818" s="500" t="s">
        <v>173</v>
      </c>
      <c r="D11818" s="500" t="s">
        <v>760</v>
      </c>
      <c r="E11818" s="501">
        <v>130261266.51000001</v>
      </c>
      <c r="F11818" s="502" t="s">
        <v>878</v>
      </c>
      <c r="G11818" s="443">
        <v>118844114</v>
      </c>
      <c r="H11818" s="443">
        <v>118844114</v>
      </c>
      <c r="I11818" s="523" t="s">
        <v>687</v>
      </c>
      <c r="J11818" s="530" t="s">
        <v>912</v>
      </c>
      <c r="N11818" s="598">
        <v>158860</v>
      </c>
      <c r="R11818" s="548">
        <v>818.54</v>
      </c>
      <c r="S11818" s="548">
        <v>819.97523926727899</v>
      </c>
      <c r="T11818" s="548">
        <v>15.9999</v>
      </c>
      <c r="U11818" s="549">
        <v>780.2</v>
      </c>
      <c r="V11818" s="549">
        <v>390.1</v>
      </c>
      <c r="Z11818" s="548" t="s">
        <v>2953</v>
      </c>
    </row>
    <row r="11819" spans="1:26">
      <c r="A11819" s="499">
        <v>45898</v>
      </c>
      <c r="B11819" s="499">
        <v>45902</v>
      </c>
      <c r="C11819" s="500" t="s">
        <v>173</v>
      </c>
      <c r="D11819" s="500" t="s">
        <v>760</v>
      </c>
      <c r="E11819" s="501">
        <v>213402571.59</v>
      </c>
      <c r="F11819" s="502" t="s">
        <v>878</v>
      </c>
      <c r="G11819" s="443">
        <v>118845149</v>
      </c>
      <c r="H11819" s="443">
        <v>118845149</v>
      </c>
      <c r="I11819" s="523" t="s">
        <v>712</v>
      </c>
      <c r="J11819" s="530" t="s">
        <v>912</v>
      </c>
      <c r="N11819" s="598">
        <v>252192</v>
      </c>
      <c r="R11819" s="548">
        <v>844.71900000000005</v>
      </c>
      <c r="S11819" s="548">
        <v>846.19088468309894</v>
      </c>
      <c r="T11819" s="548">
        <v>15.899900000000001</v>
      </c>
      <c r="U11819" s="549">
        <v>1278.19</v>
      </c>
      <c r="V11819" s="549">
        <v>639.09</v>
      </c>
      <c r="Z11819" s="548" t="s">
        <v>2953</v>
      </c>
    </row>
    <row r="11820" spans="1:26">
      <c r="A11820" s="499">
        <v>45898</v>
      </c>
      <c r="B11820" s="499">
        <v>45902</v>
      </c>
      <c r="C11820" s="500" t="s">
        <v>173</v>
      </c>
      <c r="D11820" s="500" t="s">
        <v>760</v>
      </c>
      <c r="E11820" s="501">
        <v>22040932.23</v>
      </c>
      <c r="F11820" s="502" t="s">
        <v>878</v>
      </c>
      <c r="G11820" s="443">
        <v>118844972</v>
      </c>
      <c r="H11820" s="443">
        <v>118844972</v>
      </c>
      <c r="I11820" s="523" t="s">
        <v>715</v>
      </c>
      <c r="J11820" s="530" t="s">
        <v>912</v>
      </c>
      <c r="N11820" s="598">
        <v>36366</v>
      </c>
      <c r="R11820" s="548">
        <v>605.03200000000004</v>
      </c>
      <c r="S11820" s="548">
        <v>606.08624071935299</v>
      </c>
      <c r="T11820" s="548">
        <v>15.899900000000001</v>
      </c>
      <c r="U11820" s="549">
        <v>132.02000000000001</v>
      </c>
      <c r="V11820" s="549">
        <v>66.010000000000005</v>
      </c>
      <c r="Z11820" s="548" t="s">
        <v>2953</v>
      </c>
    </row>
    <row r="11821" spans="1:26">
      <c r="A11821" s="499">
        <v>45902</v>
      </c>
      <c r="B11821" s="499">
        <v>45902</v>
      </c>
      <c r="C11821" s="500" t="s">
        <v>173</v>
      </c>
      <c r="D11821" s="500" t="s">
        <v>762</v>
      </c>
      <c r="E11821" s="501">
        <v>-874401200</v>
      </c>
      <c r="F11821" s="502" t="s">
        <v>878</v>
      </c>
      <c r="G11821" s="443">
        <v>118872425</v>
      </c>
      <c r="I11821" s="523" t="s">
        <v>2854</v>
      </c>
      <c r="J11821" s="530" t="s">
        <v>906</v>
      </c>
      <c r="N11821" s="598">
        <v>1591554</v>
      </c>
      <c r="R11821" s="558">
        <v>549.40089999999998</v>
      </c>
      <c r="S11821" s="558">
        <v>549.64022956808299</v>
      </c>
      <c r="T11821" s="567">
        <v>15.9001</v>
      </c>
      <c r="U11821" s="538">
        <v>1311.6</v>
      </c>
      <c r="V11821" s="538">
        <v>655.8</v>
      </c>
      <c r="Z11821" s="539" t="s">
        <v>2953</v>
      </c>
    </row>
    <row r="11822" spans="1:26">
      <c r="A11822" s="499">
        <v>45902</v>
      </c>
      <c r="B11822" s="499">
        <v>45902</v>
      </c>
      <c r="C11822" s="500" t="s">
        <v>173</v>
      </c>
      <c r="D11822" s="500" t="s">
        <v>762</v>
      </c>
      <c r="E11822" s="501">
        <v>-189151345.15000001</v>
      </c>
      <c r="F11822" s="502" t="s">
        <v>878</v>
      </c>
      <c r="G11822" s="443">
        <v>118872428</v>
      </c>
      <c r="I11822" s="523" t="s">
        <v>1042</v>
      </c>
      <c r="J11822" s="530" t="s">
        <v>906</v>
      </c>
      <c r="N11822" s="598">
        <v>199584</v>
      </c>
      <c r="R11822" s="558">
        <v>947.72799999999995</v>
      </c>
      <c r="S11822" s="558">
        <v>948.14084846480705</v>
      </c>
      <c r="T11822" s="567">
        <v>15.9001</v>
      </c>
      <c r="U11822" s="538">
        <v>283.73</v>
      </c>
      <c r="V11822" s="538">
        <v>141.86000000000001</v>
      </c>
      <c r="Z11822" s="539" t="s">
        <v>2953</v>
      </c>
    </row>
    <row r="11823" spans="1:26">
      <c r="A11823" s="499">
        <v>45902</v>
      </c>
      <c r="B11823" s="499">
        <v>45902</v>
      </c>
      <c r="C11823" s="500" t="s">
        <v>173</v>
      </c>
      <c r="D11823" s="500" t="s">
        <v>762</v>
      </c>
      <c r="E11823" s="501">
        <v>-492000303.56</v>
      </c>
      <c r="F11823" s="502" t="s">
        <v>878</v>
      </c>
      <c r="G11823" s="443">
        <v>118872431</v>
      </c>
      <c r="I11823" s="523" t="s">
        <v>1048</v>
      </c>
      <c r="J11823" s="530" t="s">
        <v>906</v>
      </c>
      <c r="N11823" s="598">
        <v>490137780</v>
      </c>
      <c r="R11823" s="558">
        <v>1.0038</v>
      </c>
      <c r="S11823" s="558">
        <v>1.0042372745271699</v>
      </c>
      <c r="T11823" s="567">
        <v>15.9001</v>
      </c>
      <c r="U11823" s="538">
        <v>738</v>
      </c>
      <c r="V11823" s="538">
        <v>369</v>
      </c>
      <c r="Z11823" s="539" t="s">
        <v>2953</v>
      </c>
    </row>
    <row r="11824" spans="1:26">
      <c r="A11824" s="499">
        <v>45902</v>
      </c>
      <c r="B11824" s="499">
        <v>45902</v>
      </c>
      <c r="C11824" s="500" t="s">
        <v>173</v>
      </c>
      <c r="D11824" s="500" t="s">
        <v>762</v>
      </c>
      <c r="E11824" s="501">
        <v>-1469409994.96</v>
      </c>
      <c r="F11824" s="502" t="s">
        <v>878</v>
      </c>
      <c r="G11824" s="443">
        <v>118872434</v>
      </c>
      <c r="I11824" s="523" t="s">
        <v>711</v>
      </c>
      <c r="J11824" s="530" t="s">
        <v>906</v>
      </c>
      <c r="N11824" s="598">
        <v>1877382</v>
      </c>
      <c r="R11824" s="558">
        <v>782.69100000000003</v>
      </c>
      <c r="S11824" s="558">
        <v>783.02659216930795</v>
      </c>
      <c r="T11824" s="567">
        <v>15.65</v>
      </c>
      <c r="U11824" s="538">
        <v>2204.11</v>
      </c>
      <c r="V11824" s="538">
        <v>1102.06</v>
      </c>
      <c r="Z11824" s="539" t="s">
        <v>2953</v>
      </c>
    </row>
    <row r="11825" spans="1:26">
      <c r="A11825" s="499">
        <v>45902</v>
      </c>
      <c r="B11825" s="499">
        <v>45902</v>
      </c>
      <c r="C11825" s="500" t="s">
        <v>173</v>
      </c>
      <c r="D11825" s="500" t="s">
        <v>762</v>
      </c>
      <c r="E11825" s="501">
        <v>-19005302.859999999</v>
      </c>
      <c r="F11825" s="502" t="s">
        <v>878</v>
      </c>
      <c r="G11825" s="443">
        <v>118872465</v>
      </c>
      <c r="I11825" s="523" t="s">
        <v>711</v>
      </c>
      <c r="J11825" s="530" t="s">
        <v>906</v>
      </c>
      <c r="N11825" s="598">
        <v>24282</v>
      </c>
      <c r="R11825" s="558">
        <v>782.69100000000003</v>
      </c>
      <c r="S11825" s="558">
        <v>783.02659212585502</v>
      </c>
      <c r="T11825" s="567">
        <v>15.65</v>
      </c>
      <c r="U11825" s="538">
        <v>39.32</v>
      </c>
      <c r="V11825" s="538">
        <v>14.25</v>
      </c>
      <c r="Z11825" s="539" t="s">
        <v>2953</v>
      </c>
    </row>
    <row r="11826" spans="1:26">
      <c r="A11826" s="499">
        <v>45902</v>
      </c>
      <c r="B11826" s="499">
        <v>45903</v>
      </c>
      <c r="C11826" s="500" t="s">
        <v>173</v>
      </c>
      <c r="D11826" s="500" t="s">
        <v>762</v>
      </c>
      <c r="E11826" s="501">
        <v>874782105.92999995</v>
      </c>
      <c r="F11826" s="502" t="s">
        <v>878</v>
      </c>
      <c r="G11826" s="443">
        <v>118872425</v>
      </c>
      <c r="H11826" s="594">
        <v>118872425</v>
      </c>
      <c r="I11826" s="523" t="s">
        <v>2854</v>
      </c>
      <c r="J11826" s="530" t="s">
        <v>912</v>
      </c>
      <c r="N11826" s="598">
        <v>1591554</v>
      </c>
      <c r="R11826" s="558">
        <v>549.40089999999998</v>
      </c>
      <c r="S11826" s="558">
        <v>549.64022956808299</v>
      </c>
      <c r="T11826" s="567">
        <v>15.9001</v>
      </c>
      <c r="U11826" s="538">
        <v>1311.6</v>
      </c>
      <c r="V11826" s="538">
        <v>655.8</v>
      </c>
      <c r="Z11826" s="539" t="s">
        <v>2953</v>
      </c>
    </row>
    <row r="11827" spans="1:26">
      <c r="A11827" s="499">
        <v>45902</v>
      </c>
      <c r="B11827" s="499">
        <v>45903</v>
      </c>
      <c r="C11827" s="500" t="s">
        <v>173</v>
      </c>
      <c r="D11827" s="500" t="s">
        <v>762</v>
      </c>
      <c r="E11827" s="501">
        <v>189233743.09999999</v>
      </c>
      <c r="F11827" s="502" t="s">
        <v>878</v>
      </c>
      <c r="G11827" s="443">
        <v>118872428</v>
      </c>
      <c r="H11827" s="594">
        <v>118872428</v>
      </c>
      <c r="I11827" s="523" t="s">
        <v>1042</v>
      </c>
      <c r="J11827" s="530" t="s">
        <v>912</v>
      </c>
      <c r="N11827" s="598">
        <v>199584</v>
      </c>
      <c r="R11827" s="558">
        <v>947.72799999999995</v>
      </c>
      <c r="S11827" s="558">
        <v>948.14084846480705</v>
      </c>
      <c r="T11827" s="567">
        <v>15.9001</v>
      </c>
      <c r="U11827" s="538">
        <v>283.73</v>
      </c>
      <c r="V11827" s="538">
        <v>141.86000000000001</v>
      </c>
      <c r="Z11827" s="539" t="s">
        <v>2953</v>
      </c>
    </row>
    <row r="11828" spans="1:26">
      <c r="A11828" s="499">
        <v>45902</v>
      </c>
      <c r="B11828" s="499">
        <v>45903</v>
      </c>
      <c r="C11828" s="500" t="s">
        <v>173</v>
      </c>
      <c r="D11828" s="500" t="s">
        <v>762</v>
      </c>
      <c r="E11828" s="501">
        <v>492214628.32999998</v>
      </c>
      <c r="F11828" s="502" t="s">
        <v>878</v>
      </c>
      <c r="G11828" s="443">
        <v>118872431</v>
      </c>
      <c r="H11828" s="594">
        <v>118872431</v>
      </c>
      <c r="I11828" s="523" t="s">
        <v>1048</v>
      </c>
      <c r="J11828" s="530" t="s">
        <v>912</v>
      </c>
      <c r="N11828" s="598">
        <v>490137780</v>
      </c>
      <c r="R11828" s="558">
        <v>1.0038</v>
      </c>
      <c r="S11828" s="558">
        <v>1.0042372745271699</v>
      </c>
      <c r="T11828" s="567">
        <v>15.9001</v>
      </c>
      <c r="U11828" s="538">
        <v>738</v>
      </c>
      <c r="V11828" s="538">
        <v>369</v>
      </c>
      <c r="Z11828" s="539" t="s">
        <v>2953</v>
      </c>
    </row>
    <row r="11829" spans="1:26">
      <c r="A11829" s="499">
        <v>45902</v>
      </c>
      <c r="B11829" s="499">
        <v>45903</v>
      </c>
      <c r="C11829" s="500" t="s">
        <v>173</v>
      </c>
      <c r="D11829" s="500" t="s">
        <v>762</v>
      </c>
      <c r="E11829" s="501">
        <v>1470040029.6600001</v>
      </c>
      <c r="F11829" s="502" t="s">
        <v>878</v>
      </c>
      <c r="G11829" s="443">
        <v>118872434</v>
      </c>
      <c r="H11829" s="594">
        <v>118872434</v>
      </c>
      <c r="I11829" s="523" t="s">
        <v>711</v>
      </c>
      <c r="J11829" s="530" t="s">
        <v>912</v>
      </c>
      <c r="N11829" s="598">
        <v>1877382</v>
      </c>
      <c r="R11829" s="558">
        <v>782.69100000000003</v>
      </c>
      <c r="S11829" s="558">
        <v>783.02659216930795</v>
      </c>
      <c r="T11829" s="567">
        <v>15.65</v>
      </c>
      <c r="U11829" s="538">
        <v>2204.11</v>
      </c>
      <c r="V11829" s="538">
        <v>1102.06</v>
      </c>
      <c r="Z11829" s="539" t="s">
        <v>2953</v>
      </c>
    </row>
    <row r="11830" spans="1:26">
      <c r="A11830" s="499">
        <v>45902</v>
      </c>
      <c r="B11830" s="499">
        <v>45903</v>
      </c>
      <c r="C11830" s="500" t="s">
        <v>173</v>
      </c>
      <c r="D11830" s="500" t="s">
        <v>762</v>
      </c>
      <c r="E11830" s="501">
        <v>19013451.710000001</v>
      </c>
      <c r="F11830" s="502" t="s">
        <v>878</v>
      </c>
      <c r="G11830" s="443">
        <v>118872465</v>
      </c>
      <c r="H11830" s="594">
        <v>118872465</v>
      </c>
      <c r="I11830" s="523" t="s">
        <v>711</v>
      </c>
      <c r="J11830" s="530" t="s">
        <v>912</v>
      </c>
      <c r="N11830" s="598">
        <v>24282</v>
      </c>
      <c r="R11830" s="558">
        <v>782.69100000000003</v>
      </c>
      <c r="S11830" s="558">
        <v>783.02659212585502</v>
      </c>
      <c r="T11830" s="567">
        <v>15.65</v>
      </c>
      <c r="U11830" s="538">
        <v>39.32</v>
      </c>
      <c r="V11830" s="538">
        <v>14.25</v>
      </c>
      <c r="Z11830" s="539" t="s">
        <v>2953</v>
      </c>
    </row>
    <row r="11831" spans="1:26">
      <c r="A11831" s="499">
        <v>45902</v>
      </c>
      <c r="B11831" s="499">
        <v>45902</v>
      </c>
      <c r="C11831" s="500" t="s">
        <v>173</v>
      </c>
      <c r="D11831" s="500" t="s">
        <v>761</v>
      </c>
      <c r="E11831" s="501">
        <v>-1153063819.9300001</v>
      </c>
      <c r="F11831" s="502" t="s">
        <v>878</v>
      </c>
      <c r="G11831" s="443">
        <v>118869521</v>
      </c>
      <c r="I11831" s="523" t="s">
        <v>2956</v>
      </c>
      <c r="J11831" s="530" t="s">
        <v>906</v>
      </c>
      <c r="N11831" s="598">
        <v>11600333</v>
      </c>
      <c r="R11831" s="548">
        <v>99.399199999689671</v>
      </c>
      <c r="S11831" s="548">
        <v>99.442499924786603</v>
      </c>
      <c r="T11831" s="548">
        <v>15.9</v>
      </c>
      <c r="U11831" s="549">
        <v>1729.6</v>
      </c>
      <c r="V11831" s="549">
        <v>864.8</v>
      </c>
      <c r="Z11831" s="548" t="s">
        <v>2953</v>
      </c>
    </row>
    <row r="11832" spans="1:26">
      <c r="A11832" s="499">
        <v>45902</v>
      </c>
      <c r="B11832" s="499">
        <v>45902</v>
      </c>
      <c r="C11832" s="500" t="s">
        <v>173</v>
      </c>
      <c r="D11832" s="500" t="s">
        <v>761</v>
      </c>
      <c r="E11832" s="501">
        <v>-7000387.46</v>
      </c>
      <c r="F11832" s="502" t="s">
        <v>878</v>
      </c>
      <c r="G11832" s="443">
        <v>118869625</v>
      </c>
      <c r="I11832" s="523" t="s">
        <v>2956</v>
      </c>
      <c r="J11832" s="530" t="s">
        <v>906</v>
      </c>
      <c r="N11832" s="598">
        <v>70427</v>
      </c>
      <c r="R11832" s="548">
        <v>99.39920002271856</v>
      </c>
      <c r="S11832" s="548">
        <v>99.442499893506806</v>
      </c>
      <c r="T11832" s="548">
        <v>15.9</v>
      </c>
      <c r="U11832" s="549">
        <v>39.32</v>
      </c>
      <c r="V11832" s="549">
        <v>5.25</v>
      </c>
      <c r="Z11832" s="548" t="s">
        <v>2953</v>
      </c>
    </row>
    <row r="11833" spans="1:26">
      <c r="A11833" s="499">
        <v>45902</v>
      </c>
      <c r="B11833" s="499">
        <v>45903</v>
      </c>
      <c r="C11833" s="500" t="s">
        <v>173</v>
      </c>
      <c r="D11833" s="500" t="s">
        <v>761</v>
      </c>
      <c r="E11833" s="501">
        <v>1153566113.48</v>
      </c>
      <c r="F11833" s="502" t="s">
        <v>878</v>
      </c>
      <c r="G11833" s="443">
        <v>118869521</v>
      </c>
      <c r="H11833" s="595">
        <v>118869521</v>
      </c>
      <c r="I11833" s="523" t="s">
        <v>2956</v>
      </c>
      <c r="J11833" s="530" t="s">
        <v>912</v>
      </c>
      <c r="N11833" s="598">
        <v>11600333</v>
      </c>
      <c r="R11833" s="548">
        <v>99.399199999689671</v>
      </c>
      <c r="S11833" s="548">
        <v>99.442499924786603</v>
      </c>
      <c r="T11833" s="548">
        <v>15.9</v>
      </c>
      <c r="U11833" s="549">
        <v>1729.6</v>
      </c>
      <c r="V11833" s="549">
        <v>864.8</v>
      </c>
      <c r="Z11833" s="548" t="s">
        <v>2953</v>
      </c>
    </row>
    <row r="11834" spans="1:26">
      <c r="A11834" s="499">
        <v>45902</v>
      </c>
      <c r="B11834" s="499">
        <v>45903</v>
      </c>
      <c r="C11834" s="500" t="s">
        <v>173</v>
      </c>
      <c r="D11834" s="500" t="s">
        <v>761</v>
      </c>
      <c r="E11834" s="501">
        <v>7003436.9400000004</v>
      </c>
      <c r="F11834" s="502" t="s">
        <v>878</v>
      </c>
      <c r="G11834" s="443">
        <v>118869625</v>
      </c>
      <c r="H11834" s="595">
        <v>118869625</v>
      </c>
      <c r="I11834" s="523" t="s">
        <v>2956</v>
      </c>
      <c r="J11834" s="530" t="s">
        <v>912</v>
      </c>
      <c r="N11834" s="598">
        <v>70427</v>
      </c>
      <c r="R11834" s="548">
        <v>99.39920002271856</v>
      </c>
      <c r="S11834" s="548">
        <v>99.442499893506806</v>
      </c>
      <c r="T11834" s="548">
        <v>15.9</v>
      </c>
      <c r="U11834" s="549">
        <v>39.32</v>
      </c>
      <c r="V11834" s="549">
        <v>5.25</v>
      </c>
      <c r="Z11834" s="548" t="s">
        <v>2953</v>
      </c>
    </row>
    <row r="11835" spans="1:26">
      <c r="A11835" s="499">
        <v>45902</v>
      </c>
      <c r="B11835" s="499">
        <v>45902</v>
      </c>
      <c r="C11835" s="500" t="s">
        <v>173</v>
      </c>
      <c r="D11835" s="500" t="s">
        <v>759</v>
      </c>
      <c r="E11835" s="501">
        <v>-678164368.89999998</v>
      </c>
      <c r="F11835" s="502" t="s">
        <v>878</v>
      </c>
      <c r="G11835" s="443">
        <v>118875796</v>
      </c>
      <c r="I11835" s="523" t="s">
        <v>671</v>
      </c>
      <c r="J11835" s="530" t="s">
        <v>906</v>
      </c>
      <c r="N11835" s="598">
        <v>659016</v>
      </c>
      <c r="R11835" s="548">
        <v>1029.0560000060696</v>
      </c>
      <c r="S11835" s="548">
        <v>1029.50145438047</v>
      </c>
      <c r="T11835" s="548">
        <v>15.8</v>
      </c>
      <c r="U11835" s="549">
        <v>1017.25</v>
      </c>
      <c r="V11835" s="549">
        <v>508.62</v>
      </c>
      <c r="Z11835" s="548" t="s">
        <v>2953</v>
      </c>
    </row>
    <row r="11836" spans="1:26">
      <c r="A11836" s="499">
        <v>45902</v>
      </c>
      <c r="B11836" s="499">
        <v>45902</v>
      </c>
      <c r="C11836" s="500" t="s">
        <v>173</v>
      </c>
      <c r="D11836" s="500" t="s">
        <v>759</v>
      </c>
      <c r="E11836" s="501">
        <v>-233006752.81</v>
      </c>
      <c r="F11836" s="502" t="s">
        <v>878</v>
      </c>
      <c r="G11836" s="443">
        <v>118875799</v>
      </c>
      <c r="I11836" s="523" t="s">
        <v>2856</v>
      </c>
      <c r="J11836" s="530" t="s">
        <v>906</v>
      </c>
      <c r="N11836" s="598">
        <v>421730</v>
      </c>
      <c r="R11836" s="548">
        <v>552.5022000094848</v>
      </c>
      <c r="S11836" s="548">
        <v>552.74136535224</v>
      </c>
      <c r="T11836" s="548">
        <v>15.8</v>
      </c>
      <c r="U11836" s="549">
        <v>349.51</v>
      </c>
      <c r="V11836" s="549">
        <v>174.76</v>
      </c>
      <c r="Z11836" s="548" t="s">
        <v>2953</v>
      </c>
    </row>
    <row r="11837" spans="1:26">
      <c r="A11837" s="499">
        <v>45902</v>
      </c>
      <c r="B11837" s="499">
        <v>45902</v>
      </c>
      <c r="C11837" s="500" t="s">
        <v>173</v>
      </c>
      <c r="D11837" s="500" t="s">
        <v>759</v>
      </c>
      <c r="E11837" s="501">
        <v>-323178304.39999998</v>
      </c>
      <c r="F11837" s="502" t="s">
        <v>878</v>
      </c>
      <c r="G11837" s="443">
        <v>118875802</v>
      </c>
      <c r="I11837" s="523" t="s">
        <v>705</v>
      </c>
      <c r="J11837" s="530" t="s">
        <v>906</v>
      </c>
      <c r="N11837" s="598">
        <v>430882</v>
      </c>
      <c r="R11837" s="548">
        <v>750.03900000464159</v>
      </c>
      <c r="S11837" s="548">
        <v>750.36367441666198</v>
      </c>
      <c r="T11837" s="548">
        <v>15.8</v>
      </c>
      <c r="U11837" s="549">
        <v>484.77</v>
      </c>
      <c r="V11837" s="549">
        <v>242.38</v>
      </c>
      <c r="Z11837" s="548" t="s">
        <v>2953</v>
      </c>
    </row>
    <row r="11838" spans="1:26">
      <c r="A11838" s="499">
        <v>45902</v>
      </c>
      <c r="B11838" s="499">
        <v>45902</v>
      </c>
      <c r="C11838" s="500" t="s">
        <v>173</v>
      </c>
      <c r="D11838" s="500" t="s">
        <v>759</v>
      </c>
      <c r="E11838" s="501">
        <v>-485067795.24000001</v>
      </c>
      <c r="F11838" s="502" t="s">
        <v>878</v>
      </c>
      <c r="G11838" s="443">
        <v>118875805</v>
      </c>
      <c r="I11838" s="523" t="s">
        <v>685</v>
      </c>
      <c r="J11838" s="530" t="s">
        <v>906</v>
      </c>
      <c r="N11838" s="598">
        <v>516040</v>
      </c>
      <c r="R11838" s="548">
        <v>939.98099999999999</v>
      </c>
      <c r="S11838" s="548">
        <v>940.38789588016402</v>
      </c>
      <c r="T11838" s="548">
        <v>15.8</v>
      </c>
      <c r="U11838" s="549">
        <v>727.6</v>
      </c>
      <c r="V11838" s="549">
        <v>363.8</v>
      </c>
      <c r="Z11838" s="548" t="s">
        <v>2953</v>
      </c>
    </row>
    <row r="11839" spans="1:26">
      <c r="A11839" s="499">
        <v>45902</v>
      </c>
      <c r="B11839" s="499">
        <v>45902</v>
      </c>
      <c r="C11839" s="500" t="s">
        <v>173</v>
      </c>
      <c r="D11839" s="500" t="s">
        <v>759</v>
      </c>
      <c r="E11839" s="501">
        <v>-189058767.66</v>
      </c>
      <c r="F11839" s="502" t="s">
        <v>878</v>
      </c>
      <c r="G11839" s="443">
        <v>118875808</v>
      </c>
      <c r="I11839" s="523" t="s">
        <v>687</v>
      </c>
      <c r="J11839" s="530" t="s">
        <v>906</v>
      </c>
      <c r="N11839" s="598">
        <v>230580</v>
      </c>
      <c r="R11839" s="548">
        <v>819.92700000000002</v>
      </c>
      <c r="S11839" s="548">
        <v>820.28192731373099</v>
      </c>
      <c r="T11839" s="548">
        <v>15.8</v>
      </c>
      <c r="U11839" s="549">
        <v>283.58999999999997</v>
      </c>
      <c r="V11839" s="549">
        <v>141.79</v>
      </c>
      <c r="Z11839" s="548" t="s">
        <v>2953</v>
      </c>
    </row>
    <row r="11840" spans="1:26">
      <c r="A11840" s="499">
        <v>45902</v>
      </c>
      <c r="B11840" s="499">
        <v>45902</v>
      </c>
      <c r="C11840" s="500" t="s">
        <v>173</v>
      </c>
      <c r="D11840" s="500" t="s">
        <v>759</v>
      </c>
      <c r="E11840" s="501">
        <v>-109038111.88</v>
      </c>
      <c r="F11840" s="502" t="s">
        <v>878</v>
      </c>
      <c r="G11840" s="443">
        <v>118875811</v>
      </c>
      <c r="I11840" s="523" t="s">
        <v>1013</v>
      </c>
      <c r="J11840" s="530" t="s">
        <v>906</v>
      </c>
      <c r="N11840" s="598">
        <v>202631</v>
      </c>
      <c r="R11840" s="548">
        <v>538.11169998667526</v>
      </c>
      <c r="S11840" s="548">
        <v>538.34463601324603</v>
      </c>
      <c r="T11840" s="548">
        <v>15.8</v>
      </c>
      <c r="U11840" s="549">
        <v>163.56</v>
      </c>
      <c r="V11840" s="549">
        <v>81.78</v>
      </c>
      <c r="Z11840" s="548" t="s">
        <v>2953</v>
      </c>
    </row>
    <row r="11841" spans="1:26">
      <c r="A11841" s="499">
        <v>45902</v>
      </c>
      <c r="B11841" s="499">
        <v>45902</v>
      </c>
      <c r="C11841" s="500" t="s">
        <v>173</v>
      </c>
      <c r="D11841" s="500" t="s">
        <v>759</v>
      </c>
      <c r="E11841" s="501">
        <v>-41021389.289999999</v>
      </c>
      <c r="F11841" s="502" t="s">
        <v>878</v>
      </c>
      <c r="G11841" s="443">
        <v>118875814</v>
      </c>
      <c r="I11841" s="523" t="s">
        <v>675</v>
      </c>
      <c r="J11841" s="530" t="s">
        <v>906</v>
      </c>
      <c r="N11841" s="598">
        <v>43870</v>
      </c>
      <c r="R11841" s="548">
        <v>935.06700000000001</v>
      </c>
      <c r="S11841" s="548">
        <v>935.47176863460197</v>
      </c>
      <c r="T11841" s="548">
        <v>15.8</v>
      </c>
      <c r="U11841" s="549">
        <v>61.53</v>
      </c>
      <c r="V11841" s="549">
        <v>30.77</v>
      </c>
      <c r="Z11841" s="548" t="s">
        <v>2953</v>
      </c>
    </row>
    <row r="11842" spans="1:26">
      <c r="A11842" s="499">
        <v>45902</v>
      </c>
      <c r="B11842" s="499">
        <v>45902</v>
      </c>
      <c r="C11842" s="500" t="s">
        <v>173</v>
      </c>
      <c r="D11842" s="500" t="s">
        <v>759</v>
      </c>
      <c r="E11842" s="501">
        <v>-13006781.970000001</v>
      </c>
      <c r="F11842" s="502" t="s">
        <v>878</v>
      </c>
      <c r="G11842" s="443">
        <v>118875833</v>
      </c>
      <c r="I11842" s="523" t="s">
        <v>675</v>
      </c>
      <c r="J11842" s="530" t="s">
        <v>906</v>
      </c>
      <c r="N11842" s="598">
        <v>13910</v>
      </c>
      <c r="R11842" s="548">
        <v>935.06700000000001</v>
      </c>
      <c r="S11842" s="548">
        <v>935.47176851186202</v>
      </c>
      <c r="T11842" s="548">
        <v>15.8</v>
      </c>
      <c r="U11842" s="549">
        <v>39.32</v>
      </c>
      <c r="V11842" s="549">
        <v>9.76</v>
      </c>
      <c r="Z11842" s="548" t="s">
        <v>2953</v>
      </c>
    </row>
    <row r="11843" spans="1:26">
      <c r="A11843" s="499">
        <v>45902</v>
      </c>
      <c r="B11843" s="499">
        <v>45903</v>
      </c>
      <c r="C11843" s="500" t="s">
        <v>173</v>
      </c>
      <c r="D11843" s="500" t="s">
        <v>759</v>
      </c>
      <c r="E11843" s="501">
        <v>678457930.46000004</v>
      </c>
      <c r="F11843" s="502" t="s">
        <v>878</v>
      </c>
      <c r="G11843" s="443">
        <v>118875796</v>
      </c>
      <c r="H11843" s="595">
        <v>118875796</v>
      </c>
      <c r="I11843" s="523" t="s">
        <v>671</v>
      </c>
      <c r="J11843" s="530" t="s">
        <v>912</v>
      </c>
      <c r="N11843" s="598">
        <v>659016</v>
      </c>
      <c r="R11843" s="548">
        <v>1029.0560000060696</v>
      </c>
      <c r="S11843" s="548">
        <v>1029.50145438047</v>
      </c>
      <c r="T11843" s="548">
        <v>15.8</v>
      </c>
      <c r="U11843" s="549">
        <v>1017.25</v>
      </c>
      <c r="V11843" s="549">
        <v>508.62</v>
      </c>
      <c r="Z11843" s="548" t="s">
        <v>2953</v>
      </c>
    </row>
    <row r="11844" spans="1:26">
      <c r="A11844" s="499">
        <v>45902</v>
      </c>
      <c r="B11844" s="499">
        <v>45903</v>
      </c>
      <c r="C11844" s="500" t="s">
        <v>173</v>
      </c>
      <c r="D11844" s="500" t="s">
        <v>759</v>
      </c>
      <c r="E11844" s="501">
        <v>233107616.00999999</v>
      </c>
      <c r="F11844" s="502" t="s">
        <v>878</v>
      </c>
      <c r="G11844" s="443">
        <v>118875799</v>
      </c>
      <c r="H11844" s="595">
        <v>118875799</v>
      </c>
      <c r="I11844" s="523" t="s">
        <v>2856</v>
      </c>
      <c r="J11844" s="530" t="s">
        <v>912</v>
      </c>
      <c r="N11844" s="598">
        <v>421730</v>
      </c>
      <c r="R11844" s="548">
        <v>552.5022000094848</v>
      </c>
      <c r="S11844" s="548">
        <v>552.74136535224</v>
      </c>
      <c r="T11844" s="548">
        <v>15.8</v>
      </c>
      <c r="U11844" s="549">
        <v>349.51</v>
      </c>
      <c r="V11844" s="549">
        <v>174.76</v>
      </c>
      <c r="Z11844" s="548" t="s">
        <v>2953</v>
      </c>
    </row>
    <row r="11845" spans="1:26">
      <c r="A11845" s="499">
        <v>45902</v>
      </c>
      <c r="B11845" s="499">
        <v>45903</v>
      </c>
      <c r="C11845" s="500" t="s">
        <v>173</v>
      </c>
      <c r="D11845" s="500" t="s">
        <v>759</v>
      </c>
      <c r="E11845" s="501">
        <v>323318200.75999999</v>
      </c>
      <c r="F11845" s="502" t="s">
        <v>878</v>
      </c>
      <c r="G11845" s="443">
        <v>118875802</v>
      </c>
      <c r="H11845" s="595">
        <v>118875802</v>
      </c>
      <c r="I11845" s="523" t="s">
        <v>705</v>
      </c>
      <c r="J11845" s="530" t="s">
        <v>912</v>
      </c>
      <c r="N11845" s="598">
        <v>430882</v>
      </c>
      <c r="R11845" s="548">
        <v>750.03900000464159</v>
      </c>
      <c r="S11845" s="548">
        <v>750.36367441666198</v>
      </c>
      <c r="T11845" s="548">
        <v>15.8</v>
      </c>
      <c r="U11845" s="549">
        <v>484.77</v>
      </c>
      <c r="V11845" s="549">
        <v>242.38</v>
      </c>
      <c r="Z11845" s="548" t="s">
        <v>2953</v>
      </c>
    </row>
    <row r="11846" spans="1:26">
      <c r="A11846" s="499">
        <v>45902</v>
      </c>
      <c r="B11846" s="499">
        <v>45903</v>
      </c>
      <c r="C11846" s="500" t="s">
        <v>173</v>
      </c>
      <c r="D11846" s="500" t="s">
        <v>759</v>
      </c>
      <c r="E11846" s="501">
        <v>485277769.79000002</v>
      </c>
      <c r="F11846" s="502" t="s">
        <v>878</v>
      </c>
      <c r="G11846" s="443">
        <v>118875805</v>
      </c>
      <c r="H11846" s="595">
        <v>118875805</v>
      </c>
      <c r="I11846" s="523" t="s">
        <v>685</v>
      </c>
      <c r="J11846" s="530" t="s">
        <v>912</v>
      </c>
      <c r="N11846" s="598">
        <v>516040</v>
      </c>
      <c r="R11846" s="548">
        <v>939.98099999999999</v>
      </c>
      <c r="S11846" s="548">
        <v>940.38789588016402</v>
      </c>
      <c r="T11846" s="548">
        <v>15.8</v>
      </c>
      <c r="U11846" s="549">
        <v>727.6</v>
      </c>
      <c r="V11846" s="549">
        <v>363.8</v>
      </c>
      <c r="Z11846" s="548" t="s">
        <v>2953</v>
      </c>
    </row>
    <row r="11847" spans="1:26">
      <c r="A11847" s="499">
        <v>45902</v>
      </c>
      <c r="B11847" s="499">
        <v>45903</v>
      </c>
      <c r="C11847" s="500" t="s">
        <v>173</v>
      </c>
      <c r="D11847" s="500" t="s">
        <v>759</v>
      </c>
      <c r="E11847" s="501">
        <v>189140606.80000001</v>
      </c>
      <c r="F11847" s="502" t="s">
        <v>878</v>
      </c>
      <c r="G11847" s="443">
        <v>118875808</v>
      </c>
      <c r="H11847" s="595">
        <v>118875808</v>
      </c>
      <c r="I11847" s="523" t="s">
        <v>687</v>
      </c>
      <c r="J11847" s="530" t="s">
        <v>912</v>
      </c>
      <c r="N11847" s="598">
        <v>230580</v>
      </c>
      <c r="R11847" s="548">
        <v>819.92700000000002</v>
      </c>
      <c r="S11847" s="548">
        <v>820.28192731373099</v>
      </c>
      <c r="T11847" s="548">
        <v>15.8</v>
      </c>
      <c r="U11847" s="549">
        <v>283.58999999999997</v>
      </c>
      <c r="V11847" s="549">
        <v>141.79</v>
      </c>
      <c r="Z11847" s="548" t="s">
        <v>2953</v>
      </c>
    </row>
    <row r="11848" spans="1:26">
      <c r="A11848" s="499">
        <v>45902</v>
      </c>
      <c r="B11848" s="499">
        <v>45903</v>
      </c>
      <c r="C11848" s="500" t="s">
        <v>173</v>
      </c>
      <c r="D11848" s="500" t="s">
        <v>759</v>
      </c>
      <c r="E11848" s="501">
        <v>109085311.94</v>
      </c>
      <c r="F11848" s="502" t="s">
        <v>878</v>
      </c>
      <c r="G11848" s="443">
        <v>118875811</v>
      </c>
      <c r="H11848" s="595">
        <v>118875811</v>
      </c>
      <c r="I11848" s="523" t="s">
        <v>1013</v>
      </c>
      <c r="J11848" s="530" t="s">
        <v>912</v>
      </c>
      <c r="N11848" s="598">
        <v>202631</v>
      </c>
      <c r="R11848" s="548">
        <v>538.11169998667526</v>
      </c>
      <c r="S11848" s="548">
        <v>538.34463601324603</v>
      </c>
      <c r="T11848" s="548">
        <v>15.8</v>
      </c>
      <c r="U11848" s="549">
        <v>163.56</v>
      </c>
      <c r="V11848" s="549">
        <v>81.78</v>
      </c>
      <c r="Z11848" s="548" t="s">
        <v>2953</v>
      </c>
    </row>
    <row r="11849" spans="1:26">
      <c r="A11849" s="499">
        <v>45902</v>
      </c>
      <c r="B11849" s="499">
        <v>45903</v>
      </c>
      <c r="C11849" s="500" t="s">
        <v>173</v>
      </c>
      <c r="D11849" s="500" t="s">
        <v>759</v>
      </c>
      <c r="E11849" s="501">
        <v>41039146.490000002</v>
      </c>
      <c r="F11849" s="502" t="s">
        <v>878</v>
      </c>
      <c r="G11849" s="443">
        <v>118875814</v>
      </c>
      <c r="H11849" s="595">
        <v>118875814</v>
      </c>
      <c r="I11849" s="523" t="s">
        <v>675</v>
      </c>
      <c r="J11849" s="530" t="s">
        <v>912</v>
      </c>
      <c r="N11849" s="598">
        <v>43870</v>
      </c>
      <c r="R11849" s="548">
        <v>935.06700000000001</v>
      </c>
      <c r="S11849" s="548">
        <v>935.47176863460197</v>
      </c>
      <c r="T11849" s="548">
        <v>15.8</v>
      </c>
      <c r="U11849" s="549">
        <v>61.53</v>
      </c>
      <c r="V11849" s="549">
        <v>30.77</v>
      </c>
      <c r="Z11849" s="548" t="s">
        <v>2953</v>
      </c>
    </row>
    <row r="11850" spans="1:26">
      <c r="A11850" s="499">
        <v>45902</v>
      </c>
      <c r="B11850" s="499">
        <v>45903</v>
      </c>
      <c r="C11850" s="500" t="s">
        <v>173</v>
      </c>
      <c r="D11850" s="500" t="s">
        <v>759</v>
      </c>
      <c r="E11850" s="501">
        <v>13012412.300000001</v>
      </c>
      <c r="F11850" s="502" t="s">
        <v>878</v>
      </c>
      <c r="G11850" s="443">
        <v>118875833</v>
      </c>
      <c r="H11850" s="595">
        <v>118875833</v>
      </c>
      <c r="I11850" s="523" t="s">
        <v>675</v>
      </c>
      <c r="J11850" s="530" t="s">
        <v>912</v>
      </c>
      <c r="N11850" s="598">
        <v>13910</v>
      </c>
      <c r="R11850" s="548">
        <v>935.06700000000001</v>
      </c>
      <c r="S11850" s="548">
        <v>935.47176851186202</v>
      </c>
      <c r="T11850" s="548">
        <v>15.8</v>
      </c>
      <c r="U11850" s="549">
        <v>39.32</v>
      </c>
      <c r="V11850" s="549">
        <v>9.76</v>
      </c>
      <c r="Z11850" s="548" t="s">
        <v>2953</v>
      </c>
    </row>
    <row r="11851" spans="1:26">
      <c r="A11851" s="499">
        <v>45902</v>
      </c>
      <c r="B11851" s="499">
        <v>45902</v>
      </c>
      <c r="C11851" s="500" t="s">
        <v>173</v>
      </c>
      <c r="D11851" s="500" t="s">
        <v>760</v>
      </c>
      <c r="E11851" s="501">
        <v>-1300596750.5699999</v>
      </c>
      <c r="F11851" s="502" t="s">
        <v>878</v>
      </c>
      <c r="G11851" s="443">
        <v>118868600</v>
      </c>
      <c r="I11851" s="523" t="s">
        <v>2854</v>
      </c>
      <c r="J11851" s="530" t="s">
        <v>906</v>
      </c>
      <c r="N11851" s="598">
        <v>2367300</v>
      </c>
      <c r="R11851" s="548">
        <v>549.40089999999998</v>
      </c>
      <c r="S11851" s="548">
        <v>549.63721614075098</v>
      </c>
      <c r="T11851" s="548">
        <v>15.6999</v>
      </c>
      <c r="U11851" s="549">
        <v>1950.9</v>
      </c>
      <c r="V11851" s="549">
        <v>975.45</v>
      </c>
      <c r="Z11851" s="548" t="s">
        <v>2953</v>
      </c>
    </row>
    <row r="11852" spans="1:26">
      <c r="A11852" s="499">
        <v>45902</v>
      </c>
      <c r="B11852" s="499">
        <v>45902</v>
      </c>
      <c r="C11852" s="500" t="s">
        <v>173</v>
      </c>
      <c r="D11852" s="500" t="s">
        <v>760</v>
      </c>
      <c r="E11852" s="501">
        <v>-417023081.44999999</v>
      </c>
      <c r="F11852" s="502" t="s">
        <v>878</v>
      </c>
      <c r="G11852" s="443">
        <v>118869608</v>
      </c>
      <c r="I11852" s="523" t="s">
        <v>2956</v>
      </c>
      <c r="J11852" s="530" t="s">
        <v>906</v>
      </c>
      <c r="N11852" s="598">
        <v>4195437</v>
      </c>
      <c r="R11852" s="548">
        <v>99.399199999999993</v>
      </c>
      <c r="S11852" s="548">
        <v>99.442499925514298</v>
      </c>
      <c r="T11852" s="548">
        <v>15.9</v>
      </c>
      <c r="U11852" s="549">
        <v>625.53</v>
      </c>
      <c r="V11852" s="549">
        <v>312.77</v>
      </c>
      <c r="Z11852" s="548" t="s">
        <v>2953</v>
      </c>
    </row>
    <row r="11853" spans="1:26">
      <c r="A11853" s="499">
        <v>45902</v>
      </c>
      <c r="B11853" s="499">
        <v>45903</v>
      </c>
      <c r="C11853" s="500" t="s">
        <v>173</v>
      </c>
      <c r="D11853" s="500" t="s">
        <v>760</v>
      </c>
      <c r="E11853" s="501">
        <v>1301156181.77</v>
      </c>
      <c r="F11853" s="502" t="s">
        <v>878</v>
      </c>
      <c r="G11853" s="443">
        <v>118868600</v>
      </c>
      <c r="H11853" s="595">
        <v>118868600</v>
      </c>
      <c r="I11853" s="523" t="s">
        <v>2854</v>
      </c>
      <c r="J11853" s="530" t="s">
        <v>912</v>
      </c>
      <c r="N11853" s="598">
        <v>2367300</v>
      </c>
      <c r="R11853" s="548">
        <v>549.40089999999998</v>
      </c>
      <c r="S11853" s="548">
        <v>549.63721614075098</v>
      </c>
      <c r="T11853" s="548">
        <v>15.6999</v>
      </c>
      <c r="U11853" s="549">
        <v>1950.9</v>
      </c>
      <c r="V11853" s="549">
        <v>975.45</v>
      </c>
      <c r="Z11853" s="548" t="s">
        <v>2953</v>
      </c>
    </row>
    <row r="11854" spans="1:26">
      <c r="A11854" s="499">
        <v>45902</v>
      </c>
      <c r="B11854" s="499">
        <v>45903</v>
      </c>
      <c r="C11854" s="500" t="s">
        <v>173</v>
      </c>
      <c r="D11854" s="500" t="s">
        <v>760</v>
      </c>
      <c r="E11854" s="501">
        <v>417204743.56</v>
      </c>
      <c r="F11854" s="502" t="s">
        <v>878</v>
      </c>
      <c r="G11854" s="443">
        <v>118869608</v>
      </c>
      <c r="H11854" s="595">
        <v>118869608</v>
      </c>
      <c r="I11854" s="523" t="s">
        <v>2956</v>
      </c>
      <c r="J11854" s="530" t="s">
        <v>912</v>
      </c>
      <c r="N11854" s="598">
        <v>4195437</v>
      </c>
      <c r="R11854" s="548">
        <v>99.399199999999993</v>
      </c>
      <c r="S11854" s="548">
        <v>99.442499925514298</v>
      </c>
      <c r="T11854" s="548">
        <v>15.9</v>
      </c>
      <c r="U11854" s="549">
        <v>625.53</v>
      </c>
      <c r="V11854" s="549">
        <v>312.77</v>
      </c>
      <c r="Z11854" s="548" t="s">
        <v>2953</v>
      </c>
    </row>
    <row r="11855" spans="1:26">
      <c r="A11855" s="499">
        <v>45902</v>
      </c>
      <c r="B11855" s="499">
        <v>45902</v>
      </c>
      <c r="C11855" s="500" t="s">
        <v>173</v>
      </c>
      <c r="D11855" s="500" t="s">
        <v>763</v>
      </c>
      <c r="E11855" s="501">
        <v>-66037100.840000004</v>
      </c>
      <c r="F11855" s="502" t="s">
        <v>878</v>
      </c>
      <c r="G11855" s="443">
        <v>118871318</v>
      </c>
      <c r="I11855" s="523" t="s">
        <v>715</v>
      </c>
      <c r="J11855" s="530" t="s">
        <v>906</v>
      </c>
      <c r="N11855" s="598">
        <v>108966</v>
      </c>
      <c r="R11855" s="548">
        <v>606.03399999999999</v>
      </c>
      <c r="S11855" s="548">
        <v>606.29965870087904</v>
      </c>
      <c r="T11855" s="548">
        <v>16</v>
      </c>
      <c r="U11855" s="549">
        <v>99.06</v>
      </c>
      <c r="V11855" s="549">
        <v>49.53</v>
      </c>
      <c r="Z11855" s="548" t="s">
        <v>2953</v>
      </c>
    </row>
    <row r="11856" spans="1:26">
      <c r="A11856" s="499">
        <v>45902</v>
      </c>
      <c r="B11856" s="499">
        <v>45902</v>
      </c>
      <c r="C11856" s="500" t="s">
        <v>173</v>
      </c>
      <c r="D11856" s="500" t="s">
        <v>763</v>
      </c>
      <c r="E11856" s="501">
        <v>-113041744.01000001</v>
      </c>
      <c r="F11856" s="502" t="s">
        <v>878</v>
      </c>
      <c r="G11856" s="443">
        <v>118871321</v>
      </c>
      <c r="I11856" s="523" t="s">
        <v>600</v>
      </c>
      <c r="J11856" s="530" t="s">
        <v>906</v>
      </c>
      <c r="N11856" s="598">
        <v>116164</v>
      </c>
      <c r="R11856" s="548">
        <v>973.12199999999996</v>
      </c>
      <c r="S11856" s="548">
        <v>973.54857408491398</v>
      </c>
      <c r="T11856" s="548">
        <v>16</v>
      </c>
      <c r="U11856" s="549">
        <v>169.56</v>
      </c>
      <c r="V11856" s="549">
        <v>84.78</v>
      </c>
      <c r="Z11856" s="548" t="s">
        <v>2953</v>
      </c>
    </row>
    <row r="11857" spans="1:26">
      <c r="A11857" s="499">
        <v>45902</v>
      </c>
      <c r="B11857" s="499">
        <v>45902</v>
      </c>
      <c r="C11857" s="500" t="s">
        <v>173</v>
      </c>
      <c r="D11857" s="500" t="s">
        <v>763</v>
      </c>
      <c r="E11857" s="501">
        <v>-176052445.18000001</v>
      </c>
      <c r="F11857" s="502" t="s">
        <v>878</v>
      </c>
      <c r="G11857" s="443">
        <v>118871324</v>
      </c>
      <c r="I11857" s="523" t="s">
        <v>654</v>
      </c>
      <c r="J11857" s="530" t="s">
        <v>906</v>
      </c>
      <c r="N11857" s="598">
        <v>174944</v>
      </c>
      <c r="R11857" s="548">
        <v>1006.336</v>
      </c>
      <c r="S11857" s="548">
        <v>1006.77713353988</v>
      </c>
      <c r="T11857" s="548">
        <v>16</v>
      </c>
      <c r="U11857" s="549">
        <v>264.08</v>
      </c>
      <c r="V11857" s="549">
        <v>132.04</v>
      </c>
      <c r="Z11857" s="548" t="s">
        <v>2953</v>
      </c>
    </row>
    <row r="11858" spans="1:26">
      <c r="A11858" s="499">
        <v>45902</v>
      </c>
      <c r="B11858" s="499">
        <v>45902</v>
      </c>
      <c r="C11858" s="500" t="s">
        <v>173</v>
      </c>
      <c r="D11858" s="500" t="s">
        <v>763</v>
      </c>
      <c r="E11858" s="501">
        <v>-190183072.03</v>
      </c>
      <c r="F11858" s="502" t="s">
        <v>878</v>
      </c>
      <c r="G11858" s="443">
        <v>118871327</v>
      </c>
      <c r="I11858" s="523" t="s">
        <v>824</v>
      </c>
      <c r="J11858" s="530" t="s">
        <v>906</v>
      </c>
      <c r="N11858" s="598">
        <v>181070</v>
      </c>
      <c r="R11858" s="548">
        <v>1050.329</v>
      </c>
      <c r="S11858" s="548">
        <v>1050.7894181808099</v>
      </c>
      <c r="T11858" s="548">
        <v>16</v>
      </c>
      <c r="U11858" s="549">
        <v>285.27</v>
      </c>
      <c r="V11858" s="549">
        <v>142.63999999999999</v>
      </c>
      <c r="Z11858" s="548" t="s">
        <v>2953</v>
      </c>
    </row>
    <row r="11859" spans="1:26">
      <c r="A11859" s="499">
        <v>45902</v>
      </c>
      <c r="B11859" s="499">
        <v>45902</v>
      </c>
      <c r="C11859" s="500" t="s">
        <v>173</v>
      </c>
      <c r="D11859" s="500" t="s">
        <v>763</v>
      </c>
      <c r="E11859" s="501">
        <v>-195054424.11000001</v>
      </c>
      <c r="F11859" s="502" t="s">
        <v>878</v>
      </c>
      <c r="G11859" s="443">
        <v>118871330</v>
      </c>
      <c r="I11859" s="523" t="s">
        <v>711</v>
      </c>
      <c r="J11859" s="530" t="s">
        <v>906</v>
      </c>
      <c r="N11859" s="598">
        <v>249210</v>
      </c>
      <c r="R11859" s="548">
        <v>782.69100000000003</v>
      </c>
      <c r="S11859" s="548">
        <v>783.03409742787198</v>
      </c>
      <c r="T11859" s="548">
        <v>16</v>
      </c>
      <c r="U11859" s="549">
        <v>292.58</v>
      </c>
      <c r="V11859" s="549">
        <v>146.29</v>
      </c>
      <c r="Z11859" s="548" t="s">
        <v>2953</v>
      </c>
    </row>
    <row r="11860" spans="1:26">
      <c r="A11860" s="499">
        <v>45902</v>
      </c>
      <c r="B11860" s="499">
        <v>45902</v>
      </c>
      <c r="C11860" s="500" t="s">
        <v>173</v>
      </c>
      <c r="D11860" s="500" t="s">
        <v>763</v>
      </c>
      <c r="E11860" s="501">
        <v>-46018777.340000004</v>
      </c>
      <c r="F11860" s="502" t="s">
        <v>878</v>
      </c>
      <c r="G11860" s="443">
        <v>118871333</v>
      </c>
      <c r="I11860" s="523" t="s">
        <v>596</v>
      </c>
      <c r="J11860" s="530" t="s">
        <v>906</v>
      </c>
      <c r="N11860" s="598">
        <v>42642</v>
      </c>
      <c r="R11860" s="548">
        <v>1079.1890000000001</v>
      </c>
      <c r="S11860" s="548">
        <v>1079.6620690868201</v>
      </c>
      <c r="T11860" s="548">
        <v>16</v>
      </c>
      <c r="U11860" s="549">
        <v>69.03</v>
      </c>
      <c r="V11860" s="549">
        <v>39.32</v>
      </c>
      <c r="Z11860" s="548" t="s">
        <v>2953</v>
      </c>
    </row>
    <row r="11861" spans="1:26">
      <c r="A11861" s="499">
        <v>45902</v>
      </c>
      <c r="B11861" s="499">
        <v>45902</v>
      </c>
      <c r="C11861" s="500" t="s">
        <v>173</v>
      </c>
      <c r="D11861" s="500" t="s">
        <v>763</v>
      </c>
      <c r="E11861" s="501">
        <v>-51035895.329999998</v>
      </c>
      <c r="F11861" s="502" t="s">
        <v>878</v>
      </c>
      <c r="G11861" s="443">
        <v>118871336</v>
      </c>
      <c r="I11861" s="523" t="s">
        <v>588</v>
      </c>
      <c r="J11861" s="530" t="s">
        <v>906</v>
      </c>
      <c r="N11861" s="598">
        <v>50133</v>
      </c>
      <c r="R11861" s="548">
        <v>1018.01</v>
      </c>
      <c r="S11861" s="548">
        <v>1018.45625097241</v>
      </c>
      <c r="T11861" s="548">
        <v>16</v>
      </c>
      <c r="U11861" s="549">
        <v>76.55</v>
      </c>
      <c r="V11861" s="549">
        <v>39.32</v>
      </c>
      <c r="Z11861" s="548" t="s">
        <v>2953</v>
      </c>
    </row>
    <row r="11862" spans="1:26">
      <c r="A11862" s="499">
        <v>45902</v>
      </c>
      <c r="B11862" s="499">
        <v>45902</v>
      </c>
      <c r="C11862" s="500" t="s">
        <v>173</v>
      </c>
      <c r="D11862" s="500" t="s">
        <v>763</v>
      </c>
      <c r="E11862" s="501">
        <v>-157121508.41999999</v>
      </c>
      <c r="F11862" s="502" t="s">
        <v>878</v>
      </c>
      <c r="G11862" s="443">
        <v>118871339</v>
      </c>
      <c r="I11862" s="523" t="s">
        <v>823</v>
      </c>
      <c r="J11862" s="530" t="s">
        <v>906</v>
      </c>
      <c r="N11862" s="598">
        <v>153703</v>
      </c>
      <c r="R11862" s="548">
        <v>1022.241</v>
      </c>
      <c r="S11862" s="548">
        <v>1022.68910561277</v>
      </c>
      <c r="T11862" s="548">
        <v>16</v>
      </c>
      <c r="U11862" s="549">
        <v>235.68</v>
      </c>
      <c r="V11862" s="549">
        <v>117.84</v>
      </c>
      <c r="Z11862" s="548" t="s">
        <v>2953</v>
      </c>
    </row>
    <row r="11863" spans="1:26">
      <c r="A11863" s="499">
        <v>45902</v>
      </c>
      <c r="B11863" s="499">
        <v>45902</v>
      </c>
      <c r="C11863" s="500" t="s">
        <v>173</v>
      </c>
      <c r="D11863" s="500" t="s">
        <v>763</v>
      </c>
      <c r="E11863" s="501">
        <v>-932427824.25</v>
      </c>
      <c r="F11863" s="502" t="s">
        <v>878</v>
      </c>
      <c r="G11863" s="443">
        <v>118871342</v>
      </c>
      <c r="I11863" s="523" t="s">
        <v>2854</v>
      </c>
      <c r="J11863" s="530" t="s">
        <v>906</v>
      </c>
      <c r="N11863" s="598">
        <v>1697172</v>
      </c>
      <c r="R11863" s="548">
        <v>549.40089999999998</v>
      </c>
      <c r="S11863" s="548">
        <v>549.64022956424003</v>
      </c>
      <c r="T11863" s="548">
        <v>15.9001</v>
      </c>
      <c r="U11863" s="549">
        <v>1398.64</v>
      </c>
      <c r="V11863" s="549">
        <v>699.32</v>
      </c>
      <c r="Z11863" s="548" t="s">
        <v>2953</v>
      </c>
    </row>
    <row r="11864" spans="1:26">
      <c r="A11864" s="499">
        <v>45902</v>
      </c>
      <c r="B11864" s="499">
        <v>45902</v>
      </c>
      <c r="C11864" s="500" t="s">
        <v>173</v>
      </c>
      <c r="D11864" s="500" t="s">
        <v>763</v>
      </c>
      <c r="E11864" s="501">
        <v>-12005508.470000001</v>
      </c>
      <c r="F11864" s="502" t="s">
        <v>878</v>
      </c>
      <c r="G11864" s="443">
        <v>118871387</v>
      </c>
      <c r="I11864" s="523" t="s">
        <v>2854</v>
      </c>
      <c r="J11864" s="530" t="s">
        <v>906</v>
      </c>
      <c r="N11864" s="598">
        <v>21852</v>
      </c>
      <c r="R11864" s="548">
        <v>549.40089999999998</v>
      </c>
      <c r="S11864" s="548">
        <v>549.64022972725604</v>
      </c>
      <c r="T11864" s="548">
        <v>15.9001</v>
      </c>
      <c r="U11864" s="549">
        <v>39.32</v>
      </c>
      <c r="V11864" s="549">
        <v>39.32</v>
      </c>
      <c r="Z11864" s="548" t="s">
        <v>2953</v>
      </c>
    </row>
    <row r="11865" spans="1:26">
      <c r="A11865" s="499">
        <v>45902</v>
      </c>
      <c r="B11865" s="499">
        <v>45903</v>
      </c>
      <c r="C11865" s="500" t="s">
        <v>173</v>
      </c>
      <c r="D11865" s="500" t="s">
        <v>763</v>
      </c>
      <c r="E11865" s="501">
        <v>66066048.609999999</v>
      </c>
      <c r="F11865" s="502" t="s">
        <v>878</v>
      </c>
      <c r="G11865" s="443">
        <v>118871318</v>
      </c>
      <c r="H11865" s="595">
        <v>118871318</v>
      </c>
      <c r="I11865" s="523" t="s">
        <v>715</v>
      </c>
      <c r="J11865" s="530" t="s">
        <v>912</v>
      </c>
      <c r="N11865" s="598">
        <v>108966</v>
      </c>
      <c r="R11865" s="548">
        <v>606.03399999999999</v>
      </c>
      <c r="S11865" s="548">
        <v>606.29965870087904</v>
      </c>
      <c r="T11865" s="548">
        <v>16</v>
      </c>
      <c r="U11865" s="549">
        <v>99.06</v>
      </c>
      <c r="V11865" s="549">
        <v>49.53</v>
      </c>
      <c r="Z11865" s="548" t="s">
        <v>2953</v>
      </c>
    </row>
    <row r="11866" spans="1:26">
      <c r="A11866" s="499">
        <v>45902</v>
      </c>
      <c r="B11866" s="499">
        <v>45903</v>
      </c>
      <c r="C11866" s="500" t="s">
        <v>173</v>
      </c>
      <c r="D11866" s="500" t="s">
        <v>763</v>
      </c>
      <c r="E11866" s="501">
        <v>113091296.56</v>
      </c>
      <c r="F11866" s="502" t="s">
        <v>878</v>
      </c>
      <c r="G11866" s="443">
        <v>118871321</v>
      </c>
      <c r="H11866" s="595">
        <v>118871321</v>
      </c>
      <c r="I11866" s="523" t="s">
        <v>600</v>
      </c>
      <c r="J11866" s="530" t="s">
        <v>912</v>
      </c>
      <c r="N11866" s="598">
        <v>116164</v>
      </c>
      <c r="R11866" s="548">
        <v>973.12199999999996</v>
      </c>
      <c r="S11866" s="548">
        <v>973.54857408491398</v>
      </c>
      <c r="T11866" s="548">
        <v>16</v>
      </c>
      <c r="U11866" s="549">
        <v>169.56</v>
      </c>
      <c r="V11866" s="549">
        <v>84.78</v>
      </c>
      <c r="Z11866" s="548" t="s">
        <v>2953</v>
      </c>
    </row>
    <row r="11867" spans="1:26">
      <c r="A11867" s="499">
        <v>45902</v>
      </c>
      <c r="B11867" s="499">
        <v>45903</v>
      </c>
      <c r="C11867" s="500" t="s">
        <v>173</v>
      </c>
      <c r="D11867" s="500" t="s">
        <v>763</v>
      </c>
      <c r="E11867" s="501">
        <v>176129618.84999999</v>
      </c>
      <c r="F11867" s="502" t="s">
        <v>878</v>
      </c>
      <c r="G11867" s="443">
        <v>118871324</v>
      </c>
      <c r="H11867" s="595">
        <v>118871324</v>
      </c>
      <c r="I11867" s="523" t="s">
        <v>654</v>
      </c>
      <c r="J11867" s="530" t="s">
        <v>912</v>
      </c>
      <c r="N11867" s="598">
        <v>174944</v>
      </c>
      <c r="R11867" s="548">
        <v>1006.336</v>
      </c>
      <c r="S11867" s="548">
        <v>1006.77713353988</v>
      </c>
      <c r="T11867" s="548">
        <v>16</v>
      </c>
      <c r="U11867" s="549">
        <v>264.08</v>
      </c>
      <c r="V11867" s="549">
        <v>132.04</v>
      </c>
      <c r="Z11867" s="548" t="s">
        <v>2953</v>
      </c>
    </row>
    <row r="11868" spans="1:26">
      <c r="A11868" s="499">
        <v>45902</v>
      </c>
      <c r="B11868" s="499">
        <v>45903</v>
      </c>
      <c r="C11868" s="500" t="s">
        <v>173</v>
      </c>
      <c r="D11868" s="500" t="s">
        <v>763</v>
      </c>
      <c r="E11868" s="501">
        <v>190266439.94999999</v>
      </c>
      <c r="F11868" s="502" t="s">
        <v>878</v>
      </c>
      <c r="G11868" s="443">
        <v>118871327</v>
      </c>
      <c r="H11868" s="595">
        <v>118871327</v>
      </c>
      <c r="I11868" s="523" t="s">
        <v>824</v>
      </c>
      <c r="J11868" s="530" t="s">
        <v>912</v>
      </c>
      <c r="N11868" s="598">
        <v>181070</v>
      </c>
      <c r="R11868" s="548">
        <v>1050.329</v>
      </c>
      <c r="S11868" s="548">
        <v>1050.7894181808099</v>
      </c>
      <c r="T11868" s="548">
        <v>16</v>
      </c>
      <c r="U11868" s="549">
        <v>285.27</v>
      </c>
      <c r="V11868" s="549">
        <v>142.63999999999999</v>
      </c>
      <c r="Z11868" s="548" t="s">
        <v>2953</v>
      </c>
    </row>
    <row r="11869" spans="1:26">
      <c r="A11869" s="499">
        <v>45902</v>
      </c>
      <c r="B11869" s="499">
        <v>45903</v>
      </c>
      <c r="C11869" s="500" t="s">
        <v>173</v>
      </c>
      <c r="D11869" s="500" t="s">
        <v>763</v>
      </c>
      <c r="E11869" s="501">
        <v>195139927.41999999</v>
      </c>
      <c r="F11869" s="502" t="s">
        <v>878</v>
      </c>
      <c r="G11869" s="443">
        <v>118871330</v>
      </c>
      <c r="H11869" s="595">
        <v>118871330</v>
      </c>
      <c r="I11869" s="523" t="s">
        <v>711</v>
      </c>
      <c r="J11869" s="530" t="s">
        <v>912</v>
      </c>
      <c r="N11869" s="598">
        <v>249210</v>
      </c>
      <c r="R11869" s="548">
        <v>782.69100000000003</v>
      </c>
      <c r="S11869" s="548">
        <v>783.03409742787198</v>
      </c>
      <c r="T11869" s="548">
        <v>16</v>
      </c>
      <c r="U11869" s="549">
        <v>292.58</v>
      </c>
      <c r="V11869" s="549">
        <v>146.29</v>
      </c>
      <c r="Z11869" s="548" t="s">
        <v>2953</v>
      </c>
    </row>
    <row r="11870" spans="1:26">
      <c r="A11870" s="499">
        <v>45902</v>
      </c>
      <c r="B11870" s="499">
        <v>45903</v>
      </c>
      <c r="C11870" s="500" t="s">
        <v>173</v>
      </c>
      <c r="D11870" s="500" t="s">
        <v>763</v>
      </c>
      <c r="E11870" s="501">
        <v>46038949.950000003</v>
      </c>
      <c r="F11870" s="502" t="s">
        <v>878</v>
      </c>
      <c r="G11870" s="443">
        <v>118871333</v>
      </c>
      <c r="H11870" s="595">
        <v>118871333</v>
      </c>
      <c r="I11870" s="523" t="s">
        <v>596</v>
      </c>
      <c r="J11870" s="530" t="s">
        <v>912</v>
      </c>
      <c r="N11870" s="598">
        <v>42642</v>
      </c>
      <c r="R11870" s="548">
        <v>1079.1890000000001</v>
      </c>
      <c r="S11870" s="548">
        <v>1079.6620690868201</v>
      </c>
      <c r="T11870" s="548">
        <v>16</v>
      </c>
      <c r="U11870" s="549">
        <v>69.03</v>
      </c>
      <c r="V11870" s="549">
        <v>39.32</v>
      </c>
      <c r="Z11870" s="548" t="s">
        <v>2953</v>
      </c>
    </row>
    <row r="11871" spans="1:26">
      <c r="A11871" s="499">
        <v>45902</v>
      </c>
      <c r="B11871" s="499">
        <v>45903</v>
      </c>
      <c r="C11871" s="500" t="s">
        <v>173</v>
      </c>
      <c r="D11871" s="500" t="s">
        <v>763</v>
      </c>
      <c r="E11871" s="501">
        <v>51058267.229999997</v>
      </c>
      <c r="F11871" s="502" t="s">
        <v>878</v>
      </c>
      <c r="G11871" s="443">
        <v>118871336</v>
      </c>
      <c r="H11871" s="595">
        <v>118871336</v>
      </c>
      <c r="I11871" s="523" t="s">
        <v>588</v>
      </c>
      <c r="J11871" s="530" t="s">
        <v>912</v>
      </c>
      <c r="N11871" s="598">
        <v>50133</v>
      </c>
      <c r="R11871" s="548">
        <v>1018.01</v>
      </c>
      <c r="S11871" s="548">
        <v>1018.45625097241</v>
      </c>
      <c r="T11871" s="548">
        <v>16</v>
      </c>
      <c r="U11871" s="549">
        <v>76.55</v>
      </c>
      <c r="V11871" s="549">
        <v>39.32</v>
      </c>
      <c r="Z11871" s="548" t="s">
        <v>2953</v>
      </c>
    </row>
    <row r="11872" spans="1:26">
      <c r="A11872" s="499">
        <v>45902</v>
      </c>
      <c r="B11872" s="499">
        <v>45903</v>
      </c>
      <c r="C11872" s="500" t="s">
        <v>173</v>
      </c>
      <c r="D11872" s="500" t="s">
        <v>763</v>
      </c>
      <c r="E11872" s="501">
        <v>157190383.59999999</v>
      </c>
      <c r="F11872" s="502" t="s">
        <v>878</v>
      </c>
      <c r="G11872" s="443">
        <v>118871339</v>
      </c>
      <c r="H11872" s="595">
        <v>118871339</v>
      </c>
      <c r="I11872" s="523" t="s">
        <v>823</v>
      </c>
      <c r="J11872" s="530" t="s">
        <v>912</v>
      </c>
      <c r="N11872" s="598">
        <v>153703</v>
      </c>
      <c r="R11872" s="548">
        <v>1022.241</v>
      </c>
      <c r="S11872" s="548">
        <v>1022.68910561277</v>
      </c>
      <c r="T11872" s="548">
        <v>16</v>
      </c>
      <c r="U11872" s="549">
        <v>235.68</v>
      </c>
      <c r="V11872" s="549">
        <v>117.84</v>
      </c>
      <c r="Z11872" s="548" t="s">
        <v>2953</v>
      </c>
    </row>
    <row r="11873" spans="1:26">
      <c r="A11873" s="499">
        <v>45902</v>
      </c>
      <c r="B11873" s="499">
        <v>45903</v>
      </c>
      <c r="C11873" s="500" t="s">
        <v>173</v>
      </c>
      <c r="D11873" s="500" t="s">
        <v>763</v>
      </c>
      <c r="E11873" s="501">
        <v>932834007.69000006</v>
      </c>
      <c r="F11873" s="502" t="s">
        <v>878</v>
      </c>
      <c r="G11873" s="443">
        <v>118871342</v>
      </c>
      <c r="H11873" s="595">
        <v>118871342</v>
      </c>
      <c r="I11873" s="523" t="s">
        <v>2854</v>
      </c>
      <c r="J11873" s="530" t="s">
        <v>912</v>
      </c>
      <c r="N11873" s="598">
        <v>1697172</v>
      </c>
      <c r="R11873" s="548">
        <v>549.40089999999998</v>
      </c>
      <c r="S11873" s="548">
        <v>549.64022956424003</v>
      </c>
      <c r="T11873" s="548">
        <v>15.9001</v>
      </c>
      <c r="U11873" s="549">
        <v>1398.64</v>
      </c>
      <c r="V11873" s="549">
        <v>699.32</v>
      </c>
      <c r="Z11873" s="548" t="s">
        <v>2953</v>
      </c>
    </row>
    <row r="11874" spans="1:26">
      <c r="A11874" s="499">
        <v>45902</v>
      </c>
      <c r="B11874" s="499">
        <v>45903</v>
      </c>
      <c r="C11874" s="500" t="s">
        <v>173</v>
      </c>
      <c r="D11874" s="500" t="s">
        <v>763</v>
      </c>
      <c r="E11874" s="501">
        <v>12010738.300000001</v>
      </c>
      <c r="F11874" s="502" t="s">
        <v>878</v>
      </c>
      <c r="G11874" s="443">
        <v>118871387</v>
      </c>
      <c r="H11874" s="595">
        <v>118871387</v>
      </c>
      <c r="I11874" s="523" t="s">
        <v>2854</v>
      </c>
      <c r="J11874" s="530" t="s">
        <v>912</v>
      </c>
      <c r="N11874" s="598">
        <v>21852</v>
      </c>
      <c r="R11874" s="548">
        <v>549.40089999999998</v>
      </c>
      <c r="S11874" s="548">
        <v>549.64022972725604</v>
      </c>
      <c r="T11874" s="548">
        <v>15.9001</v>
      </c>
      <c r="U11874" s="549">
        <v>39.32</v>
      </c>
      <c r="V11874" s="549">
        <v>39.32</v>
      </c>
      <c r="Z11874" s="548" t="s">
        <v>2953</v>
      </c>
    </row>
    <row r="11875" spans="1:26">
      <c r="A11875" s="499">
        <v>45903</v>
      </c>
      <c r="B11875" s="499">
        <v>45910</v>
      </c>
      <c r="C11875" s="500" t="s">
        <v>173</v>
      </c>
      <c r="D11875" s="500" t="s">
        <v>761</v>
      </c>
      <c r="E11875" s="501">
        <v>243099999.99999997</v>
      </c>
      <c r="F11875" s="502" t="s">
        <v>381</v>
      </c>
      <c r="G11875" s="443" t="s">
        <v>914</v>
      </c>
      <c r="I11875" s="523" t="s">
        <v>916</v>
      </c>
    </row>
    <row r="11876" spans="1:26">
      <c r="A11876" s="499">
        <v>45903</v>
      </c>
      <c r="B11876" s="499">
        <v>45910</v>
      </c>
      <c r="C11876" s="500" t="s">
        <v>173</v>
      </c>
      <c r="D11876" s="500" t="s">
        <v>759</v>
      </c>
      <c r="E11876" s="501">
        <v>286000000</v>
      </c>
      <c r="F11876" s="502" t="s">
        <v>381</v>
      </c>
      <c r="G11876" s="443" t="s">
        <v>914</v>
      </c>
      <c r="I11876" s="523" t="s">
        <v>916</v>
      </c>
    </row>
    <row r="11877" spans="1:26">
      <c r="A11877" s="499">
        <v>45903</v>
      </c>
      <c r="B11877" s="499">
        <v>45910</v>
      </c>
      <c r="C11877" s="500" t="s">
        <v>173</v>
      </c>
      <c r="D11877" s="500" t="s">
        <v>760</v>
      </c>
      <c r="E11877" s="501">
        <v>300300000</v>
      </c>
      <c r="F11877" s="502" t="s">
        <v>381</v>
      </c>
      <c r="G11877" s="443" t="s">
        <v>914</v>
      </c>
      <c r="I11877" s="523" t="s">
        <v>916</v>
      </c>
    </row>
    <row r="11878" spans="1:26">
      <c r="A11878" s="499">
        <v>45903</v>
      </c>
      <c r="B11878" s="499">
        <v>45910</v>
      </c>
      <c r="C11878" s="500" t="s">
        <v>173</v>
      </c>
      <c r="D11878" s="500" t="s">
        <v>762</v>
      </c>
      <c r="E11878" s="501">
        <v>428999999.99999994</v>
      </c>
      <c r="F11878" s="502" t="s">
        <v>381</v>
      </c>
      <c r="G11878" s="443" t="s">
        <v>914</v>
      </c>
      <c r="I11878" s="523" t="s">
        <v>916</v>
      </c>
    </row>
    <row r="11879" spans="1:26">
      <c r="A11879" s="499">
        <v>45903</v>
      </c>
      <c r="B11879" s="499">
        <v>45910</v>
      </c>
      <c r="C11879" s="500" t="s">
        <v>173</v>
      </c>
      <c r="D11879" s="500" t="s">
        <v>763</v>
      </c>
      <c r="E11879" s="501">
        <v>141889462</v>
      </c>
      <c r="F11879" s="502" t="s">
        <v>381</v>
      </c>
      <c r="G11879" s="443" t="s">
        <v>914</v>
      </c>
      <c r="I11879" s="523" t="s">
        <v>916</v>
      </c>
    </row>
    <row r="11880" spans="1:26">
      <c r="A11880" s="499">
        <v>45903</v>
      </c>
      <c r="B11880" s="499">
        <v>45903</v>
      </c>
      <c r="C11880" s="500" t="s">
        <v>173</v>
      </c>
      <c r="D11880" s="500" t="s">
        <v>762</v>
      </c>
      <c r="E11880" s="501">
        <v>-3028167114.3400002</v>
      </c>
      <c r="F11880" s="502" t="s">
        <v>878</v>
      </c>
      <c r="G11880" s="443">
        <v>118904601</v>
      </c>
      <c r="I11880" s="523" t="s">
        <v>685</v>
      </c>
      <c r="J11880" s="530" t="s">
        <v>906</v>
      </c>
      <c r="N11880" s="598">
        <v>3226782</v>
      </c>
      <c r="R11880" s="539">
        <v>938.44799999999998</v>
      </c>
      <c r="S11880" s="539">
        <v>938.85039364915303</v>
      </c>
      <c r="T11880" s="567">
        <v>15.650700000000001</v>
      </c>
      <c r="U11880" s="538">
        <v>4542.25</v>
      </c>
      <c r="V11880" s="538">
        <v>2271.13</v>
      </c>
      <c r="Z11880" s="539" t="s">
        <v>2953</v>
      </c>
    </row>
    <row r="11881" spans="1:26">
      <c r="A11881" s="499">
        <v>45903</v>
      </c>
      <c r="B11881" s="499">
        <v>45903</v>
      </c>
      <c r="C11881" s="500" t="s">
        <v>173</v>
      </c>
      <c r="D11881" s="500" t="s">
        <v>762</v>
      </c>
      <c r="E11881" s="501">
        <v>-18006940.219999999</v>
      </c>
      <c r="F11881" s="502" t="s">
        <v>878</v>
      </c>
      <c r="G11881" s="443">
        <v>118904621</v>
      </c>
      <c r="I11881" s="523" t="s">
        <v>685</v>
      </c>
      <c r="J11881" s="530" t="s">
        <v>906</v>
      </c>
      <c r="N11881" s="598">
        <v>19188</v>
      </c>
      <c r="R11881" s="539">
        <v>938.44799999999998</v>
      </c>
      <c r="S11881" s="539">
        <v>938.85039347508905</v>
      </c>
      <c r="T11881" s="567">
        <v>15.650700000000001</v>
      </c>
      <c r="U11881" s="538">
        <v>39.32</v>
      </c>
      <c r="V11881" s="538">
        <v>13.51</v>
      </c>
      <c r="Z11881" s="539" t="s">
        <v>2953</v>
      </c>
    </row>
    <row r="11882" spans="1:26">
      <c r="A11882" s="499">
        <v>45903</v>
      </c>
      <c r="B11882" s="499">
        <v>45904</v>
      </c>
      <c r="C11882" s="500" t="s">
        <v>173</v>
      </c>
      <c r="D11882" s="500" t="s">
        <v>762</v>
      </c>
      <c r="E11882" s="501">
        <v>3029465550.9200001</v>
      </c>
      <c r="F11882" s="502" t="s">
        <v>878</v>
      </c>
      <c r="G11882" s="443">
        <v>118904601</v>
      </c>
      <c r="H11882" s="594">
        <v>118904601</v>
      </c>
      <c r="I11882" s="523" t="s">
        <v>685</v>
      </c>
      <c r="J11882" s="530" t="s">
        <v>912</v>
      </c>
      <c r="N11882" s="598">
        <v>3226782</v>
      </c>
      <c r="R11882" s="539">
        <v>938.44799999999998</v>
      </c>
      <c r="S11882" s="539">
        <v>938.85039364915303</v>
      </c>
      <c r="T11882" s="567">
        <v>15.650700000000001</v>
      </c>
      <c r="U11882" s="538">
        <v>4542.25</v>
      </c>
      <c r="V11882" s="538">
        <v>2271.13</v>
      </c>
      <c r="Z11882" s="539" t="s">
        <v>2953</v>
      </c>
    </row>
    <row r="11883" spans="1:26">
      <c r="A11883" s="499">
        <v>45903</v>
      </c>
      <c r="B11883" s="499">
        <v>45904</v>
      </c>
      <c r="C11883" s="500" t="s">
        <v>173</v>
      </c>
      <c r="D11883" s="500" t="s">
        <v>762</v>
      </c>
      <c r="E11883" s="501">
        <v>18014661.350000001</v>
      </c>
      <c r="F11883" s="502" t="s">
        <v>878</v>
      </c>
      <c r="G11883" s="443">
        <v>118904621</v>
      </c>
      <c r="H11883" s="594">
        <v>118904621</v>
      </c>
      <c r="I11883" s="523" t="s">
        <v>685</v>
      </c>
      <c r="J11883" s="530" t="s">
        <v>912</v>
      </c>
      <c r="N11883" s="598">
        <v>19188</v>
      </c>
      <c r="R11883" s="539">
        <v>938.44799999999998</v>
      </c>
      <c r="S11883" s="539">
        <v>938.85039347508905</v>
      </c>
      <c r="T11883" s="567">
        <v>15.650700000000001</v>
      </c>
      <c r="U11883" s="538">
        <v>39.32</v>
      </c>
      <c r="V11883" s="538">
        <v>13.51</v>
      </c>
      <c r="Z11883" s="539" t="s">
        <v>2953</v>
      </c>
    </row>
    <row r="11884" spans="1:26">
      <c r="A11884" s="499">
        <v>45903</v>
      </c>
      <c r="B11884" s="499">
        <v>45903</v>
      </c>
      <c r="C11884" s="500" t="s">
        <v>173</v>
      </c>
      <c r="D11884" s="500" t="s">
        <v>761</v>
      </c>
      <c r="E11884" s="501">
        <v>-1153476954.5899999</v>
      </c>
      <c r="F11884" s="502" t="s">
        <v>878</v>
      </c>
      <c r="G11884" s="443">
        <v>118900556</v>
      </c>
      <c r="I11884" s="523" t="s">
        <v>604</v>
      </c>
      <c r="J11884" s="530" t="s">
        <v>906</v>
      </c>
      <c r="N11884" s="598">
        <v>1125328</v>
      </c>
      <c r="R11884" s="420">
        <v>1025.0139999982227</v>
      </c>
      <c r="S11884" s="420">
        <v>1025.4512485071</v>
      </c>
      <c r="T11884" s="420">
        <v>15.5701</v>
      </c>
      <c r="U11884" s="278">
        <v>1730.22</v>
      </c>
      <c r="V11884" s="278">
        <v>865.11</v>
      </c>
      <c r="Z11884" s="420" t="s">
        <v>2953</v>
      </c>
    </row>
    <row r="11885" spans="1:26">
      <c r="A11885" s="499">
        <v>45903</v>
      </c>
      <c r="B11885" s="499">
        <v>45903</v>
      </c>
      <c r="C11885" s="500" t="s">
        <v>173</v>
      </c>
      <c r="D11885" s="500" t="s">
        <v>761</v>
      </c>
      <c r="E11885" s="501">
        <v>-7002895.6500000004</v>
      </c>
      <c r="F11885" s="502" t="s">
        <v>878</v>
      </c>
      <c r="G11885" s="443">
        <v>118900588</v>
      </c>
      <c r="I11885" s="523" t="s">
        <v>604</v>
      </c>
      <c r="J11885" s="530" t="s">
        <v>906</v>
      </c>
      <c r="N11885" s="598">
        <v>6832</v>
      </c>
      <c r="R11885" s="420">
        <v>1025.0140002927401</v>
      </c>
      <c r="S11885" s="420">
        <v>1025.4512485363</v>
      </c>
      <c r="T11885" s="420">
        <v>15.5701</v>
      </c>
      <c r="U11885" s="278">
        <v>39.32</v>
      </c>
      <c r="V11885" s="278">
        <v>5.25</v>
      </c>
      <c r="Z11885" s="420" t="s">
        <v>2953</v>
      </c>
    </row>
    <row r="11886" spans="1:26">
      <c r="A11886" s="499">
        <v>45903</v>
      </c>
      <c r="B11886" s="499">
        <v>45904</v>
      </c>
      <c r="C11886" s="500" t="s">
        <v>173</v>
      </c>
      <c r="D11886" s="500" t="s">
        <v>761</v>
      </c>
      <c r="E11886" s="501">
        <v>1153969002.5799999</v>
      </c>
      <c r="F11886" s="502" t="s">
        <v>878</v>
      </c>
      <c r="G11886" s="443">
        <v>118900556</v>
      </c>
      <c r="H11886" s="594">
        <v>118900556</v>
      </c>
      <c r="I11886" s="523" t="s">
        <v>604</v>
      </c>
      <c r="J11886" s="530" t="s">
        <v>912</v>
      </c>
      <c r="N11886" s="598">
        <v>1125328</v>
      </c>
      <c r="R11886" s="420">
        <v>1025.0139999982227</v>
      </c>
      <c r="S11886" s="420">
        <v>1025.4512485071</v>
      </c>
      <c r="T11886" s="420">
        <v>15.5701</v>
      </c>
      <c r="U11886" s="278">
        <v>1730.22</v>
      </c>
      <c r="V11886" s="278">
        <v>865.11</v>
      </c>
      <c r="Z11886" s="420" t="s">
        <v>2953</v>
      </c>
    </row>
    <row r="11887" spans="1:26">
      <c r="A11887" s="499">
        <v>45903</v>
      </c>
      <c r="B11887" s="499">
        <v>45904</v>
      </c>
      <c r="C11887" s="500" t="s">
        <v>173</v>
      </c>
      <c r="D11887" s="500" t="s">
        <v>761</v>
      </c>
      <c r="E11887" s="501">
        <v>7005882.9299999997</v>
      </c>
      <c r="F11887" s="502" t="s">
        <v>878</v>
      </c>
      <c r="G11887" s="443">
        <v>118900588</v>
      </c>
      <c r="H11887" s="594">
        <v>118900588</v>
      </c>
      <c r="I11887" s="523" t="s">
        <v>604</v>
      </c>
      <c r="J11887" s="530" t="s">
        <v>912</v>
      </c>
      <c r="N11887" s="598">
        <v>6832</v>
      </c>
      <c r="R11887" s="420">
        <v>1025.0140002927401</v>
      </c>
      <c r="S11887" s="420">
        <v>1025.4512485363</v>
      </c>
      <c r="T11887" s="420">
        <v>15.5701</v>
      </c>
      <c r="U11887" s="278">
        <v>39.32</v>
      </c>
      <c r="V11887" s="278">
        <v>5.25</v>
      </c>
      <c r="Z11887" s="420" t="s">
        <v>2953</v>
      </c>
    </row>
    <row r="11888" spans="1:26">
      <c r="A11888" s="499">
        <v>45903</v>
      </c>
      <c r="B11888" s="499">
        <v>45903</v>
      </c>
      <c r="C11888" s="500" t="s">
        <v>173</v>
      </c>
      <c r="D11888" s="500" t="s">
        <v>759</v>
      </c>
      <c r="E11888" s="501">
        <v>-1901208349.5999999</v>
      </c>
      <c r="F11888" s="502" t="s">
        <v>878</v>
      </c>
      <c r="G11888" s="443">
        <v>118900887</v>
      </c>
      <c r="I11888" s="523" t="s">
        <v>658</v>
      </c>
      <c r="J11888" s="530" t="s">
        <v>906</v>
      </c>
      <c r="N11888" s="598">
        <v>1862980</v>
      </c>
      <c r="R11888" s="420">
        <v>1020.52</v>
      </c>
      <c r="S11888" s="420">
        <v>1020.95616745215</v>
      </c>
      <c r="T11888" s="420">
        <v>15.6</v>
      </c>
      <c r="U11888" s="278">
        <v>2851.81</v>
      </c>
      <c r="V11888" s="278">
        <v>1425.91</v>
      </c>
      <c r="Z11888" s="420" t="s">
        <v>2953</v>
      </c>
    </row>
    <row r="11889" spans="1:26">
      <c r="A11889" s="499">
        <v>45903</v>
      </c>
      <c r="B11889" s="499">
        <v>45903</v>
      </c>
      <c r="C11889" s="500" t="s">
        <v>173</v>
      </c>
      <c r="D11889" s="500" t="s">
        <v>759</v>
      </c>
      <c r="E11889" s="501">
        <v>-158127257.47</v>
      </c>
      <c r="F11889" s="502" t="s">
        <v>878</v>
      </c>
      <c r="G11889" s="443">
        <v>118901088</v>
      </c>
      <c r="I11889" s="523" t="s">
        <v>691</v>
      </c>
      <c r="J11889" s="530" t="s">
        <v>906</v>
      </c>
      <c r="N11889" s="598">
        <v>181542</v>
      </c>
      <c r="R11889" s="420">
        <v>871.02300002203344</v>
      </c>
      <c r="S11889" s="420">
        <v>871.39527288451097</v>
      </c>
      <c r="T11889" s="420">
        <v>15.6</v>
      </c>
      <c r="U11889" s="278">
        <v>237.19</v>
      </c>
      <c r="V11889" s="278">
        <v>118.6</v>
      </c>
      <c r="Z11889" s="420" t="s">
        <v>2953</v>
      </c>
    </row>
    <row r="11890" spans="1:26">
      <c r="A11890" s="499">
        <v>45903</v>
      </c>
      <c r="B11890" s="499">
        <v>45903</v>
      </c>
      <c r="C11890" s="500" t="s">
        <v>173</v>
      </c>
      <c r="D11890" s="500" t="s">
        <v>759</v>
      </c>
      <c r="E11890" s="501">
        <v>-13002977.51</v>
      </c>
      <c r="F11890" s="502" t="s">
        <v>878</v>
      </c>
      <c r="G11890" s="443">
        <v>118901732</v>
      </c>
      <c r="I11890" s="523" t="s">
        <v>1013</v>
      </c>
      <c r="J11890" s="530" t="s">
        <v>906</v>
      </c>
      <c r="N11890" s="598">
        <v>24141</v>
      </c>
      <c r="R11890" s="420">
        <v>538.62630007041957</v>
      </c>
      <c r="S11890" s="420">
        <v>538.85650884387599</v>
      </c>
      <c r="T11890" s="420">
        <v>15.600099999999999</v>
      </c>
      <c r="U11890" s="278">
        <v>39.32</v>
      </c>
      <c r="V11890" s="278">
        <v>9.75</v>
      </c>
      <c r="Z11890" s="420" t="s">
        <v>2953</v>
      </c>
    </row>
    <row r="11891" spans="1:26">
      <c r="A11891" s="499">
        <v>45903</v>
      </c>
      <c r="B11891" s="499">
        <v>45904</v>
      </c>
      <c r="C11891" s="500" t="s">
        <v>173</v>
      </c>
      <c r="D11891" s="500" t="s">
        <v>759</v>
      </c>
      <c r="E11891" s="501">
        <v>1902020920.8399999</v>
      </c>
      <c r="F11891" s="502" t="s">
        <v>878</v>
      </c>
      <c r="G11891" s="443">
        <v>118900887</v>
      </c>
      <c r="H11891" s="594">
        <v>118900887</v>
      </c>
      <c r="I11891" s="523" t="s">
        <v>658</v>
      </c>
      <c r="J11891" s="530" t="s">
        <v>912</v>
      </c>
      <c r="N11891" s="598">
        <v>1862980</v>
      </c>
      <c r="R11891" s="420">
        <v>1020.52</v>
      </c>
      <c r="S11891" s="420">
        <v>1020.95616745215</v>
      </c>
      <c r="T11891" s="420">
        <v>15.6</v>
      </c>
      <c r="U11891" s="278">
        <v>2851.81</v>
      </c>
      <c r="V11891" s="278">
        <v>1425.91</v>
      </c>
      <c r="Z11891" s="420" t="s">
        <v>2953</v>
      </c>
    </row>
    <row r="11892" spans="1:26">
      <c r="A11892" s="499">
        <v>45903</v>
      </c>
      <c r="B11892" s="499">
        <v>45904</v>
      </c>
      <c r="C11892" s="500" t="s">
        <v>173</v>
      </c>
      <c r="D11892" s="500" t="s">
        <v>759</v>
      </c>
      <c r="E11892" s="501">
        <v>158194840.63</v>
      </c>
      <c r="F11892" s="502" t="s">
        <v>878</v>
      </c>
      <c r="G11892" s="443">
        <v>118901088</v>
      </c>
      <c r="H11892" s="594">
        <v>118901088</v>
      </c>
      <c r="I11892" s="523" t="s">
        <v>691</v>
      </c>
      <c r="J11892" s="530" t="s">
        <v>912</v>
      </c>
      <c r="N11892" s="598">
        <v>181542</v>
      </c>
      <c r="R11892" s="420">
        <v>871.02300002203344</v>
      </c>
      <c r="S11892" s="420">
        <v>871.39527288451097</v>
      </c>
      <c r="T11892" s="420">
        <v>15.6</v>
      </c>
      <c r="U11892" s="278">
        <v>237.19</v>
      </c>
      <c r="V11892" s="278">
        <v>118.6</v>
      </c>
      <c r="Z11892" s="420" t="s">
        <v>2953</v>
      </c>
    </row>
    <row r="11893" spans="1:26">
      <c r="A11893" s="499">
        <v>45903</v>
      </c>
      <c r="B11893" s="499">
        <v>45904</v>
      </c>
      <c r="C11893" s="500" t="s">
        <v>173</v>
      </c>
      <c r="D11893" s="500" t="s">
        <v>759</v>
      </c>
      <c r="E11893" s="501">
        <v>13008534.98</v>
      </c>
      <c r="F11893" s="502" t="s">
        <v>878</v>
      </c>
      <c r="G11893" s="443">
        <v>118901732</v>
      </c>
      <c r="H11893" s="594">
        <v>118901732</v>
      </c>
      <c r="I11893" s="523" t="s">
        <v>1013</v>
      </c>
      <c r="J11893" s="530" t="s">
        <v>912</v>
      </c>
      <c r="N11893" s="598">
        <v>24141</v>
      </c>
      <c r="R11893" s="420">
        <v>538.62630007041957</v>
      </c>
      <c r="S11893" s="420">
        <v>538.85650884387599</v>
      </c>
      <c r="T11893" s="420">
        <v>15.600099999999999</v>
      </c>
      <c r="U11893" s="278">
        <v>39.32</v>
      </c>
      <c r="V11893" s="278">
        <v>9.75</v>
      </c>
      <c r="Z11893" s="420" t="s">
        <v>2953</v>
      </c>
    </row>
    <row r="11894" spans="1:26">
      <c r="A11894" s="499">
        <v>45903</v>
      </c>
      <c r="B11894" s="499">
        <v>45903</v>
      </c>
      <c r="C11894" s="500" t="s">
        <v>173</v>
      </c>
      <c r="D11894" s="500" t="s">
        <v>760</v>
      </c>
      <c r="E11894" s="501">
        <v>-415258760.38999999</v>
      </c>
      <c r="F11894" s="502" t="s">
        <v>878</v>
      </c>
      <c r="G11894" s="443">
        <v>118900036</v>
      </c>
      <c r="I11894" s="523" t="s">
        <v>675</v>
      </c>
      <c r="J11894" s="530" t="s">
        <v>906</v>
      </c>
      <c r="N11894" s="598">
        <v>444465</v>
      </c>
      <c r="R11894" s="420">
        <v>934.28899999999999</v>
      </c>
      <c r="S11894" s="420">
        <v>934.68831001316198</v>
      </c>
      <c r="T11894" s="420">
        <v>15.5999</v>
      </c>
      <c r="U11894" s="278">
        <v>622.89</v>
      </c>
      <c r="V11894" s="278">
        <v>311.44</v>
      </c>
      <c r="Z11894" s="420" t="s">
        <v>2953</v>
      </c>
    </row>
    <row r="11895" spans="1:26">
      <c r="A11895" s="499">
        <v>45903</v>
      </c>
      <c r="B11895" s="499">
        <v>45903</v>
      </c>
      <c r="C11895" s="500" t="s">
        <v>173</v>
      </c>
      <c r="D11895" s="500" t="s">
        <v>760</v>
      </c>
      <c r="E11895" s="501">
        <v>-1300053203.9300001</v>
      </c>
      <c r="F11895" s="502" t="s">
        <v>878</v>
      </c>
      <c r="G11895" s="443">
        <v>118898037</v>
      </c>
      <c r="I11895" s="523" t="s">
        <v>2956</v>
      </c>
      <c r="J11895" s="530" t="s">
        <v>906</v>
      </c>
      <c r="N11895" s="598">
        <v>13074100</v>
      </c>
      <c r="R11895" s="420">
        <v>99.437299999999993</v>
      </c>
      <c r="S11895" s="420">
        <v>99.480480034572196</v>
      </c>
      <c r="T11895" s="420">
        <v>15.8499</v>
      </c>
      <c r="U11895" s="278">
        <v>1950.08</v>
      </c>
      <c r="V11895" s="278">
        <v>975.04</v>
      </c>
      <c r="Z11895" s="420" t="s">
        <v>2953</v>
      </c>
    </row>
    <row r="11896" spans="1:26">
      <c r="A11896" s="499">
        <v>45903</v>
      </c>
      <c r="B11896" s="499">
        <v>45904</v>
      </c>
      <c r="C11896" s="500" t="s">
        <v>173</v>
      </c>
      <c r="D11896" s="500" t="s">
        <v>760</v>
      </c>
      <c r="E11896" s="501">
        <v>415436239.70999998</v>
      </c>
      <c r="F11896" s="502" t="s">
        <v>878</v>
      </c>
      <c r="G11896" s="443">
        <v>118900036</v>
      </c>
      <c r="H11896" s="594">
        <v>118900036</v>
      </c>
      <c r="I11896" s="523" t="s">
        <v>675</v>
      </c>
      <c r="J11896" s="530" t="s">
        <v>912</v>
      </c>
      <c r="N11896" s="598">
        <v>444465</v>
      </c>
      <c r="R11896" s="420">
        <v>934.28899999999999</v>
      </c>
      <c r="S11896" s="420">
        <v>934.68831001316198</v>
      </c>
      <c r="T11896" s="420">
        <v>15.5999</v>
      </c>
      <c r="U11896" s="278">
        <v>622.89</v>
      </c>
      <c r="V11896" s="278">
        <v>311.44</v>
      </c>
      <c r="Z11896" s="420" t="s">
        <v>2953</v>
      </c>
    </row>
    <row r="11897" spans="1:26">
      <c r="A11897" s="499">
        <v>45903</v>
      </c>
      <c r="B11897" s="499">
        <v>45904</v>
      </c>
      <c r="C11897" s="500" t="s">
        <v>173</v>
      </c>
      <c r="D11897" s="500" t="s">
        <v>760</v>
      </c>
      <c r="E11897" s="501">
        <v>1300617744.02</v>
      </c>
      <c r="F11897" s="502" t="s">
        <v>878</v>
      </c>
      <c r="G11897" s="443">
        <v>118898037</v>
      </c>
      <c r="H11897" s="594">
        <v>118898037</v>
      </c>
      <c r="I11897" s="523" t="s">
        <v>2956</v>
      </c>
      <c r="J11897" s="530" t="s">
        <v>912</v>
      </c>
      <c r="N11897" s="598">
        <v>13074100</v>
      </c>
      <c r="R11897" s="420">
        <v>99.437299999999993</v>
      </c>
      <c r="S11897" s="420">
        <v>99.480480034572196</v>
      </c>
      <c r="T11897" s="420">
        <v>15.8499</v>
      </c>
      <c r="U11897" s="278">
        <v>1950.08</v>
      </c>
      <c r="V11897" s="278">
        <v>975.04</v>
      </c>
      <c r="Z11897" s="420" t="s">
        <v>2953</v>
      </c>
    </row>
    <row r="11898" spans="1:26">
      <c r="A11898" s="499">
        <v>45903</v>
      </c>
      <c r="B11898" s="499">
        <v>45903</v>
      </c>
      <c r="C11898" s="500" t="s">
        <v>173</v>
      </c>
      <c r="D11898" s="500" t="s">
        <v>763</v>
      </c>
      <c r="E11898" s="501">
        <v>-1429058483.4000001</v>
      </c>
      <c r="F11898" s="502" t="s">
        <v>878</v>
      </c>
      <c r="G11898" s="443">
        <v>118898296</v>
      </c>
      <c r="I11898" s="523" t="s">
        <v>2956</v>
      </c>
      <c r="J11898" s="530" t="s">
        <v>906</v>
      </c>
      <c r="N11898" s="598">
        <v>14371453</v>
      </c>
      <c r="R11898" s="420">
        <v>99.437299999999993</v>
      </c>
      <c r="S11898" s="420">
        <v>99.480480307036501</v>
      </c>
      <c r="T11898" s="420">
        <v>15.85</v>
      </c>
      <c r="U11898" s="278">
        <v>2143.59</v>
      </c>
      <c r="V11898" s="278">
        <v>1071.79</v>
      </c>
      <c r="Z11898" s="420" t="s">
        <v>2953</v>
      </c>
    </row>
    <row r="11899" spans="1:26">
      <c r="A11899" s="499">
        <v>45903</v>
      </c>
      <c r="B11899" s="499">
        <v>45903</v>
      </c>
      <c r="C11899" s="500" t="s">
        <v>173</v>
      </c>
      <c r="D11899" s="500" t="s">
        <v>763</v>
      </c>
      <c r="E11899" s="501">
        <v>-105008354.33</v>
      </c>
      <c r="F11899" s="502" t="s">
        <v>878</v>
      </c>
      <c r="G11899" s="443">
        <v>118898299</v>
      </c>
      <c r="I11899" s="523" t="s">
        <v>600</v>
      </c>
      <c r="J11899" s="530" t="s">
        <v>906</v>
      </c>
      <c r="N11899" s="598">
        <v>116445</v>
      </c>
      <c r="R11899" s="420">
        <v>901.78499999999997</v>
      </c>
      <c r="S11899" s="420">
        <v>902.17165580316896</v>
      </c>
      <c r="T11899" s="420">
        <v>15.65</v>
      </c>
      <c r="U11899" s="278">
        <v>157.51</v>
      </c>
      <c r="V11899" s="278">
        <v>78.760000000000005</v>
      </c>
      <c r="Z11899" s="420" t="s">
        <v>2953</v>
      </c>
    </row>
    <row r="11900" spans="1:26">
      <c r="A11900" s="499">
        <v>45903</v>
      </c>
      <c r="B11900" s="499">
        <v>45903</v>
      </c>
      <c r="C11900" s="500" t="s">
        <v>173</v>
      </c>
      <c r="D11900" s="500" t="s">
        <v>763</v>
      </c>
      <c r="E11900" s="501">
        <v>-108055580.02</v>
      </c>
      <c r="F11900" s="502" t="s">
        <v>878</v>
      </c>
      <c r="G11900" s="443">
        <v>118898302</v>
      </c>
      <c r="I11900" s="523" t="s">
        <v>550</v>
      </c>
      <c r="J11900" s="530" t="s">
        <v>906</v>
      </c>
      <c r="N11900" s="598">
        <v>194724</v>
      </c>
      <c r="R11900" s="420">
        <v>554.91660000000002</v>
      </c>
      <c r="S11900" s="420">
        <v>555.15453000143805</v>
      </c>
      <c r="T11900" s="420">
        <v>15.65</v>
      </c>
      <c r="U11900" s="278">
        <v>162.08000000000001</v>
      </c>
      <c r="V11900" s="278">
        <v>81.040000000000006</v>
      </c>
      <c r="Z11900" s="420" t="s">
        <v>2953</v>
      </c>
    </row>
    <row r="11901" spans="1:26">
      <c r="A11901" s="499">
        <v>45903</v>
      </c>
      <c r="B11901" s="499">
        <v>45903</v>
      </c>
      <c r="C11901" s="500" t="s">
        <v>173</v>
      </c>
      <c r="D11901" s="500" t="s">
        <v>763</v>
      </c>
      <c r="E11901" s="501">
        <v>-119029679.79000001</v>
      </c>
      <c r="F11901" s="502" t="s">
        <v>878</v>
      </c>
      <c r="G11901" s="443">
        <v>118898305</v>
      </c>
      <c r="I11901" s="523" t="s">
        <v>817</v>
      </c>
      <c r="J11901" s="530" t="s">
        <v>906</v>
      </c>
      <c r="N11901" s="598">
        <v>110670</v>
      </c>
      <c r="R11901" s="420">
        <v>1075.537</v>
      </c>
      <c r="S11901" s="420">
        <v>1075.9981548748499</v>
      </c>
      <c r="T11901" s="420">
        <v>15.65</v>
      </c>
      <c r="U11901" s="278">
        <v>178.54</v>
      </c>
      <c r="V11901" s="278">
        <v>89.27</v>
      </c>
      <c r="Z11901" s="420" t="s">
        <v>2953</v>
      </c>
    </row>
    <row r="11902" spans="1:26">
      <c r="A11902" s="499">
        <v>45903</v>
      </c>
      <c r="B11902" s="499">
        <v>45903</v>
      </c>
      <c r="C11902" s="500" t="s">
        <v>173</v>
      </c>
      <c r="D11902" s="500" t="s">
        <v>763</v>
      </c>
      <c r="E11902" s="501">
        <v>-136068071.81</v>
      </c>
      <c r="F11902" s="502" t="s">
        <v>878</v>
      </c>
      <c r="G11902" s="443">
        <v>118898308</v>
      </c>
      <c r="I11902" s="523" t="s">
        <v>708</v>
      </c>
      <c r="J11902" s="530" t="s">
        <v>906</v>
      </c>
      <c r="N11902" s="598">
        <v>199104</v>
      </c>
      <c r="R11902" s="420">
        <v>683.40200000000004</v>
      </c>
      <c r="S11902" s="420">
        <v>683.69502034112804</v>
      </c>
      <c r="T11902" s="420">
        <v>15.65</v>
      </c>
      <c r="U11902" s="278">
        <v>204.1</v>
      </c>
      <c r="V11902" s="278">
        <v>102.05</v>
      </c>
      <c r="Z11902" s="420" t="s">
        <v>2953</v>
      </c>
    </row>
    <row r="11903" spans="1:26">
      <c r="A11903" s="499">
        <v>45903</v>
      </c>
      <c r="B11903" s="499">
        <v>45903</v>
      </c>
      <c r="C11903" s="500" t="s">
        <v>173</v>
      </c>
      <c r="D11903" s="500" t="s">
        <v>763</v>
      </c>
      <c r="E11903" s="501">
        <v>-30007749.059999999</v>
      </c>
      <c r="F11903" s="502" t="s">
        <v>878</v>
      </c>
      <c r="G11903" s="443">
        <v>118898311</v>
      </c>
      <c r="I11903" s="523" t="s">
        <v>823</v>
      </c>
      <c r="J11903" s="530" t="s">
        <v>906</v>
      </c>
      <c r="N11903" s="598">
        <v>29340</v>
      </c>
      <c r="R11903" s="420">
        <v>1022.759</v>
      </c>
      <c r="S11903" s="420">
        <v>1023.1975255623699</v>
      </c>
      <c r="T11903" s="420">
        <v>15.65</v>
      </c>
      <c r="U11903" s="278">
        <v>45.01</v>
      </c>
      <c r="V11903" s="278">
        <v>39.32</v>
      </c>
      <c r="Z11903" s="420" t="s">
        <v>2953</v>
      </c>
    </row>
    <row r="11904" spans="1:26">
      <c r="A11904" s="499">
        <v>45903</v>
      </c>
      <c r="B11904" s="499">
        <v>45903</v>
      </c>
      <c r="C11904" s="500" t="s">
        <v>173</v>
      </c>
      <c r="D11904" s="500" t="s">
        <v>763</v>
      </c>
      <c r="E11904" s="501">
        <v>-12006429.43</v>
      </c>
      <c r="F11904" s="502" t="s">
        <v>878</v>
      </c>
      <c r="G11904" s="443">
        <v>118898381</v>
      </c>
      <c r="I11904" s="523" t="s">
        <v>721</v>
      </c>
      <c r="J11904" s="530" t="s">
        <v>906</v>
      </c>
      <c r="N11904" s="598">
        <v>21228</v>
      </c>
      <c r="R11904" s="420">
        <v>565.59400000000005</v>
      </c>
      <c r="S11904" s="420">
        <v>565.83650979837898</v>
      </c>
      <c r="T11904" s="420">
        <v>15.6501</v>
      </c>
      <c r="U11904" s="278">
        <v>39.32</v>
      </c>
      <c r="V11904" s="278">
        <v>39.32</v>
      </c>
      <c r="Z11904" s="420" t="s">
        <v>2953</v>
      </c>
    </row>
    <row r="11905" spans="1:26">
      <c r="A11905" s="499">
        <v>45903</v>
      </c>
      <c r="B11905" s="499">
        <v>45904</v>
      </c>
      <c r="C11905" s="500" t="s">
        <v>173</v>
      </c>
      <c r="D11905" s="500" t="s">
        <v>763</v>
      </c>
      <c r="E11905" s="501">
        <v>1429679047.1500001</v>
      </c>
      <c r="F11905" s="502" t="s">
        <v>878</v>
      </c>
      <c r="G11905" s="443">
        <v>118898296</v>
      </c>
      <c r="H11905" s="594">
        <v>118898296</v>
      </c>
      <c r="I11905" s="523" t="s">
        <v>2956</v>
      </c>
      <c r="J11905" s="530" t="s">
        <v>912</v>
      </c>
      <c r="N11905" s="598">
        <v>14371453</v>
      </c>
      <c r="R11905" s="420">
        <v>99.437299999999993</v>
      </c>
      <c r="S11905" s="420">
        <v>99.480480307036501</v>
      </c>
      <c r="T11905" s="420">
        <v>15.85</v>
      </c>
      <c r="U11905" s="278">
        <v>2143.59</v>
      </c>
      <c r="V11905" s="278">
        <v>1071.79</v>
      </c>
      <c r="Z11905" s="420" t="s">
        <v>2953</v>
      </c>
    </row>
    <row r="11906" spans="1:26">
      <c r="A11906" s="499">
        <v>45903</v>
      </c>
      <c r="B11906" s="499">
        <v>45904</v>
      </c>
      <c r="C11906" s="500" t="s">
        <v>173</v>
      </c>
      <c r="D11906" s="500" t="s">
        <v>763</v>
      </c>
      <c r="E11906" s="501">
        <v>105053378.45999999</v>
      </c>
      <c r="F11906" s="502" t="s">
        <v>878</v>
      </c>
      <c r="G11906" s="443">
        <v>118898299</v>
      </c>
      <c r="H11906" s="594">
        <v>118898299</v>
      </c>
      <c r="I11906" s="523" t="s">
        <v>600</v>
      </c>
      <c r="J11906" s="530" t="s">
        <v>912</v>
      </c>
      <c r="N11906" s="598">
        <v>116445</v>
      </c>
      <c r="R11906" s="420">
        <v>901.78499999999997</v>
      </c>
      <c r="S11906" s="420">
        <v>902.17165580316896</v>
      </c>
      <c r="T11906" s="420">
        <v>15.65</v>
      </c>
      <c r="U11906" s="278">
        <v>157.51</v>
      </c>
      <c r="V11906" s="278">
        <v>78.760000000000005</v>
      </c>
      <c r="Z11906" s="420" t="s">
        <v>2953</v>
      </c>
    </row>
    <row r="11907" spans="1:26">
      <c r="A11907" s="499">
        <v>45903</v>
      </c>
      <c r="B11907" s="499">
        <v>45904</v>
      </c>
      <c r="C11907" s="500" t="s">
        <v>173</v>
      </c>
      <c r="D11907" s="500" t="s">
        <v>763</v>
      </c>
      <c r="E11907" s="501">
        <v>108101910.7</v>
      </c>
      <c r="F11907" s="502" t="s">
        <v>878</v>
      </c>
      <c r="G11907" s="443">
        <v>118898302</v>
      </c>
      <c r="H11907" s="594">
        <v>118898302</v>
      </c>
      <c r="I11907" s="523" t="s">
        <v>550</v>
      </c>
      <c r="J11907" s="530" t="s">
        <v>912</v>
      </c>
      <c r="N11907" s="598">
        <v>194724</v>
      </c>
      <c r="R11907" s="420">
        <v>554.91660000000002</v>
      </c>
      <c r="S11907" s="420">
        <v>555.15453000143805</v>
      </c>
      <c r="T11907" s="420">
        <v>15.65</v>
      </c>
      <c r="U11907" s="278">
        <v>162.08000000000001</v>
      </c>
      <c r="V11907" s="278">
        <v>81.040000000000006</v>
      </c>
      <c r="Z11907" s="420" t="s">
        <v>2953</v>
      </c>
    </row>
    <row r="11908" spans="1:26">
      <c r="A11908" s="499">
        <v>45903</v>
      </c>
      <c r="B11908" s="499">
        <v>45904</v>
      </c>
      <c r="C11908" s="500" t="s">
        <v>173</v>
      </c>
      <c r="D11908" s="500" t="s">
        <v>763</v>
      </c>
      <c r="E11908" s="501">
        <v>119080715.8</v>
      </c>
      <c r="F11908" s="502" t="s">
        <v>878</v>
      </c>
      <c r="G11908" s="443">
        <v>118898305</v>
      </c>
      <c r="H11908" s="594">
        <v>118898305</v>
      </c>
      <c r="I11908" s="523" t="s">
        <v>817</v>
      </c>
      <c r="J11908" s="530" t="s">
        <v>912</v>
      </c>
      <c r="N11908" s="598">
        <v>110670</v>
      </c>
      <c r="R11908" s="420">
        <v>1075.537</v>
      </c>
      <c r="S11908" s="420">
        <v>1075.9981548748499</v>
      </c>
      <c r="T11908" s="420">
        <v>15.65</v>
      </c>
      <c r="U11908" s="278">
        <v>178.54</v>
      </c>
      <c r="V11908" s="278">
        <v>89.27</v>
      </c>
      <c r="Z11908" s="420" t="s">
        <v>2953</v>
      </c>
    </row>
    <row r="11909" spans="1:26">
      <c r="A11909" s="499">
        <v>45903</v>
      </c>
      <c r="B11909" s="499">
        <v>45904</v>
      </c>
      <c r="C11909" s="500" t="s">
        <v>173</v>
      </c>
      <c r="D11909" s="500" t="s">
        <v>763</v>
      </c>
      <c r="E11909" s="501">
        <v>136126413.33000001</v>
      </c>
      <c r="F11909" s="502" t="s">
        <v>878</v>
      </c>
      <c r="G11909" s="443">
        <v>118898308</v>
      </c>
      <c r="H11909" s="594">
        <v>118898308</v>
      </c>
      <c r="I11909" s="523" t="s">
        <v>708</v>
      </c>
      <c r="J11909" s="530" t="s">
        <v>912</v>
      </c>
      <c r="N11909" s="598">
        <v>199104</v>
      </c>
      <c r="R11909" s="420">
        <v>683.40200000000004</v>
      </c>
      <c r="S11909" s="420">
        <v>683.69502034112804</v>
      </c>
      <c r="T11909" s="420">
        <v>15.65</v>
      </c>
      <c r="U11909" s="278">
        <v>204.1</v>
      </c>
      <c r="V11909" s="278">
        <v>102.05</v>
      </c>
      <c r="Z11909" s="420" t="s">
        <v>2953</v>
      </c>
    </row>
    <row r="11910" spans="1:26">
      <c r="A11910" s="499">
        <v>45903</v>
      </c>
      <c r="B11910" s="499">
        <v>45904</v>
      </c>
      <c r="C11910" s="500" t="s">
        <v>173</v>
      </c>
      <c r="D11910" s="500" t="s">
        <v>763</v>
      </c>
      <c r="E11910" s="501">
        <v>30020615.399999999</v>
      </c>
      <c r="F11910" s="502" t="s">
        <v>878</v>
      </c>
      <c r="G11910" s="443">
        <v>118898311</v>
      </c>
      <c r="H11910" s="594">
        <v>118898311</v>
      </c>
      <c r="I11910" s="523" t="s">
        <v>823</v>
      </c>
      <c r="J11910" s="530" t="s">
        <v>912</v>
      </c>
      <c r="N11910" s="598">
        <v>29340</v>
      </c>
      <c r="R11910" s="420">
        <v>1022.759</v>
      </c>
      <c r="S11910" s="420">
        <v>1023.1975255623699</v>
      </c>
      <c r="T11910" s="420">
        <v>15.65</v>
      </c>
      <c r="U11910" s="278">
        <v>45.01</v>
      </c>
      <c r="V11910" s="278">
        <v>39.32</v>
      </c>
      <c r="Z11910" s="420" t="s">
        <v>2953</v>
      </c>
    </row>
    <row r="11911" spans="1:26">
      <c r="A11911" s="499">
        <v>45903</v>
      </c>
      <c r="B11911" s="499">
        <v>45904</v>
      </c>
      <c r="C11911" s="500" t="s">
        <v>173</v>
      </c>
      <c r="D11911" s="500" t="s">
        <v>763</v>
      </c>
      <c r="E11911" s="501">
        <v>12011577.43</v>
      </c>
      <c r="F11911" s="502" t="s">
        <v>878</v>
      </c>
      <c r="G11911" s="443">
        <v>118898381</v>
      </c>
      <c r="H11911" s="594">
        <v>118898381</v>
      </c>
      <c r="I11911" s="523" t="s">
        <v>721</v>
      </c>
      <c r="J11911" s="530" t="s">
        <v>912</v>
      </c>
      <c r="N11911" s="598">
        <v>21228</v>
      </c>
      <c r="R11911" s="420">
        <v>565.59400000000005</v>
      </c>
      <c r="S11911" s="420">
        <v>565.83650979837898</v>
      </c>
      <c r="T11911" s="420">
        <v>15.6501</v>
      </c>
      <c r="U11911" s="278">
        <v>39.32</v>
      </c>
      <c r="V11911" s="278">
        <v>39.32</v>
      </c>
      <c r="Z11911" s="420" t="s">
        <v>2953</v>
      </c>
    </row>
    <row r="11912" spans="1:26">
      <c r="A11912" s="499">
        <v>45904</v>
      </c>
      <c r="B11912" s="499">
        <v>45904</v>
      </c>
      <c r="C11912" s="500" t="s">
        <v>173</v>
      </c>
      <c r="D11912" s="500" t="s">
        <v>762</v>
      </c>
      <c r="E11912" s="501">
        <v>-968185019.64999998</v>
      </c>
      <c r="F11912" s="502" t="s">
        <v>878</v>
      </c>
      <c r="G11912" s="443">
        <v>118929881</v>
      </c>
      <c r="I11912" s="523" t="s">
        <v>717</v>
      </c>
      <c r="J11912" s="530" t="s">
        <v>906</v>
      </c>
      <c r="N11912" s="598">
        <v>1653344</v>
      </c>
      <c r="R11912" s="558">
        <v>585.59199999999998</v>
      </c>
      <c r="S11912" s="558">
        <v>587.36643521251494</v>
      </c>
      <c r="T11912" s="567">
        <v>15.8001</v>
      </c>
      <c r="U11912" s="538">
        <v>10165.94</v>
      </c>
      <c r="V11912" s="538">
        <v>5082.97</v>
      </c>
      <c r="Z11912" s="539" t="s">
        <v>2961</v>
      </c>
    </row>
    <row r="11913" spans="1:26">
      <c r="A11913" s="499">
        <v>45904</v>
      </c>
      <c r="B11913" s="499">
        <v>45904</v>
      </c>
      <c r="C11913" s="500" t="s">
        <v>173</v>
      </c>
      <c r="D11913" s="500" t="s">
        <v>762</v>
      </c>
      <c r="E11913" s="501">
        <v>-2060910833.1199999</v>
      </c>
      <c r="F11913" s="502" t="s">
        <v>878</v>
      </c>
      <c r="G11913" s="443">
        <v>118929884</v>
      </c>
      <c r="I11913" s="523" t="s">
        <v>704</v>
      </c>
      <c r="J11913" s="530" t="s">
        <v>906</v>
      </c>
      <c r="N11913" s="598">
        <v>2507020</v>
      </c>
      <c r="R11913" s="558">
        <v>822.05600000000004</v>
      </c>
      <c r="S11913" s="558">
        <v>824.54694229004997</v>
      </c>
      <c r="T11913" s="567">
        <v>15.8</v>
      </c>
      <c r="U11913" s="538">
        <v>21639.56</v>
      </c>
      <c r="V11913" s="538">
        <v>10819.78</v>
      </c>
      <c r="Z11913" s="539" t="s">
        <v>2961</v>
      </c>
    </row>
    <row r="11914" spans="1:26">
      <c r="A11914" s="499">
        <v>45904</v>
      </c>
      <c r="B11914" s="499">
        <v>45904</v>
      </c>
      <c r="C11914" s="500" t="s">
        <v>173</v>
      </c>
      <c r="D11914" s="500" t="s">
        <v>762</v>
      </c>
      <c r="E11914" s="501">
        <v>-17007516.579999998</v>
      </c>
      <c r="F11914" s="502" t="s">
        <v>878</v>
      </c>
      <c r="G11914" s="443">
        <v>118929894</v>
      </c>
      <c r="I11914" s="523" t="s">
        <v>704</v>
      </c>
      <c r="J11914" s="530" t="s">
        <v>906</v>
      </c>
      <c r="N11914" s="598">
        <v>20689</v>
      </c>
      <c r="R11914" s="558">
        <v>822.05600000000004</v>
      </c>
      <c r="S11914" s="558">
        <v>824.54694233650696</v>
      </c>
      <c r="T11914" s="567">
        <v>15.8</v>
      </c>
      <c r="U11914" s="538">
        <v>178.58</v>
      </c>
      <c r="V11914" s="538">
        <v>89.29</v>
      </c>
      <c r="Z11914" s="539" t="s">
        <v>2961</v>
      </c>
    </row>
    <row r="11915" spans="1:26">
      <c r="A11915" s="499">
        <v>45904</v>
      </c>
      <c r="B11915" s="499">
        <v>45911</v>
      </c>
      <c r="C11915" s="500" t="s">
        <v>173</v>
      </c>
      <c r="D11915" s="500" t="s">
        <v>762</v>
      </c>
      <c r="E11915" s="501">
        <v>971118771.46000004</v>
      </c>
      <c r="F11915" s="502" t="s">
        <v>878</v>
      </c>
      <c r="G11915" s="443">
        <v>118929881</v>
      </c>
      <c r="H11915" s="594">
        <v>118929881</v>
      </c>
      <c r="I11915" s="523" t="s">
        <v>717</v>
      </c>
      <c r="J11915" s="530" t="s">
        <v>912</v>
      </c>
      <c r="N11915" s="598">
        <v>1653344</v>
      </c>
      <c r="R11915" s="558">
        <v>585.59199999999998</v>
      </c>
      <c r="S11915" s="558">
        <v>587.36643521251494</v>
      </c>
      <c r="T11915" s="567">
        <v>15.8001</v>
      </c>
      <c r="U11915" s="538">
        <v>10165.94</v>
      </c>
      <c r="V11915" s="538">
        <v>5082.97</v>
      </c>
      <c r="Z11915" s="539" t="s">
        <v>2961</v>
      </c>
    </row>
    <row r="11916" spans="1:26">
      <c r="A11916" s="499">
        <v>45904</v>
      </c>
      <c r="B11916" s="499">
        <v>45911</v>
      </c>
      <c r="C11916" s="500" t="s">
        <v>173</v>
      </c>
      <c r="D11916" s="500" t="s">
        <v>762</v>
      </c>
      <c r="E11916" s="501">
        <v>2067155675.26</v>
      </c>
      <c r="F11916" s="502" t="s">
        <v>878</v>
      </c>
      <c r="G11916" s="443">
        <v>118929884</v>
      </c>
      <c r="H11916" s="594">
        <v>118929884</v>
      </c>
      <c r="I11916" s="523" t="s">
        <v>704</v>
      </c>
      <c r="J11916" s="530" t="s">
        <v>912</v>
      </c>
      <c r="N11916" s="598">
        <v>2507020</v>
      </c>
      <c r="R11916" s="558">
        <v>822.05600000000004</v>
      </c>
      <c r="S11916" s="558">
        <v>824.54694229004997</v>
      </c>
      <c r="T11916" s="567">
        <v>15.8</v>
      </c>
      <c r="U11916" s="538">
        <v>21639.56</v>
      </c>
      <c r="V11916" s="538">
        <v>10819.78</v>
      </c>
      <c r="Z11916" s="539" t="s">
        <v>2961</v>
      </c>
    </row>
    <row r="11917" spans="1:26">
      <c r="A11917" s="499">
        <v>45904</v>
      </c>
      <c r="B11917" s="499">
        <v>45911</v>
      </c>
      <c r="C11917" s="500" t="s">
        <v>173</v>
      </c>
      <c r="D11917" s="500" t="s">
        <v>762</v>
      </c>
      <c r="E11917" s="501">
        <v>17059051.690000001</v>
      </c>
      <c r="F11917" s="502" t="s">
        <v>878</v>
      </c>
      <c r="G11917" s="443">
        <v>118929894</v>
      </c>
      <c r="H11917" s="594">
        <v>118929894</v>
      </c>
      <c r="I11917" s="523" t="s">
        <v>704</v>
      </c>
      <c r="J11917" s="530" t="s">
        <v>912</v>
      </c>
      <c r="N11917" s="598">
        <v>20689</v>
      </c>
      <c r="R11917" s="558">
        <v>822.05600000000004</v>
      </c>
      <c r="S11917" s="558">
        <v>824.54694233650696</v>
      </c>
      <c r="T11917" s="567">
        <v>15.8</v>
      </c>
      <c r="U11917" s="538">
        <v>178.58</v>
      </c>
      <c r="V11917" s="538">
        <v>89.29</v>
      </c>
      <c r="Z11917" s="539" t="s">
        <v>2961</v>
      </c>
    </row>
    <row r="11918" spans="1:26">
      <c r="A11918" s="499">
        <v>45904</v>
      </c>
      <c r="B11918" s="499">
        <v>45904</v>
      </c>
      <c r="C11918" s="500" t="s">
        <v>173</v>
      </c>
      <c r="D11918" s="500" t="s">
        <v>759</v>
      </c>
      <c r="E11918" s="501">
        <v>-2060588439</v>
      </c>
      <c r="F11918" s="502" t="s">
        <v>878</v>
      </c>
      <c r="G11918" s="443">
        <v>118923590</v>
      </c>
      <c r="I11918" s="523" t="s">
        <v>658</v>
      </c>
      <c r="J11918" s="530" t="s">
        <v>906</v>
      </c>
      <c r="N11918" s="598">
        <v>2008500</v>
      </c>
      <c r="R11918" s="420">
        <v>1025.934</v>
      </c>
      <c r="S11918" s="420">
        <v>1026.37388677122</v>
      </c>
      <c r="T11918" s="420">
        <v>15.65</v>
      </c>
      <c r="U11918" s="278">
        <v>3090.88</v>
      </c>
      <c r="V11918" s="278">
        <v>1545.44</v>
      </c>
      <c r="Z11918" s="420" t="s">
        <v>2953</v>
      </c>
    </row>
    <row r="11919" spans="1:26">
      <c r="A11919" s="499">
        <v>45904</v>
      </c>
      <c r="B11919" s="499">
        <v>45904</v>
      </c>
      <c r="C11919" s="500" t="s">
        <v>173</v>
      </c>
      <c r="D11919" s="500" t="s">
        <v>759</v>
      </c>
      <c r="E11919" s="501">
        <v>-13000004.369999999</v>
      </c>
      <c r="F11919" s="502" t="s">
        <v>878</v>
      </c>
      <c r="G11919" s="443">
        <v>118924619</v>
      </c>
      <c r="I11919" s="523" t="s">
        <v>811</v>
      </c>
      <c r="J11919" s="530" t="s">
        <v>906</v>
      </c>
      <c r="N11919" s="598">
        <v>12628720</v>
      </c>
      <c r="R11919" s="420">
        <v>1.0294000001583692</v>
      </c>
      <c r="S11919" s="420">
        <v>1.02984278295821</v>
      </c>
      <c r="T11919" s="420">
        <v>15.7</v>
      </c>
      <c r="U11919" s="278">
        <v>39.32</v>
      </c>
      <c r="V11919" s="278">
        <v>9.75</v>
      </c>
      <c r="Z11919" s="420" t="s">
        <v>2953</v>
      </c>
    </row>
    <row r="11920" spans="1:26">
      <c r="A11920" s="499">
        <v>45904</v>
      </c>
      <c r="B11920" s="499">
        <v>45905</v>
      </c>
      <c r="C11920" s="500" t="s">
        <v>173</v>
      </c>
      <c r="D11920" s="500" t="s">
        <v>759</v>
      </c>
      <c r="E11920" s="501">
        <v>2061471951.5799999</v>
      </c>
      <c r="F11920" s="502" t="s">
        <v>878</v>
      </c>
      <c r="G11920" s="443">
        <v>118923590</v>
      </c>
      <c r="H11920" s="594">
        <v>118923590</v>
      </c>
      <c r="I11920" s="523" t="s">
        <v>658</v>
      </c>
      <c r="J11920" s="530" t="s">
        <v>912</v>
      </c>
      <c r="N11920" s="598">
        <v>2008500</v>
      </c>
      <c r="R11920" s="420">
        <v>1025.934</v>
      </c>
      <c r="S11920" s="420">
        <v>1026.37388677122</v>
      </c>
      <c r="T11920" s="420">
        <v>15.65</v>
      </c>
      <c r="U11920" s="278">
        <v>3090.88</v>
      </c>
      <c r="V11920" s="278">
        <v>1545.44</v>
      </c>
      <c r="Z11920" s="420" t="s">
        <v>2953</v>
      </c>
    </row>
    <row r="11921" spans="1:26">
      <c r="A11921" s="499">
        <v>45904</v>
      </c>
      <c r="B11921" s="499">
        <v>45905</v>
      </c>
      <c r="C11921" s="500" t="s">
        <v>173</v>
      </c>
      <c r="D11921" s="500" t="s">
        <v>759</v>
      </c>
      <c r="E11921" s="501">
        <v>13005596.15</v>
      </c>
      <c r="F11921" s="502" t="s">
        <v>878</v>
      </c>
      <c r="G11921" s="443">
        <v>118924619</v>
      </c>
      <c r="H11921" s="594">
        <v>118924619</v>
      </c>
      <c r="I11921" s="523" t="s">
        <v>811</v>
      </c>
      <c r="J11921" s="530" t="s">
        <v>912</v>
      </c>
      <c r="N11921" s="598">
        <v>12628720</v>
      </c>
      <c r="R11921" s="420">
        <v>1.0294000001583692</v>
      </c>
      <c r="S11921" s="420">
        <v>1.02984278295821</v>
      </c>
      <c r="T11921" s="420">
        <v>15.7</v>
      </c>
      <c r="U11921" s="278">
        <v>39.32</v>
      </c>
      <c r="V11921" s="278">
        <v>9.75</v>
      </c>
      <c r="Z11921" s="420" t="s">
        <v>2953</v>
      </c>
    </row>
    <row r="11922" spans="1:26">
      <c r="A11922" s="499">
        <v>45904</v>
      </c>
      <c r="B11922" s="499">
        <v>45904</v>
      </c>
      <c r="C11922" s="500" t="s">
        <v>173</v>
      </c>
      <c r="D11922" s="500" t="s">
        <v>761</v>
      </c>
      <c r="E11922" s="501">
        <v>-1154329640.0999999</v>
      </c>
      <c r="F11922" s="502" t="s">
        <v>878</v>
      </c>
      <c r="G11922" s="443">
        <v>118923587</v>
      </c>
      <c r="I11922" s="523" t="s">
        <v>658</v>
      </c>
      <c r="J11922" s="530" t="s">
        <v>906</v>
      </c>
      <c r="N11922" s="598">
        <v>1125150</v>
      </c>
      <c r="R11922" s="420">
        <v>1025.934</v>
      </c>
      <c r="S11922" s="420">
        <v>1026.37388677065</v>
      </c>
      <c r="T11922" s="420">
        <v>15.65</v>
      </c>
      <c r="U11922" s="278">
        <v>1731.49</v>
      </c>
      <c r="V11922" s="278">
        <v>865.75</v>
      </c>
      <c r="Z11922" s="420" t="s">
        <v>2953</v>
      </c>
    </row>
    <row r="11923" spans="1:26">
      <c r="A11923" s="499">
        <v>45904</v>
      </c>
      <c r="B11923" s="499">
        <v>45904</v>
      </c>
      <c r="C11923" s="500" t="s">
        <v>173</v>
      </c>
      <c r="D11923" s="500" t="s">
        <v>761</v>
      </c>
      <c r="E11923" s="501">
        <v>-7001999.5499999998</v>
      </c>
      <c r="F11923" s="502" t="s">
        <v>878</v>
      </c>
      <c r="G11923" s="443">
        <v>118923587</v>
      </c>
      <c r="I11923" s="523" t="s">
        <v>658</v>
      </c>
      <c r="J11923" s="530" t="s">
        <v>906</v>
      </c>
      <c r="N11923" s="598">
        <v>6825</v>
      </c>
      <c r="R11923" s="420">
        <v>1025.934</v>
      </c>
      <c r="S11923" s="420">
        <v>1026.3738871794901</v>
      </c>
      <c r="T11923" s="420">
        <v>15.65</v>
      </c>
      <c r="U11923" s="278">
        <v>39.32</v>
      </c>
      <c r="V11923" s="278">
        <v>5.25</v>
      </c>
      <c r="Z11923" s="420" t="s">
        <v>2953</v>
      </c>
    </row>
    <row r="11924" spans="1:26">
      <c r="A11924" s="499">
        <v>45904</v>
      </c>
      <c r="B11924" s="499">
        <v>45905</v>
      </c>
      <c r="C11924" s="500" t="s">
        <v>173</v>
      </c>
      <c r="D11924" s="500" t="s">
        <v>761</v>
      </c>
      <c r="E11924" s="501">
        <v>1154824578.7</v>
      </c>
      <c r="F11924" s="502" t="s">
        <v>878</v>
      </c>
      <c r="G11924" s="443">
        <v>118923587</v>
      </c>
      <c r="H11924" s="594">
        <v>118923587</v>
      </c>
      <c r="I11924" s="523" t="s">
        <v>658</v>
      </c>
      <c r="J11924" s="530" t="s">
        <v>912</v>
      </c>
      <c r="N11924" s="598">
        <v>1125150</v>
      </c>
      <c r="R11924" s="420">
        <v>1025.934</v>
      </c>
      <c r="S11924" s="420">
        <v>1026.37388677065</v>
      </c>
      <c r="T11924" s="420">
        <v>15.65</v>
      </c>
      <c r="U11924" s="278">
        <v>1731.49</v>
      </c>
      <c r="V11924" s="278">
        <v>865.75</v>
      </c>
      <c r="Z11924" s="420" t="s">
        <v>2953</v>
      </c>
    </row>
    <row r="11925" spans="1:26">
      <c r="A11925" s="499">
        <v>45904</v>
      </c>
      <c r="B11925" s="499">
        <v>45905</v>
      </c>
      <c r="C11925" s="500" t="s">
        <v>173</v>
      </c>
      <c r="D11925" s="500" t="s">
        <v>761</v>
      </c>
      <c r="E11925" s="501">
        <v>7005001.7800000003</v>
      </c>
      <c r="F11925" s="502" t="s">
        <v>878</v>
      </c>
      <c r="G11925" s="443">
        <v>118923587</v>
      </c>
      <c r="H11925" s="594">
        <v>118923587</v>
      </c>
      <c r="I11925" s="523" t="s">
        <v>658</v>
      </c>
      <c r="J11925" s="530" t="s">
        <v>912</v>
      </c>
      <c r="N11925" s="598">
        <v>6825</v>
      </c>
      <c r="R11925" s="420">
        <v>1025.934</v>
      </c>
      <c r="S11925" s="420">
        <v>1026.3738871794901</v>
      </c>
      <c r="T11925" s="420">
        <v>15.65</v>
      </c>
      <c r="U11925" s="278">
        <v>39.32</v>
      </c>
      <c r="V11925" s="278">
        <v>5.25</v>
      </c>
      <c r="Z11925" s="420" t="s">
        <v>2953</v>
      </c>
    </row>
    <row r="11926" spans="1:26">
      <c r="A11926" s="499">
        <v>45904</v>
      </c>
      <c r="B11926" s="499">
        <v>45904</v>
      </c>
      <c r="C11926" s="500" t="s">
        <v>173</v>
      </c>
      <c r="D11926" s="500" t="s">
        <v>763</v>
      </c>
      <c r="E11926" s="501">
        <v>-199008641.38</v>
      </c>
      <c r="F11926" s="502" t="s">
        <v>878</v>
      </c>
      <c r="G11926" s="443">
        <v>118922373</v>
      </c>
      <c r="I11926" s="523" t="s">
        <v>2944</v>
      </c>
      <c r="J11926" s="530" t="s">
        <v>906</v>
      </c>
      <c r="N11926" s="598">
        <v>207756</v>
      </c>
      <c r="R11926" s="420">
        <v>957.89599999999996</v>
      </c>
      <c r="S11926" s="420">
        <v>958.30540740099002</v>
      </c>
      <c r="T11926" s="420">
        <v>15.600199999999999</v>
      </c>
      <c r="U11926" s="278">
        <v>298.51</v>
      </c>
      <c r="V11926" s="278">
        <v>149.26</v>
      </c>
      <c r="Z11926" s="420" t="s">
        <v>2953</v>
      </c>
    </row>
    <row r="11927" spans="1:26">
      <c r="A11927" s="499">
        <v>45904</v>
      </c>
      <c r="B11927" s="499">
        <v>45904</v>
      </c>
      <c r="C11927" s="500" t="s">
        <v>173</v>
      </c>
      <c r="D11927" s="500" t="s">
        <v>763</v>
      </c>
      <c r="E11927" s="501">
        <v>-1729123215.46</v>
      </c>
      <c r="F11927" s="502" t="s">
        <v>878</v>
      </c>
      <c r="G11927" s="443">
        <v>118922376</v>
      </c>
      <c r="I11927" s="523" t="s">
        <v>1013</v>
      </c>
      <c r="J11927" s="530" t="s">
        <v>906</v>
      </c>
      <c r="N11927" s="598">
        <v>3209024</v>
      </c>
      <c r="R11927" s="420">
        <v>538.83150000000001</v>
      </c>
      <c r="S11927" s="420">
        <v>539.06179658363396</v>
      </c>
      <c r="T11927" s="420">
        <v>15.600099999999999</v>
      </c>
      <c r="U11927" s="278">
        <v>2593.6799999999998</v>
      </c>
      <c r="V11927" s="278">
        <v>1296.8399999999999</v>
      </c>
      <c r="Z11927" s="420" t="s">
        <v>2953</v>
      </c>
    </row>
    <row r="11928" spans="1:26">
      <c r="A11928" s="499">
        <v>45904</v>
      </c>
      <c r="B11928" s="499">
        <v>45904</v>
      </c>
      <c r="C11928" s="500" t="s">
        <v>173</v>
      </c>
      <c r="D11928" s="500" t="s">
        <v>763</v>
      </c>
      <c r="E11928" s="501">
        <v>-1000607.85</v>
      </c>
      <c r="F11928" s="502" t="s">
        <v>878</v>
      </c>
      <c r="G11928" s="443">
        <v>118922407</v>
      </c>
      <c r="I11928" s="523" t="s">
        <v>713</v>
      </c>
      <c r="J11928" s="530" t="s">
        <v>906</v>
      </c>
      <c r="N11928" s="598">
        <v>1283</v>
      </c>
      <c r="R11928" s="420">
        <v>779.89700000000005</v>
      </c>
      <c r="S11928" s="420">
        <v>780.23139516757601</v>
      </c>
      <c r="T11928" s="420">
        <v>15.65</v>
      </c>
      <c r="U11928" s="278">
        <v>39.32</v>
      </c>
      <c r="V11928" s="278">
        <v>39.32</v>
      </c>
      <c r="Z11928" s="420" t="s">
        <v>2953</v>
      </c>
    </row>
    <row r="11929" spans="1:26">
      <c r="A11929" s="499">
        <v>45904</v>
      </c>
      <c r="B11929" s="499">
        <v>45904</v>
      </c>
      <c r="C11929" s="500" t="s">
        <v>173</v>
      </c>
      <c r="D11929" s="500" t="s">
        <v>763</v>
      </c>
      <c r="E11929" s="501">
        <v>-1000042.58</v>
      </c>
      <c r="F11929" s="502" t="s">
        <v>878</v>
      </c>
      <c r="G11929" s="443">
        <v>118922410</v>
      </c>
      <c r="I11929" s="523" t="s">
        <v>715</v>
      </c>
      <c r="J11929" s="530" t="s">
        <v>906</v>
      </c>
      <c r="N11929" s="598">
        <v>1657</v>
      </c>
      <c r="R11929" s="420">
        <v>603.52599999999995</v>
      </c>
      <c r="S11929" s="420">
        <v>603.78477368738697</v>
      </c>
      <c r="T11929" s="420">
        <v>15.65</v>
      </c>
      <c r="U11929" s="278">
        <v>39.32</v>
      </c>
      <c r="V11929" s="278">
        <v>39.32</v>
      </c>
      <c r="Z11929" s="420" t="s">
        <v>2953</v>
      </c>
    </row>
    <row r="11930" spans="1:26">
      <c r="A11930" s="499">
        <v>45904</v>
      </c>
      <c r="B11930" s="499">
        <v>45904</v>
      </c>
      <c r="C11930" s="500" t="s">
        <v>173</v>
      </c>
      <c r="D11930" s="500" t="s">
        <v>763</v>
      </c>
      <c r="E11930" s="501">
        <v>-1000788.6</v>
      </c>
      <c r="F11930" s="502" t="s">
        <v>878</v>
      </c>
      <c r="G11930" s="443">
        <v>118922413</v>
      </c>
      <c r="I11930" s="523" t="s">
        <v>592</v>
      </c>
      <c r="J11930" s="530" t="s">
        <v>906</v>
      </c>
      <c r="N11930" s="598">
        <v>1195</v>
      </c>
      <c r="R11930" s="420">
        <v>837.48</v>
      </c>
      <c r="S11930" s="420">
        <v>837.83908786610903</v>
      </c>
      <c r="T11930" s="420">
        <v>15.65</v>
      </c>
      <c r="U11930" s="278">
        <v>39.32</v>
      </c>
      <c r="V11930" s="278">
        <v>39.32</v>
      </c>
      <c r="Z11930" s="420" t="s">
        <v>2953</v>
      </c>
    </row>
    <row r="11931" spans="1:26">
      <c r="A11931" s="499">
        <v>45904</v>
      </c>
      <c r="B11931" s="499">
        <v>45904</v>
      </c>
      <c r="C11931" s="500" t="s">
        <v>173</v>
      </c>
      <c r="D11931" s="500" t="s">
        <v>763</v>
      </c>
      <c r="E11931" s="501">
        <v>-1000853.57</v>
      </c>
      <c r="F11931" s="502" t="s">
        <v>878</v>
      </c>
      <c r="G11931" s="443">
        <v>118922416</v>
      </c>
      <c r="I11931" s="523" t="s">
        <v>598</v>
      </c>
      <c r="J11931" s="530" t="s">
        <v>906</v>
      </c>
      <c r="N11931" s="598">
        <v>957</v>
      </c>
      <c r="R11931" s="420">
        <v>1045.8240000000001</v>
      </c>
      <c r="S11931" s="420">
        <v>1046.2724137931</v>
      </c>
      <c r="T11931" s="420">
        <v>15.65</v>
      </c>
      <c r="U11931" s="278">
        <v>39.32</v>
      </c>
      <c r="V11931" s="278">
        <v>39.32</v>
      </c>
      <c r="Z11931" s="420" t="s">
        <v>2953</v>
      </c>
    </row>
    <row r="11932" spans="1:26">
      <c r="A11932" s="499">
        <v>45904</v>
      </c>
      <c r="B11932" s="499">
        <v>45904</v>
      </c>
      <c r="C11932" s="500" t="s">
        <v>173</v>
      </c>
      <c r="D11932" s="500" t="s">
        <v>763</v>
      </c>
      <c r="E11932" s="501">
        <v>-2001153.04</v>
      </c>
      <c r="F11932" s="502" t="s">
        <v>878</v>
      </c>
      <c r="G11932" s="443">
        <v>118922419</v>
      </c>
      <c r="I11932" s="523" t="s">
        <v>677</v>
      </c>
      <c r="J11932" s="530" t="s">
        <v>906</v>
      </c>
      <c r="N11932" s="598">
        <v>2254</v>
      </c>
      <c r="R11932" s="420">
        <v>887.82299999999998</v>
      </c>
      <c r="S11932" s="420">
        <v>888.20366903283104</v>
      </c>
      <c r="T11932" s="420">
        <v>15.65</v>
      </c>
      <c r="U11932" s="278">
        <v>39.32</v>
      </c>
      <c r="V11932" s="278">
        <v>39.32</v>
      </c>
      <c r="Z11932" s="420" t="s">
        <v>2953</v>
      </c>
    </row>
    <row r="11933" spans="1:26">
      <c r="A11933" s="499">
        <v>45904</v>
      </c>
      <c r="B11933" s="499">
        <v>45904</v>
      </c>
      <c r="C11933" s="500" t="s">
        <v>173</v>
      </c>
      <c r="D11933" s="500" t="s">
        <v>763</v>
      </c>
      <c r="E11933" s="501">
        <v>-2000319.54</v>
      </c>
      <c r="F11933" s="502" t="s">
        <v>878</v>
      </c>
      <c r="G11933" s="443">
        <v>118922422</v>
      </c>
      <c r="I11933" s="523" t="s">
        <v>600</v>
      </c>
      <c r="J11933" s="530" t="s">
        <v>906</v>
      </c>
      <c r="N11933" s="598">
        <v>2204</v>
      </c>
      <c r="R11933" s="420">
        <v>907.58600000000001</v>
      </c>
      <c r="S11933" s="420">
        <v>907.97514065335702</v>
      </c>
      <c r="T11933" s="420">
        <v>15.65</v>
      </c>
      <c r="U11933" s="278">
        <v>39.32</v>
      </c>
      <c r="V11933" s="278">
        <v>39.32</v>
      </c>
      <c r="Z11933" s="420" t="s">
        <v>2953</v>
      </c>
    </row>
    <row r="11934" spans="1:26">
      <c r="A11934" s="499">
        <v>45904</v>
      </c>
      <c r="B11934" s="499">
        <v>45904</v>
      </c>
      <c r="C11934" s="500" t="s">
        <v>173</v>
      </c>
      <c r="D11934" s="500" t="s">
        <v>763</v>
      </c>
      <c r="E11934" s="501">
        <v>-2001040.52</v>
      </c>
      <c r="F11934" s="502" t="s">
        <v>878</v>
      </c>
      <c r="G11934" s="443">
        <v>118922425</v>
      </c>
      <c r="I11934" s="523" t="s">
        <v>654</v>
      </c>
      <c r="J11934" s="530" t="s">
        <v>906</v>
      </c>
      <c r="N11934" s="598">
        <v>1990</v>
      </c>
      <c r="R11934" s="420">
        <v>1005.548</v>
      </c>
      <c r="S11934" s="420">
        <v>1005.97914572864</v>
      </c>
      <c r="T11934" s="420">
        <v>15.65</v>
      </c>
      <c r="U11934" s="278">
        <v>39.32</v>
      </c>
      <c r="V11934" s="278">
        <v>39.32</v>
      </c>
      <c r="Z11934" s="420" t="s">
        <v>2953</v>
      </c>
    </row>
    <row r="11935" spans="1:26">
      <c r="A11935" s="499">
        <v>45904</v>
      </c>
      <c r="B11935" s="499">
        <v>45904</v>
      </c>
      <c r="C11935" s="500" t="s">
        <v>173</v>
      </c>
      <c r="D11935" s="500" t="s">
        <v>763</v>
      </c>
      <c r="E11935" s="501">
        <v>-2000799.33</v>
      </c>
      <c r="F11935" s="502" t="s">
        <v>878</v>
      </c>
      <c r="G11935" s="443">
        <v>118922428</v>
      </c>
      <c r="I11935" s="523" t="s">
        <v>705</v>
      </c>
      <c r="J11935" s="530" t="s">
        <v>906</v>
      </c>
      <c r="N11935" s="598">
        <v>2656</v>
      </c>
      <c r="R11935" s="420">
        <v>753.31299999999999</v>
      </c>
      <c r="S11935" s="420">
        <v>753.63599774096394</v>
      </c>
      <c r="T11935" s="420">
        <v>15.65</v>
      </c>
      <c r="U11935" s="278">
        <v>39.32</v>
      </c>
      <c r="V11935" s="278">
        <v>39.32</v>
      </c>
      <c r="Z11935" s="420" t="s">
        <v>2953</v>
      </c>
    </row>
    <row r="11936" spans="1:26">
      <c r="A11936" s="499">
        <v>45904</v>
      </c>
      <c r="B11936" s="499">
        <v>45905</v>
      </c>
      <c r="C11936" s="500" t="s">
        <v>173</v>
      </c>
      <c r="D11936" s="500" t="s">
        <v>763</v>
      </c>
      <c r="E11936" s="501">
        <v>199093698.22</v>
      </c>
      <c r="F11936" s="502" t="s">
        <v>878</v>
      </c>
      <c r="G11936" s="443">
        <v>118922373</v>
      </c>
      <c r="H11936" s="594">
        <v>118922373</v>
      </c>
      <c r="I11936" s="523" t="s">
        <v>2944</v>
      </c>
      <c r="J11936" s="530" t="s">
        <v>912</v>
      </c>
      <c r="N11936" s="598">
        <v>207756</v>
      </c>
      <c r="R11936" s="420">
        <v>957.89599999999996</v>
      </c>
      <c r="S11936" s="420">
        <v>958.30540740099002</v>
      </c>
      <c r="T11936" s="420">
        <v>15.600199999999999</v>
      </c>
      <c r="U11936" s="278">
        <v>298.51</v>
      </c>
      <c r="V11936" s="278">
        <v>149.26</v>
      </c>
      <c r="Z11936" s="420" t="s">
        <v>2953</v>
      </c>
    </row>
    <row r="11937" spans="1:26">
      <c r="A11937" s="499">
        <v>45904</v>
      </c>
      <c r="B11937" s="499">
        <v>45905</v>
      </c>
      <c r="C11937" s="500" t="s">
        <v>173</v>
      </c>
      <c r="D11937" s="500" t="s">
        <v>763</v>
      </c>
      <c r="E11937" s="501">
        <v>1729862242.72</v>
      </c>
      <c r="F11937" s="502" t="s">
        <v>878</v>
      </c>
      <c r="G11937" s="443">
        <v>118922376</v>
      </c>
      <c r="H11937" s="594">
        <v>118922376</v>
      </c>
      <c r="I11937" s="523" t="s">
        <v>1013</v>
      </c>
      <c r="J11937" s="530" t="s">
        <v>912</v>
      </c>
      <c r="N11937" s="598">
        <v>3209024</v>
      </c>
      <c r="R11937" s="420">
        <v>538.83150000000001</v>
      </c>
      <c r="S11937" s="420">
        <v>539.06179658363396</v>
      </c>
      <c r="T11937" s="420">
        <v>15.600099999999999</v>
      </c>
      <c r="U11937" s="278">
        <v>2593.6799999999998</v>
      </c>
      <c r="V11937" s="278">
        <v>1296.8399999999999</v>
      </c>
      <c r="Z11937" s="420" t="s">
        <v>2953</v>
      </c>
    </row>
    <row r="11938" spans="1:26">
      <c r="A11938" s="499">
        <v>45904</v>
      </c>
      <c r="B11938" s="499">
        <v>45905</v>
      </c>
      <c r="C11938" s="500" t="s">
        <v>173</v>
      </c>
      <c r="D11938" s="500" t="s">
        <v>763</v>
      </c>
      <c r="E11938" s="501">
        <v>1001036.88</v>
      </c>
      <c r="F11938" s="502" t="s">
        <v>878</v>
      </c>
      <c r="G11938" s="443">
        <v>118922407</v>
      </c>
      <c r="H11938" s="594">
        <v>118922407</v>
      </c>
      <c r="I11938" s="523" t="s">
        <v>713</v>
      </c>
      <c r="J11938" s="530" t="s">
        <v>912</v>
      </c>
      <c r="N11938" s="598">
        <v>1283</v>
      </c>
      <c r="R11938" s="420">
        <v>779.89700000000005</v>
      </c>
      <c r="S11938" s="420">
        <v>780.23139516757601</v>
      </c>
      <c r="T11938" s="420">
        <v>15.65</v>
      </c>
      <c r="U11938" s="278">
        <v>39.32</v>
      </c>
      <c r="V11938" s="278">
        <v>39.32</v>
      </c>
      <c r="Z11938" s="420" t="s">
        <v>2953</v>
      </c>
    </row>
    <row r="11939" spans="1:26">
      <c r="A11939" s="499">
        <v>45904</v>
      </c>
      <c r="B11939" s="499">
        <v>45905</v>
      </c>
      <c r="C11939" s="500" t="s">
        <v>173</v>
      </c>
      <c r="D11939" s="500" t="s">
        <v>763</v>
      </c>
      <c r="E11939" s="501">
        <v>1000471.37</v>
      </c>
      <c r="F11939" s="502" t="s">
        <v>878</v>
      </c>
      <c r="G11939" s="443">
        <v>118922410</v>
      </c>
      <c r="H11939" s="594">
        <v>118922410</v>
      </c>
      <c r="I11939" s="523" t="s">
        <v>715</v>
      </c>
      <c r="J11939" s="530" t="s">
        <v>912</v>
      </c>
      <c r="N11939" s="598">
        <v>1657</v>
      </c>
      <c r="R11939" s="420">
        <v>603.52599999999995</v>
      </c>
      <c r="S11939" s="420">
        <v>603.78477368738697</v>
      </c>
      <c r="T11939" s="420">
        <v>15.65</v>
      </c>
      <c r="U11939" s="278">
        <v>39.32</v>
      </c>
      <c r="V11939" s="278">
        <v>39.32</v>
      </c>
      <c r="Z11939" s="420" t="s">
        <v>2953</v>
      </c>
    </row>
    <row r="11940" spans="1:26">
      <c r="A11940" s="499">
        <v>45904</v>
      </c>
      <c r="B11940" s="499">
        <v>45905</v>
      </c>
      <c r="C11940" s="500" t="s">
        <v>173</v>
      </c>
      <c r="D11940" s="500" t="s">
        <v>763</v>
      </c>
      <c r="E11940" s="501">
        <v>1001217.71</v>
      </c>
      <c r="F11940" s="502" t="s">
        <v>878</v>
      </c>
      <c r="G11940" s="443">
        <v>118922413</v>
      </c>
      <c r="H11940" s="594">
        <v>118922413</v>
      </c>
      <c r="I11940" s="523" t="s">
        <v>592</v>
      </c>
      <c r="J11940" s="530" t="s">
        <v>912</v>
      </c>
      <c r="N11940" s="598">
        <v>1195</v>
      </c>
      <c r="R11940" s="420">
        <v>837.48</v>
      </c>
      <c r="S11940" s="420">
        <v>837.83908786610903</v>
      </c>
      <c r="T11940" s="420">
        <v>15.65</v>
      </c>
      <c r="U11940" s="278">
        <v>39.32</v>
      </c>
      <c r="V11940" s="278">
        <v>39.32</v>
      </c>
      <c r="Z11940" s="420" t="s">
        <v>2953</v>
      </c>
    </row>
    <row r="11941" spans="1:26">
      <c r="A11941" s="499">
        <v>45904</v>
      </c>
      <c r="B11941" s="499">
        <v>45905</v>
      </c>
      <c r="C11941" s="500" t="s">
        <v>173</v>
      </c>
      <c r="D11941" s="500" t="s">
        <v>763</v>
      </c>
      <c r="E11941" s="501">
        <v>1001282.7</v>
      </c>
      <c r="F11941" s="502" t="s">
        <v>878</v>
      </c>
      <c r="G11941" s="443">
        <v>118922416</v>
      </c>
      <c r="H11941" s="594">
        <v>118922416</v>
      </c>
      <c r="I11941" s="523" t="s">
        <v>598</v>
      </c>
      <c r="J11941" s="530" t="s">
        <v>912</v>
      </c>
      <c r="N11941" s="598">
        <v>957</v>
      </c>
      <c r="R11941" s="420">
        <v>1045.8240000000001</v>
      </c>
      <c r="S11941" s="420">
        <v>1046.2724137931</v>
      </c>
      <c r="T11941" s="420">
        <v>15.65</v>
      </c>
      <c r="U11941" s="278">
        <v>39.32</v>
      </c>
      <c r="V11941" s="278">
        <v>39.32</v>
      </c>
      <c r="Z11941" s="420" t="s">
        <v>2953</v>
      </c>
    </row>
    <row r="11942" spans="1:26">
      <c r="A11942" s="499">
        <v>45904</v>
      </c>
      <c r="B11942" s="499">
        <v>45905</v>
      </c>
      <c r="C11942" s="500" t="s">
        <v>173</v>
      </c>
      <c r="D11942" s="500" t="s">
        <v>763</v>
      </c>
      <c r="E11942" s="501">
        <v>2002011.07</v>
      </c>
      <c r="F11942" s="502" t="s">
        <v>878</v>
      </c>
      <c r="G11942" s="443">
        <v>118922419</v>
      </c>
      <c r="H11942" s="594">
        <v>118922419</v>
      </c>
      <c r="I11942" s="523" t="s">
        <v>677</v>
      </c>
      <c r="J11942" s="530" t="s">
        <v>912</v>
      </c>
      <c r="N11942" s="598">
        <v>2254</v>
      </c>
      <c r="R11942" s="420">
        <v>887.82299999999998</v>
      </c>
      <c r="S11942" s="420">
        <v>888.20366903283104</v>
      </c>
      <c r="T11942" s="420">
        <v>15.65</v>
      </c>
      <c r="U11942" s="278">
        <v>39.32</v>
      </c>
      <c r="V11942" s="278">
        <v>39.32</v>
      </c>
      <c r="Z11942" s="420" t="s">
        <v>2953</v>
      </c>
    </row>
    <row r="11943" spans="1:26">
      <c r="A11943" s="499">
        <v>45904</v>
      </c>
      <c r="B11943" s="499">
        <v>45905</v>
      </c>
      <c r="C11943" s="500" t="s">
        <v>173</v>
      </c>
      <c r="D11943" s="500" t="s">
        <v>763</v>
      </c>
      <c r="E11943" s="501">
        <v>2001177.21</v>
      </c>
      <c r="F11943" s="502" t="s">
        <v>878</v>
      </c>
      <c r="G11943" s="443">
        <v>118922422</v>
      </c>
      <c r="H11943" s="594">
        <v>118922422</v>
      </c>
      <c r="I11943" s="523" t="s">
        <v>600</v>
      </c>
      <c r="J11943" s="530" t="s">
        <v>912</v>
      </c>
      <c r="N11943" s="598">
        <v>2204</v>
      </c>
      <c r="R11943" s="420">
        <v>907.58600000000001</v>
      </c>
      <c r="S11943" s="420">
        <v>907.97514065335702</v>
      </c>
      <c r="T11943" s="420">
        <v>15.65</v>
      </c>
      <c r="U11943" s="278">
        <v>39.32</v>
      </c>
      <c r="V11943" s="278">
        <v>39.32</v>
      </c>
      <c r="Z11943" s="420" t="s">
        <v>2953</v>
      </c>
    </row>
    <row r="11944" spans="1:26">
      <c r="A11944" s="499">
        <v>45904</v>
      </c>
      <c r="B11944" s="499">
        <v>45905</v>
      </c>
      <c r="C11944" s="500" t="s">
        <v>173</v>
      </c>
      <c r="D11944" s="500" t="s">
        <v>763</v>
      </c>
      <c r="E11944" s="501">
        <v>2001898.5</v>
      </c>
      <c r="F11944" s="502" t="s">
        <v>878</v>
      </c>
      <c r="G11944" s="443">
        <v>118922425</v>
      </c>
      <c r="H11944" s="594">
        <v>118922425</v>
      </c>
      <c r="I11944" s="523" t="s">
        <v>654</v>
      </c>
      <c r="J11944" s="530" t="s">
        <v>912</v>
      </c>
      <c r="N11944" s="598">
        <v>1990</v>
      </c>
      <c r="R11944" s="420">
        <v>1005.548</v>
      </c>
      <c r="S11944" s="420">
        <v>1005.97914572864</v>
      </c>
      <c r="T11944" s="420">
        <v>15.65</v>
      </c>
      <c r="U11944" s="278">
        <v>39.32</v>
      </c>
      <c r="V11944" s="278">
        <v>39.32</v>
      </c>
      <c r="Z11944" s="420" t="s">
        <v>2953</v>
      </c>
    </row>
    <row r="11945" spans="1:26">
      <c r="A11945" s="499">
        <v>45904</v>
      </c>
      <c r="B11945" s="499">
        <v>45905</v>
      </c>
      <c r="C11945" s="500" t="s">
        <v>173</v>
      </c>
      <c r="D11945" s="500" t="s">
        <v>763</v>
      </c>
      <c r="E11945" s="501">
        <v>2001657.21</v>
      </c>
      <c r="F11945" s="502" t="s">
        <v>878</v>
      </c>
      <c r="G11945" s="443">
        <v>118922428</v>
      </c>
      <c r="H11945" s="594">
        <v>118922428</v>
      </c>
      <c r="I11945" s="523" t="s">
        <v>705</v>
      </c>
      <c r="J11945" s="530" t="s">
        <v>912</v>
      </c>
      <c r="N11945" s="598">
        <v>2656</v>
      </c>
      <c r="R11945" s="420">
        <v>753.31299999999999</v>
      </c>
      <c r="S11945" s="420">
        <v>753.63599774096394</v>
      </c>
      <c r="T11945" s="420">
        <v>15.65</v>
      </c>
      <c r="U11945" s="278">
        <v>39.32</v>
      </c>
      <c r="V11945" s="278">
        <v>39.32</v>
      </c>
      <c r="Z11945" s="420" t="s">
        <v>2953</v>
      </c>
    </row>
    <row r="11946" spans="1:26">
      <c r="A11946" s="499">
        <v>45904</v>
      </c>
      <c r="B11946" s="499">
        <v>45904</v>
      </c>
      <c r="C11946" s="500" t="s">
        <v>173</v>
      </c>
      <c r="D11946" s="500" t="s">
        <v>760</v>
      </c>
      <c r="E11946" s="501">
        <v>-1300035030.8399999</v>
      </c>
      <c r="F11946" s="502" t="s">
        <v>878</v>
      </c>
      <c r="G11946" s="443">
        <v>118923456</v>
      </c>
      <c r="I11946" s="523" t="s">
        <v>2556</v>
      </c>
      <c r="J11946" s="530" t="s">
        <v>906</v>
      </c>
      <c r="N11946" s="598">
        <v>14523600</v>
      </c>
      <c r="R11946" s="420">
        <v>89.511899999999997</v>
      </c>
      <c r="S11946" s="420">
        <v>89.550279514720899</v>
      </c>
      <c r="T11946" s="420">
        <v>15.649900000000001</v>
      </c>
      <c r="U11946" s="278">
        <v>1950.05</v>
      </c>
      <c r="V11946" s="278">
        <v>975.03</v>
      </c>
      <c r="Z11946" s="420" t="s">
        <v>2953</v>
      </c>
    </row>
    <row r="11947" spans="1:26">
      <c r="A11947" s="499">
        <v>45904</v>
      </c>
      <c r="B11947" s="499">
        <v>45904</v>
      </c>
      <c r="C11947" s="500" t="s">
        <v>173</v>
      </c>
      <c r="D11947" s="500" t="s">
        <v>760</v>
      </c>
      <c r="E11947" s="501">
        <v>-426013729.13</v>
      </c>
      <c r="F11947" s="502" t="s">
        <v>878</v>
      </c>
      <c r="G11947" s="443">
        <v>118924148</v>
      </c>
      <c r="I11947" s="523" t="s">
        <v>2956</v>
      </c>
      <c r="J11947" s="530" t="s">
        <v>906</v>
      </c>
      <c r="N11947" s="598">
        <v>4282578</v>
      </c>
      <c r="R11947" s="420">
        <v>99.475999999999999</v>
      </c>
      <c r="S11947" s="420">
        <v>99.518924302137606</v>
      </c>
      <c r="T11947" s="420">
        <v>15.7499</v>
      </c>
      <c r="U11947" s="278">
        <v>639.02</v>
      </c>
      <c r="V11947" s="278">
        <v>319.51</v>
      </c>
      <c r="Z11947" s="420" t="s">
        <v>2953</v>
      </c>
    </row>
    <row r="11948" spans="1:26">
      <c r="A11948" s="499">
        <v>45904</v>
      </c>
      <c r="B11948" s="499">
        <v>45905</v>
      </c>
      <c r="C11948" s="500" t="s">
        <v>173</v>
      </c>
      <c r="D11948" s="500" t="s">
        <v>760</v>
      </c>
      <c r="E11948" s="501">
        <v>1300592439.5599999</v>
      </c>
      <c r="F11948" s="502" t="s">
        <v>878</v>
      </c>
      <c r="G11948" s="443">
        <v>118923456</v>
      </c>
      <c r="H11948" s="594">
        <v>118923456</v>
      </c>
      <c r="I11948" s="523" t="s">
        <v>2556</v>
      </c>
      <c r="J11948" s="530" t="s">
        <v>912</v>
      </c>
      <c r="N11948" s="598">
        <v>14523600</v>
      </c>
      <c r="R11948" s="420">
        <v>89.511899999999997</v>
      </c>
      <c r="S11948" s="420">
        <v>89.550279514720899</v>
      </c>
      <c r="T11948" s="420">
        <v>15.649900000000001</v>
      </c>
      <c r="U11948" s="278">
        <v>1950.05</v>
      </c>
      <c r="V11948" s="278">
        <v>975.03</v>
      </c>
      <c r="Z11948" s="420" t="s">
        <v>2953</v>
      </c>
    </row>
    <row r="11949" spans="1:26">
      <c r="A11949" s="499">
        <v>45904</v>
      </c>
      <c r="B11949" s="499">
        <v>45905</v>
      </c>
      <c r="C11949" s="500" t="s">
        <v>173</v>
      </c>
      <c r="D11949" s="500" t="s">
        <v>760</v>
      </c>
      <c r="E11949" s="501">
        <v>426197555.80000001</v>
      </c>
      <c r="F11949" s="502" t="s">
        <v>878</v>
      </c>
      <c r="G11949" s="443">
        <v>118924148</v>
      </c>
      <c r="H11949" s="594">
        <v>118924148</v>
      </c>
      <c r="I11949" s="523" t="s">
        <v>2956</v>
      </c>
      <c r="J11949" s="530" t="s">
        <v>912</v>
      </c>
      <c r="N11949" s="598">
        <v>4282578</v>
      </c>
      <c r="R11949" s="420">
        <v>99.475999999999999</v>
      </c>
      <c r="S11949" s="420">
        <v>99.518924302137606</v>
      </c>
      <c r="T11949" s="420">
        <v>15.7499</v>
      </c>
      <c r="U11949" s="278">
        <v>639.02</v>
      </c>
      <c r="V11949" s="278">
        <v>319.51</v>
      </c>
      <c r="Z11949" s="420" t="s">
        <v>2953</v>
      </c>
    </row>
    <row r="11950" spans="1:26">
      <c r="A11950" s="499">
        <v>45905</v>
      </c>
      <c r="B11950" s="499">
        <v>45905</v>
      </c>
      <c r="C11950" s="500" t="s">
        <v>173</v>
      </c>
      <c r="D11950" s="500" t="s">
        <v>764</v>
      </c>
      <c r="E11950" s="501">
        <v>-3946299165.9899998</v>
      </c>
      <c r="F11950" s="502" t="s">
        <v>878</v>
      </c>
      <c r="G11950" s="443">
        <v>118951539</v>
      </c>
      <c r="I11950" s="523" t="s">
        <v>707</v>
      </c>
      <c r="J11950" s="530" t="s">
        <v>906</v>
      </c>
      <c r="N11950" s="598">
        <v>5646726</v>
      </c>
      <c r="R11950" s="420">
        <v>698.86500000000001</v>
      </c>
      <c r="S11950" s="420">
        <v>700.99605957505298</v>
      </c>
      <c r="T11950" s="567">
        <v>15.9</v>
      </c>
      <c r="U11950" s="538">
        <v>41436.14</v>
      </c>
      <c r="V11950" s="538">
        <v>20718.07</v>
      </c>
      <c r="Z11950" s="420" t="s">
        <v>2961</v>
      </c>
    </row>
    <row r="11951" spans="1:26">
      <c r="A11951" s="499">
        <v>45905</v>
      </c>
      <c r="B11951" s="499">
        <v>45905</v>
      </c>
      <c r="C11951" s="500" t="s">
        <v>173</v>
      </c>
      <c r="D11951" s="500" t="s">
        <v>764</v>
      </c>
      <c r="E11951" s="501">
        <v>-894725756.35000002</v>
      </c>
      <c r="F11951" s="502" t="s">
        <v>878</v>
      </c>
      <c r="G11951" s="443">
        <v>118951593</v>
      </c>
      <c r="I11951" s="523" t="s">
        <v>685</v>
      </c>
      <c r="J11951" s="530" t="s">
        <v>906</v>
      </c>
      <c r="N11951" s="598">
        <v>949428</v>
      </c>
      <c r="R11951" s="420">
        <v>942.38399999789351</v>
      </c>
      <c r="S11951" s="420">
        <v>945.25762572833298</v>
      </c>
      <c r="T11951" s="567">
        <v>15.9</v>
      </c>
      <c r="U11951" s="538">
        <v>9394.6200000000008</v>
      </c>
      <c r="V11951" s="538">
        <v>4697.3100000000004</v>
      </c>
      <c r="Z11951" s="420" t="s">
        <v>2961</v>
      </c>
    </row>
    <row r="11952" spans="1:26">
      <c r="A11952" s="499">
        <v>45905</v>
      </c>
      <c r="B11952" s="499">
        <v>45905</v>
      </c>
      <c r="C11952" s="500" t="s">
        <v>173</v>
      </c>
      <c r="D11952" s="500" t="s">
        <v>764</v>
      </c>
      <c r="E11952" s="501">
        <v>-29002649.809999999</v>
      </c>
      <c r="F11952" s="502" t="s">
        <v>878</v>
      </c>
      <c r="G11952" s="443">
        <v>118951815</v>
      </c>
      <c r="I11952" s="523" t="s">
        <v>1013</v>
      </c>
      <c r="J11952" s="530" t="s">
        <v>906</v>
      </c>
      <c r="N11952" s="598">
        <v>53621</v>
      </c>
      <c r="R11952" s="420">
        <v>540.88230003170395</v>
      </c>
      <c r="S11952" s="420">
        <v>542.53162063370701</v>
      </c>
      <c r="T11952" s="567">
        <v>15.9</v>
      </c>
      <c r="U11952" s="538">
        <v>304.52999999999997</v>
      </c>
      <c r="V11952" s="538">
        <v>152.26</v>
      </c>
      <c r="Z11952" s="420" t="s">
        <v>2961</v>
      </c>
    </row>
    <row r="11953" spans="1:26">
      <c r="A11953" s="499">
        <v>45905</v>
      </c>
      <c r="B11953" s="499">
        <v>45912</v>
      </c>
      <c r="C11953" s="500" t="s">
        <v>173</v>
      </c>
      <c r="D11953" s="500" t="s">
        <v>764</v>
      </c>
      <c r="E11953" s="501">
        <v>3958332675.5</v>
      </c>
      <c r="F11953" s="502" t="s">
        <v>878</v>
      </c>
      <c r="G11953" s="443">
        <v>118951539</v>
      </c>
      <c r="H11953" s="594">
        <v>118951539</v>
      </c>
      <c r="I11953" s="523" t="s">
        <v>707</v>
      </c>
      <c r="J11953" s="530" t="s">
        <v>912</v>
      </c>
      <c r="N11953" s="598">
        <v>5646726</v>
      </c>
      <c r="R11953" s="420">
        <v>698.86500000000001</v>
      </c>
      <c r="S11953" s="420">
        <v>700.99605957505298</v>
      </c>
      <c r="T11953" s="567">
        <v>15.9</v>
      </c>
      <c r="U11953" s="538">
        <v>41436.14</v>
      </c>
      <c r="V11953" s="538">
        <v>20718.07</v>
      </c>
      <c r="Z11953" s="420" t="s">
        <v>2961</v>
      </c>
    </row>
    <row r="11954" spans="1:26">
      <c r="A11954" s="499">
        <v>45905</v>
      </c>
      <c r="B11954" s="499">
        <v>45912</v>
      </c>
      <c r="C11954" s="500" t="s">
        <v>173</v>
      </c>
      <c r="D11954" s="500" t="s">
        <v>764</v>
      </c>
      <c r="E11954" s="501">
        <v>897454057.08000004</v>
      </c>
      <c r="F11954" s="502" t="s">
        <v>878</v>
      </c>
      <c r="G11954" s="443">
        <v>118951593</v>
      </c>
      <c r="H11954" s="594">
        <v>118951593</v>
      </c>
      <c r="I11954" s="523" t="s">
        <v>685</v>
      </c>
      <c r="J11954" s="530" t="s">
        <v>912</v>
      </c>
      <c r="N11954" s="598">
        <v>949428</v>
      </c>
      <c r="R11954" s="420">
        <v>942.38399999789351</v>
      </c>
      <c r="S11954" s="420">
        <v>945.25762572833298</v>
      </c>
      <c r="T11954" s="567">
        <v>15.9</v>
      </c>
      <c r="U11954" s="538">
        <v>9394.6200000000008</v>
      </c>
      <c r="V11954" s="538">
        <v>4697.3100000000004</v>
      </c>
      <c r="Z11954" s="420" t="s">
        <v>2961</v>
      </c>
    </row>
    <row r="11955" spans="1:26">
      <c r="A11955" s="499">
        <v>45905</v>
      </c>
      <c r="B11955" s="499">
        <v>45912</v>
      </c>
      <c r="C11955" s="500" t="s">
        <v>173</v>
      </c>
      <c r="D11955" s="500" t="s">
        <v>764</v>
      </c>
      <c r="E11955" s="501">
        <v>29091088.030000001</v>
      </c>
      <c r="F11955" s="502" t="s">
        <v>878</v>
      </c>
      <c r="G11955" s="443">
        <v>118951815</v>
      </c>
      <c r="H11955" s="594">
        <v>118951815</v>
      </c>
      <c r="I11955" s="523" t="s">
        <v>1013</v>
      </c>
      <c r="J11955" s="530" t="s">
        <v>912</v>
      </c>
      <c r="N11955" s="598">
        <v>53621</v>
      </c>
      <c r="R11955" s="420">
        <v>540.88230003170395</v>
      </c>
      <c r="S11955" s="420">
        <v>542.53162063370701</v>
      </c>
      <c r="T11955" s="567">
        <v>15.9</v>
      </c>
      <c r="U11955" s="538">
        <v>304.52999999999997</v>
      </c>
      <c r="V11955" s="538">
        <v>152.26</v>
      </c>
      <c r="Z11955" s="420" t="s">
        <v>2961</v>
      </c>
    </row>
    <row r="11956" spans="1:26">
      <c r="A11956" s="499">
        <v>45905</v>
      </c>
      <c r="B11956" s="499">
        <v>45905</v>
      </c>
      <c r="C11956" s="500" t="s">
        <v>173</v>
      </c>
      <c r="D11956" s="500" t="s">
        <v>761</v>
      </c>
      <c r="E11956" s="501">
        <v>-1154105444.0999999</v>
      </c>
      <c r="F11956" s="502" t="s">
        <v>878</v>
      </c>
      <c r="G11956" s="443">
        <v>118950677</v>
      </c>
      <c r="I11956" s="523" t="s">
        <v>1013</v>
      </c>
      <c r="J11956" s="530" t="s">
        <v>906</v>
      </c>
      <c r="N11956" s="598">
        <v>2133746</v>
      </c>
      <c r="R11956" s="420">
        <v>540.88230000196836</v>
      </c>
      <c r="S11956" s="420">
        <v>541.58248325245802</v>
      </c>
      <c r="T11956" s="420">
        <v>15.75</v>
      </c>
      <c r="U11956" s="538">
        <v>5193.47</v>
      </c>
      <c r="V11956" s="538">
        <v>2596.7399999999998</v>
      </c>
      <c r="Z11956" s="539" t="s">
        <v>2953</v>
      </c>
    </row>
    <row r="11957" spans="1:26">
      <c r="A11957" s="499">
        <v>45905</v>
      </c>
      <c r="B11957" s="499">
        <v>45905</v>
      </c>
      <c r="C11957" s="500" t="s">
        <v>173</v>
      </c>
      <c r="D11957" s="500" t="s">
        <v>761</v>
      </c>
      <c r="E11957" s="501">
        <v>-7000639.6100000003</v>
      </c>
      <c r="F11957" s="502" t="s">
        <v>878</v>
      </c>
      <c r="G11957" s="443">
        <v>118950724</v>
      </c>
      <c r="I11957" s="523" t="s">
        <v>1013</v>
      </c>
      <c r="J11957" s="530" t="s">
        <v>906</v>
      </c>
      <c r="N11957" s="598">
        <v>12943</v>
      </c>
      <c r="R11957" s="420">
        <v>540.88230008498806</v>
      </c>
      <c r="S11957" s="420">
        <v>541.58470601869703</v>
      </c>
      <c r="T11957" s="420">
        <v>15.8</v>
      </c>
      <c r="U11957" s="538">
        <v>39.32</v>
      </c>
      <c r="V11957" s="538">
        <v>15.75</v>
      </c>
      <c r="Z11957" s="539" t="s">
        <v>2953</v>
      </c>
    </row>
    <row r="11958" spans="1:26">
      <c r="A11958" s="499">
        <v>45905</v>
      </c>
      <c r="B11958" s="499">
        <v>45908</v>
      </c>
      <c r="C11958" s="500" t="s">
        <v>173</v>
      </c>
      <c r="D11958" s="500" t="s">
        <v>761</v>
      </c>
      <c r="E11958" s="501">
        <v>1155599457.3099999</v>
      </c>
      <c r="F11958" s="502" t="s">
        <v>878</v>
      </c>
      <c r="G11958" s="443">
        <v>118950677</v>
      </c>
      <c r="H11958" s="594">
        <v>118950677</v>
      </c>
      <c r="I11958" s="523" t="s">
        <v>1013</v>
      </c>
      <c r="J11958" s="530" t="s">
        <v>912</v>
      </c>
      <c r="N11958" s="598">
        <v>2133746</v>
      </c>
      <c r="R11958" s="420">
        <v>540.88230000196836</v>
      </c>
      <c r="S11958" s="420">
        <v>541.58248325245802</v>
      </c>
      <c r="T11958" s="420">
        <v>15.75</v>
      </c>
      <c r="U11958" s="538">
        <v>5193.47</v>
      </c>
      <c r="V11958" s="538">
        <v>2596.7399999999998</v>
      </c>
      <c r="Z11958" s="539" t="s">
        <v>2953</v>
      </c>
    </row>
    <row r="11959" spans="1:26">
      <c r="A11959" s="499">
        <v>45905</v>
      </c>
      <c r="B11959" s="499">
        <v>45908</v>
      </c>
      <c r="C11959" s="500" t="s">
        <v>173</v>
      </c>
      <c r="D11959" s="500" t="s">
        <v>761</v>
      </c>
      <c r="E11959" s="501">
        <v>7009730.8499999996</v>
      </c>
      <c r="F11959" s="502" t="s">
        <v>878</v>
      </c>
      <c r="G11959" s="443">
        <v>118950724</v>
      </c>
      <c r="H11959" s="594">
        <v>118950724</v>
      </c>
      <c r="I11959" s="523" t="s">
        <v>1013</v>
      </c>
      <c r="J11959" s="530" t="s">
        <v>912</v>
      </c>
      <c r="N11959" s="598">
        <v>12943</v>
      </c>
      <c r="R11959" s="420">
        <v>540.88230008498806</v>
      </c>
      <c r="S11959" s="420">
        <v>541.58470601869703</v>
      </c>
      <c r="T11959" s="420">
        <v>15.8</v>
      </c>
      <c r="U11959" s="538">
        <v>39.32</v>
      </c>
      <c r="V11959" s="538">
        <v>15.75</v>
      </c>
      <c r="Z11959" s="539" t="s">
        <v>2953</v>
      </c>
    </row>
    <row r="11960" spans="1:26">
      <c r="A11960" s="499">
        <v>45905</v>
      </c>
      <c r="B11960" s="499">
        <v>45905</v>
      </c>
      <c r="C11960" s="500" t="s">
        <v>173</v>
      </c>
      <c r="D11960" s="500" t="s">
        <v>763</v>
      </c>
      <c r="E11960" s="501">
        <v>-1929176257.9400001</v>
      </c>
      <c r="F11960" s="502" t="s">
        <v>878</v>
      </c>
      <c r="G11960" s="443">
        <v>118950751</v>
      </c>
      <c r="I11960" s="523" t="s">
        <v>1013</v>
      </c>
      <c r="J11960" s="530" t="s">
        <v>906</v>
      </c>
      <c r="N11960" s="598">
        <v>3566721</v>
      </c>
      <c r="R11960" s="420">
        <v>540.88229999999999</v>
      </c>
      <c r="S11960" s="420">
        <v>541.58470605634704</v>
      </c>
      <c r="T11960" s="420">
        <v>15.8</v>
      </c>
      <c r="U11960" s="278">
        <v>8681.2900000000009</v>
      </c>
      <c r="V11960" s="278">
        <v>4340.6499999999996</v>
      </c>
      <c r="Z11960" s="420" t="s">
        <v>2953</v>
      </c>
    </row>
    <row r="11961" spans="1:26">
      <c r="A11961" s="499">
        <v>45905</v>
      </c>
      <c r="B11961" s="499">
        <v>45905</v>
      </c>
      <c r="C11961" s="500" t="s">
        <v>173</v>
      </c>
      <c r="D11961" s="500" t="s">
        <v>763</v>
      </c>
      <c r="E11961" s="501">
        <v>-12003051.24</v>
      </c>
      <c r="F11961" s="502" t="s">
        <v>878</v>
      </c>
      <c r="G11961" s="443">
        <v>118950784</v>
      </c>
      <c r="I11961" s="523" t="s">
        <v>716</v>
      </c>
      <c r="J11961" s="530" t="s">
        <v>906</v>
      </c>
      <c r="N11961" s="598">
        <v>18552</v>
      </c>
      <c r="R11961" s="420">
        <v>646.995</v>
      </c>
      <c r="S11961" s="420">
        <v>647.83521237602395</v>
      </c>
      <c r="T11961" s="420">
        <v>15.8001</v>
      </c>
      <c r="U11961" s="278">
        <v>54.01</v>
      </c>
      <c r="V11961" s="278">
        <v>39.32</v>
      </c>
      <c r="Z11961" s="420" t="s">
        <v>2953</v>
      </c>
    </row>
    <row r="11962" spans="1:26">
      <c r="A11962" s="499">
        <v>45905</v>
      </c>
      <c r="B11962" s="499">
        <v>45908</v>
      </c>
      <c r="C11962" s="500" t="s">
        <v>173</v>
      </c>
      <c r="D11962" s="500" t="s">
        <v>763</v>
      </c>
      <c r="E11962" s="501">
        <v>1931681544.3699999</v>
      </c>
      <c r="F11962" s="502" t="s">
        <v>878</v>
      </c>
      <c r="G11962" s="443">
        <v>118950751</v>
      </c>
      <c r="H11962" s="594">
        <v>118950751</v>
      </c>
      <c r="I11962" s="523" t="s">
        <v>1013</v>
      </c>
      <c r="J11962" s="530" t="s">
        <v>912</v>
      </c>
      <c r="N11962" s="598">
        <v>3566721</v>
      </c>
      <c r="R11962" s="420">
        <v>540.88229999999999</v>
      </c>
      <c r="S11962" s="420">
        <v>541.58470605634704</v>
      </c>
      <c r="T11962" s="420">
        <v>15.8</v>
      </c>
      <c r="U11962" s="278">
        <v>8681.2900000000009</v>
      </c>
      <c r="V11962" s="278">
        <v>4340.6499999999996</v>
      </c>
      <c r="Z11962" s="420" t="s">
        <v>2953</v>
      </c>
    </row>
    <row r="11963" spans="1:26">
      <c r="A11963" s="499">
        <v>45905</v>
      </c>
      <c r="B11963" s="499">
        <v>45908</v>
      </c>
      <c r="C11963" s="500" t="s">
        <v>173</v>
      </c>
      <c r="D11963" s="500" t="s">
        <v>763</v>
      </c>
      <c r="E11963" s="501">
        <v>12018638.859999999</v>
      </c>
      <c r="F11963" s="502" t="s">
        <v>878</v>
      </c>
      <c r="G11963" s="443">
        <v>118950784</v>
      </c>
      <c r="H11963" s="594">
        <v>118950784</v>
      </c>
      <c r="I11963" s="523" t="s">
        <v>716</v>
      </c>
      <c r="J11963" s="530" t="s">
        <v>912</v>
      </c>
      <c r="N11963" s="598">
        <v>18552</v>
      </c>
      <c r="R11963" s="420">
        <v>646.995</v>
      </c>
      <c r="S11963" s="420">
        <v>647.83521237602395</v>
      </c>
      <c r="T11963" s="420">
        <v>15.8001</v>
      </c>
      <c r="U11963" s="278">
        <v>54.01</v>
      </c>
      <c r="V11963" s="278">
        <v>39.32</v>
      </c>
      <c r="Z11963" s="420" t="s">
        <v>2953</v>
      </c>
    </row>
    <row r="11964" spans="1:26">
      <c r="A11964" s="499">
        <v>45905</v>
      </c>
      <c r="B11964" s="499">
        <v>45905</v>
      </c>
      <c r="C11964" s="500" t="s">
        <v>173</v>
      </c>
      <c r="D11964" s="500" t="s">
        <v>760</v>
      </c>
      <c r="E11964" s="501">
        <v>-1300892550.0999999</v>
      </c>
      <c r="F11964" s="502" t="s">
        <v>878</v>
      </c>
      <c r="G11964" s="443">
        <v>118950582</v>
      </c>
      <c r="I11964" s="523" t="s">
        <v>712</v>
      </c>
      <c r="J11964" s="530" t="s">
        <v>906</v>
      </c>
      <c r="N11964" s="598">
        <v>1530100</v>
      </c>
      <c r="R11964" s="420">
        <v>850.20100000000002</v>
      </c>
      <c r="S11964" s="420">
        <v>851.29810169923496</v>
      </c>
      <c r="T11964" s="420">
        <v>15.6999</v>
      </c>
      <c r="U11964" s="278">
        <v>5854.02</v>
      </c>
      <c r="V11964" s="278">
        <v>2927.01</v>
      </c>
      <c r="Z11964" s="420" t="s">
        <v>2953</v>
      </c>
    </row>
    <row r="11965" spans="1:26">
      <c r="A11965" s="499">
        <v>45905</v>
      </c>
      <c r="B11965" s="499">
        <v>45905</v>
      </c>
      <c r="C11965" s="500" t="s">
        <v>173</v>
      </c>
      <c r="D11965" s="500" t="s">
        <v>760</v>
      </c>
      <c r="E11965" s="501">
        <v>-423038650.64999998</v>
      </c>
      <c r="F11965" s="502" t="s">
        <v>878</v>
      </c>
      <c r="G11965" s="443">
        <v>118950709</v>
      </c>
      <c r="I11965" s="523" t="s">
        <v>1013</v>
      </c>
      <c r="J11965" s="530" t="s">
        <v>906</v>
      </c>
      <c r="N11965" s="598">
        <v>782127</v>
      </c>
      <c r="R11965" s="420">
        <v>540.88229999999999</v>
      </c>
      <c r="S11965" s="420">
        <v>541.58470605157504</v>
      </c>
      <c r="T11965" s="420">
        <v>15.8</v>
      </c>
      <c r="U11965" s="278">
        <v>1903.67</v>
      </c>
      <c r="V11965" s="278">
        <v>951.84</v>
      </c>
      <c r="Z11965" s="420" t="s">
        <v>2953</v>
      </c>
    </row>
    <row r="11966" spans="1:26">
      <c r="A11966" s="499">
        <v>45905</v>
      </c>
      <c r="B11966" s="499">
        <v>45908</v>
      </c>
      <c r="C11966" s="500" t="s">
        <v>173</v>
      </c>
      <c r="D11966" s="500" t="s">
        <v>760</v>
      </c>
      <c r="E11966" s="501">
        <v>1302571225.4100001</v>
      </c>
      <c r="F11966" s="502" t="s">
        <v>878</v>
      </c>
      <c r="G11966" s="443">
        <v>118950582</v>
      </c>
      <c r="H11966" s="594">
        <v>118950582</v>
      </c>
      <c r="I11966" s="523" t="s">
        <v>712</v>
      </c>
      <c r="J11966" s="530" t="s">
        <v>912</v>
      </c>
      <c r="N11966" s="598">
        <v>1530100</v>
      </c>
      <c r="R11966" s="420">
        <v>850.20100000000002</v>
      </c>
      <c r="S11966" s="420">
        <v>851.29810169923496</v>
      </c>
      <c r="T11966" s="420">
        <v>15.6999</v>
      </c>
      <c r="U11966" s="278">
        <v>5854.02</v>
      </c>
      <c r="V11966" s="278">
        <v>2927.01</v>
      </c>
      <c r="Z11966" s="420" t="s">
        <v>2953</v>
      </c>
    </row>
    <row r="11967" spans="1:26">
      <c r="A11967" s="499">
        <v>45905</v>
      </c>
      <c r="B11967" s="499">
        <v>45908</v>
      </c>
      <c r="C11967" s="500" t="s">
        <v>173</v>
      </c>
      <c r="D11967" s="500" t="s">
        <v>760</v>
      </c>
      <c r="E11967" s="501">
        <v>423588021.38999999</v>
      </c>
      <c r="F11967" s="502" t="s">
        <v>878</v>
      </c>
      <c r="G11967" s="443">
        <v>118950709</v>
      </c>
      <c r="H11967" s="594">
        <v>118950709</v>
      </c>
      <c r="I11967" s="523" t="s">
        <v>1013</v>
      </c>
      <c r="J11967" s="530" t="s">
        <v>912</v>
      </c>
      <c r="N11967" s="598">
        <v>782127</v>
      </c>
      <c r="R11967" s="420">
        <v>540.88229999999999</v>
      </c>
      <c r="S11967" s="420">
        <v>541.58470605157504</v>
      </c>
      <c r="T11967" s="420">
        <v>15.8</v>
      </c>
      <c r="U11967" s="278">
        <v>1903.67</v>
      </c>
      <c r="V11967" s="278">
        <v>951.84</v>
      </c>
      <c r="Z11967" s="420" t="s">
        <v>2953</v>
      </c>
    </row>
    <row r="11968" spans="1:26">
      <c r="A11968" s="499">
        <v>45905</v>
      </c>
      <c r="B11968" s="499">
        <v>45905</v>
      </c>
      <c r="C11968" s="500" t="s">
        <v>173</v>
      </c>
      <c r="D11968" s="500" t="s">
        <v>759</v>
      </c>
      <c r="E11968" s="501">
        <v>-2061006435.0599999</v>
      </c>
      <c r="F11968" s="502" t="s">
        <v>878</v>
      </c>
      <c r="G11968" s="443">
        <v>118952118</v>
      </c>
      <c r="I11968" s="523" t="s">
        <v>2956</v>
      </c>
      <c r="J11968" s="530" t="s">
        <v>906</v>
      </c>
      <c r="N11968" s="598">
        <v>20710989</v>
      </c>
      <c r="R11968" s="420">
        <v>99.512699999985514</v>
      </c>
      <c r="S11968" s="420">
        <v>99.643484225210102</v>
      </c>
      <c r="T11968" s="420">
        <v>15.99</v>
      </c>
      <c r="U11968" s="278">
        <v>9274.5300000000007</v>
      </c>
      <c r="V11968" s="278">
        <v>4637.26</v>
      </c>
      <c r="Z11968" s="420" t="s">
        <v>2953</v>
      </c>
    </row>
    <row r="11969" spans="1:26">
      <c r="A11969" s="499">
        <v>45905</v>
      </c>
      <c r="B11969" s="499">
        <v>45905</v>
      </c>
      <c r="C11969" s="500" t="s">
        <v>173</v>
      </c>
      <c r="D11969" s="500" t="s">
        <v>759</v>
      </c>
      <c r="E11969" s="501">
        <v>-13001187.85</v>
      </c>
      <c r="F11969" s="502" t="s">
        <v>878</v>
      </c>
      <c r="G11969" s="443">
        <v>118952662</v>
      </c>
      <c r="I11969" s="523" t="s">
        <v>1013</v>
      </c>
      <c r="J11969" s="530" t="s">
        <v>906</v>
      </c>
      <c r="N11969" s="598">
        <v>24037</v>
      </c>
      <c r="R11969" s="420">
        <v>540.88230020385242</v>
      </c>
      <c r="S11969" s="420">
        <v>541.58914756417198</v>
      </c>
      <c r="T11969" s="420">
        <v>15.899900000000001</v>
      </c>
      <c r="U11969" s="278">
        <v>58.51</v>
      </c>
      <c r="V11969" s="278">
        <v>29.25</v>
      </c>
      <c r="Z11969" s="420" t="s">
        <v>2953</v>
      </c>
    </row>
    <row r="11970" spans="1:26">
      <c r="A11970" s="499">
        <v>45905</v>
      </c>
      <c r="B11970" s="499">
        <v>45908</v>
      </c>
      <c r="C11970" s="500" t="s">
        <v>173</v>
      </c>
      <c r="D11970" s="500" t="s">
        <v>759</v>
      </c>
      <c r="E11970" s="501">
        <v>2063715105.71</v>
      </c>
      <c r="F11970" s="502" t="s">
        <v>878</v>
      </c>
      <c r="G11970" s="443">
        <v>118952118</v>
      </c>
      <c r="H11970" s="594">
        <v>118952118</v>
      </c>
      <c r="I11970" s="523" t="s">
        <v>2956</v>
      </c>
      <c r="J11970" s="530" t="s">
        <v>912</v>
      </c>
      <c r="N11970" s="598">
        <v>20710989</v>
      </c>
      <c r="R11970" s="420">
        <v>99.512699999985514</v>
      </c>
      <c r="S11970" s="420">
        <v>99.643484225210102</v>
      </c>
      <c r="T11970" s="420">
        <v>15.99</v>
      </c>
      <c r="U11970" s="278">
        <v>9274.5300000000007</v>
      </c>
      <c r="V11970" s="278">
        <v>4637.26</v>
      </c>
      <c r="Z11970" s="420" t="s">
        <v>2953</v>
      </c>
    </row>
    <row r="11971" spans="1:26">
      <c r="A11971" s="499">
        <v>45905</v>
      </c>
      <c r="B11971" s="499">
        <v>45908</v>
      </c>
      <c r="C11971" s="500" t="s">
        <v>173</v>
      </c>
      <c r="D11971" s="500" t="s">
        <v>759</v>
      </c>
      <c r="E11971" s="501">
        <v>13018178.34</v>
      </c>
      <c r="F11971" s="502" t="s">
        <v>878</v>
      </c>
      <c r="G11971" s="443">
        <v>118952662</v>
      </c>
      <c r="H11971" s="594">
        <v>118952662</v>
      </c>
      <c r="I11971" s="523" t="s">
        <v>1013</v>
      </c>
      <c r="J11971" s="530" t="s">
        <v>912</v>
      </c>
      <c r="N11971" s="598">
        <v>24037</v>
      </c>
      <c r="R11971" s="420">
        <v>540.88230020385242</v>
      </c>
      <c r="S11971" s="420">
        <v>541.58914756417198</v>
      </c>
      <c r="T11971" s="420">
        <v>15.899900000000001</v>
      </c>
      <c r="U11971" s="278">
        <v>58.51</v>
      </c>
      <c r="V11971" s="278">
        <v>29.25</v>
      </c>
      <c r="Z11971" s="420" t="s">
        <v>2953</v>
      </c>
    </row>
    <row r="11972" spans="1:26" s="420" customFormat="1">
      <c r="A11972" s="275">
        <v>45908</v>
      </c>
      <c r="B11972" s="275">
        <v>45908</v>
      </c>
      <c r="C11972" s="420" t="s">
        <v>173</v>
      </c>
      <c r="D11972" s="420" t="s">
        <v>763</v>
      </c>
      <c r="E11972" s="501">
        <v>-433106861.80000001</v>
      </c>
      <c r="F11972" s="95" t="s">
        <v>878</v>
      </c>
      <c r="G11972" s="443">
        <v>118979913</v>
      </c>
      <c r="H11972" s="564"/>
      <c r="I11972" s="523" t="s">
        <v>673</v>
      </c>
      <c r="J11972" s="43" t="s">
        <v>906</v>
      </c>
      <c r="K11972" s="564"/>
      <c r="L11972" s="538"/>
      <c r="M11972" s="538"/>
      <c r="N11972" s="598">
        <v>475001</v>
      </c>
      <c r="R11972" s="420">
        <v>911.80200000000002</v>
      </c>
      <c r="S11972" s="420">
        <v>912.19795187799605</v>
      </c>
      <c r="T11972" s="420">
        <v>15.850199999999999</v>
      </c>
      <c r="U11972" s="278">
        <v>649.66</v>
      </c>
      <c r="V11972" s="278">
        <v>324.83</v>
      </c>
      <c r="Z11972" s="420" t="s">
        <v>2953</v>
      </c>
    </row>
    <row r="11973" spans="1:26" s="420" customFormat="1">
      <c r="A11973" s="275">
        <v>45908</v>
      </c>
      <c r="B11973" s="275">
        <v>45908</v>
      </c>
      <c r="C11973" s="420" t="s">
        <v>173</v>
      </c>
      <c r="D11973" s="420" t="s">
        <v>763</v>
      </c>
      <c r="E11973" s="501">
        <v>-683296968.39999998</v>
      </c>
      <c r="F11973" s="95" t="s">
        <v>878</v>
      </c>
      <c r="G11973" s="443">
        <v>118979916</v>
      </c>
      <c r="H11973" s="564"/>
      <c r="I11973" s="523" t="s">
        <v>671</v>
      </c>
      <c r="J11973" s="43" t="s">
        <v>906</v>
      </c>
      <c r="K11973" s="564"/>
      <c r="L11973" s="538"/>
      <c r="M11973" s="538"/>
      <c r="N11973" s="598">
        <v>659095</v>
      </c>
      <c r="R11973" s="420">
        <v>1036.72</v>
      </c>
      <c r="S11973" s="420">
        <v>1037.1701977863599</v>
      </c>
      <c r="T11973" s="420">
        <v>15.850199999999999</v>
      </c>
      <c r="U11973" s="278">
        <v>1024.95</v>
      </c>
      <c r="V11973" s="278">
        <v>512.47</v>
      </c>
      <c r="Z11973" s="420" t="s">
        <v>2953</v>
      </c>
    </row>
    <row r="11974" spans="1:26" s="420" customFormat="1">
      <c r="A11974" s="275">
        <v>45908</v>
      </c>
      <c r="B11974" s="275">
        <v>45908</v>
      </c>
      <c r="C11974" s="420" t="s">
        <v>173</v>
      </c>
      <c r="D11974" s="420" t="s">
        <v>763</v>
      </c>
      <c r="E11974" s="501">
        <v>-678015040.75</v>
      </c>
      <c r="F11974" s="95" t="s">
        <v>878</v>
      </c>
      <c r="G11974" s="443">
        <v>118979919</v>
      </c>
      <c r="H11974" s="564"/>
      <c r="I11974" s="523" t="s">
        <v>656</v>
      </c>
      <c r="J11974" s="43" t="s">
        <v>906</v>
      </c>
      <c r="K11974" s="564"/>
      <c r="L11974" s="538"/>
      <c r="M11974" s="538"/>
      <c r="N11974" s="598">
        <v>650202</v>
      </c>
      <c r="R11974" s="420">
        <v>1042.7760000000001</v>
      </c>
      <c r="S11974" s="420">
        <v>1043.2288276105</v>
      </c>
      <c r="T11974" s="420">
        <v>15.850199999999999</v>
      </c>
      <c r="U11974" s="278">
        <v>1017.02</v>
      </c>
      <c r="V11974" s="278">
        <v>508.51</v>
      </c>
      <c r="Z11974" s="420" t="s">
        <v>2953</v>
      </c>
    </row>
    <row r="11975" spans="1:26" s="420" customFormat="1">
      <c r="A11975" s="275">
        <v>45908</v>
      </c>
      <c r="B11975" s="275">
        <v>45908</v>
      </c>
      <c r="C11975" s="420" t="s">
        <v>173</v>
      </c>
      <c r="D11975" s="420" t="s">
        <v>763</v>
      </c>
      <c r="E11975" s="501">
        <v>-138034064.13999999</v>
      </c>
      <c r="F11975" s="95" t="s">
        <v>878</v>
      </c>
      <c r="G11975" s="443">
        <v>118979922</v>
      </c>
      <c r="H11975" s="564"/>
      <c r="I11975" s="523" t="s">
        <v>1013</v>
      </c>
      <c r="J11975" s="43" t="s">
        <v>906</v>
      </c>
      <c r="K11975" s="564"/>
      <c r="L11975" s="538"/>
      <c r="M11975" s="538"/>
      <c r="N11975" s="598">
        <v>256128</v>
      </c>
      <c r="R11975" s="420">
        <v>538.92610000000002</v>
      </c>
      <c r="S11975" s="420">
        <v>539.16012829522697</v>
      </c>
      <c r="T11975" s="420">
        <v>15.850099999999999</v>
      </c>
      <c r="U11975" s="278">
        <v>207.05</v>
      </c>
      <c r="V11975" s="278">
        <v>103.53</v>
      </c>
      <c r="Z11975" s="420" t="s">
        <v>2953</v>
      </c>
    </row>
    <row r="11976" spans="1:26" s="420" customFormat="1">
      <c r="A11976" s="275">
        <v>45908</v>
      </c>
      <c r="B11976" s="275">
        <v>45908</v>
      </c>
      <c r="C11976" s="420" t="s">
        <v>173</v>
      </c>
      <c r="D11976" s="420" t="s">
        <v>763</v>
      </c>
      <c r="E11976" s="501">
        <v>-11001196.4</v>
      </c>
      <c r="F11976" s="95" t="s">
        <v>878</v>
      </c>
      <c r="G11976" s="443">
        <v>118980028</v>
      </c>
      <c r="H11976" s="564"/>
      <c r="I11976" s="523" t="s">
        <v>699</v>
      </c>
      <c r="J11976" s="43" t="s">
        <v>906</v>
      </c>
      <c r="K11976" s="564"/>
      <c r="L11976" s="538"/>
      <c r="M11976" s="538"/>
      <c r="N11976" s="598">
        <v>12111</v>
      </c>
      <c r="R11976" s="420">
        <v>908.36400000000003</v>
      </c>
      <c r="S11976" s="420">
        <v>908.75969779539298</v>
      </c>
      <c r="T11976" s="420">
        <v>15.9</v>
      </c>
      <c r="U11976" s="278">
        <v>39.32</v>
      </c>
      <c r="V11976" s="278">
        <v>39.32</v>
      </c>
      <c r="Z11976" s="420" t="s">
        <v>2953</v>
      </c>
    </row>
    <row r="11977" spans="1:26" s="420" customFormat="1">
      <c r="A11977" s="275">
        <v>45908</v>
      </c>
      <c r="B11977" s="275">
        <v>45909</v>
      </c>
      <c r="C11977" s="420" t="s">
        <v>173</v>
      </c>
      <c r="D11977" s="420" t="s">
        <v>763</v>
      </c>
      <c r="E11977" s="501">
        <v>433294939.33999997</v>
      </c>
      <c r="F11977" s="95" t="s">
        <v>878</v>
      </c>
      <c r="G11977" s="443">
        <v>118979913</v>
      </c>
      <c r="H11977" s="595">
        <v>118979913</v>
      </c>
      <c r="I11977" s="523" t="s">
        <v>673</v>
      </c>
      <c r="J11977" s="43" t="s">
        <v>912</v>
      </c>
      <c r="K11977" s="564"/>
      <c r="L11977" s="538"/>
      <c r="M11977" s="538"/>
      <c r="N11977" s="598">
        <v>475001</v>
      </c>
      <c r="R11977" s="420">
        <v>911.80200000000002</v>
      </c>
      <c r="S11977" s="420">
        <v>912.19795187799605</v>
      </c>
      <c r="T11977" s="420">
        <v>15.850199999999999</v>
      </c>
      <c r="U11977" s="278">
        <v>649.66</v>
      </c>
      <c r="V11977" s="278">
        <v>324.83</v>
      </c>
      <c r="Z11977" s="420" t="s">
        <v>2953</v>
      </c>
    </row>
    <row r="11978" spans="1:26" s="420" customFormat="1">
      <c r="A11978" s="275">
        <v>45908</v>
      </c>
      <c r="B11978" s="275">
        <v>45909</v>
      </c>
      <c r="C11978" s="420" t="s">
        <v>173</v>
      </c>
      <c r="D11978" s="420" t="s">
        <v>763</v>
      </c>
      <c r="E11978" s="501">
        <v>683593691.50999999</v>
      </c>
      <c r="F11978" s="95" t="s">
        <v>878</v>
      </c>
      <c r="G11978" s="443">
        <v>118979916</v>
      </c>
      <c r="H11978" s="595">
        <v>118979916</v>
      </c>
      <c r="I11978" s="523" t="s">
        <v>671</v>
      </c>
      <c r="J11978" s="43" t="s">
        <v>912</v>
      </c>
      <c r="K11978" s="564"/>
      <c r="L11978" s="538"/>
      <c r="M11978" s="538"/>
      <c r="N11978" s="598">
        <v>659095</v>
      </c>
      <c r="R11978" s="420">
        <v>1036.72</v>
      </c>
      <c r="S11978" s="420">
        <v>1037.1701977863599</v>
      </c>
      <c r="T11978" s="420">
        <v>15.850199999999999</v>
      </c>
      <c r="U11978" s="278">
        <v>1024.95</v>
      </c>
      <c r="V11978" s="278">
        <v>512.47</v>
      </c>
      <c r="Z11978" s="420" t="s">
        <v>2953</v>
      </c>
    </row>
    <row r="11979" spans="1:26" s="420" customFormat="1">
      <c r="A11979" s="275">
        <v>45908</v>
      </c>
      <c r="B11979" s="275">
        <v>45909</v>
      </c>
      <c r="C11979" s="420" t="s">
        <v>173</v>
      </c>
      <c r="D11979" s="420" t="s">
        <v>763</v>
      </c>
      <c r="E11979" s="501">
        <v>678309470.16999996</v>
      </c>
      <c r="F11979" s="95" t="s">
        <v>878</v>
      </c>
      <c r="G11979" s="443">
        <v>118979919</v>
      </c>
      <c r="H11979" s="595">
        <v>118979919</v>
      </c>
      <c r="I11979" s="523" t="s">
        <v>656</v>
      </c>
      <c r="J11979" s="43" t="s">
        <v>912</v>
      </c>
      <c r="K11979" s="564"/>
      <c r="L11979" s="538"/>
      <c r="M11979" s="538"/>
      <c r="N11979" s="598">
        <v>650202</v>
      </c>
      <c r="R11979" s="420">
        <v>1042.7760000000001</v>
      </c>
      <c r="S11979" s="420">
        <v>1043.2288276105</v>
      </c>
      <c r="T11979" s="420">
        <v>15.850199999999999</v>
      </c>
      <c r="U11979" s="278">
        <v>1017.02</v>
      </c>
      <c r="V11979" s="278">
        <v>508.51</v>
      </c>
      <c r="Z11979" s="420" t="s">
        <v>2953</v>
      </c>
    </row>
    <row r="11980" spans="1:26" s="420" customFormat="1">
      <c r="A11980" s="275">
        <v>45908</v>
      </c>
      <c r="B11980" s="275">
        <v>45909</v>
      </c>
      <c r="C11980" s="420" t="s">
        <v>173</v>
      </c>
      <c r="D11980" s="420" t="s">
        <v>763</v>
      </c>
      <c r="E11980" s="501">
        <v>138094005.34</v>
      </c>
      <c r="F11980" s="95" t="s">
        <v>878</v>
      </c>
      <c r="G11980" s="443">
        <v>118979922</v>
      </c>
      <c r="H11980" s="595">
        <v>118979922</v>
      </c>
      <c r="I11980" s="523" t="s">
        <v>1013</v>
      </c>
      <c r="J11980" s="43" t="s">
        <v>912</v>
      </c>
      <c r="K11980" s="564"/>
      <c r="L11980" s="538"/>
      <c r="M11980" s="538"/>
      <c r="N11980" s="598">
        <v>256128</v>
      </c>
      <c r="R11980" s="420">
        <v>538.92610000000002</v>
      </c>
      <c r="S11980" s="420">
        <v>539.16012829522697</v>
      </c>
      <c r="T11980" s="420">
        <v>15.850099999999999</v>
      </c>
      <c r="U11980" s="278">
        <v>207.05</v>
      </c>
      <c r="V11980" s="278">
        <v>103.53</v>
      </c>
      <c r="Z11980" s="420" t="s">
        <v>2953</v>
      </c>
    </row>
    <row r="11981" spans="1:26" s="420" customFormat="1">
      <c r="A11981" s="275">
        <v>45908</v>
      </c>
      <c r="B11981" s="275">
        <v>45909</v>
      </c>
      <c r="C11981" s="420" t="s">
        <v>173</v>
      </c>
      <c r="D11981" s="420" t="s">
        <v>763</v>
      </c>
      <c r="E11981" s="501">
        <v>11005988.699999999</v>
      </c>
      <c r="F11981" s="95" t="s">
        <v>878</v>
      </c>
      <c r="G11981" s="443">
        <v>118980028</v>
      </c>
      <c r="H11981" s="595">
        <v>118980028</v>
      </c>
      <c r="I11981" s="523" t="s">
        <v>699</v>
      </c>
      <c r="J11981" s="43" t="s">
        <v>912</v>
      </c>
      <c r="K11981" s="564"/>
      <c r="L11981" s="538"/>
      <c r="M11981" s="538"/>
      <c r="N11981" s="598">
        <v>12111</v>
      </c>
      <c r="R11981" s="420">
        <v>908.36400000000003</v>
      </c>
      <c r="S11981" s="420">
        <v>908.75969779539298</v>
      </c>
      <c r="T11981" s="420">
        <v>15.9</v>
      </c>
      <c r="U11981" s="278">
        <v>39.32</v>
      </c>
      <c r="V11981" s="278">
        <v>39.32</v>
      </c>
      <c r="Z11981" s="420" t="s">
        <v>2953</v>
      </c>
    </row>
    <row r="11982" spans="1:26" s="420" customFormat="1">
      <c r="A11982" s="275">
        <v>45908</v>
      </c>
      <c r="B11982" s="275">
        <v>45908</v>
      </c>
      <c r="C11982" s="420" t="s">
        <v>173</v>
      </c>
      <c r="D11982" s="420" t="s">
        <v>760</v>
      </c>
      <c r="E11982" s="501">
        <v>-1301214119.4000001</v>
      </c>
      <c r="F11982" s="95" t="s">
        <v>878</v>
      </c>
      <c r="G11982" s="443">
        <v>118979184</v>
      </c>
      <c r="H11982" s="564"/>
      <c r="I11982" s="523" t="s">
        <v>675</v>
      </c>
      <c r="J11982" s="43" t="s">
        <v>906</v>
      </c>
      <c r="K11982" s="564"/>
      <c r="L11982" s="538"/>
      <c r="M11982" s="538"/>
      <c r="N11982" s="598">
        <v>1380600</v>
      </c>
      <c r="R11982" s="420">
        <v>942.49900000000002</v>
      </c>
      <c r="S11982" s="420">
        <v>942.90827438070403</v>
      </c>
      <c r="T11982" s="420">
        <v>15.8499</v>
      </c>
      <c r="U11982" s="278">
        <v>1951.82</v>
      </c>
      <c r="V11982" s="278">
        <v>975.91</v>
      </c>
      <c r="Z11982" s="420" t="s">
        <v>2953</v>
      </c>
    </row>
    <row r="11983" spans="1:26" s="420" customFormat="1">
      <c r="A11983" s="275">
        <v>45908</v>
      </c>
      <c r="B11983" s="275">
        <v>45908</v>
      </c>
      <c r="C11983" s="420" t="s">
        <v>173</v>
      </c>
      <c r="D11983" s="420" t="s">
        <v>760</v>
      </c>
      <c r="E11983" s="501">
        <v>-422075985.49000001</v>
      </c>
      <c r="F11983" s="95" t="s">
        <v>878</v>
      </c>
      <c r="G11983" s="443">
        <v>118980160</v>
      </c>
      <c r="H11983" s="564"/>
      <c r="I11983" s="523" t="s">
        <v>2854</v>
      </c>
      <c r="J11983" s="43" t="s">
        <v>906</v>
      </c>
      <c r="K11983" s="564"/>
      <c r="L11983" s="538"/>
      <c r="M11983" s="538"/>
      <c r="N11983" s="598">
        <v>767618</v>
      </c>
      <c r="R11983" s="420">
        <v>549.85159999999996</v>
      </c>
      <c r="S11983" s="420">
        <v>550.09112288924996</v>
      </c>
      <c r="T11983" s="420">
        <v>15.899900000000001</v>
      </c>
      <c r="U11983" s="278">
        <v>633.11</v>
      </c>
      <c r="V11983" s="278">
        <v>316.56</v>
      </c>
      <c r="Z11983" s="420" t="s">
        <v>2953</v>
      </c>
    </row>
    <row r="11984" spans="1:26" s="420" customFormat="1">
      <c r="A11984" s="275">
        <v>45908</v>
      </c>
      <c r="B11984" s="275">
        <v>45909</v>
      </c>
      <c r="C11984" s="420" t="s">
        <v>173</v>
      </c>
      <c r="D11984" s="420" t="s">
        <v>760</v>
      </c>
      <c r="E11984" s="501">
        <v>1301779163.6099999</v>
      </c>
      <c r="F11984" s="95" t="s">
        <v>878</v>
      </c>
      <c r="G11984" s="443">
        <v>118979184</v>
      </c>
      <c r="H11984" s="595">
        <v>118979184</v>
      </c>
      <c r="I11984" s="523" t="s">
        <v>675</v>
      </c>
      <c r="J11984" s="43" t="s">
        <v>912</v>
      </c>
      <c r="K11984" s="564"/>
      <c r="L11984" s="538"/>
      <c r="M11984" s="538"/>
      <c r="N11984" s="598">
        <v>1380600</v>
      </c>
      <c r="R11984" s="420">
        <v>942.49900000000002</v>
      </c>
      <c r="S11984" s="420">
        <v>942.90827438070403</v>
      </c>
      <c r="T11984" s="420">
        <v>15.8499</v>
      </c>
      <c r="U11984" s="278">
        <v>1951.82</v>
      </c>
      <c r="V11984" s="278">
        <v>975.91</v>
      </c>
      <c r="Z11984" s="420" t="s">
        <v>2953</v>
      </c>
    </row>
    <row r="11985" spans="1:26" s="420" customFormat="1">
      <c r="A11985" s="275">
        <v>45908</v>
      </c>
      <c r="B11985" s="275">
        <v>45909</v>
      </c>
      <c r="C11985" s="420" t="s">
        <v>173</v>
      </c>
      <c r="D11985" s="420" t="s">
        <v>760</v>
      </c>
      <c r="E11985" s="501">
        <v>422259847.56999999</v>
      </c>
      <c r="F11985" s="95" t="s">
        <v>878</v>
      </c>
      <c r="G11985" s="443">
        <v>118980160</v>
      </c>
      <c r="H11985" s="595">
        <v>118980160</v>
      </c>
      <c r="I11985" s="523" t="s">
        <v>2854</v>
      </c>
      <c r="J11985" s="43" t="s">
        <v>912</v>
      </c>
      <c r="K11985" s="564"/>
      <c r="L11985" s="538"/>
      <c r="M11985" s="538"/>
      <c r="N11985" s="598">
        <v>767618</v>
      </c>
      <c r="R11985" s="420">
        <v>549.85159999999996</v>
      </c>
      <c r="S11985" s="420">
        <v>550.09112288924996</v>
      </c>
      <c r="T11985" s="420">
        <v>15.899900000000001</v>
      </c>
      <c r="U11985" s="278">
        <v>633.11</v>
      </c>
      <c r="V11985" s="278">
        <v>316.56</v>
      </c>
      <c r="Z11985" s="420" t="s">
        <v>2953</v>
      </c>
    </row>
    <row r="11986" spans="1:26" s="420" customFormat="1">
      <c r="A11986" s="275">
        <v>45908</v>
      </c>
      <c r="B11986" s="275">
        <v>45908</v>
      </c>
      <c r="C11986" s="420" t="s">
        <v>173</v>
      </c>
      <c r="D11986" s="420" t="s">
        <v>761</v>
      </c>
      <c r="E11986" s="501">
        <v>-1156062277.1900001</v>
      </c>
      <c r="F11986" s="95" t="s">
        <v>878</v>
      </c>
      <c r="G11986" s="443">
        <v>118983690</v>
      </c>
      <c r="H11986" s="564"/>
      <c r="I11986" s="523" t="s">
        <v>674</v>
      </c>
      <c r="J11986" s="43" t="s">
        <v>906</v>
      </c>
      <c r="K11986" s="564"/>
      <c r="L11986" s="538"/>
      <c r="M11986" s="538"/>
      <c r="N11986" s="598">
        <v>1286628</v>
      </c>
      <c r="R11986" s="420">
        <v>898.52099999999996</v>
      </c>
      <c r="S11986" s="420">
        <v>898.91364137108803</v>
      </c>
      <c r="T11986" s="420">
        <v>15.95</v>
      </c>
      <c r="U11986" s="278">
        <v>1734.09</v>
      </c>
      <c r="V11986" s="278">
        <v>867.05</v>
      </c>
      <c r="Z11986" s="420" t="s">
        <v>2953</v>
      </c>
    </row>
    <row r="11987" spans="1:26" s="420" customFormat="1">
      <c r="A11987" s="275">
        <v>45908</v>
      </c>
      <c r="B11987" s="275">
        <v>45908</v>
      </c>
      <c r="C11987" s="420" t="s">
        <v>173</v>
      </c>
      <c r="D11987" s="420" t="s">
        <v>761</v>
      </c>
      <c r="E11987" s="501">
        <v>-7000377.1100000003</v>
      </c>
      <c r="F11987" s="95" t="s">
        <v>878</v>
      </c>
      <c r="G11987" s="443">
        <v>118983703</v>
      </c>
      <c r="H11987" s="564"/>
      <c r="I11987" s="523" t="s">
        <v>674</v>
      </c>
      <c r="J11987" s="43" t="s">
        <v>906</v>
      </c>
      <c r="K11987" s="564"/>
      <c r="L11987" s="538"/>
      <c r="M11987" s="538"/>
      <c r="N11987" s="598">
        <v>7791</v>
      </c>
      <c r="R11987" s="420">
        <v>898.52099999999996</v>
      </c>
      <c r="S11987" s="420">
        <v>898.91364138108099</v>
      </c>
      <c r="T11987" s="420">
        <v>15.95</v>
      </c>
      <c r="U11987" s="278">
        <v>39.32</v>
      </c>
      <c r="V11987" s="278">
        <v>5.25</v>
      </c>
      <c r="Z11987" s="420" t="s">
        <v>2953</v>
      </c>
    </row>
    <row r="11988" spans="1:26" s="420" customFormat="1">
      <c r="A11988" s="275">
        <v>45908</v>
      </c>
      <c r="B11988" s="275">
        <v>45909</v>
      </c>
      <c r="C11988" s="420" t="s">
        <v>173</v>
      </c>
      <c r="D11988" s="420" t="s">
        <v>761</v>
      </c>
      <c r="E11988" s="501">
        <v>1156567460.5699999</v>
      </c>
      <c r="F11988" s="95" t="s">
        <v>878</v>
      </c>
      <c r="G11988" s="443">
        <v>118983690</v>
      </c>
      <c r="H11988" s="595">
        <v>118983690</v>
      </c>
      <c r="I11988" s="523" t="s">
        <v>674</v>
      </c>
      <c r="J11988" s="43" t="s">
        <v>912</v>
      </c>
      <c r="K11988" s="564"/>
      <c r="L11988" s="538"/>
      <c r="M11988" s="538"/>
      <c r="N11988" s="598">
        <v>1286628</v>
      </c>
      <c r="R11988" s="420">
        <v>898.52099999999996</v>
      </c>
      <c r="S11988" s="420">
        <v>898.91364137108803</v>
      </c>
      <c r="T11988" s="420">
        <v>15.95</v>
      </c>
      <c r="U11988" s="278">
        <v>1734.09</v>
      </c>
      <c r="V11988" s="278">
        <v>867.05</v>
      </c>
      <c r="Z11988" s="420" t="s">
        <v>2953</v>
      </c>
    </row>
    <row r="11989" spans="1:26" s="420" customFormat="1">
      <c r="A11989" s="275">
        <v>45908</v>
      </c>
      <c r="B11989" s="275">
        <v>45909</v>
      </c>
      <c r="C11989" s="420" t="s">
        <v>173</v>
      </c>
      <c r="D11989" s="420" t="s">
        <v>761</v>
      </c>
      <c r="E11989" s="501">
        <v>7003436.1799999997</v>
      </c>
      <c r="F11989" s="95" t="s">
        <v>878</v>
      </c>
      <c r="G11989" s="443">
        <v>118983703</v>
      </c>
      <c r="H11989" s="595">
        <v>118983703</v>
      </c>
      <c r="I11989" s="523" t="s">
        <v>674</v>
      </c>
      <c r="J11989" s="43" t="s">
        <v>912</v>
      </c>
      <c r="K11989" s="564"/>
      <c r="L11989" s="538"/>
      <c r="M11989" s="538"/>
      <c r="N11989" s="598">
        <v>7791</v>
      </c>
      <c r="R11989" s="420">
        <v>898.52099999999996</v>
      </c>
      <c r="S11989" s="420">
        <v>898.91364138108099</v>
      </c>
      <c r="T11989" s="420">
        <v>15.95</v>
      </c>
      <c r="U11989" s="278">
        <v>39.32</v>
      </c>
      <c r="V11989" s="278">
        <v>5.25</v>
      </c>
      <c r="Z11989" s="420" t="s">
        <v>2953</v>
      </c>
    </row>
    <row r="11990" spans="1:26" s="420" customFormat="1">
      <c r="A11990" s="275">
        <v>45908</v>
      </c>
      <c r="B11990" s="275">
        <v>45908</v>
      </c>
      <c r="C11990" s="420" t="s">
        <v>173</v>
      </c>
      <c r="D11990" s="420" t="s">
        <v>759</v>
      </c>
      <c r="E11990" s="501">
        <v>-2064509481.0599999</v>
      </c>
      <c r="F11990" s="95" t="s">
        <v>878</v>
      </c>
      <c r="G11990" s="443">
        <v>118980724</v>
      </c>
      <c r="H11990" s="564"/>
      <c r="I11990" s="523" t="s">
        <v>1013</v>
      </c>
      <c r="J11990" s="43" t="s">
        <v>906</v>
      </c>
      <c r="K11990" s="564"/>
      <c r="L11990" s="538"/>
      <c r="M11990" s="538"/>
      <c r="N11990" s="598">
        <v>3830784</v>
      </c>
      <c r="R11990" s="420">
        <v>538.92609999937349</v>
      </c>
      <c r="S11990" s="420">
        <v>539.160865068352</v>
      </c>
      <c r="T11990" s="420">
        <v>15.9</v>
      </c>
      <c r="U11990" s="278">
        <v>3096.76</v>
      </c>
      <c r="V11990" s="278">
        <v>1548.38</v>
      </c>
      <c r="Z11990" s="420" t="s">
        <v>2953</v>
      </c>
    </row>
    <row r="11991" spans="1:26" s="420" customFormat="1">
      <c r="A11991" s="275">
        <v>45908</v>
      </c>
      <c r="B11991" s="275">
        <v>45908</v>
      </c>
      <c r="C11991" s="420" t="s">
        <v>173</v>
      </c>
      <c r="D11991" s="420" t="s">
        <v>759</v>
      </c>
      <c r="E11991" s="501">
        <v>-12002962.1</v>
      </c>
      <c r="F11991" s="95" t="s">
        <v>878</v>
      </c>
      <c r="G11991" s="443">
        <v>118980825</v>
      </c>
      <c r="H11991" s="564"/>
      <c r="I11991" s="523" t="s">
        <v>1013</v>
      </c>
      <c r="J11991" s="43" t="s">
        <v>906</v>
      </c>
      <c r="K11991" s="564"/>
      <c r="L11991" s="538"/>
      <c r="M11991" s="538"/>
      <c r="N11991" s="598">
        <v>22272</v>
      </c>
      <c r="R11991" s="420">
        <v>538.92610003591949</v>
      </c>
      <c r="S11991" s="420">
        <v>539.16086521192506</v>
      </c>
      <c r="T11991" s="420">
        <v>15.9</v>
      </c>
      <c r="U11991" s="278">
        <v>39.32</v>
      </c>
      <c r="V11991" s="278">
        <v>9</v>
      </c>
      <c r="Z11991" s="420" t="s">
        <v>2953</v>
      </c>
    </row>
    <row r="11992" spans="1:26" s="420" customFormat="1">
      <c r="A11992" s="275">
        <v>45908</v>
      </c>
      <c r="B11992" s="275">
        <v>45909</v>
      </c>
      <c r="C11992" s="420" t="s">
        <v>173</v>
      </c>
      <c r="D11992" s="420" t="s">
        <v>759</v>
      </c>
      <c r="E11992" s="501">
        <v>2065408815.3299999</v>
      </c>
      <c r="F11992" s="95" t="s">
        <v>878</v>
      </c>
      <c r="G11992" s="443">
        <v>118980724</v>
      </c>
      <c r="H11992" s="595">
        <v>118980724</v>
      </c>
      <c r="I11992" s="523" t="s">
        <v>1013</v>
      </c>
      <c r="J11992" s="43" t="s">
        <v>912</v>
      </c>
      <c r="K11992" s="564"/>
      <c r="L11992" s="538"/>
      <c r="M11992" s="538"/>
      <c r="N11992" s="598">
        <v>3830784</v>
      </c>
      <c r="R11992" s="420">
        <v>538.92609999937349</v>
      </c>
      <c r="S11992" s="420">
        <v>539.160865068352</v>
      </c>
      <c r="T11992" s="420">
        <v>15.9</v>
      </c>
      <c r="U11992" s="278">
        <v>3096.76</v>
      </c>
      <c r="V11992" s="278">
        <v>1548.38</v>
      </c>
      <c r="Z11992" s="420" t="s">
        <v>2953</v>
      </c>
    </row>
    <row r="11993" spans="1:26" s="420" customFormat="1">
      <c r="A11993" s="275">
        <v>45908</v>
      </c>
      <c r="B11993" s="275">
        <v>45909</v>
      </c>
      <c r="C11993" s="420" t="s">
        <v>173</v>
      </c>
      <c r="D11993" s="420" t="s">
        <v>759</v>
      </c>
      <c r="E11993" s="501">
        <v>12008190.789999999</v>
      </c>
      <c r="F11993" s="95" t="s">
        <v>878</v>
      </c>
      <c r="G11993" s="443">
        <v>118980825</v>
      </c>
      <c r="H11993" s="595">
        <v>118980825</v>
      </c>
      <c r="I11993" s="523" t="s">
        <v>1013</v>
      </c>
      <c r="J11993" s="43" t="s">
        <v>912</v>
      </c>
      <c r="K11993" s="564"/>
      <c r="L11993" s="538"/>
      <c r="M11993" s="538"/>
      <c r="N11993" s="598">
        <v>22272</v>
      </c>
      <c r="R11993" s="420">
        <v>538.92610003591949</v>
      </c>
      <c r="S11993" s="420">
        <v>539.16086521192506</v>
      </c>
      <c r="T11993" s="420">
        <v>15.9</v>
      </c>
      <c r="U11993" s="278">
        <v>39.32</v>
      </c>
      <c r="V11993" s="278">
        <v>9</v>
      </c>
      <c r="Z11993" s="420" t="s">
        <v>2953</v>
      </c>
    </row>
    <row r="11994" spans="1:26">
      <c r="A11994" s="499">
        <v>45909</v>
      </c>
      <c r="B11994" s="499">
        <v>45909</v>
      </c>
      <c r="C11994" s="420" t="s">
        <v>173</v>
      </c>
      <c r="D11994" s="500" t="s">
        <v>761</v>
      </c>
      <c r="E11994" s="501">
        <v>-1156032643.9400001</v>
      </c>
      <c r="F11994" s="95" t="s">
        <v>878</v>
      </c>
      <c r="G11994" s="443">
        <v>119005638</v>
      </c>
      <c r="I11994" s="523" t="s">
        <v>2956</v>
      </c>
      <c r="J11994" s="43" t="s">
        <v>906</v>
      </c>
      <c r="N11994" s="598">
        <v>11598148</v>
      </c>
      <c r="R11994" s="420">
        <v>99.673900000241417</v>
      </c>
      <c r="S11994" s="420">
        <v>99.717456129202702</v>
      </c>
      <c r="T11994" s="420">
        <v>15.95</v>
      </c>
      <c r="U11994" s="278">
        <v>1734.05</v>
      </c>
      <c r="V11994" s="278">
        <v>867.02</v>
      </c>
      <c r="Z11994" s="420" t="s">
        <v>2953</v>
      </c>
    </row>
    <row r="11995" spans="1:26">
      <c r="A11995" s="499">
        <v>45909</v>
      </c>
      <c r="B11995" s="499">
        <v>45909</v>
      </c>
      <c r="C11995" s="420" t="s">
        <v>173</v>
      </c>
      <c r="D11995" s="500" t="s">
        <v>761</v>
      </c>
      <c r="E11995" s="501">
        <v>-7000197.6699999999</v>
      </c>
      <c r="F11995" s="95" t="s">
        <v>878</v>
      </c>
      <c r="G11995" s="443">
        <v>119005884</v>
      </c>
      <c r="I11995" s="523" t="s">
        <v>2956</v>
      </c>
      <c r="J11995" s="43" t="s">
        <v>906</v>
      </c>
      <c r="N11995" s="598">
        <v>70231</v>
      </c>
      <c r="R11995" s="420">
        <v>99.673899987185152</v>
      </c>
      <c r="S11995" s="420">
        <v>99.717456109125607</v>
      </c>
      <c r="T11995" s="420">
        <v>15.95</v>
      </c>
      <c r="U11995" s="278">
        <v>39.32</v>
      </c>
      <c r="V11995" s="278">
        <v>5.25</v>
      </c>
      <c r="Z11995" s="420" t="s">
        <v>2953</v>
      </c>
    </row>
    <row r="11996" spans="1:26">
      <c r="A11996" s="499">
        <v>45909</v>
      </c>
      <c r="B11996" s="499">
        <v>45910</v>
      </c>
      <c r="C11996" s="420" t="s">
        <v>173</v>
      </c>
      <c r="D11996" s="500" t="s">
        <v>761</v>
      </c>
      <c r="E11996" s="501">
        <v>1156537814.3699999</v>
      </c>
      <c r="F11996" s="95" t="s">
        <v>878</v>
      </c>
      <c r="G11996" s="443">
        <v>119005638</v>
      </c>
      <c r="H11996" s="594">
        <v>119005638</v>
      </c>
      <c r="I11996" s="523" t="s">
        <v>2956</v>
      </c>
      <c r="J11996" s="43" t="s">
        <v>912</v>
      </c>
      <c r="N11996" s="598">
        <v>11598148</v>
      </c>
      <c r="R11996" s="420">
        <v>99.673900000241417</v>
      </c>
      <c r="S11996" s="420">
        <v>99.717456129202702</v>
      </c>
      <c r="T11996" s="420">
        <v>15.95</v>
      </c>
      <c r="U11996" s="278">
        <v>1734.05</v>
      </c>
      <c r="V11996" s="278">
        <v>867.02</v>
      </c>
      <c r="Z11996" s="420" t="s">
        <v>2953</v>
      </c>
    </row>
    <row r="11997" spans="1:26">
      <c r="A11997" s="499">
        <v>45909</v>
      </c>
      <c r="B11997" s="499">
        <v>45910</v>
      </c>
      <c r="C11997" s="420" t="s">
        <v>173</v>
      </c>
      <c r="D11997" s="500" t="s">
        <v>761</v>
      </c>
      <c r="E11997" s="501">
        <v>7003256.6600000001</v>
      </c>
      <c r="F11997" s="95" t="s">
        <v>878</v>
      </c>
      <c r="G11997" s="443">
        <v>119005884</v>
      </c>
      <c r="H11997" s="594">
        <v>119005884</v>
      </c>
      <c r="I11997" s="523" t="s">
        <v>2956</v>
      </c>
      <c r="J11997" s="43" t="s">
        <v>912</v>
      </c>
      <c r="N11997" s="598">
        <v>70231</v>
      </c>
      <c r="R11997" s="420">
        <v>99.673899987185152</v>
      </c>
      <c r="S11997" s="420">
        <v>99.717456109125607</v>
      </c>
      <c r="T11997" s="420">
        <v>15.95</v>
      </c>
      <c r="U11997" s="278">
        <v>39.32</v>
      </c>
      <c r="V11997" s="278">
        <v>5.25</v>
      </c>
      <c r="Z11997" s="420" t="s">
        <v>2953</v>
      </c>
    </row>
    <row r="11998" spans="1:26">
      <c r="A11998" s="499">
        <v>45909</v>
      </c>
      <c r="B11998" s="499">
        <v>45909</v>
      </c>
      <c r="C11998" s="420" t="s">
        <v>173</v>
      </c>
      <c r="D11998" s="500" t="s">
        <v>763</v>
      </c>
      <c r="E11998" s="501">
        <v>-317160594.10000002</v>
      </c>
      <c r="F11998" s="95" t="s">
        <v>878</v>
      </c>
      <c r="G11998" s="443">
        <v>119005361</v>
      </c>
      <c r="I11998" s="523" t="s">
        <v>674</v>
      </c>
      <c r="J11998" s="43" t="s">
        <v>906</v>
      </c>
      <c r="N11998" s="598">
        <v>352187</v>
      </c>
      <c r="R11998" s="420">
        <v>900.54600000000005</v>
      </c>
      <c r="S11998" s="420">
        <v>900.93755246502599</v>
      </c>
      <c r="T11998" s="420">
        <v>15.87</v>
      </c>
      <c r="U11998" s="278">
        <v>475.74</v>
      </c>
      <c r="V11998" s="278">
        <v>237.87</v>
      </c>
      <c r="Z11998" s="420" t="s">
        <v>2953</v>
      </c>
    </row>
    <row r="11999" spans="1:26">
      <c r="A11999" s="499">
        <v>45909</v>
      </c>
      <c r="B11999" s="499">
        <v>45909</v>
      </c>
      <c r="C11999" s="420" t="s">
        <v>173</v>
      </c>
      <c r="D11999" s="500" t="s">
        <v>763</v>
      </c>
      <c r="E11999" s="501">
        <v>-1000443.14</v>
      </c>
      <c r="F11999" s="95" t="s">
        <v>878</v>
      </c>
      <c r="G11999" s="443">
        <v>119005364</v>
      </c>
      <c r="I11999" s="523" t="s">
        <v>1091</v>
      </c>
      <c r="J11999" s="43" t="s">
        <v>906</v>
      </c>
      <c r="N11999" s="598">
        <v>1011</v>
      </c>
      <c r="R11999" s="420">
        <v>989.55799999999999</v>
      </c>
      <c r="S11999" s="420">
        <v>989.98825914935696</v>
      </c>
      <c r="T11999" s="420">
        <v>15.87</v>
      </c>
      <c r="U11999" s="278">
        <v>39.32</v>
      </c>
      <c r="V11999" s="278">
        <v>39.32</v>
      </c>
      <c r="Z11999" s="420" t="s">
        <v>2953</v>
      </c>
    </row>
    <row r="12000" spans="1:26">
      <c r="A12000" s="499">
        <v>45909</v>
      </c>
      <c r="B12000" s="499">
        <v>45909</v>
      </c>
      <c r="C12000" s="420" t="s">
        <v>173</v>
      </c>
      <c r="D12000" s="500" t="s">
        <v>763</v>
      </c>
      <c r="E12000" s="501">
        <v>-784347420.19000006</v>
      </c>
      <c r="F12000" s="95" t="s">
        <v>878</v>
      </c>
      <c r="G12000" s="443">
        <v>119005367</v>
      </c>
      <c r="I12000" s="523" t="s">
        <v>1091</v>
      </c>
      <c r="J12000" s="43" t="s">
        <v>906</v>
      </c>
      <c r="N12000" s="598">
        <v>792624</v>
      </c>
      <c r="R12000" s="420">
        <v>989.55799999999999</v>
      </c>
      <c r="S12000" s="420">
        <v>989.98825439300299</v>
      </c>
      <c r="T12000" s="420">
        <v>15.87</v>
      </c>
      <c r="U12000" s="278">
        <v>1176.52</v>
      </c>
      <c r="V12000" s="278">
        <v>588.26</v>
      </c>
      <c r="Z12000" s="420" t="s">
        <v>2953</v>
      </c>
    </row>
    <row r="12001" spans="1:26">
      <c r="A12001" s="499">
        <v>45909</v>
      </c>
      <c r="B12001" s="499">
        <v>45909</v>
      </c>
      <c r="C12001" s="420" t="s">
        <v>173</v>
      </c>
      <c r="D12001" s="500" t="s">
        <v>763</v>
      </c>
      <c r="E12001" s="501">
        <v>-4002338</v>
      </c>
      <c r="F12001" s="95" t="s">
        <v>878</v>
      </c>
      <c r="G12001" s="443">
        <v>119005370</v>
      </c>
      <c r="I12001" s="523" t="s">
        <v>675</v>
      </c>
      <c r="J12001" s="43" t="s">
        <v>906</v>
      </c>
      <c r="N12001" s="598">
        <v>4236</v>
      </c>
      <c r="R12001" s="420">
        <v>944.83900000000006</v>
      </c>
      <c r="S12001" s="420">
        <v>945.24980878187</v>
      </c>
      <c r="T12001" s="420">
        <v>15.87</v>
      </c>
      <c r="U12001" s="278">
        <v>39.32</v>
      </c>
      <c r="V12001" s="278">
        <v>39.32</v>
      </c>
      <c r="Z12001" s="420" t="s">
        <v>2953</v>
      </c>
    </row>
    <row r="12002" spans="1:26">
      <c r="A12002" s="499">
        <v>45909</v>
      </c>
      <c r="B12002" s="499">
        <v>45909</v>
      </c>
      <c r="C12002" s="420" t="s">
        <v>173</v>
      </c>
      <c r="D12002" s="500" t="s">
        <v>763</v>
      </c>
      <c r="E12002" s="501">
        <v>-251146709.75</v>
      </c>
      <c r="F12002" s="95" t="s">
        <v>878</v>
      </c>
      <c r="G12002" s="443">
        <v>119005373</v>
      </c>
      <c r="I12002" s="523" t="s">
        <v>675</v>
      </c>
      <c r="J12002" s="43" t="s">
        <v>906</v>
      </c>
      <c r="N12002" s="598">
        <v>265809</v>
      </c>
      <c r="R12002" s="420">
        <v>944.83900000000006</v>
      </c>
      <c r="S12002" s="420">
        <v>945.249810803998</v>
      </c>
      <c r="T12002" s="420">
        <v>15.87</v>
      </c>
      <c r="U12002" s="278">
        <v>376.72</v>
      </c>
      <c r="V12002" s="278">
        <v>188.36</v>
      </c>
      <c r="Z12002" s="420" t="s">
        <v>2953</v>
      </c>
    </row>
    <row r="12003" spans="1:26">
      <c r="A12003" s="499">
        <v>45909</v>
      </c>
      <c r="B12003" s="499">
        <v>45909</v>
      </c>
      <c r="C12003" s="420" t="s">
        <v>173</v>
      </c>
      <c r="D12003" s="500" t="s">
        <v>763</v>
      </c>
      <c r="E12003" s="501">
        <v>-575289510.20000005</v>
      </c>
      <c r="F12003" s="95" t="s">
        <v>878</v>
      </c>
      <c r="G12003" s="443">
        <v>119005376</v>
      </c>
      <c r="I12003" s="523" t="s">
        <v>716</v>
      </c>
      <c r="J12003" s="43" t="s">
        <v>906</v>
      </c>
      <c r="N12003" s="598">
        <v>886075</v>
      </c>
      <c r="R12003" s="420">
        <v>649.25599999999997</v>
      </c>
      <c r="S12003" s="420">
        <v>649.53811863555597</v>
      </c>
      <c r="T12003" s="420">
        <v>15.860200000000001</v>
      </c>
      <c r="U12003" s="278">
        <v>862.93</v>
      </c>
      <c r="V12003" s="278">
        <v>431.47</v>
      </c>
      <c r="Z12003" s="420" t="s">
        <v>2953</v>
      </c>
    </row>
    <row r="12004" spans="1:26">
      <c r="A12004" s="499">
        <v>45909</v>
      </c>
      <c r="B12004" s="499">
        <v>45909</v>
      </c>
      <c r="C12004" s="420" t="s">
        <v>173</v>
      </c>
      <c r="D12004" s="500" t="s">
        <v>763</v>
      </c>
      <c r="E12004" s="501">
        <v>-12005289.720000001</v>
      </c>
      <c r="F12004" s="95" t="s">
        <v>878</v>
      </c>
      <c r="G12004" s="443">
        <v>119005454</v>
      </c>
      <c r="I12004" s="523" t="s">
        <v>800</v>
      </c>
      <c r="J12004" s="43" t="s">
        <v>906</v>
      </c>
      <c r="N12004" s="598">
        <v>11460</v>
      </c>
      <c r="R12004" s="420">
        <v>1047.5820000000001</v>
      </c>
      <c r="S12004" s="420">
        <v>1048.0374912740001</v>
      </c>
      <c r="T12004" s="420">
        <v>15.8703</v>
      </c>
      <c r="U12004" s="278">
        <v>39.32</v>
      </c>
      <c r="V12004" s="278">
        <v>39.32</v>
      </c>
      <c r="Z12004" s="420" t="s">
        <v>2953</v>
      </c>
    </row>
    <row r="12005" spans="1:26">
      <c r="A12005" s="499">
        <v>45909</v>
      </c>
      <c r="B12005" s="499">
        <v>45910</v>
      </c>
      <c r="C12005" s="420" t="s">
        <v>173</v>
      </c>
      <c r="D12005" s="500" t="s">
        <v>763</v>
      </c>
      <c r="E12005" s="501">
        <v>317298493.79000002</v>
      </c>
      <c r="F12005" s="95" t="s">
        <v>878</v>
      </c>
      <c r="G12005" s="443">
        <v>119005361</v>
      </c>
      <c r="H12005" s="594">
        <v>119005361</v>
      </c>
      <c r="I12005" s="523" t="s">
        <v>674</v>
      </c>
      <c r="J12005" s="43" t="s">
        <v>912</v>
      </c>
      <c r="N12005" s="598">
        <v>352187</v>
      </c>
      <c r="R12005" s="420">
        <v>900.54600000000005</v>
      </c>
      <c r="S12005" s="420">
        <v>900.93755246502599</v>
      </c>
      <c r="T12005" s="420">
        <v>15.87</v>
      </c>
      <c r="U12005" s="278">
        <v>475.74</v>
      </c>
      <c r="V12005" s="278">
        <v>237.87</v>
      </c>
      <c r="Z12005" s="420" t="s">
        <v>2953</v>
      </c>
    </row>
    <row r="12006" spans="1:26">
      <c r="A12006" s="499">
        <v>45909</v>
      </c>
      <c r="B12006" s="499">
        <v>45910</v>
      </c>
      <c r="C12006" s="420" t="s">
        <v>173</v>
      </c>
      <c r="D12006" s="500" t="s">
        <v>763</v>
      </c>
      <c r="E12006" s="501">
        <v>1000878.13</v>
      </c>
      <c r="F12006" s="95" t="s">
        <v>878</v>
      </c>
      <c r="G12006" s="443">
        <v>119005364</v>
      </c>
      <c r="H12006" s="594">
        <v>119005364</v>
      </c>
      <c r="I12006" s="523" t="s">
        <v>1091</v>
      </c>
      <c r="J12006" s="43" t="s">
        <v>912</v>
      </c>
      <c r="N12006" s="598">
        <v>1011</v>
      </c>
      <c r="R12006" s="420">
        <v>989.55799999999999</v>
      </c>
      <c r="S12006" s="420">
        <v>989.98825914935696</v>
      </c>
      <c r="T12006" s="420">
        <v>15.87</v>
      </c>
      <c r="U12006" s="278">
        <v>39.32</v>
      </c>
      <c r="V12006" s="278">
        <v>39.32</v>
      </c>
      <c r="Z12006" s="420" t="s">
        <v>2953</v>
      </c>
    </row>
    <row r="12007" spans="1:26">
      <c r="A12007" s="499">
        <v>45909</v>
      </c>
      <c r="B12007" s="499">
        <v>45910</v>
      </c>
      <c r="C12007" s="420" t="s">
        <v>173</v>
      </c>
      <c r="D12007" s="500" t="s">
        <v>763</v>
      </c>
      <c r="E12007" s="501">
        <v>784688450.14999998</v>
      </c>
      <c r="F12007" s="95" t="s">
        <v>878</v>
      </c>
      <c r="G12007" s="443">
        <v>119005367</v>
      </c>
      <c r="H12007" s="594">
        <v>119005367</v>
      </c>
      <c r="I12007" s="523" t="s">
        <v>1091</v>
      </c>
      <c r="J12007" s="43" t="s">
        <v>912</v>
      </c>
      <c r="N12007" s="598">
        <v>792624</v>
      </c>
      <c r="R12007" s="420">
        <v>989.55799999999999</v>
      </c>
      <c r="S12007" s="420">
        <v>989.98825439300299</v>
      </c>
      <c r="T12007" s="420">
        <v>15.87</v>
      </c>
      <c r="U12007" s="278">
        <v>1176.52</v>
      </c>
      <c r="V12007" s="278">
        <v>588.26</v>
      </c>
      <c r="Z12007" s="420" t="s">
        <v>2953</v>
      </c>
    </row>
    <row r="12008" spans="1:26">
      <c r="A12008" s="499">
        <v>45909</v>
      </c>
      <c r="B12008" s="499">
        <v>45910</v>
      </c>
      <c r="C12008" s="420" t="s">
        <v>173</v>
      </c>
      <c r="D12008" s="500" t="s">
        <v>763</v>
      </c>
      <c r="E12008" s="501">
        <v>4004078.19</v>
      </c>
      <c r="F12008" s="95" t="s">
        <v>878</v>
      </c>
      <c r="G12008" s="443">
        <v>119005370</v>
      </c>
      <c r="H12008" s="594">
        <v>119005370</v>
      </c>
      <c r="I12008" s="523" t="s">
        <v>675</v>
      </c>
      <c r="J12008" s="43" t="s">
        <v>912</v>
      </c>
      <c r="N12008" s="598">
        <v>4236</v>
      </c>
      <c r="R12008" s="420">
        <v>944.83900000000006</v>
      </c>
      <c r="S12008" s="420">
        <v>945.24980878187</v>
      </c>
      <c r="T12008" s="420">
        <v>15.87</v>
      </c>
      <c r="U12008" s="278">
        <v>39.32</v>
      </c>
      <c r="V12008" s="278">
        <v>39.32</v>
      </c>
      <c r="Z12008" s="420" t="s">
        <v>2953</v>
      </c>
    </row>
    <row r="12009" spans="1:26">
      <c r="A12009" s="499">
        <v>45909</v>
      </c>
      <c r="B12009" s="499">
        <v>45910</v>
      </c>
      <c r="C12009" s="420" t="s">
        <v>173</v>
      </c>
      <c r="D12009" s="500" t="s">
        <v>763</v>
      </c>
      <c r="E12009" s="501">
        <v>251255906.96000001</v>
      </c>
      <c r="F12009" s="95" t="s">
        <v>878</v>
      </c>
      <c r="G12009" s="443">
        <v>119005373</v>
      </c>
      <c r="H12009" s="594">
        <v>119005373</v>
      </c>
      <c r="I12009" s="523" t="s">
        <v>675</v>
      </c>
      <c r="J12009" s="43" t="s">
        <v>912</v>
      </c>
      <c r="N12009" s="598">
        <v>265809</v>
      </c>
      <c r="R12009" s="420">
        <v>944.83900000000006</v>
      </c>
      <c r="S12009" s="420">
        <v>945.249810803998</v>
      </c>
      <c r="T12009" s="420">
        <v>15.87</v>
      </c>
      <c r="U12009" s="278">
        <v>376.72</v>
      </c>
      <c r="V12009" s="278">
        <v>188.36</v>
      </c>
      <c r="Z12009" s="420" t="s">
        <v>2953</v>
      </c>
    </row>
    <row r="12010" spans="1:26">
      <c r="A12010" s="499">
        <v>45909</v>
      </c>
      <c r="B12010" s="499">
        <v>45910</v>
      </c>
      <c r="C12010" s="420" t="s">
        <v>173</v>
      </c>
      <c r="D12010" s="500" t="s">
        <v>763</v>
      </c>
      <c r="E12010" s="501">
        <v>575539488.47000003</v>
      </c>
      <c r="F12010" s="95" t="s">
        <v>878</v>
      </c>
      <c r="G12010" s="443">
        <v>119005376</v>
      </c>
      <c r="H12010" s="594">
        <v>119005376</v>
      </c>
      <c r="I12010" s="523" t="s">
        <v>716</v>
      </c>
      <c r="J12010" s="43" t="s">
        <v>912</v>
      </c>
      <c r="N12010" s="598">
        <v>886075</v>
      </c>
      <c r="R12010" s="420">
        <v>649.25599999999997</v>
      </c>
      <c r="S12010" s="420">
        <v>649.53811863555597</v>
      </c>
      <c r="T12010" s="420">
        <v>15.860200000000001</v>
      </c>
      <c r="U12010" s="278">
        <v>862.93</v>
      </c>
      <c r="V12010" s="278">
        <v>431.47</v>
      </c>
      <c r="Z12010" s="420" t="s">
        <v>2953</v>
      </c>
    </row>
    <row r="12011" spans="1:26">
      <c r="A12011" s="499">
        <v>45909</v>
      </c>
      <c r="B12011" s="499">
        <v>45910</v>
      </c>
      <c r="C12011" s="420" t="s">
        <v>173</v>
      </c>
      <c r="D12011" s="500" t="s">
        <v>763</v>
      </c>
      <c r="E12011" s="501">
        <v>12010509.65</v>
      </c>
      <c r="F12011" s="95" t="s">
        <v>878</v>
      </c>
      <c r="G12011" s="443">
        <v>119005454</v>
      </c>
      <c r="H12011" s="594">
        <v>119005454</v>
      </c>
      <c r="I12011" s="523" t="s">
        <v>800</v>
      </c>
      <c r="J12011" s="43" t="s">
        <v>912</v>
      </c>
      <c r="N12011" s="598">
        <v>11460</v>
      </c>
      <c r="R12011" s="420">
        <v>1047.5820000000001</v>
      </c>
      <c r="S12011" s="420">
        <v>1048.0374912740001</v>
      </c>
      <c r="T12011" s="420">
        <v>15.8703</v>
      </c>
      <c r="U12011" s="278">
        <v>39.32</v>
      </c>
      <c r="V12011" s="278">
        <v>39.32</v>
      </c>
      <c r="Z12011" s="420" t="s">
        <v>2953</v>
      </c>
    </row>
    <row r="12012" spans="1:26">
      <c r="A12012" s="499">
        <v>45909</v>
      </c>
      <c r="B12012" s="499">
        <v>45909</v>
      </c>
      <c r="C12012" s="420" t="s">
        <v>173</v>
      </c>
      <c r="D12012" s="500" t="s">
        <v>759</v>
      </c>
      <c r="E12012" s="501">
        <v>-1017572774.4</v>
      </c>
      <c r="F12012" s="95" t="s">
        <v>878</v>
      </c>
      <c r="G12012" s="443">
        <v>119008780</v>
      </c>
      <c r="I12012" s="523" t="s">
        <v>708</v>
      </c>
      <c r="J12012" s="43" t="s">
        <v>906</v>
      </c>
      <c r="N12012" s="598">
        <v>1480752</v>
      </c>
      <c r="R12012" s="420">
        <v>687.19999999999993</v>
      </c>
      <c r="S12012" s="420">
        <v>689.32187402752095</v>
      </c>
      <c r="T12012" s="420">
        <v>16.100200000000001</v>
      </c>
      <c r="U12012" s="278">
        <v>10684.51</v>
      </c>
      <c r="V12012" s="278">
        <v>5342.26</v>
      </c>
      <c r="Z12012" s="420" t="s">
        <v>2961</v>
      </c>
    </row>
    <row r="12013" spans="1:26">
      <c r="A12013" s="499">
        <v>45909</v>
      </c>
      <c r="B12013" s="499">
        <v>45909</v>
      </c>
      <c r="C12013" s="420" t="s">
        <v>173</v>
      </c>
      <c r="D12013" s="500" t="s">
        <v>759</v>
      </c>
      <c r="E12013" s="501">
        <v>-299269336.50999999</v>
      </c>
      <c r="F12013" s="95" t="s">
        <v>878</v>
      </c>
      <c r="G12013" s="443">
        <v>119008783</v>
      </c>
      <c r="I12013" s="523" t="s">
        <v>671</v>
      </c>
      <c r="J12013" s="43" t="s">
        <v>906</v>
      </c>
      <c r="N12013" s="598">
        <v>287937</v>
      </c>
      <c r="R12013" s="420">
        <v>1039.3570000034729</v>
      </c>
      <c r="S12013" s="420">
        <v>1042.5662126437401</v>
      </c>
      <c r="T12013" s="420">
        <v>16.100100000000001</v>
      </c>
      <c r="U12013" s="278">
        <v>3142.33</v>
      </c>
      <c r="V12013" s="278">
        <v>1571.16</v>
      </c>
      <c r="Z12013" s="420" t="s">
        <v>2961</v>
      </c>
    </row>
    <row r="12014" spans="1:26">
      <c r="A12014" s="499">
        <v>45909</v>
      </c>
      <c r="B12014" s="499">
        <v>45909</v>
      </c>
      <c r="C12014" s="420" t="s">
        <v>173</v>
      </c>
      <c r="D12014" s="500" t="s">
        <v>759</v>
      </c>
      <c r="E12014" s="501">
        <v>-5000253600</v>
      </c>
      <c r="F12014" s="95" t="s">
        <v>878</v>
      </c>
      <c r="G12014" s="443">
        <v>119008804</v>
      </c>
      <c r="I12014" s="523" t="s">
        <v>657</v>
      </c>
      <c r="J12014" s="43" t="s">
        <v>906</v>
      </c>
      <c r="N12014" s="598">
        <v>5190000</v>
      </c>
      <c r="R12014" s="420">
        <v>963.44</v>
      </c>
      <c r="S12014" s="420">
        <v>966.414785973025</v>
      </c>
      <c r="T12014" s="420">
        <v>16.100000000000001</v>
      </c>
      <c r="U12014" s="278">
        <v>52502.66</v>
      </c>
      <c r="V12014" s="278">
        <v>26251.33</v>
      </c>
      <c r="Z12014" s="420" t="s">
        <v>2961</v>
      </c>
    </row>
    <row r="12015" spans="1:26">
      <c r="A12015" s="499">
        <v>45909</v>
      </c>
      <c r="B12015" s="499">
        <v>45909</v>
      </c>
      <c r="C12015" s="420" t="s">
        <v>173</v>
      </c>
      <c r="D12015" s="500" t="s">
        <v>759</v>
      </c>
      <c r="E12015" s="501">
        <v>-3072361798.6599998</v>
      </c>
      <c r="F12015" s="95" t="s">
        <v>878</v>
      </c>
      <c r="G12015" s="443">
        <v>119008817</v>
      </c>
      <c r="I12015" s="523" t="s">
        <v>1047</v>
      </c>
      <c r="J12015" s="43" t="s">
        <v>906</v>
      </c>
      <c r="N12015" s="598">
        <v>3099648</v>
      </c>
      <c r="R12015" s="420">
        <v>991.19700000129046</v>
      </c>
      <c r="S12015" s="420">
        <v>994.25749046343299</v>
      </c>
      <c r="T12015" s="420">
        <v>16.100000000000001</v>
      </c>
      <c r="U12015" s="278">
        <v>32259.8</v>
      </c>
      <c r="V12015" s="278">
        <v>16129.9</v>
      </c>
      <c r="Z12015" s="420" t="s">
        <v>2961</v>
      </c>
    </row>
    <row r="12016" spans="1:26">
      <c r="A12016" s="499">
        <v>45909</v>
      </c>
      <c r="B12016" s="499">
        <v>45909</v>
      </c>
      <c r="C12016" s="420" t="s">
        <v>173</v>
      </c>
      <c r="D12016" s="500" t="s">
        <v>759</v>
      </c>
      <c r="E12016" s="501">
        <v>-2123437166.9400001</v>
      </c>
      <c r="F12016" s="95" t="s">
        <v>878</v>
      </c>
      <c r="G12016" s="443">
        <v>119009047</v>
      </c>
      <c r="I12016" s="523" t="s">
        <v>829</v>
      </c>
      <c r="J12016" s="43" t="s">
        <v>906</v>
      </c>
      <c r="N12016" s="598">
        <v>1964972</v>
      </c>
      <c r="R12016" s="420">
        <v>1080.645</v>
      </c>
      <c r="S12016" s="420">
        <v>1081.1187103582099</v>
      </c>
      <c r="T12016" s="420">
        <v>16.0001</v>
      </c>
      <c r="U12016" s="278">
        <v>3185.16</v>
      </c>
      <c r="V12016" s="278">
        <v>1592.58</v>
      </c>
      <c r="Z12016" s="420" t="s">
        <v>2953</v>
      </c>
    </row>
    <row r="12017" spans="1:26">
      <c r="A12017" s="499">
        <v>45909</v>
      </c>
      <c r="B12017" s="499">
        <v>45909</v>
      </c>
      <c r="C12017" s="420" t="s">
        <v>173</v>
      </c>
      <c r="D12017" s="500" t="s">
        <v>759</v>
      </c>
      <c r="E12017" s="501">
        <v>-12008127.24</v>
      </c>
      <c r="F12017" s="95" t="s">
        <v>878</v>
      </c>
      <c r="G12017" s="443">
        <v>119009088</v>
      </c>
      <c r="I12017" s="523" t="s">
        <v>829</v>
      </c>
      <c r="J12017" s="43" t="s">
        <v>906</v>
      </c>
      <c r="N12017" s="598">
        <v>11112</v>
      </c>
      <c r="R12017" s="420">
        <v>1080.645</v>
      </c>
      <c r="S12017" s="420">
        <v>1081.1187104031701</v>
      </c>
      <c r="T12017" s="420">
        <v>16.0001</v>
      </c>
      <c r="U12017" s="278">
        <v>39.32</v>
      </c>
      <c r="V12017" s="278">
        <v>9.01</v>
      </c>
      <c r="Z12017" s="420" t="s">
        <v>2953</v>
      </c>
    </row>
    <row r="12018" spans="1:26">
      <c r="A12018" s="499">
        <v>45909</v>
      </c>
      <c r="B12018" s="499">
        <v>45916</v>
      </c>
      <c r="C12018" s="420" t="s">
        <v>173</v>
      </c>
      <c r="D12018" s="500" t="s">
        <v>759</v>
      </c>
      <c r="E12018" s="501">
        <v>1020714743.61</v>
      </c>
      <c r="F12018" s="95" t="s">
        <v>878</v>
      </c>
      <c r="G12018" s="443">
        <v>119008780</v>
      </c>
      <c r="H12018" s="594">
        <v>119008780</v>
      </c>
      <c r="I12018" s="523" t="s">
        <v>708</v>
      </c>
      <c r="J12018" s="43" t="s">
        <v>912</v>
      </c>
      <c r="N12018" s="598">
        <v>1480752</v>
      </c>
      <c r="R12018" s="420">
        <v>687.19999999999993</v>
      </c>
      <c r="S12018" s="420">
        <v>689.32187402752095</v>
      </c>
      <c r="T12018" s="420">
        <v>16.100200000000001</v>
      </c>
      <c r="U12018" s="278">
        <v>10684.51</v>
      </c>
      <c r="V12018" s="278">
        <v>5342.26</v>
      </c>
      <c r="Z12018" s="420" t="s">
        <v>2961</v>
      </c>
    </row>
    <row r="12019" spans="1:26">
      <c r="A12019" s="499">
        <v>45909</v>
      </c>
      <c r="B12019" s="499">
        <v>45916</v>
      </c>
      <c r="C12019" s="420" t="s">
        <v>173</v>
      </c>
      <c r="D12019" s="500" t="s">
        <v>759</v>
      </c>
      <c r="E12019" s="501">
        <v>300193387.56999999</v>
      </c>
      <c r="F12019" s="95" t="s">
        <v>878</v>
      </c>
      <c r="G12019" s="443">
        <v>119008783</v>
      </c>
      <c r="H12019" s="594">
        <v>119008783</v>
      </c>
      <c r="I12019" s="523" t="s">
        <v>671</v>
      </c>
      <c r="J12019" s="43" t="s">
        <v>912</v>
      </c>
      <c r="N12019" s="598">
        <v>287937</v>
      </c>
      <c r="R12019" s="420">
        <v>1039.3570000034729</v>
      </c>
      <c r="S12019" s="420">
        <v>1042.5662126437401</v>
      </c>
      <c r="T12019" s="420">
        <v>16.100100000000001</v>
      </c>
      <c r="U12019" s="278">
        <v>3142.33</v>
      </c>
      <c r="V12019" s="278">
        <v>1571.16</v>
      </c>
      <c r="Z12019" s="420" t="s">
        <v>2961</v>
      </c>
    </row>
    <row r="12020" spans="1:26">
      <c r="A12020" s="499">
        <v>45909</v>
      </c>
      <c r="B12020" s="499">
        <v>45916</v>
      </c>
      <c r="C12020" s="420" t="s">
        <v>173</v>
      </c>
      <c r="D12020" s="500" t="s">
        <v>759</v>
      </c>
      <c r="E12020" s="501">
        <v>5015692739.1999998</v>
      </c>
      <c r="F12020" s="95" t="s">
        <v>878</v>
      </c>
      <c r="G12020" s="443">
        <v>119008804</v>
      </c>
      <c r="H12020" s="594">
        <v>119008804</v>
      </c>
      <c r="I12020" s="523" t="s">
        <v>657</v>
      </c>
      <c r="J12020" s="43" t="s">
        <v>912</v>
      </c>
      <c r="N12020" s="598">
        <v>5190000</v>
      </c>
      <c r="R12020" s="420">
        <v>963.44</v>
      </c>
      <c r="S12020" s="420">
        <v>966.414785973025</v>
      </c>
      <c r="T12020" s="420">
        <v>16.100000000000001</v>
      </c>
      <c r="U12020" s="278">
        <v>52502.66</v>
      </c>
      <c r="V12020" s="278">
        <v>26251.33</v>
      </c>
      <c r="Z12020" s="420" t="s">
        <v>2961</v>
      </c>
    </row>
    <row r="12021" spans="1:26">
      <c r="A12021" s="499">
        <v>45909</v>
      </c>
      <c r="B12021" s="499">
        <v>45916</v>
      </c>
      <c r="C12021" s="420" t="s">
        <v>173</v>
      </c>
      <c r="D12021" s="500" t="s">
        <v>759</v>
      </c>
      <c r="E12021" s="501">
        <v>3081848241.8000002</v>
      </c>
      <c r="F12021" s="95" t="s">
        <v>878</v>
      </c>
      <c r="G12021" s="443">
        <v>119008817</v>
      </c>
      <c r="H12021" s="594">
        <v>119008817</v>
      </c>
      <c r="I12021" s="523" t="s">
        <v>1047</v>
      </c>
      <c r="J12021" s="43" t="s">
        <v>912</v>
      </c>
      <c r="N12021" s="598">
        <v>3099648</v>
      </c>
      <c r="R12021" s="420">
        <v>991.19700000129046</v>
      </c>
      <c r="S12021" s="420">
        <v>994.25749046343299</v>
      </c>
      <c r="T12021" s="420">
        <v>16.100000000000001</v>
      </c>
      <c r="U12021" s="278">
        <v>32259.8</v>
      </c>
      <c r="V12021" s="278">
        <v>16129.9</v>
      </c>
      <c r="Z12021" s="420" t="s">
        <v>2961</v>
      </c>
    </row>
    <row r="12022" spans="1:26">
      <c r="A12022" s="499">
        <v>45909</v>
      </c>
      <c r="B12022" s="499">
        <v>45910</v>
      </c>
      <c r="C12022" s="420" t="s">
        <v>173</v>
      </c>
      <c r="D12022" s="500" t="s">
        <v>759</v>
      </c>
      <c r="E12022" s="501">
        <v>2124367994.53</v>
      </c>
      <c r="F12022" s="95" t="s">
        <v>878</v>
      </c>
      <c r="G12022" s="443">
        <v>119009047</v>
      </c>
      <c r="H12022" s="594">
        <v>119009047</v>
      </c>
      <c r="I12022" s="523" t="s">
        <v>829</v>
      </c>
      <c r="J12022" s="43" t="s">
        <v>912</v>
      </c>
      <c r="N12022" s="598">
        <v>1964972</v>
      </c>
      <c r="R12022" s="420">
        <v>1080.645</v>
      </c>
      <c r="S12022" s="420">
        <v>1081.1187103582099</v>
      </c>
      <c r="T12022" s="420">
        <v>16.0001</v>
      </c>
      <c r="U12022" s="278">
        <v>3185.16</v>
      </c>
      <c r="V12022" s="278">
        <v>1592.58</v>
      </c>
      <c r="Z12022" s="420" t="s">
        <v>2953</v>
      </c>
    </row>
    <row r="12023" spans="1:26">
      <c r="A12023" s="499">
        <v>45909</v>
      </c>
      <c r="B12023" s="499">
        <v>45910</v>
      </c>
      <c r="C12023" s="420" t="s">
        <v>173</v>
      </c>
      <c r="D12023" s="500" t="s">
        <v>759</v>
      </c>
      <c r="E12023" s="501">
        <v>12013391.109999999</v>
      </c>
      <c r="F12023" s="95" t="s">
        <v>878</v>
      </c>
      <c r="G12023" s="443">
        <v>119009088</v>
      </c>
      <c r="H12023" s="594">
        <v>119009088</v>
      </c>
      <c r="I12023" s="523" t="s">
        <v>829</v>
      </c>
      <c r="J12023" s="43" t="s">
        <v>912</v>
      </c>
      <c r="N12023" s="598">
        <v>11112</v>
      </c>
      <c r="R12023" s="420">
        <v>1080.645</v>
      </c>
      <c r="S12023" s="420">
        <v>1081.1187104031701</v>
      </c>
      <c r="T12023" s="420">
        <v>16.0001</v>
      </c>
      <c r="U12023" s="278">
        <v>39.32</v>
      </c>
      <c r="V12023" s="278">
        <v>9.01</v>
      </c>
      <c r="Z12023" s="420" t="s">
        <v>2953</v>
      </c>
    </row>
    <row r="12024" spans="1:26">
      <c r="A12024" s="499">
        <v>45909</v>
      </c>
      <c r="B12024" s="499">
        <v>45909</v>
      </c>
      <c r="C12024" s="420" t="s">
        <v>173</v>
      </c>
      <c r="D12024" s="500" t="s">
        <v>760</v>
      </c>
      <c r="E12024" s="501">
        <v>-1300238643.5999999</v>
      </c>
      <c r="F12024" s="95" t="s">
        <v>878</v>
      </c>
      <c r="G12024" s="443">
        <v>119004399</v>
      </c>
      <c r="I12024" s="523" t="s">
        <v>699</v>
      </c>
      <c r="J12024" s="43" t="s">
        <v>906</v>
      </c>
      <c r="N12024" s="598">
        <v>1427400</v>
      </c>
      <c r="R12024" s="420">
        <v>910.91399999999999</v>
      </c>
      <c r="S12024" s="420">
        <v>911.31205694269295</v>
      </c>
      <c r="T12024" s="420">
        <v>15.95</v>
      </c>
      <c r="U12024" s="278">
        <v>1950.36</v>
      </c>
      <c r="V12024" s="278">
        <v>975.18</v>
      </c>
      <c r="Z12024" s="420" t="s">
        <v>2953</v>
      </c>
    </row>
    <row r="12025" spans="1:26">
      <c r="A12025" s="499">
        <v>45909</v>
      </c>
      <c r="B12025" s="499">
        <v>45909</v>
      </c>
      <c r="C12025" s="420" t="s">
        <v>173</v>
      </c>
      <c r="D12025" s="500" t="s">
        <v>760</v>
      </c>
      <c r="E12025" s="501">
        <v>-421071495.48000002</v>
      </c>
      <c r="F12025" s="95" t="s">
        <v>878</v>
      </c>
      <c r="G12025" s="443">
        <v>119005524</v>
      </c>
      <c r="I12025" s="523" t="s">
        <v>658</v>
      </c>
      <c r="J12025" s="43" t="s">
        <v>906</v>
      </c>
      <c r="N12025" s="598">
        <v>407949</v>
      </c>
      <c r="R12025" s="420">
        <v>1032.1669999999999</v>
      </c>
      <c r="S12025" s="420">
        <v>1032.61662891685</v>
      </c>
      <c r="T12025" s="420">
        <v>15.9</v>
      </c>
      <c r="U12025" s="278">
        <v>631.61</v>
      </c>
      <c r="V12025" s="278">
        <v>315.8</v>
      </c>
      <c r="Z12025" s="420" t="s">
        <v>2953</v>
      </c>
    </row>
    <row r="12026" spans="1:26">
      <c r="A12026" s="499">
        <v>45909</v>
      </c>
      <c r="B12026" s="499">
        <v>45910</v>
      </c>
      <c r="C12026" s="420" t="s">
        <v>173</v>
      </c>
      <c r="D12026" s="500" t="s">
        <v>760</v>
      </c>
      <c r="E12026" s="501">
        <v>1300806830.0799999</v>
      </c>
      <c r="F12026" s="95" t="s">
        <v>878</v>
      </c>
      <c r="G12026" s="443">
        <v>119004399</v>
      </c>
      <c r="H12026" s="594">
        <v>119004399</v>
      </c>
      <c r="I12026" s="523" t="s">
        <v>699</v>
      </c>
      <c r="J12026" s="43" t="s">
        <v>912</v>
      </c>
      <c r="N12026" s="598">
        <v>1427400</v>
      </c>
      <c r="R12026" s="420">
        <v>910.91399999999999</v>
      </c>
      <c r="S12026" s="420">
        <v>911.31205694269295</v>
      </c>
      <c r="T12026" s="420">
        <v>15.95</v>
      </c>
      <c r="U12026" s="278">
        <v>1950.36</v>
      </c>
      <c r="V12026" s="278">
        <v>975.18</v>
      </c>
      <c r="Z12026" s="420" t="s">
        <v>2953</v>
      </c>
    </row>
    <row r="12027" spans="1:26">
      <c r="A12027" s="499">
        <v>45909</v>
      </c>
      <c r="B12027" s="499">
        <v>45910</v>
      </c>
      <c r="C12027" s="420" t="s">
        <v>173</v>
      </c>
      <c r="D12027" s="500" t="s">
        <v>760</v>
      </c>
      <c r="E12027" s="501">
        <v>421254921.14999998</v>
      </c>
      <c r="F12027" s="95" t="s">
        <v>878</v>
      </c>
      <c r="G12027" s="443">
        <v>119005524</v>
      </c>
      <c r="H12027" s="594">
        <v>119005524</v>
      </c>
      <c r="I12027" s="523" t="s">
        <v>658</v>
      </c>
      <c r="J12027" s="43" t="s">
        <v>912</v>
      </c>
      <c r="N12027" s="598">
        <v>407949</v>
      </c>
      <c r="R12027" s="420">
        <v>1032.1669999999999</v>
      </c>
      <c r="S12027" s="420">
        <v>1032.61662891685</v>
      </c>
      <c r="T12027" s="420">
        <v>15.9</v>
      </c>
      <c r="U12027" s="278">
        <v>631.61</v>
      </c>
      <c r="V12027" s="278">
        <v>315.8</v>
      </c>
      <c r="Z12027" s="420" t="s">
        <v>2953</v>
      </c>
    </row>
    <row r="12028" spans="1:26">
      <c r="A12028" s="499">
        <v>45910</v>
      </c>
      <c r="B12028" s="499">
        <v>45910</v>
      </c>
      <c r="C12028" s="420" t="s">
        <v>173</v>
      </c>
      <c r="D12028" s="500" t="s">
        <v>761</v>
      </c>
      <c r="E12028" s="501">
        <v>-507284232.31</v>
      </c>
      <c r="F12028" s="95" t="s">
        <v>878</v>
      </c>
      <c r="G12028" s="443">
        <v>119031182</v>
      </c>
      <c r="I12028" s="523" t="s">
        <v>705</v>
      </c>
      <c r="J12028" s="43" t="s">
        <v>906</v>
      </c>
      <c r="N12028" s="598">
        <v>674817</v>
      </c>
      <c r="R12028" s="420">
        <v>751.73599999703629</v>
      </c>
      <c r="S12028" s="420">
        <v>752.07994496285698</v>
      </c>
      <c r="T12028" s="420">
        <v>16.7</v>
      </c>
      <c r="U12028" s="278">
        <v>760.93</v>
      </c>
      <c r="V12028" s="278">
        <v>380.46</v>
      </c>
      <c r="Z12028" s="420" t="s">
        <v>2953</v>
      </c>
    </row>
    <row r="12029" spans="1:26">
      <c r="A12029" s="499">
        <v>45910</v>
      </c>
      <c r="B12029" s="499">
        <v>45910</v>
      </c>
      <c r="C12029" s="420" t="s">
        <v>173</v>
      </c>
      <c r="D12029" s="500" t="s">
        <v>761</v>
      </c>
      <c r="E12029" s="501">
        <v>-608199010.55999994</v>
      </c>
      <c r="F12029" s="95" t="s">
        <v>878</v>
      </c>
      <c r="G12029" s="443">
        <v>119031185</v>
      </c>
      <c r="I12029" s="523" t="s">
        <v>677</v>
      </c>
      <c r="J12029" s="43" t="s">
        <v>906</v>
      </c>
      <c r="N12029" s="598">
        <v>685824</v>
      </c>
      <c r="R12029" s="420">
        <v>886.81499999999994</v>
      </c>
      <c r="S12029" s="420">
        <v>887.22074823861499</v>
      </c>
      <c r="T12029" s="420">
        <v>16.7</v>
      </c>
      <c r="U12029" s="278">
        <v>912.3</v>
      </c>
      <c r="V12029" s="278">
        <v>456.15</v>
      </c>
      <c r="Z12029" s="420" t="s">
        <v>2953</v>
      </c>
    </row>
    <row r="12030" spans="1:26">
      <c r="A12030" s="499">
        <v>45910</v>
      </c>
      <c r="B12030" s="499">
        <v>45910</v>
      </c>
      <c r="C12030" s="420" t="s">
        <v>173</v>
      </c>
      <c r="D12030" s="500" t="s">
        <v>761</v>
      </c>
      <c r="E12030" s="501">
        <v>-42031807.270000003</v>
      </c>
      <c r="F12030" s="95" t="s">
        <v>878</v>
      </c>
      <c r="G12030" s="443">
        <v>119031188</v>
      </c>
      <c r="I12030" s="523" t="s">
        <v>654</v>
      </c>
      <c r="J12030" s="43" t="s">
        <v>906</v>
      </c>
      <c r="N12030" s="598">
        <v>41706</v>
      </c>
      <c r="R12030" s="420">
        <v>1007.8119999520453</v>
      </c>
      <c r="S12030" s="420">
        <v>1008.27310842565</v>
      </c>
      <c r="T12030" s="420">
        <v>16.7</v>
      </c>
      <c r="U12030" s="278">
        <v>63.05</v>
      </c>
      <c r="V12030" s="278">
        <v>31.52</v>
      </c>
      <c r="Z12030" s="420" t="s">
        <v>2953</v>
      </c>
    </row>
    <row r="12031" spans="1:26">
      <c r="A12031" s="499">
        <v>45910</v>
      </c>
      <c r="B12031" s="499">
        <v>45910</v>
      </c>
      <c r="C12031" s="420" t="s">
        <v>173</v>
      </c>
      <c r="D12031" s="500" t="s">
        <v>761</v>
      </c>
      <c r="E12031" s="501">
        <v>-6002887.4400000004</v>
      </c>
      <c r="F12031" s="95" t="s">
        <v>878</v>
      </c>
      <c r="G12031" s="443">
        <v>119032928</v>
      </c>
      <c r="I12031" s="523" t="s">
        <v>588</v>
      </c>
      <c r="J12031" s="43" t="s">
        <v>906</v>
      </c>
      <c r="N12031" s="598">
        <v>5892</v>
      </c>
      <c r="R12031" s="420">
        <v>1018.82</v>
      </c>
      <c r="S12031" s="420">
        <v>1019.2763832314999</v>
      </c>
      <c r="T12031" s="420">
        <v>16.350300000000001</v>
      </c>
      <c r="U12031" s="278">
        <v>39.32</v>
      </c>
      <c r="V12031" s="278">
        <v>4.5</v>
      </c>
      <c r="Z12031" s="420" t="s">
        <v>2953</v>
      </c>
    </row>
    <row r="12032" spans="1:26">
      <c r="A12032" s="499">
        <v>45910</v>
      </c>
      <c r="B12032" s="499">
        <v>45911</v>
      </c>
      <c r="C12032" s="420" t="s">
        <v>173</v>
      </c>
      <c r="D12032" s="500" t="s">
        <v>761</v>
      </c>
      <c r="E12032" s="501">
        <v>507516332.22000003</v>
      </c>
      <c r="F12032" s="95" t="s">
        <v>878</v>
      </c>
      <c r="G12032" s="443">
        <v>119031182</v>
      </c>
      <c r="H12032" s="594">
        <v>119031182</v>
      </c>
      <c r="I12032" s="523" t="s">
        <v>705</v>
      </c>
      <c r="J12032" s="43" t="s">
        <v>912</v>
      </c>
      <c r="N12032" s="598">
        <v>674817</v>
      </c>
      <c r="R12032" s="420">
        <v>751.73599999703629</v>
      </c>
      <c r="S12032" s="420">
        <v>752.07994496285698</v>
      </c>
      <c r="T12032" s="420">
        <v>16.7</v>
      </c>
      <c r="U12032" s="278">
        <v>760.93</v>
      </c>
      <c r="V12032" s="278">
        <v>380.46</v>
      </c>
      <c r="Z12032" s="420" t="s">
        <v>2953</v>
      </c>
    </row>
    <row r="12033" spans="1:26">
      <c r="A12033" s="499">
        <v>45910</v>
      </c>
      <c r="B12033" s="499">
        <v>45911</v>
      </c>
      <c r="C12033" s="420" t="s">
        <v>173</v>
      </c>
      <c r="D12033" s="500" t="s">
        <v>761</v>
      </c>
      <c r="E12033" s="501">
        <v>608477282.44000006</v>
      </c>
      <c r="F12033" s="95" t="s">
        <v>878</v>
      </c>
      <c r="G12033" s="443">
        <v>119031185</v>
      </c>
      <c r="H12033" s="594">
        <v>119031185</v>
      </c>
      <c r="I12033" s="523" t="s">
        <v>677</v>
      </c>
      <c r="J12033" s="43" t="s">
        <v>912</v>
      </c>
      <c r="N12033" s="598">
        <v>685824</v>
      </c>
      <c r="R12033" s="420">
        <v>886.81499999999994</v>
      </c>
      <c r="S12033" s="420">
        <v>887.22074823861499</v>
      </c>
      <c r="T12033" s="420">
        <v>16.7</v>
      </c>
      <c r="U12033" s="278">
        <v>912.3</v>
      </c>
      <c r="V12033" s="278">
        <v>456.15</v>
      </c>
      <c r="Z12033" s="420" t="s">
        <v>2953</v>
      </c>
    </row>
    <row r="12034" spans="1:26">
      <c r="A12034" s="499">
        <v>45910</v>
      </c>
      <c r="B12034" s="499">
        <v>45911</v>
      </c>
      <c r="C12034" s="420" t="s">
        <v>173</v>
      </c>
      <c r="D12034" s="500" t="s">
        <v>761</v>
      </c>
      <c r="E12034" s="501">
        <v>42051038.259999998</v>
      </c>
      <c r="F12034" s="95" t="s">
        <v>878</v>
      </c>
      <c r="G12034" s="443">
        <v>119031188</v>
      </c>
      <c r="H12034" s="594">
        <v>119031188</v>
      </c>
      <c r="I12034" s="523" t="s">
        <v>654</v>
      </c>
      <c r="J12034" s="43" t="s">
        <v>912</v>
      </c>
      <c r="N12034" s="598">
        <v>41706</v>
      </c>
      <c r="R12034" s="420">
        <v>1007.8119999520453</v>
      </c>
      <c r="S12034" s="420">
        <v>1008.27310842565</v>
      </c>
      <c r="T12034" s="420">
        <v>16.7</v>
      </c>
      <c r="U12034" s="278">
        <v>63.05</v>
      </c>
      <c r="V12034" s="278">
        <v>31.52</v>
      </c>
      <c r="Z12034" s="420" t="s">
        <v>2953</v>
      </c>
    </row>
    <row r="12035" spans="1:26">
      <c r="A12035" s="499">
        <v>45910</v>
      </c>
      <c r="B12035" s="499">
        <v>45911</v>
      </c>
      <c r="C12035" s="420" t="s">
        <v>173</v>
      </c>
      <c r="D12035" s="500" t="s">
        <v>761</v>
      </c>
      <c r="E12035" s="501">
        <v>6005576.4500000002</v>
      </c>
      <c r="F12035" s="95" t="s">
        <v>878</v>
      </c>
      <c r="G12035" s="443">
        <v>119032928</v>
      </c>
      <c r="H12035" s="594">
        <v>119032928</v>
      </c>
      <c r="I12035" s="523" t="s">
        <v>588</v>
      </c>
      <c r="J12035" s="43" t="s">
        <v>912</v>
      </c>
      <c r="N12035" s="598">
        <v>5892</v>
      </c>
      <c r="R12035" s="420">
        <v>1018.82</v>
      </c>
      <c r="S12035" s="420">
        <v>1019.2763832314999</v>
      </c>
      <c r="T12035" s="420">
        <v>16.350300000000001</v>
      </c>
      <c r="U12035" s="278">
        <v>39.32</v>
      </c>
      <c r="V12035" s="278">
        <v>4.5</v>
      </c>
      <c r="Z12035" s="420" t="s">
        <v>2953</v>
      </c>
    </row>
    <row r="12036" spans="1:26">
      <c r="A12036" s="499">
        <v>45910</v>
      </c>
      <c r="B12036" s="499">
        <v>45910</v>
      </c>
      <c r="C12036" s="420" t="s">
        <v>173</v>
      </c>
      <c r="D12036" s="500" t="s">
        <v>759</v>
      </c>
      <c r="E12036" s="501">
        <v>-2123890014.6800001</v>
      </c>
      <c r="F12036" s="95" t="s">
        <v>878</v>
      </c>
      <c r="G12036" s="443">
        <v>119031823</v>
      </c>
      <c r="I12036" s="523" t="s">
        <v>821</v>
      </c>
      <c r="J12036" s="43" t="s">
        <v>906</v>
      </c>
      <c r="N12036" s="598">
        <v>2069925</v>
      </c>
      <c r="R12036" s="420">
        <v>1026.0710000024155</v>
      </c>
      <c r="S12036" s="420">
        <v>1026.5348403154701</v>
      </c>
      <c r="T12036" s="420">
        <v>16.5</v>
      </c>
      <c r="U12036" s="278">
        <v>3185.84</v>
      </c>
      <c r="V12036" s="278">
        <v>1592.92</v>
      </c>
      <c r="Z12036" s="420" t="s">
        <v>2953</v>
      </c>
    </row>
    <row r="12037" spans="1:26">
      <c r="A12037" s="499">
        <v>45910</v>
      </c>
      <c r="B12037" s="499">
        <v>45910</v>
      </c>
      <c r="C12037" s="420" t="s">
        <v>173</v>
      </c>
      <c r="D12037" s="500" t="s">
        <v>759</v>
      </c>
      <c r="E12037" s="501">
        <v>-12000590.779999999</v>
      </c>
      <c r="F12037" s="95" t="s">
        <v>878</v>
      </c>
      <c r="G12037" s="443">
        <v>119032096</v>
      </c>
      <c r="I12037" s="523" t="s">
        <v>550</v>
      </c>
      <c r="J12037" s="43" t="s">
        <v>906</v>
      </c>
      <c r="N12037" s="598">
        <v>21732</v>
      </c>
      <c r="R12037" s="420">
        <v>552.20830020246638</v>
      </c>
      <c r="S12037" s="420">
        <v>552.45792840051502</v>
      </c>
      <c r="T12037" s="420">
        <v>16.5</v>
      </c>
      <c r="U12037" s="278">
        <v>39.32</v>
      </c>
      <c r="V12037" s="278">
        <v>9</v>
      </c>
      <c r="Z12037" s="420" t="s">
        <v>2953</v>
      </c>
    </row>
    <row r="12038" spans="1:26">
      <c r="A12038" s="499">
        <v>45910</v>
      </c>
      <c r="B12038" s="499">
        <v>45911</v>
      </c>
      <c r="C12038" s="420" t="s">
        <v>173</v>
      </c>
      <c r="D12038" s="500" t="s">
        <v>759</v>
      </c>
      <c r="E12038" s="501">
        <v>2124850129.3399999</v>
      </c>
      <c r="F12038" s="95" t="s">
        <v>878</v>
      </c>
      <c r="G12038" s="443">
        <v>119031823</v>
      </c>
      <c r="H12038" s="594">
        <v>119031823</v>
      </c>
      <c r="I12038" s="523" t="s">
        <v>821</v>
      </c>
      <c r="J12038" s="43" t="s">
        <v>912</v>
      </c>
      <c r="N12038" s="598">
        <v>2069925</v>
      </c>
      <c r="R12038" s="420">
        <v>1026.0710000024155</v>
      </c>
      <c r="S12038" s="420">
        <v>1026.5348403154701</v>
      </c>
      <c r="T12038" s="420">
        <v>16.5</v>
      </c>
      <c r="U12038" s="278">
        <v>3185.84</v>
      </c>
      <c r="V12038" s="278">
        <v>1592.92</v>
      </c>
      <c r="Z12038" s="420" t="s">
        <v>2953</v>
      </c>
    </row>
    <row r="12039" spans="1:26">
      <c r="A12039" s="499">
        <v>45910</v>
      </c>
      <c r="B12039" s="499">
        <v>45911</v>
      </c>
      <c r="C12039" s="420" t="s">
        <v>173</v>
      </c>
      <c r="D12039" s="500" t="s">
        <v>759</v>
      </c>
      <c r="E12039" s="501">
        <v>12006015.699999999</v>
      </c>
      <c r="F12039" s="95" t="s">
        <v>878</v>
      </c>
      <c r="G12039" s="443">
        <v>119032096</v>
      </c>
      <c r="H12039" s="594">
        <v>119032096</v>
      </c>
      <c r="I12039" s="523" t="s">
        <v>550</v>
      </c>
      <c r="J12039" s="43" t="s">
        <v>912</v>
      </c>
      <c r="N12039" s="598">
        <v>21732</v>
      </c>
      <c r="R12039" s="420">
        <v>552.20830020246638</v>
      </c>
      <c r="S12039" s="420">
        <v>552.45792840051502</v>
      </c>
      <c r="T12039" s="420">
        <v>16.5</v>
      </c>
      <c r="U12039" s="278">
        <v>39.32</v>
      </c>
      <c r="V12039" s="278">
        <v>9</v>
      </c>
      <c r="Z12039" s="420" t="s">
        <v>2953</v>
      </c>
    </row>
    <row r="12040" spans="1:26">
      <c r="A12040" s="499">
        <v>45910</v>
      </c>
      <c r="B12040" s="499">
        <v>45910</v>
      </c>
      <c r="C12040" s="420" t="s">
        <v>173</v>
      </c>
      <c r="D12040" s="500" t="s">
        <v>760</v>
      </c>
      <c r="E12040" s="501">
        <v>-947275974.74000001</v>
      </c>
      <c r="F12040" s="95" t="s">
        <v>878</v>
      </c>
      <c r="G12040" s="443">
        <v>119033524</v>
      </c>
      <c r="I12040" s="523" t="s">
        <v>704</v>
      </c>
      <c r="J12040" s="43" t="s">
        <v>906</v>
      </c>
      <c r="N12040" s="598">
        <v>1155340</v>
      </c>
      <c r="R12040" s="420">
        <v>819.91099999999994</v>
      </c>
      <c r="S12040" s="420">
        <v>820.28164245157302</v>
      </c>
      <c r="T12040" s="420">
        <v>16.4999</v>
      </c>
      <c r="U12040" s="278">
        <v>1420.91</v>
      </c>
      <c r="V12040" s="278">
        <v>710.46</v>
      </c>
      <c r="Z12040" s="420" t="s">
        <v>2953</v>
      </c>
    </row>
    <row r="12041" spans="1:26">
      <c r="A12041" s="499">
        <v>45910</v>
      </c>
      <c r="B12041" s="499">
        <v>45910</v>
      </c>
      <c r="C12041" s="420" t="s">
        <v>173</v>
      </c>
      <c r="D12041" s="500" t="s">
        <v>760</v>
      </c>
      <c r="E12041" s="501">
        <v>-353148540.27999997</v>
      </c>
      <c r="F12041" s="95" t="s">
        <v>878</v>
      </c>
      <c r="G12041" s="443">
        <v>119033527</v>
      </c>
      <c r="I12041" s="523" t="s">
        <v>1051</v>
      </c>
      <c r="J12041" s="43" t="s">
        <v>906</v>
      </c>
      <c r="N12041" s="598">
        <v>324054</v>
      </c>
      <c r="R12041" s="420">
        <v>1089.7829999999999</v>
      </c>
      <c r="S12041" s="420">
        <v>1090.2756386281301</v>
      </c>
      <c r="T12041" s="420">
        <v>16.4999</v>
      </c>
      <c r="U12041" s="278">
        <v>529.72</v>
      </c>
      <c r="V12041" s="278">
        <v>264.86</v>
      </c>
      <c r="Z12041" s="420" t="s">
        <v>2953</v>
      </c>
    </row>
    <row r="12042" spans="1:26">
      <c r="A12042" s="499">
        <v>45910</v>
      </c>
      <c r="B12042" s="499">
        <v>45910</v>
      </c>
      <c r="C12042" s="420" t="s">
        <v>173</v>
      </c>
      <c r="D12042" s="500" t="s">
        <v>760</v>
      </c>
      <c r="E12042" s="501">
        <v>-419156466.57999998</v>
      </c>
      <c r="F12042" s="95" t="s">
        <v>878</v>
      </c>
      <c r="G12042" s="443">
        <v>119034518</v>
      </c>
      <c r="I12042" s="523" t="s">
        <v>1013</v>
      </c>
      <c r="J12042" s="43" t="s">
        <v>906</v>
      </c>
      <c r="N12042" s="598">
        <v>773474</v>
      </c>
      <c r="R12042" s="420">
        <v>541.91409999999996</v>
      </c>
      <c r="S12042" s="420">
        <v>542.15833103633702</v>
      </c>
      <c r="T12042" s="420">
        <v>16.4499</v>
      </c>
      <c r="U12042" s="278">
        <v>628.73</v>
      </c>
      <c r="V12042" s="278">
        <v>314.37</v>
      </c>
      <c r="Z12042" s="420" t="s">
        <v>2953</v>
      </c>
    </row>
    <row r="12043" spans="1:26">
      <c r="A12043" s="499">
        <v>45910</v>
      </c>
      <c r="B12043" s="499">
        <v>45910</v>
      </c>
      <c r="C12043" s="420" t="s">
        <v>173</v>
      </c>
      <c r="D12043" s="500" t="s">
        <v>760</v>
      </c>
      <c r="E12043" s="501">
        <v>-13004592.119999999</v>
      </c>
      <c r="F12043" s="95" t="s">
        <v>878</v>
      </c>
      <c r="G12043" s="443">
        <v>119035242</v>
      </c>
      <c r="I12043" s="523" t="s">
        <v>671</v>
      </c>
      <c r="J12043" s="43" t="s">
        <v>906</v>
      </c>
      <c r="N12043" s="598">
        <v>12610</v>
      </c>
      <c r="R12043" s="420">
        <v>1031.2919999999999</v>
      </c>
      <c r="S12043" s="420">
        <v>1031.7567819191099</v>
      </c>
      <c r="T12043" s="420">
        <v>16.4498</v>
      </c>
      <c r="U12043" s="278">
        <v>39.32</v>
      </c>
      <c r="V12043" s="278">
        <v>9.75</v>
      </c>
      <c r="Z12043" s="420" t="s">
        <v>2953</v>
      </c>
    </row>
    <row r="12044" spans="1:26">
      <c r="A12044" s="499">
        <v>45910</v>
      </c>
      <c r="B12044" s="499">
        <v>45911</v>
      </c>
      <c r="C12044" s="420" t="s">
        <v>173</v>
      </c>
      <c r="D12044" s="500" t="s">
        <v>760</v>
      </c>
      <c r="E12044" s="501">
        <v>947704192.78999996</v>
      </c>
      <c r="F12044" s="95" t="s">
        <v>878</v>
      </c>
      <c r="G12044" s="443">
        <v>119033524</v>
      </c>
      <c r="H12044" s="594">
        <v>119033524</v>
      </c>
      <c r="I12044" s="523" t="s">
        <v>704</v>
      </c>
      <c r="J12044" s="43" t="s">
        <v>912</v>
      </c>
      <c r="N12044" s="598">
        <v>1155340</v>
      </c>
      <c r="R12044" s="420">
        <v>819.91099999999994</v>
      </c>
      <c r="S12044" s="420">
        <v>820.28164245157302</v>
      </c>
      <c r="T12044" s="420">
        <v>16.4999</v>
      </c>
      <c r="U12044" s="278">
        <v>1420.91</v>
      </c>
      <c r="V12044" s="278">
        <v>710.46</v>
      </c>
      <c r="Z12044" s="420" t="s">
        <v>2953</v>
      </c>
    </row>
    <row r="12045" spans="1:26">
      <c r="A12045" s="499">
        <v>45910</v>
      </c>
      <c r="B12045" s="499">
        <v>45911</v>
      </c>
      <c r="C12045" s="420" t="s">
        <v>173</v>
      </c>
      <c r="D12045" s="500" t="s">
        <v>760</v>
      </c>
      <c r="E12045" s="501">
        <v>353308181.80000001</v>
      </c>
      <c r="F12045" s="95" t="s">
        <v>878</v>
      </c>
      <c r="G12045" s="443">
        <v>119033527</v>
      </c>
      <c r="H12045" s="594">
        <v>119033527</v>
      </c>
      <c r="I12045" s="523" t="s">
        <v>1051</v>
      </c>
      <c r="J12045" s="43" t="s">
        <v>912</v>
      </c>
      <c r="N12045" s="598">
        <v>324054</v>
      </c>
      <c r="R12045" s="420">
        <v>1089.7829999999999</v>
      </c>
      <c r="S12045" s="420">
        <v>1090.2756386281301</v>
      </c>
      <c r="T12045" s="420">
        <v>16.4999</v>
      </c>
      <c r="U12045" s="278">
        <v>529.72</v>
      </c>
      <c r="V12045" s="278">
        <v>264.86</v>
      </c>
      <c r="Z12045" s="420" t="s">
        <v>2953</v>
      </c>
    </row>
    <row r="12046" spans="1:26">
      <c r="A12046" s="499">
        <v>45910</v>
      </c>
      <c r="B12046" s="499">
        <v>45911</v>
      </c>
      <c r="C12046" s="420" t="s">
        <v>173</v>
      </c>
      <c r="D12046" s="500" t="s">
        <v>760</v>
      </c>
      <c r="E12046" s="501">
        <v>419345372.94</v>
      </c>
      <c r="F12046" s="95" t="s">
        <v>878</v>
      </c>
      <c r="G12046" s="443">
        <v>119034518</v>
      </c>
      <c r="H12046" s="594">
        <v>119034518</v>
      </c>
      <c r="I12046" s="523" t="s">
        <v>1013</v>
      </c>
      <c r="J12046" s="43" t="s">
        <v>912</v>
      </c>
      <c r="N12046" s="598">
        <v>773474</v>
      </c>
      <c r="R12046" s="420">
        <v>541.91409999999996</v>
      </c>
      <c r="S12046" s="420">
        <v>542.15833103633702</v>
      </c>
      <c r="T12046" s="420">
        <v>16.4499</v>
      </c>
      <c r="U12046" s="278">
        <v>628.73</v>
      </c>
      <c r="V12046" s="278">
        <v>314.37</v>
      </c>
      <c r="Z12046" s="420" t="s">
        <v>2953</v>
      </c>
    </row>
    <row r="12047" spans="1:26">
      <c r="A12047" s="499">
        <v>45910</v>
      </c>
      <c r="B12047" s="499">
        <v>45911</v>
      </c>
      <c r="C12047" s="420" t="s">
        <v>173</v>
      </c>
      <c r="D12047" s="500" t="s">
        <v>760</v>
      </c>
      <c r="E12047" s="501">
        <v>13010453.02</v>
      </c>
      <c r="F12047" s="95" t="s">
        <v>878</v>
      </c>
      <c r="G12047" s="443">
        <v>119035242</v>
      </c>
      <c r="H12047" s="594">
        <v>119035242</v>
      </c>
      <c r="I12047" s="523" t="s">
        <v>671</v>
      </c>
      <c r="J12047" s="43" t="s">
        <v>912</v>
      </c>
      <c r="N12047" s="598">
        <v>12610</v>
      </c>
      <c r="R12047" s="420">
        <v>1031.2919999999999</v>
      </c>
      <c r="S12047" s="420">
        <v>1031.7567819191099</v>
      </c>
      <c r="T12047" s="420">
        <v>16.4498</v>
      </c>
      <c r="U12047" s="278">
        <v>39.32</v>
      </c>
      <c r="V12047" s="278">
        <v>9.75</v>
      </c>
      <c r="Z12047" s="420" t="s">
        <v>2953</v>
      </c>
    </row>
    <row r="12048" spans="1:26">
      <c r="A12048" s="499">
        <v>45910</v>
      </c>
      <c r="B12048" s="499">
        <v>45910</v>
      </c>
      <c r="C12048" s="420" t="s">
        <v>173</v>
      </c>
      <c r="D12048" s="500" t="s">
        <v>763</v>
      </c>
      <c r="E12048" s="501">
        <v>-1933821242.78</v>
      </c>
      <c r="F12048" s="95" t="s">
        <v>878</v>
      </c>
      <c r="G12048" s="443">
        <v>119031674</v>
      </c>
      <c r="I12048" s="523" t="s">
        <v>833</v>
      </c>
      <c r="J12048" s="43" t="s">
        <v>906</v>
      </c>
      <c r="N12048" s="598">
        <v>3040609</v>
      </c>
      <c r="R12048" s="420">
        <v>635.99800000000005</v>
      </c>
      <c r="S12048" s="420">
        <v>636.28550768612502</v>
      </c>
      <c r="T12048" s="420">
        <v>16.5001</v>
      </c>
      <c r="U12048" s="278">
        <v>2900.73</v>
      </c>
      <c r="V12048" s="278">
        <v>1450.37</v>
      </c>
      <c r="Z12048" s="420" t="s">
        <v>2953</v>
      </c>
    </row>
    <row r="12049" spans="1:26">
      <c r="A12049" s="499">
        <v>45910</v>
      </c>
      <c r="B12049" s="499">
        <v>45910</v>
      </c>
      <c r="C12049" s="420" t="s">
        <v>173</v>
      </c>
      <c r="D12049" s="500" t="s">
        <v>763</v>
      </c>
      <c r="E12049" s="501">
        <v>-12000412.939999999</v>
      </c>
      <c r="F12049" s="95" t="s">
        <v>878</v>
      </c>
      <c r="G12049" s="443">
        <v>119031761</v>
      </c>
      <c r="I12049" s="523" t="s">
        <v>2854</v>
      </c>
      <c r="J12049" s="43" t="s">
        <v>906</v>
      </c>
      <c r="N12049" s="598">
        <v>21720</v>
      </c>
      <c r="R12049" s="420">
        <v>552.50519999999995</v>
      </c>
      <c r="S12049" s="420">
        <v>552.75496408839797</v>
      </c>
      <c r="T12049" s="420">
        <v>16.5001</v>
      </c>
      <c r="U12049" s="278">
        <v>39.32</v>
      </c>
      <c r="V12049" s="278">
        <v>39.32</v>
      </c>
      <c r="Z12049" s="420" t="s">
        <v>2953</v>
      </c>
    </row>
    <row r="12050" spans="1:26">
      <c r="A12050" s="499">
        <v>45910</v>
      </c>
      <c r="B12050" s="499">
        <v>45911</v>
      </c>
      <c r="C12050" s="420" t="s">
        <v>173</v>
      </c>
      <c r="D12050" s="500" t="s">
        <v>763</v>
      </c>
      <c r="E12050" s="501">
        <v>1934695441.24</v>
      </c>
      <c r="F12050" s="95" t="s">
        <v>878</v>
      </c>
      <c r="G12050" s="443">
        <v>119031674</v>
      </c>
      <c r="H12050" s="594">
        <v>119031674</v>
      </c>
      <c r="I12050" s="523" t="s">
        <v>833</v>
      </c>
      <c r="J12050" s="43" t="s">
        <v>912</v>
      </c>
      <c r="N12050" s="598">
        <v>3040609</v>
      </c>
      <c r="R12050" s="420">
        <v>635.99800000000005</v>
      </c>
      <c r="S12050" s="420">
        <v>636.28550768612502</v>
      </c>
      <c r="T12050" s="420">
        <v>16.5001</v>
      </c>
      <c r="U12050" s="278">
        <v>2900.73</v>
      </c>
      <c r="V12050" s="278">
        <v>1450.37</v>
      </c>
      <c r="Z12050" s="420" t="s">
        <v>2953</v>
      </c>
    </row>
    <row r="12051" spans="1:26">
      <c r="A12051" s="499">
        <v>45910</v>
      </c>
      <c r="B12051" s="499">
        <v>45911</v>
      </c>
      <c r="C12051" s="420" t="s">
        <v>173</v>
      </c>
      <c r="D12051" s="500" t="s">
        <v>763</v>
      </c>
      <c r="E12051" s="501">
        <v>12005837.82</v>
      </c>
      <c r="F12051" s="95" t="s">
        <v>878</v>
      </c>
      <c r="G12051" s="443">
        <v>119031761</v>
      </c>
      <c r="H12051" s="594">
        <v>119031761</v>
      </c>
      <c r="I12051" s="523" t="s">
        <v>2854</v>
      </c>
      <c r="J12051" s="43" t="s">
        <v>912</v>
      </c>
      <c r="N12051" s="598">
        <v>21720</v>
      </c>
      <c r="R12051" s="420">
        <v>552.50519999999995</v>
      </c>
      <c r="S12051" s="420">
        <v>552.75496408839797</v>
      </c>
      <c r="T12051" s="420">
        <v>16.5001</v>
      </c>
      <c r="U12051" s="278">
        <v>39.32</v>
      </c>
      <c r="V12051" s="278">
        <v>39.32</v>
      </c>
      <c r="Z12051" s="420" t="s">
        <v>2953</v>
      </c>
    </row>
    <row r="12052" spans="1:26">
      <c r="A12052" s="499">
        <v>45910</v>
      </c>
      <c r="B12052" s="596">
        <v>45923</v>
      </c>
      <c r="C12052" s="420" t="s">
        <v>173</v>
      </c>
      <c r="D12052" s="500" t="s">
        <v>762</v>
      </c>
      <c r="E12052" s="501">
        <v>1500000000</v>
      </c>
      <c r="F12052" s="502" t="s">
        <v>2832</v>
      </c>
      <c r="G12052" s="443" t="s">
        <v>925</v>
      </c>
      <c r="I12052" s="422" t="s">
        <v>926</v>
      </c>
    </row>
    <row r="12053" spans="1:26">
      <c r="A12053" s="499">
        <v>45910</v>
      </c>
      <c r="B12053" s="596">
        <v>45923</v>
      </c>
      <c r="C12053" s="420" t="s">
        <v>173</v>
      </c>
      <c r="D12053" s="500" t="s">
        <v>760</v>
      </c>
      <c r="E12053" s="501">
        <v>1100000000</v>
      </c>
      <c r="F12053" s="502" t="s">
        <v>2832</v>
      </c>
      <c r="G12053" s="443" t="s">
        <v>925</v>
      </c>
      <c r="I12053" s="422" t="s">
        <v>926</v>
      </c>
    </row>
    <row r="12054" spans="1:26">
      <c r="A12054" s="499">
        <v>45910</v>
      </c>
      <c r="B12054" s="596">
        <v>45923</v>
      </c>
      <c r="C12054" s="420" t="s">
        <v>173</v>
      </c>
      <c r="D12054" s="500" t="s">
        <v>762</v>
      </c>
      <c r="E12054" s="501">
        <v>104025000</v>
      </c>
      <c r="F12054" s="502" t="s">
        <v>381</v>
      </c>
      <c r="G12054" s="443" t="s">
        <v>925</v>
      </c>
      <c r="I12054" s="422" t="s">
        <v>926</v>
      </c>
    </row>
    <row r="12055" spans="1:26">
      <c r="A12055" s="499">
        <v>45910</v>
      </c>
      <c r="B12055" s="596">
        <v>45923</v>
      </c>
      <c r="C12055" s="420" t="s">
        <v>173</v>
      </c>
      <c r="D12055" s="500" t="s">
        <v>760</v>
      </c>
      <c r="E12055" s="501">
        <v>76285000</v>
      </c>
      <c r="F12055" s="502" t="s">
        <v>381</v>
      </c>
      <c r="G12055" s="443" t="s">
        <v>925</v>
      </c>
      <c r="I12055" s="422" t="s">
        <v>926</v>
      </c>
    </row>
    <row r="12056" spans="1:26" s="420" customFormat="1">
      <c r="A12056" s="275">
        <v>45911</v>
      </c>
      <c r="B12056" s="275">
        <v>45911</v>
      </c>
      <c r="C12056" s="420" t="s">
        <v>173</v>
      </c>
      <c r="D12056" s="420" t="s">
        <v>762</v>
      </c>
      <c r="E12056" s="501">
        <v>-1735873516.98</v>
      </c>
      <c r="F12056" s="95" t="s">
        <v>878</v>
      </c>
      <c r="G12056" s="443">
        <v>119063202</v>
      </c>
      <c r="H12056" s="564"/>
      <c r="I12056" s="523" t="s">
        <v>675</v>
      </c>
      <c r="J12056" s="43" t="s">
        <v>906</v>
      </c>
      <c r="K12056" s="564"/>
      <c r="L12056" s="538"/>
      <c r="M12056" s="538"/>
      <c r="N12056" s="598">
        <v>1852980</v>
      </c>
      <c r="R12056" s="420">
        <v>936.80100000000004</v>
      </c>
      <c r="S12056" s="420">
        <v>937.21165249490002</v>
      </c>
      <c r="T12056" s="567">
        <v>16</v>
      </c>
      <c r="U12056" s="538">
        <v>2603.81</v>
      </c>
      <c r="V12056" s="538">
        <v>1301.9100000000001</v>
      </c>
      <c r="Z12056" s="420" t="s">
        <v>2953</v>
      </c>
    </row>
    <row r="12057" spans="1:26" s="420" customFormat="1">
      <c r="A12057" s="275">
        <v>45911</v>
      </c>
      <c r="B12057" s="275">
        <v>45911</v>
      </c>
      <c r="C12057" s="420" t="s">
        <v>173</v>
      </c>
      <c r="D12057" s="420" t="s">
        <v>762</v>
      </c>
      <c r="E12057" s="501">
        <v>-1730727485.76</v>
      </c>
      <c r="F12057" s="95" t="s">
        <v>878</v>
      </c>
      <c r="G12057" s="443">
        <v>119063205</v>
      </c>
      <c r="H12057" s="564"/>
      <c r="I12057" s="523" t="s">
        <v>673</v>
      </c>
      <c r="J12057" s="43" t="s">
        <v>906</v>
      </c>
      <c r="K12057" s="564"/>
      <c r="L12057" s="538"/>
      <c r="M12057" s="538"/>
      <c r="N12057" s="598">
        <v>1909920</v>
      </c>
      <c r="R12057" s="420">
        <v>906.178</v>
      </c>
      <c r="S12057" s="420">
        <v>906.57277085951205</v>
      </c>
      <c r="T12057" s="567">
        <v>15.901</v>
      </c>
      <c r="U12057" s="538">
        <v>2596.09</v>
      </c>
      <c r="V12057" s="538">
        <v>1298.05</v>
      </c>
      <c r="Z12057" s="420" t="s">
        <v>2953</v>
      </c>
    </row>
    <row r="12058" spans="1:26" s="420" customFormat="1">
      <c r="A12058" s="275">
        <v>45911</v>
      </c>
      <c r="B12058" s="275">
        <v>45911</v>
      </c>
      <c r="C12058" s="420" t="s">
        <v>173</v>
      </c>
      <c r="D12058" s="420" t="s">
        <v>762</v>
      </c>
      <c r="E12058" s="501">
        <v>-19007989.73</v>
      </c>
      <c r="F12058" s="95" t="s">
        <v>878</v>
      </c>
      <c r="G12058" s="443">
        <v>119063228</v>
      </c>
      <c r="H12058" s="564"/>
      <c r="I12058" s="523" t="s">
        <v>673</v>
      </c>
      <c r="J12058" s="43" t="s">
        <v>906</v>
      </c>
      <c r="K12058" s="564"/>
      <c r="L12058" s="538"/>
      <c r="M12058" s="538"/>
      <c r="N12058" s="598">
        <v>20976</v>
      </c>
      <c r="R12058" s="420">
        <v>906.178</v>
      </c>
      <c r="S12058" s="420">
        <v>906.57277078566005</v>
      </c>
      <c r="T12058" s="567">
        <v>15.901</v>
      </c>
      <c r="U12058" s="538">
        <v>39.32</v>
      </c>
      <c r="V12058" s="538">
        <v>14.26</v>
      </c>
      <c r="Z12058" s="420" t="s">
        <v>2953</v>
      </c>
    </row>
    <row r="12059" spans="1:26" s="420" customFormat="1">
      <c r="A12059" s="275">
        <v>45911</v>
      </c>
      <c r="B12059" s="275">
        <v>45912</v>
      </c>
      <c r="C12059" s="420" t="s">
        <v>173</v>
      </c>
      <c r="D12059" s="420" t="s">
        <v>762</v>
      </c>
      <c r="E12059" s="501">
        <v>1736634447.8399999</v>
      </c>
      <c r="F12059" s="95" t="s">
        <v>878</v>
      </c>
      <c r="G12059" s="443">
        <v>119063202</v>
      </c>
      <c r="H12059" s="595">
        <v>119063202</v>
      </c>
      <c r="I12059" s="523" t="s">
        <v>675</v>
      </c>
      <c r="J12059" s="43" t="s">
        <v>912</v>
      </c>
      <c r="K12059" s="564"/>
      <c r="L12059" s="538"/>
      <c r="M12059" s="538"/>
      <c r="N12059" s="598">
        <v>1852980</v>
      </c>
      <c r="R12059" s="420">
        <v>936.80100000000004</v>
      </c>
      <c r="S12059" s="420">
        <v>937.21165249490002</v>
      </c>
      <c r="T12059" s="567">
        <v>16</v>
      </c>
      <c r="U12059" s="538">
        <v>2603.81</v>
      </c>
      <c r="V12059" s="538">
        <v>1301.9100000000001</v>
      </c>
      <c r="Z12059" s="420" t="s">
        <v>2953</v>
      </c>
    </row>
    <row r="12060" spans="1:26" s="420" customFormat="1">
      <c r="A12060" s="275">
        <v>45911</v>
      </c>
      <c r="B12060" s="275">
        <v>45912</v>
      </c>
      <c r="C12060" s="420" t="s">
        <v>173</v>
      </c>
      <c r="D12060" s="420" t="s">
        <v>762</v>
      </c>
      <c r="E12060" s="501">
        <v>1731481466.52</v>
      </c>
      <c r="F12060" s="95" t="s">
        <v>878</v>
      </c>
      <c r="G12060" s="443">
        <v>119063205</v>
      </c>
      <c r="H12060" s="595">
        <v>119063205</v>
      </c>
      <c r="I12060" s="523" t="s">
        <v>673</v>
      </c>
      <c r="J12060" s="43" t="s">
        <v>912</v>
      </c>
      <c r="K12060" s="564"/>
      <c r="L12060" s="538"/>
      <c r="M12060" s="538"/>
      <c r="N12060" s="598">
        <v>1909920</v>
      </c>
      <c r="R12060" s="420">
        <v>906.178</v>
      </c>
      <c r="S12060" s="420">
        <v>906.57277085951205</v>
      </c>
      <c r="T12060" s="567">
        <v>15.901</v>
      </c>
      <c r="U12060" s="538">
        <v>2596.09</v>
      </c>
      <c r="V12060" s="538">
        <v>1298.05</v>
      </c>
      <c r="Z12060" s="420" t="s">
        <v>2953</v>
      </c>
    </row>
    <row r="12061" spans="1:26" s="420" customFormat="1">
      <c r="A12061" s="275">
        <v>45911</v>
      </c>
      <c r="B12061" s="275">
        <v>45912</v>
      </c>
      <c r="C12061" s="420" t="s">
        <v>173</v>
      </c>
      <c r="D12061" s="420" t="s">
        <v>762</v>
      </c>
      <c r="E12061" s="501">
        <v>19016270.440000001</v>
      </c>
      <c r="F12061" s="95" t="s">
        <v>878</v>
      </c>
      <c r="G12061" s="443">
        <v>119063228</v>
      </c>
      <c r="H12061" s="595">
        <v>119063228</v>
      </c>
      <c r="I12061" s="523" t="s">
        <v>673</v>
      </c>
      <c r="J12061" s="43" t="s">
        <v>912</v>
      </c>
      <c r="K12061" s="564"/>
      <c r="L12061" s="538"/>
      <c r="M12061" s="538"/>
      <c r="N12061" s="598">
        <v>20976</v>
      </c>
      <c r="R12061" s="420">
        <v>906.178</v>
      </c>
      <c r="S12061" s="420">
        <v>906.57277078566005</v>
      </c>
      <c r="T12061" s="567">
        <v>15.901</v>
      </c>
      <c r="U12061" s="538">
        <v>39.32</v>
      </c>
      <c r="V12061" s="538">
        <v>14.26</v>
      </c>
      <c r="Z12061" s="420" t="s">
        <v>2953</v>
      </c>
    </row>
    <row r="12062" spans="1:26" s="420" customFormat="1">
      <c r="A12062" s="275">
        <v>45911</v>
      </c>
      <c r="B12062" s="275">
        <v>45911</v>
      </c>
      <c r="C12062" s="420" t="s">
        <v>173</v>
      </c>
      <c r="D12062" s="420" t="s">
        <v>763</v>
      </c>
      <c r="E12062" s="501">
        <v>-58012886.759999998</v>
      </c>
      <c r="F12062" s="95" t="s">
        <v>878</v>
      </c>
      <c r="G12062" s="443">
        <v>119056982</v>
      </c>
      <c r="H12062" s="564"/>
      <c r="I12062" s="523" t="s">
        <v>631</v>
      </c>
      <c r="J12062" s="43" t="s">
        <v>906</v>
      </c>
      <c r="K12062" s="564"/>
      <c r="L12062" s="538"/>
      <c r="M12062" s="538"/>
      <c r="N12062" s="598">
        <v>112926</v>
      </c>
      <c r="R12062" s="420">
        <v>513.72479999999996</v>
      </c>
      <c r="S12062" s="420">
        <v>513.95169597789697</v>
      </c>
      <c r="T12062" s="420">
        <v>16.120899999999999</v>
      </c>
      <c r="U12062" s="278">
        <v>87.02</v>
      </c>
      <c r="V12062" s="278">
        <v>43.51</v>
      </c>
      <c r="Z12062" s="420" t="s">
        <v>2953</v>
      </c>
    </row>
    <row r="12063" spans="1:26" s="420" customFormat="1">
      <c r="A12063" s="275">
        <v>45911</v>
      </c>
      <c r="B12063" s="275">
        <v>45911</v>
      </c>
      <c r="C12063" s="420" t="s">
        <v>173</v>
      </c>
      <c r="D12063" s="420" t="s">
        <v>763</v>
      </c>
      <c r="E12063" s="501">
        <v>-199186228.58000001</v>
      </c>
      <c r="F12063" s="95" t="s">
        <v>878</v>
      </c>
      <c r="G12063" s="443">
        <v>119056985</v>
      </c>
      <c r="H12063" s="564"/>
      <c r="I12063" s="523" t="s">
        <v>2944</v>
      </c>
      <c r="J12063" s="43" t="s">
        <v>906</v>
      </c>
      <c r="K12063" s="564"/>
      <c r="L12063" s="538"/>
      <c r="M12063" s="538"/>
      <c r="N12063" s="598">
        <v>207358</v>
      </c>
      <c r="R12063" s="420">
        <v>960.59100000000001</v>
      </c>
      <c r="S12063" s="420">
        <v>961.01526278224105</v>
      </c>
      <c r="T12063" s="420">
        <v>16.120899999999999</v>
      </c>
      <c r="U12063" s="278">
        <v>298.77999999999997</v>
      </c>
      <c r="V12063" s="278">
        <v>149.38999999999999</v>
      </c>
      <c r="Z12063" s="420" t="s">
        <v>2953</v>
      </c>
    </row>
    <row r="12064" spans="1:26" s="420" customFormat="1">
      <c r="A12064" s="275">
        <v>45911</v>
      </c>
      <c r="B12064" s="275">
        <v>45911</v>
      </c>
      <c r="C12064" s="420" t="s">
        <v>173</v>
      </c>
      <c r="D12064" s="420" t="s">
        <v>763</v>
      </c>
      <c r="E12064" s="501">
        <v>-600000091.20000005</v>
      </c>
      <c r="F12064" s="95" t="s">
        <v>878</v>
      </c>
      <c r="G12064" s="443">
        <v>119056988</v>
      </c>
      <c r="H12064" s="564"/>
      <c r="I12064" s="523" t="s">
        <v>1277</v>
      </c>
      <c r="J12064" s="43" t="s">
        <v>906</v>
      </c>
      <c r="K12064" s="564"/>
      <c r="L12064" s="538"/>
      <c r="M12064" s="538"/>
      <c r="N12064" s="598">
        <v>735024000</v>
      </c>
      <c r="R12064" s="420">
        <v>0.81630000000000003</v>
      </c>
      <c r="S12064" s="420">
        <v>0.816660533996169</v>
      </c>
      <c r="T12064" s="420">
        <v>16.120899999999999</v>
      </c>
      <c r="U12064" s="278">
        <v>900</v>
      </c>
      <c r="V12064" s="278">
        <v>450</v>
      </c>
      <c r="Z12064" s="420" t="s">
        <v>2953</v>
      </c>
    </row>
    <row r="12065" spans="1:26" s="420" customFormat="1">
      <c r="A12065" s="275">
        <v>45911</v>
      </c>
      <c r="B12065" s="275">
        <v>45911</v>
      </c>
      <c r="C12065" s="420" t="s">
        <v>173</v>
      </c>
      <c r="D12065" s="420" t="s">
        <v>763</v>
      </c>
      <c r="E12065" s="501">
        <v>-1005505985.34</v>
      </c>
      <c r="F12065" s="95" t="s">
        <v>878</v>
      </c>
      <c r="G12065" s="443">
        <v>119056991</v>
      </c>
      <c r="H12065" s="564"/>
      <c r="I12065" s="523" t="s">
        <v>675</v>
      </c>
      <c r="J12065" s="43" t="s">
        <v>906</v>
      </c>
      <c r="K12065" s="564"/>
      <c r="L12065" s="538"/>
      <c r="M12065" s="538"/>
      <c r="N12065" s="598">
        <v>1073340</v>
      </c>
      <c r="R12065" s="420">
        <v>936.80100000000004</v>
      </c>
      <c r="S12065" s="420">
        <v>937.21475548288504</v>
      </c>
      <c r="T12065" s="420">
        <v>16.120899999999999</v>
      </c>
      <c r="U12065" s="278">
        <v>1508.26</v>
      </c>
      <c r="V12065" s="278">
        <v>754.13</v>
      </c>
      <c r="Z12065" s="420" t="s">
        <v>2953</v>
      </c>
    </row>
    <row r="12066" spans="1:26" s="420" customFormat="1">
      <c r="A12066" s="275">
        <v>45911</v>
      </c>
      <c r="B12066" s="275">
        <v>45911</v>
      </c>
      <c r="C12066" s="420" t="s">
        <v>173</v>
      </c>
      <c r="D12066" s="420" t="s">
        <v>763</v>
      </c>
      <c r="E12066" s="501">
        <v>-169020135.34</v>
      </c>
      <c r="F12066" s="95" t="s">
        <v>878</v>
      </c>
      <c r="G12066" s="443">
        <v>119056994</v>
      </c>
      <c r="H12066" s="564"/>
      <c r="I12066" s="523" t="s">
        <v>824</v>
      </c>
      <c r="J12066" s="43" t="s">
        <v>906</v>
      </c>
      <c r="K12066" s="564"/>
      <c r="L12066" s="538"/>
      <c r="M12066" s="538"/>
      <c r="N12066" s="598">
        <v>160212</v>
      </c>
      <c r="R12066" s="420">
        <v>1054.9780000000001</v>
      </c>
      <c r="S12066" s="420">
        <v>1055.44394477318</v>
      </c>
      <c r="T12066" s="420">
        <v>16.120699999999999</v>
      </c>
      <c r="U12066" s="278">
        <v>253.53</v>
      </c>
      <c r="V12066" s="278">
        <v>126.77</v>
      </c>
      <c r="Z12066" s="420" t="s">
        <v>2953</v>
      </c>
    </row>
    <row r="12067" spans="1:26" s="420" customFormat="1">
      <c r="A12067" s="275">
        <v>45911</v>
      </c>
      <c r="B12067" s="275">
        <v>45911</v>
      </c>
      <c r="C12067" s="420" t="s">
        <v>173</v>
      </c>
      <c r="D12067" s="420" t="s">
        <v>763</v>
      </c>
      <c r="E12067" s="501">
        <v>-45010141.829999998</v>
      </c>
      <c r="F12067" s="95" t="s">
        <v>878</v>
      </c>
      <c r="G12067" s="443">
        <v>119056997</v>
      </c>
      <c r="H12067" s="564"/>
      <c r="I12067" s="523" t="s">
        <v>711</v>
      </c>
      <c r="J12067" s="43" t="s">
        <v>906</v>
      </c>
      <c r="K12067" s="564"/>
      <c r="L12067" s="538"/>
      <c r="M12067" s="538"/>
      <c r="N12067" s="598">
        <v>57690</v>
      </c>
      <c r="R12067" s="420">
        <v>780.20699999999999</v>
      </c>
      <c r="S12067" s="420">
        <v>780.55158849020597</v>
      </c>
      <c r="T12067" s="420">
        <v>16.120699999999999</v>
      </c>
      <c r="U12067" s="278">
        <v>67.52</v>
      </c>
      <c r="V12067" s="278">
        <v>39.32</v>
      </c>
      <c r="Z12067" s="420" t="s">
        <v>2953</v>
      </c>
    </row>
    <row r="12068" spans="1:26" s="420" customFormat="1">
      <c r="A12068" s="275">
        <v>45911</v>
      </c>
      <c r="B12068" s="275">
        <v>45911</v>
      </c>
      <c r="C12068" s="420" t="s">
        <v>173</v>
      </c>
      <c r="D12068" s="420" t="s">
        <v>763</v>
      </c>
      <c r="E12068" s="501">
        <v>-11002479.109999999</v>
      </c>
      <c r="F12068" s="95" t="s">
        <v>878</v>
      </c>
      <c r="G12068" s="443">
        <v>119057044</v>
      </c>
      <c r="H12068" s="564"/>
      <c r="I12068" s="523" t="s">
        <v>711</v>
      </c>
      <c r="J12068" s="43" t="s">
        <v>906</v>
      </c>
      <c r="K12068" s="564"/>
      <c r="L12068" s="538"/>
      <c r="M12068" s="538"/>
      <c r="N12068" s="598">
        <v>14102</v>
      </c>
      <c r="R12068" s="420">
        <v>780.20699999999999</v>
      </c>
      <c r="S12068" s="420">
        <v>780.55158842717401</v>
      </c>
      <c r="T12068" s="420">
        <v>16.120699999999999</v>
      </c>
      <c r="U12068" s="278">
        <v>39.32</v>
      </c>
      <c r="V12068" s="278">
        <v>39.32</v>
      </c>
      <c r="Z12068" s="420" t="s">
        <v>2953</v>
      </c>
    </row>
    <row r="12069" spans="1:26" s="420" customFormat="1">
      <c r="A12069" s="275">
        <v>45911</v>
      </c>
      <c r="B12069" s="275">
        <v>45912</v>
      </c>
      <c r="C12069" s="420" t="s">
        <v>173</v>
      </c>
      <c r="D12069" s="420" t="s">
        <v>763</v>
      </c>
      <c r="E12069" s="501">
        <v>58038509.219999999</v>
      </c>
      <c r="F12069" s="95" t="s">
        <v>878</v>
      </c>
      <c r="G12069" s="443">
        <v>119056982</v>
      </c>
      <c r="H12069" s="595">
        <v>119056982</v>
      </c>
      <c r="I12069" s="523" t="s">
        <v>631</v>
      </c>
      <c r="J12069" s="43" t="s">
        <v>912</v>
      </c>
      <c r="K12069" s="564"/>
      <c r="L12069" s="538"/>
      <c r="M12069" s="538"/>
      <c r="N12069" s="598">
        <v>112926</v>
      </c>
      <c r="R12069" s="420">
        <v>513.72479999999996</v>
      </c>
      <c r="S12069" s="420">
        <v>513.95169597789697</v>
      </c>
      <c r="T12069" s="420">
        <v>16.120899999999999</v>
      </c>
      <c r="U12069" s="278">
        <v>87.02</v>
      </c>
      <c r="V12069" s="278">
        <v>43.51</v>
      </c>
      <c r="Z12069" s="420" t="s">
        <v>2953</v>
      </c>
    </row>
    <row r="12070" spans="1:26" s="420" customFormat="1">
      <c r="A12070" s="275">
        <v>45911</v>
      </c>
      <c r="B12070" s="275">
        <v>45912</v>
      </c>
      <c r="C12070" s="420" t="s">
        <v>173</v>
      </c>
      <c r="D12070" s="420" t="s">
        <v>763</v>
      </c>
      <c r="E12070" s="501">
        <v>199274202.86000001</v>
      </c>
      <c r="F12070" s="95" t="s">
        <v>878</v>
      </c>
      <c r="G12070" s="443">
        <v>119056985</v>
      </c>
      <c r="H12070" s="595">
        <v>119056985</v>
      </c>
      <c r="I12070" s="523" t="s">
        <v>2944</v>
      </c>
      <c r="J12070" s="43" t="s">
        <v>912</v>
      </c>
      <c r="K12070" s="564"/>
      <c r="L12070" s="538"/>
      <c r="M12070" s="538"/>
      <c r="N12070" s="598">
        <v>207358</v>
      </c>
      <c r="R12070" s="420">
        <v>960.59100000000001</v>
      </c>
      <c r="S12070" s="420">
        <v>961.01526278224105</v>
      </c>
      <c r="T12070" s="420">
        <v>16.120899999999999</v>
      </c>
      <c r="U12070" s="278">
        <v>298.77999999999997</v>
      </c>
      <c r="V12070" s="278">
        <v>149.38999999999999</v>
      </c>
      <c r="Z12070" s="420" t="s">
        <v>2953</v>
      </c>
    </row>
    <row r="12071" spans="1:26" s="420" customFormat="1">
      <c r="A12071" s="275">
        <v>45911</v>
      </c>
      <c r="B12071" s="275">
        <v>45912</v>
      </c>
      <c r="C12071" s="420" t="s">
        <v>173</v>
      </c>
      <c r="D12071" s="420" t="s">
        <v>763</v>
      </c>
      <c r="E12071" s="501">
        <v>600265092.34000003</v>
      </c>
      <c r="F12071" s="95" t="s">
        <v>878</v>
      </c>
      <c r="G12071" s="443">
        <v>119056988</v>
      </c>
      <c r="H12071" s="595">
        <v>119056988</v>
      </c>
      <c r="I12071" s="523" t="s">
        <v>1277</v>
      </c>
      <c r="J12071" s="43" t="s">
        <v>912</v>
      </c>
      <c r="K12071" s="564"/>
      <c r="L12071" s="538"/>
      <c r="M12071" s="538"/>
      <c r="N12071" s="598">
        <v>735024000</v>
      </c>
      <c r="R12071" s="420">
        <v>0.81630000000000003</v>
      </c>
      <c r="S12071" s="420">
        <v>0.816660533996169</v>
      </c>
      <c r="T12071" s="420">
        <v>16.120899999999999</v>
      </c>
      <c r="U12071" s="278">
        <v>900</v>
      </c>
      <c r="V12071" s="278">
        <v>450</v>
      </c>
      <c r="Z12071" s="420" t="s">
        <v>2953</v>
      </c>
    </row>
    <row r="12072" spans="1:26" s="420" customFormat="1">
      <c r="A12072" s="275">
        <v>45911</v>
      </c>
      <c r="B12072" s="275">
        <v>45912</v>
      </c>
      <c r="C12072" s="420" t="s">
        <v>173</v>
      </c>
      <c r="D12072" s="420" t="s">
        <v>763</v>
      </c>
      <c r="E12072" s="501">
        <v>1005950085.65</v>
      </c>
      <c r="F12072" s="95" t="s">
        <v>878</v>
      </c>
      <c r="G12072" s="443">
        <v>119056991</v>
      </c>
      <c r="H12072" s="595">
        <v>119056991</v>
      </c>
      <c r="I12072" s="523" t="s">
        <v>675</v>
      </c>
      <c r="J12072" s="43" t="s">
        <v>912</v>
      </c>
      <c r="K12072" s="564"/>
      <c r="L12072" s="538"/>
      <c r="M12072" s="538"/>
      <c r="N12072" s="598">
        <v>1073340</v>
      </c>
      <c r="R12072" s="420">
        <v>936.80100000000004</v>
      </c>
      <c r="S12072" s="420">
        <v>937.21475548288504</v>
      </c>
      <c r="T12072" s="420">
        <v>16.120899999999999</v>
      </c>
      <c r="U12072" s="278">
        <v>1508.26</v>
      </c>
      <c r="V12072" s="278">
        <v>754.13</v>
      </c>
      <c r="Z12072" s="420" t="s">
        <v>2953</v>
      </c>
    </row>
    <row r="12073" spans="1:26" s="420" customFormat="1">
      <c r="A12073" s="275">
        <v>45911</v>
      </c>
      <c r="B12073" s="275">
        <v>45912</v>
      </c>
      <c r="C12073" s="420" t="s">
        <v>173</v>
      </c>
      <c r="D12073" s="420" t="s">
        <v>763</v>
      </c>
      <c r="E12073" s="501">
        <v>169094785.28</v>
      </c>
      <c r="F12073" s="95" t="s">
        <v>878</v>
      </c>
      <c r="G12073" s="443">
        <v>119056994</v>
      </c>
      <c r="H12073" s="595">
        <v>119056994</v>
      </c>
      <c r="I12073" s="523" t="s">
        <v>824</v>
      </c>
      <c r="J12073" s="43" t="s">
        <v>912</v>
      </c>
      <c r="K12073" s="564"/>
      <c r="L12073" s="538"/>
      <c r="M12073" s="538"/>
      <c r="N12073" s="598">
        <v>160212</v>
      </c>
      <c r="R12073" s="420">
        <v>1054.9780000000001</v>
      </c>
      <c r="S12073" s="420">
        <v>1055.44394477318</v>
      </c>
      <c r="T12073" s="420">
        <v>16.120699999999999</v>
      </c>
      <c r="U12073" s="278">
        <v>253.53</v>
      </c>
      <c r="V12073" s="278">
        <v>126.77</v>
      </c>
      <c r="Z12073" s="420" t="s">
        <v>2953</v>
      </c>
    </row>
    <row r="12074" spans="1:26" s="420" customFormat="1">
      <c r="A12074" s="275">
        <v>45911</v>
      </c>
      <c r="B12074" s="275">
        <v>45912</v>
      </c>
      <c r="C12074" s="420" t="s">
        <v>173</v>
      </c>
      <c r="D12074" s="420" t="s">
        <v>763</v>
      </c>
      <c r="E12074" s="501">
        <v>45030021.140000001</v>
      </c>
      <c r="F12074" s="95" t="s">
        <v>878</v>
      </c>
      <c r="G12074" s="443">
        <v>119056997</v>
      </c>
      <c r="H12074" s="595">
        <v>119056997</v>
      </c>
      <c r="I12074" s="523" t="s">
        <v>711</v>
      </c>
      <c r="J12074" s="43" t="s">
        <v>912</v>
      </c>
      <c r="K12074" s="564"/>
      <c r="L12074" s="538"/>
      <c r="M12074" s="538"/>
      <c r="N12074" s="598">
        <v>57690</v>
      </c>
      <c r="R12074" s="420">
        <v>780.20699999999999</v>
      </c>
      <c r="S12074" s="420">
        <v>780.55158849020597</v>
      </c>
      <c r="T12074" s="420">
        <v>16.120699999999999</v>
      </c>
      <c r="U12074" s="278">
        <v>67.52</v>
      </c>
      <c r="V12074" s="278">
        <v>39.32</v>
      </c>
      <c r="Z12074" s="420" t="s">
        <v>2953</v>
      </c>
    </row>
    <row r="12075" spans="1:26" s="420" customFormat="1">
      <c r="A12075" s="275">
        <v>45911</v>
      </c>
      <c r="B12075" s="275">
        <v>45912</v>
      </c>
      <c r="C12075" s="420" t="s">
        <v>173</v>
      </c>
      <c r="D12075" s="420" t="s">
        <v>763</v>
      </c>
      <c r="E12075" s="501">
        <v>11007338.5</v>
      </c>
      <c r="F12075" s="95" t="s">
        <v>878</v>
      </c>
      <c r="G12075" s="443">
        <v>119057044</v>
      </c>
      <c r="H12075" s="595">
        <v>119057044</v>
      </c>
      <c r="I12075" s="523" t="s">
        <v>711</v>
      </c>
      <c r="J12075" s="43" t="s">
        <v>912</v>
      </c>
      <c r="K12075" s="564"/>
      <c r="L12075" s="538"/>
      <c r="M12075" s="538"/>
      <c r="N12075" s="598">
        <v>14102</v>
      </c>
      <c r="R12075" s="420">
        <v>780.20699999999999</v>
      </c>
      <c r="S12075" s="420">
        <v>780.55158842717401</v>
      </c>
      <c r="T12075" s="420">
        <v>16.120699999999999</v>
      </c>
      <c r="U12075" s="278">
        <v>39.32</v>
      </c>
      <c r="V12075" s="278">
        <v>39.32</v>
      </c>
      <c r="Z12075" s="420" t="s">
        <v>2953</v>
      </c>
    </row>
    <row r="12076" spans="1:26" s="420" customFormat="1">
      <c r="A12076" s="275">
        <v>45911</v>
      </c>
      <c r="B12076" s="275">
        <v>45911</v>
      </c>
      <c r="C12076" s="420" t="s">
        <v>173</v>
      </c>
      <c r="D12076" s="420" t="s">
        <v>760</v>
      </c>
      <c r="E12076" s="501">
        <v>-1300121550</v>
      </c>
      <c r="F12076" s="95" t="s">
        <v>878</v>
      </c>
      <c r="G12076" s="443">
        <v>119055030</v>
      </c>
      <c r="H12076" s="564"/>
      <c r="I12076" s="523" t="s">
        <v>2956</v>
      </c>
      <c r="J12076" s="43" t="s">
        <v>906</v>
      </c>
      <c r="K12076" s="564"/>
      <c r="L12076" s="538"/>
      <c r="M12076" s="538"/>
      <c r="N12076" s="598">
        <v>13033800</v>
      </c>
      <c r="R12076" s="420">
        <v>99.75</v>
      </c>
      <c r="S12076" s="420">
        <v>99.795638767665594</v>
      </c>
      <c r="T12076" s="420">
        <v>16.6999</v>
      </c>
      <c r="U12076" s="278">
        <v>1950.18</v>
      </c>
      <c r="V12076" s="278">
        <v>975.09</v>
      </c>
      <c r="Z12076" s="420" t="s">
        <v>2953</v>
      </c>
    </row>
    <row r="12077" spans="1:26" s="420" customFormat="1">
      <c r="A12077" s="275">
        <v>45911</v>
      </c>
      <c r="B12077" s="275">
        <v>45911</v>
      </c>
      <c r="C12077" s="420" t="s">
        <v>173</v>
      </c>
      <c r="D12077" s="420" t="s">
        <v>760</v>
      </c>
      <c r="E12077" s="501">
        <v>-430141298.17000002</v>
      </c>
      <c r="F12077" s="95" t="s">
        <v>878</v>
      </c>
      <c r="G12077" s="443">
        <v>119056055</v>
      </c>
      <c r="H12077" s="564"/>
      <c r="I12077" s="523" t="s">
        <v>833</v>
      </c>
      <c r="J12077" s="43" t="s">
        <v>906</v>
      </c>
      <c r="K12077" s="564"/>
      <c r="L12077" s="538"/>
      <c r="M12077" s="538"/>
      <c r="N12077" s="598">
        <v>678540</v>
      </c>
      <c r="R12077" s="420">
        <v>633.92179999999996</v>
      </c>
      <c r="S12077" s="420">
        <v>634.210102425797</v>
      </c>
      <c r="T12077" s="420">
        <v>16.599900000000002</v>
      </c>
      <c r="U12077" s="278">
        <v>645.21</v>
      </c>
      <c r="V12077" s="278">
        <v>322.61</v>
      </c>
      <c r="Z12077" s="420" t="s">
        <v>2953</v>
      </c>
    </row>
    <row r="12078" spans="1:26" s="420" customFormat="1">
      <c r="A12078" s="275">
        <v>45911</v>
      </c>
      <c r="B12078" s="275">
        <v>45911</v>
      </c>
      <c r="C12078" s="420" t="s">
        <v>173</v>
      </c>
      <c r="D12078" s="420" t="s">
        <v>760</v>
      </c>
      <c r="E12078" s="501">
        <v>-302035451.24000001</v>
      </c>
      <c r="F12078" s="95" t="s">
        <v>878</v>
      </c>
      <c r="G12078" s="443">
        <v>119060610</v>
      </c>
      <c r="H12078" s="564"/>
      <c r="I12078" s="523" t="s">
        <v>2854</v>
      </c>
      <c r="J12078" s="43" t="s">
        <v>906</v>
      </c>
      <c r="K12078" s="564"/>
      <c r="L12078" s="538"/>
      <c r="M12078" s="538"/>
      <c r="N12078" s="598">
        <v>544204</v>
      </c>
      <c r="R12078" s="420">
        <v>555.00409999999999</v>
      </c>
      <c r="S12078" s="420">
        <v>555.24891004108702</v>
      </c>
      <c r="T12078" s="420">
        <v>16.100000000000001</v>
      </c>
      <c r="U12078" s="278">
        <v>453.05</v>
      </c>
      <c r="V12078" s="278">
        <v>226.53</v>
      </c>
      <c r="Z12078" s="420" t="s">
        <v>2953</v>
      </c>
    </row>
    <row r="12079" spans="1:26" s="420" customFormat="1">
      <c r="A12079" s="275">
        <v>45911</v>
      </c>
      <c r="B12079" s="275">
        <v>45912</v>
      </c>
      <c r="C12079" s="420" t="s">
        <v>173</v>
      </c>
      <c r="D12079" s="420" t="s">
        <v>760</v>
      </c>
      <c r="E12079" s="501">
        <v>1300716396.5699999</v>
      </c>
      <c r="F12079" s="95" t="s">
        <v>878</v>
      </c>
      <c r="G12079" s="443">
        <v>119055030</v>
      </c>
      <c r="H12079" s="595">
        <v>119055030</v>
      </c>
      <c r="I12079" s="523" t="s">
        <v>2956</v>
      </c>
      <c r="J12079" s="43" t="s">
        <v>912</v>
      </c>
      <c r="K12079" s="564"/>
      <c r="L12079" s="538"/>
      <c r="M12079" s="538"/>
      <c r="N12079" s="598">
        <v>13033800</v>
      </c>
      <c r="R12079" s="420">
        <v>99.75</v>
      </c>
      <c r="S12079" s="420">
        <v>99.795638767665594</v>
      </c>
      <c r="T12079" s="420">
        <v>16.6999</v>
      </c>
      <c r="U12079" s="278">
        <v>1950.18</v>
      </c>
      <c r="V12079" s="278">
        <v>975.09</v>
      </c>
      <c r="Z12079" s="420" t="s">
        <v>2953</v>
      </c>
    </row>
    <row r="12080" spans="1:26" s="420" customFormat="1">
      <c r="A12080" s="275">
        <v>45911</v>
      </c>
      <c r="B12080" s="275">
        <v>45912</v>
      </c>
      <c r="C12080" s="420" t="s">
        <v>173</v>
      </c>
      <c r="D12080" s="420" t="s">
        <v>760</v>
      </c>
      <c r="E12080" s="501">
        <v>430336922.89999998</v>
      </c>
      <c r="F12080" s="95" t="s">
        <v>878</v>
      </c>
      <c r="G12080" s="443">
        <v>119056055</v>
      </c>
      <c r="H12080" s="595">
        <v>119056055</v>
      </c>
      <c r="I12080" s="523" t="s">
        <v>833</v>
      </c>
      <c r="J12080" s="43" t="s">
        <v>912</v>
      </c>
      <c r="K12080" s="564"/>
      <c r="L12080" s="538"/>
      <c r="M12080" s="538"/>
      <c r="N12080" s="598">
        <v>678540</v>
      </c>
      <c r="R12080" s="420">
        <v>633.92179999999996</v>
      </c>
      <c r="S12080" s="420">
        <v>634.210102425797</v>
      </c>
      <c r="T12080" s="420">
        <v>16.599900000000002</v>
      </c>
      <c r="U12080" s="278">
        <v>645.21</v>
      </c>
      <c r="V12080" s="278">
        <v>322.61</v>
      </c>
      <c r="Z12080" s="420" t="s">
        <v>2953</v>
      </c>
    </row>
    <row r="12081" spans="1:26" s="420" customFormat="1">
      <c r="A12081" s="275">
        <v>45911</v>
      </c>
      <c r="B12081" s="275">
        <v>45912</v>
      </c>
      <c r="C12081" s="420" t="s">
        <v>173</v>
      </c>
      <c r="D12081" s="420" t="s">
        <v>760</v>
      </c>
      <c r="E12081" s="501">
        <v>302168677.83999997</v>
      </c>
      <c r="F12081" s="95" t="s">
        <v>878</v>
      </c>
      <c r="G12081" s="443">
        <v>119060610</v>
      </c>
      <c r="H12081" s="595">
        <v>119060610</v>
      </c>
      <c r="I12081" s="523" t="s">
        <v>2854</v>
      </c>
      <c r="J12081" s="43" t="s">
        <v>912</v>
      </c>
      <c r="K12081" s="564"/>
      <c r="L12081" s="538"/>
      <c r="M12081" s="538"/>
      <c r="N12081" s="598">
        <v>544204</v>
      </c>
      <c r="R12081" s="420">
        <v>555.00409999999999</v>
      </c>
      <c r="S12081" s="420">
        <v>555.24891004108702</v>
      </c>
      <c r="T12081" s="420">
        <v>16.100000000000001</v>
      </c>
      <c r="U12081" s="278">
        <v>453.05</v>
      </c>
      <c r="V12081" s="278">
        <v>226.53</v>
      </c>
      <c r="Z12081" s="420" t="s">
        <v>2953</v>
      </c>
    </row>
    <row r="12082" spans="1:26" s="420" customFormat="1">
      <c r="A12082" s="275">
        <v>45911</v>
      </c>
      <c r="B12082" s="275">
        <v>45911</v>
      </c>
      <c r="C12082" s="420" t="s">
        <v>173</v>
      </c>
      <c r="D12082" s="420" t="s">
        <v>759</v>
      </c>
      <c r="E12082" s="501">
        <v>-2409225241.5</v>
      </c>
      <c r="F12082" s="95" t="s">
        <v>878</v>
      </c>
      <c r="G12082" s="443">
        <v>119054940</v>
      </c>
      <c r="H12082" s="564"/>
      <c r="I12082" s="523" t="s">
        <v>2956</v>
      </c>
      <c r="J12082" s="43" t="s">
        <v>906</v>
      </c>
      <c r="K12082" s="564"/>
      <c r="L12082" s="538"/>
      <c r="M12082" s="538"/>
      <c r="N12082" s="598">
        <v>24152634</v>
      </c>
      <c r="R12082" s="420">
        <v>99.75</v>
      </c>
      <c r="S12082" s="420">
        <v>99.795147123084007</v>
      </c>
      <c r="T12082" s="420">
        <v>16.52</v>
      </c>
      <c r="U12082" s="278">
        <v>3613.84</v>
      </c>
      <c r="V12082" s="278">
        <v>1806.92</v>
      </c>
      <c r="Z12082" s="420" t="s">
        <v>2953</v>
      </c>
    </row>
    <row r="12083" spans="1:26" s="420" customFormat="1">
      <c r="A12083" s="275">
        <v>45911</v>
      </c>
      <c r="B12083" s="275">
        <v>45911</v>
      </c>
      <c r="C12083" s="420" t="s">
        <v>173</v>
      </c>
      <c r="D12083" s="420" t="s">
        <v>759</v>
      </c>
      <c r="E12083" s="501">
        <v>-14001309</v>
      </c>
      <c r="F12083" s="95" t="s">
        <v>878</v>
      </c>
      <c r="G12083" s="443">
        <v>119055046</v>
      </c>
      <c r="H12083" s="564"/>
      <c r="I12083" s="523" t="s">
        <v>2956</v>
      </c>
      <c r="J12083" s="43" t="s">
        <v>906</v>
      </c>
      <c r="K12083" s="564"/>
      <c r="L12083" s="538"/>
      <c r="M12083" s="538"/>
      <c r="N12083" s="598">
        <v>140364</v>
      </c>
      <c r="R12083" s="420">
        <v>99.75</v>
      </c>
      <c r="S12083" s="420">
        <v>99.795147117494494</v>
      </c>
      <c r="T12083" s="420">
        <v>16.52</v>
      </c>
      <c r="U12083" s="278">
        <v>39.32</v>
      </c>
      <c r="V12083" s="278">
        <v>10.5</v>
      </c>
      <c r="Z12083" s="420" t="s">
        <v>2953</v>
      </c>
    </row>
    <row r="12084" spans="1:26" s="420" customFormat="1">
      <c r="A12084" s="275">
        <v>45911</v>
      </c>
      <c r="B12084" s="275">
        <v>45912</v>
      </c>
      <c r="C12084" s="420" t="s">
        <v>173</v>
      </c>
      <c r="D12084" s="420" t="s">
        <v>759</v>
      </c>
      <c r="E12084" s="501">
        <v>2410315663.4400001</v>
      </c>
      <c r="F12084" s="95" t="s">
        <v>878</v>
      </c>
      <c r="G12084" s="443">
        <v>119054940</v>
      </c>
      <c r="H12084" s="595">
        <v>119054940</v>
      </c>
      <c r="I12084" s="523" t="s">
        <v>2956</v>
      </c>
      <c r="J12084" s="43" t="s">
        <v>912</v>
      </c>
      <c r="K12084" s="564"/>
      <c r="L12084" s="538"/>
      <c r="M12084" s="538"/>
      <c r="N12084" s="598">
        <v>24152634</v>
      </c>
      <c r="R12084" s="420">
        <v>99.75</v>
      </c>
      <c r="S12084" s="420">
        <v>99.795147123084007</v>
      </c>
      <c r="T12084" s="420">
        <v>16.52</v>
      </c>
      <c r="U12084" s="278">
        <v>3613.84</v>
      </c>
      <c r="V12084" s="278">
        <v>1806.92</v>
      </c>
      <c r="Z12084" s="420" t="s">
        <v>2953</v>
      </c>
    </row>
    <row r="12085" spans="1:26" s="420" customFormat="1">
      <c r="A12085" s="275">
        <v>45911</v>
      </c>
      <c r="B12085" s="275">
        <v>45912</v>
      </c>
      <c r="C12085" s="420" t="s">
        <v>173</v>
      </c>
      <c r="D12085" s="420" t="s">
        <v>759</v>
      </c>
      <c r="E12085" s="501">
        <v>14007646.029999999</v>
      </c>
      <c r="F12085" s="95" t="s">
        <v>878</v>
      </c>
      <c r="G12085" s="443">
        <v>119055046</v>
      </c>
      <c r="H12085" s="595">
        <v>119055046</v>
      </c>
      <c r="I12085" s="523" t="s">
        <v>2956</v>
      </c>
      <c r="J12085" s="43" t="s">
        <v>912</v>
      </c>
      <c r="K12085" s="564"/>
      <c r="L12085" s="538"/>
      <c r="M12085" s="538"/>
      <c r="N12085" s="598">
        <v>140364</v>
      </c>
      <c r="R12085" s="420">
        <v>99.75</v>
      </c>
      <c r="S12085" s="420">
        <v>99.795147117494494</v>
      </c>
      <c r="T12085" s="420">
        <v>16.52</v>
      </c>
      <c r="U12085" s="278">
        <v>39.32</v>
      </c>
      <c r="V12085" s="278">
        <v>10.5</v>
      </c>
      <c r="Z12085" s="420" t="s">
        <v>2953</v>
      </c>
    </row>
    <row r="12086" spans="1:26" s="420" customFormat="1">
      <c r="A12086" s="275">
        <v>45911</v>
      </c>
      <c r="B12086" s="275">
        <v>45911</v>
      </c>
      <c r="C12086" s="420" t="s">
        <v>173</v>
      </c>
      <c r="D12086" s="420" t="s">
        <v>761</v>
      </c>
      <c r="E12086" s="501">
        <v>-443042127.52999997</v>
      </c>
      <c r="F12086" s="95" t="s">
        <v>878</v>
      </c>
      <c r="G12086" s="443">
        <v>119054683</v>
      </c>
      <c r="H12086" s="564"/>
      <c r="I12086" s="523" t="s">
        <v>678</v>
      </c>
      <c r="J12086" s="43" t="s">
        <v>906</v>
      </c>
      <c r="K12086" s="564"/>
      <c r="L12086" s="538"/>
      <c r="M12086" s="538"/>
      <c r="N12086" s="598">
        <v>471352</v>
      </c>
      <c r="R12086" s="420">
        <v>939.9390000042431</v>
      </c>
      <c r="S12086" s="420">
        <v>940.35875358543103</v>
      </c>
      <c r="T12086" s="420">
        <v>16.3</v>
      </c>
      <c r="U12086" s="278">
        <v>664.56</v>
      </c>
      <c r="V12086" s="278">
        <v>332.28</v>
      </c>
      <c r="Z12086" s="420" t="s">
        <v>2953</v>
      </c>
    </row>
    <row r="12087" spans="1:26" s="420" customFormat="1">
      <c r="A12087" s="275">
        <v>45911</v>
      </c>
      <c r="B12087" s="275">
        <v>45911</v>
      </c>
      <c r="C12087" s="420" t="s">
        <v>173</v>
      </c>
      <c r="D12087" s="420" t="s">
        <v>761</v>
      </c>
      <c r="E12087" s="501">
        <v>-956337712.74000001</v>
      </c>
      <c r="F12087" s="95" t="s">
        <v>878</v>
      </c>
      <c r="G12087" s="443">
        <v>119054692</v>
      </c>
      <c r="H12087" s="564"/>
      <c r="I12087" s="523" t="s">
        <v>723</v>
      </c>
      <c r="J12087" s="43" t="s">
        <v>906</v>
      </c>
      <c r="K12087" s="564"/>
      <c r="L12087" s="538"/>
      <c r="M12087" s="538"/>
      <c r="N12087" s="598">
        <v>1609904</v>
      </c>
      <c r="R12087" s="420">
        <v>594.03400000248462</v>
      </c>
      <c r="S12087" s="420">
        <v>594.29928093849105</v>
      </c>
      <c r="T12087" s="420">
        <v>16.3</v>
      </c>
      <c r="U12087" s="278">
        <v>1434.51</v>
      </c>
      <c r="V12087" s="278">
        <v>717.25</v>
      </c>
      <c r="Z12087" s="420" t="s">
        <v>2953</v>
      </c>
    </row>
    <row r="12088" spans="1:26" s="420" customFormat="1">
      <c r="A12088" s="275">
        <v>45911</v>
      </c>
      <c r="B12088" s="275">
        <v>45911</v>
      </c>
      <c r="C12088" s="420" t="s">
        <v>173</v>
      </c>
      <c r="D12088" s="420" t="s">
        <v>761</v>
      </c>
      <c r="E12088" s="501">
        <v>-8004143.4000000004</v>
      </c>
      <c r="F12088" s="95" t="s">
        <v>878</v>
      </c>
      <c r="G12088" s="443">
        <v>119054815</v>
      </c>
      <c r="H12088" s="564"/>
      <c r="I12088" s="523" t="s">
        <v>829</v>
      </c>
      <c r="J12088" s="43" t="s">
        <v>906</v>
      </c>
      <c r="K12088" s="564"/>
      <c r="L12088" s="538"/>
      <c r="M12088" s="538"/>
      <c r="N12088" s="598">
        <v>7400</v>
      </c>
      <c r="R12088" s="420">
        <v>1081.6410000000001</v>
      </c>
      <c r="S12088" s="420">
        <v>1082.1240337837801</v>
      </c>
      <c r="T12088" s="420">
        <v>16.3</v>
      </c>
      <c r="U12088" s="278">
        <v>39.32</v>
      </c>
      <c r="V12088" s="278">
        <v>6</v>
      </c>
      <c r="Z12088" s="420" t="s">
        <v>2953</v>
      </c>
    </row>
    <row r="12089" spans="1:26" s="420" customFormat="1">
      <c r="A12089" s="275">
        <v>45911</v>
      </c>
      <c r="B12089" s="275">
        <v>45912</v>
      </c>
      <c r="C12089" s="420" t="s">
        <v>173</v>
      </c>
      <c r="D12089" s="420" t="s">
        <v>761</v>
      </c>
      <c r="E12089" s="501">
        <v>443239979.22000003</v>
      </c>
      <c r="F12089" s="95" t="s">
        <v>878</v>
      </c>
      <c r="G12089" s="443">
        <v>119054683</v>
      </c>
      <c r="H12089" s="595">
        <v>119054683</v>
      </c>
      <c r="I12089" s="523" t="s">
        <v>678</v>
      </c>
      <c r="J12089" s="43" t="s">
        <v>912</v>
      </c>
      <c r="K12089" s="564"/>
      <c r="L12089" s="538"/>
      <c r="M12089" s="538"/>
      <c r="N12089" s="598">
        <v>471352</v>
      </c>
      <c r="R12089" s="420">
        <v>939.9390000042431</v>
      </c>
      <c r="S12089" s="420">
        <v>940.35875358543103</v>
      </c>
      <c r="T12089" s="420">
        <v>16.3</v>
      </c>
      <c r="U12089" s="278">
        <v>664.56</v>
      </c>
      <c r="V12089" s="278">
        <v>332.28</v>
      </c>
      <c r="Z12089" s="420" t="s">
        <v>2953</v>
      </c>
    </row>
    <row r="12090" spans="1:26" s="420" customFormat="1">
      <c r="A12090" s="275">
        <v>45911</v>
      </c>
      <c r="B12090" s="275">
        <v>45912</v>
      </c>
      <c r="C12090" s="420" t="s">
        <v>173</v>
      </c>
      <c r="D12090" s="420" t="s">
        <v>761</v>
      </c>
      <c r="E12090" s="501">
        <v>956764789.58000004</v>
      </c>
      <c r="F12090" s="95" t="s">
        <v>878</v>
      </c>
      <c r="G12090" s="443">
        <v>119054692</v>
      </c>
      <c r="H12090" s="595">
        <v>119054692</v>
      </c>
      <c r="I12090" s="523" t="s">
        <v>723</v>
      </c>
      <c r="J12090" s="43" t="s">
        <v>912</v>
      </c>
      <c r="K12090" s="564"/>
      <c r="L12090" s="538"/>
      <c r="M12090" s="538"/>
      <c r="N12090" s="598">
        <v>1609904</v>
      </c>
      <c r="R12090" s="420">
        <v>594.03400000248462</v>
      </c>
      <c r="S12090" s="420">
        <v>594.29928093849105</v>
      </c>
      <c r="T12090" s="420">
        <v>16.3</v>
      </c>
      <c r="U12090" s="278">
        <v>1434.51</v>
      </c>
      <c r="V12090" s="278">
        <v>717.25</v>
      </c>
      <c r="Z12090" s="420" t="s">
        <v>2953</v>
      </c>
    </row>
    <row r="12091" spans="1:26" s="420" customFormat="1">
      <c r="A12091" s="275">
        <v>45911</v>
      </c>
      <c r="B12091" s="275">
        <v>45912</v>
      </c>
      <c r="C12091" s="420" t="s">
        <v>173</v>
      </c>
      <c r="D12091" s="420" t="s">
        <v>761</v>
      </c>
      <c r="E12091" s="501">
        <v>8007717.8499999996</v>
      </c>
      <c r="F12091" s="95" t="s">
        <v>878</v>
      </c>
      <c r="G12091" s="443">
        <v>119054815</v>
      </c>
      <c r="H12091" s="595">
        <v>119054815</v>
      </c>
      <c r="I12091" s="523" t="s">
        <v>829</v>
      </c>
      <c r="J12091" s="43" t="s">
        <v>912</v>
      </c>
      <c r="K12091" s="564"/>
      <c r="L12091" s="538"/>
      <c r="M12091" s="538"/>
      <c r="N12091" s="598">
        <v>7400</v>
      </c>
      <c r="R12091" s="420">
        <v>1081.6410000000001</v>
      </c>
      <c r="S12091" s="420">
        <v>1082.1240337837801</v>
      </c>
      <c r="T12091" s="420">
        <v>16.3</v>
      </c>
      <c r="U12091" s="278">
        <v>39.32</v>
      </c>
      <c r="V12091" s="278">
        <v>6</v>
      </c>
      <c r="Z12091" s="420" t="s">
        <v>2953</v>
      </c>
    </row>
    <row r="12092" spans="1:26" s="420" customFormat="1">
      <c r="A12092" s="275">
        <v>45912</v>
      </c>
      <c r="B12092" s="275">
        <v>45912</v>
      </c>
      <c r="C12092" s="420" t="s">
        <v>173</v>
      </c>
      <c r="D12092" s="420" t="s">
        <v>762</v>
      </c>
      <c r="E12092" s="501">
        <v>-3469556438.4000001</v>
      </c>
      <c r="F12092" s="95" t="s">
        <v>878</v>
      </c>
      <c r="G12092" s="443">
        <v>119088759</v>
      </c>
      <c r="H12092" s="595"/>
      <c r="I12092" s="523" t="s">
        <v>706</v>
      </c>
      <c r="J12092" s="43" t="s">
        <v>906</v>
      </c>
      <c r="K12092" s="564"/>
      <c r="L12092" s="591"/>
      <c r="M12092" s="591"/>
      <c r="N12092" s="598">
        <v>4508400</v>
      </c>
      <c r="R12092" s="420">
        <v>769.57600000000002</v>
      </c>
      <c r="S12092" s="420">
        <v>770.55641874057301</v>
      </c>
      <c r="T12092" s="420">
        <v>15.5</v>
      </c>
      <c r="U12092" s="278">
        <v>15613</v>
      </c>
      <c r="V12092" s="278">
        <v>7806.5</v>
      </c>
      <c r="Z12092" s="420" t="s">
        <v>2953</v>
      </c>
    </row>
    <row r="12093" spans="1:26" s="420" customFormat="1">
      <c r="A12093" s="275">
        <v>45912</v>
      </c>
      <c r="B12093" s="275">
        <v>45912</v>
      </c>
      <c r="C12093" s="420" t="s">
        <v>173</v>
      </c>
      <c r="D12093" s="420" t="s">
        <v>762</v>
      </c>
      <c r="E12093" s="501">
        <v>-19008527.199999999</v>
      </c>
      <c r="F12093" s="95" t="s">
        <v>878</v>
      </c>
      <c r="G12093" s="443">
        <v>119088810</v>
      </c>
      <c r="H12093" s="595"/>
      <c r="I12093" s="523" t="s">
        <v>706</v>
      </c>
      <c r="J12093" s="43" t="s">
        <v>906</v>
      </c>
      <c r="K12093" s="564"/>
      <c r="L12093" s="591"/>
      <c r="M12093" s="591"/>
      <c r="N12093" s="598">
        <v>24700</v>
      </c>
      <c r="R12093" s="420">
        <v>769.57600000000002</v>
      </c>
      <c r="S12093" s="420">
        <v>770.55641862348205</v>
      </c>
      <c r="T12093" s="420">
        <v>15.5</v>
      </c>
      <c r="U12093" s="278">
        <v>85.54</v>
      </c>
      <c r="V12093" s="278">
        <v>42.77</v>
      </c>
      <c r="Z12093" s="420" t="s">
        <v>2953</v>
      </c>
    </row>
    <row r="12094" spans="1:26" s="420" customFormat="1">
      <c r="A12094" s="275">
        <v>45912</v>
      </c>
      <c r="B12094" s="275">
        <v>45915</v>
      </c>
      <c r="C12094" s="420" t="s">
        <v>173</v>
      </c>
      <c r="D12094" s="420" t="s">
        <v>762</v>
      </c>
      <c r="E12094" s="501">
        <v>3473976558.25</v>
      </c>
      <c r="F12094" s="95" t="s">
        <v>878</v>
      </c>
      <c r="G12094" s="443">
        <v>119088759</v>
      </c>
      <c r="H12094" s="595">
        <v>119088759</v>
      </c>
      <c r="I12094" s="523" t="s">
        <v>706</v>
      </c>
      <c r="J12094" s="43" t="s">
        <v>912</v>
      </c>
      <c r="K12094" s="564"/>
      <c r="L12094" s="591"/>
      <c r="M12094" s="591"/>
      <c r="N12094" s="598">
        <v>4508400</v>
      </c>
      <c r="R12094" s="420">
        <v>769.57600000000002</v>
      </c>
      <c r="S12094" s="420">
        <v>770.55641874057301</v>
      </c>
      <c r="T12094" s="420">
        <v>15.5</v>
      </c>
      <c r="U12094" s="278">
        <v>15613</v>
      </c>
      <c r="V12094" s="278">
        <v>7806.5</v>
      </c>
      <c r="Z12094" s="420" t="s">
        <v>2953</v>
      </c>
    </row>
    <row r="12095" spans="1:26" s="420" customFormat="1">
      <c r="A12095" s="275">
        <v>45912</v>
      </c>
      <c r="B12095" s="275">
        <v>45915</v>
      </c>
      <c r="C12095" s="420" t="s">
        <v>173</v>
      </c>
      <c r="D12095" s="420" t="s">
        <v>762</v>
      </c>
      <c r="E12095" s="501">
        <v>19032743.539999999</v>
      </c>
      <c r="F12095" s="95" t="s">
        <v>878</v>
      </c>
      <c r="G12095" s="443">
        <v>119088810</v>
      </c>
      <c r="H12095" s="595">
        <v>119088810</v>
      </c>
      <c r="I12095" s="523" t="s">
        <v>706</v>
      </c>
      <c r="J12095" s="43" t="s">
        <v>912</v>
      </c>
      <c r="K12095" s="564"/>
      <c r="L12095" s="591"/>
      <c r="M12095" s="591"/>
      <c r="N12095" s="598">
        <v>24700</v>
      </c>
      <c r="R12095" s="420">
        <v>769.57600000000002</v>
      </c>
      <c r="S12095" s="420">
        <v>770.55641862348205</v>
      </c>
      <c r="T12095" s="420">
        <v>15.5</v>
      </c>
      <c r="U12095" s="278">
        <v>85.54</v>
      </c>
      <c r="V12095" s="278">
        <v>42.77</v>
      </c>
      <c r="Z12095" s="420" t="s">
        <v>2953</v>
      </c>
    </row>
    <row r="12096" spans="1:26" s="420" customFormat="1" ht="15">
      <c r="A12096" s="275">
        <v>45912</v>
      </c>
      <c r="B12096" s="275">
        <v>45912</v>
      </c>
      <c r="C12096" s="420" t="s">
        <v>173</v>
      </c>
      <c r="D12096" s="420" t="s">
        <v>764</v>
      </c>
      <c r="E12096" s="501">
        <v>-4858350840.5900002</v>
      </c>
      <c r="F12096" s="95" t="s">
        <v>878</v>
      </c>
      <c r="G12096" s="443">
        <v>119081385</v>
      </c>
      <c r="H12096" s="595"/>
      <c r="I12096" s="523" t="s">
        <v>2856</v>
      </c>
      <c r="J12096" s="43" t="s">
        <v>906</v>
      </c>
      <c r="K12096" s="564"/>
      <c r="L12096" s="591"/>
      <c r="M12096" s="591"/>
      <c r="N12096" s="598">
        <v>8667960</v>
      </c>
      <c r="R12096" s="592">
        <v>560.49530000023071</v>
      </c>
      <c r="S12096" s="592">
        <v>562.24204905191095</v>
      </c>
      <c r="T12096" s="420">
        <v>16.25</v>
      </c>
      <c r="U12096" s="616">
        <v>51012.68</v>
      </c>
      <c r="V12096" s="616">
        <v>25506.34</v>
      </c>
      <c r="Z12096" s="420" t="s">
        <v>2961</v>
      </c>
    </row>
    <row r="12097" spans="1:26" s="420" customFormat="1" ht="15">
      <c r="A12097" s="275">
        <v>45912</v>
      </c>
      <c r="B12097" s="275">
        <v>45912</v>
      </c>
      <c r="C12097" s="420" t="s">
        <v>173</v>
      </c>
      <c r="D12097" s="420" t="s">
        <v>764</v>
      </c>
      <c r="E12097" s="501">
        <v>-27013707.940000001</v>
      </c>
      <c r="F12097" s="95" t="s">
        <v>878</v>
      </c>
      <c r="G12097" s="443">
        <v>119081798</v>
      </c>
      <c r="H12097" s="595"/>
      <c r="I12097" s="523" t="s">
        <v>550</v>
      </c>
      <c r="J12097" s="43" t="s">
        <v>906</v>
      </c>
      <c r="K12097" s="564"/>
      <c r="L12097" s="591"/>
      <c r="M12097" s="591"/>
      <c r="N12097" s="598">
        <v>48654</v>
      </c>
      <c r="R12097" s="592">
        <v>555.22070004521731</v>
      </c>
      <c r="S12097" s="592">
        <v>556.95101122209905</v>
      </c>
      <c r="T12097" s="420">
        <v>16.25</v>
      </c>
      <c r="U12097" s="616">
        <v>283.64</v>
      </c>
      <c r="V12097" s="616">
        <v>141.82</v>
      </c>
      <c r="Z12097" s="420" t="s">
        <v>2961</v>
      </c>
    </row>
    <row r="12098" spans="1:26" s="420" customFormat="1" ht="15">
      <c r="A12098" s="275">
        <v>45912</v>
      </c>
      <c r="B12098" s="275">
        <v>45919</v>
      </c>
      <c r="C12098" s="420" t="s">
        <v>173</v>
      </c>
      <c r="D12098" s="420" t="s">
        <v>764</v>
      </c>
      <c r="E12098" s="501">
        <v>4873491591.5</v>
      </c>
      <c r="F12098" s="95" t="s">
        <v>878</v>
      </c>
      <c r="G12098" s="443">
        <v>119081385</v>
      </c>
      <c r="H12098" s="595">
        <v>119081385</v>
      </c>
      <c r="I12098" s="523" t="s">
        <v>2856</v>
      </c>
      <c r="J12098" s="43" t="s">
        <v>912</v>
      </c>
      <c r="K12098" s="564"/>
      <c r="L12098" s="591"/>
      <c r="M12098" s="591"/>
      <c r="N12098" s="598">
        <v>8667960</v>
      </c>
      <c r="R12098" s="592">
        <v>560.49530000023071</v>
      </c>
      <c r="S12098" s="592">
        <v>562.24204905191095</v>
      </c>
      <c r="T12098" s="420">
        <v>16.25</v>
      </c>
      <c r="U12098" s="616">
        <v>51012.68</v>
      </c>
      <c r="V12098" s="616">
        <v>25506.34</v>
      </c>
      <c r="Z12098" s="420" t="s">
        <v>2961</v>
      </c>
    </row>
    <row r="12099" spans="1:26" s="420" customFormat="1" ht="15">
      <c r="A12099" s="275">
        <v>45912</v>
      </c>
      <c r="B12099" s="275">
        <v>45919</v>
      </c>
      <c r="C12099" s="420" t="s">
        <v>173</v>
      </c>
      <c r="D12099" s="420" t="s">
        <v>764</v>
      </c>
      <c r="E12099" s="501">
        <v>27097894.5</v>
      </c>
      <c r="F12099" s="95" t="s">
        <v>878</v>
      </c>
      <c r="G12099" s="443">
        <v>119081798</v>
      </c>
      <c r="H12099" s="595">
        <v>119081798</v>
      </c>
      <c r="I12099" s="523" t="s">
        <v>550</v>
      </c>
      <c r="J12099" s="43" t="s">
        <v>912</v>
      </c>
      <c r="K12099" s="564"/>
      <c r="L12099" s="591"/>
      <c r="M12099" s="591"/>
      <c r="N12099" s="598">
        <v>48654</v>
      </c>
      <c r="R12099" s="592">
        <v>555.22070004521731</v>
      </c>
      <c r="S12099" s="592">
        <v>556.95101122209905</v>
      </c>
      <c r="T12099" s="420">
        <v>16.25</v>
      </c>
      <c r="U12099" s="616">
        <v>283.64</v>
      </c>
      <c r="V12099" s="616">
        <v>141.82</v>
      </c>
      <c r="Z12099" s="420" t="s">
        <v>2961</v>
      </c>
    </row>
    <row r="12100" spans="1:26" s="420" customFormat="1">
      <c r="A12100" s="275">
        <v>45912</v>
      </c>
      <c r="B12100" s="275">
        <v>45912</v>
      </c>
      <c r="C12100" s="420" t="s">
        <v>173</v>
      </c>
      <c r="D12100" s="420" t="s">
        <v>760</v>
      </c>
      <c r="E12100" s="501">
        <v>-1300201507.8</v>
      </c>
      <c r="F12100" s="95" t="s">
        <v>878</v>
      </c>
      <c r="G12100" s="443">
        <v>119083363</v>
      </c>
      <c r="H12100" s="595"/>
      <c r="I12100" s="523" t="s">
        <v>699</v>
      </c>
      <c r="J12100" s="43" t="s">
        <v>906</v>
      </c>
      <c r="K12100" s="564"/>
      <c r="L12100" s="591"/>
      <c r="M12100" s="591"/>
      <c r="N12100" s="598">
        <v>1431300</v>
      </c>
      <c r="R12100" s="420">
        <v>908.40599999999995</v>
      </c>
      <c r="S12100" s="420">
        <v>909.57821705442598</v>
      </c>
      <c r="T12100" s="420">
        <v>15.7</v>
      </c>
      <c r="U12100" s="278">
        <v>5850.91</v>
      </c>
      <c r="V12100" s="278">
        <v>2925.45</v>
      </c>
      <c r="Z12100" s="420" t="s">
        <v>2953</v>
      </c>
    </row>
    <row r="12101" spans="1:26" s="420" customFormat="1">
      <c r="A12101" s="275">
        <v>45912</v>
      </c>
      <c r="B12101" s="275">
        <v>45912</v>
      </c>
      <c r="C12101" s="420" t="s">
        <v>173</v>
      </c>
      <c r="D12101" s="420" t="s">
        <v>760</v>
      </c>
      <c r="E12101" s="501">
        <v>-728112844.37</v>
      </c>
      <c r="F12101" s="95" t="s">
        <v>878</v>
      </c>
      <c r="G12101" s="443">
        <v>119083420</v>
      </c>
      <c r="H12101" s="595"/>
      <c r="I12101" s="523" t="s">
        <v>699</v>
      </c>
      <c r="J12101" s="43" t="s">
        <v>906</v>
      </c>
      <c r="K12101" s="564"/>
      <c r="L12101" s="591"/>
      <c r="M12101" s="591"/>
      <c r="N12101" s="598">
        <v>801528</v>
      </c>
      <c r="R12101" s="420">
        <v>908.40599999999995</v>
      </c>
      <c r="S12101" s="420">
        <v>909.57821705542403</v>
      </c>
      <c r="T12101" s="420">
        <v>15.7</v>
      </c>
      <c r="U12101" s="278">
        <v>3276.51</v>
      </c>
      <c r="V12101" s="278">
        <v>1638.25</v>
      </c>
      <c r="Z12101" s="420" t="s">
        <v>2953</v>
      </c>
    </row>
    <row r="12102" spans="1:26" s="420" customFormat="1" ht="15">
      <c r="A12102" s="275">
        <v>45912</v>
      </c>
      <c r="B12102" s="275">
        <v>45912</v>
      </c>
      <c r="C12102" s="420" t="s">
        <v>173</v>
      </c>
      <c r="D12102" s="420" t="s">
        <v>760</v>
      </c>
      <c r="E12102" s="501">
        <v>-4000620.02</v>
      </c>
      <c r="F12102" s="95" t="s">
        <v>878</v>
      </c>
      <c r="G12102" s="443">
        <v>119083473</v>
      </c>
      <c r="H12102" s="609"/>
      <c r="I12102" s="523" t="s">
        <v>699</v>
      </c>
      <c r="J12102" s="43" t="s">
        <v>906</v>
      </c>
      <c r="K12102" s="564"/>
      <c r="L12102" s="591"/>
      <c r="M12102" s="591"/>
      <c r="N12102" s="598">
        <v>4404</v>
      </c>
      <c r="R12102" s="420">
        <v>908.40599999999995</v>
      </c>
      <c r="S12102" s="420">
        <v>909.57821525885595</v>
      </c>
      <c r="T12102" s="420">
        <v>15.7</v>
      </c>
      <c r="U12102" s="278">
        <v>39.32</v>
      </c>
      <c r="V12102" s="278">
        <v>9</v>
      </c>
      <c r="Z12102" s="420" t="s">
        <v>2953</v>
      </c>
    </row>
    <row r="12103" spans="1:26" s="420" customFormat="1" ht="15">
      <c r="A12103" s="275">
        <v>45912</v>
      </c>
      <c r="B12103" s="275">
        <v>45915</v>
      </c>
      <c r="C12103" s="420" t="s">
        <v>173</v>
      </c>
      <c r="D12103" s="420" t="s">
        <v>760</v>
      </c>
      <c r="E12103" s="501">
        <v>1301879302.0699999</v>
      </c>
      <c r="F12103" s="95" t="s">
        <v>878</v>
      </c>
      <c r="G12103" s="443">
        <v>119083363</v>
      </c>
      <c r="H12103" s="609">
        <v>119083363</v>
      </c>
      <c r="I12103" s="523" t="s">
        <v>699</v>
      </c>
      <c r="J12103" s="43" t="s">
        <v>912</v>
      </c>
      <c r="K12103" s="564"/>
      <c r="L12103" s="591"/>
      <c r="M12103" s="591"/>
      <c r="N12103" s="598">
        <v>1431300</v>
      </c>
      <c r="R12103" s="420">
        <v>908.40599999999995</v>
      </c>
      <c r="S12103" s="420">
        <v>909.57821705442598</v>
      </c>
      <c r="T12103" s="420">
        <v>15.7</v>
      </c>
      <c r="U12103" s="278">
        <v>5850.91</v>
      </c>
      <c r="V12103" s="278">
        <v>2925.45</v>
      </c>
      <c r="Z12103" s="420" t="s">
        <v>2953</v>
      </c>
    </row>
    <row r="12104" spans="1:26" s="420" customFormat="1" ht="15">
      <c r="A12104" s="275">
        <v>45912</v>
      </c>
      <c r="B12104" s="275">
        <v>45915</v>
      </c>
      <c r="C12104" s="420" t="s">
        <v>173</v>
      </c>
      <c r="D12104" s="420" t="s">
        <v>760</v>
      </c>
      <c r="E12104" s="501">
        <v>729052409.15999997</v>
      </c>
      <c r="F12104" s="95" t="s">
        <v>878</v>
      </c>
      <c r="G12104" s="443">
        <v>119083420</v>
      </c>
      <c r="H12104" s="609">
        <v>119083420</v>
      </c>
      <c r="I12104" s="523" t="s">
        <v>699</v>
      </c>
      <c r="J12104" s="43" t="s">
        <v>912</v>
      </c>
      <c r="K12104" s="564"/>
      <c r="L12104" s="591"/>
      <c r="M12104" s="591"/>
      <c r="N12104" s="598">
        <v>801528</v>
      </c>
      <c r="R12104" s="420">
        <v>908.40599999999995</v>
      </c>
      <c r="S12104" s="420">
        <v>909.57821705542403</v>
      </c>
      <c r="T12104" s="420">
        <v>15.7</v>
      </c>
      <c r="U12104" s="278">
        <v>3276.51</v>
      </c>
      <c r="V12104" s="278">
        <v>1638.25</v>
      </c>
      <c r="Z12104" s="420" t="s">
        <v>2953</v>
      </c>
    </row>
    <row r="12105" spans="1:26" s="420" customFormat="1" ht="15">
      <c r="A12105" s="275">
        <v>45912</v>
      </c>
      <c r="B12105" s="275">
        <v>45915</v>
      </c>
      <c r="C12105" s="420" t="s">
        <v>173</v>
      </c>
      <c r="D12105" s="420" t="s">
        <v>760</v>
      </c>
      <c r="E12105" s="501">
        <v>4005782.46</v>
      </c>
      <c r="F12105" s="95" t="s">
        <v>878</v>
      </c>
      <c r="G12105" s="443">
        <v>119083473</v>
      </c>
      <c r="H12105" s="609">
        <v>119083473</v>
      </c>
      <c r="I12105" s="523" t="s">
        <v>699</v>
      </c>
      <c r="J12105" s="43" t="s">
        <v>912</v>
      </c>
      <c r="K12105" s="564"/>
      <c r="L12105" s="591"/>
      <c r="M12105" s="591"/>
      <c r="N12105" s="598">
        <v>4404</v>
      </c>
      <c r="R12105" s="420">
        <v>908.40599999999995</v>
      </c>
      <c r="S12105" s="420">
        <v>909.57821525885595</v>
      </c>
      <c r="T12105" s="420">
        <v>15.7</v>
      </c>
      <c r="U12105" s="278">
        <v>39.32</v>
      </c>
      <c r="V12105" s="278">
        <v>9</v>
      </c>
      <c r="Z12105" s="420" t="s">
        <v>2953</v>
      </c>
    </row>
    <row r="12106" spans="1:26" s="420" customFormat="1" ht="15">
      <c r="A12106" s="275">
        <v>45912</v>
      </c>
      <c r="B12106" s="275">
        <v>45912</v>
      </c>
      <c r="C12106" s="420" t="s">
        <v>173</v>
      </c>
      <c r="D12106" s="420" t="s">
        <v>763</v>
      </c>
      <c r="E12106" s="501">
        <v>-1818664311.74</v>
      </c>
      <c r="F12106" s="95" t="s">
        <v>878</v>
      </c>
      <c r="G12106" s="443">
        <v>119079394</v>
      </c>
      <c r="H12106" s="609"/>
      <c r="I12106" s="523" t="s">
        <v>816</v>
      </c>
      <c r="J12106" s="43" t="s">
        <v>906</v>
      </c>
      <c r="K12106" s="564"/>
      <c r="L12106" s="591"/>
      <c r="M12106" s="591"/>
      <c r="N12106" s="598">
        <v>1730736</v>
      </c>
      <c r="R12106" s="420">
        <v>1050.8040000000001</v>
      </c>
      <c r="S12106" s="420">
        <v>1052.1988429835601</v>
      </c>
      <c r="T12106" s="420">
        <v>16.149999999999999</v>
      </c>
      <c r="U12106" s="278">
        <v>8183.99</v>
      </c>
      <c r="V12106" s="278">
        <v>4091.99</v>
      </c>
      <c r="Z12106" s="420" t="s">
        <v>2953</v>
      </c>
    </row>
    <row r="12107" spans="1:26" s="420" customFormat="1" ht="15">
      <c r="A12107" s="275">
        <v>45912</v>
      </c>
      <c r="B12107" s="275">
        <v>45912</v>
      </c>
      <c r="C12107" s="420" t="s">
        <v>173</v>
      </c>
      <c r="D12107" s="420" t="s">
        <v>763</v>
      </c>
      <c r="E12107" s="501">
        <v>-258005584.31</v>
      </c>
      <c r="F12107" s="95" t="s">
        <v>878</v>
      </c>
      <c r="G12107" s="443">
        <v>119079397</v>
      </c>
      <c r="H12107" s="609"/>
      <c r="I12107" s="523" t="s">
        <v>2956</v>
      </c>
      <c r="J12107" s="43" t="s">
        <v>906</v>
      </c>
      <c r="K12107" s="564"/>
      <c r="L12107" s="591"/>
      <c r="M12107" s="591"/>
      <c r="N12107" s="598">
        <v>2585418</v>
      </c>
      <c r="R12107" s="420">
        <v>99.792599999999993</v>
      </c>
      <c r="S12107" s="420">
        <v>99.925064426719402</v>
      </c>
      <c r="T12107" s="420">
        <v>16.149999999999999</v>
      </c>
      <c r="U12107" s="278">
        <v>1161.03</v>
      </c>
      <c r="V12107" s="278">
        <v>580.51</v>
      </c>
      <c r="Z12107" s="420" t="s">
        <v>2953</v>
      </c>
    </row>
    <row r="12108" spans="1:26" s="420" customFormat="1" ht="15">
      <c r="A12108" s="275">
        <v>45912</v>
      </c>
      <c r="B12108" s="275">
        <v>45912</v>
      </c>
      <c r="C12108" s="420" t="s">
        <v>173</v>
      </c>
      <c r="D12108" s="420" t="s">
        <v>763</v>
      </c>
      <c r="E12108" s="501">
        <v>-12000259.74</v>
      </c>
      <c r="F12108" s="95" t="s">
        <v>878</v>
      </c>
      <c r="G12108" s="443">
        <v>119079448</v>
      </c>
      <c r="H12108" s="609"/>
      <c r="I12108" s="523" t="s">
        <v>2956</v>
      </c>
      <c r="J12108" s="43" t="s">
        <v>906</v>
      </c>
      <c r="K12108" s="564"/>
      <c r="L12108" s="591"/>
      <c r="M12108" s="591"/>
      <c r="N12108" s="598">
        <v>120252</v>
      </c>
      <c r="R12108" s="420">
        <v>99.792599999999993</v>
      </c>
      <c r="S12108" s="420">
        <v>99.925064447992497</v>
      </c>
      <c r="T12108" s="420">
        <v>16.149999999999999</v>
      </c>
      <c r="U12108" s="278">
        <v>54</v>
      </c>
      <c r="V12108" s="278">
        <v>39.32</v>
      </c>
      <c r="Z12108" s="420" t="s">
        <v>2953</v>
      </c>
    </row>
    <row r="12109" spans="1:26" s="420" customFormat="1" ht="15">
      <c r="A12109" s="275">
        <v>45912</v>
      </c>
      <c r="B12109" s="275">
        <v>45915</v>
      </c>
      <c r="C12109" s="420" t="s">
        <v>173</v>
      </c>
      <c r="D12109" s="420" t="s">
        <v>763</v>
      </c>
      <c r="E12109" s="501">
        <v>1821078416.71</v>
      </c>
      <c r="F12109" s="95" t="s">
        <v>878</v>
      </c>
      <c r="G12109" s="443">
        <v>119079394</v>
      </c>
      <c r="H12109" s="609">
        <v>119079394</v>
      </c>
      <c r="I12109" s="523" t="s">
        <v>816</v>
      </c>
      <c r="J12109" s="43" t="s">
        <v>912</v>
      </c>
      <c r="K12109" s="564"/>
      <c r="L12109" s="591"/>
      <c r="M12109" s="591"/>
      <c r="N12109" s="598">
        <v>1730736</v>
      </c>
      <c r="R12109" s="420">
        <v>1050.8040000000001</v>
      </c>
      <c r="S12109" s="420">
        <v>1052.1988429835601</v>
      </c>
      <c r="T12109" s="420">
        <v>16.149999999999999</v>
      </c>
      <c r="U12109" s="278">
        <v>8183.99</v>
      </c>
      <c r="V12109" s="278">
        <v>4091.99</v>
      </c>
      <c r="Z12109" s="420" t="s">
        <v>2953</v>
      </c>
    </row>
    <row r="12110" spans="1:26" s="420" customFormat="1" ht="15">
      <c r="A12110" s="275">
        <v>45912</v>
      </c>
      <c r="B12110" s="275">
        <v>45915</v>
      </c>
      <c r="C12110" s="420" t="s">
        <v>173</v>
      </c>
      <c r="D12110" s="420" t="s">
        <v>763</v>
      </c>
      <c r="E12110" s="501">
        <v>258348060.22</v>
      </c>
      <c r="F12110" s="95" t="s">
        <v>878</v>
      </c>
      <c r="G12110" s="443">
        <v>119079397</v>
      </c>
      <c r="H12110" s="609">
        <v>119079397</v>
      </c>
      <c r="I12110" s="523" t="s">
        <v>2956</v>
      </c>
      <c r="J12110" s="43" t="s">
        <v>912</v>
      </c>
      <c r="K12110" s="564"/>
      <c r="L12110" s="591"/>
      <c r="M12110" s="591"/>
      <c r="N12110" s="598">
        <v>2585418</v>
      </c>
      <c r="R12110" s="420">
        <v>99.792599999999993</v>
      </c>
      <c r="S12110" s="420">
        <v>99.925064426719402</v>
      </c>
      <c r="T12110" s="420">
        <v>16.149999999999999</v>
      </c>
      <c r="U12110" s="278">
        <v>1161.03</v>
      </c>
      <c r="V12110" s="278">
        <v>580.51</v>
      </c>
      <c r="Z12110" s="420" t="s">
        <v>2953</v>
      </c>
    </row>
    <row r="12111" spans="1:26" s="420" customFormat="1" ht="15">
      <c r="A12111" s="275">
        <v>45912</v>
      </c>
      <c r="B12111" s="275">
        <v>45915</v>
      </c>
      <c r="C12111" s="420" t="s">
        <v>173</v>
      </c>
      <c r="D12111" s="420" t="s">
        <v>763</v>
      </c>
      <c r="E12111" s="501">
        <v>12016188.85</v>
      </c>
      <c r="F12111" s="95" t="s">
        <v>878</v>
      </c>
      <c r="G12111" s="443">
        <v>119079448</v>
      </c>
      <c r="H12111" s="609">
        <v>119079448</v>
      </c>
      <c r="I12111" s="278" t="s">
        <v>2956</v>
      </c>
      <c r="J12111" s="43" t="s">
        <v>912</v>
      </c>
      <c r="K12111" s="564"/>
      <c r="L12111" s="591"/>
      <c r="M12111" s="591"/>
      <c r="N12111" s="598">
        <v>120252</v>
      </c>
      <c r="R12111" s="420">
        <v>99.792599999999993</v>
      </c>
      <c r="S12111" s="420">
        <v>99.925064447992497</v>
      </c>
      <c r="T12111" s="420">
        <v>16.149999999999999</v>
      </c>
      <c r="U12111" s="278">
        <v>54</v>
      </c>
      <c r="V12111" s="278">
        <v>39.32</v>
      </c>
      <c r="Z12111" s="420" t="s">
        <v>2953</v>
      </c>
    </row>
    <row r="12112" spans="1:26" s="420" customFormat="1">
      <c r="A12112" s="275">
        <v>45912</v>
      </c>
      <c r="B12112" s="275">
        <v>45912</v>
      </c>
      <c r="C12112" s="420" t="s">
        <v>173</v>
      </c>
      <c r="D12112" s="420" t="s">
        <v>761</v>
      </c>
      <c r="E12112" s="501">
        <v>-214144560.84999999</v>
      </c>
      <c r="F12112" s="95" t="s">
        <v>878</v>
      </c>
      <c r="G12112" s="443">
        <v>119080629</v>
      </c>
      <c r="H12112" s="564"/>
      <c r="I12112" s="278" t="s">
        <v>592</v>
      </c>
      <c r="J12112" s="43" t="s">
        <v>906</v>
      </c>
      <c r="K12112" s="564"/>
      <c r="L12112" s="591"/>
      <c r="M12112" s="591"/>
      <c r="N12112" s="598">
        <v>270924</v>
      </c>
      <c r="R12112" s="420">
        <v>790.42299999261786</v>
      </c>
      <c r="S12112" s="420">
        <v>791.47155563922001</v>
      </c>
      <c r="T12112" s="593">
        <v>16.14</v>
      </c>
      <c r="U12112" s="278">
        <v>963.65</v>
      </c>
      <c r="V12112" s="278">
        <v>481.83</v>
      </c>
      <c r="Z12112" s="420" t="s">
        <v>2953</v>
      </c>
    </row>
    <row r="12113" spans="1:26" s="420" customFormat="1">
      <c r="A12113" s="275">
        <v>45912</v>
      </c>
      <c r="B12113" s="275">
        <v>45912</v>
      </c>
      <c r="C12113" s="420" t="s">
        <v>173</v>
      </c>
      <c r="D12113" s="420" t="s">
        <v>761</v>
      </c>
      <c r="E12113" s="501">
        <v>-225114762.59999999</v>
      </c>
      <c r="F12113" s="95" t="s">
        <v>878</v>
      </c>
      <c r="G12113" s="443">
        <v>119080632</v>
      </c>
      <c r="H12113" s="564"/>
      <c r="I12113" s="278" t="s">
        <v>678</v>
      </c>
      <c r="J12113" s="43" t="s">
        <v>906</v>
      </c>
      <c r="K12113" s="564"/>
      <c r="L12113" s="591"/>
      <c r="M12113" s="591"/>
      <c r="N12113" s="598">
        <v>239400</v>
      </c>
      <c r="R12113" s="420">
        <v>940.32899999999995</v>
      </c>
      <c r="S12113" s="420">
        <v>941.57641725146198</v>
      </c>
      <c r="T12113" s="593">
        <v>16.14</v>
      </c>
      <c r="U12113" s="278">
        <v>1013.02</v>
      </c>
      <c r="V12113" s="278">
        <v>506.51</v>
      </c>
      <c r="Z12113" s="420" t="s">
        <v>2953</v>
      </c>
    </row>
    <row r="12114" spans="1:26" s="420" customFormat="1">
      <c r="A12114" s="275">
        <v>45912</v>
      </c>
      <c r="B12114" s="275">
        <v>45912</v>
      </c>
      <c r="C12114" s="420" t="s">
        <v>173</v>
      </c>
      <c r="D12114" s="420" t="s">
        <v>761</v>
      </c>
      <c r="E12114" s="501">
        <v>-249217641.94</v>
      </c>
      <c r="F12114" s="95" t="s">
        <v>878</v>
      </c>
      <c r="G12114" s="443">
        <v>119080635</v>
      </c>
      <c r="H12114" s="564"/>
      <c r="I12114" s="278" t="s">
        <v>675</v>
      </c>
      <c r="J12114" s="43" t="s">
        <v>906</v>
      </c>
      <c r="K12114" s="564"/>
      <c r="L12114" s="591"/>
      <c r="M12114" s="591"/>
      <c r="N12114" s="598">
        <v>265932</v>
      </c>
      <c r="R12114" s="420">
        <v>937.14800001504148</v>
      </c>
      <c r="S12114" s="420">
        <v>938.39119744897198</v>
      </c>
      <c r="T12114" s="593">
        <v>16.14</v>
      </c>
      <c r="U12114" s="278">
        <v>1121.48</v>
      </c>
      <c r="V12114" s="278">
        <v>560.74</v>
      </c>
      <c r="Z12114" s="420" t="s">
        <v>2953</v>
      </c>
    </row>
    <row r="12115" spans="1:26" s="420" customFormat="1">
      <c r="A12115" s="275">
        <v>45912</v>
      </c>
      <c r="B12115" s="275">
        <v>45912</v>
      </c>
      <c r="C12115" s="420" t="s">
        <v>173</v>
      </c>
      <c r="D12115" s="420" t="s">
        <v>761</v>
      </c>
      <c r="E12115" s="501">
        <v>-264043113.05000001</v>
      </c>
      <c r="F12115" s="95" t="s">
        <v>878</v>
      </c>
      <c r="G12115" s="443">
        <v>119080638</v>
      </c>
      <c r="H12115" s="564"/>
      <c r="I12115" s="278" t="s">
        <v>693</v>
      </c>
      <c r="J12115" s="43" t="s">
        <v>906</v>
      </c>
      <c r="K12115" s="564"/>
      <c r="L12115" s="591"/>
      <c r="M12115" s="591"/>
      <c r="N12115" s="598">
        <v>346632</v>
      </c>
      <c r="R12115" s="420">
        <v>761.73900000576987</v>
      </c>
      <c r="S12115" s="420">
        <v>762.74950417157095</v>
      </c>
      <c r="T12115" s="593">
        <v>16.14</v>
      </c>
      <c r="U12115" s="278">
        <v>1188.19</v>
      </c>
      <c r="V12115" s="278">
        <v>594.1</v>
      </c>
      <c r="Z12115" s="420" t="s">
        <v>2953</v>
      </c>
    </row>
    <row r="12116" spans="1:26" s="420" customFormat="1">
      <c r="A12116" s="275">
        <v>45912</v>
      </c>
      <c r="B12116" s="275">
        <v>45912</v>
      </c>
      <c r="C12116" s="420" t="s">
        <v>173</v>
      </c>
      <c r="D12116" s="420" t="s">
        <v>761</v>
      </c>
      <c r="E12116" s="501">
        <v>-280049443.51999998</v>
      </c>
      <c r="F12116" s="95" t="s">
        <v>878</v>
      </c>
      <c r="G12116" s="443">
        <v>119080641</v>
      </c>
      <c r="H12116" s="564"/>
      <c r="I12116" s="278" t="s">
        <v>677</v>
      </c>
      <c r="J12116" s="43" t="s">
        <v>906</v>
      </c>
      <c r="K12116" s="564"/>
      <c r="L12116" s="591"/>
      <c r="M12116" s="591"/>
      <c r="N12116" s="598">
        <v>316120</v>
      </c>
      <c r="R12116" s="420">
        <v>885.89599999999996</v>
      </c>
      <c r="S12116" s="420">
        <v>887.07120780083505</v>
      </c>
      <c r="T12116" s="593">
        <v>16.14</v>
      </c>
      <c r="U12116" s="278">
        <v>1260.22</v>
      </c>
      <c r="V12116" s="278">
        <v>630.11</v>
      </c>
      <c r="Z12116" s="420" t="s">
        <v>2953</v>
      </c>
    </row>
    <row r="12117" spans="1:26" s="420" customFormat="1">
      <c r="A12117" s="275">
        <v>45912</v>
      </c>
      <c r="B12117" s="275">
        <v>45912</v>
      </c>
      <c r="C12117" s="420" t="s">
        <v>173</v>
      </c>
      <c r="D12117" s="420" t="s">
        <v>761</v>
      </c>
      <c r="E12117" s="501">
        <v>-168098810.88</v>
      </c>
      <c r="F12117" s="95" t="s">
        <v>878</v>
      </c>
      <c r="G12117" s="443">
        <v>119080644</v>
      </c>
      <c r="H12117" s="564"/>
      <c r="I12117" s="278" t="s">
        <v>691</v>
      </c>
      <c r="J12117" s="43" t="s">
        <v>906</v>
      </c>
      <c r="K12117" s="564"/>
      <c r="L12117" s="591"/>
      <c r="M12117" s="591"/>
      <c r="N12117" s="598">
        <v>192192</v>
      </c>
      <c r="R12117" s="420">
        <v>874.64</v>
      </c>
      <c r="S12117" s="420">
        <v>875.800275869963</v>
      </c>
      <c r="T12117" s="593">
        <v>16.14</v>
      </c>
      <c r="U12117" s="278">
        <v>756.44</v>
      </c>
      <c r="V12117" s="278">
        <v>378.22</v>
      </c>
      <c r="Z12117" s="420" t="s">
        <v>2953</v>
      </c>
    </row>
    <row r="12118" spans="1:26" s="420" customFormat="1">
      <c r="A12118" s="275">
        <v>45912</v>
      </c>
      <c r="B12118" s="275">
        <v>45912</v>
      </c>
      <c r="C12118" s="420" t="s">
        <v>173</v>
      </c>
      <c r="D12118" s="420" t="s">
        <v>761</v>
      </c>
      <c r="E12118" s="501">
        <v>-7007432.7800000003</v>
      </c>
      <c r="F12118" s="95" t="s">
        <v>878</v>
      </c>
      <c r="G12118" s="443">
        <v>119081128</v>
      </c>
      <c r="H12118" s="564"/>
      <c r="I12118" s="278" t="s">
        <v>829</v>
      </c>
      <c r="J12118" s="43" t="s">
        <v>906</v>
      </c>
      <c r="K12118" s="564"/>
      <c r="L12118" s="591"/>
      <c r="M12118" s="591"/>
      <c r="N12118" s="598">
        <v>6475</v>
      </c>
      <c r="R12118" s="420">
        <v>1082.2290007722008</v>
      </c>
      <c r="S12118" s="420">
        <v>1083.6646594594599</v>
      </c>
      <c r="T12118" s="593">
        <v>16.14</v>
      </c>
      <c r="U12118" s="278">
        <v>39.32</v>
      </c>
      <c r="V12118" s="278">
        <v>15.77</v>
      </c>
      <c r="Z12118" s="420" t="s">
        <v>2953</v>
      </c>
    </row>
    <row r="12119" spans="1:26" s="420" customFormat="1">
      <c r="A12119" s="275">
        <v>45912</v>
      </c>
      <c r="B12119" s="275">
        <v>45912</v>
      </c>
      <c r="C12119" s="420" t="s">
        <v>173</v>
      </c>
      <c r="D12119" s="420" t="s">
        <v>761</v>
      </c>
      <c r="E12119" s="501">
        <v>-1000874.06</v>
      </c>
      <c r="F12119" s="95" t="s">
        <v>878</v>
      </c>
      <c r="G12119" s="443">
        <v>119081234</v>
      </c>
      <c r="H12119" s="564"/>
      <c r="I12119" s="278" t="s">
        <v>675</v>
      </c>
      <c r="J12119" s="43" t="s">
        <v>906</v>
      </c>
      <c r="K12119" s="564"/>
      <c r="L12119" s="591"/>
      <c r="M12119" s="591"/>
      <c r="N12119" s="598">
        <v>1068</v>
      </c>
      <c r="R12119" s="420">
        <v>937.14799625468174</v>
      </c>
      <c r="S12119" s="420">
        <v>938.38810861423201</v>
      </c>
      <c r="T12119" s="593">
        <v>16.100000000000001</v>
      </c>
      <c r="U12119" s="278">
        <v>39.32</v>
      </c>
      <c r="V12119" s="278">
        <v>2.25</v>
      </c>
      <c r="Z12119" s="420" t="s">
        <v>2953</v>
      </c>
    </row>
    <row r="12120" spans="1:26" s="420" customFormat="1">
      <c r="A12120" s="275">
        <v>45912</v>
      </c>
      <c r="B12120" s="275">
        <v>45915</v>
      </c>
      <c r="C12120" s="420" t="s">
        <v>173</v>
      </c>
      <c r="D12120" s="420" t="s">
        <v>761</v>
      </c>
      <c r="E12120" s="501">
        <v>214428639.74000001</v>
      </c>
      <c r="F12120" s="95" t="s">
        <v>878</v>
      </c>
      <c r="G12120" s="443">
        <v>119080629</v>
      </c>
      <c r="H12120" s="595">
        <v>119080629</v>
      </c>
      <c r="I12120" s="278" t="s">
        <v>592</v>
      </c>
      <c r="J12120" s="43" t="s">
        <v>912</v>
      </c>
      <c r="K12120" s="564"/>
      <c r="L12120" s="591"/>
      <c r="M12120" s="591"/>
      <c r="N12120" s="598">
        <v>270924</v>
      </c>
      <c r="R12120" s="420">
        <v>790.42299999261786</v>
      </c>
      <c r="S12120" s="420">
        <v>791.47155563922001</v>
      </c>
      <c r="T12120" s="593">
        <v>16.14</v>
      </c>
      <c r="U12120" s="278">
        <v>963.65</v>
      </c>
      <c r="V12120" s="278">
        <v>481.83</v>
      </c>
      <c r="Z12120" s="420" t="s">
        <v>2953</v>
      </c>
    </row>
    <row r="12121" spans="1:26" s="420" customFormat="1">
      <c r="A12121" s="275">
        <v>45912</v>
      </c>
      <c r="B12121" s="275">
        <v>45915</v>
      </c>
      <c r="C12121" s="420" t="s">
        <v>173</v>
      </c>
      <c r="D12121" s="420" t="s">
        <v>761</v>
      </c>
      <c r="E12121" s="501">
        <v>225413394.28999999</v>
      </c>
      <c r="F12121" s="95" t="s">
        <v>878</v>
      </c>
      <c r="G12121" s="443">
        <v>119080632</v>
      </c>
      <c r="H12121" s="595">
        <v>119080632</v>
      </c>
      <c r="I12121" s="278" t="s">
        <v>678</v>
      </c>
      <c r="J12121" s="43" t="s">
        <v>912</v>
      </c>
      <c r="K12121" s="564"/>
      <c r="L12121" s="591"/>
      <c r="M12121" s="591"/>
      <c r="N12121" s="598">
        <v>239400</v>
      </c>
      <c r="R12121" s="420">
        <v>940.32899999999995</v>
      </c>
      <c r="S12121" s="420">
        <v>941.57641725146198</v>
      </c>
      <c r="T12121" s="593">
        <v>16.14</v>
      </c>
      <c r="U12121" s="278">
        <v>1013.02</v>
      </c>
      <c r="V12121" s="278">
        <v>506.51</v>
      </c>
      <c r="Z12121" s="420" t="s">
        <v>2953</v>
      </c>
    </row>
    <row r="12122" spans="1:26" s="420" customFormat="1">
      <c r="A12122" s="275">
        <v>45912</v>
      </c>
      <c r="B12122" s="275">
        <v>45915</v>
      </c>
      <c r="C12122" s="420" t="s">
        <v>173</v>
      </c>
      <c r="D12122" s="420" t="s">
        <v>761</v>
      </c>
      <c r="E12122" s="501">
        <v>249548247.91999999</v>
      </c>
      <c r="F12122" s="95" t="s">
        <v>878</v>
      </c>
      <c r="G12122" s="443">
        <v>119080635</v>
      </c>
      <c r="H12122" s="595">
        <v>119080635</v>
      </c>
      <c r="I12122" s="278" t="s">
        <v>675</v>
      </c>
      <c r="J12122" s="43" t="s">
        <v>912</v>
      </c>
      <c r="K12122" s="564"/>
      <c r="L12122" s="591"/>
      <c r="M12122" s="591"/>
      <c r="N12122" s="598">
        <v>265932</v>
      </c>
      <c r="R12122" s="420">
        <v>937.14800001504148</v>
      </c>
      <c r="S12122" s="420">
        <v>938.39119744897198</v>
      </c>
      <c r="T12122" s="593">
        <v>16.14</v>
      </c>
      <c r="U12122" s="278">
        <v>1121.48</v>
      </c>
      <c r="V12122" s="278">
        <v>560.74</v>
      </c>
      <c r="Z12122" s="420" t="s">
        <v>2953</v>
      </c>
    </row>
    <row r="12123" spans="1:26" s="420" customFormat="1">
      <c r="A12123" s="275">
        <v>45912</v>
      </c>
      <c r="B12123" s="275">
        <v>45915</v>
      </c>
      <c r="C12123" s="420" t="s">
        <v>173</v>
      </c>
      <c r="D12123" s="420" t="s">
        <v>761</v>
      </c>
      <c r="E12123" s="501">
        <v>264393386.13</v>
      </c>
      <c r="F12123" s="95" t="s">
        <v>878</v>
      </c>
      <c r="G12123" s="443">
        <v>119080638</v>
      </c>
      <c r="H12123" s="595">
        <v>119080638</v>
      </c>
      <c r="I12123" s="278" t="s">
        <v>693</v>
      </c>
      <c r="J12123" s="43" t="s">
        <v>912</v>
      </c>
      <c r="K12123" s="564"/>
      <c r="L12123" s="591"/>
      <c r="M12123" s="591"/>
      <c r="N12123" s="598">
        <v>346632</v>
      </c>
      <c r="R12123" s="420">
        <v>761.73900000576987</v>
      </c>
      <c r="S12123" s="420">
        <v>762.74950417157095</v>
      </c>
      <c r="T12123" s="593">
        <v>16.14</v>
      </c>
      <c r="U12123" s="278">
        <v>1188.19</v>
      </c>
      <c r="V12123" s="278">
        <v>594.1</v>
      </c>
      <c r="Z12123" s="420" t="s">
        <v>2953</v>
      </c>
    </row>
    <row r="12124" spans="1:26" s="420" customFormat="1">
      <c r="A12124" s="275">
        <v>45912</v>
      </c>
      <c r="B12124" s="275">
        <v>45915</v>
      </c>
      <c r="C12124" s="420" t="s">
        <v>173</v>
      </c>
      <c r="D12124" s="420" t="s">
        <v>761</v>
      </c>
      <c r="E12124" s="501">
        <v>280420950.20999998</v>
      </c>
      <c r="F12124" s="95" t="s">
        <v>878</v>
      </c>
      <c r="G12124" s="443">
        <v>119080641</v>
      </c>
      <c r="H12124" s="595">
        <v>119080641</v>
      </c>
      <c r="I12124" s="278" t="s">
        <v>677</v>
      </c>
      <c r="J12124" s="43" t="s">
        <v>912</v>
      </c>
      <c r="K12124" s="564"/>
      <c r="L12124" s="591"/>
      <c r="M12124" s="591"/>
      <c r="N12124" s="598">
        <v>316120</v>
      </c>
      <c r="R12124" s="420">
        <v>885.89599999999996</v>
      </c>
      <c r="S12124" s="420">
        <v>887.07120780083505</v>
      </c>
      <c r="T12124" s="593">
        <v>16.14</v>
      </c>
      <c r="U12124" s="278">
        <v>1260.22</v>
      </c>
      <c r="V12124" s="278">
        <v>630.11</v>
      </c>
      <c r="Z12124" s="420" t="s">
        <v>2953</v>
      </c>
    </row>
    <row r="12125" spans="1:26" s="420" customFormat="1">
      <c r="A12125" s="275">
        <v>45912</v>
      </c>
      <c r="B12125" s="275">
        <v>45915</v>
      </c>
      <c r="C12125" s="420" t="s">
        <v>173</v>
      </c>
      <c r="D12125" s="420" t="s">
        <v>761</v>
      </c>
      <c r="E12125" s="501">
        <v>168321806.62</v>
      </c>
      <c r="F12125" s="95" t="s">
        <v>878</v>
      </c>
      <c r="G12125" s="443">
        <v>119080644</v>
      </c>
      <c r="H12125" s="595">
        <v>119080644</v>
      </c>
      <c r="I12125" s="278" t="s">
        <v>691</v>
      </c>
      <c r="J12125" s="43" t="s">
        <v>912</v>
      </c>
      <c r="K12125" s="564"/>
      <c r="L12125" s="591"/>
      <c r="M12125" s="591"/>
      <c r="N12125" s="598">
        <v>192192</v>
      </c>
      <c r="R12125" s="420">
        <v>874.64</v>
      </c>
      <c r="S12125" s="420">
        <v>875.800275869963</v>
      </c>
      <c r="T12125" s="593">
        <v>16.14</v>
      </c>
      <c r="U12125" s="278">
        <v>756.44</v>
      </c>
      <c r="V12125" s="278">
        <v>378.22</v>
      </c>
      <c r="Z12125" s="420" t="s">
        <v>2953</v>
      </c>
    </row>
    <row r="12126" spans="1:26" s="420" customFormat="1">
      <c r="A12126" s="275">
        <v>45912</v>
      </c>
      <c r="B12126" s="275">
        <v>45915</v>
      </c>
      <c r="C12126" s="420" t="s">
        <v>173</v>
      </c>
      <c r="D12126" s="420" t="s">
        <v>761</v>
      </c>
      <c r="E12126" s="501">
        <v>7016728.6699999999</v>
      </c>
      <c r="F12126" s="95" t="s">
        <v>878</v>
      </c>
      <c r="G12126" s="443">
        <v>119081128</v>
      </c>
      <c r="H12126" s="595">
        <v>119081128</v>
      </c>
      <c r="I12126" s="278" t="s">
        <v>829</v>
      </c>
      <c r="J12126" s="43" t="s">
        <v>912</v>
      </c>
      <c r="K12126" s="564"/>
      <c r="L12126" s="591"/>
      <c r="M12126" s="591"/>
      <c r="N12126" s="598">
        <v>6475</v>
      </c>
      <c r="R12126" s="420">
        <v>1082.2290007722008</v>
      </c>
      <c r="S12126" s="420">
        <v>1083.6646594594599</v>
      </c>
      <c r="T12126" s="593">
        <v>16.14</v>
      </c>
      <c r="U12126" s="278">
        <v>39.32</v>
      </c>
      <c r="V12126" s="278">
        <v>15.77</v>
      </c>
      <c r="Z12126" s="420" t="s">
        <v>2953</v>
      </c>
    </row>
    <row r="12127" spans="1:26" s="420" customFormat="1">
      <c r="A12127" s="275">
        <v>45912</v>
      </c>
      <c r="B12127" s="275">
        <v>45915</v>
      </c>
      <c r="C12127" s="420" t="s">
        <v>173</v>
      </c>
      <c r="D12127" s="420" t="s">
        <v>761</v>
      </c>
      <c r="E12127" s="501">
        <v>1002198.5</v>
      </c>
      <c r="F12127" s="95" t="s">
        <v>878</v>
      </c>
      <c r="G12127" s="443">
        <v>119081234</v>
      </c>
      <c r="H12127" s="595">
        <v>119081234</v>
      </c>
      <c r="I12127" s="278" t="s">
        <v>675</v>
      </c>
      <c r="J12127" s="43" t="s">
        <v>912</v>
      </c>
      <c r="K12127" s="564"/>
      <c r="L12127" s="591"/>
      <c r="M12127" s="591"/>
      <c r="N12127" s="598">
        <v>1068</v>
      </c>
      <c r="R12127" s="420">
        <v>937.14799625468174</v>
      </c>
      <c r="S12127" s="420">
        <v>938.38810861423201</v>
      </c>
      <c r="T12127" s="593">
        <v>16.100000000000001</v>
      </c>
      <c r="U12127" s="278">
        <v>39.32</v>
      </c>
      <c r="V12127" s="278">
        <v>2.25</v>
      </c>
      <c r="Z12127" s="420" t="s">
        <v>2953</v>
      </c>
    </row>
    <row r="12128" spans="1:26" s="420" customFormat="1">
      <c r="A12128" s="275">
        <v>45912</v>
      </c>
      <c r="B12128" s="275">
        <v>45912</v>
      </c>
      <c r="C12128" s="420" t="s">
        <v>173</v>
      </c>
      <c r="D12128" s="420" t="s">
        <v>759</v>
      </c>
      <c r="E12128" s="501">
        <v>-48032847.840000004</v>
      </c>
      <c r="F12128" s="95" t="s">
        <v>878</v>
      </c>
      <c r="G12128" s="443">
        <v>119080503</v>
      </c>
      <c r="H12128" s="595"/>
      <c r="I12128" s="278" t="s">
        <v>711</v>
      </c>
      <c r="J12128" s="43" t="s">
        <v>906</v>
      </c>
      <c r="K12128" s="564"/>
      <c r="L12128" s="591"/>
      <c r="M12128" s="591"/>
      <c r="N12128" s="598">
        <v>61536</v>
      </c>
      <c r="R12128" s="420">
        <v>780.56500000000005</v>
      </c>
      <c r="S12128" s="420">
        <v>781.60047825663003</v>
      </c>
      <c r="T12128" s="420">
        <v>16.14</v>
      </c>
      <c r="U12128" s="278">
        <v>216.15</v>
      </c>
      <c r="V12128" s="278">
        <v>108.07</v>
      </c>
      <c r="Z12128" s="420" t="s">
        <v>2953</v>
      </c>
    </row>
    <row r="12129" spans="1:26" s="420" customFormat="1">
      <c r="A12129" s="275">
        <v>45912</v>
      </c>
      <c r="B12129" s="275">
        <v>45912</v>
      </c>
      <c r="C12129" s="420" t="s">
        <v>173</v>
      </c>
      <c r="D12129" s="420" t="s">
        <v>759</v>
      </c>
      <c r="E12129" s="501">
        <v>-88032425.180000007</v>
      </c>
      <c r="F12129" s="95" t="s">
        <v>878</v>
      </c>
      <c r="G12129" s="443">
        <v>119080506</v>
      </c>
      <c r="H12129" s="595"/>
      <c r="I12129" s="278" t="s">
        <v>819</v>
      </c>
      <c r="J12129" s="43" t="s">
        <v>906</v>
      </c>
      <c r="K12129" s="564"/>
      <c r="L12129" s="591"/>
      <c r="M12129" s="591"/>
      <c r="N12129" s="598">
        <v>83424</v>
      </c>
      <c r="R12129" s="420">
        <v>1055.2409999520523</v>
      </c>
      <c r="S12129" s="420">
        <v>1056.6408565880299</v>
      </c>
      <c r="T12129" s="420">
        <v>16.14</v>
      </c>
      <c r="U12129" s="278">
        <v>396.15</v>
      </c>
      <c r="V12129" s="278">
        <v>198.07</v>
      </c>
      <c r="Z12129" s="420" t="s">
        <v>2953</v>
      </c>
    </row>
    <row r="12130" spans="1:26" s="420" customFormat="1">
      <c r="A12130" s="275">
        <v>45912</v>
      </c>
      <c r="B12130" s="275">
        <v>45912</v>
      </c>
      <c r="C12130" s="420" t="s">
        <v>173</v>
      </c>
      <c r="D12130" s="420" t="s">
        <v>759</v>
      </c>
      <c r="E12130" s="501">
        <v>-89039421.659999996</v>
      </c>
      <c r="F12130" s="95" t="s">
        <v>878</v>
      </c>
      <c r="G12130" s="443">
        <v>119080509</v>
      </c>
      <c r="H12130" s="595"/>
      <c r="I12130" s="278" t="s">
        <v>709</v>
      </c>
      <c r="J12130" s="43" t="s">
        <v>906</v>
      </c>
      <c r="K12130" s="564"/>
      <c r="L12130" s="591"/>
      <c r="M12130" s="591"/>
      <c r="N12130" s="598">
        <v>125490</v>
      </c>
      <c r="R12130" s="420">
        <v>709.53399999999999</v>
      </c>
      <c r="S12130" s="420">
        <v>710.475250298829</v>
      </c>
      <c r="T12130" s="420">
        <v>16.14</v>
      </c>
      <c r="U12130" s="278">
        <v>400.68</v>
      </c>
      <c r="V12130" s="278">
        <v>200.34</v>
      </c>
      <c r="Z12130" s="420" t="s">
        <v>2953</v>
      </c>
    </row>
    <row r="12131" spans="1:26" s="420" customFormat="1">
      <c r="A12131" s="275">
        <v>45912</v>
      </c>
      <c r="B12131" s="275">
        <v>45912</v>
      </c>
      <c r="C12131" s="420" t="s">
        <v>173</v>
      </c>
      <c r="D12131" s="420" t="s">
        <v>759</v>
      </c>
      <c r="E12131" s="501">
        <v>-96007832.060000002</v>
      </c>
      <c r="F12131" s="95" t="s">
        <v>878</v>
      </c>
      <c r="G12131" s="443">
        <v>119080512</v>
      </c>
      <c r="H12131" s="595"/>
      <c r="I12131" s="278" t="s">
        <v>715</v>
      </c>
      <c r="J12131" s="43" t="s">
        <v>906</v>
      </c>
      <c r="K12131" s="564"/>
      <c r="L12131" s="591"/>
      <c r="M12131" s="591"/>
      <c r="N12131" s="598">
        <v>158976</v>
      </c>
      <c r="R12131" s="420">
        <v>603.91399997483893</v>
      </c>
      <c r="S12131" s="420">
        <v>604.71513737922703</v>
      </c>
      <c r="T12131" s="420">
        <v>16.14</v>
      </c>
      <c r="U12131" s="278">
        <v>432.04</v>
      </c>
      <c r="V12131" s="278">
        <v>216.02</v>
      </c>
      <c r="Z12131" s="420" t="s">
        <v>2953</v>
      </c>
    </row>
    <row r="12132" spans="1:26" s="420" customFormat="1">
      <c r="A12132" s="275">
        <v>45912</v>
      </c>
      <c r="B12132" s="275">
        <v>45912</v>
      </c>
      <c r="C12132" s="420" t="s">
        <v>173</v>
      </c>
      <c r="D12132" s="420" t="s">
        <v>759</v>
      </c>
      <c r="E12132" s="501">
        <v>-98035809.980000004</v>
      </c>
      <c r="F12132" s="95" t="s">
        <v>878</v>
      </c>
      <c r="G12132" s="443">
        <v>119080515</v>
      </c>
      <c r="H12132" s="595"/>
      <c r="I12132" s="278" t="s">
        <v>816</v>
      </c>
      <c r="J12132" s="43" t="s">
        <v>906</v>
      </c>
      <c r="K12132" s="564"/>
      <c r="L12132" s="591"/>
      <c r="M12132" s="591"/>
      <c r="N12132" s="598">
        <v>93296</v>
      </c>
      <c r="R12132" s="420">
        <v>1050.8039999571258</v>
      </c>
      <c r="S12132" s="420">
        <v>1052.1979706525501</v>
      </c>
      <c r="T12132" s="420">
        <v>16.14</v>
      </c>
      <c r="U12132" s="278">
        <v>441.16</v>
      </c>
      <c r="V12132" s="278">
        <v>220.58</v>
      </c>
      <c r="Z12132" s="420" t="s">
        <v>2953</v>
      </c>
    </row>
    <row r="12133" spans="1:26" s="420" customFormat="1">
      <c r="A12133" s="275">
        <v>45912</v>
      </c>
      <c r="B12133" s="275">
        <v>45912</v>
      </c>
      <c r="C12133" s="420" t="s">
        <v>173</v>
      </c>
      <c r="D12133" s="420" t="s">
        <v>759</v>
      </c>
      <c r="E12133" s="501">
        <v>-104052800.95</v>
      </c>
      <c r="F12133" s="95" t="s">
        <v>878</v>
      </c>
      <c r="G12133" s="443">
        <v>119080518</v>
      </c>
      <c r="H12133" s="595"/>
      <c r="I12133" s="624" t="s">
        <v>550</v>
      </c>
      <c r="J12133" s="43" t="s">
        <v>906</v>
      </c>
      <c r="K12133" s="564"/>
      <c r="L12133" s="591"/>
      <c r="M12133" s="591"/>
      <c r="N12133" s="598">
        <v>187408</v>
      </c>
      <c r="R12133" s="420">
        <v>555.22070002347823</v>
      </c>
      <c r="S12133" s="420">
        <v>555.95724211346396</v>
      </c>
      <c r="T12133" s="420">
        <v>16.14</v>
      </c>
      <c r="U12133" s="278">
        <v>468.24</v>
      </c>
      <c r="V12133" s="278">
        <v>234.12</v>
      </c>
      <c r="Z12133" s="420" t="s">
        <v>2953</v>
      </c>
    </row>
    <row r="12134" spans="1:26" s="420" customFormat="1">
      <c r="A12134" s="275">
        <v>45912</v>
      </c>
      <c r="B12134" s="275">
        <v>45912</v>
      </c>
      <c r="C12134" s="420" t="s">
        <v>173</v>
      </c>
      <c r="D12134" s="420" t="s">
        <v>759</v>
      </c>
      <c r="E12134" s="501">
        <v>-105046240.31999999</v>
      </c>
      <c r="F12134" s="95" t="s">
        <v>878</v>
      </c>
      <c r="G12134" s="443">
        <v>119080521</v>
      </c>
      <c r="H12134" s="595"/>
      <c r="I12134" s="278" t="s">
        <v>600</v>
      </c>
      <c r="J12134" s="43" t="s">
        <v>906</v>
      </c>
      <c r="K12134" s="564"/>
      <c r="L12134" s="591"/>
      <c r="M12134" s="591"/>
      <c r="N12134" s="598">
        <v>115920</v>
      </c>
      <c r="R12134" s="420">
        <v>906.19599999999991</v>
      </c>
      <c r="S12134" s="420">
        <v>907.39813724982696</v>
      </c>
      <c r="T12134" s="420">
        <v>16.14</v>
      </c>
      <c r="U12134" s="278">
        <v>472.71</v>
      </c>
      <c r="V12134" s="278">
        <v>236.35</v>
      </c>
      <c r="Z12134" s="420" t="s">
        <v>2953</v>
      </c>
    </row>
    <row r="12135" spans="1:26" s="420" customFormat="1">
      <c r="A12135" s="275">
        <v>45912</v>
      </c>
      <c r="B12135" s="275">
        <v>45912</v>
      </c>
      <c r="C12135" s="420" t="s">
        <v>173</v>
      </c>
      <c r="D12135" s="420" t="s">
        <v>759</v>
      </c>
      <c r="E12135" s="501">
        <v>-123017585.06</v>
      </c>
      <c r="F12135" s="95" t="s">
        <v>878</v>
      </c>
      <c r="G12135" s="443">
        <v>119080524</v>
      </c>
      <c r="H12135" s="595"/>
      <c r="I12135" s="278" t="s">
        <v>817</v>
      </c>
      <c r="J12135" s="43" t="s">
        <v>906</v>
      </c>
      <c r="K12135" s="564"/>
      <c r="L12135" s="591"/>
      <c r="M12135" s="591"/>
      <c r="N12135" s="598">
        <v>113898</v>
      </c>
      <c r="R12135" s="420">
        <v>1080.067999964881</v>
      </c>
      <c r="S12135" s="420">
        <v>1081.5007915854501</v>
      </c>
      <c r="T12135" s="420">
        <v>16.14</v>
      </c>
      <c r="U12135" s="278">
        <v>553.58000000000004</v>
      </c>
      <c r="V12135" s="278">
        <v>276.79000000000002</v>
      </c>
      <c r="Z12135" s="420" t="s">
        <v>2953</v>
      </c>
    </row>
    <row r="12136" spans="1:26" s="420" customFormat="1">
      <c r="A12136" s="275">
        <v>45912</v>
      </c>
      <c r="B12136" s="275">
        <v>45912</v>
      </c>
      <c r="C12136" s="420" t="s">
        <v>173</v>
      </c>
      <c r="D12136" s="420" t="s">
        <v>759</v>
      </c>
      <c r="E12136" s="501">
        <v>-136021488.68000001</v>
      </c>
      <c r="F12136" s="95" t="s">
        <v>878</v>
      </c>
      <c r="G12136" s="443">
        <v>119080527</v>
      </c>
      <c r="H12136" s="595"/>
      <c r="I12136" s="278" t="s">
        <v>708</v>
      </c>
      <c r="J12136" s="43" t="s">
        <v>906</v>
      </c>
      <c r="K12136" s="564"/>
      <c r="L12136" s="591"/>
      <c r="M12136" s="591"/>
      <c r="N12136" s="598">
        <v>198968</v>
      </c>
      <c r="R12136" s="420">
        <v>683.63499999999999</v>
      </c>
      <c r="S12136" s="420">
        <v>684.54189331952898</v>
      </c>
      <c r="T12136" s="420">
        <v>16.14</v>
      </c>
      <c r="U12136" s="278">
        <v>612.1</v>
      </c>
      <c r="V12136" s="278">
        <v>306.05</v>
      </c>
      <c r="Z12136" s="420" t="s">
        <v>2953</v>
      </c>
    </row>
    <row r="12137" spans="1:26" s="420" customFormat="1">
      <c r="A12137" s="275">
        <v>45912</v>
      </c>
      <c r="B12137" s="275">
        <v>45912</v>
      </c>
      <c r="C12137" s="420" t="s">
        <v>173</v>
      </c>
      <c r="D12137" s="420" t="s">
        <v>759</v>
      </c>
      <c r="E12137" s="501">
        <v>-158110795.28999999</v>
      </c>
      <c r="F12137" s="95" t="s">
        <v>878</v>
      </c>
      <c r="G12137" s="443">
        <v>119080530</v>
      </c>
      <c r="H12137" s="595"/>
      <c r="I12137" s="278" t="s">
        <v>823</v>
      </c>
      <c r="J12137" s="43" t="s">
        <v>906</v>
      </c>
      <c r="K12137" s="564"/>
      <c r="L12137" s="591"/>
      <c r="M12137" s="591"/>
      <c r="N12137" s="598">
        <v>153892</v>
      </c>
      <c r="R12137" s="420">
        <v>1027.414000012996</v>
      </c>
      <c r="S12137" s="420">
        <v>1028.77694207626</v>
      </c>
      <c r="T12137" s="420">
        <v>16.14</v>
      </c>
      <c r="U12137" s="278">
        <v>711.5</v>
      </c>
      <c r="V12137" s="278">
        <v>355.75</v>
      </c>
      <c r="Z12137" s="420" t="s">
        <v>2953</v>
      </c>
    </row>
    <row r="12138" spans="1:26" s="420" customFormat="1">
      <c r="A12138" s="275">
        <v>45912</v>
      </c>
      <c r="B12138" s="275">
        <v>45912</v>
      </c>
      <c r="C12138" s="420" t="s">
        <v>173</v>
      </c>
      <c r="D12138" s="420" t="s">
        <v>759</v>
      </c>
      <c r="E12138" s="501">
        <v>-176150408.19</v>
      </c>
      <c r="F12138" s="95" t="s">
        <v>878</v>
      </c>
      <c r="G12138" s="443">
        <v>119080533</v>
      </c>
      <c r="H12138" s="595"/>
      <c r="I12138" s="278" t="s">
        <v>654</v>
      </c>
      <c r="J12138" s="43" t="s">
        <v>906</v>
      </c>
      <c r="K12138" s="564"/>
      <c r="L12138" s="591"/>
      <c r="M12138" s="591"/>
      <c r="N12138" s="598">
        <v>174592</v>
      </c>
      <c r="R12138" s="420">
        <v>1008.9259999885447</v>
      </c>
      <c r="S12138" s="420">
        <v>1010.26441635356</v>
      </c>
      <c r="T12138" s="420">
        <v>16.14</v>
      </c>
      <c r="U12138" s="278">
        <v>792.68</v>
      </c>
      <c r="V12138" s="278">
        <v>396.34</v>
      </c>
      <c r="Z12138" s="420" t="s">
        <v>2953</v>
      </c>
    </row>
    <row r="12139" spans="1:26" s="420" customFormat="1">
      <c r="A12139" s="275">
        <v>45912</v>
      </c>
      <c r="B12139" s="275">
        <v>45912</v>
      </c>
      <c r="C12139" s="420" t="s">
        <v>173</v>
      </c>
      <c r="D12139" s="420" t="s">
        <v>759</v>
      </c>
      <c r="E12139" s="501">
        <v>-191124878.86000001</v>
      </c>
      <c r="F12139" s="95" t="s">
        <v>878</v>
      </c>
      <c r="G12139" s="443">
        <v>119080536</v>
      </c>
      <c r="H12139" s="595"/>
      <c r="I12139" s="278" t="s">
        <v>824</v>
      </c>
      <c r="J12139" s="43" t="s">
        <v>906</v>
      </c>
      <c r="K12139" s="564"/>
      <c r="L12139" s="591"/>
      <c r="M12139" s="591"/>
      <c r="N12139" s="598">
        <v>181068</v>
      </c>
      <c r="R12139" s="420">
        <v>1055.5420000220913</v>
      </c>
      <c r="S12139" s="420">
        <v>1056.9422560032699</v>
      </c>
      <c r="T12139" s="420">
        <v>16.14</v>
      </c>
      <c r="U12139" s="278">
        <v>860.06</v>
      </c>
      <c r="V12139" s="278">
        <v>430.03</v>
      </c>
      <c r="Z12139" s="420" t="s">
        <v>2953</v>
      </c>
    </row>
    <row r="12140" spans="1:26" s="420" customFormat="1">
      <c r="A12140" s="275">
        <v>45912</v>
      </c>
      <c r="B12140" s="275">
        <v>45912</v>
      </c>
      <c r="C12140" s="420" t="s">
        <v>173</v>
      </c>
      <c r="D12140" s="420" t="s">
        <v>759</v>
      </c>
      <c r="E12140" s="501">
        <v>-195133444.34999999</v>
      </c>
      <c r="F12140" s="95" t="s">
        <v>878</v>
      </c>
      <c r="G12140" s="443">
        <v>119080539</v>
      </c>
      <c r="H12140" s="595"/>
      <c r="I12140" s="278" t="s">
        <v>711</v>
      </c>
      <c r="J12140" s="43" t="s">
        <v>906</v>
      </c>
      <c r="K12140" s="564"/>
      <c r="L12140" s="591"/>
      <c r="M12140" s="591"/>
      <c r="N12140" s="598">
        <v>249990</v>
      </c>
      <c r="R12140" s="420">
        <v>780.56499999999994</v>
      </c>
      <c r="S12140" s="420">
        <v>781.60047829913196</v>
      </c>
      <c r="T12140" s="420">
        <v>16.14</v>
      </c>
      <c r="U12140" s="278">
        <v>878.1</v>
      </c>
      <c r="V12140" s="278">
        <v>439.05</v>
      </c>
      <c r="Z12140" s="420" t="s">
        <v>2953</v>
      </c>
    </row>
    <row r="12141" spans="1:26" s="420" customFormat="1">
      <c r="A12141" s="275">
        <v>45912</v>
      </c>
      <c r="B12141" s="275">
        <v>45912</v>
      </c>
      <c r="C12141" s="420" t="s">
        <v>173</v>
      </c>
      <c r="D12141" s="420" t="s">
        <v>759</v>
      </c>
      <c r="E12141" s="501">
        <v>-1000043.75</v>
      </c>
      <c r="F12141" s="95" t="s">
        <v>878</v>
      </c>
      <c r="G12141" s="443">
        <v>119080542</v>
      </c>
      <c r="H12141" s="595"/>
      <c r="I12141" s="278" t="s">
        <v>713</v>
      </c>
      <c r="J12141" s="43" t="s">
        <v>906</v>
      </c>
      <c r="K12141" s="564"/>
      <c r="L12141" s="591"/>
      <c r="M12141" s="591"/>
      <c r="N12141" s="598">
        <v>1286</v>
      </c>
      <c r="R12141" s="420">
        <v>777.63899688958008</v>
      </c>
      <c r="S12141" s="420">
        <v>778.67059097978199</v>
      </c>
      <c r="T12141" s="420">
        <v>16.14</v>
      </c>
      <c r="U12141" s="278">
        <v>39.32</v>
      </c>
      <c r="V12141" s="278">
        <v>2.25</v>
      </c>
      <c r="Z12141" s="420" t="s">
        <v>2953</v>
      </c>
    </row>
    <row r="12142" spans="1:26" s="420" customFormat="1">
      <c r="A12142" s="275">
        <v>45912</v>
      </c>
      <c r="B12142" s="275">
        <v>45912</v>
      </c>
      <c r="C12142" s="420" t="s">
        <v>173</v>
      </c>
      <c r="D12142" s="420" t="s">
        <v>759</v>
      </c>
      <c r="E12142" s="501">
        <v>-72013294.430000007</v>
      </c>
      <c r="F12142" s="95" t="s">
        <v>878</v>
      </c>
      <c r="G12142" s="443">
        <v>119080545</v>
      </c>
      <c r="H12142" s="595"/>
      <c r="I12142" s="278" t="s">
        <v>631</v>
      </c>
      <c r="J12142" s="43" t="s">
        <v>906</v>
      </c>
      <c r="K12142" s="564"/>
      <c r="L12142" s="591"/>
      <c r="M12142" s="591"/>
      <c r="N12142" s="598">
        <v>139392</v>
      </c>
      <c r="R12142" s="420">
        <v>516.62430003156567</v>
      </c>
      <c r="S12142" s="420">
        <v>517.30964108413696</v>
      </c>
      <c r="T12142" s="420">
        <v>16.14</v>
      </c>
      <c r="U12142" s="278">
        <v>324.06</v>
      </c>
      <c r="V12142" s="278">
        <v>162.03</v>
      </c>
      <c r="Z12142" s="420" t="s">
        <v>2953</v>
      </c>
    </row>
    <row r="12143" spans="1:26" s="420" customFormat="1">
      <c r="A12143" s="275">
        <v>45912</v>
      </c>
      <c r="B12143" s="275">
        <v>45912</v>
      </c>
      <c r="C12143" s="420" t="s">
        <v>173</v>
      </c>
      <c r="D12143" s="420" t="s">
        <v>759</v>
      </c>
      <c r="E12143" s="501">
        <v>-187159808.69999999</v>
      </c>
      <c r="F12143" s="95" t="s">
        <v>878</v>
      </c>
      <c r="G12143" s="443">
        <v>119080548</v>
      </c>
      <c r="H12143" s="595"/>
      <c r="I12143" s="278" t="s">
        <v>654</v>
      </c>
      <c r="J12143" s="43" t="s">
        <v>906</v>
      </c>
      <c r="K12143" s="564"/>
      <c r="L12143" s="591"/>
      <c r="M12143" s="591"/>
      <c r="N12143" s="598">
        <v>185504</v>
      </c>
      <c r="R12143" s="420">
        <v>1008.9259999784371</v>
      </c>
      <c r="S12143" s="420">
        <v>1010.26441634682</v>
      </c>
      <c r="T12143" s="420">
        <v>16.14</v>
      </c>
      <c r="U12143" s="278">
        <v>842.22</v>
      </c>
      <c r="V12143" s="278">
        <v>421.11</v>
      </c>
      <c r="Z12143" s="420" t="s">
        <v>2953</v>
      </c>
    </row>
    <row r="12144" spans="1:26" s="420" customFormat="1">
      <c r="A12144" s="275">
        <v>45912</v>
      </c>
      <c r="B12144" s="275">
        <v>45912</v>
      </c>
      <c r="C12144" s="420" t="s">
        <v>173</v>
      </c>
      <c r="D12144" s="420" t="s">
        <v>759</v>
      </c>
      <c r="E12144" s="501">
        <v>-101005038.08</v>
      </c>
      <c r="F12144" s="95" t="s">
        <v>878</v>
      </c>
      <c r="G12144" s="443">
        <v>119080551</v>
      </c>
      <c r="H12144" s="595"/>
      <c r="I12144" s="278" t="s">
        <v>674</v>
      </c>
      <c r="J12144" s="43" t="s">
        <v>906</v>
      </c>
      <c r="K12144" s="564"/>
      <c r="L12144" s="591"/>
      <c r="M12144" s="591"/>
      <c r="N12144" s="598">
        <v>112918</v>
      </c>
      <c r="R12144" s="420">
        <v>894.49899998228807</v>
      </c>
      <c r="S12144" s="420">
        <v>895.68489248835397</v>
      </c>
      <c r="T12144" s="420">
        <v>16.130099999999999</v>
      </c>
      <c r="U12144" s="278">
        <v>454.52</v>
      </c>
      <c r="V12144" s="278">
        <v>227.26</v>
      </c>
      <c r="Z12144" s="420" t="s">
        <v>2953</v>
      </c>
    </row>
    <row r="12145" spans="1:26" s="420" customFormat="1">
      <c r="A12145" s="275">
        <v>45912</v>
      </c>
      <c r="B12145" s="275">
        <v>45912</v>
      </c>
      <c r="C12145" s="420" t="s">
        <v>173</v>
      </c>
      <c r="D12145" s="420" t="s">
        <v>759</v>
      </c>
      <c r="E12145" s="501">
        <v>-442386336.29000002</v>
      </c>
      <c r="F12145" s="95" t="s">
        <v>878</v>
      </c>
      <c r="G12145" s="443">
        <v>119080554</v>
      </c>
      <c r="H12145" s="595"/>
      <c r="I12145" s="278" t="s">
        <v>675</v>
      </c>
      <c r="J12145" s="43" t="s">
        <v>906</v>
      </c>
      <c r="K12145" s="564"/>
      <c r="L12145" s="591"/>
      <c r="M12145" s="591"/>
      <c r="N12145" s="598">
        <v>472056</v>
      </c>
      <c r="R12145" s="420">
        <v>937.14800000423679</v>
      </c>
      <c r="S12145" s="420">
        <v>938.38965692629699</v>
      </c>
      <c r="T12145" s="420">
        <v>16.12</v>
      </c>
      <c r="U12145" s="278">
        <v>1990.74</v>
      </c>
      <c r="V12145" s="278">
        <v>995.37</v>
      </c>
      <c r="Z12145" s="420" t="s">
        <v>2953</v>
      </c>
    </row>
    <row r="12146" spans="1:26" s="420" customFormat="1">
      <c r="A12146" s="275">
        <v>45912</v>
      </c>
      <c r="B12146" s="275">
        <v>45912</v>
      </c>
      <c r="C12146" s="420" t="s">
        <v>173</v>
      </c>
      <c r="D12146" s="420" t="s">
        <v>759</v>
      </c>
      <c r="E12146" s="501">
        <v>-13003949.789999999</v>
      </c>
      <c r="F12146" s="95" t="s">
        <v>878</v>
      </c>
      <c r="G12146" s="443">
        <v>119080888</v>
      </c>
      <c r="H12146" s="595"/>
      <c r="I12146" s="278" t="s">
        <v>717</v>
      </c>
      <c r="J12146" s="43" t="s">
        <v>906</v>
      </c>
      <c r="K12146" s="564"/>
      <c r="L12146" s="591"/>
      <c r="M12146" s="591"/>
      <c r="N12146" s="598">
        <v>22230</v>
      </c>
      <c r="R12146" s="420">
        <v>584.97299999999996</v>
      </c>
      <c r="S12146" s="420">
        <v>585.74709716599205</v>
      </c>
      <c r="T12146" s="420">
        <v>16.100200000000001</v>
      </c>
      <c r="U12146" s="278">
        <v>58.52</v>
      </c>
      <c r="V12146" s="278">
        <v>29.26</v>
      </c>
      <c r="Z12146" s="420" t="s">
        <v>2953</v>
      </c>
    </row>
    <row r="12147" spans="1:26" s="420" customFormat="1">
      <c r="A12147" s="275">
        <v>45912</v>
      </c>
      <c r="B12147" s="275">
        <v>45915</v>
      </c>
      <c r="C12147" s="420" t="s">
        <v>173</v>
      </c>
      <c r="D12147" s="420" t="s">
        <v>759</v>
      </c>
      <c r="E12147" s="501">
        <v>48096567.030000001</v>
      </c>
      <c r="F12147" s="95" t="s">
        <v>878</v>
      </c>
      <c r="G12147" s="443">
        <v>119080503</v>
      </c>
      <c r="H12147" s="595">
        <v>119080503</v>
      </c>
      <c r="I12147" s="278" t="s">
        <v>711</v>
      </c>
      <c r="J12147" s="43" t="s">
        <v>912</v>
      </c>
      <c r="K12147" s="564"/>
      <c r="L12147" s="591"/>
      <c r="M12147" s="591"/>
      <c r="N12147" s="598">
        <v>61536</v>
      </c>
      <c r="R12147" s="420">
        <v>780.56500000000005</v>
      </c>
      <c r="S12147" s="420">
        <v>781.60047825663003</v>
      </c>
      <c r="T12147" s="420">
        <v>16.14</v>
      </c>
      <c r="U12147" s="278">
        <v>216.15</v>
      </c>
      <c r="V12147" s="278">
        <v>108.07</v>
      </c>
      <c r="Z12147" s="420" t="s">
        <v>2953</v>
      </c>
    </row>
    <row r="12148" spans="1:26" s="420" customFormat="1">
      <c r="A12148" s="275">
        <v>45912</v>
      </c>
      <c r="B12148" s="275">
        <v>45915</v>
      </c>
      <c r="C12148" s="420" t="s">
        <v>173</v>
      </c>
      <c r="D12148" s="420" t="s">
        <v>759</v>
      </c>
      <c r="E12148" s="501">
        <v>88149206.819999993</v>
      </c>
      <c r="F12148" s="95" t="s">
        <v>878</v>
      </c>
      <c r="G12148" s="443">
        <v>119080506</v>
      </c>
      <c r="H12148" s="595">
        <v>119080506</v>
      </c>
      <c r="I12148" s="278" t="s">
        <v>819</v>
      </c>
      <c r="J12148" s="43" t="s">
        <v>912</v>
      </c>
      <c r="K12148" s="564"/>
      <c r="L12148" s="591"/>
      <c r="M12148" s="591"/>
      <c r="N12148" s="598">
        <v>83424</v>
      </c>
      <c r="R12148" s="420">
        <v>1055.2409999520523</v>
      </c>
      <c r="S12148" s="420">
        <v>1056.6408565880299</v>
      </c>
      <c r="T12148" s="420">
        <v>16.14</v>
      </c>
      <c r="U12148" s="278">
        <v>396.15</v>
      </c>
      <c r="V12148" s="278">
        <v>198.07</v>
      </c>
      <c r="Z12148" s="420" t="s">
        <v>2953</v>
      </c>
    </row>
    <row r="12149" spans="1:26" s="420" customFormat="1">
      <c r="A12149" s="275">
        <v>45912</v>
      </c>
      <c r="B12149" s="275">
        <v>45915</v>
      </c>
      <c r="C12149" s="420" t="s">
        <v>173</v>
      </c>
      <c r="D12149" s="420" t="s">
        <v>759</v>
      </c>
      <c r="E12149" s="501">
        <v>89157539.159999996</v>
      </c>
      <c r="F12149" s="95" t="s">
        <v>878</v>
      </c>
      <c r="G12149" s="443">
        <v>119080509</v>
      </c>
      <c r="H12149" s="595">
        <v>119080509</v>
      </c>
      <c r="I12149" s="278" t="s">
        <v>709</v>
      </c>
      <c r="J12149" s="43" t="s">
        <v>912</v>
      </c>
      <c r="K12149" s="564"/>
      <c r="L12149" s="591"/>
      <c r="M12149" s="591"/>
      <c r="N12149" s="598">
        <v>125490</v>
      </c>
      <c r="R12149" s="420">
        <v>709.53399999999999</v>
      </c>
      <c r="S12149" s="420">
        <v>710.475250298829</v>
      </c>
      <c r="T12149" s="420">
        <v>16.14</v>
      </c>
      <c r="U12149" s="278">
        <v>400.68</v>
      </c>
      <c r="V12149" s="278">
        <v>200.34</v>
      </c>
      <c r="Z12149" s="420" t="s">
        <v>2953</v>
      </c>
    </row>
    <row r="12150" spans="1:26" s="420" customFormat="1">
      <c r="A12150" s="275">
        <v>45912</v>
      </c>
      <c r="B12150" s="275">
        <v>45915</v>
      </c>
      <c r="C12150" s="420" t="s">
        <v>173</v>
      </c>
      <c r="D12150" s="420" t="s">
        <v>759</v>
      </c>
      <c r="E12150" s="501">
        <v>96135193.680000007</v>
      </c>
      <c r="F12150" s="95" t="s">
        <v>878</v>
      </c>
      <c r="G12150" s="443">
        <v>119080512</v>
      </c>
      <c r="H12150" s="595">
        <v>119080512</v>
      </c>
      <c r="I12150" s="278" t="s">
        <v>715</v>
      </c>
      <c r="J12150" s="43" t="s">
        <v>912</v>
      </c>
      <c r="K12150" s="564"/>
      <c r="L12150" s="591"/>
      <c r="M12150" s="591"/>
      <c r="N12150" s="598">
        <v>158976</v>
      </c>
      <c r="R12150" s="420">
        <v>603.91399997483893</v>
      </c>
      <c r="S12150" s="420">
        <v>604.71513737922703</v>
      </c>
      <c r="T12150" s="420">
        <v>16.14</v>
      </c>
      <c r="U12150" s="278">
        <v>432.04</v>
      </c>
      <c r="V12150" s="278">
        <v>216.02</v>
      </c>
      <c r="Z12150" s="420" t="s">
        <v>2953</v>
      </c>
    </row>
    <row r="12151" spans="1:26" s="420" customFormat="1">
      <c r="A12151" s="275">
        <v>45912</v>
      </c>
      <c r="B12151" s="275">
        <v>45915</v>
      </c>
      <c r="C12151" s="420" t="s">
        <v>173</v>
      </c>
      <c r="D12151" s="420" t="s">
        <v>759</v>
      </c>
      <c r="E12151" s="501">
        <v>98165861.870000005</v>
      </c>
      <c r="F12151" s="95" t="s">
        <v>878</v>
      </c>
      <c r="G12151" s="443">
        <v>119080515</v>
      </c>
      <c r="H12151" s="595">
        <v>119080515</v>
      </c>
      <c r="I12151" s="278" t="s">
        <v>816</v>
      </c>
      <c r="J12151" s="43" t="s">
        <v>912</v>
      </c>
      <c r="K12151" s="564"/>
      <c r="L12151" s="591"/>
      <c r="M12151" s="591"/>
      <c r="N12151" s="598">
        <v>93296</v>
      </c>
      <c r="R12151" s="420">
        <v>1050.8039999571258</v>
      </c>
      <c r="S12151" s="420">
        <v>1052.1979706525501</v>
      </c>
      <c r="T12151" s="420">
        <v>16.14</v>
      </c>
      <c r="U12151" s="278">
        <v>441.16</v>
      </c>
      <c r="V12151" s="278">
        <v>220.58</v>
      </c>
      <c r="Z12151" s="420" t="s">
        <v>2953</v>
      </c>
    </row>
    <row r="12152" spans="1:26" s="420" customFormat="1">
      <c r="A12152" s="275">
        <v>45912</v>
      </c>
      <c r="B12152" s="275">
        <v>45915</v>
      </c>
      <c r="C12152" s="420" t="s">
        <v>173</v>
      </c>
      <c r="D12152" s="420" t="s">
        <v>759</v>
      </c>
      <c r="E12152" s="501">
        <v>104190834.83</v>
      </c>
      <c r="F12152" s="95" t="s">
        <v>878</v>
      </c>
      <c r="G12152" s="443">
        <v>119080518</v>
      </c>
      <c r="H12152" s="595">
        <v>119080518</v>
      </c>
      <c r="I12152" s="278" t="s">
        <v>550</v>
      </c>
      <c r="J12152" s="43" t="s">
        <v>912</v>
      </c>
      <c r="K12152" s="564"/>
      <c r="L12152" s="591"/>
      <c r="M12152" s="591"/>
      <c r="N12152" s="598">
        <v>187408</v>
      </c>
      <c r="R12152" s="420">
        <v>555.22070002347823</v>
      </c>
      <c r="S12152" s="420">
        <v>555.95724211346396</v>
      </c>
      <c r="T12152" s="420">
        <v>16.14</v>
      </c>
      <c r="U12152" s="278">
        <v>468.24</v>
      </c>
      <c r="V12152" s="278">
        <v>234.12</v>
      </c>
      <c r="Z12152" s="420" t="s">
        <v>2953</v>
      </c>
    </row>
    <row r="12153" spans="1:26" s="420" customFormat="1">
      <c r="A12153" s="275">
        <v>45912</v>
      </c>
      <c r="B12153" s="275">
        <v>45915</v>
      </c>
      <c r="C12153" s="420" t="s">
        <v>173</v>
      </c>
      <c r="D12153" s="420" t="s">
        <v>759</v>
      </c>
      <c r="E12153" s="501">
        <v>105185592.06999999</v>
      </c>
      <c r="F12153" s="95" t="s">
        <v>878</v>
      </c>
      <c r="G12153" s="443">
        <v>119080521</v>
      </c>
      <c r="H12153" s="595">
        <v>119080521</v>
      </c>
      <c r="I12153" s="278" t="s">
        <v>600</v>
      </c>
      <c r="J12153" s="43" t="s">
        <v>912</v>
      </c>
      <c r="K12153" s="564"/>
      <c r="L12153" s="591"/>
      <c r="M12153" s="591"/>
      <c r="N12153" s="598">
        <v>115920</v>
      </c>
      <c r="R12153" s="420">
        <v>906.19599999999991</v>
      </c>
      <c r="S12153" s="420">
        <v>907.39813724982696</v>
      </c>
      <c r="T12153" s="420">
        <v>16.14</v>
      </c>
      <c r="U12153" s="278">
        <v>472.71</v>
      </c>
      <c r="V12153" s="278">
        <v>236.35</v>
      </c>
      <c r="Z12153" s="420" t="s">
        <v>2953</v>
      </c>
    </row>
    <row r="12154" spans="1:26" s="420" customFormat="1">
      <c r="A12154" s="275">
        <v>45912</v>
      </c>
      <c r="B12154" s="275">
        <v>45915</v>
      </c>
      <c r="C12154" s="420" t="s">
        <v>173</v>
      </c>
      <c r="D12154" s="420" t="s">
        <v>759</v>
      </c>
      <c r="E12154" s="501">
        <v>123180777.16</v>
      </c>
      <c r="F12154" s="95" t="s">
        <v>878</v>
      </c>
      <c r="G12154" s="443">
        <v>119080524</v>
      </c>
      <c r="H12154" s="595">
        <v>119080524</v>
      </c>
      <c r="I12154" s="278" t="s">
        <v>817</v>
      </c>
      <c r="J12154" s="43" t="s">
        <v>912</v>
      </c>
      <c r="K12154" s="564"/>
      <c r="L12154" s="591"/>
      <c r="M12154" s="591"/>
      <c r="N12154" s="598">
        <v>113898</v>
      </c>
      <c r="R12154" s="420">
        <v>1080.067999964881</v>
      </c>
      <c r="S12154" s="420">
        <v>1081.5007915854501</v>
      </c>
      <c r="T12154" s="420">
        <v>16.14</v>
      </c>
      <c r="U12154" s="278">
        <v>553.58000000000004</v>
      </c>
      <c r="V12154" s="278">
        <v>276.79000000000002</v>
      </c>
      <c r="Z12154" s="420" t="s">
        <v>2953</v>
      </c>
    </row>
    <row r="12155" spans="1:26" s="420" customFormat="1">
      <c r="A12155" s="275">
        <v>45912</v>
      </c>
      <c r="B12155" s="275">
        <v>45915</v>
      </c>
      <c r="C12155" s="420" t="s">
        <v>173</v>
      </c>
      <c r="D12155" s="420" t="s">
        <v>759</v>
      </c>
      <c r="E12155" s="501">
        <v>136201931.43000001</v>
      </c>
      <c r="F12155" s="95" t="s">
        <v>878</v>
      </c>
      <c r="G12155" s="443">
        <v>119080527</v>
      </c>
      <c r="H12155" s="595">
        <v>119080527</v>
      </c>
      <c r="I12155" s="278" t="s">
        <v>708</v>
      </c>
      <c r="J12155" s="43" t="s">
        <v>912</v>
      </c>
      <c r="K12155" s="564"/>
      <c r="L12155" s="591"/>
      <c r="M12155" s="591"/>
      <c r="N12155" s="598">
        <v>198968</v>
      </c>
      <c r="R12155" s="420">
        <v>683.63499999999999</v>
      </c>
      <c r="S12155" s="420">
        <v>684.54189331952898</v>
      </c>
      <c r="T12155" s="420">
        <v>16.14</v>
      </c>
      <c r="U12155" s="278">
        <v>612.1</v>
      </c>
      <c r="V12155" s="278">
        <v>306.05</v>
      </c>
      <c r="Z12155" s="420" t="s">
        <v>2953</v>
      </c>
    </row>
    <row r="12156" spans="1:26" s="420" customFormat="1">
      <c r="A12156" s="275">
        <v>45912</v>
      </c>
      <c r="B12156" s="275">
        <v>45915</v>
      </c>
      <c r="C12156" s="420" t="s">
        <v>173</v>
      </c>
      <c r="D12156" s="420" t="s">
        <v>759</v>
      </c>
      <c r="E12156" s="501">
        <v>158320541.16999999</v>
      </c>
      <c r="F12156" s="95" t="s">
        <v>878</v>
      </c>
      <c r="G12156" s="443">
        <v>119080530</v>
      </c>
      <c r="H12156" s="595">
        <v>119080530</v>
      </c>
      <c r="I12156" s="278" t="s">
        <v>823</v>
      </c>
      <c r="J12156" s="43" t="s">
        <v>912</v>
      </c>
      <c r="K12156" s="564"/>
      <c r="L12156" s="591"/>
      <c r="M12156" s="591"/>
      <c r="N12156" s="598">
        <v>153892</v>
      </c>
      <c r="R12156" s="420">
        <v>1027.414000012996</v>
      </c>
      <c r="S12156" s="420">
        <v>1028.77694207626</v>
      </c>
      <c r="T12156" s="420">
        <v>16.14</v>
      </c>
      <c r="U12156" s="278">
        <v>711.5</v>
      </c>
      <c r="V12156" s="278">
        <v>355.75</v>
      </c>
      <c r="Z12156" s="420" t="s">
        <v>2953</v>
      </c>
    </row>
    <row r="12157" spans="1:26" s="420" customFormat="1">
      <c r="A12157" s="275">
        <v>45912</v>
      </c>
      <c r="B12157" s="275">
        <v>45915</v>
      </c>
      <c r="C12157" s="420" t="s">
        <v>173</v>
      </c>
      <c r="D12157" s="420" t="s">
        <v>759</v>
      </c>
      <c r="E12157" s="501">
        <v>176384084.97999999</v>
      </c>
      <c r="F12157" s="95" t="s">
        <v>878</v>
      </c>
      <c r="G12157" s="443">
        <v>119080533</v>
      </c>
      <c r="H12157" s="595">
        <v>119080533</v>
      </c>
      <c r="I12157" s="278" t="s">
        <v>654</v>
      </c>
      <c r="J12157" s="43" t="s">
        <v>912</v>
      </c>
      <c r="K12157" s="564"/>
      <c r="L12157" s="591"/>
      <c r="M12157" s="591"/>
      <c r="N12157" s="598">
        <v>174592</v>
      </c>
      <c r="R12157" s="420">
        <v>1008.9259999885447</v>
      </c>
      <c r="S12157" s="420">
        <v>1010.26441635356</v>
      </c>
      <c r="T12157" s="420">
        <v>16.14</v>
      </c>
      <c r="U12157" s="278">
        <v>792.68</v>
      </c>
      <c r="V12157" s="278">
        <v>396.34</v>
      </c>
      <c r="Z12157" s="420" t="s">
        <v>2953</v>
      </c>
    </row>
    <row r="12158" spans="1:26" s="420" customFormat="1">
      <c r="A12158" s="275">
        <v>45912</v>
      </c>
      <c r="B12158" s="275">
        <v>45915</v>
      </c>
      <c r="C12158" s="420" t="s">
        <v>173</v>
      </c>
      <c r="D12158" s="420" t="s">
        <v>759</v>
      </c>
      <c r="E12158" s="501">
        <v>191378420.41</v>
      </c>
      <c r="F12158" s="95" t="s">
        <v>878</v>
      </c>
      <c r="G12158" s="443">
        <v>119080536</v>
      </c>
      <c r="H12158" s="595">
        <v>119080536</v>
      </c>
      <c r="I12158" s="278" t="s">
        <v>824</v>
      </c>
      <c r="J12158" s="43" t="s">
        <v>912</v>
      </c>
      <c r="K12158" s="564"/>
      <c r="L12158" s="591"/>
      <c r="M12158" s="591"/>
      <c r="N12158" s="598">
        <v>181068</v>
      </c>
      <c r="R12158" s="420">
        <v>1055.5420000220913</v>
      </c>
      <c r="S12158" s="420">
        <v>1056.9422560032699</v>
      </c>
      <c r="T12158" s="420">
        <v>16.14</v>
      </c>
      <c r="U12158" s="278">
        <v>860.06</v>
      </c>
      <c r="V12158" s="278">
        <v>430.03</v>
      </c>
      <c r="Z12158" s="420" t="s">
        <v>2953</v>
      </c>
    </row>
    <row r="12159" spans="1:26" s="420" customFormat="1">
      <c r="A12159" s="275">
        <v>45912</v>
      </c>
      <c r="B12159" s="275">
        <v>45915</v>
      </c>
      <c r="C12159" s="420" t="s">
        <v>173</v>
      </c>
      <c r="D12159" s="420" t="s">
        <v>759</v>
      </c>
      <c r="E12159" s="501">
        <v>195392303.56999999</v>
      </c>
      <c r="F12159" s="95" t="s">
        <v>878</v>
      </c>
      <c r="G12159" s="443">
        <v>119080539</v>
      </c>
      <c r="H12159" s="595">
        <v>119080539</v>
      </c>
      <c r="I12159" s="278" t="s">
        <v>711</v>
      </c>
      <c r="J12159" s="43" t="s">
        <v>912</v>
      </c>
      <c r="K12159" s="564"/>
      <c r="L12159" s="591"/>
      <c r="M12159" s="591"/>
      <c r="N12159" s="598">
        <v>249990</v>
      </c>
      <c r="R12159" s="420">
        <v>780.56499999999994</v>
      </c>
      <c r="S12159" s="420">
        <v>781.60047829913196</v>
      </c>
      <c r="T12159" s="420">
        <v>16.14</v>
      </c>
      <c r="U12159" s="278">
        <v>878.1</v>
      </c>
      <c r="V12159" s="278">
        <v>439.05</v>
      </c>
      <c r="Z12159" s="420" t="s">
        <v>2953</v>
      </c>
    </row>
    <row r="12160" spans="1:26" s="420" customFormat="1">
      <c r="A12160" s="275">
        <v>45912</v>
      </c>
      <c r="B12160" s="275">
        <v>45915</v>
      </c>
      <c r="C12160" s="420" t="s">
        <v>173</v>
      </c>
      <c r="D12160" s="420" t="s">
        <v>759</v>
      </c>
      <c r="E12160" s="501">
        <v>1001370.38</v>
      </c>
      <c r="F12160" s="95" t="s">
        <v>878</v>
      </c>
      <c r="G12160" s="443">
        <v>119080542</v>
      </c>
      <c r="H12160" s="595">
        <v>119080542</v>
      </c>
      <c r="I12160" s="278" t="s">
        <v>713</v>
      </c>
      <c r="J12160" s="43" t="s">
        <v>912</v>
      </c>
      <c r="K12160" s="564"/>
      <c r="L12160" s="591"/>
      <c r="M12160" s="591"/>
      <c r="N12160" s="598">
        <v>1286</v>
      </c>
      <c r="R12160" s="420">
        <v>777.63899688958008</v>
      </c>
      <c r="S12160" s="420">
        <v>778.67059097978199</v>
      </c>
      <c r="T12160" s="420">
        <v>16.14</v>
      </c>
      <c r="U12160" s="278">
        <v>39.32</v>
      </c>
      <c r="V12160" s="278">
        <v>2.25</v>
      </c>
      <c r="Z12160" s="420" t="s">
        <v>2953</v>
      </c>
    </row>
    <row r="12161" spans="1:26" s="420" customFormat="1">
      <c r="A12161" s="275">
        <v>45912</v>
      </c>
      <c r="B12161" s="275">
        <v>45915</v>
      </c>
      <c r="C12161" s="420" t="s">
        <v>173</v>
      </c>
      <c r="D12161" s="420" t="s">
        <v>759</v>
      </c>
      <c r="E12161" s="501">
        <v>72108825.489999995</v>
      </c>
      <c r="F12161" s="95" t="s">
        <v>878</v>
      </c>
      <c r="G12161" s="443">
        <v>119080545</v>
      </c>
      <c r="H12161" s="595">
        <v>119080545</v>
      </c>
      <c r="I12161" s="278" t="s">
        <v>631</v>
      </c>
      <c r="J12161" s="43" t="s">
        <v>912</v>
      </c>
      <c r="K12161" s="564"/>
      <c r="L12161" s="591"/>
      <c r="M12161" s="591"/>
      <c r="N12161" s="598">
        <v>139392</v>
      </c>
      <c r="R12161" s="420">
        <v>516.62430003156567</v>
      </c>
      <c r="S12161" s="420">
        <v>517.30964108413696</v>
      </c>
      <c r="T12161" s="420">
        <v>16.14</v>
      </c>
      <c r="U12161" s="278">
        <v>324.06</v>
      </c>
      <c r="V12161" s="278">
        <v>162.03</v>
      </c>
      <c r="Z12161" s="420" t="s">
        <v>2953</v>
      </c>
    </row>
    <row r="12162" spans="1:26" s="420" customFormat="1">
      <c r="A12162" s="275">
        <v>45912</v>
      </c>
      <c r="B12162" s="275">
        <v>45915</v>
      </c>
      <c r="C12162" s="420" t="s">
        <v>173</v>
      </c>
      <c r="D12162" s="420" t="s">
        <v>759</v>
      </c>
      <c r="E12162" s="501">
        <v>187408090.28999999</v>
      </c>
      <c r="F12162" s="95" t="s">
        <v>878</v>
      </c>
      <c r="G12162" s="443">
        <v>119080548</v>
      </c>
      <c r="H12162" s="595">
        <v>119080548</v>
      </c>
      <c r="I12162" s="278" t="s">
        <v>654</v>
      </c>
      <c r="J12162" s="43" t="s">
        <v>912</v>
      </c>
      <c r="K12162" s="564"/>
      <c r="L12162" s="591"/>
      <c r="M12162" s="591"/>
      <c r="N12162" s="598">
        <v>185504</v>
      </c>
      <c r="R12162" s="420">
        <v>1008.9259999784371</v>
      </c>
      <c r="S12162" s="420">
        <v>1010.26441634682</v>
      </c>
      <c r="T12162" s="420">
        <v>16.14</v>
      </c>
      <c r="U12162" s="278">
        <v>842.22</v>
      </c>
      <c r="V12162" s="278">
        <v>421.11</v>
      </c>
      <c r="Z12162" s="420" t="s">
        <v>2953</v>
      </c>
    </row>
    <row r="12163" spans="1:26" s="420" customFormat="1">
      <c r="A12163" s="275">
        <v>45912</v>
      </c>
      <c r="B12163" s="275">
        <v>45915</v>
      </c>
      <c r="C12163" s="420" t="s">
        <v>173</v>
      </c>
      <c r="D12163" s="420" t="s">
        <v>759</v>
      </c>
      <c r="E12163" s="501">
        <v>101138946.69</v>
      </c>
      <c r="F12163" s="95" t="s">
        <v>878</v>
      </c>
      <c r="G12163" s="443">
        <v>119080551</v>
      </c>
      <c r="H12163" s="595">
        <v>119080551</v>
      </c>
      <c r="I12163" s="278" t="s">
        <v>674</v>
      </c>
      <c r="J12163" s="43" t="s">
        <v>912</v>
      </c>
      <c r="K12163" s="564"/>
      <c r="L12163" s="591"/>
      <c r="M12163" s="591"/>
      <c r="N12163" s="598">
        <v>112918</v>
      </c>
      <c r="R12163" s="420">
        <v>894.49899998228807</v>
      </c>
      <c r="S12163" s="420">
        <v>895.68489248835397</v>
      </c>
      <c r="T12163" s="420">
        <v>16.130099999999999</v>
      </c>
      <c r="U12163" s="278">
        <v>454.52</v>
      </c>
      <c r="V12163" s="278">
        <v>227.26</v>
      </c>
      <c r="Z12163" s="420" t="s">
        <v>2953</v>
      </c>
    </row>
    <row r="12164" spans="1:26" s="420" customFormat="1">
      <c r="A12164" s="275">
        <v>45912</v>
      </c>
      <c r="B12164" s="275">
        <v>45915</v>
      </c>
      <c r="C12164" s="420" t="s">
        <v>173</v>
      </c>
      <c r="D12164" s="420" t="s">
        <v>759</v>
      </c>
      <c r="E12164" s="501">
        <v>442972467.88999999</v>
      </c>
      <c r="F12164" s="95" t="s">
        <v>878</v>
      </c>
      <c r="G12164" s="443">
        <v>119080554</v>
      </c>
      <c r="H12164" s="595">
        <v>119080554</v>
      </c>
      <c r="I12164" s="278" t="s">
        <v>675</v>
      </c>
      <c r="J12164" s="43" t="s">
        <v>912</v>
      </c>
      <c r="K12164" s="564"/>
      <c r="L12164" s="591"/>
      <c r="M12164" s="591"/>
      <c r="N12164" s="598">
        <v>472056</v>
      </c>
      <c r="R12164" s="420">
        <v>937.14800000423679</v>
      </c>
      <c r="S12164" s="420">
        <v>938.38965692629699</v>
      </c>
      <c r="T12164" s="420">
        <v>16.12</v>
      </c>
      <c r="U12164" s="278">
        <v>1990.74</v>
      </c>
      <c r="V12164" s="278">
        <v>995.37</v>
      </c>
      <c r="Z12164" s="420" t="s">
        <v>2953</v>
      </c>
    </row>
    <row r="12165" spans="1:26" s="420" customFormat="1">
      <c r="A12165" s="275">
        <v>45912</v>
      </c>
      <c r="B12165" s="275">
        <v>45915</v>
      </c>
      <c r="C12165" s="420" t="s">
        <v>173</v>
      </c>
      <c r="D12165" s="420" t="s">
        <v>759</v>
      </c>
      <c r="E12165" s="501">
        <v>13021157.970000001</v>
      </c>
      <c r="F12165" s="95" t="s">
        <v>878</v>
      </c>
      <c r="G12165" s="443">
        <v>119080888</v>
      </c>
      <c r="H12165" s="595">
        <v>119080888</v>
      </c>
      <c r="I12165" s="278" t="s">
        <v>717</v>
      </c>
      <c r="J12165" s="43" t="s">
        <v>912</v>
      </c>
      <c r="K12165" s="564"/>
      <c r="L12165" s="591"/>
      <c r="M12165" s="591"/>
      <c r="N12165" s="598">
        <v>22230</v>
      </c>
      <c r="R12165" s="420">
        <v>584.97299999999996</v>
      </c>
      <c r="S12165" s="420">
        <v>585.74709716599205</v>
      </c>
      <c r="T12165" s="420">
        <v>16.100200000000001</v>
      </c>
      <c r="U12165" s="278">
        <v>58.52</v>
      </c>
      <c r="V12165" s="278">
        <v>29.26</v>
      </c>
      <c r="Z12165" s="420" t="s">
        <v>2953</v>
      </c>
    </row>
    <row r="12166" spans="1:26">
      <c r="A12166" s="499">
        <v>45915</v>
      </c>
      <c r="B12166" s="499">
        <v>45915</v>
      </c>
      <c r="C12166" s="420" t="s">
        <v>173</v>
      </c>
      <c r="D12166" s="420" t="s">
        <v>762</v>
      </c>
      <c r="E12166" s="501">
        <v>-3472149453.3299999</v>
      </c>
      <c r="F12166" s="95" t="s">
        <v>878</v>
      </c>
      <c r="G12166" s="443">
        <v>119105693</v>
      </c>
      <c r="H12166" s="595"/>
      <c r="I12166" s="278" t="s">
        <v>693</v>
      </c>
      <c r="J12166" s="530" t="s">
        <v>906</v>
      </c>
      <c r="N12166" s="598">
        <v>4549170</v>
      </c>
      <c r="R12166" s="420">
        <v>763.24900000000002</v>
      </c>
      <c r="S12166" s="420">
        <v>763.57945963329598</v>
      </c>
      <c r="T12166" s="420">
        <v>15.8032</v>
      </c>
      <c r="U12166" s="278">
        <v>5208.22</v>
      </c>
      <c r="V12166" s="278">
        <v>2604.11</v>
      </c>
      <c r="Z12166" s="420" t="s">
        <v>2953</v>
      </c>
    </row>
    <row r="12167" spans="1:26">
      <c r="A12167" s="499">
        <v>45915</v>
      </c>
      <c r="B12167" s="499">
        <v>45915</v>
      </c>
      <c r="C12167" s="420" t="s">
        <v>173</v>
      </c>
      <c r="D12167" s="420" t="s">
        <v>762</v>
      </c>
      <c r="E12167" s="501">
        <v>-20012388.780000001</v>
      </c>
      <c r="F12167" s="95" t="s">
        <v>878</v>
      </c>
      <c r="G12167" s="443">
        <v>119105723</v>
      </c>
      <c r="H12167" s="595"/>
      <c r="I12167" s="278" t="s">
        <v>693</v>
      </c>
      <c r="J12167" s="530" t="s">
        <v>906</v>
      </c>
      <c r="N12167" s="598">
        <v>26220</v>
      </c>
      <c r="R12167" s="420">
        <v>763.24900000000002</v>
      </c>
      <c r="S12167" s="420">
        <v>763.57945957284505</v>
      </c>
      <c r="T12167" s="420">
        <v>15.8032</v>
      </c>
      <c r="U12167" s="278">
        <v>39.32</v>
      </c>
      <c r="V12167" s="278">
        <v>15.01</v>
      </c>
      <c r="Z12167" s="420" t="s">
        <v>2953</v>
      </c>
    </row>
    <row r="12168" spans="1:26">
      <c r="A12168" s="499">
        <v>45915</v>
      </c>
      <c r="B12168" s="499">
        <v>45916</v>
      </c>
      <c r="C12168" s="420" t="s">
        <v>173</v>
      </c>
      <c r="D12168" s="420" t="s">
        <v>762</v>
      </c>
      <c r="E12168" s="501">
        <v>3473652770.3800001</v>
      </c>
      <c r="F12168" s="95" t="s">
        <v>878</v>
      </c>
      <c r="G12168" s="443">
        <v>119105693</v>
      </c>
      <c r="H12168" s="595">
        <v>119105693</v>
      </c>
      <c r="I12168" s="278" t="s">
        <v>693</v>
      </c>
      <c r="J12168" s="530" t="s">
        <v>912</v>
      </c>
      <c r="N12168" s="598">
        <v>4549170</v>
      </c>
      <c r="R12168" s="420">
        <v>763.24900000000002</v>
      </c>
      <c r="S12168" s="420">
        <v>763.57945963329598</v>
      </c>
      <c r="T12168" s="420">
        <v>15.8032</v>
      </c>
      <c r="U12168" s="278">
        <v>5208.22</v>
      </c>
      <c r="V12168" s="278">
        <v>2604.11</v>
      </c>
      <c r="Z12168" s="420" t="s">
        <v>2953</v>
      </c>
    </row>
    <row r="12169" spans="1:26">
      <c r="A12169" s="499">
        <v>45915</v>
      </c>
      <c r="B12169" s="499">
        <v>45916</v>
      </c>
      <c r="C12169" s="420" t="s">
        <v>173</v>
      </c>
      <c r="D12169" s="420" t="s">
        <v>762</v>
      </c>
      <c r="E12169" s="501">
        <v>20021053.43</v>
      </c>
      <c r="F12169" s="95" t="s">
        <v>878</v>
      </c>
      <c r="G12169" s="443">
        <v>119105723</v>
      </c>
      <c r="H12169" s="595">
        <v>119105723</v>
      </c>
      <c r="I12169" s="278" t="s">
        <v>693</v>
      </c>
      <c r="J12169" s="530" t="s">
        <v>912</v>
      </c>
      <c r="N12169" s="598">
        <v>26220</v>
      </c>
      <c r="R12169" s="420">
        <v>763.24900000000002</v>
      </c>
      <c r="S12169" s="420">
        <v>763.57945957284505</v>
      </c>
      <c r="T12169" s="420">
        <v>15.8032</v>
      </c>
      <c r="U12169" s="278">
        <v>39.32</v>
      </c>
      <c r="V12169" s="278">
        <v>15.01</v>
      </c>
      <c r="Z12169" s="420" t="s">
        <v>2953</v>
      </c>
    </row>
    <row r="12170" spans="1:26">
      <c r="A12170" s="499">
        <v>45915</v>
      </c>
      <c r="B12170" s="499">
        <v>45915</v>
      </c>
      <c r="C12170" s="420" t="s">
        <v>173</v>
      </c>
      <c r="D12170" s="500" t="s">
        <v>761</v>
      </c>
      <c r="E12170" s="501">
        <v>-1401774343.9100001</v>
      </c>
      <c r="F12170" s="95" t="s">
        <v>878</v>
      </c>
      <c r="G12170" s="443">
        <v>119102733</v>
      </c>
      <c r="H12170" s="595"/>
      <c r="I12170" s="278" t="s">
        <v>685</v>
      </c>
      <c r="J12170" s="530" t="s">
        <v>906</v>
      </c>
      <c r="N12170" s="598">
        <v>1486461</v>
      </c>
      <c r="R12170" s="420">
        <v>943.02800000000002</v>
      </c>
      <c r="S12170" s="420">
        <v>943.44112377654005</v>
      </c>
      <c r="T12170" s="420">
        <v>15.99</v>
      </c>
      <c r="U12170" s="278">
        <v>2102.66</v>
      </c>
      <c r="V12170" s="278">
        <v>1051.33</v>
      </c>
      <c r="Z12170" s="420" t="s">
        <v>2953</v>
      </c>
    </row>
    <row r="12171" spans="1:26">
      <c r="A12171" s="499">
        <v>45915</v>
      </c>
      <c r="B12171" s="499">
        <v>45915</v>
      </c>
      <c r="C12171" s="420" t="s">
        <v>173</v>
      </c>
      <c r="D12171" s="500" t="s">
        <v>761</v>
      </c>
      <c r="E12171" s="501">
        <v>-8005824.9500000002</v>
      </c>
      <c r="F12171" s="95" t="s">
        <v>878</v>
      </c>
      <c r="G12171" s="443">
        <v>119105844</v>
      </c>
      <c r="H12171" s="595"/>
      <c r="I12171" s="278" t="s">
        <v>674</v>
      </c>
      <c r="J12171" s="530" t="s">
        <v>906</v>
      </c>
      <c r="N12171" s="598">
        <v>8936</v>
      </c>
      <c r="R12171" s="420">
        <v>895.90700000000004</v>
      </c>
      <c r="S12171" s="420">
        <v>896.294893688451</v>
      </c>
      <c r="T12171" s="420">
        <v>15.803100000000001</v>
      </c>
      <c r="U12171" s="278">
        <v>39.32</v>
      </c>
      <c r="V12171" s="278">
        <v>6</v>
      </c>
      <c r="Z12171" s="420" t="s">
        <v>2953</v>
      </c>
    </row>
    <row r="12172" spans="1:26">
      <c r="A12172" s="499">
        <v>45915</v>
      </c>
      <c r="B12172" s="499">
        <v>45916</v>
      </c>
      <c r="C12172" s="420" t="s">
        <v>173</v>
      </c>
      <c r="D12172" s="500" t="s">
        <v>761</v>
      </c>
      <c r="E12172" s="501">
        <v>1402388436.29</v>
      </c>
      <c r="F12172" s="95" t="s">
        <v>878</v>
      </c>
      <c r="G12172" s="443">
        <v>119102733</v>
      </c>
      <c r="H12172" s="595">
        <v>119102733</v>
      </c>
      <c r="I12172" s="278" t="s">
        <v>685</v>
      </c>
      <c r="J12172" s="530" t="s">
        <v>912</v>
      </c>
      <c r="N12172" s="598">
        <v>1486461</v>
      </c>
      <c r="R12172" s="420">
        <v>943.02800000000002</v>
      </c>
      <c r="S12172" s="420">
        <v>943.44112377654005</v>
      </c>
      <c r="T12172" s="420">
        <v>15.99</v>
      </c>
      <c r="U12172" s="278">
        <v>2102.66</v>
      </c>
      <c r="V12172" s="278">
        <v>1051.33</v>
      </c>
      <c r="Z12172" s="420" t="s">
        <v>2953</v>
      </c>
    </row>
    <row r="12173" spans="1:26">
      <c r="A12173" s="499">
        <v>45915</v>
      </c>
      <c r="B12173" s="499">
        <v>45916</v>
      </c>
      <c r="C12173" s="420" t="s">
        <v>173</v>
      </c>
      <c r="D12173" s="500" t="s">
        <v>761</v>
      </c>
      <c r="E12173" s="501">
        <v>8009291.1699999999</v>
      </c>
      <c r="F12173" s="95" t="s">
        <v>878</v>
      </c>
      <c r="G12173" s="443">
        <v>119105844</v>
      </c>
      <c r="H12173" s="595">
        <v>119105844</v>
      </c>
      <c r="I12173" s="278" t="s">
        <v>674</v>
      </c>
      <c r="J12173" s="530" t="s">
        <v>912</v>
      </c>
      <c r="N12173" s="598">
        <v>8936</v>
      </c>
      <c r="R12173" s="420">
        <v>895.90700000000004</v>
      </c>
      <c r="S12173" s="420">
        <v>896.294893688451</v>
      </c>
      <c r="T12173" s="420">
        <v>15.803100000000001</v>
      </c>
      <c r="U12173" s="278">
        <v>39.32</v>
      </c>
      <c r="V12173" s="278">
        <v>6</v>
      </c>
      <c r="Z12173" s="420" t="s">
        <v>2953</v>
      </c>
    </row>
    <row r="12174" spans="1:26">
      <c r="A12174" s="499">
        <v>45915</v>
      </c>
      <c r="B12174" s="499">
        <v>45915</v>
      </c>
      <c r="C12174" s="420" t="s">
        <v>173</v>
      </c>
      <c r="D12174" s="420" t="s">
        <v>759</v>
      </c>
      <c r="E12174" s="501">
        <v>-2414756951.1500001</v>
      </c>
      <c r="F12174" s="95" t="s">
        <v>878</v>
      </c>
      <c r="G12174" s="443">
        <v>119103693</v>
      </c>
      <c r="H12174" s="595"/>
      <c r="I12174" s="278" t="s">
        <v>674</v>
      </c>
      <c r="J12174" s="530" t="s">
        <v>906</v>
      </c>
      <c r="N12174" s="598">
        <v>2695321</v>
      </c>
      <c r="R12174" s="420">
        <v>895.90700000111303</v>
      </c>
      <c r="S12174" s="420">
        <v>896.29972635912395</v>
      </c>
      <c r="T12174" s="420">
        <v>16</v>
      </c>
      <c r="U12174" s="278">
        <v>3622.14</v>
      </c>
      <c r="V12174" s="278">
        <v>1811.07</v>
      </c>
      <c r="Z12174" s="420" t="s">
        <v>2953</v>
      </c>
    </row>
    <row r="12175" spans="1:26">
      <c r="A12175" s="499">
        <v>45915</v>
      </c>
      <c r="B12175" s="499">
        <v>45915</v>
      </c>
      <c r="C12175" s="420" t="s">
        <v>173</v>
      </c>
      <c r="D12175" s="420" t="s">
        <v>759</v>
      </c>
      <c r="E12175" s="501">
        <v>-13003064.189999999</v>
      </c>
      <c r="F12175" s="95" t="s">
        <v>878</v>
      </c>
      <c r="G12175" s="443">
        <v>119106388</v>
      </c>
      <c r="H12175" s="595"/>
      <c r="I12175" s="278" t="s">
        <v>723</v>
      </c>
      <c r="J12175" s="530" t="s">
        <v>906</v>
      </c>
      <c r="N12175" s="598">
        <v>21827</v>
      </c>
      <c r="R12175" s="420">
        <v>595.73299995418517</v>
      </c>
      <c r="S12175" s="420">
        <v>595.99088697484797</v>
      </c>
      <c r="T12175" s="420">
        <v>15.8005</v>
      </c>
      <c r="U12175" s="278">
        <v>39.32</v>
      </c>
      <c r="V12175" s="278">
        <v>9.75</v>
      </c>
      <c r="Z12175" s="420" t="s">
        <v>2953</v>
      </c>
    </row>
    <row r="12176" spans="1:26">
      <c r="A12176" s="499">
        <v>45915</v>
      </c>
      <c r="B12176" s="499">
        <v>45916</v>
      </c>
      <c r="C12176" s="420" t="s">
        <v>173</v>
      </c>
      <c r="D12176" s="420" t="s">
        <v>759</v>
      </c>
      <c r="E12176" s="501">
        <v>2415815474.75</v>
      </c>
      <c r="F12176" s="95" t="s">
        <v>878</v>
      </c>
      <c r="G12176" s="443">
        <v>119103693</v>
      </c>
      <c r="H12176" s="595">
        <v>119103693</v>
      </c>
      <c r="I12176" s="278" t="s">
        <v>674</v>
      </c>
      <c r="J12176" s="530" t="s">
        <v>912</v>
      </c>
      <c r="N12176" s="598">
        <v>2695321</v>
      </c>
      <c r="R12176" s="420">
        <v>895.90700000111303</v>
      </c>
      <c r="S12176" s="420">
        <v>896.29972635912395</v>
      </c>
      <c r="T12176" s="420">
        <v>16</v>
      </c>
      <c r="U12176" s="278">
        <v>3622.14</v>
      </c>
      <c r="V12176" s="278">
        <v>1811.07</v>
      </c>
      <c r="Z12176" s="420" t="s">
        <v>2953</v>
      </c>
    </row>
    <row r="12177" spans="1:26">
      <c r="A12177" s="499">
        <v>45915</v>
      </c>
      <c r="B12177" s="499">
        <v>45916</v>
      </c>
      <c r="C12177" s="420" t="s">
        <v>173</v>
      </c>
      <c r="D12177" s="420" t="s">
        <v>759</v>
      </c>
      <c r="E12177" s="501">
        <v>13008693.09</v>
      </c>
      <c r="F12177" s="95" t="s">
        <v>878</v>
      </c>
      <c r="G12177" s="443">
        <v>119106388</v>
      </c>
      <c r="H12177" s="595">
        <v>119106388</v>
      </c>
      <c r="I12177" s="278" t="s">
        <v>723</v>
      </c>
      <c r="J12177" s="530" t="s">
        <v>912</v>
      </c>
      <c r="N12177" s="598">
        <v>21827</v>
      </c>
      <c r="R12177" s="420">
        <v>595.73299995418517</v>
      </c>
      <c r="S12177" s="420">
        <v>595.99088697484797</v>
      </c>
      <c r="T12177" s="420">
        <v>15.8005</v>
      </c>
      <c r="U12177" s="278">
        <v>39.32</v>
      </c>
      <c r="V12177" s="278">
        <v>9.75</v>
      </c>
      <c r="Z12177" s="420" t="s">
        <v>2953</v>
      </c>
    </row>
    <row r="12178" spans="1:26">
      <c r="A12178" s="499">
        <v>45915</v>
      </c>
      <c r="B12178" s="499">
        <v>45915</v>
      </c>
      <c r="C12178" s="420" t="s">
        <v>173</v>
      </c>
      <c r="D12178" s="420" t="s">
        <v>760</v>
      </c>
      <c r="E12178" s="501">
        <v>-4001412.46</v>
      </c>
      <c r="F12178" s="95" t="s">
        <v>878</v>
      </c>
      <c r="G12178" s="443">
        <v>119103334</v>
      </c>
      <c r="H12178" s="595"/>
      <c r="I12178" s="278" t="s">
        <v>2944</v>
      </c>
      <c r="J12178" s="530" t="s">
        <v>906</v>
      </c>
      <c r="N12178" s="598">
        <v>4164</v>
      </c>
      <c r="R12178" s="420">
        <v>960.95399999999995</v>
      </c>
      <c r="S12178" s="420">
        <v>961.37523775216096</v>
      </c>
      <c r="T12178" s="420">
        <v>15.9999</v>
      </c>
      <c r="U12178" s="278">
        <v>39.32</v>
      </c>
      <c r="V12178" s="278">
        <v>3</v>
      </c>
      <c r="Z12178" s="420" t="s">
        <v>2953</v>
      </c>
    </row>
    <row r="12179" spans="1:26">
      <c r="A12179" s="499">
        <v>45915</v>
      </c>
      <c r="B12179" s="499">
        <v>45915</v>
      </c>
      <c r="C12179" s="420" t="s">
        <v>173</v>
      </c>
      <c r="D12179" s="420" t="s">
        <v>760</v>
      </c>
      <c r="E12179" s="501">
        <v>-729010643.39999998</v>
      </c>
      <c r="F12179" s="95" t="s">
        <v>878</v>
      </c>
      <c r="G12179" s="443">
        <v>119103141</v>
      </c>
      <c r="H12179" s="595"/>
      <c r="I12179" s="278" t="s">
        <v>675</v>
      </c>
      <c r="J12179" s="530" t="s">
        <v>906</v>
      </c>
      <c r="N12179" s="598">
        <v>777114</v>
      </c>
      <c r="R12179" s="420">
        <v>938.1</v>
      </c>
      <c r="S12179" s="420">
        <v>938.51121677128504</v>
      </c>
      <c r="T12179" s="420">
        <v>15.9998</v>
      </c>
      <c r="U12179" s="278">
        <v>1093.52</v>
      </c>
      <c r="V12179" s="278">
        <v>546.76</v>
      </c>
      <c r="Z12179" s="420" t="s">
        <v>2953</v>
      </c>
    </row>
    <row r="12180" spans="1:26">
      <c r="A12180" s="499">
        <v>45915</v>
      </c>
      <c r="B12180" s="499">
        <v>45915</v>
      </c>
      <c r="C12180" s="420" t="s">
        <v>173</v>
      </c>
      <c r="D12180" s="420" t="s">
        <v>760</v>
      </c>
      <c r="E12180" s="501">
        <v>-395330915.19999999</v>
      </c>
      <c r="F12180" s="95" t="s">
        <v>878</v>
      </c>
      <c r="G12180" s="443">
        <v>119102241</v>
      </c>
      <c r="H12180" s="595"/>
      <c r="I12180" s="278" t="s">
        <v>657</v>
      </c>
      <c r="J12180" s="530" t="s">
        <v>906</v>
      </c>
      <c r="N12180" s="598">
        <v>410800</v>
      </c>
      <c r="R12180" s="420">
        <v>962.34400000000005</v>
      </c>
      <c r="S12180" s="420">
        <v>962.76584415774096</v>
      </c>
      <c r="T12180" s="420">
        <v>15.9998</v>
      </c>
      <c r="U12180" s="278">
        <v>593</v>
      </c>
      <c r="V12180" s="278">
        <v>296.5</v>
      </c>
      <c r="Z12180" s="420" t="s">
        <v>2953</v>
      </c>
    </row>
    <row r="12181" spans="1:26">
      <c r="A12181" s="499">
        <v>45915</v>
      </c>
      <c r="B12181" s="499">
        <v>45915</v>
      </c>
      <c r="C12181" s="420" t="s">
        <v>173</v>
      </c>
      <c r="D12181" s="420" t="s">
        <v>760</v>
      </c>
      <c r="E12181" s="501">
        <v>-905758172.79999995</v>
      </c>
      <c r="F12181" s="95" t="s">
        <v>878</v>
      </c>
      <c r="G12181" s="443">
        <v>119102152</v>
      </c>
      <c r="H12181" s="595"/>
      <c r="I12181" s="278" t="s">
        <v>657</v>
      </c>
      <c r="J12181" s="530" t="s">
        <v>906</v>
      </c>
      <c r="N12181" s="598">
        <v>941200</v>
      </c>
      <c r="R12181" s="420">
        <v>962.34400000000005</v>
      </c>
      <c r="S12181" s="420">
        <v>962.76584415639604</v>
      </c>
      <c r="T12181" s="420">
        <v>15.9998</v>
      </c>
      <c r="U12181" s="278">
        <v>1358.64</v>
      </c>
      <c r="V12181" s="278">
        <v>679.32</v>
      </c>
      <c r="Z12181" s="420" t="s">
        <v>2953</v>
      </c>
    </row>
    <row r="12182" spans="1:26">
      <c r="A12182" s="499">
        <v>45915</v>
      </c>
      <c r="B12182" s="499">
        <v>45916</v>
      </c>
      <c r="C12182" s="420" t="s">
        <v>173</v>
      </c>
      <c r="D12182" s="420" t="s">
        <v>760</v>
      </c>
      <c r="E12182" s="501">
        <v>4003166.49</v>
      </c>
      <c r="F12182" s="95" t="s">
        <v>878</v>
      </c>
      <c r="G12182" s="443">
        <v>119103334</v>
      </c>
      <c r="H12182" s="595">
        <v>119103334</v>
      </c>
      <c r="I12182" s="278" t="s">
        <v>2944</v>
      </c>
      <c r="J12182" s="530" t="s">
        <v>912</v>
      </c>
      <c r="N12182" s="598">
        <v>4164</v>
      </c>
      <c r="R12182" s="420">
        <v>960.95399999999995</v>
      </c>
      <c r="S12182" s="420">
        <v>961.37523775216096</v>
      </c>
      <c r="T12182" s="420">
        <v>15.9999</v>
      </c>
      <c r="U12182" s="278">
        <v>39.32</v>
      </c>
      <c r="V12182" s="278">
        <v>3</v>
      </c>
      <c r="Z12182" s="420" t="s">
        <v>2953</v>
      </c>
    </row>
    <row r="12183" spans="1:26">
      <c r="A12183" s="499">
        <v>45915</v>
      </c>
      <c r="B12183" s="499">
        <v>45916</v>
      </c>
      <c r="C12183" s="420" t="s">
        <v>173</v>
      </c>
      <c r="D12183" s="420" t="s">
        <v>760</v>
      </c>
      <c r="E12183" s="501">
        <v>729330205.71000004</v>
      </c>
      <c r="F12183" s="95" t="s">
        <v>878</v>
      </c>
      <c r="G12183" s="443">
        <v>119103141</v>
      </c>
      <c r="H12183" s="595">
        <v>119103141</v>
      </c>
      <c r="I12183" s="278" t="s">
        <v>675</v>
      </c>
      <c r="J12183" s="530" t="s">
        <v>912</v>
      </c>
      <c r="N12183" s="598">
        <v>777114</v>
      </c>
      <c r="R12183" s="420">
        <v>938.1</v>
      </c>
      <c r="S12183" s="420">
        <v>938.51121677128504</v>
      </c>
      <c r="T12183" s="420">
        <v>15.9998</v>
      </c>
      <c r="U12183" s="278">
        <v>1093.52</v>
      </c>
      <c r="V12183" s="278">
        <v>546.76</v>
      </c>
      <c r="Z12183" s="420" t="s">
        <v>2953</v>
      </c>
    </row>
    <row r="12184" spans="1:26">
      <c r="A12184" s="499">
        <v>45915</v>
      </c>
      <c r="B12184" s="499">
        <v>45916</v>
      </c>
      <c r="C12184" s="420" t="s">
        <v>173</v>
      </c>
      <c r="D12184" s="420" t="s">
        <v>760</v>
      </c>
      <c r="E12184" s="501">
        <v>395504208.77999997</v>
      </c>
      <c r="F12184" s="95" t="s">
        <v>878</v>
      </c>
      <c r="G12184" s="443">
        <v>119102241</v>
      </c>
      <c r="H12184" s="595">
        <v>119102241</v>
      </c>
      <c r="I12184" s="278" t="s">
        <v>657</v>
      </c>
      <c r="J12184" s="530" t="s">
        <v>912</v>
      </c>
      <c r="N12184" s="598">
        <v>410800</v>
      </c>
      <c r="R12184" s="420">
        <v>962.34400000000005</v>
      </c>
      <c r="S12184" s="420">
        <v>962.76584415774096</v>
      </c>
      <c r="T12184" s="420">
        <v>15.9998</v>
      </c>
      <c r="U12184" s="278">
        <v>593</v>
      </c>
      <c r="V12184" s="278">
        <v>296.5</v>
      </c>
      <c r="Z12184" s="420" t="s">
        <v>2953</v>
      </c>
    </row>
    <row r="12185" spans="1:26">
      <c r="A12185" s="499">
        <v>45915</v>
      </c>
      <c r="B12185" s="499">
        <v>45916</v>
      </c>
      <c r="C12185" s="420" t="s">
        <v>173</v>
      </c>
      <c r="D12185" s="420" t="s">
        <v>760</v>
      </c>
      <c r="E12185" s="501">
        <v>906155212.51999998</v>
      </c>
      <c r="F12185" s="95" t="s">
        <v>878</v>
      </c>
      <c r="G12185" s="443">
        <v>119102152</v>
      </c>
      <c r="H12185" s="595">
        <v>119102152</v>
      </c>
      <c r="I12185" s="278" t="s">
        <v>657</v>
      </c>
      <c r="J12185" s="530" t="s">
        <v>912</v>
      </c>
      <c r="N12185" s="598">
        <v>941200</v>
      </c>
      <c r="R12185" s="420">
        <v>962.34400000000005</v>
      </c>
      <c r="S12185" s="420">
        <v>962.76584415639604</v>
      </c>
      <c r="T12185" s="420">
        <v>15.9998</v>
      </c>
      <c r="U12185" s="278">
        <v>1358.64</v>
      </c>
      <c r="V12185" s="278">
        <v>679.32</v>
      </c>
      <c r="Z12185" s="420" t="s">
        <v>2953</v>
      </c>
    </row>
    <row r="12186" spans="1:26">
      <c r="A12186" s="499">
        <v>45915</v>
      </c>
      <c r="B12186" s="499">
        <v>45915</v>
      </c>
      <c r="C12186" s="420" t="s">
        <v>173</v>
      </c>
      <c r="D12186" s="420" t="s">
        <v>763</v>
      </c>
      <c r="E12186" s="501">
        <v>-2079490034.8499999</v>
      </c>
      <c r="F12186" s="95" t="s">
        <v>878</v>
      </c>
      <c r="G12186" s="443">
        <v>119102751</v>
      </c>
      <c r="H12186" s="595"/>
      <c r="I12186" s="278" t="s">
        <v>723</v>
      </c>
      <c r="J12186" s="530" t="s">
        <v>906</v>
      </c>
      <c r="N12186" s="598">
        <v>3490641</v>
      </c>
      <c r="R12186" s="420">
        <v>595.73299999999995</v>
      </c>
      <c r="S12186" s="420">
        <v>595.99088710354397</v>
      </c>
      <c r="T12186" s="420">
        <v>15.8005</v>
      </c>
      <c r="U12186" s="278">
        <v>3119.24</v>
      </c>
      <c r="V12186" s="278">
        <v>1559.62</v>
      </c>
      <c r="Z12186" s="420" t="s">
        <v>2953</v>
      </c>
    </row>
    <row r="12187" spans="1:26">
      <c r="A12187" s="499">
        <v>45915</v>
      </c>
      <c r="B12187" s="499">
        <v>45915</v>
      </c>
      <c r="C12187" s="420" t="s">
        <v>173</v>
      </c>
      <c r="D12187" s="420" t="s">
        <v>763</v>
      </c>
      <c r="E12187" s="501">
        <v>-12000460.800000001</v>
      </c>
      <c r="F12187" s="95" t="s">
        <v>878</v>
      </c>
      <c r="G12187" s="443">
        <v>119102771</v>
      </c>
      <c r="H12187" s="595"/>
      <c r="I12187" s="278" t="s">
        <v>713</v>
      </c>
      <c r="J12187" s="530" t="s">
        <v>906</v>
      </c>
      <c r="N12187" s="598">
        <v>15420</v>
      </c>
      <c r="R12187" s="420">
        <v>778.24</v>
      </c>
      <c r="S12187" s="420">
        <v>778.57689494163401</v>
      </c>
      <c r="T12187" s="420">
        <v>15.800599999999999</v>
      </c>
      <c r="U12187" s="278">
        <v>39.32</v>
      </c>
      <c r="V12187" s="278">
        <v>39.32</v>
      </c>
      <c r="Z12187" s="420" t="s">
        <v>2953</v>
      </c>
    </row>
    <row r="12188" spans="1:26">
      <c r="A12188" s="499">
        <v>45915</v>
      </c>
      <c r="B12188" s="499">
        <v>45916</v>
      </c>
      <c r="C12188" s="420" t="s">
        <v>173</v>
      </c>
      <c r="D12188" s="420" t="s">
        <v>763</v>
      </c>
      <c r="E12188" s="501">
        <v>2080390226.1500001</v>
      </c>
      <c r="F12188" s="95" t="s">
        <v>878</v>
      </c>
      <c r="G12188" s="443">
        <v>119102751</v>
      </c>
      <c r="H12188" s="595">
        <v>119102751</v>
      </c>
      <c r="I12188" s="278" t="s">
        <v>723</v>
      </c>
      <c r="J12188" s="530" t="s">
        <v>912</v>
      </c>
      <c r="N12188" s="598">
        <v>3490641</v>
      </c>
      <c r="R12188" s="420">
        <v>595.73299999999995</v>
      </c>
      <c r="S12188" s="420">
        <v>595.99088710354397</v>
      </c>
      <c r="T12188" s="420">
        <v>15.8005</v>
      </c>
      <c r="U12188" s="278">
        <v>3119.24</v>
      </c>
      <c r="V12188" s="278">
        <v>1559.62</v>
      </c>
      <c r="Z12188" s="420" t="s">
        <v>2953</v>
      </c>
    </row>
    <row r="12189" spans="1:26">
      <c r="A12189" s="499">
        <v>45915</v>
      </c>
      <c r="B12189" s="499">
        <v>45916</v>
      </c>
      <c r="C12189" s="420" t="s">
        <v>173</v>
      </c>
      <c r="D12189" s="420" t="s">
        <v>763</v>
      </c>
      <c r="E12189" s="501">
        <v>12005655.720000001</v>
      </c>
      <c r="F12189" s="95" t="s">
        <v>878</v>
      </c>
      <c r="G12189" s="443">
        <v>119102771</v>
      </c>
      <c r="H12189" s="595">
        <v>119102771</v>
      </c>
      <c r="I12189" s="278" t="s">
        <v>713</v>
      </c>
      <c r="J12189" s="530" t="s">
        <v>912</v>
      </c>
      <c r="N12189" s="598">
        <v>15420</v>
      </c>
      <c r="R12189" s="420">
        <v>778.24</v>
      </c>
      <c r="S12189" s="420">
        <v>778.57689494163401</v>
      </c>
      <c r="T12189" s="420">
        <v>15.800599999999999</v>
      </c>
      <c r="U12189" s="278">
        <v>39.32</v>
      </c>
      <c r="V12189" s="278">
        <v>39.32</v>
      </c>
      <c r="Z12189" s="420" t="s">
        <v>2953</v>
      </c>
    </row>
    <row r="12190" spans="1:26">
      <c r="A12190" s="499">
        <v>45916</v>
      </c>
      <c r="B12190" s="499">
        <v>45916</v>
      </c>
      <c r="C12190" s="420" t="s">
        <v>173</v>
      </c>
      <c r="D12190" s="420" t="s">
        <v>763</v>
      </c>
      <c r="E12190" s="501">
        <v>-846052340.33000004</v>
      </c>
      <c r="F12190" s="95" t="s">
        <v>878</v>
      </c>
      <c r="G12190" s="443">
        <v>119126773</v>
      </c>
      <c r="H12190" s="595"/>
      <c r="I12190" s="278" t="s">
        <v>1090</v>
      </c>
      <c r="J12190" s="530" t="s">
        <v>906</v>
      </c>
      <c r="N12190" s="598">
        <v>8994672</v>
      </c>
      <c r="R12190" s="420">
        <v>94.061499999999995</v>
      </c>
      <c r="S12190" s="420">
        <v>94.102346400179997</v>
      </c>
      <c r="T12190" s="420">
        <v>15.850199999999999</v>
      </c>
      <c r="U12190" s="278">
        <v>1269.08</v>
      </c>
      <c r="V12190" s="278">
        <v>634.54</v>
      </c>
      <c r="Z12190" s="420" t="s">
        <v>2953</v>
      </c>
    </row>
    <row r="12191" spans="1:26">
      <c r="A12191" s="499">
        <v>45916</v>
      </c>
      <c r="B12191" s="499">
        <v>45916</v>
      </c>
      <c r="C12191" s="420" t="s">
        <v>173</v>
      </c>
      <c r="D12191" s="420" t="s">
        <v>763</v>
      </c>
      <c r="E12191" s="501">
        <v>-1234728030.3800001</v>
      </c>
      <c r="F12191" s="95" t="s">
        <v>878</v>
      </c>
      <c r="G12191" s="443">
        <v>119126776</v>
      </c>
      <c r="H12191" s="595"/>
      <c r="I12191" s="278" t="s">
        <v>723</v>
      </c>
      <c r="J12191" s="530" t="s">
        <v>906</v>
      </c>
      <c r="N12191" s="598">
        <v>2071886</v>
      </c>
      <c r="R12191" s="420">
        <v>595.94399999999996</v>
      </c>
      <c r="S12191" s="420">
        <v>596.201163712675</v>
      </c>
      <c r="T12191" s="420">
        <v>15.7506</v>
      </c>
      <c r="U12191" s="278">
        <v>1852.09</v>
      </c>
      <c r="V12191" s="278">
        <v>926.05</v>
      </c>
      <c r="Z12191" s="420" t="s">
        <v>2953</v>
      </c>
    </row>
    <row r="12192" spans="1:26">
      <c r="A12192" s="499">
        <v>45916</v>
      </c>
      <c r="B12192" s="499">
        <v>45916</v>
      </c>
      <c r="C12192" s="420" t="s">
        <v>173</v>
      </c>
      <c r="D12192" s="420" t="s">
        <v>763</v>
      </c>
      <c r="E12192" s="501">
        <v>-12005110.76</v>
      </c>
      <c r="F12192" s="95" t="s">
        <v>878</v>
      </c>
      <c r="G12192" s="443">
        <v>119126840</v>
      </c>
      <c r="H12192" s="595"/>
      <c r="I12192" s="278" t="s">
        <v>1013</v>
      </c>
      <c r="J12192" s="530" t="s">
        <v>906</v>
      </c>
      <c r="N12192" s="598">
        <v>21852</v>
      </c>
      <c r="R12192" s="420">
        <v>549.3827</v>
      </c>
      <c r="S12192" s="420">
        <v>549.62127219476497</v>
      </c>
      <c r="T12192" s="420">
        <v>15.850300000000001</v>
      </c>
      <c r="U12192" s="278">
        <v>39.32</v>
      </c>
      <c r="V12192" s="278">
        <v>39.32</v>
      </c>
      <c r="Z12192" s="420" t="s">
        <v>2953</v>
      </c>
    </row>
    <row r="12193" spans="1:26">
      <c r="A12193" s="499">
        <v>45916</v>
      </c>
      <c r="B12193" s="499">
        <v>45917</v>
      </c>
      <c r="C12193" s="420" t="s">
        <v>173</v>
      </c>
      <c r="D12193" s="420" t="s">
        <v>763</v>
      </c>
      <c r="E12193" s="501">
        <v>846419740.29999995</v>
      </c>
      <c r="F12193" s="95" t="s">
        <v>878</v>
      </c>
      <c r="G12193" s="443">
        <v>119126773</v>
      </c>
      <c r="H12193" s="595">
        <v>119126773</v>
      </c>
      <c r="I12193" s="278" t="s">
        <v>1090</v>
      </c>
      <c r="J12193" s="530" t="s">
        <v>912</v>
      </c>
      <c r="N12193" s="598">
        <v>8994672</v>
      </c>
      <c r="R12193" s="420">
        <v>94.061499999999995</v>
      </c>
      <c r="S12193" s="420">
        <v>94.102346400179997</v>
      </c>
      <c r="T12193" s="420">
        <v>15.850199999999999</v>
      </c>
      <c r="U12193" s="278">
        <v>1269.08</v>
      </c>
      <c r="V12193" s="278">
        <v>634.54</v>
      </c>
      <c r="Z12193" s="420" t="s">
        <v>2953</v>
      </c>
    </row>
    <row r="12194" spans="1:26">
      <c r="A12194" s="499">
        <v>45916</v>
      </c>
      <c r="B12194" s="499">
        <v>45917</v>
      </c>
      <c r="C12194" s="420" t="s">
        <v>173</v>
      </c>
      <c r="D12194" s="420" t="s">
        <v>763</v>
      </c>
      <c r="E12194" s="501">
        <v>1235260844.28</v>
      </c>
      <c r="F12194" s="95" t="s">
        <v>878</v>
      </c>
      <c r="G12194" s="443">
        <v>119126776</v>
      </c>
      <c r="H12194" s="595">
        <v>119126776</v>
      </c>
      <c r="I12194" s="278" t="s">
        <v>723</v>
      </c>
      <c r="J12194" s="530" t="s">
        <v>912</v>
      </c>
      <c r="N12194" s="598">
        <v>2071886</v>
      </c>
      <c r="R12194" s="420">
        <v>595.94399999999996</v>
      </c>
      <c r="S12194" s="420">
        <v>596.201163712675</v>
      </c>
      <c r="T12194" s="420">
        <v>15.7506</v>
      </c>
      <c r="U12194" s="278">
        <v>1852.09</v>
      </c>
      <c r="V12194" s="278">
        <v>926.05</v>
      </c>
      <c r="Z12194" s="420" t="s">
        <v>2953</v>
      </c>
    </row>
    <row r="12195" spans="1:26">
      <c r="A12195" s="499">
        <v>45916</v>
      </c>
      <c r="B12195" s="499">
        <v>45917</v>
      </c>
      <c r="C12195" s="420" t="s">
        <v>173</v>
      </c>
      <c r="D12195" s="420" t="s">
        <v>763</v>
      </c>
      <c r="E12195" s="501">
        <v>12010324.039999999</v>
      </c>
      <c r="F12195" s="95" t="s">
        <v>878</v>
      </c>
      <c r="G12195" s="443">
        <v>119126840</v>
      </c>
      <c r="H12195" s="595">
        <v>119126840</v>
      </c>
      <c r="I12195" s="278" t="s">
        <v>1013</v>
      </c>
      <c r="J12195" s="530" t="s">
        <v>912</v>
      </c>
      <c r="N12195" s="598">
        <v>21852</v>
      </c>
      <c r="R12195" s="420">
        <v>549.3827</v>
      </c>
      <c r="S12195" s="420">
        <v>549.62127219476497</v>
      </c>
      <c r="T12195" s="420">
        <v>15.850300000000001</v>
      </c>
      <c r="U12195" s="278">
        <v>39.32</v>
      </c>
      <c r="V12195" s="278">
        <v>39.32</v>
      </c>
      <c r="Z12195" s="420" t="s">
        <v>2953</v>
      </c>
    </row>
    <row r="12196" spans="1:26">
      <c r="A12196" s="499">
        <v>45916</v>
      </c>
      <c r="B12196" s="499">
        <v>45916</v>
      </c>
      <c r="C12196" s="420" t="s">
        <v>173</v>
      </c>
      <c r="D12196" s="500" t="s">
        <v>761</v>
      </c>
      <c r="E12196" s="501">
        <v>-1402595864.02</v>
      </c>
      <c r="F12196" s="95" t="s">
        <v>878</v>
      </c>
      <c r="G12196" s="443">
        <v>119127230</v>
      </c>
      <c r="H12196" s="595"/>
      <c r="I12196" s="278" t="s">
        <v>675</v>
      </c>
      <c r="J12196" s="530" t="s">
        <v>906</v>
      </c>
      <c r="N12196" s="598">
        <v>1494532</v>
      </c>
      <c r="R12196" s="420">
        <v>938.48500000000001</v>
      </c>
      <c r="S12196" s="420">
        <v>938.89356237270295</v>
      </c>
      <c r="T12196" s="420">
        <v>15.89</v>
      </c>
      <c r="U12196" s="278">
        <v>2103.89</v>
      </c>
      <c r="V12196" s="278">
        <v>1051.95</v>
      </c>
      <c r="Z12196" s="420" t="s">
        <v>2953</v>
      </c>
    </row>
    <row r="12197" spans="1:26">
      <c r="A12197" s="499">
        <v>45916</v>
      </c>
      <c r="B12197" s="499">
        <v>45916</v>
      </c>
      <c r="C12197" s="420" t="s">
        <v>173</v>
      </c>
      <c r="D12197" s="500" t="s">
        <v>761</v>
      </c>
      <c r="E12197" s="501">
        <v>-8001961.0599999996</v>
      </c>
      <c r="F12197" s="95" t="s">
        <v>878</v>
      </c>
      <c r="G12197" s="443">
        <v>119127331</v>
      </c>
      <c r="H12197" s="595"/>
      <c r="I12197" s="278" t="s">
        <v>674</v>
      </c>
      <c r="J12197" s="530" t="s">
        <v>906</v>
      </c>
      <c r="N12197" s="598">
        <v>8928</v>
      </c>
      <c r="R12197" s="420">
        <v>896.27700000000004</v>
      </c>
      <c r="S12197" s="420">
        <v>896.66743615591395</v>
      </c>
      <c r="T12197" s="420">
        <v>15.9001</v>
      </c>
      <c r="U12197" s="278">
        <v>39.32</v>
      </c>
      <c r="V12197" s="278">
        <v>6</v>
      </c>
      <c r="Z12197" s="420" t="s">
        <v>2953</v>
      </c>
    </row>
    <row r="12198" spans="1:26">
      <c r="A12198" s="499">
        <v>45916</v>
      </c>
      <c r="B12198" s="499">
        <v>45917</v>
      </c>
      <c r="C12198" s="420" t="s">
        <v>173</v>
      </c>
      <c r="D12198" s="500" t="s">
        <v>761</v>
      </c>
      <c r="E12198" s="501">
        <v>1403206473.5599999</v>
      </c>
      <c r="F12198" s="95" t="s">
        <v>878</v>
      </c>
      <c r="G12198" s="443">
        <v>119127230</v>
      </c>
      <c r="H12198" s="595">
        <v>119127230</v>
      </c>
      <c r="I12198" s="278" t="s">
        <v>675</v>
      </c>
      <c r="J12198" s="530" t="s">
        <v>912</v>
      </c>
      <c r="N12198" s="598">
        <v>1494532</v>
      </c>
      <c r="R12198" s="420">
        <v>938.48500000000001</v>
      </c>
      <c r="S12198" s="420">
        <v>938.89356237270295</v>
      </c>
      <c r="T12198" s="420">
        <v>15.89</v>
      </c>
      <c r="U12198" s="278">
        <v>2103.89</v>
      </c>
      <c r="V12198" s="278">
        <v>1051.95</v>
      </c>
      <c r="Z12198" s="420" t="s">
        <v>2953</v>
      </c>
    </row>
    <row r="12199" spans="1:26">
      <c r="A12199" s="499">
        <v>45916</v>
      </c>
      <c r="B12199" s="499">
        <v>45917</v>
      </c>
      <c r="C12199" s="420" t="s">
        <v>173</v>
      </c>
      <c r="D12199" s="500" t="s">
        <v>761</v>
      </c>
      <c r="E12199" s="501">
        <v>8005446.8700000001</v>
      </c>
      <c r="F12199" s="95" t="s">
        <v>878</v>
      </c>
      <c r="G12199" s="443">
        <v>119127331</v>
      </c>
      <c r="H12199" s="595">
        <v>119127331</v>
      </c>
      <c r="I12199" s="278" t="s">
        <v>674</v>
      </c>
      <c r="J12199" s="530" t="s">
        <v>912</v>
      </c>
      <c r="N12199" s="598">
        <v>8928</v>
      </c>
      <c r="R12199" s="420">
        <v>896.27700000000004</v>
      </c>
      <c r="S12199" s="420">
        <v>896.66743615591395</v>
      </c>
      <c r="T12199" s="420">
        <v>15.9001</v>
      </c>
      <c r="U12199" s="278">
        <v>39.32</v>
      </c>
      <c r="V12199" s="278">
        <v>6</v>
      </c>
      <c r="Z12199" s="420" t="s">
        <v>2953</v>
      </c>
    </row>
    <row r="12200" spans="1:26">
      <c r="A12200" s="499">
        <v>45916</v>
      </c>
      <c r="B12200" s="499">
        <v>45916</v>
      </c>
      <c r="C12200" s="420" t="s">
        <v>173</v>
      </c>
      <c r="D12200" s="420" t="s">
        <v>759</v>
      </c>
      <c r="E12200" s="501">
        <v>-2087129118.52</v>
      </c>
      <c r="F12200" s="95" t="s">
        <v>878</v>
      </c>
      <c r="G12200" s="443">
        <v>119126441</v>
      </c>
      <c r="H12200" s="595"/>
      <c r="I12200" s="278" t="s">
        <v>1090</v>
      </c>
      <c r="J12200" s="530" t="s">
        <v>906</v>
      </c>
      <c r="N12200" s="598">
        <v>22188984</v>
      </c>
      <c r="R12200" s="420">
        <v>94.061500000180274</v>
      </c>
      <c r="S12200" s="420">
        <v>94.102471643586796</v>
      </c>
      <c r="T12200" s="420">
        <v>15.8988</v>
      </c>
      <c r="U12200" s="278">
        <v>3130.69</v>
      </c>
      <c r="V12200" s="278">
        <v>1565.35</v>
      </c>
      <c r="Z12200" s="420" t="s">
        <v>2953</v>
      </c>
    </row>
    <row r="12201" spans="1:26">
      <c r="A12201" s="499">
        <v>45916</v>
      </c>
      <c r="B12201" s="499">
        <v>45916</v>
      </c>
      <c r="C12201" s="420" t="s">
        <v>173</v>
      </c>
      <c r="D12201" s="420" t="s">
        <v>759</v>
      </c>
      <c r="E12201" s="501">
        <v>-327020230.83999997</v>
      </c>
      <c r="F12201" s="95" t="s">
        <v>878</v>
      </c>
      <c r="G12201" s="443">
        <v>119126454</v>
      </c>
      <c r="H12201" s="595"/>
      <c r="I12201" s="278" t="s">
        <v>1090</v>
      </c>
      <c r="J12201" s="530" t="s">
        <v>906</v>
      </c>
      <c r="N12201" s="598">
        <v>3476664</v>
      </c>
      <c r="R12201" s="420">
        <v>94.06150000115052</v>
      </c>
      <c r="S12201" s="420">
        <v>94.102471645232299</v>
      </c>
      <c r="T12201" s="420">
        <v>15.8988</v>
      </c>
      <c r="U12201" s="278">
        <v>490.53</v>
      </c>
      <c r="V12201" s="278">
        <v>245.27</v>
      </c>
      <c r="Z12201" s="420" t="s">
        <v>2953</v>
      </c>
    </row>
    <row r="12202" spans="1:26">
      <c r="A12202" s="499">
        <v>45916</v>
      </c>
      <c r="B12202" s="499">
        <v>45916</v>
      </c>
      <c r="C12202" s="420" t="s">
        <v>173</v>
      </c>
      <c r="D12202" s="420" t="s">
        <v>759</v>
      </c>
      <c r="E12202" s="501">
        <v>-262063118.94</v>
      </c>
      <c r="F12202" s="95" t="s">
        <v>878</v>
      </c>
      <c r="G12202" s="443">
        <v>119127255</v>
      </c>
      <c r="H12202" s="595"/>
      <c r="I12202" s="278" t="s">
        <v>690</v>
      </c>
      <c r="J12202" s="530" t="s">
        <v>906</v>
      </c>
      <c r="N12202" s="598">
        <v>351604</v>
      </c>
      <c r="R12202" s="420">
        <v>745.3359999886236</v>
      </c>
      <c r="S12202" s="420">
        <v>747.62019957110795</v>
      </c>
      <c r="T12202" s="420">
        <v>15.98</v>
      </c>
      <c r="U12202" s="278">
        <v>2751.66</v>
      </c>
      <c r="V12202" s="278">
        <v>1375.83</v>
      </c>
      <c r="Z12202" s="420" t="s">
        <v>2953</v>
      </c>
    </row>
    <row r="12203" spans="1:26">
      <c r="A12203" s="499">
        <v>45916</v>
      </c>
      <c r="B12203" s="499">
        <v>45916</v>
      </c>
      <c r="C12203" s="420" t="s">
        <v>173</v>
      </c>
      <c r="D12203" s="420" t="s">
        <v>759</v>
      </c>
      <c r="E12203" s="501">
        <v>-489138923.92000002</v>
      </c>
      <c r="F12203" s="95" t="s">
        <v>878</v>
      </c>
      <c r="G12203" s="443">
        <v>119127288</v>
      </c>
      <c r="H12203" s="595"/>
      <c r="I12203" s="278" t="s">
        <v>717</v>
      </c>
      <c r="J12203" s="530" t="s">
        <v>906</v>
      </c>
      <c r="N12203" s="598">
        <v>834234</v>
      </c>
      <c r="R12203" s="420">
        <v>586.33299999760266</v>
      </c>
      <c r="S12203" s="420">
        <v>588.12990984543899</v>
      </c>
      <c r="T12203" s="420">
        <v>15.98</v>
      </c>
      <c r="U12203" s="278">
        <v>5135.96</v>
      </c>
      <c r="V12203" s="278">
        <v>2567.98</v>
      </c>
      <c r="Z12203" s="420" t="s">
        <v>2953</v>
      </c>
    </row>
    <row r="12204" spans="1:26">
      <c r="A12204" s="499">
        <v>45916</v>
      </c>
      <c r="B12204" s="499">
        <v>45916</v>
      </c>
      <c r="C12204" s="420" t="s">
        <v>173</v>
      </c>
      <c r="D12204" s="420" t="s">
        <v>759</v>
      </c>
      <c r="E12204" s="501">
        <v>-3437463381.0599999</v>
      </c>
      <c r="F12204" s="95" t="s">
        <v>878</v>
      </c>
      <c r="G12204" s="443">
        <v>119127426</v>
      </c>
      <c r="H12204" s="595"/>
      <c r="I12204" s="278" t="s">
        <v>1013</v>
      </c>
      <c r="J12204" s="530" t="s">
        <v>906</v>
      </c>
      <c r="N12204" s="598">
        <v>6256956</v>
      </c>
      <c r="R12204" s="420">
        <v>549.38269999980821</v>
      </c>
      <c r="S12204" s="420">
        <v>551.06636983063299</v>
      </c>
      <c r="T12204" s="420">
        <v>15.98</v>
      </c>
      <c r="U12204" s="278">
        <v>36093.370000000003</v>
      </c>
      <c r="V12204" s="278">
        <v>18046.68</v>
      </c>
      <c r="Z12204" s="420" t="s">
        <v>2953</v>
      </c>
    </row>
    <row r="12205" spans="1:26">
      <c r="A12205" s="499">
        <v>45916</v>
      </c>
      <c r="B12205" s="499">
        <v>45916</v>
      </c>
      <c r="C12205" s="420" t="s">
        <v>173</v>
      </c>
      <c r="D12205" s="420" t="s">
        <v>759</v>
      </c>
      <c r="E12205" s="501">
        <v>-2680650275.1999998</v>
      </c>
      <c r="F12205" s="95" t="s">
        <v>878</v>
      </c>
      <c r="G12205" s="443">
        <v>119127658</v>
      </c>
      <c r="H12205" s="595"/>
      <c r="I12205" s="278" t="s">
        <v>693</v>
      </c>
      <c r="J12205" s="530" t="s">
        <v>906</v>
      </c>
      <c r="N12205" s="598">
        <v>3510800</v>
      </c>
      <c r="R12205" s="420">
        <v>763.54399999999998</v>
      </c>
      <c r="S12205" s="420">
        <v>765.88400087159596</v>
      </c>
      <c r="T12205" s="420">
        <v>15.98</v>
      </c>
      <c r="U12205" s="278">
        <v>28146.83</v>
      </c>
      <c r="V12205" s="278">
        <v>14073.41</v>
      </c>
      <c r="Z12205" s="420" t="s">
        <v>2953</v>
      </c>
    </row>
    <row r="12206" spans="1:26">
      <c r="A12206" s="499">
        <v>45916</v>
      </c>
      <c r="B12206" s="499">
        <v>45916</v>
      </c>
      <c r="C12206" s="420" t="s">
        <v>173</v>
      </c>
      <c r="D12206" s="420" t="s">
        <v>759</v>
      </c>
      <c r="E12206" s="501">
        <v>-2493240131.3400002</v>
      </c>
      <c r="F12206" s="95" t="s">
        <v>878</v>
      </c>
      <c r="G12206" s="443">
        <v>119128011</v>
      </c>
      <c r="H12206" s="595"/>
      <c r="I12206" s="278" t="s">
        <v>1042</v>
      </c>
      <c r="J12206" s="530" t="s">
        <v>906</v>
      </c>
      <c r="N12206" s="598">
        <v>2629060</v>
      </c>
      <c r="R12206" s="420">
        <v>948.33900000000006</v>
      </c>
      <c r="S12206" s="420">
        <v>951.24533426015398</v>
      </c>
      <c r="T12206" s="420">
        <v>15.98</v>
      </c>
      <c r="U12206" s="278">
        <v>26179.02</v>
      </c>
      <c r="V12206" s="278">
        <v>13089.51</v>
      </c>
      <c r="Z12206" s="420" t="s">
        <v>2953</v>
      </c>
    </row>
    <row r="12207" spans="1:26">
      <c r="A12207" s="499">
        <v>45916</v>
      </c>
      <c r="B12207" s="499">
        <v>45916</v>
      </c>
      <c r="C12207" s="420" t="s">
        <v>173</v>
      </c>
      <c r="D12207" s="420" t="s">
        <v>759</v>
      </c>
      <c r="E12207" s="501">
        <v>-14005950.140000001</v>
      </c>
      <c r="F12207" s="95" t="s">
        <v>878</v>
      </c>
      <c r="G12207" s="443">
        <v>119128852</v>
      </c>
      <c r="H12207" s="595"/>
      <c r="I12207" s="278" t="s">
        <v>675</v>
      </c>
      <c r="J12207" s="530" t="s">
        <v>906</v>
      </c>
      <c r="N12207" s="598">
        <v>14924</v>
      </c>
      <c r="R12207" s="420">
        <v>938.48500000000001</v>
      </c>
      <c r="S12207" s="420">
        <v>938.893822031627</v>
      </c>
      <c r="T12207" s="420">
        <v>15.9001</v>
      </c>
      <c r="U12207" s="278">
        <v>39.32</v>
      </c>
      <c r="V12207" s="278">
        <v>10.5</v>
      </c>
      <c r="Z12207" s="420" t="s">
        <v>2953</v>
      </c>
    </row>
    <row r="12208" spans="1:26">
      <c r="A12208" s="499">
        <v>45916</v>
      </c>
      <c r="B12208" s="499">
        <v>45916</v>
      </c>
      <c r="C12208" s="420" t="s">
        <v>173</v>
      </c>
      <c r="D12208" s="420" t="s">
        <v>759</v>
      </c>
      <c r="E12208" s="501">
        <v>-55025832.82</v>
      </c>
      <c r="F12208" s="95" t="s">
        <v>878</v>
      </c>
      <c r="G12208" s="443">
        <v>119128997</v>
      </c>
      <c r="H12208" s="595"/>
      <c r="I12208" s="278" t="s">
        <v>631</v>
      </c>
      <c r="J12208" s="530" t="s">
        <v>906</v>
      </c>
      <c r="N12208" s="598">
        <v>105985</v>
      </c>
      <c r="R12208" s="420">
        <v>519.18509996697651</v>
      </c>
      <c r="S12208" s="420">
        <v>520.7682489975</v>
      </c>
      <c r="T12208" s="420">
        <v>15.899900000000001</v>
      </c>
      <c r="U12208" s="278">
        <v>577.77</v>
      </c>
      <c r="V12208" s="278">
        <v>288.89</v>
      </c>
      <c r="Z12208" s="420" t="s">
        <v>2953</v>
      </c>
    </row>
    <row r="12209" spans="1:26">
      <c r="A12209" s="499">
        <v>45916</v>
      </c>
      <c r="B12209" s="499">
        <v>45917</v>
      </c>
      <c r="C12209" s="420" t="s">
        <v>173</v>
      </c>
      <c r="D12209" s="420" t="s">
        <v>759</v>
      </c>
      <c r="E12209" s="501">
        <v>2088038237.6600001</v>
      </c>
      <c r="F12209" s="95" t="s">
        <v>878</v>
      </c>
      <c r="G12209" s="443">
        <v>119126441</v>
      </c>
      <c r="H12209" s="595">
        <v>119126441</v>
      </c>
      <c r="I12209" s="278" t="s">
        <v>1090</v>
      </c>
      <c r="J12209" s="530" t="s">
        <v>912</v>
      </c>
      <c r="N12209" s="598">
        <v>22188984</v>
      </c>
      <c r="R12209" s="420">
        <v>94.061500000180274</v>
      </c>
      <c r="S12209" s="420">
        <v>94.102471643586796</v>
      </c>
      <c r="T12209" s="420">
        <v>15.8988</v>
      </c>
      <c r="U12209" s="278">
        <v>3130.69</v>
      </c>
      <c r="V12209" s="278">
        <v>1565.35</v>
      </c>
      <c r="Z12209" s="420" t="s">
        <v>2953</v>
      </c>
    </row>
    <row r="12210" spans="1:26">
      <c r="A12210" s="499">
        <v>45916</v>
      </c>
      <c r="B12210" s="499">
        <v>45917</v>
      </c>
      <c r="C12210" s="420" t="s">
        <v>173</v>
      </c>
      <c r="D12210" s="420" t="s">
        <v>759</v>
      </c>
      <c r="E12210" s="501">
        <v>327162675.48000002</v>
      </c>
      <c r="F12210" s="95" t="s">
        <v>878</v>
      </c>
      <c r="G12210" s="443">
        <v>119126454</v>
      </c>
      <c r="H12210" s="595">
        <v>119126454</v>
      </c>
      <c r="I12210" s="278" t="s">
        <v>1090</v>
      </c>
      <c r="J12210" s="530" t="s">
        <v>912</v>
      </c>
      <c r="N12210" s="598">
        <v>3476664</v>
      </c>
      <c r="R12210" s="420">
        <v>94.06150000115052</v>
      </c>
      <c r="S12210" s="420">
        <v>94.102471645232299</v>
      </c>
      <c r="T12210" s="420">
        <v>15.8988</v>
      </c>
      <c r="U12210" s="278">
        <v>490.53</v>
      </c>
      <c r="V12210" s="278">
        <v>245.27</v>
      </c>
      <c r="Z12210" s="420" t="s">
        <v>2953</v>
      </c>
    </row>
    <row r="12211" spans="1:26">
      <c r="A12211" s="499">
        <v>45916</v>
      </c>
      <c r="B12211" s="499">
        <v>45923</v>
      </c>
      <c r="C12211" s="420" t="s">
        <v>173</v>
      </c>
      <c r="D12211" s="420" t="s">
        <v>759</v>
      </c>
      <c r="E12211" s="501">
        <v>262866252.65000001</v>
      </c>
      <c r="F12211" s="95" t="s">
        <v>878</v>
      </c>
      <c r="G12211" s="443">
        <v>119127255</v>
      </c>
      <c r="H12211" s="595">
        <v>119127255</v>
      </c>
      <c r="I12211" s="278" t="s">
        <v>690</v>
      </c>
      <c r="J12211" s="530" t="s">
        <v>912</v>
      </c>
      <c r="N12211" s="598">
        <v>351604</v>
      </c>
      <c r="R12211" s="420">
        <v>745.3359999886236</v>
      </c>
      <c r="S12211" s="420">
        <v>747.62019957110795</v>
      </c>
      <c r="T12211" s="420">
        <v>15.98</v>
      </c>
      <c r="U12211" s="278">
        <v>2751.66</v>
      </c>
      <c r="V12211" s="278">
        <v>1375.83</v>
      </c>
      <c r="Z12211" s="420" t="s">
        <v>2953</v>
      </c>
    </row>
    <row r="12212" spans="1:26">
      <c r="A12212" s="499">
        <v>45916</v>
      </c>
      <c r="B12212" s="499">
        <v>45923</v>
      </c>
      <c r="C12212" s="420" t="s">
        <v>173</v>
      </c>
      <c r="D12212" s="420" t="s">
        <v>759</v>
      </c>
      <c r="E12212" s="501">
        <v>490637967.20999998</v>
      </c>
      <c r="F12212" s="95" t="s">
        <v>878</v>
      </c>
      <c r="G12212" s="443">
        <v>119127288</v>
      </c>
      <c r="H12212" s="595">
        <v>119127288</v>
      </c>
      <c r="I12212" s="278" t="s">
        <v>717</v>
      </c>
      <c r="J12212" s="530" t="s">
        <v>912</v>
      </c>
      <c r="N12212" s="598">
        <v>834234</v>
      </c>
      <c r="R12212" s="420">
        <v>586.33299999760266</v>
      </c>
      <c r="S12212" s="420">
        <v>588.12990984543899</v>
      </c>
      <c r="T12212" s="420">
        <v>15.98</v>
      </c>
      <c r="U12212" s="278">
        <v>5135.96</v>
      </c>
      <c r="V12212" s="278">
        <v>2567.98</v>
      </c>
      <c r="Z12212" s="420" t="s">
        <v>2953</v>
      </c>
    </row>
    <row r="12213" spans="1:26">
      <c r="A12213" s="499">
        <v>45916</v>
      </c>
      <c r="B12213" s="499">
        <v>45923</v>
      </c>
      <c r="C12213" s="420" t="s">
        <v>173</v>
      </c>
      <c r="D12213" s="420" t="s">
        <v>759</v>
      </c>
      <c r="E12213" s="501">
        <v>3447998029.1100001</v>
      </c>
      <c r="F12213" s="95" t="s">
        <v>878</v>
      </c>
      <c r="G12213" s="443">
        <v>119127426</v>
      </c>
      <c r="H12213" s="595">
        <v>119127426</v>
      </c>
      <c r="I12213" s="278" t="s">
        <v>1013</v>
      </c>
      <c r="J12213" s="530" t="s">
        <v>912</v>
      </c>
      <c r="N12213" s="598">
        <v>6256956</v>
      </c>
      <c r="R12213" s="420">
        <v>549.38269999980821</v>
      </c>
      <c r="S12213" s="420">
        <v>551.06636983063299</v>
      </c>
      <c r="T12213" s="420">
        <v>15.98</v>
      </c>
      <c r="U12213" s="278">
        <v>36093.370000000003</v>
      </c>
      <c r="V12213" s="278">
        <v>18046.68</v>
      </c>
      <c r="Z12213" s="420" t="s">
        <v>2953</v>
      </c>
    </row>
    <row r="12214" spans="1:26">
      <c r="A12214" s="499">
        <v>45916</v>
      </c>
      <c r="B12214" s="499">
        <v>45923</v>
      </c>
      <c r="C12214" s="420" t="s">
        <v>173</v>
      </c>
      <c r="D12214" s="420" t="s">
        <v>759</v>
      </c>
      <c r="E12214" s="501">
        <v>2688865550.2600002</v>
      </c>
      <c r="F12214" s="95" t="s">
        <v>878</v>
      </c>
      <c r="G12214" s="443">
        <v>119127658</v>
      </c>
      <c r="H12214" s="595">
        <v>119127658</v>
      </c>
      <c r="I12214" s="278" t="s">
        <v>693</v>
      </c>
      <c r="J12214" s="530" t="s">
        <v>912</v>
      </c>
      <c r="N12214" s="598">
        <v>3510800</v>
      </c>
      <c r="R12214" s="420">
        <v>763.54399999999998</v>
      </c>
      <c r="S12214" s="420">
        <v>765.88400087159596</v>
      </c>
      <c r="T12214" s="420">
        <v>15.98</v>
      </c>
      <c r="U12214" s="278">
        <v>28146.83</v>
      </c>
      <c r="V12214" s="278">
        <v>14073.41</v>
      </c>
      <c r="Z12214" s="420" t="s">
        <v>2953</v>
      </c>
    </row>
    <row r="12215" spans="1:26">
      <c r="A12215" s="499">
        <v>45916</v>
      </c>
      <c r="B12215" s="499">
        <v>45923</v>
      </c>
      <c r="C12215" s="420" t="s">
        <v>173</v>
      </c>
      <c r="D12215" s="420" t="s">
        <v>759</v>
      </c>
      <c r="E12215" s="501">
        <v>2500881058.4899998</v>
      </c>
      <c r="F12215" s="95" t="s">
        <v>878</v>
      </c>
      <c r="G12215" s="443">
        <v>119128011</v>
      </c>
      <c r="H12215" s="595">
        <v>119128011</v>
      </c>
      <c r="I12215" s="278" t="s">
        <v>1042</v>
      </c>
      <c r="J12215" s="530" t="s">
        <v>912</v>
      </c>
      <c r="N12215" s="598">
        <v>2629060</v>
      </c>
      <c r="R12215" s="420">
        <v>948.33900000000006</v>
      </c>
      <c r="S12215" s="420">
        <v>951.24533426015398</v>
      </c>
      <c r="T12215" s="420">
        <v>15.98</v>
      </c>
      <c r="U12215" s="278">
        <v>26179.02</v>
      </c>
      <c r="V12215" s="278">
        <v>13089.51</v>
      </c>
      <c r="Z12215" s="420" t="s">
        <v>2953</v>
      </c>
    </row>
    <row r="12216" spans="1:26">
      <c r="A12216" s="499">
        <v>45916</v>
      </c>
      <c r="B12216" s="499">
        <v>45917</v>
      </c>
      <c r="C12216" s="420" t="s">
        <v>173</v>
      </c>
      <c r="D12216" s="420" t="s">
        <v>759</v>
      </c>
      <c r="E12216" s="501">
        <v>14012051.4</v>
      </c>
      <c r="F12216" s="95" t="s">
        <v>878</v>
      </c>
      <c r="G12216" s="443">
        <v>119128852</v>
      </c>
      <c r="H12216" s="595">
        <v>119128852</v>
      </c>
      <c r="I12216" s="278" t="s">
        <v>675</v>
      </c>
      <c r="J12216" s="530" t="s">
        <v>912</v>
      </c>
      <c r="N12216" s="598">
        <v>14924</v>
      </c>
      <c r="R12216" s="420">
        <v>938.48500000000001</v>
      </c>
      <c r="S12216" s="420">
        <v>938.893822031627</v>
      </c>
      <c r="T12216" s="420">
        <v>15.9001</v>
      </c>
      <c r="U12216" s="278">
        <v>39.32</v>
      </c>
      <c r="V12216" s="278">
        <v>10.5</v>
      </c>
      <c r="Z12216" s="420" t="s">
        <v>2953</v>
      </c>
    </row>
    <row r="12217" spans="1:26">
      <c r="A12217" s="499">
        <v>45916</v>
      </c>
      <c r="B12217" s="499">
        <v>45923</v>
      </c>
      <c r="C12217" s="420" t="s">
        <v>173</v>
      </c>
      <c r="D12217" s="420" t="s">
        <v>759</v>
      </c>
      <c r="E12217" s="501">
        <v>55193622.869999997</v>
      </c>
      <c r="F12217" s="95" t="s">
        <v>878</v>
      </c>
      <c r="G12217" s="443">
        <v>119128997</v>
      </c>
      <c r="H12217" s="595">
        <v>119128997</v>
      </c>
      <c r="I12217" s="278" t="s">
        <v>631</v>
      </c>
      <c r="J12217" s="530" t="s">
        <v>912</v>
      </c>
      <c r="N12217" s="598">
        <v>105985</v>
      </c>
      <c r="R12217" s="420">
        <v>519.18509996697651</v>
      </c>
      <c r="S12217" s="420">
        <v>520.7682489975</v>
      </c>
      <c r="T12217" s="420">
        <v>15.899900000000001</v>
      </c>
      <c r="U12217" s="278">
        <v>577.77</v>
      </c>
      <c r="V12217" s="278">
        <v>288.89</v>
      </c>
      <c r="Z12217" s="420" t="s">
        <v>2953</v>
      </c>
    </row>
    <row r="12218" spans="1:26">
      <c r="A12218" s="499">
        <v>45916</v>
      </c>
      <c r="B12218" s="499">
        <v>45916</v>
      </c>
      <c r="C12218" s="420" t="s">
        <v>173</v>
      </c>
      <c r="D12218" s="500" t="s">
        <v>762</v>
      </c>
      <c r="E12218" s="501">
        <v>-129010531.56</v>
      </c>
      <c r="F12218" s="95" t="s">
        <v>878</v>
      </c>
      <c r="G12218" s="443">
        <v>119133386</v>
      </c>
      <c r="H12218" s="595"/>
      <c r="I12218" s="278" t="s">
        <v>604</v>
      </c>
      <c r="J12218" s="530" t="s">
        <v>906</v>
      </c>
      <c r="N12218" s="598">
        <v>125130</v>
      </c>
      <c r="R12218" s="420">
        <v>1031.0119999999999</v>
      </c>
      <c r="S12218" s="420">
        <v>1031.4512393510699</v>
      </c>
      <c r="T12218" s="420">
        <v>15.55</v>
      </c>
      <c r="U12218" s="278">
        <v>193.52</v>
      </c>
      <c r="V12218" s="278">
        <v>96.76</v>
      </c>
      <c r="Z12218" s="420" t="s">
        <v>2953</v>
      </c>
    </row>
    <row r="12219" spans="1:26">
      <c r="A12219" s="499">
        <v>45916</v>
      </c>
      <c r="B12219" s="499">
        <v>45916</v>
      </c>
      <c r="C12219" s="420" t="s">
        <v>173</v>
      </c>
      <c r="D12219" s="500" t="s">
        <v>762</v>
      </c>
      <c r="E12219" s="501">
        <v>-512487636.99000001</v>
      </c>
      <c r="F12219" s="95" t="s">
        <v>878</v>
      </c>
      <c r="G12219" s="443">
        <v>119133389</v>
      </c>
      <c r="H12219" s="595"/>
      <c r="I12219" s="278" t="s">
        <v>658</v>
      </c>
      <c r="J12219" s="530" t="s">
        <v>906</v>
      </c>
      <c r="N12219" s="598">
        <v>499712</v>
      </c>
      <c r="R12219" s="420">
        <v>1025.566</v>
      </c>
      <c r="S12219" s="420">
        <v>1026.0029192014599</v>
      </c>
      <c r="T12219" s="420">
        <v>15.55</v>
      </c>
      <c r="U12219" s="278">
        <v>768.73</v>
      </c>
      <c r="V12219" s="278">
        <v>384.37</v>
      </c>
      <c r="Z12219" s="420" t="s">
        <v>2953</v>
      </c>
    </row>
    <row r="12220" spans="1:26">
      <c r="A12220" s="499">
        <v>45916</v>
      </c>
      <c r="B12220" s="499">
        <v>45916</v>
      </c>
      <c r="C12220" s="420" t="s">
        <v>173</v>
      </c>
      <c r="D12220" s="500" t="s">
        <v>762</v>
      </c>
      <c r="E12220" s="501">
        <v>-237051200.30000001</v>
      </c>
      <c r="F12220" s="95" t="s">
        <v>878</v>
      </c>
      <c r="G12220" s="443">
        <v>119133392</v>
      </c>
      <c r="H12220" s="595"/>
      <c r="I12220" s="278" t="s">
        <v>692</v>
      </c>
      <c r="J12220" s="530" t="s">
        <v>906</v>
      </c>
      <c r="N12220" s="598">
        <v>323505</v>
      </c>
      <c r="R12220" s="420">
        <v>732.75900000000001</v>
      </c>
      <c r="S12220" s="420">
        <v>733.07117543778304</v>
      </c>
      <c r="T12220" s="420">
        <v>15.55</v>
      </c>
      <c r="U12220" s="278">
        <v>355.58</v>
      </c>
      <c r="V12220" s="278">
        <v>177.79</v>
      </c>
      <c r="Z12220" s="420" t="s">
        <v>2953</v>
      </c>
    </row>
    <row r="12221" spans="1:26">
      <c r="A12221" s="499">
        <v>45916</v>
      </c>
      <c r="B12221" s="499">
        <v>45916</v>
      </c>
      <c r="C12221" s="420" t="s">
        <v>173</v>
      </c>
      <c r="D12221" s="500" t="s">
        <v>762</v>
      </c>
      <c r="E12221" s="501">
        <v>-155037341.36000001</v>
      </c>
      <c r="F12221" s="95" t="s">
        <v>878</v>
      </c>
      <c r="G12221" s="443">
        <v>119133395</v>
      </c>
      <c r="H12221" s="595"/>
      <c r="I12221" s="278" t="s">
        <v>690</v>
      </c>
      <c r="J12221" s="530" t="s">
        <v>906</v>
      </c>
      <c r="N12221" s="598">
        <v>208010</v>
      </c>
      <c r="R12221" s="420">
        <v>745.33600000000001</v>
      </c>
      <c r="S12221" s="420">
        <v>745.653533580116</v>
      </c>
      <c r="T12221" s="420">
        <v>15.55</v>
      </c>
      <c r="U12221" s="278">
        <v>232.56</v>
      </c>
      <c r="V12221" s="278">
        <v>116.28</v>
      </c>
      <c r="Z12221" s="420" t="s">
        <v>2953</v>
      </c>
    </row>
    <row r="12222" spans="1:26">
      <c r="A12222" s="499">
        <v>45916</v>
      </c>
      <c r="B12222" s="499">
        <v>45916</v>
      </c>
      <c r="C12222" s="420" t="s">
        <v>173</v>
      </c>
      <c r="D12222" s="500" t="s">
        <v>762</v>
      </c>
      <c r="E12222" s="501">
        <v>-139003779.13</v>
      </c>
      <c r="F12222" s="95" t="s">
        <v>878</v>
      </c>
      <c r="G12222" s="443">
        <v>119133398</v>
      </c>
      <c r="H12222" s="595"/>
      <c r="I12222" s="278" t="s">
        <v>598</v>
      </c>
      <c r="J12222" s="530" t="s">
        <v>906</v>
      </c>
      <c r="N12222" s="598">
        <v>131772</v>
      </c>
      <c r="R12222" s="420">
        <v>1054.8810000000001</v>
      </c>
      <c r="S12222" s="420">
        <v>1055.3304082050799</v>
      </c>
      <c r="T12222" s="420">
        <v>15.55</v>
      </c>
      <c r="U12222" s="278">
        <v>208.51</v>
      </c>
      <c r="V12222" s="278">
        <v>104.25</v>
      </c>
      <c r="Z12222" s="420" t="s">
        <v>2953</v>
      </c>
    </row>
    <row r="12223" spans="1:26">
      <c r="A12223" s="499">
        <v>45916</v>
      </c>
      <c r="B12223" s="499">
        <v>45916</v>
      </c>
      <c r="C12223" s="420" t="s">
        <v>173</v>
      </c>
      <c r="D12223" s="500" t="s">
        <v>762</v>
      </c>
      <c r="E12223" s="501">
        <v>-76019727.170000002</v>
      </c>
      <c r="F12223" s="95" t="s">
        <v>878</v>
      </c>
      <c r="G12223" s="443">
        <v>119133401</v>
      </c>
      <c r="H12223" s="595"/>
      <c r="I12223" s="278" t="s">
        <v>715</v>
      </c>
      <c r="J12223" s="530" t="s">
        <v>906</v>
      </c>
      <c r="N12223" s="598">
        <v>125552</v>
      </c>
      <c r="R12223" s="420">
        <v>605.48400000000004</v>
      </c>
      <c r="S12223" s="420">
        <v>605.74195281636298</v>
      </c>
      <c r="T12223" s="420">
        <v>15.55</v>
      </c>
      <c r="U12223" s="278">
        <v>114.03</v>
      </c>
      <c r="V12223" s="278">
        <v>57.01</v>
      </c>
      <c r="Z12223" s="420" t="s">
        <v>2953</v>
      </c>
    </row>
    <row r="12224" spans="1:26">
      <c r="A12224" s="499">
        <v>45916</v>
      </c>
      <c r="B12224" s="499">
        <v>45916</v>
      </c>
      <c r="C12224" s="420" t="s">
        <v>173</v>
      </c>
      <c r="D12224" s="500" t="s">
        <v>762</v>
      </c>
      <c r="E12224" s="501">
        <v>-39009462.960000001</v>
      </c>
      <c r="F12224" s="95" t="s">
        <v>878</v>
      </c>
      <c r="G12224" s="443">
        <v>119133404</v>
      </c>
      <c r="H12224" s="595"/>
      <c r="I12224" s="278" t="s">
        <v>693</v>
      </c>
      <c r="J12224" s="530" t="s">
        <v>906</v>
      </c>
      <c r="N12224" s="598">
        <v>51090</v>
      </c>
      <c r="R12224" s="420">
        <v>763.54399999999998</v>
      </c>
      <c r="S12224" s="420">
        <v>763.86929066353503</v>
      </c>
      <c r="T12224" s="420">
        <v>15.55</v>
      </c>
      <c r="U12224" s="278">
        <v>58.51</v>
      </c>
      <c r="V12224" s="278">
        <v>29.26</v>
      </c>
      <c r="Z12224" s="420" t="s">
        <v>2953</v>
      </c>
    </row>
    <row r="12225" spans="1:26">
      <c r="A12225" s="499">
        <v>45916</v>
      </c>
      <c r="B12225" s="499">
        <v>45916</v>
      </c>
      <c r="C12225" s="420" t="s">
        <v>173</v>
      </c>
      <c r="D12225" s="500" t="s">
        <v>762</v>
      </c>
      <c r="E12225" s="501">
        <v>-36019750.68</v>
      </c>
      <c r="F12225" s="95" t="s">
        <v>878</v>
      </c>
      <c r="G12225" s="443">
        <v>119133407</v>
      </c>
      <c r="H12225" s="595"/>
      <c r="I12225" s="278" t="s">
        <v>590</v>
      </c>
      <c r="J12225" s="530" t="s">
        <v>906</v>
      </c>
      <c r="N12225" s="598">
        <v>40932</v>
      </c>
      <c r="R12225" s="420">
        <v>879.99</v>
      </c>
      <c r="S12225" s="420">
        <v>880.36489983387105</v>
      </c>
      <c r="T12225" s="420">
        <v>15.55</v>
      </c>
      <c r="U12225" s="278">
        <v>54.03</v>
      </c>
      <c r="V12225" s="278">
        <v>27.01</v>
      </c>
      <c r="Z12225" s="420" t="s">
        <v>2953</v>
      </c>
    </row>
    <row r="12226" spans="1:26">
      <c r="A12226" s="499">
        <v>45916</v>
      </c>
      <c r="B12226" s="499">
        <v>45916</v>
      </c>
      <c r="C12226" s="420" t="s">
        <v>173</v>
      </c>
      <c r="D12226" s="500" t="s">
        <v>762</v>
      </c>
      <c r="E12226" s="501">
        <v>-30019549.32</v>
      </c>
      <c r="F12226" s="95" t="s">
        <v>878</v>
      </c>
      <c r="G12226" s="443">
        <v>119133410</v>
      </c>
      <c r="H12226" s="595"/>
      <c r="I12226" s="278" t="s">
        <v>823</v>
      </c>
      <c r="J12226" s="530" t="s">
        <v>906</v>
      </c>
      <c r="N12226" s="598">
        <v>29160</v>
      </c>
      <c r="R12226" s="420">
        <v>1029.4770000000001</v>
      </c>
      <c r="S12226" s="420">
        <v>1029.9155853909499</v>
      </c>
      <c r="T12226" s="420">
        <v>15.55</v>
      </c>
      <c r="U12226" s="278">
        <v>45.03</v>
      </c>
      <c r="V12226" s="278">
        <v>22.51</v>
      </c>
      <c r="Z12226" s="420" t="s">
        <v>2953</v>
      </c>
    </row>
    <row r="12227" spans="1:26">
      <c r="A12227" s="499">
        <v>45916</v>
      </c>
      <c r="B12227" s="499">
        <v>45916</v>
      </c>
      <c r="C12227" s="420" t="s">
        <v>173</v>
      </c>
      <c r="D12227" s="500" t="s">
        <v>762</v>
      </c>
      <c r="E12227" s="501">
        <v>-28009591.34</v>
      </c>
      <c r="F12227" s="95" t="s">
        <v>878</v>
      </c>
      <c r="G12227" s="443">
        <v>119133413</v>
      </c>
      <c r="H12227" s="595"/>
      <c r="I12227" s="278" t="s">
        <v>821</v>
      </c>
      <c r="J12227" s="530" t="s">
        <v>906</v>
      </c>
      <c r="N12227" s="598">
        <v>27216</v>
      </c>
      <c r="R12227" s="420">
        <v>1029.1590000000001</v>
      </c>
      <c r="S12227" s="420">
        <v>1029.5974496619599</v>
      </c>
      <c r="T12227" s="420">
        <v>15.55</v>
      </c>
      <c r="U12227" s="278">
        <v>42.01</v>
      </c>
      <c r="V12227" s="278">
        <v>21.01</v>
      </c>
      <c r="Z12227" s="420" t="s">
        <v>2953</v>
      </c>
    </row>
    <row r="12228" spans="1:26">
      <c r="A12228" s="499">
        <v>45916</v>
      </c>
      <c r="B12228" s="499">
        <v>45916</v>
      </c>
      <c r="C12228" s="420" t="s">
        <v>173</v>
      </c>
      <c r="D12228" s="500" t="s">
        <v>762</v>
      </c>
      <c r="E12228" s="501">
        <v>-23004843.43</v>
      </c>
      <c r="F12228" s="95" t="s">
        <v>878</v>
      </c>
      <c r="G12228" s="443">
        <v>119133416</v>
      </c>
      <c r="H12228" s="595"/>
      <c r="I12228" s="278" t="s">
        <v>588</v>
      </c>
      <c r="J12228" s="530" t="s">
        <v>906</v>
      </c>
      <c r="N12228" s="598">
        <v>26956</v>
      </c>
      <c r="R12228" s="420">
        <v>853.42200000000003</v>
      </c>
      <c r="S12228" s="420">
        <v>853.78558094672803</v>
      </c>
      <c r="T12228" s="420">
        <v>15.55</v>
      </c>
      <c r="U12228" s="278">
        <v>39.32</v>
      </c>
      <c r="V12228" s="278">
        <v>17.25</v>
      </c>
      <c r="Z12228" s="420" t="s">
        <v>2953</v>
      </c>
    </row>
    <row r="12229" spans="1:26">
      <c r="A12229" s="499">
        <v>45916</v>
      </c>
      <c r="B12229" s="499">
        <v>45916</v>
      </c>
      <c r="C12229" s="420" t="s">
        <v>173</v>
      </c>
      <c r="D12229" s="500" t="s">
        <v>762</v>
      </c>
      <c r="E12229" s="501">
        <v>-20005191.359999999</v>
      </c>
      <c r="F12229" s="95" t="s">
        <v>878</v>
      </c>
      <c r="G12229" s="443">
        <v>119133419</v>
      </c>
      <c r="H12229" s="595"/>
      <c r="I12229" s="278" t="s">
        <v>715</v>
      </c>
      <c r="J12229" s="530" t="s">
        <v>906</v>
      </c>
      <c r="N12229" s="598">
        <v>33040</v>
      </c>
      <c r="R12229" s="420">
        <v>605.48400000000004</v>
      </c>
      <c r="S12229" s="420">
        <v>605.74195278450395</v>
      </c>
      <c r="T12229" s="420">
        <v>15.55</v>
      </c>
      <c r="U12229" s="278">
        <v>39.32</v>
      </c>
      <c r="V12229" s="278">
        <v>15</v>
      </c>
      <c r="Z12229" s="420" t="s">
        <v>2953</v>
      </c>
    </row>
    <row r="12230" spans="1:26">
      <c r="A12230" s="499">
        <v>45916</v>
      </c>
      <c r="B12230" s="499">
        <v>45916</v>
      </c>
      <c r="C12230" s="420" t="s">
        <v>173</v>
      </c>
      <c r="D12230" s="500" t="s">
        <v>762</v>
      </c>
      <c r="E12230" s="501">
        <v>-19008476.780000001</v>
      </c>
      <c r="F12230" s="95" t="s">
        <v>878</v>
      </c>
      <c r="G12230" s="443">
        <v>119133422</v>
      </c>
      <c r="H12230" s="595"/>
      <c r="I12230" s="624" t="s">
        <v>550</v>
      </c>
      <c r="J12230" s="530" t="s">
        <v>906</v>
      </c>
      <c r="N12230" s="598">
        <v>34143</v>
      </c>
      <c r="R12230" s="420">
        <v>556.73130000000003</v>
      </c>
      <c r="S12230" s="420">
        <v>556.96848285153601</v>
      </c>
      <c r="T12230" s="420">
        <v>15.55</v>
      </c>
      <c r="U12230" s="278">
        <v>39.32</v>
      </c>
      <c r="V12230" s="278">
        <v>14.26</v>
      </c>
      <c r="Z12230" s="420" t="s">
        <v>2953</v>
      </c>
    </row>
    <row r="12231" spans="1:26">
      <c r="A12231" s="499">
        <v>45916</v>
      </c>
      <c r="B12231" s="499">
        <v>45916</v>
      </c>
      <c r="C12231" s="420" t="s">
        <v>173</v>
      </c>
      <c r="D12231" s="500" t="s">
        <v>762</v>
      </c>
      <c r="E12231" s="501">
        <v>-9008571.7400000002</v>
      </c>
      <c r="F12231" s="95" t="s">
        <v>878</v>
      </c>
      <c r="G12231" s="443">
        <v>119133425</v>
      </c>
      <c r="H12231" s="595"/>
      <c r="I12231" s="278" t="s">
        <v>658</v>
      </c>
      <c r="J12231" s="530" t="s">
        <v>906</v>
      </c>
      <c r="N12231" s="598">
        <v>8784</v>
      </c>
      <c r="R12231" s="420">
        <v>1025.566</v>
      </c>
      <c r="S12231" s="420">
        <v>1026.0029189435299</v>
      </c>
      <c r="T12231" s="420">
        <v>15.55</v>
      </c>
      <c r="U12231" s="278">
        <v>39.32</v>
      </c>
      <c r="V12231" s="278">
        <v>6.76</v>
      </c>
      <c r="Z12231" s="420" t="s">
        <v>2953</v>
      </c>
    </row>
    <row r="12232" spans="1:26">
      <c r="A12232" s="499">
        <v>45916</v>
      </c>
      <c r="B12232" s="499">
        <v>45916</v>
      </c>
      <c r="C12232" s="420" t="s">
        <v>173</v>
      </c>
      <c r="D12232" s="500" t="s">
        <v>762</v>
      </c>
      <c r="E12232" s="501">
        <v>-4000621.46</v>
      </c>
      <c r="F12232" s="95" t="s">
        <v>878</v>
      </c>
      <c r="G12232" s="443">
        <v>119133428</v>
      </c>
      <c r="H12232" s="595"/>
      <c r="I12232" s="278" t="s">
        <v>673</v>
      </c>
      <c r="J12232" s="530" t="s">
        <v>906</v>
      </c>
      <c r="N12232" s="598">
        <v>4408</v>
      </c>
      <c r="R12232" s="420">
        <v>907.58199999999999</v>
      </c>
      <c r="S12232" s="420">
        <v>907.96865471869296</v>
      </c>
      <c r="T12232" s="420">
        <v>15.55</v>
      </c>
      <c r="U12232" s="278">
        <v>39.32</v>
      </c>
      <c r="V12232" s="278">
        <v>3</v>
      </c>
      <c r="Z12232" s="420" t="s">
        <v>2953</v>
      </c>
    </row>
    <row r="12233" spans="1:26">
      <c r="A12233" s="499">
        <v>45916</v>
      </c>
      <c r="B12233" s="499">
        <v>45916</v>
      </c>
      <c r="C12233" s="420" t="s">
        <v>173</v>
      </c>
      <c r="D12233" s="500" t="s">
        <v>762</v>
      </c>
      <c r="E12233" s="501">
        <v>-203023986.99000001</v>
      </c>
      <c r="F12233" s="95" t="s">
        <v>878</v>
      </c>
      <c r="G12233" s="443">
        <v>119133431</v>
      </c>
      <c r="H12233" s="595"/>
      <c r="I12233" s="278" t="s">
        <v>833</v>
      </c>
      <c r="J12233" s="530" t="s">
        <v>906</v>
      </c>
      <c r="N12233" s="598">
        <v>318101</v>
      </c>
      <c r="R12233" s="420">
        <v>638.23749999999995</v>
      </c>
      <c r="S12233" s="420">
        <v>638.50940666643601</v>
      </c>
      <c r="T12233" s="420">
        <v>15.55</v>
      </c>
      <c r="U12233" s="278">
        <v>304.54000000000002</v>
      </c>
      <c r="V12233" s="278">
        <v>152.27000000000001</v>
      </c>
      <c r="Z12233" s="420" t="s">
        <v>2953</v>
      </c>
    </row>
    <row r="12234" spans="1:26">
      <c r="A12234" s="499">
        <v>45916</v>
      </c>
      <c r="B12234" s="499">
        <v>45916</v>
      </c>
      <c r="C12234" s="420" t="s">
        <v>173</v>
      </c>
      <c r="D12234" s="500" t="s">
        <v>762</v>
      </c>
      <c r="E12234" s="501">
        <v>-131004992.15000001</v>
      </c>
      <c r="F12234" s="95" t="s">
        <v>878</v>
      </c>
      <c r="G12234" s="443">
        <v>119133434</v>
      </c>
      <c r="H12234" s="595"/>
      <c r="I12234" s="278" t="s">
        <v>687</v>
      </c>
      <c r="J12234" s="530" t="s">
        <v>906</v>
      </c>
      <c r="N12234" s="598">
        <v>159427</v>
      </c>
      <c r="R12234" s="420">
        <v>821.72400000000005</v>
      </c>
      <c r="S12234" s="420">
        <v>822.07407697566896</v>
      </c>
      <c r="T12234" s="420">
        <v>15.55</v>
      </c>
      <c r="U12234" s="278">
        <v>196.51</v>
      </c>
      <c r="V12234" s="278">
        <v>98.25</v>
      </c>
      <c r="Z12234" s="420" t="s">
        <v>2953</v>
      </c>
    </row>
    <row r="12235" spans="1:26">
      <c r="A12235" s="499">
        <v>45916</v>
      </c>
      <c r="B12235" s="499">
        <v>45916</v>
      </c>
      <c r="C12235" s="420" t="s">
        <v>173</v>
      </c>
      <c r="D12235" s="500" t="s">
        <v>762</v>
      </c>
      <c r="E12235" s="501">
        <v>-127015006.64</v>
      </c>
      <c r="F12235" s="95" t="s">
        <v>878</v>
      </c>
      <c r="G12235" s="443">
        <v>119133437</v>
      </c>
      <c r="H12235" s="595"/>
      <c r="I12235" s="278" t="s">
        <v>833</v>
      </c>
      <c r="J12235" s="530" t="s">
        <v>906</v>
      </c>
      <c r="N12235" s="598">
        <v>199009</v>
      </c>
      <c r="R12235" s="420">
        <v>638.23749999999995</v>
      </c>
      <c r="S12235" s="420">
        <v>638.50940665999997</v>
      </c>
      <c r="T12235" s="420">
        <v>15.55</v>
      </c>
      <c r="U12235" s="278">
        <v>190.52</v>
      </c>
      <c r="V12235" s="278">
        <v>95.26</v>
      </c>
      <c r="Z12235" s="420" t="s">
        <v>2953</v>
      </c>
    </row>
    <row r="12236" spans="1:26">
      <c r="A12236" s="499">
        <v>45916</v>
      </c>
      <c r="B12236" s="499">
        <v>45916</v>
      </c>
      <c r="C12236" s="420" t="s">
        <v>173</v>
      </c>
      <c r="D12236" s="500" t="s">
        <v>762</v>
      </c>
      <c r="E12236" s="501">
        <v>-92087622.269999996</v>
      </c>
      <c r="F12236" s="95" t="s">
        <v>878</v>
      </c>
      <c r="G12236" s="443">
        <v>119133440</v>
      </c>
      <c r="H12236" s="595"/>
      <c r="I12236" s="278" t="s">
        <v>658</v>
      </c>
      <c r="J12236" s="530" t="s">
        <v>906</v>
      </c>
      <c r="N12236" s="598">
        <v>89792</v>
      </c>
      <c r="R12236" s="420">
        <v>1025.566</v>
      </c>
      <c r="S12236" s="420">
        <v>1026.0029191910201</v>
      </c>
      <c r="T12236" s="420">
        <v>15.55</v>
      </c>
      <c r="U12236" s="278">
        <v>138.13</v>
      </c>
      <c r="V12236" s="278">
        <v>69.069999999999993</v>
      </c>
      <c r="Z12236" s="420" t="s">
        <v>2953</v>
      </c>
    </row>
    <row r="12237" spans="1:26">
      <c r="A12237" s="499">
        <v>45916</v>
      </c>
      <c r="B12237" s="499">
        <v>45916</v>
      </c>
      <c r="C12237" s="420" t="s">
        <v>173</v>
      </c>
      <c r="D12237" s="500" t="s">
        <v>762</v>
      </c>
      <c r="E12237" s="501">
        <v>-90049376.700000003</v>
      </c>
      <c r="F12237" s="95" t="s">
        <v>878</v>
      </c>
      <c r="G12237" s="443">
        <v>119133443</v>
      </c>
      <c r="H12237" s="595"/>
      <c r="I12237" s="278" t="s">
        <v>590</v>
      </c>
      <c r="J12237" s="530" t="s">
        <v>906</v>
      </c>
      <c r="N12237" s="598">
        <v>102330</v>
      </c>
      <c r="R12237" s="420">
        <v>879.99</v>
      </c>
      <c r="S12237" s="420">
        <v>880.36489983387105</v>
      </c>
      <c r="T12237" s="420">
        <v>15.55</v>
      </c>
      <c r="U12237" s="278">
        <v>135.07</v>
      </c>
      <c r="V12237" s="278">
        <v>67.540000000000006</v>
      </c>
      <c r="Z12237" s="420" t="s">
        <v>2953</v>
      </c>
    </row>
    <row r="12238" spans="1:26">
      <c r="A12238" s="499">
        <v>45916</v>
      </c>
      <c r="B12238" s="499">
        <v>45916</v>
      </c>
      <c r="C12238" s="420" t="s">
        <v>173</v>
      </c>
      <c r="D12238" s="500" t="s">
        <v>762</v>
      </c>
      <c r="E12238" s="501">
        <v>-34018653.420000002</v>
      </c>
      <c r="F12238" s="95" t="s">
        <v>878</v>
      </c>
      <c r="G12238" s="443">
        <v>119133446</v>
      </c>
      <c r="H12238" s="595"/>
      <c r="I12238" s="278" t="s">
        <v>590</v>
      </c>
      <c r="J12238" s="530" t="s">
        <v>906</v>
      </c>
      <c r="N12238" s="598">
        <v>38658</v>
      </c>
      <c r="R12238" s="420">
        <v>879.99</v>
      </c>
      <c r="S12238" s="420">
        <v>880.36489989135498</v>
      </c>
      <c r="T12238" s="420">
        <v>15.55</v>
      </c>
      <c r="U12238" s="278">
        <v>51.03</v>
      </c>
      <c r="V12238" s="278">
        <v>25.51</v>
      </c>
      <c r="Z12238" s="420" t="s">
        <v>2953</v>
      </c>
    </row>
    <row r="12239" spans="1:26">
      <c r="A12239" s="499">
        <v>45916</v>
      </c>
      <c r="B12239" s="499">
        <v>45916</v>
      </c>
      <c r="C12239" s="420" t="s">
        <v>173</v>
      </c>
      <c r="D12239" s="500" t="s">
        <v>762</v>
      </c>
      <c r="E12239" s="501">
        <v>-29024367.420000002</v>
      </c>
      <c r="F12239" s="95" t="s">
        <v>878</v>
      </c>
      <c r="G12239" s="443">
        <v>119133449</v>
      </c>
      <c r="H12239" s="595"/>
      <c r="I12239" s="278" t="s">
        <v>656</v>
      </c>
      <c r="J12239" s="530" t="s">
        <v>906</v>
      </c>
      <c r="N12239" s="598">
        <v>29783</v>
      </c>
      <c r="R12239" s="420">
        <v>974.52800000000002</v>
      </c>
      <c r="S12239" s="420">
        <v>974.94317563710797</v>
      </c>
      <c r="T12239" s="420">
        <v>15.55</v>
      </c>
      <c r="U12239" s="278">
        <v>43.54</v>
      </c>
      <c r="V12239" s="278">
        <v>21.77</v>
      </c>
      <c r="Z12239" s="420" t="s">
        <v>2953</v>
      </c>
    </row>
    <row r="12240" spans="1:26">
      <c r="A12240" s="499">
        <v>45916</v>
      </c>
      <c r="B12240" s="499">
        <v>45916</v>
      </c>
      <c r="C12240" s="420" t="s">
        <v>173</v>
      </c>
      <c r="D12240" s="500" t="s">
        <v>762</v>
      </c>
      <c r="E12240" s="501">
        <v>-20002363.25</v>
      </c>
      <c r="F12240" s="95" t="s">
        <v>878</v>
      </c>
      <c r="G12240" s="443">
        <v>119133452</v>
      </c>
      <c r="H12240" s="595"/>
      <c r="I12240" s="278" t="s">
        <v>833</v>
      </c>
      <c r="J12240" s="530" t="s">
        <v>906</v>
      </c>
      <c r="N12240" s="598">
        <v>31340</v>
      </c>
      <c r="R12240" s="420">
        <v>638.23749999999995</v>
      </c>
      <c r="S12240" s="420">
        <v>638.50940650925304</v>
      </c>
      <c r="T12240" s="420">
        <v>15.55</v>
      </c>
      <c r="U12240" s="278">
        <v>39.32</v>
      </c>
      <c r="V12240" s="278">
        <v>15</v>
      </c>
      <c r="Z12240" s="420" t="s">
        <v>2953</v>
      </c>
    </row>
    <row r="12241" spans="1:26">
      <c r="A12241" s="499">
        <v>45916</v>
      </c>
      <c r="B12241" s="499">
        <v>45916</v>
      </c>
      <c r="C12241" s="420" t="s">
        <v>173</v>
      </c>
      <c r="D12241" s="500" t="s">
        <v>762</v>
      </c>
      <c r="E12241" s="501">
        <v>-15012603.84</v>
      </c>
      <c r="F12241" s="95" t="s">
        <v>878</v>
      </c>
      <c r="G12241" s="443">
        <v>119133455</v>
      </c>
      <c r="H12241" s="595"/>
      <c r="I12241" s="278" t="s">
        <v>656</v>
      </c>
      <c r="J12241" s="530" t="s">
        <v>906</v>
      </c>
      <c r="N12241" s="598">
        <v>15405</v>
      </c>
      <c r="R12241" s="420">
        <v>974.52800000000002</v>
      </c>
      <c r="S12241" s="420">
        <v>974.94317559234003</v>
      </c>
      <c r="T12241" s="420">
        <v>15.55</v>
      </c>
      <c r="U12241" s="278">
        <v>39.32</v>
      </c>
      <c r="V12241" s="278">
        <v>11.26</v>
      </c>
      <c r="Z12241" s="420" t="s">
        <v>2953</v>
      </c>
    </row>
    <row r="12242" spans="1:26">
      <c r="A12242" s="499">
        <v>45916</v>
      </c>
      <c r="B12242" s="499">
        <v>45916</v>
      </c>
      <c r="C12242" s="420" t="s">
        <v>173</v>
      </c>
      <c r="D12242" s="500" t="s">
        <v>762</v>
      </c>
      <c r="E12242" s="501">
        <v>-1274312298.1700001</v>
      </c>
      <c r="F12242" s="95" t="s">
        <v>878</v>
      </c>
      <c r="G12242" s="443">
        <v>119133458</v>
      </c>
      <c r="H12242" s="595"/>
      <c r="I12242" s="278" t="s">
        <v>674</v>
      </c>
      <c r="J12242" s="530" t="s">
        <v>906</v>
      </c>
      <c r="N12242" s="598">
        <v>1421784</v>
      </c>
      <c r="R12242" s="420">
        <v>896.27700000000004</v>
      </c>
      <c r="S12242" s="420">
        <v>896.65834744940105</v>
      </c>
      <c r="T12242" s="420">
        <v>15.53</v>
      </c>
      <c r="U12242" s="278">
        <v>1911.47</v>
      </c>
      <c r="V12242" s="278">
        <v>955.73</v>
      </c>
      <c r="Z12242" s="420" t="s">
        <v>2953</v>
      </c>
    </row>
    <row r="12243" spans="1:26">
      <c r="A12243" s="499">
        <v>45916</v>
      </c>
      <c r="B12243" s="499">
        <v>45916</v>
      </c>
      <c r="C12243" s="420" t="s">
        <v>173</v>
      </c>
      <c r="D12243" s="500" t="s">
        <v>762</v>
      </c>
      <c r="E12243" s="501">
        <v>-20004902.640000001</v>
      </c>
      <c r="F12243" s="95" t="s">
        <v>878</v>
      </c>
      <c r="G12243" s="443">
        <v>119133513</v>
      </c>
      <c r="H12243" s="595"/>
      <c r="I12243" s="278" t="s">
        <v>674</v>
      </c>
      <c r="J12243" s="530" t="s">
        <v>906</v>
      </c>
      <c r="N12243" s="598">
        <v>22320</v>
      </c>
      <c r="R12243" s="420">
        <v>896.27700000000004</v>
      </c>
      <c r="S12243" s="420">
        <v>896.65834767025103</v>
      </c>
      <c r="T12243" s="420">
        <v>15.53</v>
      </c>
      <c r="U12243" s="278">
        <v>39.32</v>
      </c>
      <c r="V12243" s="278">
        <v>15</v>
      </c>
      <c r="Z12243" s="420" t="s">
        <v>2953</v>
      </c>
    </row>
    <row r="12244" spans="1:26">
      <c r="A12244" s="499">
        <v>45916</v>
      </c>
      <c r="B12244" s="499">
        <v>45917</v>
      </c>
      <c r="C12244" s="420" t="s">
        <v>173</v>
      </c>
      <c r="D12244" s="500" t="s">
        <v>762</v>
      </c>
      <c r="E12244" s="501">
        <v>129065493.58</v>
      </c>
      <c r="F12244" s="95" t="s">
        <v>878</v>
      </c>
      <c r="G12244" s="443">
        <v>119133386</v>
      </c>
      <c r="H12244" s="443">
        <v>119133386</v>
      </c>
      <c r="I12244" s="278" t="s">
        <v>604</v>
      </c>
      <c r="J12244" s="530" t="s">
        <v>912</v>
      </c>
      <c r="N12244" s="598">
        <v>125130</v>
      </c>
      <c r="R12244" s="420">
        <v>1031.0119999999999</v>
      </c>
      <c r="S12244" s="420">
        <v>1031.4512393510699</v>
      </c>
      <c r="T12244" s="420">
        <v>15.55</v>
      </c>
      <c r="U12244" s="278">
        <v>193.52</v>
      </c>
      <c r="V12244" s="278">
        <v>96.76</v>
      </c>
      <c r="Z12244" s="420" t="s">
        <v>2953</v>
      </c>
    </row>
    <row r="12245" spans="1:26">
      <c r="A12245" s="499">
        <v>45916</v>
      </c>
      <c r="B12245" s="499">
        <v>45917</v>
      </c>
      <c r="C12245" s="420" t="s">
        <v>173</v>
      </c>
      <c r="D12245" s="500" t="s">
        <v>762</v>
      </c>
      <c r="E12245" s="501">
        <v>512705970.75999999</v>
      </c>
      <c r="F12245" s="95" t="s">
        <v>878</v>
      </c>
      <c r="G12245" s="443">
        <v>119133389</v>
      </c>
      <c r="H12245" s="443">
        <v>119133389</v>
      </c>
      <c r="I12245" s="278" t="s">
        <v>658</v>
      </c>
      <c r="J12245" s="530" t="s">
        <v>912</v>
      </c>
      <c r="N12245" s="598">
        <v>499712</v>
      </c>
      <c r="R12245" s="420">
        <v>1025.566</v>
      </c>
      <c r="S12245" s="420">
        <v>1026.0029192014599</v>
      </c>
      <c r="T12245" s="420">
        <v>15.55</v>
      </c>
      <c r="U12245" s="278">
        <v>768.73</v>
      </c>
      <c r="V12245" s="278">
        <v>384.37</v>
      </c>
      <c r="Z12245" s="420" t="s">
        <v>2953</v>
      </c>
    </row>
    <row r="12246" spans="1:26">
      <c r="A12246" s="499">
        <v>45916</v>
      </c>
      <c r="B12246" s="499">
        <v>45917</v>
      </c>
      <c r="C12246" s="420" t="s">
        <v>173</v>
      </c>
      <c r="D12246" s="500" t="s">
        <v>762</v>
      </c>
      <c r="E12246" s="501">
        <v>237152190.61000001</v>
      </c>
      <c r="F12246" s="95" t="s">
        <v>878</v>
      </c>
      <c r="G12246" s="443">
        <v>119133392</v>
      </c>
      <c r="H12246" s="443">
        <v>119133392</v>
      </c>
      <c r="I12246" s="278" t="s">
        <v>692</v>
      </c>
      <c r="J12246" s="530" t="s">
        <v>912</v>
      </c>
      <c r="N12246" s="598">
        <v>323505</v>
      </c>
      <c r="R12246" s="420">
        <v>732.75900000000001</v>
      </c>
      <c r="S12246" s="420">
        <v>733.07117543778304</v>
      </c>
      <c r="T12246" s="420">
        <v>15.55</v>
      </c>
      <c r="U12246" s="278">
        <v>355.58</v>
      </c>
      <c r="V12246" s="278">
        <v>177.79</v>
      </c>
      <c r="Z12246" s="420" t="s">
        <v>2953</v>
      </c>
    </row>
    <row r="12247" spans="1:26">
      <c r="A12247" s="499">
        <v>45916</v>
      </c>
      <c r="B12247" s="499">
        <v>45917</v>
      </c>
      <c r="C12247" s="420" t="s">
        <v>173</v>
      </c>
      <c r="D12247" s="500" t="s">
        <v>762</v>
      </c>
      <c r="E12247" s="501">
        <v>155103391.52000001</v>
      </c>
      <c r="F12247" s="95" t="s">
        <v>878</v>
      </c>
      <c r="G12247" s="443">
        <v>119133395</v>
      </c>
      <c r="H12247" s="443">
        <v>119133395</v>
      </c>
      <c r="I12247" s="278" t="s">
        <v>690</v>
      </c>
      <c r="J12247" s="530" t="s">
        <v>912</v>
      </c>
      <c r="N12247" s="598">
        <v>208010</v>
      </c>
      <c r="R12247" s="420">
        <v>745.33600000000001</v>
      </c>
      <c r="S12247" s="420">
        <v>745.653533580116</v>
      </c>
      <c r="T12247" s="420">
        <v>15.55</v>
      </c>
      <c r="U12247" s="278">
        <v>232.56</v>
      </c>
      <c r="V12247" s="278">
        <v>116.28</v>
      </c>
      <c r="Z12247" s="420" t="s">
        <v>2953</v>
      </c>
    </row>
    <row r="12248" spans="1:26">
      <c r="A12248" s="499">
        <v>45916</v>
      </c>
      <c r="B12248" s="499">
        <v>45917</v>
      </c>
      <c r="C12248" s="420" t="s">
        <v>173</v>
      </c>
      <c r="D12248" s="500" t="s">
        <v>762</v>
      </c>
      <c r="E12248" s="501">
        <v>139062998.55000001</v>
      </c>
      <c r="F12248" s="95" t="s">
        <v>878</v>
      </c>
      <c r="G12248" s="443">
        <v>119133398</v>
      </c>
      <c r="H12248" s="443">
        <v>119133398</v>
      </c>
      <c r="I12248" s="278" t="s">
        <v>598</v>
      </c>
      <c r="J12248" s="530" t="s">
        <v>912</v>
      </c>
      <c r="N12248" s="598">
        <v>131772</v>
      </c>
      <c r="R12248" s="420">
        <v>1054.8810000000001</v>
      </c>
      <c r="S12248" s="420">
        <v>1055.3304082050799</v>
      </c>
      <c r="T12248" s="420">
        <v>15.55</v>
      </c>
      <c r="U12248" s="278">
        <v>208.51</v>
      </c>
      <c r="V12248" s="278">
        <v>104.25</v>
      </c>
      <c r="Z12248" s="420" t="s">
        <v>2953</v>
      </c>
    </row>
    <row r="12249" spans="1:26">
      <c r="A12249" s="499">
        <v>45916</v>
      </c>
      <c r="B12249" s="499">
        <v>45917</v>
      </c>
      <c r="C12249" s="420" t="s">
        <v>173</v>
      </c>
      <c r="D12249" s="500" t="s">
        <v>762</v>
      </c>
      <c r="E12249" s="501">
        <v>76052113.659999996</v>
      </c>
      <c r="F12249" s="95" t="s">
        <v>878</v>
      </c>
      <c r="G12249" s="443">
        <v>119133401</v>
      </c>
      <c r="H12249" s="443">
        <v>119133401</v>
      </c>
      <c r="I12249" s="278" t="s">
        <v>715</v>
      </c>
      <c r="J12249" s="530" t="s">
        <v>912</v>
      </c>
      <c r="N12249" s="598">
        <v>125552</v>
      </c>
      <c r="R12249" s="420">
        <v>605.48400000000004</v>
      </c>
      <c r="S12249" s="420">
        <v>605.74195281636298</v>
      </c>
      <c r="T12249" s="420">
        <v>15.55</v>
      </c>
      <c r="U12249" s="278">
        <v>114.03</v>
      </c>
      <c r="V12249" s="278">
        <v>57.01</v>
      </c>
      <c r="Z12249" s="420" t="s">
        <v>2953</v>
      </c>
    </row>
    <row r="12250" spans="1:26">
      <c r="A12250" s="499">
        <v>45916</v>
      </c>
      <c r="B12250" s="499">
        <v>45917</v>
      </c>
      <c r="C12250" s="420" t="s">
        <v>173</v>
      </c>
      <c r="D12250" s="500" t="s">
        <v>762</v>
      </c>
      <c r="E12250" s="501">
        <v>39026082.060000002</v>
      </c>
      <c r="F12250" s="95" t="s">
        <v>878</v>
      </c>
      <c r="G12250" s="443">
        <v>119133404</v>
      </c>
      <c r="H12250" s="443">
        <v>119133404</v>
      </c>
      <c r="I12250" s="278" t="s">
        <v>693</v>
      </c>
      <c r="J12250" s="530" t="s">
        <v>912</v>
      </c>
      <c r="N12250" s="598">
        <v>51090</v>
      </c>
      <c r="R12250" s="420">
        <v>763.54399999999998</v>
      </c>
      <c r="S12250" s="420">
        <v>763.86929066353503</v>
      </c>
      <c r="T12250" s="420">
        <v>15.55</v>
      </c>
      <c r="U12250" s="278">
        <v>58.51</v>
      </c>
      <c r="V12250" s="278">
        <v>29.26</v>
      </c>
      <c r="Z12250" s="420" t="s">
        <v>2953</v>
      </c>
    </row>
    <row r="12251" spans="1:26">
      <c r="A12251" s="499">
        <v>45916</v>
      </c>
      <c r="B12251" s="499">
        <v>45917</v>
      </c>
      <c r="C12251" s="420" t="s">
        <v>173</v>
      </c>
      <c r="D12251" s="500" t="s">
        <v>762</v>
      </c>
      <c r="E12251" s="501">
        <v>36035096.079999998</v>
      </c>
      <c r="F12251" s="95" t="s">
        <v>878</v>
      </c>
      <c r="G12251" s="443">
        <v>119133407</v>
      </c>
      <c r="H12251" s="443">
        <v>119133407</v>
      </c>
      <c r="I12251" s="278" t="s">
        <v>590</v>
      </c>
      <c r="J12251" s="530" t="s">
        <v>912</v>
      </c>
      <c r="N12251" s="598">
        <v>40932</v>
      </c>
      <c r="R12251" s="420">
        <v>879.99</v>
      </c>
      <c r="S12251" s="420">
        <v>880.36489983387105</v>
      </c>
      <c r="T12251" s="420">
        <v>15.55</v>
      </c>
      <c r="U12251" s="278">
        <v>54.03</v>
      </c>
      <c r="V12251" s="278">
        <v>27.01</v>
      </c>
      <c r="Z12251" s="420" t="s">
        <v>2953</v>
      </c>
    </row>
    <row r="12252" spans="1:26">
      <c r="A12252" s="499">
        <v>45916</v>
      </c>
      <c r="B12252" s="499">
        <v>45917</v>
      </c>
      <c r="C12252" s="420" t="s">
        <v>173</v>
      </c>
      <c r="D12252" s="500" t="s">
        <v>762</v>
      </c>
      <c r="E12252" s="501">
        <v>30032338.469999999</v>
      </c>
      <c r="F12252" s="95" t="s">
        <v>878</v>
      </c>
      <c r="G12252" s="443">
        <v>119133410</v>
      </c>
      <c r="H12252" s="443">
        <v>119133410</v>
      </c>
      <c r="I12252" s="278" t="s">
        <v>823</v>
      </c>
      <c r="J12252" s="530" t="s">
        <v>912</v>
      </c>
      <c r="N12252" s="598">
        <v>29160</v>
      </c>
      <c r="R12252" s="420">
        <v>1029.4770000000001</v>
      </c>
      <c r="S12252" s="420">
        <v>1029.9155853909499</v>
      </c>
      <c r="T12252" s="420">
        <v>15.55</v>
      </c>
      <c r="U12252" s="278">
        <v>45.03</v>
      </c>
      <c r="V12252" s="278">
        <v>22.51</v>
      </c>
      <c r="Z12252" s="420" t="s">
        <v>2953</v>
      </c>
    </row>
    <row r="12253" spans="1:26">
      <c r="A12253" s="499">
        <v>45916</v>
      </c>
      <c r="B12253" s="499">
        <v>45917</v>
      </c>
      <c r="C12253" s="420" t="s">
        <v>173</v>
      </c>
      <c r="D12253" s="500" t="s">
        <v>762</v>
      </c>
      <c r="E12253" s="501">
        <v>28021524.190000001</v>
      </c>
      <c r="F12253" s="95" t="s">
        <v>878</v>
      </c>
      <c r="G12253" s="443">
        <v>119133413</v>
      </c>
      <c r="H12253" s="443">
        <v>119133413</v>
      </c>
      <c r="I12253" s="278" t="s">
        <v>821</v>
      </c>
      <c r="J12253" s="530" t="s">
        <v>912</v>
      </c>
      <c r="N12253" s="598">
        <v>27216</v>
      </c>
      <c r="R12253" s="420">
        <v>1029.1590000000001</v>
      </c>
      <c r="S12253" s="420">
        <v>1029.5974496619599</v>
      </c>
      <c r="T12253" s="420">
        <v>15.55</v>
      </c>
      <c r="U12253" s="278">
        <v>42.01</v>
      </c>
      <c r="V12253" s="278">
        <v>21.01</v>
      </c>
      <c r="Z12253" s="420" t="s">
        <v>2953</v>
      </c>
    </row>
    <row r="12254" spans="1:26">
      <c r="A12254" s="499">
        <v>45916</v>
      </c>
      <c r="B12254" s="499">
        <v>45917</v>
      </c>
      <c r="C12254" s="420" t="s">
        <v>173</v>
      </c>
      <c r="D12254" s="500" t="s">
        <v>762</v>
      </c>
      <c r="E12254" s="501">
        <v>23014644.120000001</v>
      </c>
      <c r="F12254" s="95" t="s">
        <v>878</v>
      </c>
      <c r="G12254" s="443">
        <v>119133416</v>
      </c>
      <c r="H12254" s="443">
        <v>119133416</v>
      </c>
      <c r="I12254" s="278" t="s">
        <v>588</v>
      </c>
      <c r="J12254" s="530" t="s">
        <v>912</v>
      </c>
      <c r="N12254" s="598">
        <v>26956</v>
      </c>
      <c r="R12254" s="420">
        <v>853.42200000000003</v>
      </c>
      <c r="S12254" s="420">
        <v>853.78558094672803</v>
      </c>
      <c r="T12254" s="420">
        <v>15.55</v>
      </c>
      <c r="U12254" s="278">
        <v>39.32</v>
      </c>
      <c r="V12254" s="278">
        <v>17.25</v>
      </c>
      <c r="Z12254" s="420" t="s">
        <v>2953</v>
      </c>
    </row>
    <row r="12255" spans="1:26">
      <c r="A12255" s="499">
        <v>45916</v>
      </c>
      <c r="B12255" s="499">
        <v>45917</v>
      </c>
      <c r="C12255" s="420" t="s">
        <v>173</v>
      </c>
      <c r="D12255" s="500" t="s">
        <v>762</v>
      </c>
      <c r="E12255" s="501">
        <v>20013714.120000001</v>
      </c>
      <c r="F12255" s="95" t="s">
        <v>878</v>
      </c>
      <c r="G12255" s="443">
        <v>119133419</v>
      </c>
      <c r="H12255" s="443">
        <v>119133419</v>
      </c>
      <c r="I12255" s="278" t="s">
        <v>715</v>
      </c>
      <c r="J12255" s="530" t="s">
        <v>912</v>
      </c>
      <c r="N12255" s="598">
        <v>33040</v>
      </c>
      <c r="R12255" s="420">
        <v>605.48400000000004</v>
      </c>
      <c r="S12255" s="420">
        <v>605.74195278450395</v>
      </c>
      <c r="T12255" s="420">
        <v>15.55</v>
      </c>
      <c r="U12255" s="278">
        <v>39.32</v>
      </c>
      <c r="V12255" s="278">
        <v>15</v>
      </c>
      <c r="Z12255" s="420" t="s">
        <v>2953</v>
      </c>
    </row>
    <row r="12256" spans="1:26">
      <c r="A12256" s="499">
        <v>45916</v>
      </c>
      <c r="B12256" s="499">
        <v>45917</v>
      </c>
      <c r="C12256" s="420" t="s">
        <v>173</v>
      </c>
      <c r="D12256" s="500" t="s">
        <v>762</v>
      </c>
      <c r="E12256" s="501">
        <v>19016574.91</v>
      </c>
      <c r="F12256" s="95" t="s">
        <v>878</v>
      </c>
      <c r="G12256" s="443">
        <v>119133422</v>
      </c>
      <c r="H12256" s="443">
        <v>119133422</v>
      </c>
      <c r="I12256" s="278" t="s">
        <v>550</v>
      </c>
      <c r="J12256" s="530" t="s">
        <v>912</v>
      </c>
      <c r="N12256" s="598">
        <v>34143</v>
      </c>
      <c r="R12256" s="420">
        <v>556.73130000000003</v>
      </c>
      <c r="S12256" s="420">
        <v>556.96848285153601</v>
      </c>
      <c r="T12256" s="420">
        <v>15.55</v>
      </c>
      <c r="U12256" s="278">
        <v>39.32</v>
      </c>
      <c r="V12256" s="278">
        <v>14.26</v>
      </c>
      <c r="Z12256" s="420" t="s">
        <v>2953</v>
      </c>
    </row>
    <row r="12257" spans="1:26">
      <c r="A12257" s="499">
        <v>45916</v>
      </c>
      <c r="B12257" s="499">
        <v>45917</v>
      </c>
      <c r="C12257" s="420" t="s">
        <v>173</v>
      </c>
      <c r="D12257" s="500" t="s">
        <v>762</v>
      </c>
      <c r="E12257" s="501">
        <v>9012409.6400000006</v>
      </c>
      <c r="F12257" s="95" t="s">
        <v>878</v>
      </c>
      <c r="G12257" s="443">
        <v>119133425</v>
      </c>
      <c r="H12257" s="443">
        <v>119133425</v>
      </c>
      <c r="I12257" s="278" t="s">
        <v>658</v>
      </c>
      <c r="J12257" s="530" t="s">
        <v>912</v>
      </c>
      <c r="N12257" s="598">
        <v>8784</v>
      </c>
      <c r="R12257" s="420">
        <v>1025.566</v>
      </c>
      <c r="S12257" s="420">
        <v>1026.0029189435299</v>
      </c>
      <c r="T12257" s="420">
        <v>15.55</v>
      </c>
      <c r="U12257" s="278">
        <v>39.32</v>
      </c>
      <c r="V12257" s="278">
        <v>6.76</v>
      </c>
      <c r="Z12257" s="420" t="s">
        <v>2953</v>
      </c>
    </row>
    <row r="12258" spans="1:26">
      <c r="A12258" s="499">
        <v>45916</v>
      </c>
      <c r="B12258" s="499">
        <v>45917</v>
      </c>
      <c r="C12258" s="420" t="s">
        <v>173</v>
      </c>
      <c r="D12258" s="500" t="s">
        <v>762</v>
      </c>
      <c r="E12258" s="501">
        <v>4002325.83</v>
      </c>
      <c r="F12258" s="95" t="s">
        <v>878</v>
      </c>
      <c r="G12258" s="443">
        <v>119133428</v>
      </c>
      <c r="H12258" s="443">
        <v>119133428</v>
      </c>
      <c r="I12258" s="278" t="s">
        <v>673</v>
      </c>
      <c r="J12258" s="530" t="s">
        <v>912</v>
      </c>
      <c r="N12258" s="598">
        <v>4408</v>
      </c>
      <c r="R12258" s="420">
        <v>907.58199999999999</v>
      </c>
      <c r="S12258" s="420">
        <v>907.96865471869296</v>
      </c>
      <c r="T12258" s="420">
        <v>15.55</v>
      </c>
      <c r="U12258" s="278">
        <v>39.32</v>
      </c>
      <c r="V12258" s="278">
        <v>3</v>
      </c>
      <c r="Z12258" s="420" t="s">
        <v>2953</v>
      </c>
    </row>
    <row r="12259" spans="1:26">
      <c r="A12259" s="499">
        <v>45916</v>
      </c>
      <c r="B12259" s="499">
        <v>45917</v>
      </c>
      <c r="C12259" s="420" t="s">
        <v>173</v>
      </c>
      <c r="D12259" s="500" t="s">
        <v>762</v>
      </c>
      <c r="E12259" s="501">
        <v>203110480.77000001</v>
      </c>
      <c r="F12259" s="95" t="s">
        <v>878</v>
      </c>
      <c r="G12259" s="443">
        <v>119133431</v>
      </c>
      <c r="H12259" s="443">
        <v>119133431</v>
      </c>
      <c r="I12259" s="278" t="s">
        <v>833</v>
      </c>
      <c r="J12259" s="530" t="s">
        <v>912</v>
      </c>
      <c r="N12259" s="598">
        <v>318101</v>
      </c>
      <c r="R12259" s="420">
        <v>638.23749999999995</v>
      </c>
      <c r="S12259" s="420">
        <v>638.50940666643601</v>
      </c>
      <c r="T12259" s="420">
        <v>15.55</v>
      </c>
      <c r="U12259" s="278">
        <v>304.54000000000002</v>
      </c>
      <c r="V12259" s="278">
        <v>152.27000000000001</v>
      </c>
      <c r="Z12259" s="420" t="s">
        <v>2953</v>
      </c>
    </row>
    <row r="12260" spans="1:26">
      <c r="A12260" s="499">
        <v>45916</v>
      </c>
      <c r="B12260" s="499">
        <v>45917</v>
      </c>
      <c r="C12260" s="420" t="s">
        <v>173</v>
      </c>
      <c r="D12260" s="500" t="s">
        <v>762</v>
      </c>
      <c r="E12260" s="501">
        <v>131060803.87</v>
      </c>
      <c r="F12260" s="95" t="s">
        <v>878</v>
      </c>
      <c r="G12260" s="443">
        <v>119133434</v>
      </c>
      <c r="H12260" s="443">
        <v>119133434</v>
      </c>
      <c r="I12260" s="278" t="s">
        <v>687</v>
      </c>
      <c r="J12260" s="530" t="s">
        <v>912</v>
      </c>
      <c r="N12260" s="598">
        <v>159427</v>
      </c>
      <c r="R12260" s="420">
        <v>821.72400000000005</v>
      </c>
      <c r="S12260" s="420">
        <v>822.07407697566896</v>
      </c>
      <c r="T12260" s="420">
        <v>15.55</v>
      </c>
      <c r="U12260" s="278">
        <v>196.51</v>
      </c>
      <c r="V12260" s="278">
        <v>98.25</v>
      </c>
      <c r="Z12260" s="420" t="s">
        <v>2953</v>
      </c>
    </row>
    <row r="12261" spans="1:26">
      <c r="A12261" s="499">
        <v>45916</v>
      </c>
      <c r="B12261" s="499">
        <v>45917</v>
      </c>
      <c r="C12261" s="420" t="s">
        <v>173</v>
      </c>
      <c r="D12261" s="500" t="s">
        <v>762</v>
      </c>
      <c r="E12261" s="501">
        <v>127069118.51000001</v>
      </c>
      <c r="F12261" s="95" t="s">
        <v>878</v>
      </c>
      <c r="G12261" s="443">
        <v>119133437</v>
      </c>
      <c r="H12261" s="443">
        <v>119133437</v>
      </c>
      <c r="I12261" s="278" t="s">
        <v>833</v>
      </c>
      <c r="J12261" s="530" t="s">
        <v>912</v>
      </c>
      <c r="N12261" s="598">
        <v>199009</v>
      </c>
      <c r="R12261" s="420">
        <v>638.23749999999995</v>
      </c>
      <c r="S12261" s="420">
        <v>638.50940665999997</v>
      </c>
      <c r="T12261" s="420">
        <v>15.55</v>
      </c>
      <c r="U12261" s="278">
        <v>190.52</v>
      </c>
      <c r="V12261" s="278">
        <v>95.26</v>
      </c>
      <c r="Z12261" s="420" t="s">
        <v>2953</v>
      </c>
    </row>
    <row r="12262" spans="1:26">
      <c r="A12262" s="499">
        <v>45916</v>
      </c>
      <c r="B12262" s="499">
        <v>45917</v>
      </c>
      <c r="C12262" s="420" t="s">
        <v>173</v>
      </c>
      <c r="D12262" s="500" t="s">
        <v>762</v>
      </c>
      <c r="E12262" s="501">
        <v>92126854.120000005</v>
      </c>
      <c r="F12262" s="95" t="s">
        <v>878</v>
      </c>
      <c r="G12262" s="443">
        <v>119133440</v>
      </c>
      <c r="H12262" s="443">
        <v>119133440</v>
      </c>
      <c r="I12262" s="278" t="s">
        <v>658</v>
      </c>
      <c r="J12262" s="530" t="s">
        <v>912</v>
      </c>
      <c r="N12262" s="598">
        <v>89792</v>
      </c>
      <c r="R12262" s="420">
        <v>1025.566</v>
      </c>
      <c r="S12262" s="420">
        <v>1026.0029191910201</v>
      </c>
      <c r="T12262" s="420">
        <v>15.55</v>
      </c>
      <c r="U12262" s="278">
        <v>138.13</v>
      </c>
      <c r="V12262" s="278">
        <v>69.069999999999993</v>
      </c>
      <c r="Z12262" s="420" t="s">
        <v>2953</v>
      </c>
    </row>
    <row r="12263" spans="1:26">
      <c r="A12263" s="499">
        <v>45916</v>
      </c>
      <c r="B12263" s="499">
        <v>45917</v>
      </c>
      <c r="C12263" s="420" t="s">
        <v>173</v>
      </c>
      <c r="D12263" s="500" t="s">
        <v>762</v>
      </c>
      <c r="E12263" s="501">
        <v>90087740.200000003</v>
      </c>
      <c r="F12263" s="95" t="s">
        <v>878</v>
      </c>
      <c r="G12263" s="443">
        <v>119133443</v>
      </c>
      <c r="H12263" s="443">
        <v>119133443</v>
      </c>
      <c r="I12263" s="278" t="s">
        <v>590</v>
      </c>
      <c r="J12263" s="530" t="s">
        <v>912</v>
      </c>
      <c r="N12263" s="598">
        <v>102330</v>
      </c>
      <c r="R12263" s="420">
        <v>879.99</v>
      </c>
      <c r="S12263" s="420">
        <v>880.36489983387105</v>
      </c>
      <c r="T12263" s="420">
        <v>15.55</v>
      </c>
      <c r="U12263" s="278">
        <v>135.07</v>
      </c>
      <c r="V12263" s="278">
        <v>67.540000000000006</v>
      </c>
      <c r="Z12263" s="420" t="s">
        <v>2953</v>
      </c>
    </row>
    <row r="12264" spans="1:26">
      <c r="A12264" s="499">
        <v>45916</v>
      </c>
      <c r="B12264" s="499">
        <v>45917</v>
      </c>
      <c r="C12264" s="420" t="s">
        <v>173</v>
      </c>
      <c r="D12264" s="500" t="s">
        <v>762</v>
      </c>
      <c r="E12264" s="501">
        <v>34033146.299999997</v>
      </c>
      <c r="F12264" s="95" t="s">
        <v>878</v>
      </c>
      <c r="G12264" s="443">
        <v>119133446</v>
      </c>
      <c r="H12264" s="443">
        <v>119133446</v>
      </c>
      <c r="I12264" s="278" t="s">
        <v>590</v>
      </c>
      <c r="J12264" s="530" t="s">
        <v>912</v>
      </c>
      <c r="N12264" s="598">
        <v>38658</v>
      </c>
      <c r="R12264" s="420">
        <v>879.99</v>
      </c>
      <c r="S12264" s="420">
        <v>880.36489989135498</v>
      </c>
      <c r="T12264" s="420">
        <v>15.55</v>
      </c>
      <c r="U12264" s="278">
        <v>51.03</v>
      </c>
      <c r="V12264" s="278">
        <v>25.51</v>
      </c>
      <c r="Z12264" s="420" t="s">
        <v>2953</v>
      </c>
    </row>
    <row r="12265" spans="1:26">
      <c r="A12265" s="499">
        <v>45916</v>
      </c>
      <c r="B12265" s="499">
        <v>45917</v>
      </c>
      <c r="C12265" s="420" t="s">
        <v>173</v>
      </c>
      <c r="D12265" s="500" t="s">
        <v>762</v>
      </c>
      <c r="E12265" s="501">
        <v>29036732.600000001</v>
      </c>
      <c r="F12265" s="95" t="s">
        <v>878</v>
      </c>
      <c r="G12265" s="443">
        <v>119133449</v>
      </c>
      <c r="H12265" s="443">
        <v>119133449</v>
      </c>
      <c r="I12265" s="278" t="s">
        <v>656</v>
      </c>
      <c r="J12265" s="530" t="s">
        <v>912</v>
      </c>
      <c r="N12265" s="598">
        <v>29783</v>
      </c>
      <c r="R12265" s="420">
        <v>974.52800000000002</v>
      </c>
      <c r="S12265" s="420">
        <v>974.94317563710797</v>
      </c>
      <c r="T12265" s="420">
        <v>15.55</v>
      </c>
      <c r="U12265" s="278">
        <v>43.54</v>
      </c>
      <c r="V12265" s="278">
        <v>21.77</v>
      </c>
      <c r="Z12265" s="420" t="s">
        <v>2953</v>
      </c>
    </row>
    <row r="12266" spans="1:26">
      <c r="A12266" s="499">
        <v>45916</v>
      </c>
      <c r="B12266" s="499">
        <v>45917</v>
      </c>
      <c r="C12266" s="420" t="s">
        <v>173</v>
      </c>
      <c r="D12266" s="500" t="s">
        <v>762</v>
      </c>
      <c r="E12266" s="501">
        <v>20010884.800000001</v>
      </c>
      <c r="F12266" s="95" t="s">
        <v>878</v>
      </c>
      <c r="G12266" s="443">
        <v>119133452</v>
      </c>
      <c r="H12266" s="443">
        <v>119133452</v>
      </c>
      <c r="I12266" s="278" t="s">
        <v>833</v>
      </c>
      <c r="J12266" s="530" t="s">
        <v>912</v>
      </c>
      <c r="N12266" s="598">
        <v>31340</v>
      </c>
      <c r="R12266" s="420">
        <v>638.23749999999995</v>
      </c>
      <c r="S12266" s="420">
        <v>638.50940650925304</v>
      </c>
      <c r="T12266" s="420">
        <v>15.55</v>
      </c>
      <c r="U12266" s="278">
        <v>39.32</v>
      </c>
      <c r="V12266" s="278">
        <v>15</v>
      </c>
      <c r="Z12266" s="420" t="s">
        <v>2953</v>
      </c>
    </row>
    <row r="12267" spans="1:26">
      <c r="A12267" s="499">
        <v>45916</v>
      </c>
      <c r="B12267" s="499">
        <v>45917</v>
      </c>
      <c r="C12267" s="420" t="s">
        <v>173</v>
      </c>
      <c r="D12267" s="500" t="s">
        <v>762</v>
      </c>
      <c r="E12267" s="501">
        <v>15018999.619999999</v>
      </c>
      <c r="F12267" s="95" t="s">
        <v>878</v>
      </c>
      <c r="G12267" s="443">
        <v>119133455</v>
      </c>
      <c r="H12267" s="443">
        <v>119133455</v>
      </c>
      <c r="I12267" s="278" t="s">
        <v>656</v>
      </c>
      <c r="J12267" s="530" t="s">
        <v>912</v>
      </c>
      <c r="N12267" s="598">
        <v>15405</v>
      </c>
      <c r="R12267" s="420">
        <v>974.52800000000002</v>
      </c>
      <c r="S12267" s="420">
        <v>974.94317559234003</v>
      </c>
      <c r="T12267" s="420">
        <v>15.55</v>
      </c>
      <c r="U12267" s="278">
        <v>39.32</v>
      </c>
      <c r="V12267" s="278">
        <v>11.26</v>
      </c>
      <c r="Z12267" s="420" t="s">
        <v>2953</v>
      </c>
    </row>
    <row r="12268" spans="1:26">
      <c r="A12268" s="499">
        <v>45916</v>
      </c>
      <c r="B12268" s="499">
        <v>45917</v>
      </c>
      <c r="C12268" s="420" t="s">
        <v>173</v>
      </c>
      <c r="D12268" s="500" t="s">
        <v>762</v>
      </c>
      <c r="E12268" s="501">
        <v>1274854491.8699999</v>
      </c>
      <c r="F12268" s="95" t="s">
        <v>878</v>
      </c>
      <c r="G12268" s="443">
        <v>119133458</v>
      </c>
      <c r="H12268" s="443">
        <v>119133458</v>
      </c>
      <c r="I12268" s="278" t="s">
        <v>674</v>
      </c>
      <c r="J12268" s="530" t="s">
        <v>912</v>
      </c>
      <c r="N12268" s="598">
        <v>1421784</v>
      </c>
      <c r="R12268" s="420">
        <v>896.27700000000004</v>
      </c>
      <c r="S12268" s="420">
        <v>896.65834744940105</v>
      </c>
      <c r="T12268" s="420">
        <v>15.53</v>
      </c>
      <c r="U12268" s="278">
        <v>1911.47</v>
      </c>
      <c r="V12268" s="278">
        <v>955.73</v>
      </c>
      <c r="Z12268" s="420" t="s">
        <v>2953</v>
      </c>
    </row>
    <row r="12269" spans="1:26">
      <c r="A12269" s="499">
        <v>45916</v>
      </c>
      <c r="B12269" s="499">
        <v>45917</v>
      </c>
      <c r="C12269" s="420" t="s">
        <v>173</v>
      </c>
      <c r="D12269" s="500" t="s">
        <v>762</v>
      </c>
      <c r="E12269" s="501">
        <v>20013414.32</v>
      </c>
      <c r="F12269" s="95" t="s">
        <v>878</v>
      </c>
      <c r="G12269" s="443">
        <v>119133513</v>
      </c>
      <c r="H12269" s="443">
        <v>119133513</v>
      </c>
      <c r="I12269" s="278" t="s">
        <v>674</v>
      </c>
      <c r="J12269" s="530" t="s">
        <v>912</v>
      </c>
      <c r="N12269" s="598">
        <v>22320</v>
      </c>
      <c r="R12269" s="420">
        <v>896.27700000000004</v>
      </c>
      <c r="S12269" s="420">
        <v>896.65834767025103</v>
      </c>
      <c r="T12269" s="420">
        <v>15.53</v>
      </c>
      <c r="U12269" s="278">
        <v>39.32</v>
      </c>
      <c r="V12269" s="278">
        <v>15</v>
      </c>
      <c r="Z12269" s="420" t="s">
        <v>2953</v>
      </c>
    </row>
    <row r="12270" spans="1:26">
      <c r="A12270" s="499">
        <v>45916</v>
      </c>
      <c r="B12270" s="499">
        <v>45916</v>
      </c>
      <c r="C12270" s="420" t="s">
        <v>173</v>
      </c>
      <c r="D12270" s="420" t="s">
        <v>760</v>
      </c>
      <c r="E12270" s="501">
        <v>-1300080428.4000001</v>
      </c>
      <c r="F12270" s="95" t="s">
        <v>878</v>
      </c>
      <c r="G12270" s="443">
        <v>119126435</v>
      </c>
      <c r="H12270" s="443"/>
      <c r="I12270" s="278" t="s">
        <v>1090</v>
      </c>
      <c r="J12270" s="530" t="s">
        <v>906</v>
      </c>
      <c r="N12270" s="598">
        <v>13821600</v>
      </c>
      <c r="R12270" s="420">
        <v>94.061499999999995</v>
      </c>
      <c r="S12270" s="420">
        <v>94.102471385367807</v>
      </c>
      <c r="T12270" s="420">
        <v>15.8987</v>
      </c>
      <c r="U12270" s="278">
        <v>1950.12</v>
      </c>
      <c r="V12270" s="278">
        <v>975.06</v>
      </c>
      <c r="Z12270" s="420" t="s">
        <v>2953</v>
      </c>
    </row>
    <row r="12271" spans="1:26">
      <c r="A12271" s="499">
        <v>45916</v>
      </c>
      <c r="B12271" s="499">
        <v>45916</v>
      </c>
      <c r="C12271" s="420" t="s">
        <v>173</v>
      </c>
      <c r="D12271" s="420" t="s">
        <v>760</v>
      </c>
      <c r="E12271" s="501">
        <v>-730310257.29999995</v>
      </c>
      <c r="F12271" s="95" t="s">
        <v>878</v>
      </c>
      <c r="G12271" s="443">
        <v>119127221</v>
      </c>
      <c r="H12271" s="443"/>
      <c r="I12271" s="278" t="s">
        <v>675</v>
      </c>
      <c r="J12271" s="530" t="s">
        <v>906</v>
      </c>
      <c r="N12271" s="598">
        <v>778180</v>
      </c>
      <c r="R12271" s="420">
        <v>938.48500000000001</v>
      </c>
      <c r="S12271" s="420">
        <v>938.89355723611504</v>
      </c>
      <c r="T12271" s="420">
        <v>15.889799999999999</v>
      </c>
      <c r="U12271" s="278">
        <v>1095.47</v>
      </c>
      <c r="V12271" s="278">
        <v>547.73</v>
      </c>
      <c r="Z12271" s="420" t="s">
        <v>2953</v>
      </c>
    </row>
    <row r="12272" spans="1:26">
      <c r="A12272" s="499">
        <v>45916</v>
      </c>
      <c r="B12272" s="499">
        <v>45917</v>
      </c>
      <c r="C12272" s="420" t="s">
        <v>173</v>
      </c>
      <c r="D12272" s="420" t="s">
        <v>760</v>
      </c>
      <c r="E12272" s="501">
        <v>1300646718.5</v>
      </c>
      <c r="F12272" s="95" t="s">
        <v>878</v>
      </c>
      <c r="G12272" s="443">
        <v>119126435</v>
      </c>
      <c r="H12272" s="443">
        <v>119126435</v>
      </c>
      <c r="I12272" s="278" t="s">
        <v>1090</v>
      </c>
      <c r="J12272" s="530" t="s">
        <v>912</v>
      </c>
      <c r="N12272" s="598">
        <v>13821600</v>
      </c>
      <c r="R12272" s="420">
        <v>94.061499999999995</v>
      </c>
      <c r="S12272" s="420">
        <v>94.102471385367807</v>
      </c>
      <c r="T12272" s="420">
        <v>15.8987</v>
      </c>
      <c r="U12272" s="278">
        <v>1950.12</v>
      </c>
      <c r="V12272" s="278">
        <v>975.06</v>
      </c>
      <c r="Z12272" s="420" t="s">
        <v>2953</v>
      </c>
    </row>
    <row r="12273" spans="1:26">
      <c r="A12273" s="499">
        <v>45916</v>
      </c>
      <c r="B12273" s="499">
        <v>45917</v>
      </c>
      <c r="C12273" s="420" t="s">
        <v>173</v>
      </c>
      <c r="D12273" s="420" t="s">
        <v>760</v>
      </c>
      <c r="E12273" s="501">
        <v>730628188.37</v>
      </c>
      <c r="F12273" s="95" t="s">
        <v>878</v>
      </c>
      <c r="G12273" s="443">
        <v>119127221</v>
      </c>
      <c r="H12273" s="443">
        <v>119127221</v>
      </c>
      <c r="I12273" s="278" t="s">
        <v>675</v>
      </c>
      <c r="J12273" s="43" t="s">
        <v>912</v>
      </c>
      <c r="N12273" s="598">
        <v>778180</v>
      </c>
      <c r="R12273" s="420">
        <v>938.48500000000001</v>
      </c>
      <c r="S12273" s="420">
        <v>938.89355723611504</v>
      </c>
      <c r="T12273" s="420">
        <v>15.889799999999999</v>
      </c>
      <c r="U12273" s="278">
        <v>1095.47</v>
      </c>
      <c r="V12273" s="278">
        <v>547.73</v>
      </c>
      <c r="Z12273" s="420" t="s">
        <v>2953</v>
      </c>
    </row>
    <row r="12274" spans="1:26" s="420" customFormat="1">
      <c r="A12274" s="275">
        <v>45917</v>
      </c>
      <c r="B12274" s="275">
        <v>45917</v>
      </c>
      <c r="C12274" s="420" t="s">
        <v>173</v>
      </c>
      <c r="D12274" s="420" t="s">
        <v>761</v>
      </c>
      <c r="E12274" s="501">
        <v>-1402321708.53</v>
      </c>
      <c r="F12274" s="95" t="s">
        <v>878</v>
      </c>
      <c r="G12274" s="443">
        <v>119157504</v>
      </c>
      <c r="H12274" s="443"/>
      <c r="I12274" s="278" t="s">
        <v>723</v>
      </c>
      <c r="J12274" s="43" t="s">
        <v>906</v>
      </c>
      <c r="K12274" s="564"/>
      <c r="L12274" s="538"/>
      <c r="M12274" s="538"/>
      <c r="N12274" s="598">
        <v>2366576</v>
      </c>
      <c r="R12274" s="420">
        <v>592.553</v>
      </c>
      <c r="S12274" s="420">
        <v>592.804794441421</v>
      </c>
      <c r="T12274" s="420">
        <v>15.51</v>
      </c>
      <c r="U12274" s="278">
        <v>2103.48</v>
      </c>
      <c r="V12274" s="278">
        <v>1051.74</v>
      </c>
      <c r="Z12274" s="420" t="s">
        <v>2953</v>
      </c>
    </row>
    <row r="12275" spans="1:26" s="420" customFormat="1">
      <c r="A12275" s="275">
        <v>45917</v>
      </c>
      <c r="B12275" s="275">
        <v>45917</v>
      </c>
      <c r="C12275" s="420" t="s">
        <v>173</v>
      </c>
      <c r="D12275" s="420" t="s">
        <v>761</v>
      </c>
      <c r="E12275" s="501">
        <v>-9002065.1799999997</v>
      </c>
      <c r="F12275" s="95" t="s">
        <v>878</v>
      </c>
      <c r="G12275" s="443">
        <v>119157520</v>
      </c>
      <c r="H12275" s="443"/>
      <c r="I12275" s="278" t="s">
        <v>723</v>
      </c>
      <c r="J12275" s="43" t="s">
        <v>906</v>
      </c>
      <c r="K12275" s="564"/>
      <c r="L12275" s="538"/>
      <c r="M12275" s="538"/>
      <c r="N12275" s="598">
        <v>15192</v>
      </c>
      <c r="R12275" s="420">
        <v>592.553</v>
      </c>
      <c r="S12275" s="420">
        <v>592.80479462875201</v>
      </c>
      <c r="T12275" s="420">
        <v>15.51</v>
      </c>
      <c r="U12275" s="278">
        <v>39.32</v>
      </c>
      <c r="V12275" s="278">
        <v>6.75</v>
      </c>
      <c r="Z12275" s="420" t="s">
        <v>2953</v>
      </c>
    </row>
    <row r="12276" spans="1:26" s="420" customFormat="1">
      <c r="A12276" s="275">
        <v>45917</v>
      </c>
      <c r="B12276" s="275">
        <v>45918</v>
      </c>
      <c r="C12276" s="420" t="s">
        <v>173</v>
      </c>
      <c r="D12276" s="420" t="s">
        <v>761</v>
      </c>
      <c r="E12276" s="501">
        <v>1402917599.21</v>
      </c>
      <c r="F12276" s="95" t="s">
        <v>878</v>
      </c>
      <c r="G12276" s="443">
        <v>119157504</v>
      </c>
      <c r="H12276" s="443">
        <v>119157504</v>
      </c>
      <c r="I12276" s="278" t="s">
        <v>723</v>
      </c>
      <c r="J12276" s="43" t="s">
        <v>912</v>
      </c>
      <c r="K12276" s="564"/>
      <c r="L12276" s="538"/>
      <c r="M12276" s="538"/>
      <c r="N12276" s="598">
        <v>2366576</v>
      </c>
      <c r="R12276" s="420">
        <v>592.553</v>
      </c>
      <c r="S12276" s="420">
        <v>592.804794441421</v>
      </c>
      <c r="T12276" s="420">
        <v>15.51</v>
      </c>
      <c r="U12276" s="278">
        <v>2103.48</v>
      </c>
      <c r="V12276" s="278">
        <v>1051.74</v>
      </c>
      <c r="Z12276" s="420" t="s">
        <v>2953</v>
      </c>
    </row>
    <row r="12277" spans="1:26" s="420" customFormat="1">
      <c r="A12277" s="275">
        <v>45917</v>
      </c>
      <c r="B12277" s="275">
        <v>45918</v>
      </c>
      <c r="C12277" s="420" t="s">
        <v>173</v>
      </c>
      <c r="D12277" s="420" t="s">
        <v>761</v>
      </c>
      <c r="E12277" s="501">
        <v>9005890.4399999995</v>
      </c>
      <c r="F12277" s="95" t="s">
        <v>878</v>
      </c>
      <c r="G12277" s="443">
        <v>119157520</v>
      </c>
      <c r="H12277" s="443">
        <v>119157520</v>
      </c>
      <c r="I12277" s="278" t="s">
        <v>723</v>
      </c>
      <c r="J12277" s="43" t="s">
        <v>912</v>
      </c>
      <c r="K12277" s="564"/>
      <c r="L12277" s="538"/>
      <c r="M12277" s="538"/>
      <c r="N12277" s="598">
        <v>15192</v>
      </c>
      <c r="R12277" s="420">
        <v>592.553</v>
      </c>
      <c r="S12277" s="420">
        <v>592.80479462875201</v>
      </c>
      <c r="T12277" s="420">
        <v>15.51</v>
      </c>
      <c r="U12277" s="278">
        <v>39.32</v>
      </c>
      <c r="V12277" s="278">
        <v>6.75</v>
      </c>
      <c r="Z12277" s="420" t="s">
        <v>2953</v>
      </c>
    </row>
    <row r="12278" spans="1:26" s="420" customFormat="1">
      <c r="A12278" s="275">
        <v>45917</v>
      </c>
      <c r="B12278" s="275">
        <v>45917</v>
      </c>
      <c r="C12278" s="420" t="s">
        <v>173</v>
      </c>
      <c r="D12278" s="420" t="s">
        <v>762</v>
      </c>
      <c r="E12278" s="501">
        <v>-3473967316.25</v>
      </c>
      <c r="F12278" s="95" t="s">
        <v>878</v>
      </c>
      <c r="G12278" s="443">
        <v>119155454</v>
      </c>
      <c r="H12278" s="443"/>
      <c r="I12278" s="278" t="s">
        <v>658</v>
      </c>
      <c r="J12278" s="43" t="s">
        <v>906</v>
      </c>
      <c r="K12278" s="564"/>
      <c r="L12278" s="538"/>
      <c r="M12278" s="538"/>
      <c r="N12278" s="598">
        <v>3359928</v>
      </c>
      <c r="R12278" s="420">
        <v>1033.941</v>
      </c>
      <c r="S12278" s="420">
        <v>1034.3809206506801</v>
      </c>
      <c r="T12278" s="420">
        <v>15.53</v>
      </c>
      <c r="U12278" s="278">
        <v>5210.95</v>
      </c>
      <c r="V12278" s="278">
        <v>2605.48</v>
      </c>
      <c r="Z12278" s="420" t="s">
        <v>2953</v>
      </c>
    </row>
    <row r="12279" spans="1:26" s="420" customFormat="1">
      <c r="A12279" s="275">
        <v>45917</v>
      </c>
      <c r="B12279" s="275">
        <v>45917</v>
      </c>
      <c r="C12279" s="420" t="s">
        <v>173</v>
      </c>
      <c r="D12279" s="420" t="s">
        <v>762</v>
      </c>
      <c r="E12279" s="501">
        <v>-19016242.870000001</v>
      </c>
      <c r="F12279" s="95" t="s">
        <v>878</v>
      </c>
      <c r="G12279" s="443">
        <v>119155485</v>
      </c>
      <c r="H12279" s="443"/>
      <c r="I12279" s="278" t="s">
        <v>658</v>
      </c>
      <c r="J12279" s="43" t="s">
        <v>906</v>
      </c>
      <c r="K12279" s="564"/>
      <c r="L12279" s="538"/>
      <c r="M12279" s="538"/>
      <c r="N12279" s="598">
        <v>18392</v>
      </c>
      <c r="R12279" s="420">
        <v>1033.941</v>
      </c>
      <c r="S12279" s="420">
        <v>1034.3809205089201</v>
      </c>
      <c r="T12279" s="420">
        <v>15.53</v>
      </c>
      <c r="U12279" s="278">
        <v>39.32</v>
      </c>
      <c r="V12279" s="278">
        <v>14.26</v>
      </c>
      <c r="Z12279" s="420" t="s">
        <v>2953</v>
      </c>
    </row>
    <row r="12280" spans="1:26" s="420" customFormat="1">
      <c r="A12280" s="275">
        <v>45917</v>
      </c>
      <c r="B12280" s="275">
        <v>45918</v>
      </c>
      <c r="C12280" s="420" t="s">
        <v>173</v>
      </c>
      <c r="D12280" s="420" t="s">
        <v>762</v>
      </c>
      <c r="E12280" s="501">
        <v>3475445417.96</v>
      </c>
      <c r="F12280" s="95" t="s">
        <v>878</v>
      </c>
      <c r="G12280" s="443">
        <v>119155454</v>
      </c>
      <c r="H12280" s="443">
        <v>119155454</v>
      </c>
      <c r="I12280" s="278" t="s">
        <v>658</v>
      </c>
      <c r="J12280" s="43" t="s">
        <v>912</v>
      </c>
      <c r="K12280" s="564"/>
      <c r="L12280" s="538"/>
      <c r="M12280" s="538"/>
      <c r="N12280" s="598">
        <v>3359928</v>
      </c>
      <c r="R12280" s="420">
        <v>1033.941</v>
      </c>
      <c r="S12280" s="420">
        <v>1034.3809206506801</v>
      </c>
      <c r="T12280" s="420">
        <v>15.53</v>
      </c>
      <c r="U12280" s="278">
        <v>5210.95</v>
      </c>
      <c r="V12280" s="278">
        <v>2605.48</v>
      </c>
      <c r="Z12280" s="420" t="s">
        <v>2953</v>
      </c>
    </row>
    <row r="12281" spans="1:26" s="420" customFormat="1">
      <c r="A12281" s="275">
        <v>45917</v>
      </c>
      <c r="B12281" s="275">
        <v>45918</v>
      </c>
      <c r="C12281" s="420" t="s">
        <v>173</v>
      </c>
      <c r="D12281" s="420" t="s">
        <v>762</v>
      </c>
      <c r="E12281" s="501">
        <v>19024333.890000001</v>
      </c>
      <c r="F12281" s="95" t="s">
        <v>878</v>
      </c>
      <c r="G12281" s="443">
        <v>119155485</v>
      </c>
      <c r="H12281" s="443">
        <v>119155485</v>
      </c>
      <c r="I12281" s="278" t="s">
        <v>658</v>
      </c>
      <c r="J12281" s="43" t="s">
        <v>912</v>
      </c>
      <c r="K12281" s="564"/>
      <c r="L12281" s="538"/>
      <c r="M12281" s="538"/>
      <c r="N12281" s="598">
        <v>18392</v>
      </c>
      <c r="R12281" s="420">
        <v>1033.941</v>
      </c>
      <c r="S12281" s="420">
        <v>1034.3809205089201</v>
      </c>
      <c r="T12281" s="420">
        <v>15.53</v>
      </c>
      <c r="U12281" s="278">
        <v>39.32</v>
      </c>
      <c r="V12281" s="278">
        <v>14.26</v>
      </c>
      <c r="Z12281" s="420" t="s">
        <v>2953</v>
      </c>
    </row>
    <row r="12282" spans="1:26" s="420" customFormat="1">
      <c r="A12282" s="275">
        <v>45917</v>
      </c>
      <c r="B12282" s="275">
        <v>45917</v>
      </c>
      <c r="C12282" s="420" t="s">
        <v>173</v>
      </c>
      <c r="D12282" s="420" t="s">
        <v>760</v>
      </c>
      <c r="E12282" s="501">
        <v>-1300048124.96</v>
      </c>
      <c r="F12282" s="95" t="s">
        <v>878</v>
      </c>
      <c r="G12282" s="443">
        <v>119154211</v>
      </c>
      <c r="H12282" s="443"/>
      <c r="I12282" s="278" t="s">
        <v>2556</v>
      </c>
      <c r="J12282" s="43" t="s">
        <v>906</v>
      </c>
      <c r="K12282" s="564"/>
      <c r="L12282" s="538"/>
      <c r="M12282" s="538"/>
      <c r="N12282" s="598">
        <v>14411800</v>
      </c>
      <c r="R12282" s="420">
        <v>90.2072</v>
      </c>
      <c r="S12282" s="420">
        <v>90.245754310356801</v>
      </c>
      <c r="T12282" s="420">
        <v>15.6</v>
      </c>
      <c r="U12282" s="278">
        <v>1950.07</v>
      </c>
      <c r="V12282" s="278">
        <v>975.04</v>
      </c>
      <c r="Z12282" s="420" t="s">
        <v>2953</v>
      </c>
    </row>
    <row r="12283" spans="1:26" s="420" customFormat="1">
      <c r="A12283" s="275">
        <v>45917</v>
      </c>
      <c r="B12283" s="275">
        <v>45917</v>
      </c>
      <c r="C12283" s="420" t="s">
        <v>173</v>
      </c>
      <c r="D12283" s="420" t="s">
        <v>760</v>
      </c>
      <c r="E12283" s="501">
        <v>-372013771.13999999</v>
      </c>
      <c r="F12283" s="95" t="s">
        <v>878</v>
      </c>
      <c r="G12283" s="443">
        <v>119154395</v>
      </c>
      <c r="H12283" s="443"/>
      <c r="I12283" s="278" t="s">
        <v>2556</v>
      </c>
      <c r="J12283" s="43" t="s">
        <v>906</v>
      </c>
      <c r="K12283" s="564"/>
      <c r="L12283" s="538"/>
      <c r="M12283" s="538"/>
      <c r="N12283" s="598">
        <v>4123992</v>
      </c>
      <c r="R12283" s="420">
        <v>90.2072</v>
      </c>
      <c r="S12283" s="420">
        <v>90.245754310386602</v>
      </c>
      <c r="T12283" s="420">
        <v>15.6</v>
      </c>
      <c r="U12283" s="278">
        <v>558.02</v>
      </c>
      <c r="V12283" s="278">
        <v>279.01</v>
      </c>
      <c r="Z12283" s="420" t="s">
        <v>2953</v>
      </c>
    </row>
    <row r="12284" spans="1:26" s="420" customFormat="1">
      <c r="A12284" s="275">
        <v>45917</v>
      </c>
      <c r="B12284" s="275">
        <v>45917</v>
      </c>
      <c r="C12284" s="420" t="s">
        <v>173</v>
      </c>
      <c r="D12284" s="420" t="s">
        <v>760</v>
      </c>
      <c r="E12284" s="501">
        <v>-354215938.94</v>
      </c>
      <c r="F12284" s="95" t="s">
        <v>878</v>
      </c>
      <c r="G12284" s="443">
        <v>119154398</v>
      </c>
      <c r="H12284" s="443"/>
      <c r="I12284" s="278" t="s">
        <v>1091</v>
      </c>
      <c r="J12284" s="43" t="s">
        <v>906</v>
      </c>
      <c r="K12284" s="564"/>
      <c r="L12284" s="538"/>
      <c r="M12284" s="538"/>
      <c r="N12284" s="598">
        <v>358602</v>
      </c>
      <c r="R12284" s="420">
        <v>987.76900000000001</v>
      </c>
      <c r="S12284" s="420">
        <v>988.19116976480905</v>
      </c>
      <c r="T12284" s="420">
        <v>15.6</v>
      </c>
      <c r="U12284" s="278">
        <v>531.32000000000005</v>
      </c>
      <c r="V12284" s="278">
        <v>265.66000000000003</v>
      </c>
      <c r="Z12284" s="420" t="s">
        <v>2953</v>
      </c>
    </row>
    <row r="12285" spans="1:26" s="420" customFormat="1">
      <c r="A12285" s="275">
        <v>45917</v>
      </c>
      <c r="B12285" s="275">
        <v>45917</v>
      </c>
      <c r="C12285" s="420" t="s">
        <v>173</v>
      </c>
      <c r="D12285" s="420" t="s">
        <v>760</v>
      </c>
      <c r="E12285" s="501">
        <v>-4003419.55</v>
      </c>
      <c r="F12285" s="95" t="s">
        <v>878</v>
      </c>
      <c r="G12285" s="443">
        <v>119154477</v>
      </c>
      <c r="H12285" s="443"/>
      <c r="I12285" s="278" t="s">
        <v>658</v>
      </c>
      <c r="J12285" s="43" t="s">
        <v>906</v>
      </c>
      <c r="K12285" s="564"/>
      <c r="L12285" s="538"/>
      <c r="M12285" s="538"/>
      <c r="N12285" s="598">
        <v>3872</v>
      </c>
      <c r="R12285" s="420">
        <v>1033.941</v>
      </c>
      <c r="S12285" s="420">
        <v>1034.3820532024799</v>
      </c>
      <c r="T12285" s="420">
        <v>15.57</v>
      </c>
      <c r="U12285" s="278">
        <v>39.32</v>
      </c>
      <c r="V12285" s="278">
        <v>3</v>
      </c>
      <c r="Z12285" s="420" t="s">
        <v>2953</v>
      </c>
    </row>
    <row r="12286" spans="1:26" s="420" customFormat="1">
      <c r="A12286" s="275">
        <v>45917</v>
      </c>
      <c r="B12286" s="275">
        <v>45918</v>
      </c>
      <c r="C12286" s="420" t="s">
        <v>173</v>
      </c>
      <c r="D12286" s="420" t="s">
        <v>760</v>
      </c>
      <c r="E12286" s="501">
        <v>1300603761.97</v>
      </c>
      <c r="F12286" s="95" t="s">
        <v>878</v>
      </c>
      <c r="G12286" s="443">
        <v>119154211</v>
      </c>
      <c r="H12286" s="443">
        <v>119154211</v>
      </c>
      <c r="I12286" s="278" t="s">
        <v>2556</v>
      </c>
      <c r="J12286" s="43" t="s">
        <v>912</v>
      </c>
      <c r="K12286" s="564"/>
      <c r="L12286" s="538"/>
      <c r="M12286" s="538"/>
      <c r="N12286" s="598">
        <v>14411800</v>
      </c>
      <c r="R12286" s="420">
        <v>90.2072</v>
      </c>
      <c r="S12286" s="420">
        <v>90.245754310356801</v>
      </c>
      <c r="T12286" s="420">
        <v>15.6</v>
      </c>
      <c r="U12286" s="278">
        <v>1950.07</v>
      </c>
      <c r="V12286" s="278">
        <v>975.04</v>
      </c>
      <c r="Z12286" s="420" t="s">
        <v>2953</v>
      </c>
    </row>
    <row r="12287" spans="1:26" s="420" customFormat="1">
      <c r="A12287" s="275">
        <v>45917</v>
      </c>
      <c r="B12287" s="275">
        <v>45918</v>
      </c>
      <c r="C12287" s="420" t="s">
        <v>173</v>
      </c>
      <c r="D12287" s="420" t="s">
        <v>760</v>
      </c>
      <c r="E12287" s="501">
        <v>372172768.81</v>
      </c>
      <c r="F12287" s="95" t="s">
        <v>878</v>
      </c>
      <c r="G12287" s="443">
        <v>119154395</v>
      </c>
      <c r="H12287" s="443">
        <v>119154395</v>
      </c>
      <c r="I12287" s="278" t="s">
        <v>2556</v>
      </c>
      <c r="J12287" s="43" t="s">
        <v>912</v>
      </c>
      <c r="K12287" s="564"/>
      <c r="L12287" s="538"/>
      <c r="M12287" s="538"/>
      <c r="N12287" s="598">
        <v>4123992</v>
      </c>
      <c r="R12287" s="420">
        <v>90.2072</v>
      </c>
      <c r="S12287" s="420">
        <v>90.245754310386602</v>
      </c>
      <c r="T12287" s="420">
        <v>15.6</v>
      </c>
      <c r="U12287" s="278">
        <v>558.02</v>
      </c>
      <c r="V12287" s="278">
        <v>279.01</v>
      </c>
      <c r="Z12287" s="420" t="s">
        <v>2953</v>
      </c>
    </row>
    <row r="12288" spans="1:26" s="420" customFormat="1">
      <c r="A12288" s="275">
        <v>45917</v>
      </c>
      <c r="B12288" s="275">
        <v>45918</v>
      </c>
      <c r="C12288" s="420" t="s">
        <v>173</v>
      </c>
      <c r="D12288" s="420" t="s">
        <v>760</v>
      </c>
      <c r="E12288" s="501">
        <v>354367329.86000001</v>
      </c>
      <c r="F12288" s="95" t="s">
        <v>878</v>
      </c>
      <c r="G12288" s="443">
        <v>119154398</v>
      </c>
      <c r="H12288" s="443">
        <v>119154398</v>
      </c>
      <c r="I12288" s="278" t="s">
        <v>1091</v>
      </c>
      <c r="J12288" s="43" t="s">
        <v>912</v>
      </c>
      <c r="K12288" s="564"/>
      <c r="L12288" s="538"/>
      <c r="M12288" s="538"/>
      <c r="N12288" s="598">
        <v>358602</v>
      </c>
      <c r="R12288" s="420">
        <v>987.76900000000001</v>
      </c>
      <c r="S12288" s="420">
        <v>988.19116976480905</v>
      </c>
      <c r="T12288" s="420">
        <v>15.6</v>
      </c>
      <c r="U12288" s="278">
        <v>531.32000000000005</v>
      </c>
      <c r="V12288" s="278">
        <v>265.66000000000003</v>
      </c>
      <c r="Z12288" s="420" t="s">
        <v>2953</v>
      </c>
    </row>
    <row r="12289" spans="1:26" s="420" customFormat="1">
      <c r="A12289" s="275">
        <v>45917</v>
      </c>
      <c r="B12289" s="275">
        <v>45918</v>
      </c>
      <c r="C12289" s="420" t="s">
        <v>173</v>
      </c>
      <c r="D12289" s="420" t="s">
        <v>760</v>
      </c>
      <c r="E12289" s="501">
        <v>4005127.31</v>
      </c>
      <c r="F12289" s="95" t="s">
        <v>878</v>
      </c>
      <c r="G12289" s="443">
        <v>119154477</v>
      </c>
      <c r="H12289" s="443">
        <v>119154477</v>
      </c>
      <c r="I12289" s="278" t="s">
        <v>658</v>
      </c>
      <c r="J12289" s="43" t="s">
        <v>912</v>
      </c>
      <c r="K12289" s="564"/>
      <c r="L12289" s="538"/>
      <c r="M12289" s="538"/>
      <c r="N12289" s="598">
        <v>3872</v>
      </c>
      <c r="R12289" s="420">
        <v>1033.941</v>
      </c>
      <c r="S12289" s="420">
        <v>1034.3820532024799</v>
      </c>
      <c r="T12289" s="420">
        <v>15.57</v>
      </c>
      <c r="U12289" s="278">
        <v>39.32</v>
      </c>
      <c r="V12289" s="278">
        <v>3</v>
      </c>
      <c r="Z12289" s="420" t="s">
        <v>2953</v>
      </c>
    </row>
    <row r="12290" spans="1:26" s="420" customFormat="1">
      <c r="A12290" s="275">
        <v>45917</v>
      </c>
      <c r="B12290" s="275">
        <v>45917</v>
      </c>
      <c r="C12290" s="420" t="s">
        <v>173</v>
      </c>
      <c r="D12290" s="420" t="s">
        <v>763</v>
      </c>
      <c r="E12290" s="501">
        <v>-2081700912.02</v>
      </c>
      <c r="F12290" s="95" t="s">
        <v>878</v>
      </c>
      <c r="G12290" s="443">
        <v>119152575</v>
      </c>
      <c r="H12290" s="595"/>
      <c r="I12290" s="278" t="s">
        <v>657</v>
      </c>
      <c r="J12290" s="43" t="s">
        <v>906</v>
      </c>
      <c r="K12290" s="564"/>
      <c r="L12290" s="538"/>
      <c r="M12290" s="538"/>
      <c r="N12290" s="598">
        <v>2153835</v>
      </c>
      <c r="R12290" s="420">
        <v>966.50900000000001</v>
      </c>
      <c r="S12290" s="420">
        <v>966.92738188858505</v>
      </c>
      <c r="T12290" s="420">
        <v>15.8001</v>
      </c>
      <c r="U12290" s="278">
        <v>3122.55</v>
      </c>
      <c r="V12290" s="278">
        <v>1561.28</v>
      </c>
      <c r="Z12290" s="420" t="s">
        <v>2953</v>
      </c>
    </row>
    <row r="12291" spans="1:26" s="420" customFormat="1">
      <c r="A12291" s="275">
        <v>45917</v>
      </c>
      <c r="B12291" s="275">
        <v>45917</v>
      </c>
      <c r="C12291" s="420" t="s">
        <v>173</v>
      </c>
      <c r="D12291" s="420" t="s">
        <v>763</v>
      </c>
      <c r="E12291" s="501">
        <v>-12004041.779999999</v>
      </c>
      <c r="F12291" s="95" t="s">
        <v>878</v>
      </c>
      <c r="G12291" s="443">
        <v>119152613</v>
      </c>
      <c r="H12291" s="595"/>
      <c r="I12291" s="278" t="s">
        <v>657</v>
      </c>
      <c r="J12291" s="43" t="s">
        <v>906</v>
      </c>
      <c r="K12291" s="564"/>
      <c r="L12291" s="538"/>
      <c r="M12291" s="538"/>
      <c r="N12291" s="598">
        <v>12420</v>
      </c>
      <c r="R12291" s="420">
        <v>966.50900000000001</v>
      </c>
      <c r="S12291" s="420">
        <v>966.92738164251205</v>
      </c>
      <c r="T12291" s="420">
        <v>15.8001</v>
      </c>
      <c r="U12291" s="278">
        <v>39.32</v>
      </c>
      <c r="V12291" s="278">
        <v>39.32</v>
      </c>
      <c r="Z12291" s="420" t="s">
        <v>2953</v>
      </c>
    </row>
    <row r="12292" spans="1:26" s="420" customFormat="1">
      <c r="A12292" s="275">
        <v>45917</v>
      </c>
      <c r="B12292" s="275">
        <v>45918</v>
      </c>
      <c r="C12292" s="420" t="s">
        <v>173</v>
      </c>
      <c r="D12292" s="420" t="s">
        <v>763</v>
      </c>
      <c r="E12292" s="501">
        <v>2082602037.5699999</v>
      </c>
      <c r="F12292" s="95" t="s">
        <v>878</v>
      </c>
      <c r="G12292" s="443">
        <v>119152575</v>
      </c>
      <c r="H12292" s="595">
        <v>119152575</v>
      </c>
      <c r="I12292" s="278" t="s">
        <v>657</v>
      </c>
      <c r="J12292" s="43" t="s">
        <v>912</v>
      </c>
      <c r="K12292" s="564"/>
      <c r="L12292" s="538"/>
      <c r="M12292" s="538"/>
      <c r="N12292" s="598">
        <v>2153835</v>
      </c>
      <c r="R12292" s="420">
        <v>966.50900000000001</v>
      </c>
      <c r="S12292" s="420">
        <v>966.92738188858505</v>
      </c>
      <c r="T12292" s="420">
        <v>15.8001</v>
      </c>
      <c r="U12292" s="278">
        <v>3122.55</v>
      </c>
      <c r="V12292" s="278">
        <v>1561.28</v>
      </c>
      <c r="Z12292" s="420" t="s">
        <v>2953</v>
      </c>
    </row>
    <row r="12293" spans="1:26" s="420" customFormat="1">
      <c r="A12293" s="275">
        <v>45917</v>
      </c>
      <c r="B12293" s="275">
        <v>45918</v>
      </c>
      <c r="C12293" s="420" t="s">
        <v>173</v>
      </c>
      <c r="D12293" s="420" t="s">
        <v>763</v>
      </c>
      <c r="E12293" s="501">
        <v>12009238.08</v>
      </c>
      <c r="F12293" s="95" t="s">
        <v>878</v>
      </c>
      <c r="G12293" s="443">
        <v>119152613</v>
      </c>
      <c r="H12293" s="595">
        <v>119152613</v>
      </c>
      <c r="I12293" s="278" t="s">
        <v>657</v>
      </c>
      <c r="J12293" s="43" t="s">
        <v>912</v>
      </c>
      <c r="K12293" s="564"/>
      <c r="L12293" s="538"/>
      <c r="M12293" s="538"/>
      <c r="N12293" s="598">
        <v>12420</v>
      </c>
      <c r="R12293" s="420">
        <v>966.50900000000001</v>
      </c>
      <c r="S12293" s="420">
        <v>966.92738164251205</v>
      </c>
      <c r="T12293" s="420">
        <v>15.8001</v>
      </c>
      <c r="U12293" s="278">
        <v>39.32</v>
      </c>
      <c r="V12293" s="278">
        <v>39.32</v>
      </c>
      <c r="Z12293" s="420" t="s">
        <v>2953</v>
      </c>
    </row>
    <row r="12294" spans="1:26" s="420" customFormat="1">
      <c r="A12294" s="275">
        <v>45917</v>
      </c>
      <c r="B12294" s="275">
        <v>45917</v>
      </c>
      <c r="C12294" s="420" t="s">
        <v>173</v>
      </c>
      <c r="D12294" s="420" t="s">
        <v>759</v>
      </c>
      <c r="E12294" s="501">
        <v>-2415157771.71</v>
      </c>
      <c r="F12294" s="95" t="s">
        <v>878</v>
      </c>
      <c r="G12294" s="443">
        <v>119163000</v>
      </c>
      <c r="H12294" s="595"/>
      <c r="I12294" s="278" t="s">
        <v>1018</v>
      </c>
      <c r="J12294" s="43" t="s">
        <v>906</v>
      </c>
      <c r="K12294" s="564"/>
      <c r="L12294" s="538"/>
      <c r="M12294" s="538"/>
      <c r="N12294" s="598">
        <v>24529155</v>
      </c>
      <c r="R12294" s="420">
        <v>98.460700000061152</v>
      </c>
      <c r="S12294" s="420">
        <v>98.502512347857106</v>
      </c>
      <c r="T12294" s="420">
        <v>15.5001</v>
      </c>
      <c r="U12294" s="278">
        <v>3622.74</v>
      </c>
      <c r="V12294" s="278">
        <v>1811.37</v>
      </c>
      <c r="Z12294" s="420" t="s">
        <v>2953</v>
      </c>
    </row>
    <row r="12295" spans="1:26" s="420" customFormat="1">
      <c r="A12295" s="275">
        <v>45917</v>
      </c>
      <c r="B12295" s="275">
        <v>45917</v>
      </c>
      <c r="C12295" s="420" t="s">
        <v>173</v>
      </c>
      <c r="D12295" s="420" t="s">
        <v>759</v>
      </c>
      <c r="E12295" s="501">
        <v>-15000979.949999999</v>
      </c>
      <c r="F12295" s="95" t="s">
        <v>878</v>
      </c>
      <c r="G12295" s="443">
        <v>119163026</v>
      </c>
      <c r="H12295" s="595"/>
      <c r="I12295" s="278" t="s">
        <v>1018</v>
      </c>
      <c r="J12295" s="43" t="s">
        <v>906</v>
      </c>
      <c r="K12295" s="564"/>
      <c r="L12295" s="538"/>
      <c r="M12295" s="538"/>
      <c r="N12295" s="598">
        <v>152355</v>
      </c>
      <c r="R12295" s="420">
        <v>98.460700009845425</v>
      </c>
      <c r="S12295" s="420">
        <v>98.502512356010598</v>
      </c>
      <c r="T12295" s="420">
        <v>15.5001</v>
      </c>
      <c r="U12295" s="278">
        <v>39.32</v>
      </c>
      <c r="V12295" s="278">
        <v>11.25</v>
      </c>
      <c r="Z12295" s="420" t="s">
        <v>2953</v>
      </c>
    </row>
    <row r="12296" spans="1:26" s="420" customFormat="1">
      <c r="A12296" s="275">
        <v>45917</v>
      </c>
      <c r="B12296" s="275">
        <v>45918</v>
      </c>
      <c r="C12296" s="420" t="s">
        <v>173</v>
      </c>
      <c r="D12296" s="420" t="s">
        <v>759</v>
      </c>
      <c r="E12296" s="501">
        <v>2416183393.27</v>
      </c>
      <c r="F12296" s="95" t="s">
        <v>878</v>
      </c>
      <c r="G12296" s="443">
        <v>119163000</v>
      </c>
      <c r="H12296" s="595">
        <v>119163000</v>
      </c>
      <c r="I12296" s="278" t="s">
        <v>1018</v>
      </c>
      <c r="J12296" s="43" t="s">
        <v>912</v>
      </c>
      <c r="K12296" s="564"/>
      <c r="L12296" s="538"/>
      <c r="M12296" s="538"/>
      <c r="N12296" s="598">
        <v>24529155</v>
      </c>
      <c r="R12296" s="420">
        <v>98.460700000061152</v>
      </c>
      <c r="S12296" s="420">
        <v>98.502512347857106</v>
      </c>
      <c r="T12296" s="420">
        <v>15.5001</v>
      </c>
      <c r="U12296" s="278">
        <v>3622.74</v>
      </c>
      <c r="V12296" s="278">
        <v>1811.37</v>
      </c>
      <c r="Z12296" s="420" t="s">
        <v>2953</v>
      </c>
    </row>
    <row r="12297" spans="1:26" s="420" customFormat="1">
      <c r="A12297" s="275">
        <v>45917</v>
      </c>
      <c r="B12297" s="275">
        <v>45918</v>
      </c>
      <c r="C12297" s="420" t="s">
        <v>173</v>
      </c>
      <c r="D12297" s="420" t="s">
        <v>759</v>
      </c>
      <c r="E12297" s="501">
        <v>15007350.27</v>
      </c>
      <c r="F12297" s="95" t="s">
        <v>878</v>
      </c>
      <c r="G12297" s="443">
        <v>119163026</v>
      </c>
      <c r="H12297" s="595">
        <v>119163026</v>
      </c>
      <c r="I12297" s="278" t="s">
        <v>1018</v>
      </c>
      <c r="J12297" s="43" t="s">
        <v>912</v>
      </c>
      <c r="K12297" s="564"/>
      <c r="L12297" s="538"/>
      <c r="M12297" s="538"/>
      <c r="N12297" s="598">
        <v>152355</v>
      </c>
      <c r="R12297" s="420">
        <v>98.460700009845425</v>
      </c>
      <c r="S12297" s="420">
        <v>98.502512356010598</v>
      </c>
      <c r="T12297" s="420">
        <v>15.5001</v>
      </c>
      <c r="U12297" s="278">
        <v>39.32</v>
      </c>
      <c r="V12297" s="278">
        <v>11.25</v>
      </c>
      <c r="Z12297" s="420" t="s">
        <v>2953</v>
      </c>
    </row>
    <row r="12298" spans="1:26">
      <c r="A12298" s="275">
        <v>45918</v>
      </c>
      <c r="B12298" s="275">
        <v>45918</v>
      </c>
      <c r="C12298" s="420" t="s">
        <v>173</v>
      </c>
      <c r="D12298" s="500" t="s">
        <v>762</v>
      </c>
      <c r="E12298" s="501">
        <v>-3477384489.4000001</v>
      </c>
      <c r="F12298" s="95" t="s">
        <v>878</v>
      </c>
      <c r="G12298" s="443">
        <v>119177550</v>
      </c>
      <c r="H12298" s="595"/>
      <c r="I12298" s="278" t="s">
        <v>656</v>
      </c>
      <c r="J12298" s="43" t="s">
        <v>906</v>
      </c>
      <c r="N12298" s="598">
        <v>3547975</v>
      </c>
      <c r="O12298" s="420"/>
      <c r="P12298" s="420"/>
      <c r="Q12298" s="420"/>
      <c r="R12298" s="420">
        <v>980.10400000000004</v>
      </c>
      <c r="S12298" s="420">
        <v>980.52290719072096</v>
      </c>
      <c r="T12298" s="420">
        <v>15.6005</v>
      </c>
      <c r="U12298" s="278">
        <v>5216.08</v>
      </c>
      <c r="V12298" s="278">
        <v>2608.04</v>
      </c>
      <c r="Z12298" s="420" t="s">
        <v>2953</v>
      </c>
    </row>
    <row r="12299" spans="1:26">
      <c r="A12299" s="275">
        <v>45918</v>
      </c>
      <c r="B12299" s="275">
        <v>45918</v>
      </c>
      <c r="C12299" s="420" t="s">
        <v>173</v>
      </c>
      <c r="D12299" s="500" t="s">
        <v>762</v>
      </c>
      <c r="E12299" s="501">
        <v>-19013037.5</v>
      </c>
      <c r="F12299" s="95" t="s">
        <v>878</v>
      </c>
      <c r="G12299" s="443">
        <v>119177588</v>
      </c>
      <c r="H12299" s="595"/>
      <c r="I12299" s="278" t="s">
        <v>656</v>
      </c>
      <c r="J12299" s="43" t="s">
        <v>906</v>
      </c>
      <c r="N12299" s="598">
        <v>19399</v>
      </c>
      <c r="O12299" s="420"/>
      <c r="P12299" s="420"/>
      <c r="Q12299" s="420"/>
      <c r="R12299" s="420">
        <v>980.10400000000004</v>
      </c>
      <c r="S12299" s="420">
        <v>980.52290736635905</v>
      </c>
      <c r="T12299" s="420">
        <v>15.6005</v>
      </c>
      <c r="U12299" s="278">
        <v>39.32</v>
      </c>
      <c r="V12299" s="278">
        <v>14.26</v>
      </c>
      <c r="Z12299" s="420" t="s">
        <v>2953</v>
      </c>
    </row>
    <row r="12300" spans="1:26">
      <c r="A12300" s="275">
        <v>45918</v>
      </c>
      <c r="B12300" s="499">
        <v>45919</v>
      </c>
      <c r="C12300" s="420" t="s">
        <v>173</v>
      </c>
      <c r="D12300" s="500" t="s">
        <v>762</v>
      </c>
      <c r="E12300" s="501">
        <v>3478870761.6399999</v>
      </c>
      <c r="F12300" s="95" t="s">
        <v>878</v>
      </c>
      <c r="G12300" s="443">
        <v>119177550</v>
      </c>
      <c r="H12300" s="595">
        <v>119177550</v>
      </c>
      <c r="I12300" s="278" t="s">
        <v>656</v>
      </c>
      <c r="J12300" s="43" t="s">
        <v>912</v>
      </c>
      <c r="N12300" s="598">
        <v>3547975</v>
      </c>
      <c r="O12300" s="420"/>
      <c r="P12300" s="420"/>
      <c r="Q12300" s="420"/>
      <c r="R12300" s="420">
        <v>980.10400000000004</v>
      </c>
      <c r="S12300" s="420">
        <v>980.52290719072096</v>
      </c>
      <c r="T12300" s="420">
        <v>15.6005</v>
      </c>
      <c r="U12300" s="278">
        <v>5216.08</v>
      </c>
      <c r="V12300" s="278">
        <v>2608.04</v>
      </c>
      <c r="Z12300" s="420" t="s">
        <v>2953</v>
      </c>
    </row>
    <row r="12301" spans="1:26">
      <c r="A12301" s="275">
        <v>45918</v>
      </c>
      <c r="B12301" s="499">
        <v>45919</v>
      </c>
      <c r="C12301" s="420" t="s">
        <v>173</v>
      </c>
      <c r="D12301" s="500" t="s">
        <v>762</v>
      </c>
      <c r="E12301" s="501">
        <v>19021163.879999999</v>
      </c>
      <c r="F12301" s="95" t="s">
        <v>878</v>
      </c>
      <c r="G12301" s="443">
        <v>119177588</v>
      </c>
      <c r="H12301" s="595">
        <v>119177588</v>
      </c>
      <c r="I12301" s="278" t="s">
        <v>656</v>
      </c>
      <c r="J12301" s="43" t="s">
        <v>912</v>
      </c>
      <c r="N12301" s="598">
        <v>19399</v>
      </c>
      <c r="O12301" s="420"/>
      <c r="P12301" s="420"/>
      <c r="Q12301" s="420"/>
      <c r="R12301" s="420">
        <v>980.10400000000004</v>
      </c>
      <c r="S12301" s="420">
        <v>980.52290736635905</v>
      </c>
      <c r="T12301" s="420">
        <v>15.6005</v>
      </c>
      <c r="U12301" s="278">
        <v>39.32</v>
      </c>
      <c r="V12301" s="278">
        <v>14.26</v>
      </c>
      <c r="Z12301" s="420" t="s">
        <v>2953</v>
      </c>
    </row>
    <row r="12302" spans="1:26">
      <c r="A12302" s="275">
        <v>45918</v>
      </c>
      <c r="B12302" s="275">
        <v>45918</v>
      </c>
      <c r="C12302" s="420" t="s">
        <v>173</v>
      </c>
      <c r="D12302" s="500" t="s">
        <v>761</v>
      </c>
      <c r="E12302" s="501">
        <v>-1403707179.3399999</v>
      </c>
      <c r="F12302" s="95" t="s">
        <v>878</v>
      </c>
      <c r="G12302" s="443">
        <v>119174970</v>
      </c>
      <c r="H12302" s="595"/>
      <c r="I12302" s="278" t="s">
        <v>675</v>
      </c>
      <c r="J12302" s="43" t="s">
        <v>906</v>
      </c>
      <c r="K12302" s="590"/>
      <c r="N12302" s="598">
        <v>1484374</v>
      </c>
      <c r="O12302" s="420"/>
      <c r="P12302" s="420"/>
      <c r="Q12302" s="420"/>
      <c r="R12302" s="420">
        <v>945.65599999999995</v>
      </c>
      <c r="S12302" s="420">
        <v>946.06017077906199</v>
      </c>
      <c r="T12302" s="420">
        <v>15.6</v>
      </c>
      <c r="U12302" s="278">
        <v>2105.56</v>
      </c>
      <c r="V12302" s="278">
        <v>1052.78</v>
      </c>
      <c r="Z12302" s="420" t="s">
        <v>2953</v>
      </c>
    </row>
    <row r="12303" spans="1:26">
      <c r="A12303" s="275">
        <v>45918</v>
      </c>
      <c r="B12303" s="275">
        <v>45918</v>
      </c>
      <c r="C12303" s="420" t="s">
        <v>173</v>
      </c>
      <c r="D12303" s="500" t="s">
        <v>761</v>
      </c>
      <c r="E12303" s="501">
        <v>-8002037.2599999998</v>
      </c>
      <c r="F12303" s="95" t="s">
        <v>878</v>
      </c>
      <c r="G12303" s="443">
        <v>119175016</v>
      </c>
      <c r="H12303" s="595"/>
      <c r="I12303" s="278" t="s">
        <v>713</v>
      </c>
      <c r="J12303" s="43" t="s">
        <v>906</v>
      </c>
      <c r="N12303" s="598">
        <v>10184</v>
      </c>
      <c r="O12303" s="420"/>
      <c r="P12303" s="420"/>
      <c r="Q12303" s="420"/>
      <c r="R12303" s="420">
        <v>785.74599999999998</v>
      </c>
      <c r="S12303" s="420">
        <v>786.08182541241194</v>
      </c>
      <c r="T12303" s="420">
        <v>15.6</v>
      </c>
      <c r="U12303" s="278">
        <v>39.32</v>
      </c>
      <c r="V12303" s="278">
        <v>6</v>
      </c>
      <c r="Z12303" s="420" t="s">
        <v>2953</v>
      </c>
    </row>
    <row r="12304" spans="1:26">
      <c r="A12304" s="275">
        <v>45918</v>
      </c>
      <c r="B12304" s="499">
        <v>45919</v>
      </c>
      <c r="C12304" s="420" t="s">
        <v>173</v>
      </c>
      <c r="D12304" s="500" t="s">
        <v>761</v>
      </c>
      <c r="E12304" s="501">
        <v>1404307119.9400001</v>
      </c>
      <c r="F12304" s="95" t="s">
        <v>878</v>
      </c>
      <c r="G12304" s="443">
        <v>119174970</v>
      </c>
      <c r="H12304" s="595">
        <v>119174970</v>
      </c>
      <c r="I12304" s="278" t="s">
        <v>675</v>
      </c>
      <c r="J12304" s="43" t="s">
        <v>912</v>
      </c>
      <c r="N12304" s="598">
        <v>1484374</v>
      </c>
      <c r="O12304" s="420"/>
      <c r="P12304" s="420"/>
      <c r="Q12304" s="420"/>
      <c r="R12304" s="420">
        <v>945.65599999999995</v>
      </c>
      <c r="S12304" s="420">
        <v>946.06017077906199</v>
      </c>
      <c r="T12304" s="420">
        <v>15.6</v>
      </c>
      <c r="U12304" s="278">
        <v>2105.56</v>
      </c>
      <c r="V12304" s="278">
        <v>1052.78</v>
      </c>
      <c r="Z12304" s="420" t="s">
        <v>2953</v>
      </c>
    </row>
    <row r="12305" spans="1:26">
      <c r="A12305" s="275">
        <v>45918</v>
      </c>
      <c r="B12305" s="499">
        <v>45919</v>
      </c>
      <c r="C12305" s="420" t="s">
        <v>173</v>
      </c>
      <c r="D12305" s="500" t="s">
        <v>761</v>
      </c>
      <c r="E12305" s="501">
        <v>8005457.3099999996</v>
      </c>
      <c r="F12305" s="95" t="s">
        <v>878</v>
      </c>
      <c r="G12305" s="443">
        <v>119175016</v>
      </c>
      <c r="H12305" s="595">
        <v>119175016</v>
      </c>
      <c r="I12305" s="278" t="s">
        <v>713</v>
      </c>
      <c r="J12305" s="43" t="s">
        <v>912</v>
      </c>
      <c r="N12305" s="598">
        <v>10184</v>
      </c>
      <c r="O12305" s="420"/>
      <c r="P12305" s="420"/>
      <c r="Q12305" s="420"/>
      <c r="R12305" s="420">
        <v>785.74599999999998</v>
      </c>
      <c r="S12305" s="420">
        <v>786.08182541241194</v>
      </c>
      <c r="T12305" s="420">
        <v>15.6</v>
      </c>
      <c r="U12305" s="278">
        <v>39.32</v>
      </c>
      <c r="V12305" s="278">
        <v>6</v>
      </c>
      <c r="Z12305" s="420" t="s">
        <v>2953</v>
      </c>
    </row>
    <row r="12306" spans="1:26">
      <c r="A12306" s="275">
        <v>45918</v>
      </c>
      <c r="B12306" s="275">
        <v>45918</v>
      </c>
      <c r="C12306" s="420" t="s">
        <v>173</v>
      </c>
      <c r="D12306" s="420" t="s">
        <v>760</v>
      </c>
      <c r="E12306" s="501">
        <v>-1300331055.4000001</v>
      </c>
      <c r="F12306" s="95" t="s">
        <v>878</v>
      </c>
      <c r="G12306" s="443">
        <v>119175125</v>
      </c>
      <c r="H12306" s="595"/>
      <c r="I12306" s="278" t="s">
        <v>713</v>
      </c>
      <c r="J12306" s="43" t="s">
        <v>906</v>
      </c>
      <c r="N12306" s="598">
        <v>1654900</v>
      </c>
      <c r="O12306" s="420"/>
      <c r="P12306" s="420"/>
      <c r="Q12306" s="420"/>
      <c r="R12306" s="420">
        <v>785.74599999999998</v>
      </c>
      <c r="S12306" s="420">
        <v>786.08289989727496</v>
      </c>
      <c r="T12306" s="420">
        <v>15.649900000000001</v>
      </c>
      <c r="U12306" s="278">
        <v>1950.5</v>
      </c>
      <c r="V12306" s="278">
        <v>975.25</v>
      </c>
      <c r="Z12306" s="420" t="s">
        <v>2953</v>
      </c>
    </row>
    <row r="12307" spans="1:26">
      <c r="A12307" s="275">
        <v>45918</v>
      </c>
      <c r="B12307" s="275">
        <v>45918</v>
      </c>
      <c r="C12307" s="420" t="s">
        <v>173</v>
      </c>
      <c r="D12307" s="420" t="s">
        <v>760</v>
      </c>
      <c r="E12307" s="501">
        <v>-726257341.59000003</v>
      </c>
      <c r="F12307" s="95" t="s">
        <v>878</v>
      </c>
      <c r="G12307" s="443">
        <v>119176012</v>
      </c>
      <c r="H12307" s="595"/>
      <c r="I12307" s="278" t="s">
        <v>590</v>
      </c>
      <c r="J12307" s="43" t="s">
        <v>906</v>
      </c>
      <c r="N12307" s="598">
        <v>758670</v>
      </c>
      <c r="O12307" s="420"/>
      <c r="P12307" s="420"/>
      <c r="Q12307" s="420"/>
      <c r="R12307" s="420">
        <v>957.27700000000004</v>
      </c>
      <c r="S12307" s="420">
        <v>957.68744628099205</v>
      </c>
      <c r="T12307" s="420">
        <v>15.649900000000001</v>
      </c>
      <c r="U12307" s="278">
        <v>1089.3900000000001</v>
      </c>
      <c r="V12307" s="278">
        <v>544.69000000000005</v>
      </c>
      <c r="Z12307" s="420" t="s">
        <v>2953</v>
      </c>
    </row>
    <row r="12308" spans="1:26">
      <c r="A12308" s="275">
        <v>45918</v>
      </c>
      <c r="B12308" s="499">
        <v>45919</v>
      </c>
      <c r="C12308" s="420" t="s">
        <v>173</v>
      </c>
      <c r="D12308" s="420" t="s">
        <v>760</v>
      </c>
      <c r="E12308" s="501">
        <v>1300888591.04</v>
      </c>
      <c r="F12308" s="95" t="s">
        <v>878</v>
      </c>
      <c r="G12308" s="443">
        <v>119175125</v>
      </c>
      <c r="H12308" s="595">
        <v>119175125</v>
      </c>
      <c r="I12308" s="278" t="s">
        <v>713</v>
      </c>
      <c r="J12308" s="43" t="s">
        <v>912</v>
      </c>
      <c r="N12308" s="598">
        <v>1654900</v>
      </c>
      <c r="O12308" s="420"/>
      <c r="P12308" s="420"/>
      <c r="Q12308" s="420"/>
      <c r="R12308" s="420">
        <v>785.74599999999998</v>
      </c>
      <c r="S12308" s="420">
        <v>786.08289989727496</v>
      </c>
      <c r="T12308" s="420">
        <v>15.649900000000001</v>
      </c>
      <c r="U12308" s="278">
        <v>1950.5</v>
      </c>
      <c r="V12308" s="278">
        <v>975.25</v>
      </c>
      <c r="Z12308" s="420" t="s">
        <v>2953</v>
      </c>
    </row>
    <row r="12309" spans="1:26">
      <c r="A12309" s="275">
        <v>45918</v>
      </c>
      <c r="B12309" s="499">
        <v>45919</v>
      </c>
      <c r="C12309" s="420" t="s">
        <v>173</v>
      </c>
      <c r="D12309" s="420" t="s">
        <v>760</v>
      </c>
      <c r="E12309" s="501">
        <v>726568734.87</v>
      </c>
      <c r="F12309" s="95" t="s">
        <v>878</v>
      </c>
      <c r="G12309" s="443">
        <v>119176012</v>
      </c>
      <c r="H12309" s="595">
        <v>119176012</v>
      </c>
      <c r="I12309" s="278" t="s">
        <v>590</v>
      </c>
      <c r="J12309" s="43" t="s">
        <v>912</v>
      </c>
      <c r="N12309" s="598">
        <v>758670</v>
      </c>
      <c r="O12309" s="420"/>
      <c r="P12309" s="420"/>
      <c r="Q12309" s="420"/>
      <c r="R12309" s="420">
        <v>957.27700000000004</v>
      </c>
      <c r="S12309" s="420">
        <v>957.68744628099205</v>
      </c>
      <c r="T12309" s="420">
        <v>15.649900000000001</v>
      </c>
      <c r="U12309" s="278">
        <v>1089.3900000000001</v>
      </c>
      <c r="V12309" s="278">
        <v>544.69000000000005</v>
      </c>
      <c r="Z12309" s="420" t="s">
        <v>2953</v>
      </c>
    </row>
    <row r="12310" spans="1:26">
      <c r="A12310" s="275">
        <v>45918</v>
      </c>
      <c r="B12310" s="275">
        <v>45918</v>
      </c>
      <c r="C12310" s="420" t="s">
        <v>173</v>
      </c>
      <c r="D12310" s="420" t="s">
        <v>763</v>
      </c>
      <c r="E12310" s="501">
        <v>-456172453.73000002</v>
      </c>
      <c r="F12310" s="95" t="s">
        <v>878</v>
      </c>
      <c r="G12310" s="443">
        <v>119174496</v>
      </c>
      <c r="H12310" s="595"/>
      <c r="I12310" s="278" t="s">
        <v>686</v>
      </c>
      <c r="J12310" s="43" t="s">
        <v>906</v>
      </c>
      <c r="N12310" s="598">
        <v>504792</v>
      </c>
      <c r="R12310" s="420">
        <v>903.68399999999997</v>
      </c>
      <c r="S12310" s="420">
        <v>904.069241727286</v>
      </c>
      <c r="T12310" s="420">
        <v>15.56</v>
      </c>
      <c r="U12310" s="278">
        <v>684.26</v>
      </c>
      <c r="V12310" s="278">
        <v>342.13</v>
      </c>
      <c r="Z12310" s="420" t="s">
        <v>2953</v>
      </c>
    </row>
    <row r="12311" spans="1:26">
      <c r="A12311" s="275">
        <v>45918</v>
      </c>
      <c r="B12311" s="275">
        <v>45918</v>
      </c>
      <c r="C12311" s="420" t="s">
        <v>173</v>
      </c>
      <c r="D12311" s="420" t="s">
        <v>763</v>
      </c>
      <c r="E12311" s="501">
        <v>-497241777.07999998</v>
      </c>
      <c r="F12311" s="95" t="s">
        <v>878</v>
      </c>
      <c r="G12311" s="443">
        <v>119174499</v>
      </c>
      <c r="H12311" s="595"/>
      <c r="I12311" s="278" t="s">
        <v>721</v>
      </c>
      <c r="J12311" s="43" t="s">
        <v>906</v>
      </c>
      <c r="N12311" s="598">
        <v>884163</v>
      </c>
      <c r="R12311" s="420">
        <v>562.38699999999994</v>
      </c>
      <c r="S12311" s="420">
        <v>562.62674634654502</v>
      </c>
      <c r="T12311" s="420">
        <v>15.56</v>
      </c>
      <c r="U12311" s="278">
        <v>745.86</v>
      </c>
      <c r="V12311" s="278">
        <v>372.93</v>
      </c>
      <c r="Z12311" s="420" t="s">
        <v>2953</v>
      </c>
    </row>
    <row r="12312" spans="1:26">
      <c r="A12312" s="275">
        <v>45918</v>
      </c>
      <c r="B12312" s="275">
        <v>45918</v>
      </c>
      <c r="C12312" s="420" t="s">
        <v>173</v>
      </c>
      <c r="D12312" s="420" t="s">
        <v>763</v>
      </c>
      <c r="E12312" s="501">
        <v>-503165643.94</v>
      </c>
      <c r="F12312" s="95" t="s">
        <v>878</v>
      </c>
      <c r="G12312" s="443">
        <v>119174502</v>
      </c>
      <c r="H12312" s="595"/>
      <c r="I12312" s="278" t="s">
        <v>717</v>
      </c>
      <c r="J12312" s="43" t="s">
        <v>906</v>
      </c>
      <c r="N12312" s="598">
        <v>858621</v>
      </c>
      <c r="R12312" s="420">
        <v>586.01599999999996</v>
      </c>
      <c r="S12312" s="420">
        <v>586.26581942440305</v>
      </c>
      <c r="T12312" s="420">
        <v>15.56</v>
      </c>
      <c r="U12312" s="278">
        <v>754.75</v>
      </c>
      <c r="V12312" s="278">
        <v>377.37</v>
      </c>
      <c r="Z12312" s="420" t="s">
        <v>2953</v>
      </c>
    </row>
    <row r="12313" spans="1:26">
      <c r="A12313" s="275">
        <v>45918</v>
      </c>
      <c r="B12313" s="275">
        <v>45918</v>
      </c>
      <c r="C12313" s="420" t="s">
        <v>173</v>
      </c>
      <c r="D12313" s="420" t="s">
        <v>763</v>
      </c>
      <c r="E12313" s="501">
        <v>-521424252.38</v>
      </c>
      <c r="F12313" s="95" t="s">
        <v>878</v>
      </c>
      <c r="G12313" s="443">
        <v>119174505</v>
      </c>
      <c r="H12313" s="595"/>
      <c r="I12313" s="278" t="s">
        <v>678</v>
      </c>
      <c r="J12313" s="43" t="s">
        <v>906</v>
      </c>
      <c r="N12313" s="598">
        <v>551739</v>
      </c>
      <c r="R12313" s="420">
        <v>945.05600000000004</v>
      </c>
      <c r="S12313" s="420">
        <v>945.45887865458099</v>
      </c>
      <c r="T12313" s="420">
        <v>15.56</v>
      </c>
      <c r="U12313" s="278">
        <v>782.14</v>
      </c>
      <c r="V12313" s="278">
        <v>391.07</v>
      </c>
      <c r="Z12313" s="420" t="s">
        <v>2953</v>
      </c>
    </row>
    <row r="12314" spans="1:26">
      <c r="A12314" s="275">
        <v>45918</v>
      </c>
      <c r="B12314" s="275">
        <v>45918</v>
      </c>
      <c r="C12314" s="420" t="s">
        <v>173</v>
      </c>
      <c r="D12314" s="420" t="s">
        <v>763</v>
      </c>
      <c r="E12314" s="501">
        <v>-105020865.5</v>
      </c>
      <c r="F12314" s="95" t="s">
        <v>878</v>
      </c>
      <c r="G12314" s="443">
        <v>119174508</v>
      </c>
      <c r="I12314" s="278" t="s">
        <v>1091</v>
      </c>
      <c r="J12314" s="43" t="s">
        <v>906</v>
      </c>
      <c r="N12314" s="598">
        <v>106365</v>
      </c>
      <c r="R12314" s="420">
        <v>987.36300000000006</v>
      </c>
      <c r="S12314" s="420">
        <v>987.78391425750999</v>
      </c>
      <c r="T12314" s="420">
        <v>15.56</v>
      </c>
      <c r="U12314" s="278">
        <v>157.53</v>
      </c>
      <c r="V12314" s="278">
        <v>78.77</v>
      </c>
      <c r="Z12314" s="420" t="s">
        <v>2953</v>
      </c>
    </row>
    <row r="12315" spans="1:26">
      <c r="A12315" s="275">
        <v>45918</v>
      </c>
      <c r="B12315" s="275">
        <v>45918</v>
      </c>
      <c r="C12315" s="420" t="s">
        <v>173</v>
      </c>
      <c r="D12315" s="420" t="s">
        <v>763</v>
      </c>
      <c r="E12315" s="501">
        <v>-11003753.119999999</v>
      </c>
      <c r="F12315" s="95" t="s">
        <v>878</v>
      </c>
      <c r="G12315" s="443">
        <v>119174529</v>
      </c>
      <c r="I12315" s="278" t="s">
        <v>658</v>
      </c>
      <c r="J12315" s="43" t="s">
        <v>906</v>
      </c>
      <c r="N12315" s="598">
        <v>10637</v>
      </c>
      <c r="R12315" s="420">
        <v>1034.479</v>
      </c>
      <c r="S12315" s="420">
        <v>1034.92113283821</v>
      </c>
      <c r="T12315" s="420">
        <v>15.6</v>
      </c>
      <c r="U12315" s="278">
        <v>39.32</v>
      </c>
      <c r="V12315" s="278">
        <v>39.32</v>
      </c>
      <c r="Z12315" s="420" t="s">
        <v>2953</v>
      </c>
    </row>
    <row r="12316" spans="1:26">
      <c r="A12316" s="275">
        <v>45918</v>
      </c>
      <c r="B12316" s="275">
        <v>45918</v>
      </c>
      <c r="C12316" s="420" t="s">
        <v>173</v>
      </c>
      <c r="D12316" s="420" t="s">
        <v>763</v>
      </c>
      <c r="E12316" s="501">
        <v>-1000341.19</v>
      </c>
      <c r="F12316" s="95" t="s">
        <v>878</v>
      </c>
      <c r="G12316" s="443">
        <v>119174551</v>
      </c>
      <c r="I12316" s="278" t="s">
        <v>658</v>
      </c>
      <c r="J12316" s="43" t="s">
        <v>906</v>
      </c>
      <c r="N12316" s="598">
        <v>967</v>
      </c>
      <c r="R12316" s="420">
        <v>1034.479</v>
      </c>
      <c r="S12316" s="420">
        <v>1034.92112719752</v>
      </c>
      <c r="T12316" s="420">
        <v>15.6</v>
      </c>
      <c r="U12316" s="278">
        <v>39.32</v>
      </c>
      <c r="V12316" s="278">
        <v>39.32</v>
      </c>
      <c r="Z12316" s="420" t="s">
        <v>2953</v>
      </c>
    </row>
    <row r="12317" spans="1:26">
      <c r="A12317" s="275">
        <v>45918</v>
      </c>
      <c r="B12317" s="499">
        <v>45919</v>
      </c>
      <c r="C12317" s="420" t="s">
        <v>173</v>
      </c>
      <c r="D12317" s="420" t="s">
        <v>763</v>
      </c>
      <c r="E12317" s="501">
        <v>456366920.67000002</v>
      </c>
      <c r="F12317" s="95" t="s">
        <v>878</v>
      </c>
      <c r="G12317" s="443">
        <v>119174496</v>
      </c>
      <c r="H12317" s="595">
        <v>119174496</v>
      </c>
      <c r="I12317" s="278" t="s">
        <v>686</v>
      </c>
      <c r="J12317" s="43" t="s">
        <v>912</v>
      </c>
      <c r="N12317" s="598">
        <v>504792</v>
      </c>
      <c r="R12317" s="420">
        <v>903.68399999999997</v>
      </c>
      <c r="S12317" s="420">
        <v>904.069241727286</v>
      </c>
      <c r="T12317" s="420">
        <v>15.56</v>
      </c>
      <c r="U12317" s="278">
        <v>684.26</v>
      </c>
      <c r="V12317" s="278">
        <v>342.13</v>
      </c>
      <c r="Z12317" s="420" t="s">
        <v>2953</v>
      </c>
    </row>
    <row r="12318" spans="1:26">
      <c r="A12318" s="275">
        <v>45918</v>
      </c>
      <c r="B12318" s="499">
        <v>45919</v>
      </c>
      <c r="C12318" s="420" t="s">
        <v>173</v>
      </c>
      <c r="D12318" s="420" t="s">
        <v>763</v>
      </c>
      <c r="E12318" s="501">
        <v>497453751.93000001</v>
      </c>
      <c r="F12318" s="95" t="s">
        <v>878</v>
      </c>
      <c r="G12318" s="443">
        <v>119174499</v>
      </c>
      <c r="H12318" s="595">
        <v>119174499</v>
      </c>
      <c r="I12318" s="278" t="s">
        <v>721</v>
      </c>
      <c r="J12318" s="43" t="s">
        <v>912</v>
      </c>
      <c r="N12318" s="598">
        <v>884163</v>
      </c>
      <c r="R12318" s="420">
        <v>562.38699999999994</v>
      </c>
      <c r="S12318" s="420">
        <v>562.62674634654502</v>
      </c>
      <c r="T12318" s="420">
        <v>15.56</v>
      </c>
      <c r="U12318" s="278">
        <v>745.86</v>
      </c>
      <c r="V12318" s="278">
        <v>372.93</v>
      </c>
      <c r="Z12318" s="420" t="s">
        <v>2953</v>
      </c>
    </row>
    <row r="12319" spans="1:26">
      <c r="A12319" s="275">
        <v>45918</v>
      </c>
      <c r="B12319" s="499">
        <v>45919</v>
      </c>
      <c r="C12319" s="420" t="s">
        <v>173</v>
      </c>
      <c r="D12319" s="420" t="s">
        <v>763</v>
      </c>
      <c r="E12319" s="501">
        <v>503380144.13999999</v>
      </c>
      <c r="F12319" s="95" t="s">
        <v>878</v>
      </c>
      <c r="G12319" s="443">
        <v>119174502</v>
      </c>
      <c r="H12319" s="595">
        <v>119174502</v>
      </c>
      <c r="I12319" s="278" t="s">
        <v>717</v>
      </c>
      <c r="J12319" s="43" t="s">
        <v>912</v>
      </c>
      <c r="N12319" s="598">
        <v>858621</v>
      </c>
      <c r="R12319" s="420">
        <v>586.01599999999996</v>
      </c>
      <c r="S12319" s="420">
        <v>586.26581942440305</v>
      </c>
      <c r="T12319" s="420">
        <v>15.56</v>
      </c>
      <c r="U12319" s="278">
        <v>754.75</v>
      </c>
      <c r="V12319" s="278">
        <v>377.37</v>
      </c>
      <c r="Z12319" s="420" t="s">
        <v>2953</v>
      </c>
    </row>
    <row r="12320" spans="1:26">
      <c r="A12320" s="275">
        <v>45918</v>
      </c>
      <c r="B12320" s="499">
        <v>45919</v>
      </c>
      <c r="C12320" s="420" t="s">
        <v>173</v>
      </c>
      <c r="D12320" s="420" t="s">
        <v>763</v>
      </c>
      <c r="E12320" s="501">
        <v>521646536.25</v>
      </c>
      <c r="F12320" s="95" t="s">
        <v>878</v>
      </c>
      <c r="G12320" s="443">
        <v>119174505</v>
      </c>
      <c r="H12320" s="595">
        <v>119174505</v>
      </c>
      <c r="I12320" s="278" t="s">
        <v>678</v>
      </c>
      <c r="J12320" s="43" t="s">
        <v>912</v>
      </c>
      <c r="N12320" s="598">
        <v>551739</v>
      </c>
      <c r="R12320" s="420">
        <v>945.05600000000004</v>
      </c>
      <c r="S12320" s="420">
        <v>945.45887865458099</v>
      </c>
      <c r="T12320" s="420">
        <v>15.56</v>
      </c>
      <c r="U12320" s="278">
        <v>782.14</v>
      </c>
      <c r="V12320" s="278">
        <v>391.07</v>
      </c>
      <c r="Z12320" s="420" t="s">
        <v>2953</v>
      </c>
    </row>
    <row r="12321" spans="1:26">
      <c r="A12321" s="275">
        <v>45918</v>
      </c>
      <c r="B12321" s="499">
        <v>45919</v>
      </c>
      <c r="C12321" s="420" t="s">
        <v>173</v>
      </c>
      <c r="D12321" s="420" t="s">
        <v>763</v>
      </c>
      <c r="E12321" s="501">
        <v>105065636.04000001</v>
      </c>
      <c r="F12321" s="95" t="s">
        <v>878</v>
      </c>
      <c r="G12321" s="443">
        <v>119174508</v>
      </c>
      <c r="H12321" s="595">
        <v>119174508</v>
      </c>
      <c r="I12321" s="278" t="s">
        <v>1091</v>
      </c>
      <c r="J12321" s="530" t="s">
        <v>912</v>
      </c>
      <c r="N12321" s="598">
        <v>106365</v>
      </c>
      <c r="R12321" s="420">
        <v>987.36300000000006</v>
      </c>
      <c r="S12321" s="420">
        <v>987.78391425750999</v>
      </c>
      <c r="T12321" s="420">
        <v>15.56</v>
      </c>
      <c r="U12321" s="278">
        <v>157.53</v>
      </c>
      <c r="V12321" s="278">
        <v>78.77</v>
      </c>
      <c r="Z12321" s="420" t="s">
        <v>2953</v>
      </c>
    </row>
    <row r="12322" spans="1:26">
      <c r="A12322" s="275">
        <v>45918</v>
      </c>
      <c r="B12322" s="499">
        <v>45919</v>
      </c>
      <c r="C12322" s="420" t="s">
        <v>173</v>
      </c>
      <c r="D12322" s="420" t="s">
        <v>763</v>
      </c>
      <c r="E12322" s="501">
        <v>11008456.09</v>
      </c>
      <c r="F12322" s="95" t="s">
        <v>878</v>
      </c>
      <c r="G12322" s="443">
        <v>119174529</v>
      </c>
      <c r="H12322" s="595">
        <v>119174529</v>
      </c>
      <c r="I12322" s="278" t="s">
        <v>658</v>
      </c>
      <c r="J12322" s="530" t="s">
        <v>912</v>
      </c>
      <c r="N12322" s="598">
        <v>10637</v>
      </c>
      <c r="R12322" s="420">
        <v>1034.479</v>
      </c>
      <c r="S12322" s="420">
        <v>1034.92113283821</v>
      </c>
      <c r="T12322" s="420">
        <v>15.6</v>
      </c>
      <c r="U12322" s="278">
        <v>39.32</v>
      </c>
      <c r="V12322" s="278">
        <v>39.32</v>
      </c>
      <c r="Z12322" s="420" t="s">
        <v>2953</v>
      </c>
    </row>
    <row r="12323" spans="1:26">
      <c r="A12323" s="275">
        <v>45918</v>
      </c>
      <c r="B12323" s="499">
        <v>45919</v>
      </c>
      <c r="C12323" s="420" t="s">
        <v>173</v>
      </c>
      <c r="D12323" s="420" t="s">
        <v>763</v>
      </c>
      <c r="E12323" s="501">
        <v>1000768.73</v>
      </c>
      <c r="F12323" s="95" t="s">
        <v>878</v>
      </c>
      <c r="G12323" s="443">
        <v>119174551</v>
      </c>
      <c r="H12323" s="595">
        <v>119174551</v>
      </c>
      <c r="I12323" s="278" t="s">
        <v>658</v>
      </c>
      <c r="J12323" s="530" t="s">
        <v>912</v>
      </c>
      <c r="N12323" s="598">
        <v>967</v>
      </c>
      <c r="R12323" s="420">
        <v>1034.479</v>
      </c>
      <c r="S12323" s="420">
        <v>1034.92112719752</v>
      </c>
      <c r="T12323" s="420">
        <v>15.6</v>
      </c>
      <c r="U12323" s="278">
        <v>39.32</v>
      </c>
      <c r="V12323" s="278">
        <v>39.32</v>
      </c>
      <c r="Z12323" s="420" t="s">
        <v>2953</v>
      </c>
    </row>
    <row r="12324" spans="1:26">
      <c r="A12324" s="275">
        <v>45918</v>
      </c>
      <c r="B12324" s="275">
        <v>45918</v>
      </c>
      <c r="C12324" s="420" t="s">
        <v>173</v>
      </c>
      <c r="D12324" s="420" t="s">
        <v>759</v>
      </c>
      <c r="E12324" s="501">
        <v>-2416194710.27</v>
      </c>
      <c r="F12324" s="95" t="s">
        <v>878</v>
      </c>
      <c r="G12324" s="443">
        <v>119175856</v>
      </c>
      <c r="I12324" s="278" t="s">
        <v>604</v>
      </c>
      <c r="J12324" s="530" t="s">
        <v>906</v>
      </c>
      <c r="N12324" s="598">
        <v>2329024</v>
      </c>
      <c r="R12324" s="420">
        <v>1037.4279999991413</v>
      </c>
      <c r="S12324" s="420">
        <v>1037.87025981699</v>
      </c>
      <c r="T12324" s="420">
        <v>15.5601</v>
      </c>
      <c r="U12324" s="278">
        <v>3624.29</v>
      </c>
      <c r="V12324" s="278">
        <v>1812.15</v>
      </c>
      <c r="Z12324" s="420" t="s">
        <v>2953</v>
      </c>
    </row>
    <row r="12325" spans="1:26">
      <c r="A12325" s="275">
        <v>45918</v>
      </c>
      <c r="B12325" s="275">
        <v>45918</v>
      </c>
      <c r="C12325" s="420" t="s">
        <v>173</v>
      </c>
      <c r="D12325" s="420" t="s">
        <v>759</v>
      </c>
      <c r="E12325" s="501">
        <v>-15001846.98</v>
      </c>
      <c r="F12325" s="95" t="s">
        <v>878</v>
      </c>
      <c r="G12325" s="443">
        <v>119176095</v>
      </c>
      <c r="I12325" s="278" t="s">
        <v>691</v>
      </c>
      <c r="J12325" s="530" t="s">
        <v>906</v>
      </c>
      <c r="N12325" s="598">
        <v>16980</v>
      </c>
      <c r="R12325" s="420">
        <v>883.50099999999998</v>
      </c>
      <c r="S12325" s="420">
        <v>883.87860600706699</v>
      </c>
      <c r="T12325" s="420">
        <v>15.6</v>
      </c>
      <c r="U12325" s="278">
        <v>39.32</v>
      </c>
      <c r="V12325" s="278">
        <v>11.25</v>
      </c>
      <c r="Z12325" s="420" t="s">
        <v>2953</v>
      </c>
    </row>
    <row r="12326" spans="1:26">
      <c r="A12326" s="275">
        <v>45918</v>
      </c>
      <c r="B12326" s="499">
        <v>45919</v>
      </c>
      <c r="C12326" s="420" t="s">
        <v>173</v>
      </c>
      <c r="D12326" s="420" t="s">
        <v>759</v>
      </c>
      <c r="E12326" s="501">
        <v>2417224744</v>
      </c>
      <c r="F12326" s="95" t="s">
        <v>878</v>
      </c>
      <c r="G12326" s="443">
        <v>119175856</v>
      </c>
      <c r="H12326" s="595">
        <v>119175856</v>
      </c>
      <c r="I12326" s="278" t="s">
        <v>604</v>
      </c>
      <c r="J12326" s="530" t="s">
        <v>912</v>
      </c>
      <c r="N12326" s="598">
        <v>2329024</v>
      </c>
      <c r="R12326" s="420">
        <v>1037.4279999991413</v>
      </c>
      <c r="S12326" s="420">
        <v>1037.87025981699</v>
      </c>
      <c r="T12326" s="420">
        <v>15.5601</v>
      </c>
      <c r="U12326" s="278">
        <v>3624.29</v>
      </c>
      <c r="V12326" s="278">
        <v>1812.15</v>
      </c>
      <c r="Z12326" s="420" t="s">
        <v>2953</v>
      </c>
    </row>
    <row r="12327" spans="1:26">
      <c r="A12327" s="275">
        <v>45918</v>
      </c>
      <c r="B12327" s="499">
        <v>45919</v>
      </c>
      <c r="C12327" s="420" t="s">
        <v>173</v>
      </c>
      <c r="D12327" s="420" t="s">
        <v>759</v>
      </c>
      <c r="E12327" s="501">
        <v>15008258.73</v>
      </c>
      <c r="F12327" s="95" t="s">
        <v>878</v>
      </c>
      <c r="G12327" s="443">
        <v>119176095</v>
      </c>
      <c r="H12327" s="595">
        <v>119176095</v>
      </c>
      <c r="I12327" s="278" t="s">
        <v>691</v>
      </c>
      <c r="J12327" s="530" t="s">
        <v>912</v>
      </c>
      <c r="N12327" s="598">
        <v>16980</v>
      </c>
      <c r="R12327" s="420">
        <v>883.50099999999998</v>
      </c>
      <c r="S12327" s="420">
        <v>883.87860600706699</v>
      </c>
      <c r="T12327" s="420">
        <v>15.6</v>
      </c>
      <c r="U12327" s="278">
        <v>39.32</v>
      </c>
      <c r="V12327" s="278">
        <v>11.25</v>
      </c>
      <c r="Z12327" s="420" t="s">
        <v>2953</v>
      </c>
    </row>
    <row r="12328" spans="1:26">
      <c r="A12328" s="499">
        <v>45919</v>
      </c>
      <c r="B12328" s="499">
        <v>45919</v>
      </c>
      <c r="C12328" s="420" t="s">
        <v>173</v>
      </c>
      <c r="D12328" s="500" t="s">
        <v>762</v>
      </c>
      <c r="E12328" s="501">
        <v>-892106527.99000001</v>
      </c>
      <c r="F12328" s="95" t="s">
        <v>878</v>
      </c>
      <c r="G12328" s="443">
        <v>119205745</v>
      </c>
      <c r="I12328" s="278" t="s">
        <v>829</v>
      </c>
      <c r="J12328" s="530" t="s">
        <v>906</v>
      </c>
      <c r="N12328" s="598">
        <v>821532</v>
      </c>
      <c r="R12328" s="420">
        <v>1085.9059999999999</v>
      </c>
      <c r="S12328" s="420">
        <v>1087.3162081087501</v>
      </c>
      <c r="T12328" s="420">
        <v>15.8002</v>
      </c>
      <c r="U12328" s="278">
        <v>4014.48</v>
      </c>
      <c r="V12328" s="278">
        <v>2007.24</v>
      </c>
      <c r="Z12328" s="420" t="s">
        <v>2953</v>
      </c>
    </row>
    <row r="12329" spans="1:26">
      <c r="A12329" s="499">
        <v>45919</v>
      </c>
      <c r="B12329" s="499">
        <v>45919</v>
      </c>
      <c r="C12329" s="420" t="s">
        <v>173</v>
      </c>
      <c r="D12329" s="500" t="s">
        <v>762</v>
      </c>
      <c r="E12329" s="501">
        <v>-2583158523.3600001</v>
      </c>
      <c r="F12329" s="95" t="s">
        <v>878</v>
      </c>
      <c r="G12329" s="443">
        <v>119205748</v>
      </c>
      <c r="I12329" s="278" t="s">
        <v>3046</v>
      </c>
      <c r="J12329" s="530" t="s">
        <v>906</v>
      </c>
      <c r="N12329" s="598">
        <v>26106381</v>
      </c>
      <c r="R12329" s="420">
        <v>98.947400000000002</v>
      </c>
      <c r="S12329" s="420">
        <v>99.075896075752496</v>
      </c>
      <c r="T12329" s="420">
        <v>15.8</v>
      </c>
      <c r="U12329" s="278">
        <v>11624.21</v>
      </c>
      <c r="V12329" s="278">
        <v>5812.11</v>
      </c>
      <c r="Z12329" s="420" t="s">
        <v>2953</v>
      </c>
    </row>
    <row r="12330" spans="1:26">
      <c r="A12330" s="499">
        <v>45919</v>
      </c>
      <c r="B12330" s="499">
        <v>45919</v>
      </c>
      <c r="C12330" s="420" t="s">
        <v>173</v>
      </c>
      <c r="D12330" s="500" t="s">
        <v>762</v>
      </c>
      <c r="E12330" s="501">
        <v>-21001288.809999999</v>
      </c>
      <c r="F12330" s="95" t="s">
        <v>878</v>
      </c>
      <c r="G12330" s="443">
        <v>119205760</v>
      </c>
      <c r="I12330" s="278" t="s">
        <v>3046</v>
      </c>
      <c r="J12330" s="530" t="s">
        <v>906</v>
      </c>
      <c r="N12330" s="598">
        <v>212247</v>
      </c>
      <c r="R12330" s="420">
        <v>98.947400000000002</v>
      </c>
      <c r="S12330" s="420">
        <v>99.075896102182796</v>
      </c>
      <c r="T12330" s="420">
        <v>15.8</v>
      </c>
      <c r="U12330" s="278">
        <v>94.51</v>
      </c>
      <c r="V12330" s="278">
        <v>47.25</v>
      </c>
      <c r="Z12330" s="420" t="s">
        <v>2953</v>
      </c>
    </row>
    <row r="12331" spans="1:26">
      <c r="A12331" s="499">
        <v>45919</v>
      </c>
      <c r="B12331" s="499">
        <v>45922</v>
      </c>
      <c r="C12331" s="420" t="s">
        <v>173</v>
      </c>
      <c r="D12331" s="500" t="s">
        <v>762</v>
      </c>
      <c r="E12331" s="501">
        <v>893265059.08000004</v>
      </c>
      <c r="F12331" s="95" t="s">
        <v>878</v>
      </c>
      <c r="G12331" s="443">
        <v>119205745</v>
      </c>
      <c r="H12331" s="595">
        <v>119205745</v>
      </c>
      <c r="I12331" s="278" t="s">
        <v>829</v>
      </c>
      <c r="J12331" s="530" t="s">
        <v>912</v>
      </c>
      <c r="N12331" s="598">
        <v>821532</v>
      </c>
      <c r="R12331" s="420">
        <v>1085.9059999999999</v>
      </c>
      <c r="S12331" s="420">
        <v>1087.3162081087501</v>
      </c>
      <c r="T12331" s="420">
        <v>15.8002</v>
      </c>
      <c r="U12331" s="278">
        <v>4014.48</v>
      </c>
      <c r="V12331" s="278">
        <v>2007.24</v>
      </c>
      <c r="Z12331" s="420" t="s">
        <v>2953</v>
      </c>
    </row>
    <row r="12332" spans="1:26">
      <c r="A12332" s="499">
        <v>45919</v>
      </c>
      <c r="B12332" s="499">
        <v>45922</v>
      </c>
      <c r="C12332" s="420" t="s">
        <v>173</v>
      </c>
      <c r="D12332" s="500" t="s">
        <v>762</v>
      </c>
      <c r="E12332" s="501">
        <v>2586513090.8699999</v>
      </c>
      <c r="F12332" s="95" t="s">
        <v>878</v>
      </c>
      <c r="G12332" s="443">
        <v>119205748</v>
      </c>
      <c r="H12332" s="595">
        <v>119205748</v>
      </c>
      <c r="I12332" s="278" t="s">
        <v>3046</v>
      </c>
      <c r="J12332" s="530" t="s">
        <v>912</v>
      </c>
      <c r="N12332" s="598">
        <v>26106381</v>
      </c>
      <c r="R12332" s="420">
        <v>98.947400000000002</v>
      </c>
      <c r="S12332" s="420">
        <v>99.075896075752496</v>
      </c>
      <c r="T12332" s="420">
        <v>15.8</v>
      </c>
      <c r="U12332" s="278">
        <v>11624.21</v>
      </c>
      <c r="V12332" s="278">
        <v>5812.11</v>
      </c>
      <c r="Z12332" s="420" t="s">
        <v>2953</v>
      </c>
    </row>
    <row r="12333" spans="1:26">
      <c r="A12333" s="499">
        <v>45919</v>
      </c>
      <c r="B12333" s="499">
        <v>45922</v>
      </c>
      <c r="C12333" s="420" t="s">
        <v>173</v>
      </c>
      <c r="D12333" s="500" t="s">
        <v>762</v>
      </c>
      <c r="E12333" s="501">
        <v>21028561.719999999</v>
      </c>
      <c r="F12333" s="95" t="s">
        <v>878</v>
      </c>
      <c r="G12333" s="443">
        <v>119205760</v>
      </c>
      <c r="H12333" s="595">
        <v>119205760</v>
      </c>
      <c r="I12333" s="278" t="s">
        <v>3046</v>
      </c>
      <c r="J12333" s="530" t="s">
        <v>912</v>
      </c>
      <c r="N12333" s="598">
        <v>212247</v>
      </c>
      <c r="R12333" s="420">
        <v>98.947400000000002</v>
      </c>
      <c r="S12333" s="420">
        <v>99.075896102182796</v>
      </c>
      <c r="T12333" s="420">
        <v>15.8</v>
      </c>
      <c r="U12333" s="278">
        <v>94.51</v>
      </c>
      <c r="V12333" s="278">
        <v>47.25</v>
      </c>
      <c r="Z12333" s="420" t="s">
        <v>2953</v>
      </c>
    </row>
    <row r="12334" spans="1:26">
      <c r="A12334" s="499">
        <v>45919</v>
      </c>
      <c r="B12334" s="499">
        <v>45919</v>
      </c>
      <c r="C12334" s="420" t="s">
        <v>173</v>
      </c>
      <c r="D12334" s="420" t="s">
        <v>760</v>
      </c>
      <c r="E12334" s="501">
        <v>-1300190227.7</v>
      </c>
      <c r="F12334" s="95" t="s">
        <v>878</v>
      </c>
      <c r="G12334" s="443">
        <v>119198400</v>
      </c>
      <c r="I12334" s="278" t="s">
        <v>716</v>
      </c>
      <c r="J12334" s="530" t="s">
        <v>906</v>
      </c>
      <c r="N12334" s="598">
        <v>2011100</v>
      </c>
      <c r="R12334" s="420">
        <v>646.50699999999995</v>
      </c>
      <c r="S12334" s="420">
        <v>647.34125440306298</v>
      </c>
      <c r="T12334" s="420">
        <v>15.6999</v>
      </c>
      <c r="U12334" s="278">
        <v>5850.86</v>
      </c>
      <c r="V12334" s="278">
        <v>2925.43</v>
      </c>
      <c r="Z12334" s="420" t="s">
        <v>2953</v>
      </c>
    </row>
    <row r="12335" spans="1:26">
      <c r="A12335" s="499">
        <v>45919</v>
      </c>
      <c r="B12335" s="499">
        <v>45919</v>
      </c>
      <c r="C12335" s="420" t="s">
        <v>173</v>
      </c>
      <c r="D12335" s="420" t="s">
        <v>760</v>
      </c>
      <c r="E12335" s="501">
        <v>-722551917.74000001</v>
      </c>
      <c r="F12335" s="95" t="s">
        <v>878</v>
      </c>
      <c r="G12335" s="443">
        <v>119198613</v>
      </c>
      <c r="I12335" s="278" t="s">
        <v>675</v>
      </c>
      <c r="J12335" s="530" t="s">
        <v>906</v>
      </c>
      <c r="N12335" s="598">
        <v>763154</v>
      </c>
      <c r="R12335" s="420">
        <v>946.79700000000003</v>
      </c>
      <c r="S12335" s="420">
        <v>948.01875722331295</v>
      </c>
      <c r="T12335" s="420">
        <v>15.7</v>
      </c>
      <c r="U12335" s="278">
        <v>3251.48</v>
      </c>
      <c r="V12335" s="278">
        <v>1625.74</v>
      </c>
      <c r="Z12335" s="420" t="s">
        <v>2953</v>
      </c>
    </row>
    <row r="12336" spans="1:26">
      <c r="A12336" s="499">
        <v>45919</v>
      </c>
      <c r="B12336" s="499">
        <v>45919</v>
      </c>
      <c r="C12336" s="420" t="s">
        <v>173</v>
      </c>
      <c r="D12336" s="420" t="s">
        <v>760</v>
      </c>
      <c r="E12336" s="501">
        <v>-4003057.72</v>
      </c>
      <c r="F12336" s="95" t="s">
        <v>878</v>
      </c>
      <c r="G12336" s="443">
        <v>119199005</v>
      </c>
      <c r="I12336" s="278" t="s">
        <v>675</v>
      </c>
      <c r="J12336" s="530" t="s">
        <v>906</v>
      </c>
      <c r="N12336" s="598">
        <v>4228</v>
      </c>
      <c r="R12336" s="420">
        <v>946.79700000000003</v>
      </c>
      <c r="S12336" s="420">
        <v>948.01875827814604</v>
      </c>
      <c r="T12336" s="420">
        <v>15.7</v>
      </c>
      <c r="U12336" s="278">
        <v>39.32</v>
      </c>
      <c r="V12336" s="278">
        <v>9.01</v>
      </c>
      <c r="Z12336" s="420" t="s">
        <v>2953</v>
      </c>
    </row>
    <row r="12337" spans="1:26">
      <c r="A12337" s="499">
        <v>45919</v>
      </c>
      <c r="B12337" s="499">
        <v>45919</v>
      </c>
      <c r="C12337" s="420" t="s">
        <v>173</v>
      </c>
      <c r="D12337" s="420" t="s">
        <v>760</v>
      </c>
      <c r="E12337" s="501">
        <v>-14001671.960000001</v>
      </c>
      <c r="F12337" s="95" t="s">
        <v>878</v>
      </c>
      <c r="G12337" s="443">
        <v>119202992</v>
      </c>
      <c r="I12337" s="278" t="s">
        <v>829</v>
      </c>
      <c r="J12337" s="530" t="s">
        <v>906</v>
      </c>
      <c r="N12337" s="598">
        <v>12894</v>
      </c>
      <c r="R12337" s="420">
        <v>1085.9059999999999</v>
      </c>
      <c r="S12337" s="420">
        <v>1087.3118341864399</v>
      </c>
      <c r="T12337" s="420">
        <v>15.751200000000001</v>
      </c>
      <c r="U12337" s="278">
        <v>63.01</v>
      </c>
      <c r="V12337" s="278">
        <v>31.5</v>
      </c>
      <c r="Z12337" s="420" t="s">
        <v>2953</v>
      </c>
    </row>
    <row r="12338" spans="1:26">
      <c r="A12338" s="499">
        <v>45919</v>
      </c>
      <c r="B12338" s="499">
        <v>45922</v>
      </c>
      <c r="C12338" s="420" t="s">
        <v>173</v>
      </c>
      <c r="D12338" s="420" t="s">
        <v>760</v>
      </c>
      <c r="E12338" s="501">
        <v>1301867996.73</v>
      </c>
      <c r="F12338" s="95" t="s">
        <v>878</v>
      </c>
      <c r="G12338" s="443">
        <v>119198400</v>
      </c>
      <c r="H12338" s="595">
        <v>119198400</v>
      </c>
      <c r="I12338" s="278" t="s">
        <v>716</v>
      </c>
      <c r="J12338" s="530" t="s">
        <v>912</v>
      </c>
      <c r="N12338" s="598">
        <v>2011100</v>
      </c>
      <c r="R12338" s="420">
        <v>646.50699999999995</v>
      </c>
      <c r="S12338" s="420">
        <v>647.34125440306298</v>
      </c>
      <c r="T12338" s="420">
        <v>15.6999</v>
      </c>
      <c r="U12338" s="278">
        <v>5850.86</v>
      </c>
      <c r="V12338" s="278">
        <v>2925.43</v>
      </c>
      <c r="Z12338" s="420" t="s">
        <v>2953</v>
      </c>
    </row>
    <row r="12339" spans="1:26">
      <c r="A12339" s="499">
        <v>45919</v>
      </c>
      <c r="B12339" s="499">
        <v>45922</v>
      </c>
      <c r="C12339" s="420" t="s">
        <v>173</v>
      </c>
      <c r="D12339" s="420" t="s">
        <v>760</v>
      </c>
      <c r="E12339" s="501">
        <v>723484306.64999998</v>
      </c>
      <c r="F12339" s="95" t="s">
        <v>878</v>
      </c>
      <c r="G12339" s="443">
        <v>119198613</v>
      </c>
      <c r="H12339" s="595">
        <v>119198613</v>
      </c>
      <c r="I12339" s="278" t="s">
        <v>675</v>
      </c>
      <c r="J12339" s="530" t="s">
        <v>912</v>
      </c>
      <c r="N12339" s="598">
        <v>763154</v>
      </c>
      <c r="R12339" s="420">
        <v>946.79700000000003</v>
      </c>
      <c r="S12339" s="420">
        <v>948.01875722331295</v>
      </c>
      <c r="T12339" s="420">
        <v>15.7</v>
      </c>
      <c r="U12339" s="278">
        <v>3251.48</v>
      </c>
      <c r="V12339" s="278">
        <v>1625.74</v>
      </c>
      <c r="Z12339" s="420" t="s">
        <v>2953</v>
      </c>
    </row>
    <row r="12340" spans="1:26">
      <c r="A12340" s="499">
        <v>45919</v>
      </c>
      <c r="B12340" s="499">
        <v>45922</v>
      </c>
      <c r="C12340" s="420" t="s">
        <v>173</v>
      </c>
      <c r="D12340" s="420" t="s">
        <v>760</v>
      </c>
      <c r="E12340" s="501">
        <v>4008223.31</v>
      </c>
      <c r="F12340" s="95" t="s">
        <v>878</v>
      </c>
      <c r="G12340" s="443">
        <v>119199005</v>
      </c>
      <c r="H12340" s="595">
        <v>119199005</v>
      </c>
      <c r="I12340" s="278" t="s">
        <v>675</v>
      </c>
      <c r="J12340" s="530" t="s">
        <v>912</v>
      </c>
      <c r="N12340" s="598">
        <v>4228</v>
      </c>
      <c r="R12340" s="420">
        <v>946.79700000000003</v>
      </c>
      <c r="S12340" s="420">
        <v>948.01875827814604</v>
      </c>
      <c r="T12340" s="420">
        <v>15.7</v>
      </c>
      <c r="U12340" s="278">
        <v>39.32</v>
      </c>
      <c r="V12340" s="278">
        <v>9.01</v>
      </c>
      <c r="Z12340" s="420" t="s">
        <v>2953</v>
      </c>
    </row>
    <row r="12341" spans="1:26">
      <c r="A12341" s="499">
        <v>45919</v>
      </c>
      <c r="B12341" s="499">
        <v>45922</v>
      </c>
      <c r="C12341" s="420" t="s">
        <v>173</v>
      </c>
      <c r="D12341" s="420" t="s">
        <v>760</v>
      </c>
      <c r="E12341" s="501">
        <v>14019798.789999999</v>
      </c>
      <c r="F12341" s="95" t="s">
        <v>878</v>
      </c>
      <c r="G12341" s="443">
        <v>119202992</v>
      </c>
      <c r="H12341" s="595">
        <v>119202992</v>
      </c>
      <c r="I12341" s="278" t="s">
        <v>829</v>
      </c>
      <c r="J12341" s="530" t="s">
        <v>912</v>
      </c>
      <c r="N12341" s="598">
        <v>12894</v>
      </c>
      <c r="R12341" s="420">
        <v>1085.9059999999999</v>
      </c>
      <c r="S12341" s="420">
        <v>1087.3118341864399</v>
      </c>
      <c r="T12341" s="420">
        <v>15.751200000000001</v>
      </c>
      <c r="U12341" s="278">
        <v>63.01</v>
      </c>
      <c r="V12341" s="278">
        <v>31.5</v>
      </c>
      <c r="Z12341" s="420" t="s">
        <v>2953</v>
      </c>
    </row>
    <row r="12342" spans="1:26">
      <c r="A12342" s="499">
        <v>45919</v>
      </c>
      <c r="B12342" s="499">
        <v>45919</v>
      </c>
      <c r="C12342" s="420" t="s">
        <v>173</v>
      </c>
      <c r="D12342" s="420" t="s">
        <v>764</v>
      </c>
      <c r="E12342" s="501">
        <v>-1000323.63</v>
      </c>
      <c r="F12342" s="95" t="s">
        <v>878</v>
      </c>
      <c r="G12342" s="443">
        <v>119199897</v>
      </c>
      <c r="H12342" s="595"/>
      <c r="I12342" s="278" t="s">
        <v>719</v>
      </c>
      <c r="J12342" s="530" t="s">
        <v>906</v>
      </c>
      <c r="N12342" s="598">
        <v>1544</v>
      </c>
      <c r="R12342" s="420">
        <v>647.87799870466324</v>
      </c>
      <c r="S12342" s="420">
        <v>649.85358160621797</v>
      </c>
      <c r="T12342" s="420">
        <v>15.9</v>
      </c>
      <c r="U12342" s="278">
        <v>39.32</v>
      </c>
      <c r="V12342" s="278">
        <v>5.25</v>
      </c>
      <c r="Z12342" s="420" t="s">
        <v>2961</v>
      </c>
    </row>
    <row r="12343" spans="1:26">
      <c r="A12343" s="499">
        <v>45919</v>
      </c>
      <c r="B12343" s="499">
        <v>45919</v>
      </c>
      <c r="C12343" s="420" t="s">
        <v>173</v>
      </c>
      <c r="D12343" s="420" t="s">
        <v>764</v>
      </c>
      <c r="E12343" s="501">
        <v>-191022105.58000001</v>
      </c>
      <c r="F12343" s="95" t="s">
        <v>878</v>
      </c>
      <c r="G12343" s="443">
        <v>119199900</v>
      </c>
      <c r="H12343" s="595"/>
      <c r="I12343" s="278" t="s">
        <v>687</v>
      </c>
      <c r="J12343" s="530" t="s">
        <v>906</v>
      </c>
      <c r="N12343" s="598">
        <v>231492</v>
      </c>
      <c r="R12343" s="420">
        <v>825.17800001727926</v>
      </c>
      <c r="S12343" s="420">
        <v>827.69422770549295</v>
      </c>
      <c r="T12343" s="420">
        <v>15.9</v>
      </c>
      <c r="U12343" s="278">
        <v>2005.73</v>
      </c>
      <c r="V12343" s="278">
        <v>1002.87</v>
      </c>
      <c r="Z12343" s="420" t="s">
        <v>2961</v>
      </c>
    </row>
    <row r="12344" spans="1:26">
      <c r="A12344" s="499">
        <v>45919</v>
      </c>
      <c r="B12344" s="499">
        <v>45919</v>
      </c>
      <c r="C12344" s="420" t="s">
        <v>173</v>
      </c>
      <c r="D12344" s="420" t="s">
        <v>764</v>
      </c>
      <c r="E12344" s="501">
        <v>-204170801.03999999</v>
      </c>
      <c r="F12344" s="95" t="s">
        <v>878</v>
      </c>
      <c r="G12344" s="443">
        <v>119199903</v>
      </c>
      <c r="H12344" s="595"/>
      <c r="I12344" s="278" t="s">
        <v>656</v>
      </c>
      <c r="J12344" s="530" t="s">
        <v>906</v>
      </c>
      <c r="N12344" s="598">
        <v>208080</v>
      </c>
      <c r="R12344" s="420">
        <v>981.21299999999997</v>
      </c>
      <c r="S12344" s="420">
        <v>984.20502758554403</v>
      </c>
      <c r="T12344" s="420">
        <v>15.9</v>
      </c>
      <c r="U12344" s="278">
        <v>2143.79</v>
      </c>
      <c r="V12344" s="278">
        <v>1071.9000000000001</v>
      </c>
      <c r="Z12344" s="420" t="s">
        <v>2961</v>
      </c>
    </row>
    <row r="12345" spans="1:26">
      <c r="A12345" s="499">
        <v>45919</v>
      </c>
      <c r="B12345" s="499">
        <v>45919</v>
      </c>
      <c r="C12345" s="420" t="s">
        <v>173</v>
      </c>
      <c r="D12345" s="420" t="s">
        <v>764</v>
      </c>
      <c r="E12345" s="501">
        <v>-1156137418.3399999</v>
      </c>
      <c r="F12345" s="95" t="s">
        <v>878</v>
      </c>
      <c r="G12345" s="443">
        <v>119199906</v>
      </c>
      <c r="H12345" s="595"/>
      <c r="I12345" s="278" t="s">
        <v>696</v>
      </c>
      <c r="J12345" s="530" t="s">
        <v>906</v>
      </c>
      <c r="N12345" s="598">
        <v>1546728</v>
      </c>
      <c r="R12345" s="420">
        <v>747.47299999741381</v>
      </c>
      <c r="S12345" s="420">
        <v>749.75228067895603</v>
      </c>
      <c r="T12345" s="420">
        <v>15.9</v>
      </c>
      <c r="U12345" s="278">
        <v>12139.44</v>
      </c>
      <c r="V12345" s="278">
        <v>6069.72</v>
      </c>
      <c r="Z12345" s="420" t="s">
        <v>2961</v>
      </c>
    </row>
    <row r="12346" spans="1:26">
      <c r="A12346" s="499">
        <v>45919</v>
      </c>
      <c r="B12346" s="499">
        <v>45919</v>
      </c>
      <c r="C12346" s="420" t="s">
        <v>173</v>
      </c>
      <c r="D12346" s="420" t="s">
        <v>764</v>
      </c>
      <c r="E12346" s="501">
        <v>-991314127.17999995</v>
      </c>
      <c r="F12346" s="95" t="s">
        <v>878</v>
      </c>
      <c r="G12346" s="443">
        <v>119199909</v>
      </c>
      <c r="H12346" s="595"/>
      <c r="I12346" s="278" t="s">
        <v>600</v>
      </c>
      <c r="J12346" s="530" t="s">
        <v>906</v>
      </c>
      <c r="N12346" s="598">
        <v>1080190</v>
      </c>
      <c r="R12346" s="420">
        <v>917.72199999999998</v>
      </c>
      <c r="S12346" s="420">
        <v>920.52042352734202</v>
      </c>
      <c r="T12346" s="420">
        <v>15.9</v>
      </c>
      <c r="U12346" s="278">
        <v>10408.799999999999</v>
      </c>
      <c r="V12346" s="278">
        <v>5204.3999999999996</v>
      </c>
      <c r="Z12346" s="420" t="s">
        <v>2961</v>
      </c>
    </row>
    <row r="12347" spans="1:26">
      <c r="A12347" s="499">
        <v>45919</v>
      </c>
      <c r="B12347" s="499">
        <v>45919</v>
      </c>
      <c r="C12347" s="420" t="s">
        <v>173</v>
      </c>
      <c r="D12347" s="420" t="s">
        <v>764</v>
      </c>
      <c r="E12347" s="501">
        <v>-2328831044.1599998</v>
      </c>
      <c r="F12347" s="95" t="s">
        <v>878</v>
      </c>
      <c r="G12347" s="443">
        <v>119199914</v>
      </c>
      <c r="H12347" s="595"/>
      <c r="I12347" s="278" t="s">
        <v>699</v>
      </c>
      <c r="J12347" s="530" t="s">
        <v>906</v>
      </c>
      <c r="N12347" s="598">
        <v>2543411</v>
      </c>
      <c r="R12347" s="420">
        <v>915.63299999882042</v>
      </c>
      <c r="S12347" s="420">
        <v>918.42505350098804</v>
      </c>
      <c r="T12347" s="420">
        <v>15.9</v>
      </c>
      <c r="U12347" s="278">
        <v>24452.73</v>
      </c>
      <c r="V12347" s="278">
        <v>12226.36</v>
      </c>
      <c r="Z12347" s="420" t="s">
        <v>2961</v>
      </c>
    </row>
    <row r="12348" spans="1:26">
      <c r="A12348" s="499">
        <v>45919</v>
      </c>
      <c r="B12348" s="499">
        <v>45919</v>
      </c>
      <c r="C12348" s="420" t="s">
        <v>173</v>
      </c>
      <c r="D12348" s="420" t="s">
        <v>764</v>
      </c>
      <c r="E12348" s="501">
        <v>-28022032.329999998</v>
      </c>
      <c r="F12348" s="95" t="s">
        <v>878</v>
      </c>
      <c r="G12348" s="443">
        <v>119199947</v>
      </c>
      <c r="I12348" s="278" t="s">
        <v>699</v>
      </c>
      <c r="J12348" s="530" t="s">
        <v>906</v>
      </c>
      <c r="N12348" s="598">
        <v>30604</v>
      </c>
      <c r="R12348" s="420">
        <v>915.63299993464898</v>
      </c>
      <c r="S12348" s="420">
        <v>918.425053587766</v>
      </c>
      <c r="T12348" s="420">
        <v>15.9</v>
      </c>
      <c r="U12348" s="278">
        <v>294.23</v>
      </c>
      <c r="V12348" s="278">
        <v>147.12</v>
      </c>
      <c r="Z12348" s="420" t="s">
        <v>2961</v>
      </c>
    </row>
    <row r="12349" spans="1:26">
      <c r="A12349" s="499">
        <v>45919</v>
      </c>
      <c r="B12349" s="499">
        <v>45926</v>
      </c>
      <c r="C12349" s="420" t="s">
        <v>173</v>
      </c>
      <c r="D12349" s="420" t="s">
        <v>764</v>
      </c>
      <c r="E12349" s="501">
        <v>1003373.93</v>
      </c>
      <c r="F12349" s="95" t="s">
        <v>878</v>
      </c>
      <c r="G12349" s="443">
        <v>119199897</v>
      </c>
      <c r="H12349" s="595">
        <v>119199897</v>
      </c>
      <c r="I12349" s="278" t="s">
        <v>719</v>
      </c>
      <c r="J12349" s="530" t="s">
        <v>912</v>
      </c>
      <c r="N12349" s="598">
        <v>1544</v>
      </c>
      <c r="R12349" s="420">
        <v>647.87799870466324</v>
      </c>
      <c r="S12349" s="420">
        <v>649.85358160621797</v>
      </c>
      <c r="T12349" s="420">
        <v>15.9</v>
      </c>
      <c r="U12349" s="278">
        <v>39.32</v>
      </c>
      <c r="V12349" s="278">
        <v>5.25</v>
      </c>
      <c r="Z12349" s="420" t="s">
        <v>2961</v>
      </c>
    </row>
    <row r="12350" spans="1:26">
      <c r="A12350" s="499">
        <v>45919</v>
      </c>
      <c r="B12350" s="499">
        <v>45926</v>
      </c>
      <c r="C12350" s="420" t="s">
        <v>173</v>
      </c>
      <c r="D12350" s="420" t="s">
        <v>764</v>
      </c>
      <c r="E12350" s="501">
        <v>191604592.16</v>
      </c>
      <c r="F12350" s="95" t="s">
        <v>878</v>
      </c>
      <c r="G12350" s="443">
        <v>119199900</v>
      </c>
      <c r="H12350" s="595">
        <v>119199900</v>
      </c>
      <c r="I12350" s="278" t="s">
        <v>687</v>
      </c>
      <c r="J12350" s="530" t="s">
        <v>912</v>
      </c>
      <c r="N12350" s="598">
        <v>231492</v>
      </c>
      <c r="R12350" s="420">
        <v>825.17800001727926</v>
      </c>
      <c r="S12350" s="420">
        <v>827.69422770549295</v>
      </c>
      <c r="T12350" s="420">
        <v>15.9</v>
      </c>
      <c r="U12350" s="278">
        <v>2005.73</v>
      </c>
      <c r="V12350" s="278">
        <v>1002.87</v>
      </c>
      <c r="Z12350" s="420" t="s">
        <v>2961</v>
      </c>
    </row>
    <row r="12351" spans="1:26">
      <c r="A12351" s="499">
        <v>45919</v>
      </c>
      <c r="B12351" s="499">
        <v>45926</v>
      </c>
      <c r="C12351" s="420" t="s">
        <v>173</v>
      </c>
      <c r="D12351" s="420" t="s">
        <v>764</v>
      </c>
      <c r="E12351" s="501">
        <v>204793382.13999999</v>
      </c>
      <c r="F12351" s="95" t="s">
        <v>878</v>
      </c>
      <c r="G12351" s="443">
        <v>119199903</v>
      </c>
      <c r="H12351" s="595">
        <v>119199903</v>
      </c>
      <c r="I12351" s="278" t="s">
        <v>656</v>
      </c>
      <c r="J12351" s="530" t="s">
        <v>912</v>
      </c>
      <c r="N12351" s="598">
        <v>208080</v>
      </c>
      <c r="R12351" s="420">
        <v>981.21299999999997</v>
      </c>
      <c r="S12351" s="420">
        <v>984.20502758554403</v>
      </c>
      <c r="T12351" s="420">
        <v>15.9</v>
      </c>
      <c r="U12351" s="278">
        <v>2143.79</v>
      </c>
      <c r="V12351" s="278">
        <v>1071.9000000000001</v>
      </c>
      <c r="Z12351" s="420" t="s">
        <v>2961</v>
      </c>
    </row>
    <row r="12352" spans="1:26">
      <c r="A12352" s="499">
        <v>45919</v>
      </c>
      <c r="B12352" s="499">
        <v>45926</v>
      </c>
      <c r="C12352" s="420" t="s">
        <v>173</v>
      </c>
      <c r="D12352" s="420" t="s">
        <v>764</v>
      </c>
      <c r="E12352" s="501">
        <v>1159662845.5899999</v>
      </c>
      <c r="F12352" s="95" t="s">
        <v>878</v>
      </c>
      <c r="G12352" s="443">
        <v>119199906</v>
      </c>
      <c r="H12352" s="595">
        <v>119199906</v>
      </c>
      <c r="I12352" s="278" t="s">
        <v>696</v>
      </c>
      <c r="J12352" s="530" t="s">
        <v>912</v>
      </c>
      <c r="N12352" s="598">
        <v>1546728</v>
      </c>
      <c r="R12352" s="420">
        <v>747.47299999741381</v>
      </c>
      <c r="S12352" s="420">
        <v>749.75228067895603</v>
      </c>
      <c r="T12352" s="420">
        <v>15.9</v>
      </c>
      <c r="U12352" s="278">
        <v>12139.44</v>
      </c>
      <c r="V12352" s="278">
        <v>6069.72</v>
      </c>
      <c r="Z12352" s="420" t="s">
        <v>2961</v>
      </c>
    </row>
    <row r="12353" spans="1:26">
      <c r="A12353" s="499">
        <v>45919</v>
      </c>
      <c r="B12353" s="499">
        <v>45926</v>
      </c>
      <c r="C12353" s="420" t="s">
        <v>173</v>
      </c>
      <c r="D12353" s="420" t="s">
        <v>764</v>
      </c>
      <c r="E12353" s="501">
        <v>994336956.28999996</v>
      </c>
      <c r="F12353" s="95" t="s">
        <v>878</v>
      </c>
      <c r="G12353" s="443">
        <v>119199909</v>
      </c>
      <c r="H12353" s="595">
        <v>119199909</v>
      </c>
      <c r="I12353" s="278" t="s">
        <v>600</v>
      </c>
      <c r="J12353" s="530" t="s">
        <v>912</v>
      </c>
      <c r="N12353" s="598">
        <v>1080190</v>
      </c>
      <c r="R12353" s="420">
        <v>917.72199999999998</v>
      </c>
      <c r="S12353" s="420">
        <v>920.52042352734202</v>
      </c>
      <c r="T12353" s="420">
        <v>15.9</v>
      </c>
      <c r="U12353" s="278">
        <v>10408.799999999999</v>
      </c>
      <c r="V12353" s="278">
        <v>5204.3999999999996</v>
      </c>
      <c r="Z12353" s="420" t="s">
        <v>2961</v>
      </c>
    </row>
    <row r="12354" spans="1:26">
      <c r="A12354" s="499">
        <v>45919</v>
      </c>
      <c r="B12354" s="499">
        <v>45926</v>
      </c>
      <c r="C12354" s="420" t="s">
        <v>173</v>
      </c>
      <c r="D12354" s="420" t="s">
        <v>764</v>
      </c>
      <c r="E12354" s="501">
        <v>2335932383.75</v>
      </c>
      <c r="F12354" s="95" t="s">
        <v>878</v>
      </c>
      <c r="G12354" s="443">
        <v>119199914</v>
      </c>
      <c r="H12354" s="595">
        <v>119199914</v>
      </c>
      <c r="I12354" s="278" t="s">
        <v>699</v>
      </c>
      <c r="J12354" s="530" t="s">
        <v>912</v>
      </c>
      <c r="N12354" s="598">
        <v>2543411</v>
      </c>
      <c r="R12354" s="420">
        <v>915.63299999882042</v>
      </c>
      <c r="S12354" s="420">
        <v>918.42505350098804</v>
      </c>
      <c r="T12354" s="420">
        <v>15.9</v>
      </c>
      <c r="U12354" s="278">
        <v>24452.73</v>
      </c>
      <c r="V12354" s="278">
        <v>12226.36</v>
      </c>
      <c r="Z12354" s="420" t="s">
        <v>2961</v>
      </c>
    </row>
    <row r="12355" spans="1:26">
      <c r="A12355" s="499">
        <v>45919</v>
      </c>
      <c r="B12355" s="499">
        <v>45926</v>
      </c>
      <c r="C12355" s="420" t="s">
        <v>173</v>
      </c>
      <c r="D12355" s="420" t="s">
        <v>764</v>
      </c>
      <c r="E12355" s="501">
        <v>28107480.34</v>
      </c>
      <c r="F12355" s="95" t="s">
        <v>878</v>
      </c>
      <c r="G12355" s="443">
        <v>119199947</v>
      </c>
      <c r="H12355" s="595">
        <v>119199947</v>
      </c>
      <c r="I12355" s="278" t="s">
        <v>699</v>
      </c>
      <c r="J12355" s="530" t="s">
        <v>912</v>
      </c>
      <c r="N12355" s="598">
        <v>30604</v>
      </c>
      <c r="R12355" s="420">
        <v>915.63299993464898</v>
      </c>
      <c r="S12355" s="420">
        <v>918.425053587766</v>
      </c>
      <c r="T12355" s="420">
        <v>15.9</v>
      </c>
      <c r="U12355" s="278">
        <v>294.23</v>
      </c>
      <c r="V12355" s="278">
        <v>147.12</v>
      </c>
      <c r="W12355" s="420"/>
      <c r="Z12355" s="420" t="s">
        <v>2961</v>
      </c>
    </row>
    <row r="12356" spans="1:26">
      <c r="A12356" s="499">
        <v>45919</v>
      </c>
      <c r="B12356" s="499">
        <v>45919</v>
      </c>
      <c r="C12356" s="420" t="s">
        <v>173</v>
      </c>
      <c r="D12356" s="420" t="s">
        <v>763</v>
      </c>
      <c r="E12356" s="501">
        <v>-2082127776.0899999</v>
      </c>
      <c r="F12356" s="95" t="s">
        <v>878</v>
      </c>
      <c r="G12356" s="443">
        <v>119199236</v>
      </c>
      <c r="H12356" s="595"/>
      <c r="I12356" s="278" t="s">
        <v>3046</v>
      </c>
      <c r="J12356" s="530" t="s">
        <v>906</v>
      </c>
      <c r="N12356" s="598">
        <v>21042774</v>
      </c>
      <c r="R12356" s="420">
        <v>98.947400000000002</v>
      </c>
      <c r="S12356" s="420">
        <v>99.074677802936094</v>
      </c>
      <c r="T12356" s="420">
        <v>15.6502</v>
      </c>
      <c r="U12356" s="278">
        <v>9369.57</v>
      </c>
      <c r="V12356" s="278">
        <v>4684.79</v>
      </c>
      <c r="W12356" s="420"/>
      <c r="Z12356" s="420" t="s">
        <v>2953</v>
      </c>
    </row>
    <row r="12357" spans="1:26">
      <c r="A12357" s="499">
        <v>45919</v>
      </c>
      <c r="B12357" s="499">
        <v>45919</v>
      </c>
      <c r="C12357" s="420" t="s">
        <v>173</v>
      </c>
      <c r="D12357" s="420" t="s">
        <v>763</v>
      </c>
      <c r="E12357" s="501">
        <v>-13000797.83</v>
      </c>
      <c r="F12357" s="95" t="s">
        <v>878</v>
      </c>
      <c r="G12357" s="443">
        <v>119199293</v>
      </c>
      <c r="H12357" s="595"/>
      <c r="I12357" s="278" t="s">
        <v>3046</v>
      </c>
      <c r="J12357" s="530" t="s">
        <v>906</v>
      </c>
      <c r="N12357" s="598">
        <v>131391</v>
      </c>
      <c r="R12357" s="420">
        <v>98.947400000000002</v>
      </c>
      <c r="S12357" s="420">
        <v>99.0746777937606</v>
      </c>
      <c r="T12357" s="420">
        <v>15.6502</v>
      </c>
      <c r="U12357" s="278">
        <v>58.5</v>
      </c>
      <c r="V12357" s="278">
        <v>39.32</v>
      </c>
      <c r="W12357" s="420"/>
      <c r="Z12357" s="420" t="s">
        <v>2953</v>
      </c>
    </row>
    <row r="12358" spans="1:26">
      <c r="A12358" s="499">
        <v>45919</v>
      </c>
      <c r="B12358" s="499">
        <v>45922</v>
      </c>
      <c r="C12358" s="420" t="s">
        <v>173</v>
      </c>
      <c r="D12358" s="420" t="s">
        <v>763</v>
      </c>
      <c r="E12358" s="501">
        <v>2084806054.1300001</v>
      </c>
      <c r="F12358" s="95" t="s">
        <v>878</v>
      </c>
      <c r="G12358" s="443">
        <v>119199236</v>
      </c>
      <c r="H12358" s="595">
        <v>119199236</v>
      </c>
      <c r="I12358" s="278" t="s">
        <v>3046</v>
      </c>
      <c r="J12358" s="530" t="s">
        <v>912</v>
      </c>
      <c r="N12358" s="598">
        <v>21042774</v>
      </c>
      <c r="R12358" s="539">
        <v>98.947400000000002</v>
      </c>
      <c r="S12358" s="539">
        <v>99.074677802936094</v>
      </c>
      <c r="T12358" s="420">
        <v>15.6502</v>
      </c>
      <c r="U12358" s="278">
        <v>9369.57</v>
      </c>
      <c r="V12358" s="278">
        <v>4684.79</v>
      </c>
      <c r="W12358" s="420"/>
      <c r="Z12358" s="420" t="s">
        <v>2953</v>
      </c>
    </row>
    <row r="12359" spans="1:26">
      <c r="A12359" s="499">
        <v>45919</v>
      </c>
      <c r="B12359" s="499">
        <v>45922</v>
      </c>
      <c r="C12359" s="420" t="s">
        <v>173</v>
      </c>
      <c r="D12359" s="420" t="s">
        <v>763</v>
      </c>
      <c r="E12359" s="501">
        <v>13017520.99</v>
      </c>
      <c r="F12359" s="95" t="s">
        <v>878</v>
      </c>
      <c r="G12359" s="443">
        <v>119199293</v>
      </c>
      <c r="H12359" s="595">
        <v>119199293</v>
      </c>
      <c r="I12359" s="278" t="s">
        <v>3046</v>
      </c>
      <c r="J12359" s="530" t="s">
        <v>912</v>
      </c>
      <c r="N12359" s="598">
        <v>131391</v>
      </c>
      <c r="R12359" s="539">
        <v>98.947400000000002</v>
      </c>
      <c r="S12359" s="539">
        <v>99.0746777937606</v>
      </c>
      <c r="T12359" s="420">
        <v>15.6502</v>
      </c>
      <c r="U12359" s="278">
        <v>58.5</v>
      </c>
      <c r="V12359" s="278">
        <v>39.32</v>
      </c>
      <c r="W12359" s="420"/>
      <c r="Z12359" s="420" t="s">
        <v>2953</v>
      </c>
    </row>
    <row r="12360" spans="1:26">
      <c r="A12360" s="499">
        <v>45919</v>
      </c>
      <c r="B12360" s="499">
        <v>45919</v>
      </c>
      <c r="C12360" s="420" t="s">
        <v>173</v>
      </c>
      <c r="D12360" s="420" t="s">
        <v>761</v>
      </c>
      <c r="E12360" s="501">
        <v>-1405073258.3199999</v>
      </c>
      <c r="F12360" s="95" t="s">
        <v>878</v>
      </c>
      <c r="G12360" s="443">
        <v>119198616</v>
      </c>
      <c r="I12360" s="278" t="s">
        <v>675</v>
      </c>
      <c r="J12360" s="530" t="s">
        <v>906</v>
      </c>
      <c r="N12360" s="598">
        <v>1484028</v>
      </c>
      <c r="R12360" s="539">
        <v>946.79700000000003</v>
      </c>
      <c r="S12360" s="539">
        <v>948.01875722695297</v>
      </c>
      <c r="T12360" s="420">
        <v>15.7</v>
      </c>
      <c r="U12360" s="278">
        <v>6322.83</v>
      </c>
      <c r="V12360" s="278">
        <v>3161.41</v>
      </c>
      <c r="W12360" s="420"/>
      <c r="Z12360" s="420" t="s">
        <v>2953</v>
      </c>
    </row>
    <row r="12361" spans="1:26">
      <c r="A12361" s="499">
        <v>45919</v>
      </c>
      <c r="B12361" s="499">
        <v>45919</v>
      </c>
      <c r="C12361" s="420" t="s">
        <v>173</v>
      </c>
      <c r="D12361" s="420" t="s">
        <v>761</v>
      </c>
      <c r="E12361" s="501">
        <v>-7001533.8799999999</v>
      </c>
      <c r="F12361" s="95" t="s">
        <v>878</v>
      </c>
      <c r="G12361" s="443">
        <v>119200757</v>
      </c>
      <c r="I12361" s="278" t="s">
        <v>2856</v>
      </c>
      <c r="J12361" s="530" t="s">
        <v>906</v>
      </c>
      <c r="N12361" s="598">
        <v>12376</v>
      </c>
      <c r="R12361" s="539">
        <v>565.73479999999995</v>
      </c>
      <c r="S12361" s="539">
        <v>566.46715497737603</v>
      </c>
      <c r="T12361" s="420">
        <v>15.75</v>
      </c>
      <c r="U12361" s="278">
        <v>39.32</v>
      </c>
      <c r="V12361" s="278">
        <v>15.75</v>
      </c>
      <c r="W12361" s="420"/>
      <c r="Z12361" s="420" t="s">
        <v>2953</v>
      </c>
    </row>
    <row r="12362" spans="1:26">
      <c r="A12362" s="499">
        <v>45919</v>
      </c>
      <c r="B12362" s="499">
        <v>45922</v>
      </c>
      <c r="C12362" s="420" t="s">
        <v>173</v>
      </c>
      <c r="D12362" s="420" t="s">
        <v>761</v>
      </c>
      <c r="E12362" s="501">
        <v>1406886380.25</v>
      </c>
      <c r="F12362" s="95" t="s">
        <v>878</v>
      </c>
      <c r="G12362" s="443">
        <v>119198616</v>
      </c>
      <c r="H12362" s="595">
        <v>119198616</v>
      </c>
      <c r="I12362" s="278" t="s">
        <v>675</v>
      </c>
      <c r="J12362" s="530" t="s">
        <v>912</v>
      </c>
      <c r="N12362" s="598">
        <v>1484028</v>
      </c>
      <c r="R12362" s="539">
        <v>946.79700000000003</v>
      </c>
      <c r="S12362" s="539">
        <v>948.01875722695297</v>
      </c>
      <c r="T12362" s="420">
        <v>15.7</v>
      </c>
      <c r="U12362" s="278">
        <v>6322.83</v>
      </c>
      <c r="V12362" s="278">
        <v>3161.41</v>
      </c>
      <c r="W12362" s="420"/>
      <c r="Z12362" s="420" t="s">
        <v>2953</v>
      </c>
    </row>
    <row r="12363" spans="1:26">
      <c r="A12363" s="499">
        <v>45919</v>
      </c>
      <c r="B12363" s="499">
        <v>45922</v>
      </c>
      <c r="C12363" s="420" t="s">
        <v>173</v>
      </c>
      <c r="D12363" s="420" t="s">
        <v>761</v>
      </c>
      <c r="E12363" s="501">
        <v>7010597.5099999998</v>
      </c>
      <c r="F12363" s="95" t="s">
        <v>878</v>
      </c>
      <c r="G12363" s="443">
        <v>119200757</v>
      </c>
      <c r="H12363" s="595">
        <v>119200757</v>
      </c>
      <c r="I12363" s="278" t="s">
        <v>2856</v>
      </c>
      <c r="J12363" s="530" t="s">
        <v>912</v>
      </c>
      <c r="N12363" s="598">
        <v>12376</v>
      </c>
      <c r="R12363" s="539">
        <v>565.73479999999995</v>
      </c>
      <c r="S12363" s="539">
        <v>566.46715497737603</v>
      </c>
      <c r="T12363" s="420">
        <v>15.75</v>
      </c>
      <c r="U12363" s="278">
        <v>39.32</v>
      </c>
      <c r="V12363" s="278">
        <v>15.75</v>
      </c>
      <c r="W12363" s="420"/>
      <c r="Z12363" s="420" t="s">
        <v>2953</v>
      </c>
    </row>
    <row r="12364" spans="1:26">
      <c r="A12364" s="499">
        <v>45919</v>
      </c>
      <c r="B12364" s="499">
        <v>45919</v>
      </c>
      <c r="C12364" s="420" t="s">
        <v>173</v>
      </c>
      <c r="D12364" s="420" t="s">
        <v>759</v>
      </c>
      <c r="E12364" s="501">
        <v>-2418598116.48</v>
      </c>
      <c r="F12364" s="95" t="s">
        <v>878</v>
      </c>
      <c r="G12364" s="443">
        <v>119201366</v>
      </c>
      <c r="H12364" s="595"/>
      <c r="I12364" s="278" t="s">
        <v>692</v>
      </c>
      <c r="J12364" s="530" t="s">
        <v>906</v>
      </c>
      <c r="N12364" s="598">
        <v>3288480</v>
      </c>
      <c r="R12364" s="539">
        <v>735.476</v>
      </c>
      <c r="S12364" s="539">
        <v>736.43110525227496</v>
      </c>
      <c r="T12364" s="420">
        <v>15.799899999999999</v>
      </c>
      <c r="U12364" s="278">
        <v>10883.69</v>
      </c>
      <c r="V12364" s="278">
        <v>5441.85</v>
      </c>
      <c r="W12364" s="420"/>
      <c r="Z12364" s="420" t="s">
        <v>2953</v>
      </c>
    </row>
    <row r="12365" spans="1:26">
      <c r="A12365" s="499">
        <v>45919</v>
      </c>
      <c r="B12365" s="499">
        <v>45919</v>
      </c>
      <c r="C12365" s="420" t="s">
        <v>173</v>
      </c>
      <c r="D12365" s="420" t="s">
        <v>759</v>
      </c>
      <c r="E12365" s="501">
        <v>-14001671.960000001</v>
      </c>
      <c r="F12365" s="95" t="s">
        <v>878</v>
      </c>
      <c r="G12365" s="443">
        <v>119202642</v>
      </c>
      <c r="H12365" s="595"/>
      <c r="I12365" s="278" t="s">
        <v>829</v>
      </c>
      <c r="J12365" s="530" t="s">
        <v>906</v>
      </c>
      <c r="N12365" s="598">
        <v>12894</v>
      </c>
      <c r="R12365" s="539">
        <v>1085.9059996897784</v>
      </c>
      <c r="S12365" s="539">
        <v>1087.3118341864399</v>
      </c>
      <c r="T12365" s="420">
        <v>15.751200000000001</v>
      </c>
      <c r="U12365" s="278">
        <v>63.01</v>
      </c>
      <c r="V12365" s="278">
        <v>31.5</v>
      </c>
      <c r="W12365" s="420"/>
      <c r="Z12365" s="420" t="s">
        <v>2953</v>
      </c>
    </row>
    <row r="12366" spans="1:26">
      <c r="A12366" s="499">
        <v>45919</v>
      </c>
      <c r="B12366" s="499">
        <v>45922</v>
      </c>
      <c r="C12366" s="420" t="s">
        <v>173</v>
      </c>
      <c r="D12366" s="420" t="s">
        <v>759</v>
      </c>
      <c r="E12366" s="501">
        <v>2421738961</v>
      </c>
      <c r="F12366" s="95" t="s">
        <v>878</v>
      </c>
      <c r="G12366" s="443">
        <v>119201366</v>
      </c>
      <c r="H12366" s="595">
        <v>119201366</v>
      </c>
      <c r="I12366" s="278" t="s">
        <v>692</v>
      </c>
      <c r="J12366" s="530" t="s">
        <v>912</v>
      </c>
      <c r="N12366" s="598">
        <v>3288480</v>
      </c>
      <c r="R12366" s="539">
        <v>735.476</v>
      </c>
      <c r="S12366" s="539">
        <v>736.43110525227496</v>
      </c>
      <c r="T12366" s="420">
        <v>15.799899999999999</v>
      </c>
      <c r="U12366" s="278">
        <v>10883.69</v>
      </c>
      <c r="V12366" s="278">
        <v>5441.85</v>
      </c>
      <c r="W12366" s="420"/>
      <c r="Z12366" s="420" t="s">
        <v>2953</v>
      </c>
    </row>
    <row r="12367" spans="1:26">
      <c r="A12367" s="499">
        <v>45919</v>
      </c>
      <c r="B12367" s="499">
        <v>45922</v>
      </c>
      <c r="C12367" s="420" t="s">
        <v>173</v>
      </c>
      <c r="D12367" s="420" t="s">
        <v>759</v>
      </c>
      <c r="E12367" s="501">
        <v>14019798.789999999</v>
      </c>
      <c r="F12367" s="95" t="s">
        <v>878</v>
      </c>
      <c r="G12367" s="443">
        <v>119202642</v>
      </c>
      <c r="H12367" s="595">
        <v>119202642</v>
      </c>
      <c r="I12367" s="278" t="s">
        <v>829</v>
      </c>
      <c r="J12367" s="530" t="s">
        <v>912</v>
      </c>
      <c r="N12367" s="598">
        <v>12894</v>
      </c>
      <c r="R12367" s="539">
        <v>1085.9059996897784</v>
      </c>
      <c r="S12367" s="539">
        <v>1087.3118341864399</v>
      </c>
      <c r="T12367" s="420">
        <v>15.751200000000001</v>
      </c>
      <c r="U12367" s="278">
        <v>63.01</v>
      </c>
      <c r="V12367" s="278">
        <v>31.5</v>
      </c>
      <c r="W12367" s="420"/>
      <c r="Z12367" s="420" t="s">
        <v>2953</v>
      </c>
    </row>
    <row r="12368" spans="1:26">
      <c r="A12368" s="499">
        <v>45922</v>
      </c>
      <c r="B12368" s="499">
        <v>45922</v>
      </c>
      <c r="C12368" s="420" t="s">
        <v>173</v>
      </c>
      <c r="D12368" s="500" t="s">
        <v>762</v>
      </c>
      <c r="E12368" s="501">
        <v>-3483144852.96</v>
      </c>
      <c r="F12368" s="95" t="s">
        <v>878</v>
      </c>
      <c r="G12368" s="443">
        <v>119226322</v>
      </c>
      <c r="H12368" s="595"/>
      <c r="I12368" s="278" t="s">
        <v>674</v>
      </c>
      <c r="J12368" s="530" t="s">
        <v>906</v>
      </c>
      <c r="N12368" s="598">
        <v>3863910</v>
      </c>
      <c r="R12368" s="539">
        <v>901.45600000000002</v>
      </c>
      <c r="S12368" s="539">
        <v>901.84498443804296</v>
      </c>
      <c r="T12368" s="420">
        <v>15.75</v>
      </c>
      <c r="U12368" s="278">
        <v>5224.72</v>
      </c>
      <c r="V12368" s="278">
        <v>2612.36</v>
      </c>
      <c r="W12368" s="420"/>
      <c r="Z12368" s="420" t="s">
        <v>2953</v>
      </c>
    </row>
    <row r="12369" spans="1:26">
      <c r="A12369" s="499">
        <v>45922</v>
      </c>
      <c r="B12369" s="499">
        <v>45922</v>
      </c>
      <c r="C12369" s="420" t="s">
        <v>173</v>
      </c>
      <c r="D12369" s="500" t="s">
        <v>762</v>
      </c>
      <c r="E12369" s="501">
        <v>-20012323.199999999</v>
      </c>
      <c r="F12369" s="95" t="s">
        <v>878</v>
      </c>
      <c r="G12369" s="443">
        <v>119226383</v>
      </c>
      <c r="H12369" s="595"/>
      <c r="I12369" s="278" t="s">
        <v>674</v>
      </c>
      <c r="J12369" s="530" t="s">
        <v>906</v>
      </c>
      <c r="N12369" s="598">
        <v>22200</v>
      </c>
      <c r="R12369" s="539">
        <v>901.45600000000002</v>
      </c>
      <c r="S12369" s="539">
        <v>901.84498423423395</v>
      </c>
      <c r="T12369" s="420">
        <v>15.75</v>
      </c>
      <c r="U12369" s="278">
        <v>39.32</v>
      </c>
      <c r="V12369" s="278">
        <v>15.01</v>
      </c>
      <c r="W12369" s="420"/>
      <c r="Z12369" s="420" t="s">
        <v>2953</v>
      </c>
    </row>
    <row r="12370" spans="1:26">
      <c r="A12370" s="499">
        <v>45922</v>
      </c>
      <c r="B12370" s="499">
        <v>45923</v>
      </c>
      <c r="C12370" s="420" t="s">
        <v>173</v>
      </c>
      <c r="D12370" s="500" t="s">
        <v>762</v>
      </c>
      <c r="E12370" s="501">
        <v>3484647853.8200002</v>
      </c>
      <c r="F12370" s="95" t="s">
        <v>878</v>
      </c>
      <c r="G12370" s="443">
        <v>119226322</v>
      </c>
      <c r="H12370" s="595">
        <v>119226322</v>
      </c>
      <c r="I12370" s="278" t="s">
        <v>674</v>
      </c>
      <c r="J12370" s="530" t="s">
        <v>912</v>
      </c>
      <c r="N12370" s="598">
        <v>3863910</v>
      </c>
      <c r="R12370" s="539">
        <v>901.45600000000002</v>
      </c>
      <c r="S12370" s="539">
        <v>901.84498443804296</v>
      </c>
      <c r="T12370" s="420">
        <v>15.75</v>
      </c>
      <c r="U12370" s="278">
        <v>5224.72</v>
      </c>
      <c r="V12370" s="278">
        <v>2612.36</v>
      </c>
      <c r="W12370" s="420"/>
      <c r="Z12370" s="420" t="s">
        <v>2953</v>
      </c>
    </row>
    <row r="12371" spans="1:26">
      <c r="A12371" s="499">
        <v>45922</v>
      </c>
      <c r="B12371" s="499">
        <v>45923</v>
      </c>
      <c r="C12371" s="420" t="s">
        <v>173</v>
      </c>
      <c r="D12371" s="500" t="s">
        <v>762</v>
      </c>
      <c r="E12371" s="501">
        <v>20020958.649999999</v>
      </c>
      <c r="F12371" s="95" t="s">
        <v>878</v>
      </c>
      <c r="G12371" s="443">
        <v>119226383</v>
      </c>
      <c r="H12371" s="595">
        <v>119226383</v>
      </c>
      <c r="I12371" s="278" t="s">
        <v>674</v>
      </c>
      <c r="J12371" s="530" t="s">
        <v>912</v>
      </c>
      <c r="N12371" s="598">
        <v>22200</v>
      </c>
      <c r="R12371" s="539">
        <v>901.45600000000002</v>
      </c>
      <c r="S12371" s="539">
        <v>901.84498423423395</v>
      </c>
      <c r="T12371" s="420">
        <v>15.75</v>
      </c>
      <c r="U12371" s="278">
        <v>39.32</v>
      </c>
      <c r="V12371" s="278">
        <v>15.01</v>
      </c>
      <c r="W12371" s="420"/>
      <c r="Z12371" s="420" t="s">
        <v>2953</v>
      </c>
    </row>
    <row r="12372" spans="1:26">
      <c r="A12372" s="499">
        <v>45922</v>
      </c>
      <c r="B12372" s="499">
        <v>45922</v>
      </c>
      <c r="C12372" s="420" t="s">
        <v>173</v>
      </c>
      <c r="D12372" s="500" t="s">
        <v>761</v>
      </c>
      <c r="E12372" s="501">
        <v>-11003564.300000001</v>
      </c>
      <c r="F12372" s="95" t="s">
        <v>878</v>
      </c>
      <c r="G12372" s="443">
        <v>119223328</v>
      </c>
      <c r="H12372" s="595"/>
      <c r="I12372" s="278" t="s">
        <v>824</v>
      </c>
      <c r="J12372" s="530" t="s">
        <v>906</v>
      </c>
      <c r="N12372" s="598">
        <v>10373</v>
      </c>
      <c r="R12372" s="420">
        <v>1060.789</v>
      </c>
      <c r="S12372" s="420">
        <v>1061.2481914585901</v>
      </c>
      <c r="T12372" s="420">
        <v>15.8</v>
      </c>
      <c r="U12372" s="278">
        <v>39.32</v>
      </c>
      <c r="V12372" s="278">
        <v>8.25</v>
      </c>
      <c r="W12372" s="420"/>
      <c r="Z12372" s="420" t="s">
        <v>2953</v>
      </c>
    </row>
    <row r="12373" spans="1:26">
      <c r="A12373" s="499">
        <v>45922</v>
      </c>
      <c r="B12373" s="499">
        <v>45922</v>
      </c>
      <c r="C12373" s="420" t="s">
        <v>173</v>
      </c>
      <c r="D12373" s="500" t="s">
        <v>761</v>
      </c>
      <c r="E12373" s="501">
        <v>-58025518.840000004</v>
      </c>
      <c r="F12373" s="95" t="s">
        <v>878</v>
      </c>
      <c r="G12373" s="443">
        <v>119223331</v>
      </c>
      <c r="H12373" s="595"/>
      <c r="I12373" s="278" t="s">
        <v>690</v>
      </c>
      <c r="J12373" s="530" t="s">
        <v>906</v>
      </c>
      <c r="N12373" s="598">
        <v>77720</v>
      </c>
      <c r="R12373" s="420">
        <v>746.59699999999998</v>
      </c>
      <c r="S12373" s="420">
        <v>746.92018450849196</v>
      </c>
      <c r="T12373" s="420">
        <v>15.8</v>
      </c>
      <c r="U12373" s="278">
        <v>87.04</v>
      </c>
      <c r="V12373" s="278">
        <v>43.52</v>
      </c>
      <c r="W12373" s="420"/>
      <c r="Z12373" s="420" t="s">
        <v>2953</v>
      </c>
    </row>
    <row r="12374" spans="1:26">
      <c r="A12374" s="499">
        <v>45922</v>
      </c>
      <c r="B12374" s="499">
        <v>45922</v>
      </c>
      <c r="C12374" s="420" t="s">
        <v>173</v>
      </c>
      <c r="D12374" s="500" t="s">
        <v>761</v>
      </c>
      <c r="E12374" s="501">
        <v>-63036594.18</v>
      </c>
      <c r="F12374" s="95" t="s">
        <v>878</v>
      </c>
      <c r="G12374" s="443">
        <v>119223334</v>
      </c>
      <c r="H12374" s="595"/>
      <c r="I12374" s="278" t="s">
        <v>602</v>
      </c>
      <c r="J12374" s="530" t="s">
        <v>906</v>
      </c>
      <c r="N12374" s="598">
        <v>75726</v>
      </c>
      <c r="R12374" s="420">
        <v>832.43</v>
      </c>
      <c r="S12374" s="420">
        <v>832.79033951350902</v>
      </c>
      <c r="T12374" s="420">
        <v>15.8</v>
      </c>
      <c r="U12374" s="278">
        <v>94.55</v>
      </c>
      <c r="V12374" s="278">
        <v>47.28</v>
      </c>
      <c r="W12374" s="420"/>
      <c r="Z12374" s="420" t="s">
        <v>2953</v>
      </c>
    </row>
    <row r="12375" spans="1:26">
      <c r="A12375" s="499">
        <v>45922</v>
      </c>
      <c r="B12375" s="499">
        <v>45922</v>
      </c>
      <c r="C12375" s="420" t="s">
        <v>173</v>
      </c>
      <c r="D12375" s="500" t="s">
        <v>761</v>
      </c>
      <c r="E12375" s="501">
        <v>-64044481.979999997</v>
      </c>
      <c r="F12375" s="95" t="s">
        <v>878</v>
      </c>
      <c r="G12375" s="443">
        <v>119223345</v>
      </c>
      <c r="H12375" s="595"/>
      <c r="I12375" s="278" t="s">
        <v>696</v>
      </c>
      <c r="J12375" s="530" t="s">
        <v>906</v>
      </c>
      <c r="N12375" s="598">
        <v>85568</v>
      </c>
      <c r="R12375" s="420">
        <v>748.46299999999997</v>
      </c>
      <c r="S12375" s="420">
        <v>748.78699209984995</v>
      </c>
      <c r="T12375" s="420">
        <v>15.8</v>
      </c>
      <c r="U12375" s="278">
        <v>96.07</v>
      </c>
      <c r="V12375" s="278">
        <v>48.03</v>
      </c>
      <c r="W12375" s="420"/>
      <c r="Z12375" s="420" t="s">
        <v>2953</v>
      </c>
    </row>
    <row r="12376" spans="1:26">
      <c r="A12376" s="499">
        <v>45922</v>
      </c>
      <c r="B12376" s="499">
        <v>45922</v>
      </c>
      <c r="C12376" s="420" t="s">
        <v>173</v>
      </c>
      <c r="D12376" s="500" t="s">
        <v>761</v>
      </c>
      <c r="E12376" s="501">
        <v>-66038438.93</v>
      </c>
      <c r="F12376" s="95" t="s">
        <v>878</v>
      </c>
      <c r="G12376" s="443">
        <v>119223348</v>
      </c>
      <c r="H12376" s="595"/>
      <c r="I12376" s="278" t="s">
        <v>600</v>
      </c>
      <c r="J12376" s="530" t="s">
        <v>906</v>
      </c>
      <c r="N12376" s="598">
        <v>70224</v>
      </c>
      <c r="R12376" s="420">
        <v>940.39700000000005</v>
      </c>
      <c r="S12376" s="420">
        <v>940.80407595693805</v>
      </c>
      <c r="T12376" s="420">
        <v>15.8</v>
      </c>
      <c r="U12376" s="278">
        <v>99.06</v>
      </c>
      <c r="V12376" s="278">
        <v>49.53</v>
      </c>
      <c r="W12376" s="420"/>
      <c r="Z12376" s="420" t="s">
        <v>2953</v>
      </c>
    </row>
    <row r="12377" spans="1:26">
      <c r="A12377" s="499">
        <v>45922</v>
      </c>
      <c r="B12377" s="499">
        <v>45922</v>
      </c>
      <c r="C12377" s="420" t="s">
        <v>173</v>
      </c>
      <c r="D12377" s="500" t="s">
        <v>761</v>
      </c>
      <c r="E12377" s="501">
        <v>-68022151.680000007</v>
      </c>
      <c r="F12377" s="95" t="s">
        <v>878</v>
      </c>
      <c r="G12377" s="443">
        <v>119223351</v>
      </c>
      <c r="H12377" s="595"/>
      <c r="I12377" s="278" t="s">
        <v>590</v>
      </c>
      <c r="J12377" s="530" t="s">
        <v>906</v>
      </c>
      <c r="N12377" s="598">
        <v>71536</v>
      </c>
      <c r="R12377" s="420">
        <v>950.88</v>
      </c>
      <c r="S12377" s="420">
        <v>951.29161387273496</v>
      </c>
      <c r="T12377" s="420">
        <v>15.8</v>
      </c>
      <c r="U12377" s="278">
        <v>102.03</v>
      </c>
      <c r="V12377" s="278">
        <v>51.02</v>
      </c>
      <c r="W12377" s="420"/>
      <c r="Z12377" s="420" t="s">
        <v>2953</v>
      </c>
    </row>
    <row r="12378" spans="1:26">
      <c r="A12378" s="499">
        <v>45922</v>
      </c>
      <c r="B12378" s="499">
        <v>45922</v>
      </c>
      <c r="C12378" s="420" t="s">
        <v>173</v>
      </c>
      <c r="D12378" s="500" t="s">
        <v>761</v>
      </c>
      <c r="E12378" s="501">
        <v>-75026406.450000003</v>
      </c>
      <c r="F12378" s="95" t="s">
        <v>878</v>
      </c>
      <c r="G12378" s="443">
        <v>119223354</v>
      </c>
      <c r="H12378" s="595"/>
      <c r="I12378" s="278" t="s">
        <v>598</v>
      </c>
      <c r="J12378" s="530" t="s">
        <v>906</v>
      </c>
      <c r="N12378" s="598">
        <v>71025</v>
      </c>
      <c r="R12378" s="420">
        <v>1056.338</v>
      </c>
      <c r="S12378" s="420">
        <v>1056.7952640619501</v>
      </c>
      <c r="T12378" s="420">
        <v>15.8</v>
      </c>
      <c r="U12378" s="278">
        <v>112.54</v>
      </c>
      <c r="V12378" s="278">
        <v>56.27</v>
      </c>
      <c r="W12378" s="420"/>
      <c r="Z12378" s="420" t="s">
        <v>2953</v>
      </c>
    </row>
    <row r="12379" spans="1:26">
      <c r="A12379" s="499">
        <v>45922</v>
      </c>
      <c r="B12379" s="499">
        <v>45922</v>
      </c>
      <c r="C12379" s="420" t="s">
        <v>173</v>
      </c>
      <c r="D12379" s="500" t="s">
        <v>761</v>
      </c>
      <c r="E12379" s="501">
        <v>-77020007.680000007</v>
      </c>
      <c r="F12379" s="95" t="s">
        <v>878</v>
      </c>
      <c r="G12379" s="443">
        <v>119223357</v>
      </c>
      <c r="H12379" s="595"/>
      <c r="I12379" s="278" t="s">
        <v>711</v>
      </c>
      <c r="J12379" s="530" t="s">
        <v>906</v>
      </c>
      <c r="N12379" s="598">
        <v>98560</v>
      </c>
      <c r="R12379" s="420">
        <v>781.45299999999997</v>
      </c>
      <c r="S12379" s="420">
        <v>781.79127282873401</v>
      </c>
      <c r="T12379" s="420">
        <v>15.8</v>
      </c>
      <c r="U12379" s="278">
        <v>115.53</v>
      </c>
      <c r="V12379" s="278">
        <v>57.77</v>
      </c>
      <c r="W12379" s="420"/>
      <c r="Z12379" s="420" t="s">
        <v>2953</v>
      </c>
    </row>
    <row r="12380" spans="1:26">
      <c r="A12380" s="499">
        <v>45922</v>
      </c>
      <c r="B12380" s="499">
        <v>45922</v>
      </c>
      <c r="C12380" s="420" t="s">
        <v>173</v>
      </c>
      <c r="D12380" s="500" t="s">
        <v>761</v>
      </c>
      <c r="E12380" s="501">
        <v>-89008111.099999994</v>
      </c>
      <c r="F12380" s="95" t="s">
        <v>878</v>
      </c>
      <c r="G12380" s="443">
        <v>119223360</v>
      </c>
      <c r="H12380" s="595"/>
      <c r="I12380" s="278" t="s">
        <v>709</v>
      </c>
      <c r="J12380" s="530" t="s">
        <v>906</v>
      </c>
      <c r="N12380" s="598">
        <v>125312</v>
      </c>
      <c r="R12380" s="420">
        <v>710.29200000000003</v>
      </c>
      <c r="S12380" s="420">
        <v>710.59946884576095</v>
      </c>
      <c r="T12380" s="420">
        <v>15.8</v>
      </c>
      <c r="U12380" s="278">
        <v>133.51</v>
      </c>
      <c r="V12380" s="278">
        <v>66.760000000000005</v>
      </c>
      <c r="Z12380" s="420" t="s">
        <v>2953</v>
      </c>
    </row>
    <row r="12381" spans="1:26">
      <c r="A12381" s="499">
        <v>45922</v>
      </c>
      <c r="B12381" s="499">
        <v>45922</v>
      </c>
      <c r="C12381" s="420" t="s">
        <v>173</v>
      </c>
      <c r="D12381" s="500" t="s">
        <v>761</v>
      </c>
      <c r="E12381" s="501">
        <v>-96030883.579999998</v>
      </c>
      <c r="F12381" s="95" t="s">
        <v>878</v>
      </c>
      <c r="G12381" s="443">
        <v>119223363</v>
      </c>
      <c r="I12381" s="278" t="s">
        <v>715</v>
      </c>
      <c r="J12381" s="530" t="s">
        <v>906</v>
      </c>
      <c r="N12381" s="598">
        <v>158976</v>
      </c>
      <c r="R12381" s="420">
        <v>604.05899999999997</v>
      </c>
      <c r="S12381" s="420">
        <v>604.32048302888495</v>
      </c>
      <c r="T12381" s="420">
        <v>15.8</v>
      </c>
      <c r="U12381" s="278">
        <v>144.05000000000001</v>
      </c>
      <c r="V12381" s="278">
        <v>72.02</v>
      </c>
      <c r="Z12381" s="420" t="s">
        <v>2953</v>
      </c>
    </row>
    <row r="12382" spans="1:26">
      <c r="A12382" s="499">
        <v>45922</v>
      </c>
      <c r="B12382" s="499">
        <v>45922</v>
      </c>
      <c r="C12382" s="420" t="s">
        <v>173</v>
      </c>
      <c r="D12382" s="500" t="s">
        <v>761</v>
      </c>
      <c r="E12382" s="501">
        <v>-98000259.010000005</v>
      </c>
      <c r="F12382" s="95" t="s">
        <v>878</v>
      </c>
      <c r="G12382" s="443">
        <v>119223372</v>
      </c>
      <c r="I12382" s="278" t="s">
        <v>816</v>
      </c>
      <c r="J12382" s="530" t="s">
        <v>906</v>
      </c>
      <c r="N12382" s="598">
        <v>92806</v>
      </c>
      <c r="R12382" s="420">
        <v>1055.9690000000001</v>
      </c>
      <c r="S12382" s="420">
        <v>1056.4261043467</v>
      </c>
      <c r="T12382" s="420">
        <v>15.8</v>
      </c>
      <c r="U12382" s="278">
        <v>147</v>
      </c>
      <c r="V12382" s="278">
        <v>73.5</v>
      </c>
      <c r="Z12382" s="420" t="s">
        <v>2953</v>
      </c>
    </row>
    <row r="12383" spans="1:26">
      <c r="A12383" s="499">
        <v>45922</v>
      </c>
      <c r="B12383" s="499">
        <v>45922</v>
      </c>
      <c r="C12383" s="420" t="s">
        <v>173</v>
      </c>
      <c r="D12383" s="500" t="s">
        <v>761</v>
      </c>
      <c r="E12383" s="501">
        <v>-99007147.209999993</v>
      </c>
      <c r="F12383" s="95" t="s">
        <v>878</v>
      </c>
      <c r="G12383" s="443">
        <v>119223375</v>
      </c>
      <c r="I12383" s="624" t="s">
        <v>550</v>
      </c>
      <c r="J12383" s="530" t="s">
        <v>906</v>
      </c>
      <c r="N12383" s="598">
        <v>182556</v>
      </c>
      <c r="R12383" s="420">
        <v>542.33849999999995</v>
      </c>
      <c r="S12383" s="420">
        <v>542.57326573763703</v>
      </c>
      <c r="T12383" s="420">
        <v>15.8</v>
      </c>
      <c r="U12383" s="278">
        <v>148.51</v>
      </c>
      <c r="V12383" s="278">
        <v>74.260000000000005</v>
      </c>
      <c r="Z12383" s="420" t="s">
        <v>2953</v>
      </c>
    </row>
    <row r="12384" spans="1:26">
      <c r="A12384" s="499">
        <v>45922</v>
      </c>
      <c r="B12384" s="499">
        <v>45922</v>
      </c>
      <c r="C12384" s="420" t="s">
        <v>173</v>
      </c>
      <c r="D12384" s="500" t="s">
        <v>761</v>
      </c>
      <c r="E12384" s="501">
        <v>-109063482.47</v>
      </c>
      <c r="F12384" s="95" t="s">
        <v>878</v>
      </c>
      <c r="G12384" s="443">
        <v>119223420</v>
      </c>
      <c r="I12384" s="278" t="s">
        <v>600</v>
      </c>
      <c r="J12384" s="530" t="s">
        <v>906</v>
      </c>
      <c r="N12384" s="598">
        <v>115976</v>
      </c>
      <c r="R12384" s="420">
        <v>940.39700000000005</v>
      </c>
      <c r="S12384" s="420">
        <v>940.80407592950303</v>
      </c>
      <c r="T12384" s="420">
        <v>15.8</v>
      </c>
      <c r="U12384" s="278">
        <v>163.6</v>
      </c>
      <c r="V12384" s="278">
        <v>81.8</v>
      </c>
      <c r="Z12384" s="420" t="s">
        <v>2953</v>
      </c>
    </row>
    <row r="12385" spans="1:26">
      <c r="A12385" s="499">
        <v>45922</v>
      </c>
      <c r="B12385" s="499">
        <v>45922</v>
      </c>
      <c r="C12385" s="420" t="s">
        <v>173</v>
      </c>
      <c r="D12385" s="500" t="s">
        <v>761</v>
      </c>
      <c r="E12385" s="501">
        <v>-137079487.66999999</v>
      </c>
      <c r="F12385" s="95" t="s">
        <v>878</v>
      </c>
      <c r="G12385" s="443">
        <v>119223423</v>
      </c>
      <c r="I12385" s="278" t="s">
        <v>708</v>
      </c>
      <c r="J12385" s="530" t="s">
        <v>906</v>
      </c>
      <c r="N12385" s="598">
        <v>199746</v>
      </c>
      <c r="R12385" s="420">
        <v>686.26900000000001</v>
      </c>
      <c r="S12385" s="420">
        <v>686.56606985872099</v>
      </c>
      <c r="T12385" s="420">
        <v>15.8</v>
      </c>
      <c r="U12385" s="278">
        <v>205.62</v>
      </c>
      <c r="V12385" s="278">
        <v>102.81</v>
      </c>
      <c r="Z12385" s="420" t="s">
        <v>2953</v>
      </c>
    </row>
    <row r="12386" spans="1:26">
      <c r="A12386" s="499">
        <v>45922</v>
      </c>
      <c r="B12386" s="499">
        <v>45922</v>
      </c>
      <c r="C12386" s="420" t="s">
        <v>173</v>
      </c>
      <c r="D12386" s="500" t="s">
        <v>761</v>
      </c>
      <c r="E12386" s="501">
        <v>-159098490.80000001</v>
      </c>
      <c r="F12386" s="95" t="s">
        <v>878</v>
      </c>
      <c r="G12386" s="443">
        <v>119223426</v>
      </c>
      <c r="I12386" s="278" t="s">
        <v>823</v>
      </c>
      <c r="J12386" s="530" t="s">
        <v>906</v>
      </c>
      <c r="N12386" s="598">
        <v>154071</v>
      </c>
      <c r="R12386" s="420">
        <v>1032.6310000000001</v>
      </c>
      <c r="S12386" s="420">
        <v>1033.07800189523</v>
      </c>
      <c r="T12386" s="420">
        <v>15.8</v>
      </c>
      <c r="U12386" s="278">
        <v>238.65</v>
      </c>
      <c r="V12386" s="278">
        <v>119.32</v>
      </c>
      <c r="Z12386" s="420" t="s">
        <v>2953</v>
      </c>
    </row>
    <row r="12387" spans="1:26">
      <c r="A12387" s="499">
        <v>45922</v>
      </c>
      <c r="B12387" s="499">
        <v>45922</v>
      </c>
      <c r="C12387" s="420" t="s">
        <v>173</v>
      </c>
      <c r="D12387" s="500" t="s">
        <v>761</v>
      </c>
      <c r="E12387" s="501">
        <v>-137019035.47</v>
      </c>
      <c r="F12387" s="95" t="s">
        <v>878</v>
      </c>
      <c r="G12387" s="443">
        <v>119223491</v>
      </c>
      <c r="I12387" s="278" t="s">
        <v>675</v>
      </c>
      <c r="J12387" s="530" t="s">
        <v>906</v>
      </c>
      <c r="N12387" s="598">
        <v>144535</v>
      </c>
      <c r="R12387" s="420">
        <v>947.99900000000002</v>
      </c>
      <c r="S12387" s="420">
        <v>948.40936672778196</v>
      </c>
      <c r="T12387" s="420">
        <v>15.8</v>
      </c>
      <c r="U12387" s="278">
        <v>205.53</v>
      </c>
      <c r="V12387" s="278">
        <v>102.76</v>
      </c>
      <c r="Z12387" s="420" t="s">
        <v>2953</v>
      </c>
    </row>
    <row r="12388" spans="1:26">
      <c r="A12388" s="499">
        <v>45922</v>
      </c>
      <c r="B12388" s="499">
        <v>45922</v>
      </c>
      <c r="C12388" s="420" t="s">
        <v>173</v>
      </c>
      <c r="D12388" s="500" t="s">
        <v>761</v>
      </c>
      <c r="E12388" s="501">
        <v>-8004593.7599999998</v>
      </c>
      <c r="F12388" s="95" t="s">
        <v>878</v>
      </c>
      <c r="G12388" s="443">
        <v>119223630</v>
      </c>
      <c r="I12388" s="278" t="s">
        <v>673</v>
      </c>
      <c r="J12388" s="530" t="s">
        <v>906</v>
      </c>
      <c r="N12388" s="598">
        <v>8720</v>
      </c>
      <c r="R12388" s="420">
        <v>917.95799999999997</v>
      </c>
      <c r="S12388" s="420">
        <v>918.35410779816505</v>
      </c>
      <c r="T12388" s="420">
        <v>15.7501</v>
      </c>
      <c r="U12388" s="278">
        <v>39.32</v>
      </c>
      <c r="V12388" s="278">
        <v>6</v>
      </c>
      <c r="Z12388" s="420" t="s">
        <v>2953</v>
      </c>
    </row>
    <row r="12389" spans="1:26">
      <c r="A12389" s="499">
        <v>45922</v>
      </c>
      <c r="B12389" s="499">
        <v>45923</v>
      </c>
      <c r="C12389" s="420" t="s">
        <v>173</v>
      </c>
      <c r="D12389" s="500" t="s">
        <v>761</v>
      </c>
      <c r="E12389" s="501">
        <v>11008327.49</v>
      </c>
      <c r="F12389" s="95" t="s">
        <v>878</v>
      </c>
      <c r="G12389" s="443">
        <v>119223328</v>
      </c>
      <c r="H12389" s="595">
        <v>119223328</v>
      </c>
      <c r="I12389" s="278" t="s">
        <v>824</v>
      </c>
      <c r="J12389" s="530" t="s">
        <v>912</v>
      </c>
      <c r="N12389" s="598">
        <v>10373</v>
      </c>
      <c r="R12389" s="420">
        <v>1060.789</v>
      </c>
      <c r="S12389" s="420">
        <v>1061.2481914585901</v>
      </c>
      <c r="T12389" s="420">
        <v>15.8</v>
      </c>
      <c r="U12389" s="278">
        <v>39.32</v>
      </c>
      <c r="V12389" s="278">
        <v>8.25</v>
      </c>
      <c r="Z12389" s="420" t="s">
        <v>2953</v>
      </c>
    </row>
    <row r="12390" spans="1:26">
      <c r="A12390" s="499">
        <v>45922</v>
      </c>
      <c r="B12390" s="499">
        <v>45923</v>
      </c>
      <c r="C12390" s="420" t="s">
        <v>173</v>
      </c>
      <c r="D12390" s="500" t="s">
        <v>761</v>
      </c>
      <c r="E12390" s="501">
        <v>58050636.740000002</v>
      </c>
      <c r="F12390" s="95" t="s">
        <v>878</v>
      </c>
      <c r="G12390" s="443">
        <v>119223331</v>
      </c>
      <c r="H12390" s="595">
        <v>119223331</v>
      </c>
      <c r="I12390" s="278" t="s">
        <v>690</v>
      </c>
      <c r="J12390" s="530" t="s">
        <v>912</v>
      </c>
      <c r="N12390" s="598">
        <v>77720</v>
      </c>
      <c r="R12390" s="420">
        <v>746.59699999999998</v>
      </c>
      <c r="S12390" s="420">
        <v>746.92018450849196</v>
      </c>
      <c r="T12390" s="420">
        <v>15.8</v>
      </c>
      <c r="U12390" s="278">
        <v>87.04</v>
      </c>
      <c r="V12390" s="278">
        <v>43.52</v>
      </c>
      <c r="Z12390" s="420" t="s">
        <v>2953</v>
      </c>
    </row>
    <row r="12391" spans="1:26">
      <c r="A12391" s="499">
        <v>45922</v>
      </c>
      <c r="B12391" s="499">
        <v>45923</v>
      </c>
      <c r="C12391" s="420" t="s">
        <v>173</v>
      </c>
      <c r="D12391" s="500" t="s">
        <v>761</v>
      </c>
      <c r="E12391" s="501">
        <v>63063881.25</v>
      </c>
      <c r="F12391" s="95" t="s">
        <v>878</v>
      </c>
      <c r="G12391" s="443">
        <v>119223334</v>
      </c>
      <c r="H12391" s="595">
        <v>119223334</v>
      </c>
      <c r="I12391" s="278" t="s">
        <v>602</v>
      </c>
      <c r="J12391" s="530" t="s">
        <v>912</v>
      </c>
      <c r="N12391" s="598">
        <v>75726</v>
      </c>
      <c r="R12391" s="420">
        <v>832.43</v>
      </c>
      <c r="S12391" s="420">
        <v>832.79033951350902</v>
      </c>
      <c r="T12391" s="420">
        <v>15.8</v>
      </c>
      <c r="U12391" s="278">
        <v>94.55</v>
      </c>
      <c r="V12391" s="278">
        <v>47.28</v>
      </c>
      <c r="Z12391" s="420" t="s">
        <v>2953</v>
      </c>
    </row>
    <row r="12392" spans="1:26">
      <c r="A12392" s="499">
        <v>45922</v>
      </c>
      <c r="B12392" s="499">
        <v>45923</v>
      </c>
      <c r="C12392" s="420" t="s">
        <v>173</v>
      </c>
      <c r="D12392" s="500" t="s">
        <v>761</v>
      </c>
      <c r="E12392" s="501">
        <v>64072205.340000004</v>
      </c>
      <c r="F12392" s="95" t="s">
        <v>878</v>
      </c>
      <c r="G12392" s="443">
        <v>119223345</v>
      </c>
      <c r="H12392" s="595">
        <v>119223345</v>
      </c>
      <c r="I12392" s="278" t="s">
        <v>696</v>
      </c>
      <c r="J12392" s="530" t="s">
        <v>912</v>
      </c>
      <c r="N12392" s="598">
        <v>85568</v>
      </c>
      <c r="R12392" s="420">
        <v>748.46299999999997</v>
      </c>
      <c r="S12392" s="420">
        <v>748.78699209984995</v>
      </c>
      <c r="T12392" s="420">
        <v>15.8</v>
      </c>
      <c r="U12392" s="278">
        <v>96.07</v>
      </c>
      <c r="V12392" s="278">
        <v>48.03</v>
      </c>
      <c r="Z12392" s="420" t="s">
        <v>2953</v>
      </c>
    </row>
    <row r="12393" spans="1:26">
      <c r="A12393" s="499">
        <v>45922</v>
      </c>
      <c r="B12393" s="499">
        <v>45923</v>
      </c>
      <c r="C12393" s="420" t="s">
        <v>173</v>
      </c>
      <c r="D12393" s="500" t="s">
        <v>761</v>
      </c>
      <c r="E12393" s="501">
        <v>66067025.43</v>
      </c>
      <c r="F12393" s="95" t="s">
        <v>878</v>
      </c>
      <c r="G12393" s="443">
        <v>119223348</v>
      </c>
      <c r="H12393" s="595">
        <v>119223348</v>
      </c>
      <c r="I12393" s="278" t="s">
        <v>600</v>
      </c>
      <c r="J12393" s="530" t="s">
        <v>912</v>
      </c>
      <c r="N12393" s="598">
        <v>70224</v>
      </c>
      <c r="R12393" s="420">
        <v>940.39700000000005</v>
      </c>
      <c r="S12393" s="420">
        <v>940.80407595693805</v>
      </c>
      <c r="T12393" s="420">
        <v>15.8</v>
      </c>
      <c r="U12393" s="278">
        <v>99.06</v>
      </c>
      <c r="V12393" s="278">
        <v>49.53</v>
      </c>
      <c r="Z12393" s="420" t="s">
        <v>2953</v>
      </c>
    </row>
    <row r="12394" spans="1:26">
      <c r="A12394" s="499">
        <v>45922</v>
      </c>
      <c r="B12394" s="499">
        <v>45923</v>
      </c>
      <c r="C12394" s="420" t="s">
        <v>173</v>
      </c>
      <c r="D12394" s="500" t="s">
        <v>761</v>
      </c>
      <c r="E12394" s="501">
        <v>68051596.890000001</v>
      </c>
      <c r="F12394" s="95" t="s">
        <v>878</v>
      </c>
      <c r="G12394" s="443">
        <v>119223351</v>
      </c>
      <c r="H12394" s="595">
        <v>119223351</v>
      </c>
      <c r="I12394" s="278" t="s">
        <v>590</v>
      </c>
      <c r="J12394" s="530" t="s">
        <v>912</v>
      </c>
      <c r="N12394" s="598">
        <v>71536</v>
      </c>
      <c r="R12394" s="420">
        <v>950.88</v>
      </c>
      <c r="S12394" s="420">
        <v>951.29161387273496</v>
      </c>
      <c r="T12394" s="420">
        <v>15.8</v>
      </c>
      <c r="U12394" s="278">
        <v>102.03</v>
      </c>
      <c r="V12394" s="278">
        <v>51.02</v>
      </c>
      <c r="Z12394" s="420" t="s">
        <v>2953</v>
      </c>
    </row>
    <row r="12395" spans="1:26">
      <c r="A12395" s="499">
        <v>45922</v>
      </c>
      <c r="B12395" s="499">
        <v>45923</v>
      </c>
      <c r="C12395" s="420" t="s">
        <v>173</v>
      </c>
      <c r="D12395" s="500" t="s">
        <v>761</v>
      </c>
      <c r="E12395" s="501">
        <v>75058883.629999995</v>
      </c>
      <c r="F12395" s="95" t="s">
        <v>878</v>
      </c>
      <c r="G12395" s="443">
        <v>119223354</v>
      </c>
      <c r="H12395" s="595">
        <v>119223354</v>
      </c>
      <c r="I12395" s="278" t="s">
        <v>598</v>
      </c>
      <c r="J12395" s="530" t="s">
        <v>912</v>
      </c>
      <c r="N12395" s="598">
        <v>71025</v>
      </c>
      <c r="R12395" s="420">
        <v>1056.338</v>
      </c>
      <c r="S12395" s="420">
        <v>1056.7952640619501</v>
      </c>
      <c r="T12395" s="420">
        <v>15.8</v>
      </c>
      <c r="U12395" s="278">
        <v>112.54</v>
      </c>
      <c r="V12395" s="278">
        <v>56.27</v>
      </c>
      <c r="Z12395" s="420" t="s">
        <v>2953</v>
      </c>
    </row>
    <row r="12396" spans="1:26">
      <c r="A12396" s="499">
        <v>45922</v>
      </c>
      <c r="B12396" s="499">
        <v>45923</v>
      </c>
      <c r="C12396" s="420" t="s">
        <v>173</v>
      </c>
      <c r="D12396" s="500" t="s">
        <v>761</v>
      </c>
      <c r="E12396" s="501">
        <v>77053347.849999994</v>
      </c>
      <c r="F12396" s="95" t="s">
        <v>878</v>
      </c>
      <c r="G12396" s="443">
        <v>119223357</v>
      </c>
      <c r="H12396" s="595">
        <v>119223357</v>
      </c>
      <c r="I12396" s="278" t="s">
        <v>711</v>
      </c>
      <c r="J12396" s="530" t="s">
        <v>912</v>
      </c>
      <c r="N12396" s="598">
        <v>98560</v>
      </c>
      <c r="R12396" s="420">
        <v>781.45299999999997</v>
      </c>
      <c r="S12396" s="420">
        <v>781.79127282873401</v>
      </c>
      <c r="T12396" s="420">
        <v>15.8</v>
      </c>
      <c r="U12396" s="278">
        <v>115.53</v>
      </c>
      <c r="V12396" s="278">
        <v>57.77</v>
      </c>
      <c r="Z12396" s="420" t="s">
        <v>2953</v>
      </c>
    </row>
    <row r="12397" spans="1:26">
      <c r="A12397" s="499">
        <v>45922</v>
      </c>
      <c r="B12397" s="499">
        <v>45923</v>
      </c>
      <c r="C12397" s="420" t="s">
        <v>173</v>
      </c>
      <c r="D12397" s="500" t="s">
        <v>761</v>
      </c>
      <c r="E12397" s="501">
        <v>89046640.640000001</v>
      </c>
      <c r="F12397" s="95" t="s">
        <v>878</v>
      </c>
      <c r="G12397" s="443">
        <v>119223360</v>
      </c>
      <c r="H12397" s="595">
        <v>119223360</v>
      </c>
      <c r="I12397" s="278" t="s">
        <v>709</v>
      </c>
      <c r="J12397" s="530" t="s">
        <v>912</v>
      </c>
      <c r="N12397" s="598">
        <v>125312</v>
      </c>
      <c r="R12397" s="420">
        <v>710.29200000000003</v>
      </c>
      <c r="S12397" s="420">
        <v>710.59946884576095</v>
      </c>
      <c r="T12397" s="420">
        <v>15.8</v>
      </c>
      <c r="U12397" s="278">
        <v>133.51</v>
      </c>
      <c r="V12397" s="278">
        <v>66.760000000000005</v>
      </c>
      <c r="Z12397" s="420" t="s">
        <v>2953</v>
      </c>
    </row>
    <row r="12398" spans="1:26">
      <c r="A12398" s="499">
        <v>45922</v>
      </c>
      <c r="B12398" s="499">
        <v>45923</v>
      </c>
      <c r="C12398" s="420" t="s">
        <v>173</v>
      </c>
      <c r="D12398" s="500" t="s">
        <v>761</v>
      </c>
      <c r="E12398" s="501">
        <v>96072453.109999999</v>
      </c>
      <c r="F12398" s="95" t="s">
        <v>878</v>
      </c>
      <c r="G12398" s="443">
        <v>119223363</v>
      </c>
      <c r="H12398" s="595">
        <v>119223363</v>
      </c>
      <c r="I12398" s="278" t="s">
        <v>715</v>
      </c>
      <c r="J12398" s="530" t="s">
        <v>912</v>
      </c>
      <c r="N12398" s="598">
        <v>158976</v>
      </c>
      <c r="R12398" s="420">
        <v>604.05899999999997</v>
      </c>
      <c r="S12398" s="420">
        <v>604.32048302888495</v>
      </c>
      <c r="T12398" s="420">
        <v>15.8</v>
      </c>
      <c r="U12398" s="278">
        <v>144.05000000000001</v>
      </c>
      <c r="V12398" s="278">
        <v>72.02</v>
      </c>
      <c r="Z12398" s="420" t="s">
        <v>2953</v>
      </c>
    </row>
    <row r="12399" spans="1:26">
      <c r="A12399" s="499">
        <v>45922</v>
      </c>
      <c r="B12399" s="499">
        <v>45923</v>
      </c>
      <c r="C12399" s="420" t="s">
        <v>173</v>
      </c>
      <c r="D12399" s="500" t="s">
        <v>761</v>
      </c>
      <c r="E12399" s="501">
        <v>98042681.040000007</v>
      </c>
      <c r="F12399" s="95" t="s">
        <v>878</v>
      </c>
      <c r="G12399" s="443">
        <v>119223372</v>
      </c>
      <c r="H12399" s="595">
        <v>119223372</v>
      </c>
      <c r="I12399" s="278" t="s">
        <v>816</v>
      </c>
      <c r="J12399" s="530" t="s">
        <v>912</v>
      </c>
      <c r="N12399" s="598">
        <v>92806</v>
      </c>
      <c r="R12399" s="420">
        <v>1055.9690000000001</v>
      </c>
      <c r="S12399" s="420">
        <v>1056.4261043467</v>
      </c>
      <c r="T12399" s="420">
        <v>15.8</v>
      </c>
      <c r="U12399" s="278">
        <v>147</v>
      </c>
      <c r="V12399" s="278">
        <v>73.5</v>
      </c>
      <c r="Z12399" s="420" t="s">
        <v>2953</v>
      </c>
    </row>
    <row r="12400" spans="1:26">
      <c r="A12400" s="499">
        <v>45922</v>
      </c>
      <c r="B12400" s="499">
        <v>45923</v>
      </c>
      <c r="C12400" s="420" t="s">
        <v>173</v>
      </c>
      <c r="D12400" s="500" t="s">
        <v>761</v>
      </c>
      <c r="E12400" s="501">
        <v>99050005.099999994</v>
      </c>
      <c r="F12400" s="95" t="s">
        <v>878</v>
      </c>
      <c r="G12400" s="443">
        <v>119223375</v>
      </c>
      <c r="H12400" s="595">
        <v>119223375</v>
      </c>
      <c r="I12400" s="278" t="s">
        <v>550</v>
      </c>
      <c r="J12400" s="530" t="s">
        <v>912</v>
      </c>
      <c r="N12400" s="598">
        <v>182556</v>
      </c>
      <c r="R12400" s="420">
        <v>542.33849999999995</v>
      </c>
      <c r="S12400" s="420">
        <v>542.57326573763703</v>
      </c>
      <c r="T12400" s="420">
        <v>15.8</v>
      </c>
      <c r="U12400" s="278">
        <v>148.51</v>
      </c>
      <c r="V12400" s="278">
        <v>74.260000000000005</v>
      </c>
      <c r="Z12400" s="420" t="s">
        <v>2953</v>
      </c>
    </row>
    <row r="12401" spans="1:26">
      <c r="A12401" s="499">
        <v>45922</v>
      </c>
      <c r="B12401" s="499">
        <v>45923</v>
      </c>
      <c r="C12401" s="420" t="s">
        <v>173</v>
      </c>
      <c r="D12401" s="500" t="s">
        <v>761</v>
      </c>
      <c r="E12401" s="501">
        <v>109110693.51000001</v>
      </c>
      <c r="F12401" s="95" t="s">
        <v>878</v>
      </c>
      <c r="G12401" s="443">
        <v>119223420</v>
      </c>
      <c r="H12401" s="595">
        <v>119223420</v>
      </c>
      <c r="I12401" s="278" t="s">
        <v>600</v>
      </c>
      <c r="J12401" s="530" t="s">
        <v>912</v>
      </c>
      <c r="N12401" s="598">
        <v>115976</v>
      </c>
      <c r="R12401" s="420">
        <v>940.39700000000005</v>
      </c>
      <c r="S12401" s="420">
        <v>940.80407592950303</v>
      </c>
      <c r="T12401" s="420">
        <v>15.8</v>
      </c>
      <c r="U12401" s="278">
        <v>163.6</v>
      </c>
      <c r="V12401" s="278">
        <v>81.8</v>
      </c>
      <c r="Z12401" s="420" t="s">
        <v>2953</v>
      </c>
    </row>
    <row r="12402" spans="1:26">
      <c r="A12402" s="499">
        <v>45922</v>
      </c>
      <c r="B12402" s="499">
        <v>45923</v>
      </c>
      <c r="C12402" s="420" t="s">
        <v>173</v>
      </c>
      <c r="D12402" s="500" t="s">
        <v>761</v>
      </c>
      <c r="E12402" s="501">
        <v>137138826.19</v>
      </c>
      <c r="F12402" s="95" t="s">
        <v>878</v>
      </c>
      <c r="G12402" s="443">
        <v>119223423</v>
      </c>
      <c r="H12402" s="595">
        <v>119223423</v>
      </c>
      <c r="I12402" s="278" t="s">
        <v>708</v>
      </c>
      <c r="J12402" s="530" t="s">
        <v>912</v>
      </c>
      <c r="N12402" s="598">
        <v>199746</v>
      </c>
      <c r="R12402" s="420">
        <v>686.26900000000001</v>
      </c>
      <c r="S12402" s="420">
        <v>686.56606985872099</v>
      </c>
      <c r="T12402" s="420">
        <v>15.8</v>
      </c>
      <c r="U12402" s="278">
        <v>205.62</v>
      </c>
      <c r="V12402" s="278">
        <v>102.81</v>
      </c>
      <c r="Z12402" s="420" t="s">
        <v>2953</v>
      </c>
    </row>
    <row r="12403" spans="1:26">
      <c r="A12403" s="499">
        <v>45922</v>
      </c>
      <c r="B12403" s="499">
        <v>45923</v>
      </c>
      <c r="C12403" s="420" t="s">
        <v>173</v>
      </c>
      <c r="D12403" s="500" t="s">
        <v>761</v>
      </c>
      <c r="E12403" s="501">
        <v>159167360.83000001</v>
      </c>
      <c r="F12403" s="95" t="s">
        <v>878</v>
      </c>
      <c r="G12403" s="443">
        <v>119223426</v>
      </c>
      <c r="H12403" s="595">
        <v>119223426</v>
      </c>
      <c r="I12403" s="278" t="s">
        <v>823</v>
      </c>
      <c r="J12403" s="530" t="s">
        <v>912</v>
      </c>
      <c r="N12403" s="598">
        <v>154071</v>
      </c>
      <c r="R12403" s="420">
        <v>1032.6310000000001</v>
      </c>
      <c r="S12403" s="420">
        <v>1033.07800189523</v>
      </c>
      <c r="T12403" s="420">
        <v>15.8</v>
      </c>
      <c r="U12403" s="278">
        <v>238.65</v>
      </c>
      <c r="V12403" s="278">
        <v>119.32</v>
      </c>
      <c r="Z12403" s="420" t="s">
        <v>2953</v>
      </c>
    </row>
    <row r="12404" spans="1:26">
      <c r="A12404" s="499">
        <v>45922</v>
      </c>
      <c r="B12404" s="499">
        <v>45923</v>
      </c>
      <c r="C12404" s="420" t="s">
        <v>173</v>
      </c>
      <c r="D12404" s="500" t="s">
        <v>761</v>
      </c>
      <c r="E12404" s="501">
        <v>137078347.81999999</v>
      </c>
      <c r="F12404" s="95" t="s">
        <v>878</v>
      </c>
      <c r="G12404" s="443">
        <v>119223491</v>
      </c>
      <c r="H12404" s="595">
        <v>119223491</v>
      </c>
      <c r="I12404" s="278" t="s">
        <v>675</v>
      </c>
      <c r="J12404" s="530" t="s">
        <v>912</v>
      </c>
      <c r="N12404" s="598">
        <v>144535</v>
      </c>
      <c r="R12404" s="420">
        <v>947.99900000000002</v>
      </c>
      <c r="S12404" s="420">
        <v>948.40936672778196</v>
      </c>
      <c r="T12404" s="420">
        <v>15.8</v>
      </c>
      <c r="U12404" s="278">
        <v>205.53</v>
      </c>
      <c r="V12404" s="278">
        <v>102.76</v>
      </c>
      <c r="Z12404" s="420" t="s">
        <v>2953</v>
      </c>
    </row>
    <row r="12405" spans="1:26">
      <c r="A12405" s="499">
        <v>45922</v>
      </c>
      <c r="B12405" s="499">
        <v>45923</v>
      </c>
      <c r="C12405" s="420" t="s">
        <v>173</v>
      </c>
      <c r="D12405" s="500" t="s">
        <v>761</v>
      </c>
      <c r="E12405" s="501">
        <v>8008047.8200000003</v>
      </c>
      <c r="F12405" s="95" t="s">
        <v>878</v>
      </c>
      <c r="G12405" s="443">
        <v>119223630</v>
      </c>
      <c r="H12405" s="595">
        <v>119223630</v>
      </c>
      <c r="I12405" s="278" t="s">
        <v>673</v>
      </c>
      <c r="J12405" s="530" t="s">
        <v>912</v>
      </c>
      <c r="N12405" s="598">
        <v>8720</v>
      </c>
      <c r="R12405" s="420">
        <v>917.95799999999997</v>
      </c>
      <c r="S12405" s="420">
        <v>918.35410779816505</v>
      </c>
      <c r="T12405" s="420">
        <v>15.7501</v>
      </c>
      <c r="U12405" s="278">
        <v>39.32</v>
      </c>
      <c r="V12405" s="278">
        <v>6</v>
      </c>
      <c r="Z12405" s="420" t="s">
        <v>2953</v>
      </c>
    </row>
    <row r="12406" spans="1:26">
      <c r="A12406" s="499">
        <v>45922</v>
      </c>
      <c r="B12406" s="499">
        <v>45922</v>
      </c>
      <c r="C12406" s="420" t="s">
        <v>173</v>
      </c>
      <c r="D12406" s="420" t="s">
        <v>759</v>
      </c>
      <c r="E12406" s="501">
        <v>-2420477129.6199999</v>
      </c>
      <c r="F12406" s="95" t="s">
        <v>878</v>
      </c>
      <c r="G12406" s="443">
        <v>119224670</v>
      </c>
      <c r="I12406" s="278" t="s">
        <v>699</v>
      </c>
      <c r="J12406" s="530" t="s">
        <v>906</v>
      </c>
      <c r="N12406" s="598">
        <v>2640220</v>
      </c>
      <c r="R12406" s="420">
        <v>916.77099999999996</v>
      </c>
      <c r="S12406" s="420">
        <v>917.16784630447501</v>
      </c>
      <c r="T12406" s="420">
        <v>15.799899999999999</v>
      </c>
      <c r="U12406" s="278">
        <v>3630.72</v>
      </c>
      <c r="V12406" s="278">
        <v>1815.36</v>
      </c>
      <c r="Z12406" s="420" t="s">
        <v>2953</v>
      </c>
    </row>
    <row r="12407" spans="1:26">
      <c r="A12407" s="499">
        <v>45922</v>
      </c>
      <c r="B12407" s="499">
        <v>45922</v>
      </c>
      <c r="C12407" s="420" t="s">
        <v>173</v>
      </c>
      <c r="D12407" s="420" t="s">
        <v>759</v>
      </c>
      <c r="E12407" s="501">
        <v>-15002957.42</v>
      </c>
      <c r="F12407" s="95" t="s">
        <v>878</v>
      </c>
      <c r="G12407" s="443">
        <v>119224881</v>
      </c>
      <c r="I12407" s="278" t="s">
        <v>699</v>
      </c>
      <c r="J12407" s="530" t="s">
        <v>906</v>
      </c>
      <c r="N12407" s="598">
        <v>16365</v>
      </c>
      <c r="R12407" s="420">
        <v>916.77100030553004</v>
      </c>
      <c r="S12407" s="420">
        <v>917.16784662389205</v>
      </c>
      <c r="T12407" s="420">
        <v>15.799899999999999</v>
      </c>
      <c r="U12407" s="278">
        <v>39.32</v>
      </c>
      <c r="V12407" s="278">
        <v>11.25</v>
      </c>
      <c r="Z12407" s="420" t="s">
        <v>2953</v>
      </c>
    </row>
    <row r="12408" spans="1:26">
      <c r="A12408" s="499">
        <v>45922</v>
      </c>
      <c r="B12408" s="499">
        <v>45923</v>
      </c>
      <c r="C12408" s="420" t="s">
        <v>173</v>
      </c>
      <c r="D12408" s="420" t="s">
        <v>759</v>
      </c>
      <c r="E12408" s="501">
        <v>2421524891.1700001</v>
      </c>
      <c r="F12408" s="95" t="s">
        <v>878</v>
      </c>
      <c r="G12408" s="443">
        <v>119224670</v>
      </c>
      <c r="H12408" s="595">
        <v>119224670</v>
      </c>
      <c r="I12408" s="278" t="s">
        <v>699</v>
      </c>
      <c r="J12408" s="530" t="s">
        <v>912</v>
      </c>
      <c r="N12408" s="598">
        <v>2640220</v>
      </c>
      <c r="R12408" s="420">
        <v>916.77099999999996</v>
      </c>
      <c r="S12408" s="420">
        <v>917.16784630447501</v>
      </c>
      <c r="T12408" s="420">
        <v>15.799899999999999</v>
      </c>
      <c r="U12408" s="278">
        <v>3630.72</v>
      </c>
      <c r="V12408" s="278">
        <v>1815.36</v>
      </c>
      <c r="Z12408" s="420" t="s">
        <v>2953</v>
      </c>
    </row>
    <row r="12409" spans="1:26">
      <c r="A12409" s="499">
        <v>45922</v>
      </c>
      <c r="B12409" s="499">
        <v>45923</v>
      </c>
      <c r="C12409" s="420" t="s">
        <v>173</v>
      </c>
      <c r="D12409" s="420" t="s">
        <v>759</v>
      </c>
      <c r="E12409" s="501">
        <v>15009451.810000001</v>
      </c>
      <c r="F12409" s="95" t="s">
        <v>878</v>
      </c>
      <c r="G12409" s="443">
        <v>119224881</v>
      </c>
      <c r="H12409" s="595">
        <v>119224881</v>
      </c>
      <c r="I12409" s="278" t="s">
        <v>699</v>
      </c>
      <c r="J12409" s="530" t="s">
        <v>912</v>
      </c>
      <c r="N12409" s="598">
        <v>16365</v>
      </c>
      <c r="R12409" s="420">
        <v>916.77100030553004</v>
      </c>
      <c r="S12409" s="420">
        <v>917.16784662389205</v>
      </c>
      <c r="T12409" s="420">
        <v>15.799899999999999</v>
      </c>
      <c r="U12409" s="278">
        <v>39.32</v>
      </c>
      <c r="V12409" s="278">
        <v>11.25</v>
      </c>
      <c r="Z12409" s="420" t="s">
        <v>2953</v>
      </c>
    </row>
    <row r="12410" spans="1:26">
      <c r="A12410" s="499">
        <v>45922</v>
      </c>
      <c r="B12410" s="499">
        <v>45922</v>
      </c>
      <c r="C12410" s="420" t="s">
        <v>173</v>
      </c>
      <c r="D12410" s="420" t="s">
        <v>760</v>
      </c>
      <c r="E12410" s="501">
        <v>-1300226179.2</v>
      </c>
      <c r="F12410" s="95" t="s">
        <v>878</v>
      </c>
      <c r="G12410" s="443">
        <v>119221837</v>
      </c>
      <c r="H12410" s="595"/>
      <c r="I12410" s="278" t="s">
        <v>712</v>
      </c>
      <c r="J12410" s="530" t="s">
        <v>906</v>
      </c>
      <c r="N12410" s="598">
        <v>1513200</v>
      </c>
      <c r="R12410" s="420">
        <v>859.25599999999997</v>
      </c>
      <c r="S12410" s="420">
        <v>859.62677484800395</v>
      </c>
      <c r="T12410" s="420">
        <v>15.75</v>
      </c>
      <c r="U12410" s="278">
        <v>1950.34</v>
      </c>
      <c r="V12410" s="278">
        <v>975.17</v>
      </c>
      <c r="Z12410" s="420" t="s">
        <v>2953</v>
      </c>
    </row>
    <row r="12411" spans="1:26">
      <c r="A12411" s="499">
        <v>45922</v>
      </c>
      <c r="B12411" s="499">
        <v>45922</v>
      </c>
      <c r="C12411" s="420" t="s">
        <v>173</v>
      </c>
      <c r="D12411" s="420" t="s">
        <v>760</v>
      </c>
      <c r="E12411" s="501">
        <v>-738074579.17999995</v>
      </c>
      <c r="F12411" s="95" t="s">
        <v>878</v>
      </c>
      <c r="G12411" s="443">
        <v>119222617</v>
      </c>
      <c r="H12411" s="595"/>
      <c r="I12411" s="278" t="s">
        <v>2856</v>
      </c>
      <c r="J12411" s="530" t="s">
        <v>906</v>
      </c>
      <c r="N12411" s="598">
        <v>1306998</v>
      </c>
      <c r="R12411" s="420">
        <v>564.70979999999997</v>
      </c>
      <c r="S12411" s="420">
        <v>564.95424817788603</v>
      </c>
      <c r="T12411" s="420">
        <v>15.799899999999999</v>
      </c>
      <c r="U12411" s="278">
        <v>1107.1099999999999</v>
      </c>
      <c r="V12411" s="278">
        <v>553.55999999999995</v>
      </c>
      <c r="Z12411" s="420" t="s">
        <v>2953</v>
      </c>
    </row>
    <row r="12412" spans="1:26">
      <c r="A12412" s="499">
        <v>45922</v>
      </c>
      <c r="B12412" s="499">
        <v>45922</v>
      </c>
      <c r="C12412" s="420" t="s">
        <v>173</v>
      </c>
      <c r="D12412" s="420" t="s">
        <v>760</v>
      </c>
      <c r="E12412" s="501">
        <v>-5000829.63</v>
      </c>
      <c r="F12412" s="95" t="s">
        <v>878</v>
      </c>
      <c r="G12412" s="443">
        <v>119222781</v>
      </c>
      <c r="H12412" s="595"/>
      <c r="I12412" s="278" t="s">
        <v>1013</v>
      </c>
      <c r="J12412" s="530" t="s">
        <v>906</v>
      </c>
      <c r="N12412" s="598">
        <v>9065</v>
      </c>
      <c r="R12412" s="420">
        <v>551.6635</v>
      </c>
      <c r="S12412" s="420">
        <v>551.90230226144502</v>
      </c>
      <c r="T12412" s="420">
        <v>15.8</v>
      </c>
      <c r="U12412" s="278">
        <v>39.32</v>
      </c>
      <c r="V12412" s="278">
        <v>3.75</v>
      </c>
      <c r="Z12412" s="420" t="s">
        <v>2953</v>
      </c>
    </row>
    <row r="12413" spans="1:26">
      <c r="A12413" s="499">
        <v>45922</v>
      </c>
      <c r="B12413" s="499">
        <v>45923</v>
      </c>
      <c r="C12413" s="420" t="s">
        <v>173</v>
      </c>
      <c r="D12413" s="420" t="s">
        <v>760</v>
      </c>
      <c r="E12413" s="501">
        <v>1300787235.7</v>
      </c>
      <c r="F12413" s="95" t="s">
        <v>878</v>
      </c>
      <c r="G12413" s="443">
        <v>119221837</v>
      </c>
      <c r="H12413" s="595">
        <v>119221837</v>
      </c>
      <c r="I12413" s="278" t="s">
        <v>712</v>
      </c>
      <c r="J12413" s="530" t="s">
        <v>912</v>
      </c>
      <c r="N12413" s="598">
        <v>1513200</v>
      </c>
      <c r="R12413" s="420">
        <v>859.25599999999997</v>
      </c>
      <c r="S12413" s="420">
        <v>859.62677484800395</v>
      </c>
      <c r="T12413" s="420">
        <v>15.75</v>
      </c>
      <c r="U12413" s="278">
        <v>1950.34</v>
      </c>
      <c r="V12413" s="278">
        <v>975.17</v>
      </c>
      <c r="Z12413" s="420" t="s">
        <v>2953</v>
      </c>
    </row>
    <row r="12414" spans="1:26">
      <c r="A12414" s="499">
        <v>45922</v>
      </c>
      <c r="B12414" s="499">
        <v>45923</v>
      </c>
      <c r="C12414" s="420" t="s">
        <v>173</v>
      </c>
      <c r="D12414" s="420" t="s">
        <v>760</v>
      </c>
      <c r="E12414" s="501">
        <v>738394072.46000004</v>
      </c>
      <c r="F12414" s="95" t="s">
        <v>878</v>
      </c>
      <c r="G12414" s="443">
        <v>119222617</v>
      </c>
      <c r="H12414" s="595">
        <v>119222617</v>
      </c>
      <c r="I12414" s="278" t="s">
        <v>2856</v>
      </c>
      <c r="J12414" s="530" t="s">
        <v>912</v>
      </c>
      <c r="N12414" s="598">
        <v>1306998</v>
      </c>
      <c r="O12414" s="420"/>
      <c r="R12414" s="420">
        <v>564.70979999999997</v>
      </c>
      <c r="S12414" s="420">
        <v>564.95424817788603</v>
      </c>
      <c r="T12414" s="420">
        <v>15.799899999999999</v>
      </c>
      <c r="U12414" s="278">
        <v>1107.1099999999999</v>
      </c>
      <c r="V12414" s="278">
        <v>553.55999999999995</v>
      </c>
      <c r="Z12414" s="420" t="s">
        <v>2953</v>
      </c>
    </row>
    <row r="12415" spans="1:26">
      <c r="A12415" s="499">
        <v>45922</v>
      </c>
      <c r="B12415" s="499">
        <v>45923</v>
      </c>
      <c r="C12415" s="420" t="s">
        <v>173</v>
      </c>
      <c r="D12415" s="420" t="s">
        <v>760</v>
      </c>
      <c r="E12415" s="501">
        <v>5002994.37</v>
      </c>
      <c r="F12415" s="95" t="s">
        <v>878</v>
      </c>
      <c r="G12415" s="443">
        <v>119222781</v>
      </c>
      <c r="H12415" s="595">
        <v>119222781</v>
      </c>
      <c r="I12415" s="278" t="s">
        <v>1013</v>
      </c>
      <c r="J12415" s="530" t="s">
        <v>912</v>
      </c>
      <c r="N12415" s="598">
        <v>9065</v>
      </c>
      <c r="O12415" s="420"/>
      <c r="R12415" s="420">
        <v>551.6635</v>
      </c>
      <c r="S12415" s="420">
        <v>551.90230226144502</v>
      </c>
      <c r="T12415" s="420">
        <v>15.8</v>
      </c>
      <c r="U12415" s="278">
        <v>39.32</v>
      </c>
      <c r="V12415" s="278">
        <v>3.75</v>
      </c>
      <c r="Z12415" s="420" t="s">
        <v>2953</v>
      </c>
    </row>
    <row r="12416" spans="1:26">
      <c r="A12416" s="499">
        <v>45922</v>
      </c>
      <c r="B12416" s="499">
        <v>45922</v>
      </c>
      <c r="C12416" s="420" t="s">
        <v>173</v>
      </c>
      <c r="D12416" s="420" t="s">
        <v>763</v>
      </c>
      <c r="E12416" s="501">
        <v>-2085289700</v>
      </c>
      <c r="F12416" s="95" t="s">
        <v>878</v>
      </c>
      <c r="G12416" s="443">
        <v>119223127</v>
      </c>
      <c r="H12416" s="595"/>
      <c r="I12416" s="278" t="s">
        <v>675</v>
      </c>
      <c r="J12416" s="530" t="s">
        <v>906</v>
      </c>
      <c r="N12416" s="598">
        <v>2199675</v>
      </c>
      <c r="O12416" s="420"/>
      <c r="R12416" s="420">
        <v>947.99900000000002</v>
      </c>
      <c r="S12416" s="420">
        <v>948.40677200000005</v>
      </c>
      <c r="T12416" s="420">
        <v>15.700100000000001</v>
      </c>
      <c r="U12416" s="278">
        <v>3127.93</v>
      </c>
      <c r="V12416" s="278">
        <v>1563.97</v>
      </c>
      <c r="Z12416" s="420" t="s">
        <v>2953</v>
      </c>
    </row>
    <row r="12417" spans="1:26">
      <c r="A12417" s="499">
        <v>45922</v>
      </c>
      <c r="B12417" s="499">
        <v>45922</v>
      </c>
      <c r="C12417" s="420" t="s">
        <v>173</v>
      </c>
      <c r="D12417" s="420" t="s">
        <v>763</v>
      </c>
      <c r="E12417" s="501">
        <v>-13001044.619999999</v>
      </c>
      <c r="F12417" s="95" t="s">
        <v>878</v>
      </c>
      <c r="G12417" s="443">
        <v>119223337</v>
      </c>
      <c r="H12417" s="595"/>
      <c r="I12417" s="278" t="s">
        <v>3046</v>
      </c>
      <c r="J12417" s="530" t="s">
        <v>906</v>
      </c>
      <c r="N12417" s="598">
        <v>131235</v>
      </c>
      <c r="O12417" s="420"/>
      <c r="R12417" s="420">
        <v>99.066900000000004</v>
      </c>
      <c r="S12417" s="420">
        <v>99.109648039999996</v>
      </c>
      <c r="T12417" s="420">
        <v>15.75</v>
      </c>
      <c r="U12417" s="278">
        <v>39.32</v>
      </c>
      <c r="V12417" s="278">
        <v>39.32</v>
      </c>
      <c r="Z12417" s="420" t="s">
        <v>2953</v>
      </c>
    </row>
    <row r="12418" spans="1:26">
      <c r="A12418" s="499">
        <v>45922</v>
      </c>
      <c r="B12418" s="499">
        <v>45923</v>
      </c>
      <c r="C12418" s="420" t="s">
        <v>173</v>
      </c>
      <c r="D12418" s="420" t="s">
        <v>763</v>
      </c>
      <c r="E12418" s="501">
        <v>2086186666</v>
      </c>
      <c r="F12418" s="95" t="s">
        <v>878</v>
      </c>
      <c r="G12418" s="443">
        <v>119223127</v>
      </c>
      <c r="H12418" s="595">
        <v>119223127</v>
      </c>
      <c r="I12418" s="278" t="s">
        <v>675</v>
      </c>
      <c r="J12418" s="530" t="s">
        <v>912</v>
      </c>
      <c r="N12418" s="598">
        <v>2199675</v>
      </c>
      <c r="O12418" s="420"/>
      <c r="R12418" s="420">
        <v>947.99900000000002</v>
      </c>
      <c r="S12418" s="420">
        <v>948.40677200000005</v>
      </c>
      <c r="T12418" s="420">
        <v>15.700100000000001</v>
      </c>
      <c r="U12418" s="278">
        <v>3127.93</v>
      </c>
      <c r="V12418" s="278">
        <v>1563.97</v>
      </c>
      <c r="Z12418" s="420" t="s">
        <v>2953</v>
      </c>
    </row>
    <row r="12419" spans="1:26">
      <c r="A12419" s="499">
        <v>45922</v>
      </c>
      <c r="B12419" s="499">
        <v>45923</v>
      </c>
      <c r="C12419" s="420" t="s">
        <v>173</v>
      </c>
      <c r="D12419" s="420" t="s">
        <v>763</v>
      </c>
      <c r="E12419" s="501">
        <v>13006654.66</v>
      </c>
      <c r="F12419" s="95" t="s">
        <v>878</v>
      </c>
      <c r="G12419" s="443">
        <v>119223337</v>
      </c>
      <c r="H12419" s="595">
        <v>119223337</v>
      </c>
      <c r="I12419" s="278" t="s">
        <v>3046</v>
      </c>
      <c r="J12419" s="530" t="s">
        <v>912</v>
      </c>
      <c r="N12419" s="598">
        <v>131235</v>
      </c>
      <c r="O12419" s="420"/>
      <c r="R12419" s="420">
        <v>99.066900000000004</v>
      </c>
      <c r="S12419" s="420">
        <v>99.109648039999996</v>
      </c>
      <c r="T12419" s="420">
        <v>15.75</v>
      </c>
      <c r="U12419" s="278">
        <v>39.32</v>
      </c>
      <c r="V12419" s="278">
        <v>39.32</v>
      </c>
      <c r="Z12419" s="420" t="s">
        <v>2953</v>
      </c>
    </row>
    <row r="12420" spans="1:26">
      <c r="A12420" s="499">
        <v>45923</v>
      </c>
      <c r="B12420" s="499">
        <v>45923</v>
      </c>
      <c r="C12420" s="420" t="s">
        <v>173</v>
      </c>
      <c r="D12420" s="500" t="s">
        <v>762</v>
      </c>
      <c r="E12420" s="501">
        <v>-5080203790.9200001</v>
      </c>
      <c r="F12420" s="95" t="s">
        <v>878</v>
      </c>
      <c r="G12420" s="443">
        <v>119252512</v>
      </c>
      <c r="H12420" s="595"/>
      <c r="I12420" s="278" t="s">
        <v>674</v>
      </c>
      <c r="J12420" s="530" t="s">
        <v>906</v>
      </c>
      <c r="N12420" s="598">
        <v>5634360</v>
      </c>
      <c r="O12420" s="420"/>
      <c r="R12420" s="420">
        <v>901.64700000000005</v>
      </c>
      <c r="S12420" s="420">
        <v>902.03606685586306</v>
      </c>
      <c r="T12420" s="420">
        <v>15.75</v>
      </c>
      <c r="U12420" s="278">
        <v>7620.31</v>
      </c>
      <c r="V12420" s="278">
        <v>3810.15</v>
      </c>
      <c r="Z12420" s="420" t="s">
        <v>2953</v>
      </c>
    </row>
    <row r="12421" spans="1:26">
      <c r="A12421" s="499">
        <v>45923</v>
      </c>
      <c r="B12421" s="499">
        <v>45923</v>
      </c>
      <c r="C12421" s="420" t="s">
        <v>173</v>
      </c>
      <c r="D12421" s="500" t="s">
        <v>762</v>
      </c>
      <c r="E12421" s="501">
        <v>-28023188.760000002</v>
      </c>
      <c r="F12421" s="95" t="s">
        <v>878</v>
      </c>
      <c r="G12421" s="443">
        <v>119252537</v>
      </c>
      <c r="H12421" s="595"/>
      <c r="I12421" s="278" t="s">
        <v>674</v>
      </c>
      <c r="J12421" s="530" t="s">
        <v>912</v>
      </c>
      <c r="N12421" s="598">
        <v>31080</v>
      </c>
      <c r="O12421" s="420"/>
      <c r="R12421" s="420">
        <v>901.64700000000005</v>
      </c>
      <c r="S12421" s="420">
        <v>902.03606692406697</v>
      </c>
      <c r="T12421" s="420">
        <v>15.75</v>
      </c>
      <c r="U12421" s="278">
        <v>42.03</v>
      </c>
      <c r="V12421" s="278">
        <v>21.02</v>
      </c>
      <c r="Z12421" s="420" t="s">
        <v>2953</v>
      </c>
    </row>
    <row r="12422" spans="1:26">
      <c r="A12422" s="499">
        <v>45923</v>
      </c>
      <c r="B12422" s="499">
        <v>45924</v>
      </c>
      <c r="C12422" s="420" t="s">
        <v>173</v>
      </c>
      <c r="D12422" s="500" t="s">
        <v>762</v>
      </c>
      <c r="E12422" s="501">
        <v>5082395933.6499996</v>
      </c>
      <c r="F12422" s="95" t="s">
        <v>878</v>
      </c>
      <c r="G12422" s="443">
        <v>119252512</v>
      </c>
      <c r="H12422" s="595">
        <v>119252512</v>
      </c>
      <c r="I12422" s="278" t="s">
        <v>674</v>
      </c>
      <c r="J12422" s="530" t="s">
        <v>912</v>
      </c>
      <c r="N12422" s="598">
        <v>5634360</v>
      </c>
      <c r="O12422" s="420"/>
      <c r="R12422" s="420">
        <v>901.64700000000005</v>
      </c>
      <c r="S12422" s="420">
        <v>902.03606685586306</v>
      </c>
      <c r="T12422" s="420">
        <v>15.75</v>
      </c>
      <c r="U12422" s="278">
        <v>7620.31</v>
      </c>
      <c r="V12422" s="278">
        <v>3810.15</v>
      </c>
      <c r="Z12422" s="420" t="s">
        <v>2953</v>
      </c>
    </row>
    <row r="12423" spans="1:26">
      <c r="A12423" s="499">
        <v>45923</v>
      </c>
      <c r="B12423" s="499">
        <v>45924</v>
      </c>
      <c r="C12423" s="420" t="s">
        <v>173</v>
      </c>
      <c r="D12423" s="500" t="s">
        <v>762</v>
      </c>
      <c r="E12423" s="501">
        <v>28035280.960000001</v>
      </c>
      <c r="F12423" s="95" t="s">
        <v>878</v>
      </c>
      <c r="G12423" s="443">
        <v>119252537</v>
      </c>
      <c r="H12423" s="595">
        <v>119252537</v>
      </c>
      <c r="I12423" s="278" t="s">
        <v>674</v>
      </c>
      <c r="J12423" s="530" t="s">
        <v>912</v>
      </c>
      <c r="N12423" s="598">
        <v>31080</v>
      </c>
      <c r="O12423" s="420"/>
      <c r="R12423" s="420">
        <v>901.64700000000005</v>
      </c>
      <c r="S12423" s="420">
        <v>902.03606692406697</v>
      </c>
      <c r="T12423" s="420">
        <v>15.75</v>
      </c>
      <c r="U12423" s="278">
        <v>42.03</v>
      </c>
      <c r="V12423" s="278">
        <v>21.02</v>
      </c>
      <c r="Z12423" s="420" t="s">
        <v>2953</v>
      </c>
    </row>
    <row r="12424" spans="1:26">
      <c r="A12424" s="499">
        <v>45923</v>
      </c>
      <c r="B12424" s="499">
        <v>45923</v>
      </c>
      <c r="C12424" s="420" t="s">
        <v>173</v>
      </c>
      <c r="D12424" s="500" t="s">
        <v>761</v>
      </c>
      <c r="E12424" s="501">
        <v>-1407127077.72</v>
      </c>
      <c r="F12424" s="95" t="s">
        <v>878</v>
      </c>
      <c r="G12424" s="443">
        <v>119244907</v>
      </c>
      <c r="H12424" s="595"/>
      <c r="I12424" s="278" t="s">
        <v>699</v>
      </c>
      <c r="J12424" s="530" t="s">
        <v>906</v>
      </c>
      <c r="N12424" s="598">
        <v>1535352</v>
      </c>
      <c r="O12424" s="420"/>
      <c r="R12424" s="420">
        <v>916.48500000000001</v>
      </c>
      <c r="S12424" s="420">
        <v>916.88172501159295</v>
      </c>
      <c r="T12424" s="420">
        <v>15.8</v>
      </c>
      <c r="U12424" s="278">
        <v>2110.69</v>
      </c>
      <c r="V12424" s="278">
        <v>1055.3499999999999</v>
      </c>
      <c r="Z12424" s="420" t="s">
        <v>2953</v>
      </c>
    </row>
    <row r="12425" spans="1:26">
      <c r="A12425" s="499">
        <v>45923</v>
      </c>
      <c r="B12425" s="499">
        <v>45923</v>
      </c>
      <c r="C12425" s="420" t="s">
        <v>173</v>
      </c>
      <c r="D12425" s="500" t="s">
        <v>761</v>
      </c>
      <c r="E12425" s="501">
        <v>-8006412.96</v>
      </c>
      <c r="F12425" s="95" t="s">
        <v>878</v>
      </c>
      <c r="G12425" s="443">
        <v>119244924</v>
      </c>
      <c r="H12425" s="595"/>
      <c r="I12425" s="278" t="s">
        <v>699</v>
      </c>
      <c r="J12425" s="530" t="s">
        <v>906</v>
      </c>
      <c r="N12425" s="598">
        <v>8736</v>
      </c>
      <c r="O12425" s="420"/>
      <c r="R12425" s="420">
        <v>916.48500000000001</v>
      </c>
      <c r="S12425" s="420">
        <v>916.88172504578802</v>
      </c>
      <c r="T12425" s="420">
        <v>15.8</v>
      </c>
      <c r="U12425" s="278">
        <v>39.32</v>
      </c>
      <c r="V12425" s="278">
        <v>6</v>
      </c>
      <c r="Z12425" s="420" t="s">
        <v>2953</v>
      </c>
    </row>
    <row r="12426" spans="1:26">
      <c r="A12426" s="499">
        <v>45923</v>
      </c>
      <c r="B12426" s="499">
        <v>45924</v>
      </c>
      <c r="C12426" s="420" t="s">
        <v>173</v>
      </c>
      <c r="D12426" s="500" t="s">
        <v>761</v>
      </c>
      <c r="E12426" s="501">
        <v>1407736190.26</v>
      </c>
      <c r="F12426" s="95" t="s">
        <v>878</v>
      </c>
      <c r="G12426" s="443">
        <v>119244907</v>
      </c>
      <c r="H12426" s="595">
        <v>119244907</v>
      </c>
      <c r="I12426" s="278" t="s">
        <v>699</v>
      </c>
      <c r="J12426" s="530" t="s">
        <v>912</v>
      </c>
      <c r="N12426" s="598">
        <v>1535352</v>
      </c>
      <c r="O12426" s="420"/>
      <c r="R12426" s="420">
        <v>916.48500000000001</v>
      </c>
      <c r="S12426" s="420">
        <v>916.88172501159295</v>
      </c>
      <c r="T12426" s="420">
        <v>15.8</v>
      </c>
      <c r="U12426" s="278">
        <v>2110.69</v>
      </c>
      <c r="V12426" s="278">
        <v>1055.3499999999999</v>
      </c>
      <c r="Z12426" s="420" t="s">
        <v>2953</v>
      </c>
    </row>
    <row r="12427" spans="1:26">
      <c r="A12427" s="499">
        <v>45923</v>
      </c>
      <c r="B12427" s="499">
        <v>45924</v>
      </c>
      <c r="C12427" s="420" t="s">
        <v>173</v>
      </c>
      <c r="D12427" s="500" t="s">
        <v>761</v>
      </c>
      <c r="E12427" s="501">
        <v>8009878.75</v>
      </c>
      <c r="F12427" s="95" t="s">
        <v>878</v>
      </c>
      <c r="G12427" s="443">
        <v>119244924</v>
      </c>
      <c r="H12427" s="595">
        <v>119244924</v>
      </c>
      <c r="I12427" s="278" t="s">
        <v>699</v>
      </c>
      <c r="J12427" s="530" t="s">
        <v>912</v>
      </c>
      <c r="N12427" s="598">
        <v>8736</v>
      </c>
      <c r="O12427" s="420"/>
      <c r="R12427" s="420">
        <v>916.48500000000001</v>
      </c>
      <c r="S12427" s="420">
        <v>916.88172504578802</v>
      </c>
      <c r="T12427" s="420">
        <v>15.8</v>
      </c>
      <c r="U12427" s="278">
        <v>39.32</v>
      </c>
      <c r="V12427" s="278">
        <v>6</v>
      </c>
      <c r="Z12427" s="420" t="s">
        <v>2953</v>
      </c>
    </row>
    <row r="12428" spans="1:26">
      <c r="A12428" s="499">
        <v>45923</v>
      </c>
      <c r="B12428" s="499">
        <v>45923</v>
      </c>
      <c r="C12428" s="420" t="s">
        <v>173</v>
      </c>
      <c r="D12428" s="420" t="s">
        <v>759</v>
      </c>
      <c r="E12428" s="501">
        <v>-30012986.16</v>
      </c>
      <c r="F12428" s="95" t="s">
        <v>878</v>
      </c>
      <c r="G12428" s="443">
        <v>119247336</v>
      </c>
      <c r="H12428" s="595"/>
      <c r="I12428" s="278" t="s">
        <v>696</v>
      </c>
      <c r="J12428" s="530" t="s">
        <v>906</v>
      </c>
      <c r="N12428" s="598">
        <v>40080</v>
      </c>
      <c r="O12428" s="420"/>
      <c r="R12428" s="420">
        <v>748.827</v>
      </c>
      <c r="S12428" s="420">
        <v>751.12477045908201</v>
      </c>
      <c r="T12428" s="420">
        <v>16</v>
      </c>
      <c r="U12428" s="278">
        <v>315.14</v>
      </c>
      <c r="V12428" s="278">
        <v>157.57</v>
      </c>
      <c r="Z12428" s="539" t="s">
        <v>2961</v>
      </c>
    </row>
    <row r="12429" spans="1:26">
      <c r="A12429" s="499">
        <v>45923</v>
      </c>
      <c r="B12429" s="499">
        <v>45923</v>
      </c>
      <c r="C12429" s="420" t="s">
        <v>173</v>
      </c>
      <c r="D12429" s="420" t="s">
        <v>759</v>
      </c>
      <c r="E12429" s="501">
        <v>-6351486753.4399996</v>
      </c>
      <c r="F12429" s="95" t="s">
        <v>878</v>
      </c>
      <c r="G12429" s="443">
        <v>119247427</v>
      </c>
      <c r="H12429" s="595"/>
      <c r="I12429" s="278" t="s">
        <v>1013</v>
      </c>
      <c r="J12429" s="530" t="s">
        <v>906</v>
      </c>
      <c r="N12429" s="598">
        <v>11499850</v>
      </c>
      <c r="O12429" s="420"/>
      <c r="R12429" s="420">
        <v>552.31039999999996</v>
      </c>
      <c r="S12429" s="420">
        <v>554.00516067948695</v>
      </c>
      <c r="T12429" s="420">
        <v>16</v>
      </c>
      <c r="U12429" s="278">
        <v>66690.61</v>
      </c>
      <c r="V12429" s="278">
        <v>33345.31</v>
      </c>
      <c r="Z12429" s="539" t="s">
        <v>2961</v>
      </c>
    </row>
    <row r="12430" spans="1:26">
      <c r="A12430" s="499">
        <v>45923</v>
      </c>
      <c r="B12430" s="499">
        <v>45923</v>
      </c>
      <c r="C12430" s="420" t="s">
        <v>173</v>
      </c>
      <c r="D12430" s="420" t="s">
        <v>759</v>
      </c>
      <c r="E12430" s="501">
        <v>-906329753.91999996</v>
      </c>
      <c r="F12430" s="95" t="s">
        <v>878</v>
      </c>
      <c r="G12430" s="443">
        <v>119247434</v>
      </c>
      <c r="H12430" s="595"/>
      <c r="I12430" s="278" t="s">
        <v>631</v>
      </c>
      <c r="J12430" s="530" t="s">
        <v>906</v>
      </c>
      <c r="N12430" s="598">
        <v>1734084</v>
      </c>
      <c r="O12430" s="420"/>
      <c r="R12430" s="420">
        <v>522.65619999953867</v>
      </c>
      <c r="S12430" s="420">
        <v>524.25996696815105</v>
      </c>
      <c r="T12430" s="420">
        <v>16</v>
      </c>
      <c r="U12430" s="278">
        <v>9516.4599999999991</v>
      </c>
      <c r="V12430" s="278">
        <v>4758.2299999999996</v>
      </c>
      <c r="Z12430" s="539" t="s">
        <v>2961</v>
      </c>
    </row>
    <row r="12431" spans="1:26">
      <c r="A12431" s="499">
        <v>45923</v>
      </c>
      <c r="B12431" s="499">
        <v>45923</v>
      </c>
      <c r="C12431" s="420" t="s">
        <v>173</v>
      </c>
      <c r="D12431" s="420" t="s">
        <v>759</v>
      </c>
      <c r="E12431" s="501">
        <v>-1988645573.79</v>
      </c>
      <c r="F12431" s="95" t="s">
        <v>878</v>
      </c>
      <c r="G12431" s="443">
        <v>119250227</v>
      </c>
      <c r="H12431" s="595"/>
      <c r="I12431" s="278" t="s">
        <v>674</v>
      </c>
      <c r="J12431" s="530" t="s">
        <v>906</v>
      </c>
      <c r="N12431" s="598">
        <v>2205570</v>
      </c>
      <c r="O12431" s="420"/>
      <c r="R12431" s="420">
        <v>901.64699999999993</v>
      </c>
      <c r="S12431" s="420">
        <v>902.034839134555</v>
      </c>
      <c r="T12431" s="420">
        <v>15.7003</v>
      </c>
      <c r="U12431" s="278">
        <v>2982.97</v>
      </c>
      <c r="V12431" s="278">
        <v>1491.48</v>
      </c>
      <c r="Z12431" s="420" t="s">
        <v>2953</v>
      </c>
    </row>
    <row r="12432" spans="1:26">
      <c r="A12432" s="499">
        <v>45923</v>
      </c>
      <c r="B12432" s="499">
        <v>45923</v>
      </c>
      <c r="C12432" s="420" t="s">
        <v>173</v>
      </c>
      <c r="D12432" s="420" t="s">
        <v>759</v>
      </c>
      <c r="E12432" s="501">
        <v>-11009109.869999999</v>
      </c>
      <c r="F12432" s="95" t="s">
        <v>878</v>
      </c>
      <c r="G12432" s="443">
        <v>119250282</v>
      </c>
      <c r="H12432" s="595"/>
      <c r="I12432" s="278" t="s">
        <v>674</v>
      </c>
      <c r="J12432" s="530" t="s">
        <v>906</v>
      </c>
      <c r="N12432" s="598">
        <v>12210</v>
      </c>
      <c r="O12432" s="420"/>
      <c r="R12432" s="420">
        <v>901.64699999999993</v>
      </c>
      <c r="S12432" s="420">
        <v>902.03483947583902</v>
      </c>
      <c r="T12432" s="420">
        <v>15.7003</v>
      </c>
      <c r="U12432" s="278">
        <v>39.32</v>
      </c>
      <c r="V12432" s="278">
        <v>8.26</v>
      </c>
      <c r="Z12432" s="420" t="s">
        <v>2953</v>
      </c>
    </row>
    <row r="12433" spans="1:26">
      <c r="A12433" s="499">
        <v>45923</v>
      </c>
      <c r="B12433" s="499">
        <v>45923</v>
      </c>
      <c r="C12433" s="420" t="s">
        <v>173</v>
      </c>
      <c r="D12433" s="420" t="s">
        <v>759</v>
      </c>
      <c r="E12433" s="501">
        <v>-2536909365.2199998</v>
      </c>
      <c r="F12433" s="95" t="s">
        <v>878</v>
      </c>
      <c r="G12433" s="443">
        <v>119250509</v>
      </c>
      <c r="H12433" s="595"/>
      <c r="I12433" s="278" t="s">
        <v>2854</v>
      </c>
      <c r="J12433" s="530" t="s">
        <v>906</v>
      </c>
      <c r="N12433" s="598">
        <v>4501400</v>
      </c>
      <c r="O12433" s="420"/>
      <c r="R12433" s="420">
        <v>563.58229999999992</v>
      </c>
      <c r="S12433" s="420">
        <v>565.29867831341403</v>
      </c>
      <c r="T12433" s="420">
        <v>15.88</v>
      </c>
      <c r="U12433" s="278">
        <v>26637.55</v>
      </c>
      <c r="V12433" s="278">
        <v>13318.77</v>
      </c>
      <c r="Z12433" s="539" t="s">
        <v>2961</v>
      </c>
    </row>
    <row r="12434" spans="1:26">
      <c r="A12434" s="499">
        <v>45923</v>
      </c>
      <c r="B12434" s="499">
        <v>45923</v>
      </c>
      <c r="C12434" s="420" t="s">
        <v>173</v>
      </c>
      <c r="D12434" s="420" t="s">
        <v>759</v>
      </c>
      <c r="E12434" s="501">
        <v>-58048372</v>
      </c>
      <c r="F12434" s="95" t="s">
        <v>878</v>
      </c>
      <c r="G12434" s="443">
        <v>119250647</v>
      </c>
      <c r="H12434" s="595"/>
      <c r="I12434" s="278" t="s">
        <v>653</v>
      </c>
      <c r="J12434" s="530" t="s">
        <v>906</v>
      </c>
      <c r="N12434" s="598">
        <v>58000</v>
      </c>
      <c r="O12434" s="420"/>
      <c r="R12434" s="420">
        <v>1000.8339999999999</v>
      </c>
      <c r="S12434" s="420">
        <v>1003.81109724138</v>
      </c>
      <c r="T12434" s="420">
        <v>15.5105</v>
      </c>
      <c r="U12434" s="278">
        <v>609.51</v>
      </c>
      <c r="V12434" s="278">
        <v>304.75</v>
      </c>
      <c r="Z12434" s="539" t="s">
        <v>2961</v>
      </c>
    </row>
    <row r="12435" spans="1:26">
      <c r="A12435" s="499">
        <v>45923</v>
      </c>
      <c r="B12435" s="499">
        <v>45930</v>
      </c>
      <c r="C12435" s="420" t="s">
        <v>173</v>
      </c>
      <c r="D12435" s="420" t="s">
        <v>759</v>
      </c>
      <c r="E12435" s="501">
        <v>30105080.800000001</v>
      </c>
      <c r="F12435" s="95" t="s">
        <v>878</v>
      </c>
      <c r="G12435" s="443">
        <v>119247336</v>
      </c>
      <c r="H12435" s="595">
        <v>119247336</v>
      </c>
      <c r="I12435" s="278" t="s">
        <v>696</v>
      </c>
      <c r="J12435" s="530" t="s">
        <v>912</v>
      </c>
      <c r="N12435" s="598">
        <v>40080</v>
      </c>
      <c r="O12435" s="420"/>
      <c r="R12435" s="420">
        <v>748.827</v>
      </c>
      <c r="S12435" s="420">
        <v>751.12477045908201</v>
      </c>
      <c r="T12435" s="420">
        <v>16</v>
      </c>
      <c r="U12435" s="278">
        <v>315.14</v>
      </c>
      <c r="V12435" s="278">
        <v>157.57</v>
      </c>
      <c r="Z12435" s="539" t="s">
        <v>2961</v>
      </c>
    </row>
    <row r="12436" spans="1:26">
      <c r="A12436" s="499">
        <v>45923</v>
      </c>
      <c r="B12436" s="499">
        <v>45930</v>
      </c>
      <c r="C12436" s="420" t="s">
        <v>173</v>
      </c>
      <c r="D12436" s="420" t="s">
        <v>759</v>
      </c>
      <c r="E12436" s="501">
        <v>6370976247.04</v>
      </c>
      <c r="F12436" s="95" t="s">
        <v>878</v>
      </c>
      <c r="G12436" s="443">
        <v>119247427</v>
      </c>
      <c r="H12436" s="595">
        <v>119247427</v>
      </c>
      <c r="I12436" s="278" t="s">
        <v>1013</v>
      </c>
      <c r="J12436" s="530" t="s">
        <v>912</v>
      </c>
      <c r="N12436" s="598">
        <v>11499850</v>
      </c>
      <c r="O12436" s="420"/>
      <c r="R12436" s="420">
        <v>552.31039999999996</v>
      </c>
      <c r="S12436" s="420">
        <v>554.00516067948695</v>
      </c>
      <c r="T12436" s="420">
        <v>16</v>
      </c>
      <c r="U12436" s="278">
        <v>66690.61</v>
      </c>
      <c r="V12436" s="278">
        <v>33345.31</v>
      </c>
      <c r="Z12436" s="539" t="s">
        <v>2961</v>
      </c>
    </row>
    <row r="12437" spans="1:26">
      <c r="A12437" s="499">
        <v>45923</v>
      </c>
      <c r="B12437" s="499">
        <v>45930</v>
      </c>
      <c r="C12437" s="420" t="s">
        <v>173</v>
      </c>
      <c r="D12437" s="420" t="s">
        <v>759</v>
      </c>
      <c r="E12437" s="501">
        <v>909110820.55999994</v>
      </c>
      <c r="F12437" s="95" t="s">
        <v>878</v>
      </c>
      <c r="G12437" s="443">
        <v>119247434</v>
      </c>
      <c r="H12437" s="595">
        <v>119247434</v>
      </c>
      <c r="I12437" s="278" t="s">
        <v>631</v>
      </c>
      <c r="J12437" s="530" t="s">
        <v>912</v>
      </c>
      <c r="N12437" s="598">
        <v>1734084</v>
      </c>
      <c r="O12437" s="420"/>
      <c r="R12437" s="420">
        <v>522.65619999953867</v>
      </c>
      <c r="S12437" s="420">
        <v>524.25996696815105</v>
      </c>
      <c r="T12437" s="420">
        <v>16</v>
      </c>
      <c r="U12437" s="278">
        <v>9516.4599999999991</v>
      </c>
      <c r="V12437" s="278">
        <v>4758.2299999999996</v>
      </c>
      <c r="Z12437" s="539" t="s">
        <v>2961</v>
      </c>
    </row>
    <row r="12438" spans="1:26">
      <c r="A12438" s="499">
        <v>45923</v>
      </c>
      <c r="B12438" s="499">
        <v>45924</v>
      </c>
      <c r="C12438" s="420" t="s">
        <v>173</v>
      </c>
      <c r="D12438" s="420" t="s">
        <v>759</v>
      </c>
      <c r="E12438" s="501">
        <v>1989500980.1500001</v>
      </c>
      <c r="F12438" s="95" t="s">
        <v>878</v>
      </c>
      <c r="G12438" s="443">
        <v>119250227</v>
      </c>
      <c r="H12438" s="595">
        <v>119250227</v>
      </c>
      <c r="I12438" s="278" t="s">
        <v>674</v>
      </c>
      <c r="J12438" s="530" t="s">
        <v>912</v>
      </c>
      <c r="N12438" s="598">
        <v>2205570</v>
      </c>
      <c r="O12438" s="420"/>
      <c r="R12438" s="420">
        <v>901.64699999999993</v>
      </c>
      <c r="S12438" s="420">
        <v>902.034839134555</v>
      </c>
      <c r="T12438" s="420">
        <v>15.7003</v>
      </c>
      <c r="U12438" s="278">
        <v>2982.97</v>
      </c>
      <c r="V12438" s="278">
        <v>1491.48</v>
      </c>
      <c r="Z12438" s="420" t="s">
        <v>2953</v>
      </c>
    </row>
    <row r="12439" spans="1:26">
      <c r="A12439" s="499">
        <v>45923</v>
      </c>
      <c r="B12439" s="499">
        <v>45924</v>
      </c>
      <c r="C12439" s="420" t="s">
        <v>173</v>
      </c>
      <c r="D12439" s="420" t="s">
        <v>759</v>
      </c>
      <c r="E12439" s="501">
        <v>11013845.390000001</v>
      </c>
      <c r="F12439" s="95" t="s">
        <v>878</v>
      </c>
      <c r="G12439" s="443">
        <v>119250282</v>
      </c>
      <c r="H12439" s="595">
        <v>119250282</v>
      </c>
      <c r="I12439" s="278" t="s">
        <v>674</v>
      </c>
      <c r="J12439" s="530" t="s">
        <v>912</v>
      </c>
      <c r="N12439" s="598">
        <v>12210</v>
      </c>
      <c r="O12439" s="420"/>
      <c r="R12439" s="420">
        <v>901.64699999999993</v>
      </c>
      <c r="S12439" s="420">
        <v>902.03483947583902</v>
      </c>
      <c r="T12439" s="420">
        <v>15.7003</v>
      </c>
      <c r="U12439" s="278">
        <v>39.32</v>
      </c>
      <c r="V12439" s="278">
        <v>8.26</v>
      </c>
      <c r="Z12439" s="420" t="s">
        <v>2953</v>
      </c>
    </row>
    <row r="12440" spans="1:26">
      <c r="A12440" s="499">
        <v>45923</v>
      </c>
      <c r="B12440" s="499">
        <v>45930</v>
      </c>
      <c r="C12440" s="420" t="s">
        <v>173</v>
      </c>
      <c r="D12440" s="420" t="s">
        <v>759</v>
      </c>
      <c r="E12440" s="501">
        <v>2544635470.5599999</v>
      </c>
      <c r="F12440" s="95" t="s">
        <v>878</v>
      </c>
      <c r="G12440" s="443">
        <v>119250509</v>
      </c>
      <c r="H12440" s="595">
        <v>119250509</v>
      </c>
      <c r="I12440" s="278" t="s">
        <v>2854</v>
      </c>
      <c r="J12440" s="530" t="s">
        <v>912</v>
      </c>
      <c r="N12440" s="598">
        <v>4501400</v>
      </c>
      <c r="O12440" s="420"/>
      <c r="R12440" s="420">
        <v>563.58229999999992</v>
      </c>
      <c r="S12440" s="420">
        <v>565.29867831341403</v>
      </c>
      <c r="T12440" s="420">
        <v>15.88</v>
      </c>
      <c r="U12440" s="278">
        <v>26637.55</v>
      </c>
      <c r="V12440" s="278">
        <v>13318.77</v>
      </c>
      <c r="Z12440" s="539" t="s">
        <v>2961</v>
      </c>
    </row>
    <row r="12441" spans="1:26">
      <c r="A12441" s="499">
        <v>45923</v>
      </c>
      <c r="B12441" s="499">
        <v>45930</v>
      </c>
      <c r="C12441" s="420" t="s">
        <v>173</v>
      </c>
      <c r="D12441" s="420" t="s">
        <v>759</v>
      </c>
      <c r="E12441" s="501">
        <v>58221043.640000001</v>
      </c>
      <c r="F12441" s="95" t="s">
        <v>878</v>
      </c>
      <c r="G12441" s="443">
        <v>119250647</v>
      </c>
      <c r="H12441" s="595">
        <v>119250647</v>
      </c>
      <c r="I12441" s="278" t="s">
        <v>653</v>
      </c>
      <c r="J12441" s="530" t="s">
        <v>912</v>
      </c>
      <c r="N12441" s="598">
        <v>58000</v>
      </c>
      <c r="O12441" s="420"/>
      <c r="R12441" s="420">
        <v>1000.8339999999999</v>
      </c>
      <c r="S12441" s="420">
        <v>1003.81109724138</v>
      </c>
      <c r="T12441" s="420">
        <v>15.5105</v>
      </c>
      <c r="U12441" s="278">
        <v>609.51</v>
      </c>
      <c r="V12441" s="278">
        <v>304.75</v>
      </c>
      <c r="Z12441" s="539" t="s">
        <v>2961</v>
      </c>
    </row>
    <row r="12442" spans="1:26">
      <c r="A12442" s="499">
        <v>45923</v>
      </c>
      <c r="B12442" s="499">
        <v>45923</v>
      </c>
      <c r="C12442" s="420" t="s">
        <v>173</v>
      </c>
      <c r="D12442" s="420" t="s">
        <v>760</v>
      </c>
      <c r="E12442" s="501">
        <v>-1300102096.8</v>
      </c>
      <c r="F12442" s="95" t="s">
        <v>878</v>
      </c>
      <c r="G12442" s="443">
        <v>119245862</v>
      </c>
      <c r="I12442" s="278" t="s">
        <v>712</v>
      </c>
      <c r="J12442" s="530" t="s">
        <v>906</v>
      </c>
      <c r="N12442" s="598">
        <v>1513200</v>
      </c>
      <c r="O12442" s="420"/>
      <c r="R12442" s="420">
        <v>859.17399999999998</v>
      </c>
      <c r="S12442" s="420">
        <v>859.54826560930496</v>
      </c>
      <c r="T12442" s="420">
        <v>15.899800000000001</v>
      </c>
      <c r="U12442" s="278">
        <v>1950.15</v>
      </c>
      <c r="V12442" s="278">
        <v>975.08</v>
      </c>
      <c r="Z12442" s="420" t="s">
        <v>2953</v>
      </c>
    </row>
    <row r="12443" spans="1:26">
      <c r="A12443" s="499">
        <v>45923</v>
      </c>
      <c r="B12443" s="499">
        <v>45923</v>
      </c>
      <c r="C12443" s="420" t="s">
        <v>173</v>
      </c>
      <c r="D12443" s="420" t="s">
        <v>760</v>
      </c>
      <c r="E12443" s="501">
        <v>-739461165.55999994</v>
      </c>
      <c r="F12443" s="95" t="s">
        <v>878</v>
      </c>
      <c r="G12443" s="443">
        <v>119246554</v>
      </c>
      <c r="I12443" s="278" t="s">
        <v>691</v>
      </c>
      <c r="J12443" s="530" t="s">
        <v>906</v>
      </c>
      <c r="N12443" s="598">
        <v>835070</v>
      </c>
      <c r="O12443" s="420"/>
      <c r="R12443" s="420">
        <v>885.50800000000004</v>
      </c>
      <c r="S12443" s="420">
        <v>885.89616545918295</v>
      </c>
      <c r="T12443" s="420">
        <v>15.9999</v>
      </c>
      <c r="U12443" s="278">
        <v>1109.19</v>
      </c>
      <c r="V12443" s="278">
        <v>554.6</v>
      </c>
      <c r="Z12443" s="420" t="s">
        <v>2953</v>
      </c>
    </row>
    <row r="12444" spans="1:26">
      <c r="A12444" s="499">
        <v>45923</v>
      </c>
      <c r="B12444" s="499">
        <v>45923</v>
      </c>
      <c r="C12444" s="420" t="s">
        <v>173</v>
      </c>
      <c r="D12444" s="420" t="s">
        <v>760</v>
      </c>
      <c r="E12444" s="501">
        <v>-165116924.61000001</v>
      </c>
      <c r="F12444" s="95" t="s">
        <v>878</v>
      </c>
      <c r="G12444" s="443">
        <v>119256076</v>
      </c>
      <c r="I12444" s="278" t="s">
        <v>705</v>
      </c>
      <c r="J12444" s="530" t="s">
        <v>906</v>
      </c>
      <c r="N12444" s="598">
        <v>217470</v>
      </c>
      <c r="O12444" s="420"/>
      <c r="R12444" s="420">
        <v>759.26300000000003</v>
      </c>
      <c r="S12444" s="420">
        <v>759.59270529268395</v>
      </c>
      <c r="T12444" s="420">
        <v>15.8499</v>
      </c>
      <c r="U12444" s="278">
        <v>247.68</v>
      </c>
      <c r="V12444" s="278">
        <v>123.84</v>
      </c>
      <c r="Z12444" s="420" t="s">
        <v>2953</v>
      </c>
    </row>
    <row r="12445" spans="1:26">
      <c r="A12445" s="499">
        <v>45923</v>
      </c>
      <c r="B12445" s="499">
        <v>45923</v>
      </c>
      <c r="C12445" s="420" t="s">
        <v>173</v>
      </c>
      <c r="D12445" s="420" t="s">
        <v>760</v>
      </c>
      <c r="E12445" s="501">
        <v>-1009127134</v>
      </c>
      <c r="F12445" s="95" t="s">
        <v>878</v>
      </c>
      <c r="G12445" s="443">
        <v>119256613</v>
      </c>
      <c r="I12445" s="278" t="s">
        <v>716</v>
      </c>
      <c r="J12445" s="530" t="s">
        <v>906</v>
      </c>
      <c r="N12445" s="598">
        <v>1557896</v>
      </c>
      <c r="R12445" s="420">
        <v>647.75</v>
      </c>
      <c r="S12445" s="420">
        <v>648.03128144625805</v>
      </c>
      <c r="T12445" s="420">
        <v>15.8499</v>
      </c>
      <c r="U12445" s="278">
        <v>1513.69</v>
      </c>
      <c r="V12445" s="278">
        <v>756.85</v>
      </c>
      <c r="Z12445" s="420" t="s">
        <v>2953</v>
      </c>
    </row>
    <row r="12446" spans="1:26">
      <c r="A12446" s="499">
        <v>45923</v>
      </c>
      <c r="B12446" s="499">
        <v>45923</v>
      </c>
      <c r="C12446" s="420" t="s">
        <v>173</v>
      </c>
      <c r="D12446" s="420" t="s">
        <v>760</v>
      </c>
      <c r="E12446" s="501">
        <v>-7000277.75</v>
      </c>
      <c r="F12446" s="95" t="s">
        <v>878</v>
      </c>
      <c r="G12446" s="443">
        <v>119256805</v>
      </c>
      <c r="I12446" s="278" t="s">
        <v>1018</v>
      </c>
      <c r="J12446" s="530" t="s">
        <v>906</v>
      </c>
      <c r="N12446" s="598">
        <v>70910</v>
      </c>
      <c r="R12446" s="420">
        <v>98.720600000000005</v>
      </c>
      <c r="S12446" s="420">
        <v>98.763225779156699</v>
      </c>
      <c r="T12446" s="420">
        <v>15.76</v>
      </c>
      <c r="U12446" s="278">
        <v>39.32</v>
      </c>
      <c r="V12446" s="278">
        <v>5.25</v>
      </c>
      <c r="Z12446" s="420" t="s">
        <v>2953</v>
      </c>
    </row>
    <row r="12447" spans="1:26">
      <c r="A12447" s="499">
        <v>45923</v>
      </c>
      <c r="B12447" s="499">
        <v>45924</v>
      </c>
      <c r="C12447" s="420" t="s">
        <v>173</v>
      </c>
      <c r="D12447" s="420" t="s">
        <v>760</v>
      </c>
      <c r="E12447" s="501">
        <v>1300668435.52</v>
      </c>
      <c r="F12447" s="95" t="s">
        <v>878</v>
      </c>
      <c r="G12447" s="443">
        <v>119245862</v>
      </c>
      <c r="H12447" s="595">
        <v>119245862</v>
      </c>
      <c r="I12447" s="278" t="s">
        <v>712</v>
      </c>
      <c r="J12447" s="530" t="s">
        <v>912</v>
      </c>
      <c r="N12447" s="598">
        <v>1513200</v>
      </c>
      <c r="R12447" s="420">
        <v>859.17399999999998</v>
      </c>
      <c r="S12447" s="420">
        <v>859.54826560930496</v>
      </c>
      <c r="T12447" s="420">
        <v>15.899800000000001</v>
      </c>
      <c r="U12447" s="278">
        <v>1950.15</v>
      </c>
      <c r="V12447" s="278">
        <v>975.08</v>
      </c>
      <c r="Z12447" s="420" t="s">
        <v>2953</v>
      </c>
    </row>
    <row r="12448" spans="1:26">
      <c r="A12448" s="499">
        <v>45923</v>
      </c>
      <c r="B12448" s="499">
        <v>45924</v>
      </c>
      <c r="C12448" s="420" t="s">
        <v>173</v>
      </c>
      <c r="D12448" s="420" t="s">
        <v>760</v>
      </c>
      <c r="E12448" s="501">
        <v>739785310.88999999</v>
      </c>
      <c r="F12448" s="95" t="s">
        <v>878</v>
      </c>
      <c r="G12448" s="443">
        <v>119246554</v>
      </c>
      <c r="H12448" s="595">
        <v>119246554</v>
      </c>
      <c r="I12448" s="278" t="s">
        <v>691</v>
      </c>
      <c r="J12448" s="530" t="s">
        <v>912</v>
      </c>
      <c r="N12448" s="598">
        <v>835070</v>
      </c>
      <c r="R12448" s="420">
        <v>885.50800000000004</v>
      </c>
      <c r="S12448" s="420">
        <v>885.89616545918295</v>
      </c>
      <c r="T12448" s="420">
        <v>15.9999</v>
      </c>
      <c r="U12448" s="278">
        <v>1109.19</v>
      </c>
      <c r="V12448" s="278">
        <v>554.6</v>
      </c>
      <c r="Z12448" s="420" t="s">
        <v>2953</v>
      </c>
    </row>
    <row r="12449" spans="1:26">
      <c r="A12449" s="499">
        <v>45923</v>
      </c>
      <c r="B12449" s="499">
        <v>45924</v>
      </c>
      <c r="C12449" s="420" t="s">
        <v>173</v>
      </c>
      <c r="D12449" s="420" t="s">
        <v>760</v>
      </c>
      <c r="E12449" s="501">
        <v>165188625.62</v>
      </c>
      <c r="F12449" s="95" t="s">
        <v>878</v>
      </c>
      <c r="G12449" s="443">
        <v>119256076</v>
      </c>
      <c r="H12449" s="595">
        <v>119256076</v>
      </c>
      <c r="I12449" s="278" t="s">
        <v>705</v>
      </c>
      <c r="J12449" s="530" t="s">
        <v>912</v>
      </c>
      <c r="N12449" s="598">
        <v>217470</v>
      </c>
      <c r="R12449" s="420">
        <v>759.26300000000003</v>
      </c>
      <c r="S12449" s="420">
        <v>759.59270529268395</v>
      </c>
      <c r="T12449" s="420">
        <v>15.8499</v>
      </c>
      <c r="U12449" s="278">
        <v>247.68</v>
      </c>
      <c r="V12449" s="278">
        <v>123.84</v>
      </c>
      <c r="Z12449" s="420" t="s">
        <v>2953</v>
      </c>
    </row>
    <row r="12450" spans="1:26">
      <c r="A12450" s="499">
        <v>45923</v>
      </c>
      <c r="B12450" s="499">
        <v>45924</v>
      </c>
      <c r="C12450" s="420" t="s">
        <v>173</v>
      </c>
      <c r="D12450" s="420" t="s">
        <v>760</v>
      </c>
      <c r="E12450" s="501">
        <v>1009565341.24</v>
      </c>
      <c r="F12450" s="95" t="s">
        <v>878</v>
      </c>
      <c r="G12450" s="443">
        <v>119256613</v>
      </c>
      <c r="H12450" s="595">
        <v>119256613</v>
      </c>
      <c r="I12450" s="278" t="s">
        <v>716</v>
      </c>
      <c r="J12450" s="530" t="s">
        <v>912</v>
      </c>
      <c r="N12450" s="598">
        <v>1557896</v>
      </c>
      <c r="R12450" s="420">
        <v>647.75</v>
      </c>
      <c r="S12450" s="420">
        <v>648.03128144625805</v>
      </c>
      <c r="T12450" s="420">
        <v>15.8499</v>
      </c>
      <c r="U12450" s="278">
        <v>1513.69</v>
      </c>
      <c r="V12450" s="278">
        <v>756.85</v>
      </c>
      <c r="Z12450" s="420" t="s">
        <v>2953</v>
      </c>
    </row>
    <row r="12451" spans="1:26">
      <c r="A12451" s="499">
        <v>45923</v>
      </c>
      <c r="B12451" s="499">
        <v>45924</v>
      </c>
      <c r="C12451" s="420" t="s">
        <v>173</v>
      </c>
      <c r="D12451" s="420" t="s">
        <v>760</v>
      </c>
      <c r="E12451" s="501">
        <v>7003300.3399999999</v>
      </c>
      <c r="F12451" s="95" t="s">
        <v>878</v>
      </c>
      <c r="G12451" s="443">
        <v>119256805</v>
      </c>
      <c r="H12451" s="595">
        <v>119256805</v>
      </c>
      <c r="I12451" s="278" t="s">
        <v>1018</v>
      </c>
      <c r="J12451" s="530" t="s">
        <v>912</v>
      </c>
      <c r="N12451" s="598">
        <v>70910</v>
      </c>
      <c r="R12451" s="420">
        <v>98.720600000000005</v>
      </c>
      <c r="S12451" s="420">
        <v>98.763225779156699</v>
      </c>
      <c r="T12451" s="420">
        <v>15.76</v>
      </c>
      <c r="U12451" s="278">
        <v>39.32</v>
      </c>
      <c r="V12451" s="278">
        <v>5.25</v>
      </c>
      <c r="Z12451" s="420" t="s">
        <v>2953</v>
      </c>
    </row>
    <row r="12452" spans="1:26">
      <c r="A12452" s="499">
        <v>45923</v>
      </c>
      <c r="B12452" s="499">
        <v>45923</v>
      </c>
      <c r="C12452" s="420" t="s">
        <v>173</v>
      </c>
      <c r="D12452" s="500" t="s">
        <v>763</v>
      </c>
      <c r="E12452" s="501">
        <v>-2087672179.3199999</v>
      </c>
      <c r="F12452" s="95" t="s">
        <v>878</v>
      </c>
      <c r="G12452" s="443">
        <v>119245223</v>
      </c>
      <c r="H12452" s="595"/>
      <c r="I12452" s="278" t="s">
        <v>699</v>
      </c>
      <c r="J12452" s="530" t="s">
        <v>906</v>
      </c>
      <c r="N12452" s="598">
        <v>2277912</v>
      </c>
      <c r="R12452" s="420">
        <v>916.48500000000001</v>
      </c>
      <c r="S12452" s="420">
        <v>916.88046955281902</v>
      </c>
      <c r="T12452" s="420">
        <v>15.75</v>
      </c>
      <c r="U12452" s="278">
        <v>3131.51</v>
      </c>
      <c r="V12452" s="278">
        <v>1565.75</v>
      </c>
      <c r="Z12452" s="420" t="s">
        <v>2953</v>
      </c>
    </row>
    <row r="12453" spans="1:26">
      <c r="A12453" s="499">
        <v>45923</v>
      </c>
      <c r="B12453" s="499">
        <v>45923</v>
      </c>
      <c r="C12453" s="420" t="s">
        <v>173</v>
      </c>
      <c r="D12453" s="500" t="s">
        <v>763</v>
      </c>
      <c r="E12453" s="501">
        <v>-11008817.82</v>
      </c>
      <c r="F12453" s="95" t="s">
        <v>878</v>
      </c>
      <c r="G12453" s="443">
        <v>119245450</v>
      </c>
      <c r="H12453" s="595"/>
      <c r="I12453" s="278" t="s">
        <v>699</v>
      </c>
      <c r="J12453" s="530" t="s">
        <v>906</v>
      </c>
      <c r="N12453" s="598">
        <v>12012</v>
      </c>
      <c r="R12453" s="420">
        <v>916.48500000000001</v>
      </c>
      <c r="S12453" s="420">
        <v>916.88046953047001</v>
      </c>
      <c r="T12453" s="420">
        <v>15.75</v>
      </c>
      <c r="U12453" s="278">
        <v>39.32</v>
      </c>
      <c r="V12453" s="278">
        <v>39.32</v>
      </c>
      <c r="Z12453" s="420" t="s">
        <v>2953</v>
      </c>
    </row>
    <row r="12454" spans="1:26">
      <c r="A12454" s="499">
        <v>45923</v>
      </c>
      <c r="B12454" s="499">
        <v>45924</v>
      </c>
      <c r="C12454" s="420" t="s">
        <v>173</v>
      </c>
      <c r="D12454" s="500" t="s">
        <v>763</v>
      </c>
      <c r="E12454" s="501">
        <v>2088573024.1600001</v>
      </c>
      <c r="F12454" s="95" t="s">
        <v>878</v>
      </c>
      <c r="G12454" s="443">
        <v>119245223</v>
      </c>
      <c r="H12454" s="595">
        <v>119245223</v>
      </c>
      <c r="I12454" s="278" t="s">
        <v>699</v>
      </c>
      <c r="J12454" s="530" t="s">
        <v>912</v>
      </c>
      <c r="N12454" s="598">
        <v>2277912</v>
      </c>
      <c r="R12454" s="420">
        <v>916.48500000000001</v>
      </c>
      <c r="S12454" s="420">
        <v>916.88046955281902</v>
      </c>
      <c r="T12454" s="420">
        <v>15.75</v>
      </c>
      <c r="U12454" s="278">
        <v>3131.51</v>
      </c>
      <c r="V12454" s="278">
        <v>1565.75</v>
      </c>
      <c r="Z12454" s="420" t="s">
        <v>2953</v>
      </c>
    </row>
    <row r="12455" spans="1:26">
      <c r="A12455" s="499">
        <v>45923</v>
      </c>
      <c r="B12455" s="499">
        <v>45924</v>
      </c>
      <c r="C12455" s="420" t="s">
        <v>173</v>
      </c>
      <c r="D12455" s="500" t="s">
        <v>763</v>
      </c>
      <c r="E12455" s="501">
        <v>11013568.199999999</v>
      </c>
      <c r="F12455" s="95" t="s">
        <v>878</v>
      </c>
      <c r="G12455" s="443">
        <v>119245450</v>
      </c>
      <c r="H12455" s="595">
        <v>119245450</v>
      </c>
      <c r="I12455" s="278" t="s">
        <v>699</v>
      </c>
      <c r="J12455" s="530" t="s">
        <v>912</v>
      </c>
      <c r="N12455" s="598">
        <v>12012</v>
      </c>
      <c r="R12455" s="420">
        <v>916.48500000000001</v>
      </c>
      <c r="S12455" s="420">
        <v>916.88046953047001</v>
      </c>
      <c r="T12455" s="420">
        <v>15.75</v>
      </c>
      <c r="U12455" s="278">
        <v>39.32</v>
      </c>
      <c r="V12455" s="278">
        <v>39.32</v>
      </c>
      <c r="Z12455" s="420" t="s">
        <v>2953</v>
      </c>
    </row>
    <row r="12456" spans="1:26">
      <c r="A12456" s="499">
        <v>45924</v>
      </c>
      <c r="B12456" s="499">
        <v>45924</v>
      </c>
      <c r="C12456" s="420" t="s">
        <v>173</v>
      </c>
      <c r="D12456" s="500" t="s">
        <v>762</v>
      </c>
      <c r="E12456" s="501">
        <v>-1000000000</v>
      </c>
      <c r="F12456" s="95" t="s">
        <v>906</v>
      </c>
      <c r="G12456" s="443" t="s">
        <v>3062</v>
      </c>
      <c r="H12456" s="594"/>
      <c r="I12456" s="278" t="s">
        <v>3063</v>
      </c>
      <c r="K12456" s="420">
        <v>119287454</v>
      </c>
      <c r="L12456" s="548">
        <v>100</v>
      </c>
      <c r="M12456" s="549">
        <f>E12456*(-1)/(N12456*O12456)*100</f>
        <v>100</v>
      </c>
      <c r="N12456" s="598">
        <v>1000000</v>
      </c>
      <c r="O12456" s="539">
        <v>1000</v>
      </c>
      <c r="R12456" s="420"/>
      <c r="S12456" s="420"/>
      <c r="T12456" s="420"/>
      <c r="U12456" s="278"/>
      <c r="V12456" s="278"/>
      <c r="Z12456" s="420"/>
    </row>
    <row r="12457" spans="1:26">
      <c r="A12457" s="499">
        <v>45924</v>
      </c>
      <c r="B12457" s="499">
        <v>45924</v>
      </c>
      <c r="C12457" s="420" t="s">
        <v>173</v>
      </c>
      <c r="D12457" s="500" t="s">
        <v>762</v>
      </c>
      <c r="E12457" s="501">
        <v>-3758194503.5599999</v>
      </c>
      <c r="F12457" s="95" t="s">
        <v>878</v>
      </c>
      <c r="G12457" s="595">
        <v>119273399</v>
      </c>
      <c r="H12457" s="595"/>
      <c r="I12457" s="278" t="s">
        <v>1018</v>
      </c>
      <c r="J12457" s="530" t="s">
        <v>906</v>
      </c>
      <c r="N12457" s="598">
        <v>38045992</v>
      </c>
      <c r="R12457" s="420">
        <v>98.780299999999997</v>
      </c>
      <c r="S12457" s="420">
        <v>98.823600953551207</v>
      </c>
      <c r="T12457" s="420">
        <v>16</v>
      </c>
      <c r="U12457" s="278">
        <v>5637.29</v>
      </c>
      <c r="V12457" s="278">
        <v>2818.65</v>
      </c>
      <c r="Z12457" s="420" t="s">
        <v>2953</v>
      </c>
    </row>
    <row r="12458" spans="1:26">
      <c r="A12458" s="499">
        <v>45924</v>
      </c>
      <c r="B12458" s="499">
        <v>45924</v>
      </c>
      <c r="C12458" s="420" t="s">
        <v>173</v>
      </c>
      <c r="D12458" s="500" t="s">
        <v>762</v>
      </c>
      <c r="E12458" s="501">
        <v>-326067609.13999999</v>
      </c>
      <c r="F12458" s="95" t="s">
        <v>878</v>
      </c>
      <c r="G12458" s="595">
        <v>119273402</v>
      </c>
      <c r="H12458" s="595"/>
      <c r="I12458" s="278" t="s">
        <v>678</v>
      </c>
      <c r="J12458" s="530" t="s">
        <v>906</v>
      </c>
      <c r="N12458" s="598">
        <v>344582</v>
      </c>
      <c r="R12458" s="420">
        <v>946.27</v>
      </c>
      <c r="S12458" s="420">
        <v>946.68014194009004</v>
      </c>
      <c r="T12458" s="420">
        <v>15.8202</v>
      </c>
      <c r="U12458" s="278">
        <v>489.1</v>
      </c>
      <c r="V12458" s="278">
        <v>244.55</v>
      </c>
      <c r="Z12458" s="420" t="s">
        <v>2953</v>
      </c>
    </row>
    <row r="12459" spans="1:26">
      <c r="A12459" s="499">
        <v>45924</v>
      </c>
      <c r="B12459" s="499">
        <v>45925</v>
      </c>
      <c r="C12459" s="420" t="s">
        <v>173</v>
      </c>
      <c r="D12459" s="500" t="s">
        <v>762</v>
      </c>
      <c r="E12459" s="501">
        <v>3759841931.29</v>
      </c>
      <c r="F12459" s="95" t="s">
        <v>878</v>
      </c>
      <c r="G12459" s="595">
        <v>119273399</v>
      </c>
      <c r="H12459" s="595">
        <v>119273399</v>
      </c>
      <c r="I12459" s="278" t="s">
        <v>1018</v>
      </c>
      <c r="J12459" s="530" t="s">
        <v>912</v>
      </c>
      <c r="N12459" s="598">
        <v>38045992</v>
      </c>
      <c r="R12459" s="420">
        <v>98.780299999999997</v>
      </c>
      <c r="S12459" s="420">
        <v>98.823600953551207</v>
      </c>
      <c r="T12459" s="420">
        <v>16</v>
      </c>
      <c r="U12459" s="278">
        <v>5637.29</v>
      </c>
      <c r="V12459" s="278">
        <v>2818.65</v>
      </c>
      <c r="Z12459" s="420" t="s">
        <v>2953</v>
      </c>
    </row>
    <row r="12460" spans="1:26">
      <c r="A12460" s="499">
        <v>45924</v>
      </c>
      <c r="B12460" s="499">
        <v>45925</v>
      </c>
      <c r="C12460" s="420" t="s">
        <v>173</v>
      </c>
      <c r="D12460" s="500" t="s">
        <v>762</v>
      </c>
      <c r="E12460" s="501">
        <v>326208936.67000002</v>
      </c>
      <c r="F12460" s="95" t="s">
        <v>878</v>
      </c>
      <c r="G12460" s="595">
        <v>119273402</v>
      </c>
      <c r="H12460" s="595">
        <v>119273402</v>
      </c>
      <c r="I12460" s="278" t="s">
        <v>678</v>
      </c>
      <c r="J12460" s="530" t="s">
        <v>912</v>
      </c>
      <c r="N12460" s="598">
        <v>344582</v>
      </c>
      <c r="R12460" s="420">
        <v>946.27</v>
      </c>
      <c r="S12460" s="420">
        <v>946.68014194009004</v>
      </c>
      <c r="T12460" s="420">
        <v>15.8202</v>
      </c>
      <c r="U12460" s="278">
        <v>489.1</v>
      </c>
      <c r="V12460" s="278">
        <v>244.55</v>
      </c>
      <c r="Z12460" s="420" t="s">
        <v>2953</v>
      </c>
    </row>
    <row r="12461" spans="1:26">
      <c r="A12461" s="499">
        <v>45924</v>
      </c>
      <c r="B12461" s="499">
        <v>45924</v>
      </c>
      <c r="C12461" s="420" t="s">
        <v>173</v>
      </c>
      <c r="D12461" s="500" t="s">
        <v>761</v>
      </c>
      <c r="E12461" s="501">
        <v>-1407685254.02</v>
      </c>
      <c r="F12461" s="95" t="s">
        <v>878</v>
      </c>
      <c r="G12461" s="595">
        <v>119269010</v>
      </c>
      <c r="H12461" s="595"/>
      <c r="I12461" s="278" t="s">
        <v>716</v>
      </c>
      <c r="J12461" s="530" t="s">
        <v>906</v>
      </c>
      <c r="N12461" s="598">
        <v>2149896</v>
      </c>
      <c r="R12461" s="420">
        <v>654.76899999813941</v>
      </c>
      <c r="S12461" s="420">
        <v>655.05315180362197</v>
      </c>
      <c r="T12461" s="420">
        <v>15.84</v>
      </c>
      <c r="U12461" s="278">
        <v>2111.5300000000002</v>
      </c>
      <c r="V12461" s="278">
        <v>1055.76</v>
      </c>
      <c r="Z12461" s="420" t="s">
        <v>2953</v>
      </c>
    </row>
    <row r="12462" spans="1:26">
      <c r="A12462" s="499">
        <v>45924</v>
      </c>
      <c r="B12462" s="499">
        <v>45924</v>
      </c>
      <c r="C12462" s="420" t="s">
        <v>173</v>
      </c>
      <c r="D12462" s="500" t="s">
        <v>761</v>
      </c>
      <c r="E12462" s="501">
        <v>-8003552.7000000002</v>
      </c>
      <c r="F12462" s="95" t="s">
        <v>878</v>
      </c>
      <c r="G12462" s="595">
        <v>119269281</v>
      </c>
      <c r="I12462" s="278" t="s">
        <v>675</v>
      </c>
      <c r="J12462" s="530" t="s">
        <v>906</v>
      </c>
      <c r="N12462" s="598">
        <v>8512</v>
      </c>
      <c r="R12462" s="420">
        <v>940.26699953007517</v>
      </c>
      <c r="S12462" s="420">
        <v>940.67479205827101</v>
      </c>
      <c r="T12462" s="420">
        <v>15.83</v>
      </c>
      <c r="U12462" s="278">
        <v>39.32</v>
      </c>
      <c r="V12462" s="278">
        <v>6</v>
      </c>
      <c r="Z12462" s="420" t="s">
        <v>2953</v>
      </c>
    </row>
    <row r="12463" spans="1:26">
      <c r="A12463" s="499">
        <v>45924</v>
      </c>
      <c r="B12463" s="499">
        <v>45925</v>
      </c>
      <c r="C12463" s="420" t="s">
        <v>173</v>
      </c>
      <c r="D12463" s="500" t="s">
        <v>761</v>
      </c>
      <c r="E12463" s="501">
        <v>1408296150.8499999</v>
      </c>
      <c r="F12463" s="95" t="s">
        <v>878</v>
      </c>
      <c r="G12463" s="595">
        <v>119269010</v>
      </c>
      <c r="H12463" s="595">
        <v>119269010</v>
      </c>
      <c r="I12463" s="278" t="s">
        <v>716</v>
      </c>
      <c r="J12463" s="530" t="s">
        <v>912</v>
      </c>
      <c r="N12463" s="598">
        <v>2149896</v>
      </c>
      <c r="R12463" s="420">
        <v>654.76899999813941</v>
      </c>
      <c r="S12463" s="420">
        <v>655.05315180362197</v>
      </c>
      <c r="T12463" s="420">
        <v>15.84</v>
      </c>
      <c r="U12463" s="278">
        <v>2111.5300000000002</v>
      </c>
      <c r="V12463" s="278">
        <v>1055.76</v>
      </c>
      <c r="Z12463" s="420" t="s">
        <v>2953</v>
      </c>
    </row>
    <row r="12464" spans="1:26">
      <c r="A12464" s="499">
        <v>45924</v>
      </c>
      <c r="B12464" s="499">
        <v>45925</v>
      </c>
      <c r="C12464" s="420" t="s">
        <v>173</v>
      </c>
      <c r="D12464" s="500" t="s">
        <v>761</v>
      </c>
      <c r="E12464" s="501">
        <v>8007023.8300000001</v>
      </c>
      <c r="F12464" s="95" t="s">
        <v>878</v>
      </c>
      <c r="G12464" s="595">
        <v>119269281</v>
      </c>
      <c r="H12464" s="595">
        <v>119269281</v>
      </c>
      <c r="I12464" s="278" t="s">
        <v>675</v>
      </c>
      <c r="J12464" s="530" t="s">
        <v>912</v>
      </c>
      <c r="N12464" s="598">
        <v>8512</v>
      </c>
      <c r="R12464" s="420">
        <v>940.26699953007517</v>
      </c>
      <c r="S12464" s="420">
        <v>940.67479205827101</v>
      </c>
      <c r="T12464" s="420">
        <v>15.83</v>
      </c>
      <c r="U12464" s="278">
        <v>39.32</v>
      </c>
      <c r="V12464" s="278">
        <v>6</v>
      </c>
      <c r="Z12464" s="420" t="s">
        <v>2953</v>
      </c>
    </row>
    <row r="12465" spans="1:26">
      <c r="A12465" s="499">
        <v>45924</v>
      </c>
      <c r="B12465" s="499">
        <v>45924</v>
      </c>
      <c r="C12465" s="420" t="s">
        <v>173</v>
      </c>
      <c r="D12465" s="420" t="s">
        <v>759</v>
      </c>
      <c r="E12465" s="501">
        <v>-1990289460.74</v>
      </c>
      <c r="F12465" s="95" t="s">
        <v>878</v>
      </c>
      <c r="G12465" s="595">
        <v>119270541</v>
      </c>
      <c r="I12465" s="278" t="s">
        <v>699</v>
      </c>
      <c r="J12465" s="530" t="s">
        <v>906</v>
      </c>
      <c r="N12465" s="598">
        <v>119270541</v>
      </c>
      <c r="R12465" s="420">
        <v>912.16799999816681</v>
      </c>
      <c r="S12465" s="420">
        <v>912.56360600898404</v>
      </c>
      <c r="T12465" s="420">
        <v>15.83</v>
      </c>
      <c r="U12465" s="278">
        <v>2985.43</v>
      </c>
      <c r="V12465" s="278">
        <v>1492.72</v>
      </c>
      <c r="Z12465" s="420" t="s">
        <v>2953</v>
      </c>
    </row>
    <row r="12466" spans="1:26">
      <c r="A12466" s="499">
        <v>45924</v>
      </c>
      <c r="B12466" s="499">
        <v>45924</v>
      </c>
      <c r="C12466" s="420" t="s">
        <v>173</v>
      </c>
      <c r="D12466" s="420" t="s">
        <v>759</v>
      </c>
      <c r="E12466" s="501">
        <v>-11005859.76</v>
      </c>
      <c r="F12466" s="95" t="s">
        <v>878</v>
      </c>
      <c r="G12466" s="595">
        <v>119271332</v>
      </c>
      <c r="I12466" s="278" t="s">
        <v>1013</v>
      </c>
      <c r="J12466" s="530" t="s">
        <v>906</v>
      </c>
      <c r="N12466" s="598">
        <v>119271332</v>
      </c>
      <c r="R12466" s="420">
        <v>552.78050025113009</v>
      </c>
      <c r="S12466" s="420">
        <v>553.02009040683095</v>
      </c>
      <c r="T12466" s="420">
        <v>15.8201</v>
      </c>
      <c r="U12466" s="278">
        <v>39.32</v>
      </c>
      <c r="V12466" s="278">
        <v>8.25</v>
      </c>
      <c r="Z12466" s="420" t="s">
        <v>2953</v>
      </c>
    </row>
    <row r="12467" spans="1:26">
      <c r="A12467" s="499">
        <v>45924</v>
      </c>
      <c r="B12467" s="499">
        <v>45925</v>
      </c>
      <c r="C12467" s="420" t="s">
        <v>173</v>
      </c>
      <c r="D12467" s="420" t="s">
        <v>759</v>
      </c>
      <c r="E12467" s="501">
        <v>1991152646.55</v>
      </c>
      <c r="F12467" s="95" t="s">
        <v>878</v>
      </c>
      <c r="G12467" s="595">
        <v>119270541</v>
      </c>
      <c r="H12467" s="595">
        <v>119270541</v>
      </c>
      <c r="I12467" s="278" t="s">
        <v>699</v>
      </c>
      <c r="J12467" s="530" t="s">
        <v>912</v>
      </c>
      <c r="N12467" s="598">
        <v>119270541</v>
      </c>
      <c r="R12467" s="420">
        <v>912.16799999816681</v>
      </c>
      <c r="S12467" s="420">
        <v>912.56360600898404</v>
      </c>
      <c r="T12467" s="420">
        <v>15.83</v>
      </c>
      <c r="U12467" s="278">
        <v>2985.43</v>
      </c>
      <c r="V12467" s="278">
        <v>1492.72</v>
      </c>
      <c r="Z12467" s="420" t="s">
        <v>2953</v>
      </c>
    </row>
    <row r="12468" spans="1:26">
      <c r="A12468" s="499">
        <v>45924</v>
      </c>
      <c r="B12468" s="499">
        <v>45925</v>
      </c>
      <c r="C12468" s="420" t="s">
        <v>173</v>
      </c>
      <c r="D12468" s="420" t="s">
        <v>759</v>
      </c>
      <c r="E12468" s="501">
        <v>11010630</v>
      </c>
      <c r="F12468" s="95" t="s">
        <v>878</v>
      </c>
      <c r="G12468" s="595">
        <v>119271332</v>
      </c>
      <c r="H12468" s="595">
        <v>119271332</v>
      </c>
      <c r="I12468" s="278" t="s">
        <v>1013</v>
      </c>
      <c r="J12468" s="530" t="s">
        <v>912</v>
      </c>
      <c r="N12468" s="598">
        <v>119271332</v>
      </c>
      <c r="R12468" s="420">
        <v>552.78050025113009</v>
      </c>
      <c r="S12468" s="420">
        <v>553.02009040683095</v>
      </c>
      <c r="T12468" s="420">
        <v>15.8201</v>
      </c>
      <c r="U12468" s="278">
        <v>39.32</v>
      </c>
      <c r="V12468" s="278">
        <v>8.25</v>
      </c>
      <c r="Z12468" s="420" t="s">
        <v>2953</v>
      </c>
    </row>
    <row r="12469" spans="1:26">
      <c r="A12469" s="499">
        <v>45924</v>
      </c>
      <c r="B12469" s="499">
        <v>45924</v>
      </c>
      <c r="C12469" s="420" t="s">
        <v>173</v>
      </c>
      <c r="D12469" s="500" t="s">
        <v>763</v>
      </c>
      <c r="E12469" s="501">
        <v>-92019079.879999995</v>
      </c>
      <c r="F12469" s="95" t="s">
        <v>878</v>
      </c>
      <c r="G12469" s="595">
        <v>119269428</v>
      </c>
      <c r="I12469" s="278" t="s">
        <v>678</v>
      </c>
      <c r="J12469" s="530" t="s">
        <v>906</v>
      </c>
      <c r="N12469" s="598">
        <v>97244</v>
      </c>
      <c r="R12469" s="420">
        <v>946.27</v>
      </c>
      <c r="S12469" s="420">
        <v>946.67728497387998</v>
      </c>
      <c r="T12469" s="420">
        <v>15.71</v>
      </c>
      <c r="U12469" s="278">
        <v>138.03</v>
      </c>
      <c r="V12469" s="278">
        <v>69.010000000000005</v>
      </c>
      <c r="Z12469" s="420" t="s">
        <v>2953</v>
      </c>
    </row>
    <row r="12470" spans="1:26">
      <c r="A12470" s="499">
        <v>45924</v>
      </c>
      <c r="B12470" s="499">
        <v>45924</v>
      </c>
      <c r="C12470" s="420" t="s">
        <v>173</v>
      </c>
      <c r="D12470" s="500" t="s">
        <v>763</v>
      </c>
      <c r="E12470" s="501">
        <v>-61021924.859999999</v>
      </c>
      <c r="F12470" s="95" t="s">
        <v>878</v>
      </c>
      <c r="G12470" s="595">
        <v>119269431</v>
      </c>
      <c r="I12470" s="278" t="s">
        <v>689</v>
      </c>
      <c r="J12470" s="530" t="s">
        <v>906</v>
      </c>
      <c r="N12470" s="598">
        <v>78812</v>
      </c>
      <c r="R12470" s="420">
        <v>774.27200000000005</v>
      </c>
      <c r="S12470" s="420">
        <v>774.60525516418795</v>
      </c>
      <c r="T12470" s="420">
        <v>15.71</v>
      </c>
      <c r="U12470" s="278">
        <v>91.53</v>
      </c>
      <c r="V12470" s="278">
        <v>45.77</v>
      </c>
      <c r="Z12470" s="420" t="s">
        <v>2953</v>
      </c>
    </row>
    <row r="12471" spans="1:26">
      <c r="A12471" s="499">
        <v>45924</v>
      </c>
      <c r="B12471" s="499">
        <v>45924</v>
      </c>
      <c r="C12471" s="420" t="s">
        <v>173</v>
      </c>
      <c r="D12471" s="500" t="s">
        <v>763</v>
      </c>
      <c r="E12471" s="501">
        <v>-1934100098.4200001</v>
      </c>
      <c r="F12471" s="95" t="s">
        <v>878</v>
      </c>
      <c r="G12471" s="595">
        <v>119269434</v>
      </c>
      <c r="I12471" s="278" t="s">
        <v>1018</v>
      </c>
      <c r="J12471" s="530" t="s">
        <v>906</v>
      </c>
      <c r="N12471" s="598">
        <v>19579816</v>
      </c>
      <c r="R12471" s="420">
        <v>98.780299999999997</v>
      </c>
      <c r="S12471" s="420">
        <v>98.822790954726003</v>
      </c>
      <c r="T12471" s="420">
        <v>15.700699999999999</v>
      </c>
      <c r="U12471" s="278">
        <v>2901.15</v>
      </c>
      <c r="V12471" s="278">
        <v>1450.58</v>
      </c>
      <c r="Z12471" s="420" t="s">
        <v>2953</v>
      </c>
    </row>
    <row r="12472" spans="1:26">
      <c r="A12472" s="499">
        <v>45924</v>
      </c>
      <c r="B12472" s="499">
        <v>45924</v>
      </c>
      <c r="C12472" s="420" t="s">
        <v>173</v>
      </c>
      <c r="D12472" s="500" t="s">
        <v>763</v>
      </c>
      <c r="E12472" s="501">
        <v>-13000672.84</v>
      </c>
      <c r="F12472" s="95" t="s">
        <v>878</v>
      </c>
      <c r="G12472" s="595">
        <v>119269458</v>
      </c>
      <c r="I12472" s="278" t="s">
        <v>1018</v>
      </c>
      <c r="J12472" s="530" t="s">
        <v>906</v>
      </c>
      <c r="N12472" s="598">
        <v>131612</v>
      </c>
      <c r="R12472" s="420">
        <v>98.780299999999997</v>
      </c>
      <c r="S12472" s="420">
        <v>98.822790930918202</v>
      </c>
      <c r="T12472" s="420">
        <v>15.700699999999999</v>
      </c>
      <c r="U12472" s="278">
        <v>39.32</v>
      </c>
      <c r="V12472" s="278">
        <v>39.32</v>
      </c>
      <c r="Z12472" s="420" t="s">
        <v>2953</v>
      </c>
    </row>
    <row r="12473" spans="1:26">
      <c r="A12473" s="499">
        <v>45924</v>
      </c>
      <c r="B12473" s="499">
        <v>45925</v>
      </c>
      <c r="C12473" s="420" t="s">
        <v>173</v>
      </c>
      <c r="D12473" s="500" t="s">
        <v>763</v>
      </c>
      <c r="E12473" s="501">
        <v>92058685.900000006</v>
      </c>
      <c r="F12473" s="95" t="s">
        <v>878</v>
      </c>
      <c r="G12473" s="595">
        <v>119269428</v>
      </c>
      <c r="H12473" s="595">
        <v>119269428</v>
      </c>
      <c r="I12473" s="278" t="s">
        <v>678</v>
      </c>
      <c r="J12473" s="530" t="s">
        <v>912</v>
      </c>
      <c r="N12473" s="598">
        <v>97244</v>
      </c>
      <c r="R12473" s="420">
        <v>946.27</v>
      </c>
      <c r="S12473" s="420">
        <v>946.67728497387998</v>
      </c>
      <c r="T12473" s="420">
        <v>15.71</v>
      </c>
      <c r="U12473" s="278">
        <v>138.03</v>
      </c>
      <c r="V12473" s="278">
        <v>69.010000000000005</v>
      </c>
      <c r="Z12473" s="420" t="s">
        <v>2953</v>
      </c>
    </row>
    <row r="12474" spans="1:26">
      <c r="A12474" s="499">
        <v>45924</v>
      </c>
      <c r="B12474" s="499">
        <v>45925</v>
      </c>
      <c r="C12474" s="420" t="s">
        <v>173</v>
      </c>
      <c r="D12474" s="500" t="s">
        <v>763</v>
      </c>
      <c r="E12474" s="501">
        <v>61048189.369999997</v>
      </c>
      <c r="F12474" s="95" t="s">
        <v>878</v>
      </c>
      <c r="G12474" s="595">
        <v>119269431</v>
      </c>
      <c r="H12474" s="595">
        <v>119269431</v>
      </c>
      <c r="I12474" s="278" t="s">
        <v>689</v>
      </c>
      <c r="J12474" s="530" t="s">
        <v>912</v>
      </c>
      <c r="N12474" s="598">
        <v>78812</v>
      </c>
      <c r="R12474" s="420">
        <v>774.27200000000005</v>
      </c>
      <c r="S12474" s="420">
        <v>774.60525516418795</v>
      </c>
      <c r="T12474" s="420">
        <v>15.71</v>
      </c>
      <c r="U12474" s="278">
        <v>91.53</v>
      </c>
      <c r="V12474" s="278">
        <v>45.77</v>
      </c>
      <c r="Z12474" s="420" t="s">
        <v>2953</v>
      </c>
    </row>
    <row r="12475" spans="1:26">
      <c r="A12475" s="499">
        <v>45924</v>
      </c>
      <c r="B12475" s="499">
        <v>45925</v>
      </c>
      <c r="C12475" s="420" t="s">
        <v>173</v>
      </c>
      <c r="D12475" s="500" t="s">
        <v>763</v>
      </c>
      <c r="E12475" s="501">
        <v>1934932063.5</v>
      </c>
      <c r="F12475" s="95" t="s">
        <v>878</v>
      </c>
      <c r="G12475" s="595">
        <v>119269434</v>
      </c>
      <c r="H12475" s="595">
        <v>119269434</v>
      </c>
      <c r="I12475" s="278" t="s">
        <v>1018</v>
      </c>
      <c r="J12475" s="530" t="s">
        <v>912</v>
      </c>
      <c r="N12475" s="598">
        <v>19579816</v>
      </c>
      <c r="R12475" s="420">
        <v>98.780299999999997</v>
      </c>
      <c r="S12475" s="420">
        <v>98.822790954726003</v>
      </c>
      <c r="T12475" s="420">
        <v>15.700699999999999</v>
      </c>
      <c r="U12475" s="278">
        <v>2901.15</v>
      </c>
      <c r="V12475" s="278">
        <v>1450.58</v>
      </c>
      <c r="Z12475" s="420" t="s">
        <v>2953</v>
      </c>
    </row>
    <row r="12476" spans="1:26">
      <c r="A12476" s="499">
        <v>45924</v>
      </c>
      <c r="B12476" s="499">
        <v>45925</v>
      </c>
      <c r="C12476" s="420" t="s">
        <v>173</v>
      </c>
      <c r="D12476" s="500" t="s">
        <v>763</v>
      </c>
      <c r="E12476" s="501">
        <v>13006265.16</v>
      </c>
      <c r="F12476" s="95" t="s">
        <v>878</v>
      </c>
      <c r="G12476" s="595">
        <v>119269458</v>
      </c>
      <c r="H12476" s="595">
        <v>119269458</v>
      </c>
      <c r="I12476" s="278" t="s">
        <v>1018</v>
      </c>
      <c r="J12476" s="530" t="s">
        <v>912</v>
      </c>
      <c r="N12476" s="598">
        <v>131612</v>
      </c>
      <c r="R12476" s="420">
        <v>98.780299999999997</v>
      </c>
      <c r="S12476" s="420">
        <v>98.822790930918202</v>
      </c>
      <c r="T12476" s="420">
        <v>15.700699999999999</v>
      </c>
      <c r="U12476" s="278">
        <v>39.32</v>
      </c>
      <c r="V12476" s="278">
        <v>39.32</v>
      </c>
      <c r="Z12476" s="420" t="s">
        <v>2953</v>
      </c>
    </row>
    <row r="12477" spans="1:26">
      <c r="A12477" s="499">
        <v>45924</v>
      </c>
      <c r="B12477" s="499">
        <v>45924</v>
      </c>
      <c r="C12477" s="420" t="s">
        <v>173</v>
      </c>
      <c r="D12477" s="420" t="s">
        <v>760</v>
      </c>
      <c r="E12477" s="501">
        <v>-1300547242.8</v>
      </c>
      <c r="F12477" s="95" t="s">
        <v>878</v>
      </c>
      <c r="G12477" s="595">
        <v>119268408</v>
      </c>
      <c r="I12477" s="278" t="s">
        <v>723</v>
      </c>
      <c r="J12477" s="530" t="s">
        <v>906</v>
      </c>
      <c r="N12477" s="598">
        <v>2160600</v>
      </c>
      <c r="R12477" s="420">
        <v>601.93799999999999</v>
      </c>
      <c r="S12477" s="420">
        <v>602.19938786448199</v>
      </c>
      <c r="T12477" s="420">
        <v>15.8499</v>
      </c>
      <c r="U12477" s="278">
        <v>1950.82</v>
      </c>
      <c r="V12477" s="278">
        <v>975.41</v>
      </c>
      <c r="Z12477" s="420" t="s">
        <v>2953</v>
      </c>
    </row>
    <row r="12478" spans="1:26">
      <c r="A12478" s="499">
        <v>45924</v>
      </c>
      <c r="B12478" s="499">
        <v>45924</v>
      </c>
      <c r="C12478" s="420" t="s">
        <v>173</v>
      </c>
      <c r="D12478" s="420" t="s">
        <v>760</v>
      </c>
      <c r="E12478" s="501">
        <v>-1062565732.71</v>
      </c>
      <c r="F12478" s="95" t="s">
        <v>878</v>
      </c>
      <c r="G12478" s="595">
        <v>119268442</v>
      </c>
      <c r="H12478" s="595"/>
      <c r="I12478" s="278" t="s">
        <v>1013</v>
      </c>
      <c r="J12478" s="530" t="s">
        <v>906</v>
      </c>
      <c r="N12478" s="598">
        <v>1922220</v>
      </c>
      <c r="R12478" s="420">
        <v>552.78049999999996</v>
      </c>
      <c r="S12478" s="420">
        <v>553.02054152490302</v>
      </c>
      <c r="T12478" s="420">
        <v>15.8499</v>
      </c>
      <c r="U12478" s="278">
        <v>1593.85</v>
      </c>
      <c r="V12478" s="278">
        <v>796.92</v>
      </c>
      <c r="Z12478" s="420" t="s">
        <v>2953</v>
      </c>
    </row>
    <row r="12479" spans="1:26">
      <c r="A12479" s="499">
        <v>45924</v>
      </c>
      <c r="B12479" s="499">
        <v>45924</v>
      </c>
      <c r="C12479" s="420" t="s">
        <v>173</v>
      </c>
      <c r="D12479" s="420" t="s">
        <v>760</v>
      </c>
      <c r="E12479" s="501">
        <v>-238207073.33000001</v>
      </c>
      <c r="F12479" s="95" t="s">
        <v>878</v>
      </c>
      <c r="G12479" s="595">
        <v>119268644</v>
      </c>
      <c r="H12479" s="595"/>
      <c r="I12479" s="278" t="s">
        <v>674</v>
      </c>
      <c r="J12479" s="530" t="s">
        <v>906</v>
      </c>
      <c r="N12479" s="598">
        <v>264656</v>
      </c>
      <c r="R12479" s="420">
        <v>900.06299999999999</v>
      </c>
      <c r="S12479" s="420">
        <v>900.45384680490895</v>
      </c>
      <c r="T12479" s="420">
        <v>15.8499</v>
      </c>
      <c r="U12479" s="278">
        <v>357.31</v>
      </c>
      <c r="V12479" s="278">
        <v>178.66</v>
      </c>
      <c r="Z12479" s="420" t="s">
        <v>2953</v>
      </c>
    </row>
    <row r="12480" spans="1:26">
      <c r="A12480" s="499">
        <v>45924</v>
      </c>
      <c r="B12480" s="499">
        <v>45924</v>
      </c>
      <c r="C12480" s="420" t="s">
        <v>173</v>
      </c>
      <c r="D12480" s="420" t="s">
        <v>760</v>
      </c>
      <c r="E12480" s="501">
        <v>-617274002.29999995</v>
      </c>
      <c r="F12480" s="95" t="s">
        <v>878</v>
      </c>
      <c r="G12480" s="595">
        <v>119269293</v>
      </c>
      <c r="H12480" s="595"/>
      <c r="I12480" s="278" t="s">
        <v>675</v>
      </c>
      <c r="J12480" s="530" t="s">
        <v>906</v>
      </c>
      <c r="N12480" s="598">
        <v>656488</v>
      </c>
      <c r="R12480" s="420">
        <v>940.26700000000005</v>
      </c>
      <c r="S12480" s="420">
        <v>940.67530515409305</v>
      </c>
      <c r="T12480" s="420">
        <v>15.8499</v>
      </c>
      <c r="U12480" s="278">
        <v>925.91</v>
      </c>
      <c r="V12480" s="278">
        <v>462.96</v>
      </c>
      <c r="Z12480" s="420" t="s">
        <v>2953</v>
      </c>
    </row>
    <row r="12481" spans="1:26">
      <c r="A12481" s="499">
        <v>45924</v>
      </c>
      <c r="B12481" s="499">
        <v>45925</v>
      </c>
      <c r="C12481" s="420" t="s">
        <v>173</v>
      </c>
      <c r="D12481" s="420" t="s">
        <v>760</v>
      </c>
      <c r="E12481" s="501">
        <v>1301111997.4200001</v>
      </c>
      <c r="F12481" s="95" t="s">
        <v>878</v>
      </c>
      <c r="G12481" s="595">
        <v>119268408</v>
      </c>
      <c r="H12481" s="595">
        <v>119268408</v>
      </c>
      <c r="I12481" s="278" t="s">
        <v>723</v>
      </c>
      <c r="J12481" s="530" t="s">
        <v>912</v>
      </c>
      <c r="N12481" s="598">
        <v>2160600</v>
      </c>
      <c r="R12481" s="420">
        <v>601.93799999999999</v>
      </c>
      <c r="S12481" s="420">
        <v>602.19938786448199</v>
      </c>
      <c r="T12481" s="420">
        <v>15.8499</v>
      </c>
      <c r="U12481" s="278">
        <v>1950.82</v>
      </c>
      <c r="V12481" s="278">
        <v>975.41</v>
      </c>
      <c r="Z12481" s="420" t="s">
        <v>2953</v>
      </c>
    </row>
    <row r="12482" spans="1:26">
      <c r="A12482" s="499">
        <v>45924</v>
      </c>
      <c r="B12482" s="499">
        <v>45925</v>
      </c>
      <c r="C12482" s="420" t="s">
        <v>173</v>
      </c>
      <c r="D12482" s="420" t="s">
        <v>760</v>
      </c>
      <c r="E12482" s="501">
        <v>1063027145.33</v>
      </c>
      <c r="F12482" s="95" t="s">
        <v>878</v>
      </c>
      <c r="G12482" s="595">
        <v>119268442</v>
      </c>
      <c r="H12482" s="595">
        <v>119268442</v>
      </c>
      <c r="I12482" s="278" t="s">
        <v>1013</v>
      </c>
      <c r="J12482" s="530" t="s">
        <v>912</v>
      </c>
      <c r="N12482" s="598">
        <v>1922220</v>
      </c>
      <c r="R12482" s="420">
        <v>552.78049999999996</v>
      </c>
      <c r="S12482" s="420">
        <v>553.02054152490302</v>
      </c>
      <c r="T12482" s="420">
        <v>15.8499</v>
      </c>
      <c r="U12482" s="278">
        <v>1593.85</v>
      </c>
      <c r="V12482" s="278">
        <v>796.92</v>
      </c>
      <c r="Z12482" s="420" t="s">
        <v>2953</v>
      </c>
    </row>
    <row r="12483" spans="1:26">
      <c r="A12483" s="499">
        <v>45924</v>
      </c>
      <c r="B12483" s="499">
        <v>45925</v>
      </c>
      <c r="C12483" s="420" t="s">
        <v>173</v>
      </c>
      <c r="D12483" s="420" t="s">
        <v>760</v>
      </c>
      <c r="E12483" s="501">
        <v>238310513.28</v>
      </c>
      <c r="F12483" s="95" t="s">
        <v>878</v>
      </c>
      <c r="G12483" s="595">
        <v>119268644</v>
      </c>
      <c r="H12483" s="595">
        <v>119268644</v>
      </c>
      <c r="I12483" s="278" t="s">
        <v>674</v>
      </c>
      <c r="J12483" s="530" t="s">
        <v>912</v>
      </c>
      <c r="N12483" s="598">
        <v>264656</v>
      </c>
      <c r="R12483" s="420">
        <v>900.06299999999999</v>
      </c>
      <c r="S12483" s="420">
        <v>900.45384680490895</v>
      </c>
      <c r="T12483" s="420">
        <v>15.8499</v>
      </c>
      <c r="U12483" s="278">
        <v>357.31</v>
      </c>
      <c r="V12483" s="278">
        <v>178.66</v>
      </c>
      <c r="Z12483" s="420" t="s">
        <v>2953</v>
      </c>
    </row>
    <row r="12484" spans="1:26">
      <c r="A12484" s="499">
        <v>45924</v>
      </c>
      <c r="B12484" s="499">
        <v>45925</v>
      </c>
      <c r="C12484" s="420" t="s">
        <v>173</v>
      </c>
      <c r="D12484" s="420" t="s">
        <v>760</v>
      </c>
      <c r="E12484" s="501">
        <v>617542049.73000002</v>
      </c>
      <c r="F12484" s="95" t="s">
        <v>878</v>
      </c>
      <c r="G12484" s="595">
        <v>119269293</v>
      </c>
      <c r="H12484" s="595">
        <v>119269293</v>
      </c>
      <c r="I12484" s="278" t="s">
        <v>675</v>
      </c>
      <c r="J12484" s="530" t="s">
        <v>912</v>
      </c>
      <c r="N12484" s="598">
        <v>656488</v>
      </c>
      <c r="R12484" s="420">
        <v>940.26700000000005</v>
      </c>
      <c r="S12484" s="420">
        <v>940.67530515409305</v>
      </c>
      <c r="T12484" s="420">
        <v>15.8499</v>
      </c>
      <c r="U12484" s="278">
        <v>925.91</v>
      </c>
      <c r="V12484" s="278">
        <v>462.96</v>
      </c>
      <c r="Z12484" s="420" t="s">
        <v>2953</v>
      </c>
    </row>
    <row r="12485" spans="1:26">
      <c r="A12485" s="499">
        <v>45925</v>
      </c>
      <c r="B12485" s="499">
        <v>45925</v>
      </c>
      <c r="C12485" s="420" t="s">
        <v>173</v>
      </c>
      <c r="D12485" s="500" t="s">
        <v>762</v>
      </c>
      <c r="E12485" s="501">
        <v>-2490959912.4299998</v>
      </c>
      <c r="F12485" s="95" t="s">
        <v>878</v>
      </c>
      <c r="G12485" s="595">
        <v>119295422</v>
      </c>
      <c r="H12485" s="595"/>
      <c r="I12485" s="278" t="s">
        <v>674</v>
      </c>
      <c r="J12485" s="530" t="s">
        <v>906</v>
      </c>
      <c r="N12485" s="598">
        <v>2766390</v>
      </c>
      <c r="R12485" s="420">
        <v>900.43700000000001</v>
      </c>
      <c r="S12485" s="420">
        <v>900.83417906007503</v>
      </c>
      <c r="T12485" s="420">
        <v>16.100000000000001</v>
      </c>
      <c r="U12485" s="278">
        <v>3736.44</v>
      </c>
      <c r="V12485" s="278">
        <v>1868.22</v>
      </c>
      <c r="Z12485" s="420" t="s">
        <v>2953</v>
      </c>
    </row>
    <row r="12486" spans="1:26">
      <c r="A12486" s="499">
        <v>45925</v>
      </c>
      <c r="B12486" s="499">
        <v>45925</v>
      </c>
      <c r="C12486" s="420" t="s">
        <v>173</v>
      </c>
      <c r="D12486" s="500" t="s">
        <v>762</v>
      </c>
      <c r="E12486" s="501">
        <v>-1597615654.6800001</v>
      </c>
      <c r="F12486" s="95" t="s">
        <v>878</v>
      </c>
      <c r="G12486" s="595">
        <v>119295425</v>
      </c>
      <c r="H12486" s="595"/>
      <c r="I12486" s="278" t="s">
        <v>674</v>
      </c>
      <c r="J12486" s="530" t="s">
        <v>906</v>
      </c>
      <c r="N12486" s="598">
        <v>1774267</v>
      </c>
      <c r="R12486" s="420">
        <v>900.43700000000001</v>
      </c>
      <c r="S12486" s="420">
        <v>900.83320708213603</v>
      </c>
      <c r="T12486" s="420">
        <v>16.060600000000001</v>
      </c>
      <c r="U12486" s="278">
        <v>2396.42</v>
      </c>
      <c r="V12486" s="278">
        <v>1198.21</v>
      </c>
      <c r="Z12486" s="420" t="s">
        <v>2953</v>
      </c>
    </row>
    <row r="12487" spans="1:26">
      <c r="A12487" s="499">
        <v>45925</v>
      </c>
      <c r="B12487" s="499">
        <v>45925</v>
      </c>
      <c r="C12487" s="420" t="s">
        <v>173</v>
      </c>
      <c r="D12487" s="500" t="s">
        <v>762</v>
      </c>
      <c r="E12487" s="501">
        <v>-23008866.66</v>
      </c>
      <c r="F12487" s="95" t="s">
        <v>878</v>
      </c>
      <c r="G12487" s="595">
        <v>119295456</v>
      </c>
      <c r="H12487" s="595"/>
      <c r="I12487" s="278" t="s">
        <v>674</v>
      </c>
      <c r="J12487" s="530" t="s">
        <v>906</v>
      </c>
      <c r="N12487" s="598">
        <v>25553</v>
      </c>
      <c r="R12487" s="420">
        <v>900.43700000000001</v>
      </c>
      <c r="S12487" s="420">
        <v>900.83320705983601</v>
      </c>
      <c r="T12487" s="420">
        <v>16.060600000000001</v>
      </c>
      <c r="U12487" s="278">
        <v>39.32</v>
      </c>
      <c r="V12487" s="278">
        <v>17.260000000000002</v>
      </c>
      <c r="Z12487" s="420" t="s">
        <v>2953</v>
      </c>
    </row>
    <row r="12488" spans="1:26">
      <c r="A12488" s="499">
        <v>45925</v>
      </c>
      <c r="B12488" s="499">
        <v>45926</v>
      </c>
      <c r="C12488" s="420" t="s">
        <v>173</v>
      </c>
      <c r="D12488" s="500" t="s">
        <v>762</v>
      </c>
      <c r="E12488" s="501">
        <v>2492058664.6100001</v>
      </c>
      <c r="F12488" s="95" t="s">
        <v>878</v>
      </c>
      <c r="G12488" s="595">
        <v>119295422</v>
      </c>
      <c r="H12488" s="595">
        <v>119295422</v>
      </c>
      <c r="I12488" s="278" t="s">
        <v>674</v>
      </c>
      <c r="J12488" s="530" t="s">
        <v>912</v>
      </c>
      <c r="N12488" s="598">
        <v>2766390</v>
      </c>
      <c r="R12488" s="420">
        <v>900.43700000000001</v>
      </c>
      <c r="S12488" s="420">
        <v>900.83417906007503</v>
      </c>
      <c r="T12488" s="420">
        <v>16.100000000000001</v>
      </c>
      <c r="U12488" s="278">
        <v>3736.44</v>
      </c>
      <c r="V12488" s="278">
        <v>1868.22</v>
      </c>
      <c r="Z12488" s="420" t="s">
        <v>2953</v>
      </c>
    </row>
    <row r="12489" spans="1:26">
      <c r="A12489" s="499">
        <v>45925</v>
      </c>
      <c r="B12489" s="499">
        <v>45926</v>
      </c>
      <c r="C12489" s="420" t="s">
        <v>173</v>
      </c>
      <c r="D12489" s="500" t="s">
        <v>762</v>
      </c>
      <c r="E12489" s="501">
        <v>1598318631.8299999</v>
      </c>
      <c r="F12489" s="95" t="s">
        <v>878</v>
      </c>
      <c r="G12489" s="595">
        <v>119295425</v>
      </c>
      <c r="H12489" s="595">
        <v>119295425</v>
      </c>
      <c r="I12489" s="278" t="s">
        <v>674</v>
      </c>
      <c r="J12489" s="530" t="s">
        <v>912</v>
      </c>
      <c r="N12489" s="598">
        <v>1774267</v>
      </c>
      <c r="R12489" s="420">
        <v>900.43700000000001</v>
      </c>
      <c r="S12489" s="420">
        <v>900.83320708213603</v>
      </c>
      <c r="T12489" s="420">
        <v>16.060600000000001</v>
      </c>
      <c r="U12489" s="278">
        <v>2396.42</v>
      </c>
      <c r="V12489" s="278">
        <v>1198.21</v>
      </c>
      <c r="Z12489" s="420" t="s">
        <v>2953</v>
      </c>
    </row>
    <row r="12490" spans="1:26">
      <c r="A12490" s="499">
        <v>45925</v>
      </c>
      <c r="B12490" s="499">
        <v>45926</v>
      </c>
      <c r="C12490" s="420" t="s">
        <v>173</v>
      </c>
      <c r="D12490" s="500" t="s">
        <v>762</v>
      </c>
      <c r="E12490" s="501">
        <v>23018990.940000001</v>
      </c>
      <c r="F12490" s="95" t="s">
        <v>878</v>
      </c>
      <c r="G12490" s="595">
        <v>119295456</v>
      </c>
      <c r="H12490" s="595">
        <v>119295456</v>
      </c>
      <c r="I12490" s="278" t="s">
        <v>674</v>
      </c>
      <c r="J12490" s="530" t="s">
        <v>912</v>
      </c>
      <c r="N12490" s="598">
        <v>25553</v>
      </c>
      <c r="R12490" s="420">
        <v>900.43700000000001</v>
      </c>
      <c r="S12490" s="420">
        <v>900.83320705983601</v>
      </c>
      <c r="T12490" s="420">
        <v>16.060600000000001</v>
      </c>
      <c r="U12490" s="278">
        <v>39.32</v>
      </c>
      <c r="V12490" s="278">
        <v>17.260000000000002</v>
      </c>
      <c r="Z12490" s="420" t="s">
        <v>2953</v>
      </c>
    </row>
    <row r="12491" spans="1:26">
      <c r="A12491" s="499">
        <v>45925</v>
      </c>
      <c r="B12491" s="499">
        <v>45925</v>
      </c>
      <c r="C12491" s="500" t="s">
        <v>173</v>
      </c>
      <c r="D12491" s="500" t="s">
        <v>759</v>
      </c>
      <c r="E12491" s="501">
        <v>-29006916.210000001</v>
      </c>
      <c r="F12491" s="502" t="s">
        <v>878</v>
      </c>
      <c r="G12491" s="594">
        <v>119293192</v>
      </c>
      <c r="H12491" s="594"/>
      <c r="I12491" s="501" t="s">
        <v>2944</v>
      </c>
      <c r="J12491" s="530" t="s">
        <v>906</v>
      </c>
      <c r="N12491" s="600">
        <v>30015</v>
      </c>
      <c r="R12491" s="500">
        <v>966.41399999999999</v>
      </c>
      <c r="S12491" s="500">
        <v>966.84557654506102</v>
      </c>
      <c r="T12491" s="500">
        <v>16.3</v>
      </c>
      <c r="U12491" s="501">
        <v>43.51</v>
      </c>
      <c r="V12491" s="501">
        <v>21.76</v>
      </c>
      <c r="Z12491" s="500" t="s">
        <v>2953</v>
      </c>
    </row>
    <row r="12492" spans="1:26">
      <c r="A12492" s="499">
        <v>45925</v>
      </c>
      <c r="B12492" s="499">
        <v>45925</v>
      </c>
      <c r="C12492" s="420" t="s">
        <v>173</v>
      </c>
      <c r="D12492" s="420" t="s">
        <v>759</v>
      </c>
      <c r="E12492" s="501">
        <v>-650435584.5</v>
      </c>
      <c r="F12492" s="95" t="s">
        <v>878</v>
      </c>
      <c r="G12492" s="595">
        <v>119293408</v>
      </c>
      <c r="H12492" s="595"/>
      <c r="I12492" s="278" t="s">
        <v>672</v>
      </c>
      <c r="J12492" s="530" t="s">
        <v>906</v>
      </c>
      <c r="N12492" s="601">
        <v>711750</v>
      </c>
      <c r="R12492" s="420">
        <v>913.85400000000004</v>
      </c>
      <c r="S12492" s="420">
        <v>914.262104657534</v>
      </c>
      <c r="T12492" s="420">
        <v>16.3</v>
      </c>
      <c r="U12492" s="278">
        <v>975.65</v>
      </c>
      <c r="V12492" s="278">
        <v>487.83</v>
      </c>
      <c r="Z12492" s="420" t="s">
        <v>2953</v>
      </c>
    </row>
    <row r="12493" spans="1:26">
      <c r="A12493" s="499">
        <v>45925</v>
      </c>
      <c r="B12493" s="499">
        <v>45925</v>
      </c>
      <c r="C12493" s="420" t="s">
        <v>173</v>
      </c>
      <c r="D12493" s="420" t="s">
        <v>759</v>
      </c>
      <c r="E12493" s="501">
        <v>-1311327949.27</v>
      </c>
      <c r="F12493" s="95" t="s">
        <v>878</v>
      </c>
      <c r="G12493" s="595">
        <v>119293983</v>
      </c>
      <c r="I12493" s="278" t="s">
        <v>699</v>
      </c>
      <c r="J12493" s="530" t="s">
        <v>906</v>
      </c>
      <c r="N12493" s="601">
        <v>1436856</v>
      </c>
      <c r="R12493" s="420">
        <v>912.63699999860808</v>
      </c>
      <c r="S12493" s="420">
        <v>913.04456118079997</v>
      </c>
      <c r="T12493" s="420">
        <v>16.3</v>
      </c>
      <c r="U12493" s="278">
        <v>1966.99</v>
      </c>
      <c r="V12493" s="278">
        <v>983.5</v>
      </c>
      <c r="Z12493" s="420" t="s">
        <v>2953</v>
      </c>
    </row>
    <row r="12494" spans="1:26">
      <c r="A12494" s="499">
        <v>45925</v>
      </c>
      <c r="B12494" s="499">
        <v>45925</v>
      </c>
      <c r="C12494" s="420" t="s">
        <v>173</v>
      </c>
      <c r="D12494" s="420" t="s">
        <v>759</v>
      </c>
      <c r="E12494" s="501">
        <v>-11000375.619999999</v>
      </c>
      <c r="F12494" s="95" t="s">
        <v>878</v>
      </c>
      <c r="G12494" s="595">
        <v>119296224</v>
      </c>
      <c r="I12494" s="278" t="s">
        <v>1090</v>
      </c>
      <c r="J12494" s="530" t="s">
        <v>906</v>
      </c>
      <c r="N12494" s="601">
        <v>116512</v>
      </c>
      <c r="R12494" s="420">
        <v>94.414100006866235</v>
      </c>
      <c r="S12494" s="420">
        <v>94.456004360065904</v>
      </c>
      <c r="T12494" s="420">
        <v>16.2</v>
      </c>
      <c r="U12494" s="278">
        <v>39.32</v>
      </c>
      <c r="V12494" s="278">
        <v>8.25</v>
      </c>
      <c r="Z12494" s="420" t="s">
        <v>2953</v>
      </c>
    </row>
    <row r="12495" spans="1:26">
      <c r="A12495" s="499">
        <v>45925</v>
      </c>
      <c r="B12495" s="499">
        <v>45926</v>
      </c>
      <c r="C12495" s="420" t="s">
        <v>173</v>
      </c>
      <c r="D12495" s="420" t="s">
        <v>759</v>
      </c>
      <c r="E12495" s="501">
        <v>29019869.98</v>
      </c>
      <c r="F12495" s="95" t="s">
        <v>878</v>
      </c>
      <c r="G12495" s="595">
        <v>119293192</v>
      </c>
      <c r="H12495" s="595">
        <v>119293192</v>
      </c>
      <c r="I12495" s="278" t="s">
        <v>2944</v>
      </c>
      <c r="J12495" s="530" t="s">
        <v>912</v>
      </c>
      <c r="N12495" s="601">
        <v>30015</v>
      </c>
      <c r="R12495" s="420">
        <v>966.41399999999999</v>
      </c>
      <c r="S12495" s="420">
        <v>966.84557654506102</v>
      </c>
      <c r="T12495" s="420">
        <v>16.3</v>
      </c>
      <c r="U12495" s="278">
        <v>43.51</v>
      </c>
      <c r="V12495" s="278">
        <v>21.76</v>
      </c>
      <c r="Z12495" s="420" t="s">
        <v>2953</v>
      </c>
    </row>
    <row r="12496" spans="1:26">
      <c r="A12496" s="499">
        <v>45925</v>
      </c>
      <c r="B12496" s="499">
        <v>45926</v>
      </c>
      <c r="C12496" s="420" t="s">
        <v>173</v>
      </c>
      <c r="D12496" s="420" t="s">
        <v>759</v>
      </c>
      <c r="E12496" s="501">
        <v>650726052.99000001</v>
      </c>
      <c r="F12496" s="95" t="s">
        <v>878</v>
      </c>
      <c r="G12496" s="595">
        <v>119293408</v>
      </c>
      <c r="H12496" s="595">
        <v>119293408</v>
      </c>
      <c r="I12496" s="278" t="s">
        <v>672</v>
      </c>
      <c r="J12496" s="530" t="s">
        <v>912</v>
      </c>
      <c r="N12496" s="601">
        <v>711750</v>
      </c>
      <c r="R12496" s="420">
        <v>913.85400000000004</v>
      </c>
      <c r="S12496" s="420">
        <v>914.262104657534</v>
      </c>
      <c r="T12496" s="420">
        <v>16.3</v>
      </c>
      <c r="U12496" s="278">
        <v>975.65</v>
      </c>
      <c r="V12496" s="278">
        <v>487.83</v>
      </c>
      <c r="Z12496" s="420" t="s">
        <v>2953</v>
      </c>
    </row>
    <row r="12497" spans="1:26">
      <c r="A12497" s="499">
        <v>45925</v>
      </c>
      <c r="B12497" s="499">
        <v>45926</v>
      </c>
      <c r="C12497" s="420" t="s">
        <v>173</v>
      </c>
      <c r="D12497" s="420" t="s">
        <v>759</v>
      </c>
      <c r="E12497" s="501">
        <v>1311913556</v>
      </c>
      <c r="F12497" s="95" t="s">
        <v>878</v>
      </c>
      <c r="G12497" s="595">
        <v>119293983</v>
      </c>
      <c r="H12497" s="595">
        <v>119293983</v>
      </c>
      <c r="I12497" s="278" t="s">
        <v>699</v>
      </c>
      <c r="J12497" s="530" t="s">
        <v>912</v>
      </c>
      <c r="N12497" s="601">
        <v>1436856</v>
      </c>
      <c r="R12497" s="420">
        <v>912.63699999860808</v>
      </c>
      <c r="S12497" s="420">
        <v>913.04456118079997</v>
      </c>
      <c r="T12497" s="420">
        <v>16.3</v>
      </c>
      <c r="U12497" s="278">
        <v>1966.99</v>
      </c>
      <c r="V12497" s="278">
        <v>983.5</v>
      </c>
      <c r="Z12497" s="420" t="s">
        <v>2953</v>
      </c>
    </row>
    <row r="12498" spans="1:26">
      <c r="A12498" s="499">
        <v>45925</v>
      </c>
      <c r="B12498" s="499">
        <v>45926</v>
      </c>
      <c r="C12498" s="420" t="s">
        <v>173</v>
      </c>
      <c r="D12498" s="420" t="s">
        <v>759</v>
      </c>
      <c r="E12498" s="501">
        <v>11005257.98</v>
      </c>
      <c r="F12498" s="95" t="s">
        <v>878</v>
      </c>
      <c r="G12498" s="595">
        <v>119296224</v>
      </c>
      <c r="H12498" s="595">
        <v>119296224</v>
      </c>
      <c r="I12498" s="278" t="s">
        <v>1090</v>
      </c>
      <c r="J12498" s="530" t="s">
        <v>912</v>
      </c>
      <c r="N12498" s="601">
        <v>116512</v>
      </c>
      <c r="R12498" s="420">
        <v>94.414100006866235</v>
      </c>
      <c r="S12498" s="420">
        <v>94.456004360065904</v>
      </c>
      <c r="T12498" s="420">
        <v>16.2</v>
      </c>
      <c r="U12498" s="278">
        <v>39.32</v>
      </c>
      <c r="V12498" s="278">
        <v>8.25</v>
      </c>
      <c r="Z12498" s="420" t="s">
        <v>2953</v>
      </c>
    </row>
    <row r="12499" spans="1:26">
      <c r="A12499" s="499">
        <v>45925</v>
      </c>
      <c r="B12499" s="499">
        <v>45925</v>
      </c>
      <c r="C12499" s="420" t="s">
        <v>173</v>
      </c>
      <c r="D12499" s="420" t="s">
        <v>760</v>
      </c>
      <c r="E12499" s="501">
        <v>-60014309.399999999</v>
      </c>
      <c r="F12499" s="95" t="s">
        <v>878</v>
      </c>
      <c r="G12499" s="595">
        <v>119290084</v>
      </c>
      <c r="I12499" s="278" t="s">
        <v>2944</v>
      </c>
      <c r="J12499" s="530" t="s">
        <v>906</v>
      </c>
      <c r="N12499" s="420">
        <v>62100</v>
      </c>
      <c r="R12499" s="420">
        <v>966.41399999999999</v>
      </c>
      <c r="S12499" s="420">
        <v>966.84028132045103</v>
      </c>
      <c r="T12499" s="420">
        <v>16.100000000000001</v>
      </c>
      <c r="U12499" s="278">
        <v>90.02</v>
      </c>
      <c r="V12499" s="278">
        <v>45.01</v>
      </c>
      <c r="Z12499" s="420" t="s">
        <v>2953</v>
      </c>
    </row>
    <row r="12500" spans="1:26">
      <c r="A12500" s="499">
        <v>45925</v>
      </c>
      <c r="B12500" s="499">
        <v>45925</v>
      </c>
      <c r="C12500" s="420" t="s">
        <v>173</v>
      </c>
      <c r="D12500" s="420" t="s">
        <v>760</v>
      </c>
      <c r="E12500" s="501">
        <v>-1240034769.5999999</v>
      </c>
      <c r="F12500" s="95" t="s">
        <v>878</v>
      </c>
      <c r="G12500" s="595">
        <v>119290087</v>
      </c>
      <c r="I12500" s="278" t="s">
        <v>1018</v>
      </c>
      <c r="J12500" s="530" t="s">
        <v>906</v>
      </c>
      <c r="N12500" s="420">
        <v>12548800</v>
      </c>
      <c r="R12500" s="420">
        <v>98.816999999999993</v>
      </c>
      <c r="S12500" s="420">
        <v>98.8600468506949</v>
      </c>
      <c r="T12500" s="420">
        <v>15.9002</v>
      </c>
      <c r="U12500" s="278">
        <v>1860.05</v>
      </c>
      <c r="V12500" s="278">
        <v>930.03</v>
      </c>
      <c r="Z12500" s="420" t="s">
        <v>2953</v>
      </c>
    </row>
    <row r="12501" spans="1:26">
      <c r="A12501" s="499">
        <v>45925</v>
      </c>
      <c r="B12501" s="499">
        <v>45925</v>
      </c>
      <c r="C12501" s="420" t="s">
        <v>173</v>
      </c>
      <c r="D12501" s="420" t="s">
        <v>760</v>
      </c>
      <c r="E12501" s="501">
        <v>-1000202.3</v>
      </c>
      <c r="F12501" s="95" t="s">
        <v>878</v>
      </c>
      <c r="G12501" s="595">
        <v>119290175</v>
      </c>
      <c r="I12501" s="278" t="s">
        <v>713</v>
      </c>
      <c r="J12501" s="530" t="s">
        <v>906</v>
      </c>
      <c r="N12501" s="420">
        <v>1282</v>
      </c>
      <c r="R12501" s="420">
        <v>780.18899999999996</v>
      </c>
      <c r="S12501" s="420">
        <v>780.53528081123204</v>
      </c>
      <c r="T12501" s="420">
        <v>16.2</v>
      </c>
      <c r="U12501" s="278">
        <v>39.32</v>
      </c>
      <c r="V12501" s="278">
        <v>0.75</v>
      </c>
      <c r="Z12501" s="420" t="s">
        <v>2953</v>
      </c>
    </row>
    <row r="12502" spans="1:26">
      <c r="A12502" s="499">
        <v>45925</v>
      </c>
      <c r="B12502" s="499">
        <v>45925</v>
      </c>
      <c r="C12502" s="420" t="s">
        <v>173</v>
      </c>
      <c r="D12502" s="420" t="s">
        <v>760</v>
      </c>
      <c r="E12502" s="501">
        <v>-1000231.56</v>
      </c>
      <c r="F12502" s="95" t="s">
        <v>878</v>
      </c>
      <c r="G12502" s="595">
        <v>119290178</v>
      </c>
      <c r="I12502" s="278" t="s">
        <v>715</v>
      </c>
      <c r="J12502" s="530" t="s">
        <v>906</v>
      </c>
      <c r="N12502" s="420">
        <v>1637</v>
      </c>
      <c r="R12502" s="420">
        <v>611.01499999999999</v>
      </c>
      <c r="S12502" s="420">
        <v>611.28619425778902</v>
      </c>
      <c r="T12502" s="420">
        <v>16.2</v>
      </c>
      <c r="U12502" s="278">
        <v>39.32</v>
      </c>
      <c r="V12502" s="278">
        <v>0.75</v>
      </c>
      <c r="Z12502" s="420" t="s">
        <v>2953</v>
      </c>
    </row>
    <row r="12503" spans="1:26">
      <c r="A12503" s="499">
        <v>45925</v>
      </c>
      <c r="B12503" s="499">
        <v>45925</v>
      </c>
      <c r="C12503" s="420" t="s">
        <v>173</v>
      </c>
      <c r="D12503" s="420" t="s">
        <v>760</v>
      </c>
      <c r="E12503" s="501">
        <v>-1000758.04</v>
      </c>
      <c r="F12503" s="95" t="s">
        <v>878</v>
      </c>
      <c r="G12503" s="595">
        <v>119290181</v>
      </c>
      <c r="I12503" s="278" t="s">
        <v>592</v>
      </c>
      <c r="J12503" s="530" t="s">
        <v>906</v>
      </c>
      <c r="N12503" s="420">
        <v>1257</v>
      </c>
      <c r="R12503" s="420">
        <v>796.14800000000002</v>
      </c>
      <c r="S12503" s="420">
        <v>796.50136038186201</v>
      </c>
      <c r="T12503" s="420">
        <v>16.2</v>
      </c>
      <c r="U12503" s="278">
        <v>39.32</v>
      </c>
      <c r="V12503" s="278">
        <v>0.75</v>
      </c>
      <c r="Z12503" s="420" t="s">
        <v>2953</v>
      </c>
    </row>
    <row r="12504" spans="1:26">
      <c r="A12504" s="499">
        <v>45925</v>
      </c>
      <c r="B12504" s="499">
        <v>45925</v>
      </c>
      <c r="C12504" s="420" t="s">
        <v>173</v>
      </c>
      <c r="D12504" s="420" t="s">
        <v>760</v>
      </c>
      <c r="E12504" s="501">
        <v>-1000386.45</v>
      </c>
      <c r="F12504" s="95" t="s">
        <v>878</v>
      </c>
      <c r="G12504" s="595">
        <v>119290184</v>
      </c>
      <c r="I12504" s="278" t="s">
        <v>598</v>
      </c>
      <c r="J12504" s="530" t="s">
        <v>906</v>
      </c>
      <c r="N12504" s="420">
        <v>945</v>
      </c>
      <c r="R12504" s="420">
        <v>1058.6099999999999</v>
      </c>
      <c r="S12504" s="420">
        <v>1059.07985185185</v>
      </c>
      <c r="T12504" s="420">
        <v>16.2</v>
      </c>
      <c r="U12504" s="278">
        <v>39.32</v>
      </c>
      <c r="V12504" s="278">
        <v>0.75</v>
      </c>
      <c r="Z12504" s="420" t="s">
        <v>2953</v>
      </c>
    </row>
    <row r="12505" spans="1:26">
      <c r="A12505" s="499">
        <v>45925</v>
      </c>
      <c r="B12505" s="499">
        <v>45925</v>
      </c>
      <c r="C12505" s="420" t="s">
        <v>173</v>
      </c>
      <c r="D12505" s="420" t="s">
        <v>760</v>
      </c>
      <c r="E12505" s="501">
        <v>-2000620.01</v>
      </c>
      <c r="F12505" s="95" t="s">
        <v>878</v>
      </c>
      <c r="G12505" s="595">
        <v>119290187</v>
      </c>
      <c r="I12505" s="278" t="s">
        <v>677</v>
      </c>
      <c r="J12505" s="530" t="s">
        <v>906</v>
      </c>
      <c r="N12505" s="420">
        <v>2246</v>
      </c>
      <c r="R12505" s="420">
        <v>890.74800000000005</v>
      </c>
      <c r="S12505" s="420">
        <v>891.14334817453198</v>
      </c>
      <c r="T12505" s="420">
        <v>16.2</v>
      </c>
      <c r="U12505" s="278">
        <v>39.32</v>
      </c>
      <c r="V12505" s="278">
        <v>1.5</v>
      </c>
      <c r="Z12505" s="420" t="s">
        <v>2953</v>
      </c>
    </row>
    <row r="12506" spans="1:26">
      <c r="A12506" s="499">
        <v>45925</v>
      </c>
      <c r="B12506" s="499">
        <v>45925</v>
      </c>
      <c r="C12506" s="420" t="s">
        <v>173</v>
      </c>
      <c r="D12506" s="420" t="s">
        <v>760</v>
      </c>
      <c r="E12506" s="501">
        <v>-2001507.59</v>
      </c>
      <c r="F12506" s="95" t="s">
        <v>878</v>
      </c>
      <c r="G12506" s="595">
        <v>119290190</v>
      </c>
      <c r="I12506" s="278" t="s">
        <v>600</v>
      </c>
      <c r="J12506" s="530" t="s">
        <v>906</v>
      </c>
      <c r="N12506" s="420">
        <v>2198</v>
      </c>
      <c r="R12506" s="420">
        <v>910.60400000000004</v>
      </c>
      <c r="S12506" s="420">
        <v>911.00815741583301</v>
      </c>
      <c r="T12506" s="420">
        <v>16.2</v>
      </c>
      <c r="U12506" s="278">
        <v>39.32</v>
      </c>
      <c r="V12506" s="278">
        <v>1.5</v>
      </c>
      <c r="Z12506" s="420" t="s">
        <v>2953</v>
      </c>
    </row>
    <row r="12507" spans="1:26">
      <c r="A12507" s="499">
        <v>45925</v>
      </c>
      <c r="B12507" s="499">
        <v>45925</v>
      </c>
      <c r="C12507" s="420" t="s">
        <v>173</v>
      </c>
      <c r="D12507" s="420" t="s">
        <v>760</v>
      </c>
      <c r="E12507" s="501">
        <v>-4001288.93</v>
      </c>
      <c r="F12507" s="95" t="s">
        <v>878</v>
      </c>
      <c r="G12507" s="595">
        <v>119290212</v>
      </c>
      <c r="I12507" s="278" t="s">
        <v>604</v>
      </c>
      <c r="J12507" s="530" t="s">
        <v>906</v>
      </c>
      <c r="N12507" s="420">
        <v>3848</v>
      </c>
      <c r="R12507" s="420">
        <v>1039.836</v>
      </c>
      <c r="S12507" s="420">
        <v>1040.2975155925201</v>
      </c>
      <c r="T12507" s="420">
        <v>16.2</v>
      </c>
      <c r="U12507" s="278">
        <v>39.32</v>
      </c>
      <c r="V12507" s="278">
        <v>3</v>
      </c>
      <c r="Z12507" s="420" t="s">
        <v>2953</v>
      </c>
    </row>
    <row r="12508" spans="1:26">
      <c r="A12508" s="499">
        <v>45925</v>
      </c>
      <c r="B12508" s="499">
        <v>45925</v>
      </c>
      <c r="C12508" s="420" t="s">
        <v>173</v>
      </c>
      <c r="D12508" s="420" t="s">
        <v>760</v>
      </c>
      <c r="E12508" s="501">
        <v>-5003768.9800000004</v>
      </c>
      <c r="F12508" s="95" t="s">
        <v>878</v>
      </c>
      <c r="G12508" s="595">
        <v>119290215</v>
      </c>
      <c r="I12508" s="278" t="s">
        <v>600</v>
      </c>
      <c r="J12508" s="530" t="s">
        <v>906</v>
      </c>
      <c r="N12508" s="420">
        <v>5495</v>
      </c>
      <c r="R12508" s="420">
        <v>910.60400000000004</v>
      </c>
      <c r="S12508" s="420">
        <v>911.00815832575097</v>
      </c>
      <c r="T12508" s="420">
        <v>16.2</v>
      </c>
      <c r="U12508" s="278">
        <v>39.32</v>
      </c>
      <c r="V12508" s="278">
        <v>3.75</v>
      </c>
      <c r="Z12508" s="420" t="s">
        <v>2953</v>
      </c>
    </row>
    <row r="12509" spans="1:26">
      <c r="A12509" s="499">
        <v>45925</v>
      </c>
      <c r="B12509" s="499">
        <v>45925</v>
      </c>
      <c r="C12509" s="420" t="s">
        <v>173</v>
      </c>
      <c r="D12509" s="420" t="s">
        <v>760</v>
      </c>
      <c r="E12509" s="501">
        <v>-6002292.8200000003</v>
      </c>
      <c r="F12509" s="95" t="s">
        <v>878</v>
      </c>
      <c r="G12509" s="595">
        <v>119290218</v>
      </c>
      <c r="I12509" s="278" t="s">
        <v>696</v>
      </c>
      <c r="J12509" s="530" t="s">
        <v>906</v>
      </c>
      <c r="N12509" s="420">
        <v>7956</v>
      </c>
      <c r="R12509" s="420">
        <v>754.43600000000004</v>
      </c>
      <c r="S12509" s="420">
        <v>754.77084590246295</v>
      </c>
      <c r="T12509" s="420">
        <v>16.2</v>
      </c>
      <c r="U12509" s="278">
        <v>39.32</v>
      </c>
      <c r="V12509" s="278">
        <v>4.5</v>
      </c>
      <c r="Z12509" s="420" t="s">
        <v>2953</v>
      </c>
    </row>
    <row r="12510" spans="1:26">
      <c r="A12510" s="499">
        <v>45925</v>
      </c>
      <c r="B12510" s="499">
        <v>45925</v>
      </c>
      <c r="C12510" s="420" t="s">
        <v>173</v>
      </c>
      <c r="D12510" s="420" t="s">
        <v>760</v>
      </c>
      <c r="E12510" s="501">
        <v>-6002997.2999999998</v>
      </c>
      <c r="F12510" s="95" t="s">
        <v>878</v>
      </c>
      <c r="G12510" s="595">
        <v>119290221</v>
      </c>
      <c r="I12510" s="278" t="s">
        <v>676</v>
      </c>
      <c r="J12510" s="530" t="s">
        <v>906</v>
      </c>
      <c r="N12510" s="420">
        <v>7146</v>
      </c>
      <c r="R12510" s="420">
        <v>840.05</v>
      </c>
      <c r="S12510" s="420">
        <v>840.42284354883896</v>
      </c>
      <c r="T12510" s="420">
        <v>16.2</v>
      </c>
      <c r="U12510" s="278">
        <v>39.32</v>
      </c>
      <c r="V12510" s="278">
        <v>4.5</v>
      </c>
      <c r="Z12510" s="420" t="s">
        <v>2953</v>
      </c>
    </row>
    <row r="12511" spans="1:26">
      <c r="A12511" s="499">
        <v>45925</v>
      </c>
      <c r="B12511" s="499">
        <v>45925</v>
      </c>
      <c r="C12511" s="420" t="s">
        <v>173</v>
      </c>
      <c r="D12511" s="420" t="s">
        <v>760</v>
      </c>
      <c r="E12511" s="501">
        <v>-7002698.5499999998</v>
      </c>
      <c r="F12511" s="95" t="s">
        <v>878</v>
      </c>
      <c r="G12511" s="595">
        <v>119290224</v>
      </c>
      <c r="I12511" s="278" t="s">
        <v>674</v>
      </c>
      <c r="J12511" s="530" t="s">
        <v>906</v>
      </c>
      <c r="N12511" s="420">
        <v>7777</v>
      </c>
      <c r="R12511" s="420">
        <v>900.43700000000001</v>
      </c>
      <c r="S12511" s="420">
        <v>900.83664652179505</v>
      </c>
      <c r="T12511" s="420">
        <v>16.2</v>
      </c>
      <c r="U12511" s="278">
        <v>39.32</v>
      </c>
      <c r="V12511" s="278">
        <v>5.25</v>
      </c>
      <c r="Z12511" s="420" t="s">
        <v>2953</v>
      </c>
    </row>
    <row r="12512" spans="1:26">
      <c r="A12512" s="499">
        <v>45925</v>
      </c>
      <c r="B12512" s="499">
        <v>45925</v>
      </c>
      <c r="C12512" s="420" t="s">
        <v>173</v>
      </c>
      <c r="D12512" s="420" t="s">
        <v>760</v>
      </c>
      <c r="E12512" s="501">
        <v>-10003222.32</v>
      </c>
      <c r="F12512" s="95" t="s">
        <v>878</v>
      </c>
      <c r="G12512" s="595">
        <v>119290227</v>
      </c>
      <c r="I12512" s="278" t="s">
        <v>604</v>
      </c>
      <c r="J12512" s="530" t="s">
        <v>906</v>
      </c>
      <c r="N12512" s="420">
        <v>9620</v>
      </c>
      <c r="R12512" s="420">
        <v>1039.836</v>
      </c>
      <c r="S12512" s="420">
        <v>1040.29751663202</v>
      </c>
      <c r="T12512" s="420">
        <v>16.2</v>
      </c>
      <c r="U12512" s="278">
        <v>39.32</v>
      </c>
      <c r="V12512" s="278">
        <v>7.5</v>
      </c>
      <c r="Z12512" s="420" t="s">
        <v>2953</v>
      </c>
    </row>
    <row r="12513" spans="1:26">
      <c r="A12513" s="499">
        <v>45925</v>
      </c>
      <c r="B12513" s="499">
        <v>45925</v>
      </c>
      <c r="C12513" s="420" t="s">
        <v>173</v>
      </c>
      <c r="D12513" s="420" t="s">
        <v>760</v>
      </c>
      <c r="E12513" s="501">
        <v>-11004677.99</v>
      </c>
      <c r="F12513" s="95" t="s">
        <v>878</v>
      </c>
      <c r="G12513" s="595">
        <v>119290230</v>
      </c>
      <c r="I12513" s="278" t="s">
        <v>816</v>
      </c>
      <c r="J12513" s="530" t="s">
        <v>906</v>
      </c>
      <c r="N12513" s="420">
        <v>10406</v>
      </c>
      <c r="R12513" s="420">
        <v>1057.5319999999999</v>
      </c>
      <c r="S12513" s="420">
        <v>1058.0013703632501</v>
      </c>
      <c r="T12513" s="420">
        <v>16.2</v>
      </c>
      <c r="U12513" s="278">
        <v>39.32</v>
      </c>
      <c r="V12513" s="278">
        <v>8.25</v>
      </c>
      <c r="Z12513" s="420" t="s">
        <v>2953</v>
      </c>
    </row>
    <row r="12514" spans="1:26">
      <c r="A12514" s="499">
        <v>45925</v>
      </c>
      <c r="B12514" s="499">
        <v>45925</v>
      </c>
      <c r="C12514" s="420" t="s">
        <v>173</v>
      </c>
      <c r="D12514" s="420" t="s">
        <v>760</v>
      </c>
      <c r="E12514" s="501">
        <v>-12001464.949999999</v>
      </c>
      <c r="F12514" s="95" t="s">
        <v>878</v>
      </c>
      <c r="G12514" s="595">
        <v>119290233</v>
      </c>
      <c r="I12514" s="278" t="s">
        <v>695</v>
      </c>
      <c r="J12514" s="530" t="s">
        <v>906</v>
      </c>
      <c r="N12514" s="420">
        <v>16764</v>
      </c>
      <c r="R12514" s="420">
        <v>715.90700000000004</v>
      </c>
      <c r="S12514" s="420">
        <v>716.22474528752105</v>
      </c>
      <c r="T12514" s="420">
        <v>16.2</v>
      </c>
      <c r="U12514" s="278">
        <v>39.32</v>
      </c>
      <c r="V12514" s="278">
        <v>9</v>
      </c>
      <c r="Z12514" s="420" t="s">
        <v>2953</v>
      </c>
    </row>
    <row r="12515" spans="1:26">
      <c r="A12515" s="499">
        <v>45925</v>
      </c>
      <c r="B12515" s="499">
        <v>45925</v>
      </c>
      <c r="C12515" s="420" t="s">
        <v>173</v>
      </c>
      <c r="D12515" s="420" t="s">
        <v>760</v>
      </c>
      <c r="E12515" s="501">
        <v>-15006379.08</v>
      </c>
      <c r="F12515" s="95" t="s">
        <v>878</v>
      </c>
      <c r="G12515" s="595">
        <v>119290236</v>
      </c>
      <c r="I12515" s="278" t="s">
        <v>816</v>
      </c>
      <c r="J12515" s="530" t="s">
        <v>906</v>
      </c>
      <c r="N12515" s="420">
        <v>14190</v>
      </c>
      <c r="R12515" s="420">
        <v>1057.5319999999999</v>
      </c>
      <c r="S12515" s="420">
        <v>1058.00137068358</v>
      </c>
      <c r="T12515" s="420">
        <v>16.2</v>
      </c>
      <c r="U12515" s="278">
        <v>39.32</v>
      </c>
      <c r="V12515" s="278">
        <v>11.25</v>
      </c>
      <c r="Z12515" s="420" t="s">
        <v>2953</v>
      </c>
    </row>
    <row r="12516" spans="1:26">
      <c r="A12516" s="499">
        <v>45925</v>
      </c>
      <c r="B12516" s="499">
        <v>45925</v>
      </c>
      <c r="C12516" s="420" t="s">
        <v>173</v>
      </c>
      <c r="D12516" s="420" t="s">
        <v>760</v>
      </c>
      <c r="E12516" s="501">
        <v>-16006539.359999999</v>
      </c>
      <c r="F12516" s="95" t="s">
        <v>878</v>
      </c>
      <c r="G12516" s="595">
        <v>119290239</v>
      </c>
      <c r="I12516" s="278" t="s">
        <v>819</v>
      </c>
      <c r="J12516" s="530" t="s">
        <v>906</v>
      </c>
      <c r="N12516" s="420">
        <v>15072</v>
      </c>
      <c r="R12516" s="420">
        <v>1062.0050000000001</v>
      </c>
      <c r="S12516" s="420">
        <v>1062.4763554936301</v>
      </c>
      <c r="T12516" s="420">
        <v>16.2</v>
      </c>
      <c r="U12516" s="278">
        <v>39.32</v>
      </c>
      <c r="V12516" s="278">
        <v>12</v>
      </c>
      <c r="Z12516" s="420" t="s">
        <v>2953</v>
      </c>
    </row>
    <row r="12517" spans="1:26">
      <c r="A12517" s="499">
        <v>45925</v>
      </c>
      <c r="B12517" s="499">
        <v>45925</v>
      </c>
      <c r="C12517" s="420" t="s">
        <v>173</v>
      </c>
      <c r="D12517" s="420" t="s">
        <v>760</v>
      </c>
      <c r="E12517" s="501">
        <v>-16007992.800000001</v>
      </c>
      <c r="F12517" s="95" t="s">
        <v>878</v>
      </c>
      <c r="G12517" s="595">
        <v>119290242</v>
      </c>
      <c r="I12517" s="278" t="s">
        <v>676</v>
      </c>
      <c r="J12517" s="530" t="s">
        <v>906</v>
      </c>
      <c r="N12517" s="420">
        <v>19056</v>
      </c>
      <c r="R12517" s="420">
        <v>840.05</v>
      </c>
      <c r="S12517" s="420">
        <v>840.42284424853096</v>
      </c>
      <c r="T12517" s="420">
        <v>16.2</v>
      </c>
      <c r="U12517" s="278">
        <v>39.32</v>
      </c>
      <c r="V12517" s="278">
        <v>12.01</v>
      </c>
      <c r="Z12517" s="420" t="s">
        <v>2953</v>
      </c>
    </row>
    <row r="12518" spans="1:26">
      <c r="A12518" s="499">
        <v>45925</v>
      </c>
      <c r="B12518" s="499">
        <v>45925</v>
      </c>
      <c r="C12518" s="420" t="s">
        <v>173</v>
      </c>
      <c r="D12518" s="420" t="s">
        <v>760</v>
      </c>
      <c r="E12518" s="501">
        <v>-17010854.43</v>
      </c>
      <c r="F12518" s="95" t="s">
        <v>878</v>
      </c>
      <c r="G12518" s="595">
        <v>119290246</v>
      </c>
      <c r="I12518" s="278" t="s">
        <v>689</v>
      </c>
      <c r="J12518" s="530" t="s">
        <v>906</v>
      </c>
      <c r="N12518" s="420">
        <v>21964</v>
      </c>
      <c r="R12518" s="420">
        <v>774.48800000000006</v>
      </c>
      <c r="S12518" s="420">
        <v>774.83174512839196</v>
      </c>
      <c r="T12518" s="420">
        <v>16.2</v>
      </c>
      <c r="U12518" s="278">
        <v>39.32</v>
      </c>
      <c r="V12518" s="278">
        <v>12.76</v>
      </c>
      <c r="Z12518" s="420" t="s">
        <v>2953</v>
      </c>
    </row>
    <row r="12519" spans="1:26">
      <c r="A12519" s="499">
        <v>45925</v>
      </c>
      <c r="B12519" s="499">
        <v>45925</v>
      </c>
      <c r="C12519" s="420" t="s">
        <v>173</v>
      </c>
      <c r="D12519" s="420" t="s">
        <v>760</v>
      </c>
      <c r="E12519" s="501">
        <v>-17006553.620000001</v>
      </c>
      <c r="F12519" s="95" t="s">
        <v>878</v>
      </c>
      <c r="G12519" s="595">
        <v>119290249</v>
      </c>
      <c r="I12519" s="278" t="s">
        <v>674</v>
      </c>
      <c r="J12519" s="530" t="s">
        <v>906</v>
      </c>
      <c r="N12519" s="420">
        <v>18887</v>
      </c>
      <c r="R12519" s="420">
        <v>900.43700000000001</v>
      </c>
      <c r="S12519" s="420">
        <v>900.83664584105497</v>
      </c>
      <c r="T12519" s="420">
        <v>16.2</v>
      </c>
      <c r="U12519" s="278">
        <v>39.32</v>
      </c>
      <c r="V12519" s="278">
        <v>12.75</v>
      </c>
      <c r="Z12519" s="420" t="s">
        <v>2953</v>
      </c>
    </row>
    <row r="12520" spans="1:26">
      <c r="A12520" s="499">
        <v>45925</v>
      </c>
      <c r="B12520" s="499">
        <v>45925</v>
      </c>
      <c r="C12520" s="420" t="s">
        <v>173</v>
      </c>
      <c r="D12520" s="420" t="s">
        <v>760</v>
      </c>
      <c r="E12520" s="501">
        <v>-18003747.559999999</v>
      </c>
      <c r="F12520" s="95" t="s">
        <v>878</v>
      </c>
      <c r="G12520" s="595">
        <v>119290252</v>
      </c>
      <c r="I12520" s="278" t="s">
        <v>602</v>
      </c>
      <c r="J12520" s="530" t="s">
        <v>906</v>
      </c>
      <c r="N12520" s="420">
        <v>21582</v>
      </c>
      <c r="R12520" s="420">
        <v>834.202</v>
      </c>
      <c r="S12520" s="420">
        <v>834.572248169771</v>
      </c>
      <c r="T12520" s="420">
        <v>16.2</v>
      </c>
      <c r="U12520" s="278">
        <v>39.32</v>
      </c>
      <c r="V12520" s="278">
        <v>13.5</v>
      </c>
      <c r="Z12520" s="420" t="s">
        <v>2953</v>
      </c>
    </row>
    <row r="12521" spans="1:26">
      <c r="A12521" s="499">
        <v>45925</v>
      </c>
      <c r="B12521" s="499">
        <v>45925</v>
      </c>
      <c r="C12521" s="420" t="s">
        <v>173</v>
      </c>
      <c r="D12521" s="420" t="s">
        <v>760</v>
      </c>
      <c r="E12521" s="501">
        <v>-19008251.32</v>
      </c>
      <c r="F12521" s="95" t="s">
        <v>878</v>
      </c>
      <c r="G12521" s="595">
        <v>119290255</v>
      </c>
      <c r="I12521" s="278" t="s">
        <v>588</v>
      </c>
      <c r="J12521" s="530" t="s">
        <v>906</v>
      </c>
      <c r="N12521" s="420">
        <v>20824</v>
      </c>
      <c r="R12521" s="420">
        <v>912.80499999999995</v>
      </c>
      <c r="S12521" s="420">
        <v>913.21013542066805</v>
      </c>
      <c r="T12521" s="420">
        <v>16.2</v>
      </c>
      <c r="U12521" s="278">
        <v>39.32</v>
      </c>
      <c r="V12521" s="278">
        <v>14.26</v>
      </c>
      <c r="Z12521" s="420" t="s">
        <v>2953</v>
      </c>
    </row>
    <row r="12522" spans="1:26">
      <c r="A12522" s="499">
        <v>45925</v>
      </c>
      <c r="B12522" s="499">
        <v>45925</v>
      </c>
      <c r="C12522" s="420" t="s">
        <v>173</v>
      </c>
      <c r="D12522" s="420" t="s">
        <v>760</v>
      </c>
      <c r="E12522" s="501">
        <v>-20013385.84</v>
      </c>
      <c r="F12522" s="95" t="s">
        <v>878</v>
      </c>
      <c r="G12522" s="595">
        <v>119290258</v>
      </c>
      <c r="I12522" s="278" t="s">
        <v>657</v>
      </c>
      <c r="J12522" s="530" t="s">
        <v>906</v>
      </c>
      <c r="N12522" s="420">
        <v>20720</v>
      </c>
      <c r="R12522" s="420">
        <v>965.89700000000005</v>
      </c>
      <c r="S12522" s="420">
        <v>966.32569932432398</v>
      </c>
      <c r="T12522" s="420">
        <v>16.2</v>
      </c>
      <c r="U12522" s="278">
        <v>39.32</v>
      </c>
      <c r="V12522" s="278">
        <v>15.01</v>
      </c>
      <c r="Z12522" s="420" t="s">
        <v>2953</v>
      </c>
    </row>
    <row r="12523" spans="1:26">
      <c r="A12523" s="499">
        <v>45925</v>
      </c>
      <c r="B12523" s="499">
        <v>45925</v>
      </c>
      <c r="C12523" s="420" t="s">
        <v>173</v>
      </c>
      <c r="D12523" s="420" t="s">
        <v>760</v>
      </c>
      <c r="E12523" s="501">
        <v>-21007385.91</v>
      </c>
      <c r="F12523" s="95" t="s">
        <v>878</v>
      </c>
      <c r="G12523" s="595">
        <v>119290261</v>
      </c>
      <c r="I12523" s="278" t="s">
        <v>717</v>
      </c>
      <c r="J12523" s="530" t="s">
        <v>906</v>
      </c>
      <c r="N12523" s="420">
        <v>35595</v>
      </c>
      <c r="R12523" s="420">
        <v>590.178</v>
      </c>
      <c r="S12523" s="420">
        <v>590.43994212670304</v>
      </c>
      <c r="T12523" s="420">
        <v>16.2</v>
      </c>
      <c r="U12523" s="278">
        <v>39.32</v>
      </c>
      <c r="V12523" s="278">
        <v>15.76</v>
      </c>
      <c r="Z12523" s="420" t="s">
        <v>2953</v>
      </c>
    </row>
    <row r="12524" spans="1:26">
      <c r="A12524" s="499">
        <v>45925</v>
      </c>
      <c r="B12524" s="499">
        <v>45925</v>
      </c>
      <c r="C12524" s="420" t="s">
        <v>173</v>
      </c>
      <c r="D12524" s="420" t="s">
        <v>760</v>
      </c>
      <c r="E12524" s="501">
        <v>-22005094.210000001</v>
      </c>
      <c r="F12524" s="95" t="s">
        <v>878</v>
      </c>
      <c r="G12524" s="595">
        <v>119290264</v>
      </c>
      <c r="I12524" s="278" t="s">
        <v>715</v>
      </c>
      <c r="J12524" s="530" t="s">
        <v>906</v>
      </c>
      <c r="N12524" s="420">
        <v>36014</v>
      </c>
      <c r="R12524" s="420">
        <v>611.01499999999999</v>
      </c>
      <c r="S12524" s="420">
        <v>611.286190092742</v>
      </c>
      <c r="T12524" s="420">
        <v>16.2</v>
      </c>
      <c r="U12524" s="278">
        <v>39.32</v>
      </c>
      <c r="V12524" s="278">
        <v>16.5</v>
      </c>
      <c r="Z12524" s="420" t="s">
        <v>2953</v>
      </c>
    </row>
    <row r="12525" spans="1:26">
      <c r="A12525" s="499">
        <v>45925</v>
      </c>
      <c r="B12525" s="499">
        <v>45925</v>
      </c>
      <c r="C12525" s="420" t="s">
        <v>173</v>
      </c>
      <c r="D12525" s="420" t="s">
        <v>760</v>
      </c>
      <c r="E12525" s="501">
        <v>-23002807.82</v>
      </c>
      <c r="F12525" s="95" t="s">
        <v>878</v>
      </c>
      <c r="G12525" s="595">
        <v>119290267</v>
      </c>
      <c r="I12525" s="278" t="s">
        <v>695</v>
      </c>
      <c r="J12525" s="530" t="s">
        <v>906</v>
      </c>
      <c r="N12525" s="420">
        <v>32131</v>
      </c>
      <c r="R12525" s="420">
        <v>715.90700000000004</v>
      </c>
      <c r="S12525" s="420">
        <v>716.22474526158499</v>
      </c>
      <c r="T12525" s="420">
        <v>16.2</v>
      </c>
      <c r="U12525" s="278">
        <v>39.32</v>
      </c>
      <c r="V12525" s="278">
        <v>17.25</v>
      </c>
      <c r="Z12525" s="420" t="s">
        <v>2953</v>
      </c>
    </row>
    <row r="12526" spans="1:26">
      <c r="A12526" s="499">
        <v>45925</v>
      </c>
      <c r="B12526" s="499">
        <v>45925</v>
      </c>
      <c r="C12526" s="420" t="s">
        <v>173</v>
      </c>
      <c r="D12526" s="420" t="s">
        <v>760</v>
      </c>
      <c r="E12526" s="501">
        <v>-24010459.199999999</v>
      </c>
      <c r="F12526" s="95" t="s">
        <v>878</v>
      </c>
      <c r="G12526" s="595">
        <v>119290270</v>
      </c>
      <c r="I12526" s="278" t="s">
        <v>590</v>
      </c>
      <c r="J12526" s="530" t="s">
        <v>906</v>
      </c>
      <c r="N12526" s="420">
        <v>25200</v>
      </c>
      <c r="R12526" s="420">
        <v>952.79600000000005</v>
      </c>
      <c r="S12526" s="420">
        <v>953.21888492063499</v>
      </c>
      <c r="T12526" s="420">
        <v>16.2</v>
      </c>
      <c r="U12526" s="278">
        <v>39.32</v>
      </c>
      <c r="V12526" s="278">
        <v>18.010000000000002</v>
      </c>
      <c r="Z12526" s="420" t="s">
        <v>2953</v>
      </c>
    </row>
    <row r="12527" spans="1:26">
      <c r="A12527" s="499">
        <v>45925</v>
      </c>
      <c r="B12527" s="499">
        <v>45925</v>
      </c>
      <c r="C12527" s="420" t="s">
        <v>173</v>
      </c>
      <c r="D12527" s="420" t="s">
        <v>760</v>
      </c>
      <c r="E12527" s="501">
        <v>-25018250.399999999</v>
      </c>
      <c r="F12527" s="95" t="s">
        <v>878</v>
      </c>
      <c r="G12527" s="595">
        <v>119290273</v>
      </c>
      <c r="I12527" s="278" t="s">
        <v>821</v>
      </c>
      <c r="J12527" s="530" t="s">
        <v>906</v>
      </c>
      <c r="N12527" s="420">
        <v>24200</v>
      </c>
      <c r="R12527" s="420">
        <v>1033.8119999999999</v>
      </c>
      <c r="S12527" s="420">
        <v>1034.2708425619801</v>
      </c>
      <c r="T12527" s="420">
        <v>16.2</v>
      </c>
      <c r="U12527" s="278">
        <v>39.32</v>
      </c>
      <c r="V12527" s="278">
        <v>18.760000000000002</v>
      </c>
      <c r="Z12527" s="420" t="s">
        <v>2953</v>
      </c>
    </row>
    <row r="12528" spans="1:26">
      <c r="A12528" s="499">
        <v>45925</v>
      </c>
      <c r="B12528" s="499">
        <v>45925</v>
      </c>
      <c r="C12528" s="420" t="s">
        <v>173</v>
      </c>
      <c r="D12528" s="420" t="s">
        <v>760</v>
      </c>
      <c r="E12528" s="501">
        <v>-25009553.399999999</v>
      </c>
      <c r="F12528" s="95" t="s">
        <v>878</v>
      </c>
      <c r="G12528" s="595">
        <v>119290276</v>
      </c>
      <c r="I12528" s="278" t="s">
        <v>696</v>
      </c>
      <c r="J12528" s="530" t="s">
        <v>906</v>
      </c>
      <c r="N12528" s="420">
        <v>33150</v>
      </c>
      <c r="R12528" s="420">
        <v>754.43600000000004</v>
      </c>
      <c r="S12528" s="420">
        <v>754.77084555052795</v>
      </c>
      <c r="T12528" s="420">
        <v>16.2</v>
      </c>
      <c r="U12528" s="278">
        <v>39.32</v>
      </c>
      <c r="V12528" s="278">
        <v>18.760000000000002</v>
      </c>
      <c r="Z12528" s="420" t="s">
        <v>2953</v>
      </c>
    </row>
    <row r="12529" spans="1:26">
      <c r="A12529" s="499">
        <v>45925</v>
      </c>
      <c r="B12529" s="499">
        <v>45925</v>
      </c>
      <c r="C12529" s="420" t="s">
        <v>173</v>
      </c>
      <c r="D12529" s="420" t="s">
        <v>760</v>
      </c>
      <c r="E12529" s="501">
        <v>-26004707.559999999</v>
      </c>
      <c r="F12529" s="95" t="s">
        <v>878</v>
      </c>
      <c r="G12529" s="595">
        <v>119290279</v>
      </c>
      <c r="I12529" s="278" t="s">
        <v>709</v>
      </c>
      <c r="J12529" s="530" t="s">
        <v>906</v>
      </c>
      <c r="N12529" s="420">
        <v>36244</v>
      </c>
      <c r="R12529" s="420">
        <v>717.49</v>
      </c>
      <c r="S12529" s="420">
        <v>717.80844774307502</v>
      </c>
      <c r="T12529" s="420">
        <v>16.2</v>
      </c>
      <c r="U12529" s="278">
        <v>39.32</v>
      </c>
      <c r="V12529" s="278">
        <v>19.5</v>
      </c>
      <c r="Z12529" s="420" t="s">
        <v>2953</v>
      </c>
    </row>
    <row r="12530" spans="1:26">
      <c r="A12530" s="499">
        <v>45925</v>
      </c>
      <c r="B12530" s="499">
        <v>45925</v>
      </c>
      <c r="C12530" s="420" t="s">
        <v>173</v>
      </c>
      <c r="D12530" s="420" t="s">
        <v>760</v>
      </c>
      <c r="E12530" s="501">
        <v>-26019708.940000001</v>
      </c>
      <c r="F12530" s="95" t="s">
        <v>878</v>
      </c>
      <c r="G12530" s="595">
        <v>119290358</v>
      </c>
      <c r="I12530" s="278" t="s">
        <v>592</v>
      </c>
      <c r="J12530" s="530" t="s">
        <v>906</v>
      </c>
      <c r="N12530" s="420">
        <v>32682</v>
      </c>
      <c r="R12530" s="420">
        <v>796.14800000000002</v>
      </c>
      <c r="S12530" s="420">
        <v>796.50135885196698</v>
      </c>
      <c r="T12530" s="420">
        <v>16.2</v>
      </c>
      <c r="U12530" s="278">
        <v>39.32</v>
      </c>
      <c r="V12530" s="278">
        <v>19.510000000000002</v>
      </c>
      <c r="Z12530" s="420" t="s">
        <v>2953</v>
      </c>
    </row>
    <row r="12531" spans="1:26">
      <c r="A12531" s="499">
        <v>45925</v>
      </c>
      <c r="B12531" s="499">
        <v>45925</v>
      </c>
      <c r="C12531" s="420" t="s">
        <v>173</v>
      </c>
      <c r="D12531" s="420" t="s">
        <v>760</v>
      </c>
      <c r="E12531" s="501">
        <v>-27010434.149999999</v>
      </c>
      <c r="F12531" s="95" t="s">
        <v>878</v>
      </c>
      <c r="G12531" s="595">
        <v>119290361</v>
      </c>
      <c r="I12531" s="278" t="s">
        <v>598</v>
      </c>
      <c r="J12531" s="530" t="s">
        <v>906</v>
      </c>
      <c r="N12531" s="420">
        <v>25515</v>
      </c>
      <c r="R12531" s="420">
        <v>1058.6099999999999</v>
      </c>
      <c r="S12531" s="420">
        <v>1059.07984871644</v>
      </c>
      <c r="T12531" s="420">
        <v>16.2</v>
      </c>
      <c r="U12531" s="278">
        <v>40.520000000000003</v>
      </c>
      <c r="V12531" s="278">
        <v>20.260000000000002</v>
      </c>
      <c r="Z12531" s="420" t="s">
        <v>2953</v>
      </c>
    </row>
    <row r="12532" spans="1:26">
      <c r="A12532" s="499">
        <v>45925</v>
      </c>
      <c r="B12532" s="499">
        <v>45925</v>
      </c>
      <c r="C12532" s="420" t="s">
        <v>173</v>
      </c>
      <c r="D12532" s="420" t="s">
        <v>760</v>
      </c>
      <c r="E12532" s="501">
        <v>-27017448.350000001</v>
      </c>
      <c r="F12532" s="95" t="s">
        <v>878</v>
      </c>
      <c r="G12532" s="595">
        <v>119290364</v>
      </c>
      <c r="I12532" s="278" t="s">
        <v>706</v>
      </c>
      <c r="J12532" s="530" t="s">
        <v>906</v>
      </c>
      <c r="N12532" s="420">
        <v>34911</v>
      </c>
      <c r="R12532" s="420">
        <v>773.89499999999998</v>
      </c>
      <c r="S12532" s="420">
        <v>774.23848242674205</v>
      </c>
      <c r="T12532" s="420">
        <v>16.2</v>
      </c>
      <c r="U12532" s="278">
        <v>40.53</v>
      </c>
      <c r="V12532" s="278">
        <v>20.260000000000002</v>
      </c>
      <c r="Z12532" s="420" t="s">
        <v>2953</v>
      </c>
    </row>
    <row r="12533" spans="1:26">
      <c r="A12533" s="499">
        <v>45925</v>
      </c>
      <c r="B12533" s="499">
        <v>45925</v>
      </c>
      <c r="C12533" s="420" t="s">
        <v>173</v>
      </c>
      <c r="D12533" s="420" t="s">
        <v>760</v>
      </c>
      <c r="E12533" s="501">
        <v>-30011565.210000001</v>
      </c>
      <c r="F12533" s="95" t="s">
        <v>878</v>
      </c>
      <c r="G12533" s="595">
        <v>119290367</v>
      </c>
      <c r="I12533" s="278" t="s">
        <v>674</v>
      </c>
      <c r="J12533" s="530" t="s">
        <v>906</v>
      </c>
      <c r="N12533" s="420">
        <v>33330</v>
      </c>
      <c r="R12533" s="420">
        <v>900.43700000000001</v>
      </c>
      <c r="S12533" s="420">
        <v>900.83664596459596</v>
      </c>
      <c r="T12533" s="420">
        <v>16.2</v>
      </c>
      <c r="U12533" s="278">
        <v>45.02</v>
      </c>
      <c r="V12533" s="278">
        <v>22.51</v>
      </c>
      <c r="Z12533" s="420" t="s">
        <v>2953</v>
      </c>
    </row>
    <row r="12534" spans="1:26">
      <c r="A12534" s="499">
        <v>45925</v>
      </c>
      <c r="B12534" s="499">
        <v>45925</v>
      </c>
      <c r="C12534" s="420" t="s">
        <v>173</v>
      </c>
      <c r="D12534" s="420" t="s">
        <v>760</v>
      </c>
      <c r="E12534" s="501">
        <v>-35029622.670000002</v>
      </c>
      <c r="F12534" s="95" t="s">
        <v>878</v>
      </c>
      <c r="G12534" s="595">
        <v>119290370</v>
      </c>
      <c r="I12534" s="278" t="s">
        <v>694</v>
      </c>
      <c r="J12534" s="530" t="s">
        <v>906</v>
      </c>
      <c r="N12534" s="420">
        <v>34090</v>
      </c>
      <c r="R12534" s="420">
        <v>1027.5630000000001</v>
      </c>
      <c r="S12534" s="420">
        <v>1028.01906893517</v>
      </c>
      <c r="T12534" s="420">
        <v>16.2</v>
      </c>
      <c r="U12534" s="278">
        <v>52.54</v>
      </c>
      <c r="V12534" s="278">
        <v>26.27</v>
      </c>
      <c r="Z12534" s="420" t="s">
        <v>2953</v>
      </c>
    </row>
    <row r="12535" spans="1:26">
      <c r="A12535" s="499">
        <v>45925</v>
      </c>
      <c r="B12535" s="499">
        <v>45925</v>
      </c>
      <c r="C12535" s="420" t="s">
        <v>173</v>
      </c>
      <c r="D12535" s="420" t="s">
        <v>760</v>
      </c>
      <c r="E12535" s="501">
        <v>-37001890.439999998</v>
      </c>
      <c r="F12535" s="95" t="s">
        <v>878</v>
      </c>
      <c r="G12535" s="595">
        <v>119290373</v>
      </c>
      <c r="I12535" s="278" t="s">
        <v>823</v>
      </c>
      <c r="J12535" s="530" t="s">
        <v>906</v>
      </c>
      <c r="N12535" s="420">
        <v>35779</v>
      </c>
      <c r="R12535" s="420">
        <v>1034.1790000000001</v>
      </c>
      <c r="S12535" s="420">
        <v>1034.63800553397</v>
      </c>
      <c r="T12535" s="420">
        <v>16.2</v>
      </c>
      <c r="U12535" s="278">
        <v>55.5</v>
      </c>
      <c r="V12535" s="278">
        <v>27.75</v>
      </c>
      <c r="Z12535" s="420" t="s">
        <v>2953</v>
      </c>
    </row>
    <row r="12536" spans="1:26">
      <c r="A12536" s="499">
        <v>45925</v>
      </c>
      <c r="B12536" s="499">
        <v>45925</v>
      </c>
      <c r="C12536" s="420" t="s">
        <v>173</v>
      </c>
      <c r="D12536" s="420" t="s">
        <v>760</v>
      </c>
      <c r="E12536" s="501">
        <v>-39010234.219999999</v>
      </c>
      <c r="F12536" s="95" t="s">
        <v>878</v>
      </c>
      <c r="G12536" s="595">
        <v>119290376</v>
      </c>
      <c r="I12536" s="278" t="s">
        <v>719</v>
      </c>
      <c r="J12536" s="530" t="s">
        <v>906</v>
      </c>
      <c r="N12536" s="420">
        <v>59592</v>
      </c>
      <c r="R12536" s="420">
        <v>654.62199999999996</v>
      </c>
      <c r="S12536" s="420">
        <v>654.912544469056</v>
      </c>
      <c r="T12536" s="420">
        <v>16.2</v>
      </c>
      <c r="U12536" s="278">
        <v>58.52</v>
      </c>
      <c r="V12536" s="278">
        <v>29.26</v>
      </c>
      <c r="Z12536" s="420" t="s">
        <v>2953</v>
      </c>
    </row>
    <row r="12537" spans="1:26">
      <c r="A12537" s="499">
        <v>45925</v>
      </c>
      <c r="B12537" s="499">
        <v>45925</v>
      </c>
      <c r="C12537" s="420" t="s">
        <v>173</v>
      </c>
      <c r="D12537" s="420" t="s">
        <v>760</v>
      </c>
      <c r="E12537" s="501">
        <v>-40013120.68</v>
      </c>
      <c r="F12537" s="95" t="s">
        <v>878</v>
      </c>
      <c r="G12537" s="595">
        <v>119290379</v>
      </c>
      <c r="I12537" s="278" t="s">
        <v>714</v>
      </c>
      <c r="J12537" s="530" t="s">
        <v>906</v>
      </c>
      <c r="N12537" s="420">
        <v>53960</v>
      </c>
      <c r="R12537" s="420">
        <v>741.53300000000002</v>
      </c>
      <c r="S12537" s="420">
        <v>741.86211879169798</v>
      </c>
      <c r="T12537" s="420">
        <v>16.2</v>
      </c>
      <c r="U12537" s="278">
        <v>60.02</v>
      </c>
      <c r="V12537" s="278">
        <v>30.01</v>
      </c>
      <c r="Z12537" s="420" t="s">
        <v>2953</v>
      </c>
    </row>
    <row r="12538" spans="1:26">
      <c r="A12538" s="499">
        <v>45925</v>
      </c>
      <c r="B12538" s="499">
        <v>45925</v>
      </c>
      <c r="C12538" s="420" t="s">
        <v>173</v>
      </c>
      <c r="D12538" s="420" t="s">
        <v>760</v>
      </c>
      <c r="E12538" s="501">
        <v>-41020481.549999997</v>
      </c>
      <c r="F12538" s="95" t="s">
        <v>878</v>
      </c>
      <c r="G12538" s="595">
        <v>119290394</v>
      </c>
      <c r="I12538" s="278" t="s">
        <v>676</v>
      </c>
      <c r="J12538" s="530" t="s">
        <v>906</v>
      </c>
      <c r="N12538" s="420">
        <v>48831</v>
      </c>
      <c r="R12538" s="420">
        <v>840.05</v>
      </c>
      <c r="S12538" s="420">
        <v>840.42284409494005</v>
      </c>
      <c r="T12538" s="420">
        <v>16.2</v>
      </c>
      <c r="U12538" s="278">
        <v>61.53</v>
      </c>
      <c r="V12538" s="278">
        <v>30.77</v>
      </c>
      <c r="Z12538" s="420" t="s">
        <v>2953</v>
      </c>
    </row>
    <row r="12539" spans="1:26">
      <c r="A12539" s="499">
        <v>45925</v>
      </c>
      <c r="B12539" s="499">
        <v>45925</v>
      </c>
      <c r="C12539" s="420" t="s">
        <v>173</v>
      </c>
      <c r="D12539" s="420" t="s">
        <v>760</v>
      </c>
      <c r="E12539" s="501">
        <v>-44015751.009999998</v>
      </c>
      <c r="F12539" s="95" t="s">
        <v>878</v>
      </c>
      <c r="G12539" s="595">
        <v>119290397</v>
      </c>
      <c r="I12539" s="624" t="s">
        <v>550</v>
      </c>
      <c r="J12539" s="530" t="s">
        <v>906</v>
      </c>
      <c r="N12539" s="420">
        <v>81004</v>
      </c>
      <c r="R12539" s="420">
        <v>543.37750000000005</v>
      </c>
      <c r="S12539" s="420">
        <v>543.61867031257702</v>
      </c>
      <c r="T12539" s="420">
        <v>16.2</v>
      </c>
      <c r="U12539" s="278">
        <v>66.02</v>
      </c>
      <c r="V12539" s="278">
        <v>33.01</v>
      </c>
      <c r="Z12539" s="420" t="s">
        <v>2953</v>
      </c>
    </row>
    <row r="12540" spans="1:26">
      <c r="A12540" s="499">
        <v>45925</v>
      </c>
      <c r="B12540" s="499">
        <v>45925</v>
      </c>
      <c r="C12540" s="420" t="s">
        <v>173</v>
      </c>
      <c r="D12540" s="420" t="s">
        <v>760</v>
      </c>
      <c r="E12540" s="501">
        <v>-45009368.909999996</v>
      </c>
      <c r="F12540" s="95" t="s">
        <v>878</v>
      </c>
      <c r="G12540" s="595">
        <v>119290400</v>
      </c>
      <c r="I12540" s="278" t="s">
        <v>602</v>
      </c>
      <c r="J12540" s="530" t="s">
        <v>906</v>
      </c>
      <c r="N12540" s="420">
        <v>53955</v>
      </c>
      <c r="R12540" s="420">
        <v>834.202</v>
      </c>
      <c r="S12540" s="420">
        <v>834.57224854045</v>
      </c>
      <c r="T12540" s="420">
        <v>16.2</v>
      </c>
      <c r="U12540" s="278">
        <v>67.510000000000005</v>
      </c>
      <c r="V12540" s="278">
        <v>33.76</v>
      </c>
      <c r="Z12540" s="420" t="s">
        <v>2953</v>
      </c>
    </row>
    <row r="12541" spans="1:26">
      <c r="A12541" s="499">
        <v>45925</v>
      </c>
      <c r="B12541" s="499">
        <v>45925</v>
      </c>
      <c r="C12541" s="420" t="s">
        <v>173</v>
      </c>
      <c r="D12541" s="420" t="s">
        <v>760</v>
      </c>
      <c r="E12541" s="501">
        <v>-46019976.880000003</v>
      </c>
      <c r="F12541" s="95" t="s">
        <v>878</v>
      </c>
      <c r="G12541" s="595">
        <v>119290403</v>
      </c>
      <c r="I12541" s="278" t="s">
        <v>588</v>
      </c>
      <c r="J12541" s="530" t="s">
        <v>906</v>
      </c>
      <c r="N12541" s="420">
        <v>50416</v>
      </c>
      <c r="R12541" s="420">
        <v>912.80499999999995</v>
      </c>
      <c r="S12541" s="420">
        <v>913.21013527451601</v>
      </c>
      <c r="T12541" s="420">
        <v>16.2</v>
      </c>
      <c r="U12541" s="278">
        <v>69.03</v>
      </c>
      <c r="V12541" s="278">
        <v>34.51</v>
      </c>
      <c r="Z12541" s="420" t="s">
        <v>2953</v>
      </c>
    </row>
    <row r="12542" spans="1:26">
      <c r="A12542" s="499">
        <v>45925</v>
      </c>
      <c r="B12542" s="499">
        <v>45925</v>
      </c>
      <c r="C12542" s="420" t="s">
        <v>173</v>
      </c>
      <c r="D12542" s="420" t="s">
        <v>760</v>
      </c>
      <c r="E12542" s="501">
        <v>-50036208</v>
      </c>
      <c r="F12542" s="95" t="s">
        <v>878</v>
      </c>
      <c r="G12542" s="595">
        <v>119290406</v>
      </c>
      <c r="I12542" s="278" t="s">
        <v>687</v>
      </c>
      <c r="J12542" s="530" t="s">
        <v>906</v>
      </c>
      <c r="N12542" s="420">
        <v>60600</v>
      </c>
      <c r="R12542" s="420">
        <v>825.68</v>
      </c>
      <c r="S12542" s="420">
        <v>826.046466171617</v>
      </c>
      <c r="T12542" s="420">
        <v>16.2</v>
      </c>
      <c r="U12542" s="278">
        <v>75.05</v>
      </c>
      <c r="V12542" s="278">
        <v>37.53</v>
      </c>
      <c r="Z12542" s="420" t="s">
        <v>2953</v>
      </c>
    </row>
    <row r="12543" spans="1:26">
      <c r="A12543" s="499">
        <v>45925</v>
      </c>
      <c r="B12543" s="499">
        <v>45925</v>
      </c>
      <c r="C12543" s="420" t="s">
        <v>173</v>
      </c>
      <c r="D12543" s="420" t="s">
        <v>760</v>
      </c>
      <c r="E12543" s="501">
        <v>-54011242.689999998</v>
      </c>
      <c r="F12543" s="95" t="s">
        <v>878</v>
      </c>
      <c r="G12543" s="595">
        <v>119290409</v>
      </c>
      <c r="I12543" s="278" t="s">
        <v>602</v>
      </c>
      <c r="J12543" s="530" t="s">
        <v>906</v>
      </c>
      <c r="N12543" s="420">
        <v>64746</v>
      </c>
      <c r="R12543" s="420">
        <v>834.202</v>
      </c>
      <c r="S12543" s="420">
        <v>834.57224847866996</v>
      </c>
      <c r="T12543" s="420">
        <v>16.2</v>
      </c>
      <c r="U12543" s="278">
        <v>81.02</v>
      </c>
      <c r="V12543" s="278">
        <v>40.51</v>
      </c>
      <c r="Z12543" s="420" t="s">
        <v>2953</v>
      </c>
    </row>
    <row r="12544" spans="1:26">
      <c r="A12544" s="499">
        <v>45925</v>
      </c>
      <c r="B12544" s="499">
        <v>45925</v>
      </c>
      <c r="C12544" s="420" t="s">
        <v>173</v>
      </c>
      <c r="D12544" s="420" t="s">
        <v>760</v>
      </c>
      <c r="E12544" s="501">
        <v>-56024319.68</v>
      </c>
      <c r="F12544" s="95" t="s">
        <v>878</v>
      </c>
      <c r="G12544" s="595">
        <v>119290412</v>
      </c>
      <c r="I12544" s="278" t="s">
        <v>588</v>
      </c>
      <c r="J12544" s="530" t="s">
        <v>906</v>
      </c>
      <c r="N12544" s="420">
        <v>61376</v>
      </c>
      <c r="R12544" s="420">
        <v>912.80499999999995</v>
      </c>
      <c r="S12544" s="420">
        <v>913.21013539494299</v>
      </c>
      <c r="T12544" s="420">
        <v>16.2</v>
      </c>
      <c r="U12544" s="278">
        <v>84.04</v>
      </c>
      <c r="V12544" s="278">
        <v>42.02</v>
      </c>
      <c r="Z12544" s="420" t="s">
        <v>2953</v>
      </c>
    </row>
    <row r="12545" spans="1:26">
      <c r="A12545" s="499">
        <v>45925</v>
      </c>
      <c r="B12545" s="499">
        <v>45925</v>
      </c>
      <c r="C12545" s="420" t="s">
        <v>173</v>
      </c>
      <c r="D12545" s="420" t="s">
        <v>760</v>
      </c>
      <c r="E12545" s="501">
        <v>-58042117.509999998</v>
      </c>
      <c r="F12545" s="95" t="s">
        <v>878</v>
      </c>
      <c r="G12545" s="595">
        <v>119290415</v>
      </c>
      <c r="I12545" s="278" t="s">
        <v>824</v>
      </c>
      <c r="J12545" s="530" t="s">
        <v>906</v>
      </c>
      <c r="N12545" s="420">
        <v>54636</v>
      </c>
      <c r="R12545" s="420">
        <v>1062.3420000000001</v>
      </c>
      <c r="S12545" s="420">
        <v>1062.81350519804</v>
      </c>
      <c r="T12545" s="420">
        <v>16.2</v>
      </c>
      <c r="U12545" s="278">
        <v>87.06</v>
      </c>
      <c r="V12545" s="278">
        <v>43.53</v>
      </c>
      <c r="Z12545" s="420" t="s">
        <v>2953</v>
      </c>
    </row>
    <row r="12546" spans="1:26">
      <c r="A12546" s="499">
        <v>45925</v>
      </c>
      <c r="B12546" s="499">
        <v>45925</v>
      </c>
      <c r="C12546" s="420" t="s">
        <v>173</v>
      </c>
      <c r="D12546" s="420" t="s">
        <v>760</v>
      </c>
      <c r="E12546" s="501">
        <v>-58027249.560000002</v>
      </c>
      <c r="F12546" s="95" t="s">
        <v>878</v>
      </c>
      <c r="G12546" s="595">
        <v>119290418</v>
      </c>
      <c r="I12546" s="278" t="s">
        <v>690</v>
      </c>
      <c r="J12546" s="530" t="s">
        <v>906</v>
      </c>
      <c r="N12546" s="420">
        <v>77314</v>
      </c>
      <c r="R12546" s="420">
        <v>750.54</v>
      </c>
      <c r="S12546" s="420">
        <v>750.87311638254403</v>
      </c>
      <c r="T12546" s="420">
        <v>16.2</v>
      </c>
      <c r="U12546" s="278">
        <v>87.04</v>
      </c>
      <c r="V12546" s="278">
        <v>43.52</v>
      </c>
      <c r="Z12546" s="420" t="s">
        <v>2953</v>
      </c>
    </row>
    <row r="12547" spans="1:26">
      <c r="A12547" s="499">
        <v>45925</v>
      </c>
      <c r="B12547" s="499">
        <v>45925</v>
      </c>
      <c r="C12547" s="420" t="s">
        <v>173</v>
      </c>
      <c r="D12547" s="420" t="s">
        <v>760</v>
      </c>
      <c r="E12547" s="501">
        <v>-59035795.060000002</v>
      </c>
      <c r="F12547" s="95" t="s">
        <v>878</v>
      </c>
      <c r="G12547" s="595">
        <v>119290421</v>
      </c>
      <c r="I12547" s="278" t="s">
        <v>711</v>
      </c>
      <c r="J12547" s="530" t="s">
        <v>906</v>
      </c>
      <c r="N12547" s="420">
        <v>74812</v>
      </c>
      <c r="R12547" s="420">
        <v>789.12199999999996</v>
      </c>
      <c r="S12547" s="420">
        <v>789.47224041597599</v>
      </c>
      <c r="T12547" s="420">
        <v>16.2</v>
      </c>
      <c r="U12547" s="278">
        <v>88.55</v>
      </c>
      <c r="V12547" s="278">
        <v>44.28</v>
      </c>
      <c r="Z12547" s="420" t="s">
        <v>2953</v>
      </c>
    </row>
    <row r="12548" spans="1:26">
      <c r="A12548" s="499">
        <v>45925</v>
      </c>
      <c r="B12548" s="499">
        <v>45925</v>
      </c>
      <c r="C12548" s="420" t="s">
        <v>173</v>
      </c>
      <c r="D12548" s="420" t="s">
        <v>760</v>
      </c>
      <c r="E12548" s="501">
        <v>-64024456.700000003</v>
      </c>
      <c r="F12548" s="95" t="s">
        <v>878</v>
      </c>
      <c r="G12548" s="595">
        <v>119290424</v>
      </c>
      <c r="I12548" s="278" t="s">
        <v>696</v>
      </c>
      <c r="J12548" s="530" t="s">
        <v>906</v>
      </c>
      <c r="N12548" s="420">
        <v>84864</v>
      </c>
      <c r="R12548" s="420">
        <v>754.43600000000004</v>
      </c>
      <c r="S12548" s="420">
        <v>754.77084547039999</v>
      </c>
      <c r="T12548" s="420">
        <v>16.2</v>
      </c>
      <c r="U12548" s="278">
        <v>96.04</v>
      </c>
      <c r="V12548" s="278">
        <v>48.02</v>
      </c>
      <c r="Z12548" s="420" t="s">
        <v>2953</v>
      </c>
    </row>
    <row r="12549" spans="1:26">
      <c r="A12549" s="499">
        <v>45925</v>
      </c>
      <c r="B12549" s="499">
        <v>45925</v>
      </c>
      <c r="C12549" s="420" t="s">
        <v>173</v>
      </c>
      <c r="D12549" s="420" t="s">
        <v>760</v>
      </c>
      <c r="E12549" s="501">
        <v>-64048242.939999998</v>
      </c>
      <c r="F12549" s="95" t="s">
        <v>878</v>
      </c>
      <c r="G12549" s="595">
        <v>119290432</v>
      </c>
      <c r="I12549" s="278" t="s">
        <v>600</v>
      </c>
      <c r="J12549" s="530" t="s">
        <v>906</v>
      </c>
      <c r="N12549" s="420">
        <v>70336</v>
      </c>
      <c r="R12549" s="420">
        <v>910.60400000000004</v>
      </c>
      <c r="S12549" s="420">
        <v>911.00815841105498</v>
      </c>
      <c r="T12549" s="420">
        <v>16.2</v>
      </c>
      <c r="U12549" s="278">
        <v>96.07</v>
      </c>
      <c r="V12549" s="278">
        <v>48.04</v>
      </c>
      <c r="Z12549" s="420" t="s">
        <v>2953</v>
      </c>
    </row>
    <row r="12550" spans="1:26">
      <c r="A12550" s="499">
        <v>45925</v>
      </c>
      <c r="B12550" s="499">
        <v>45925</v>
      </c>
      <c r="C12550" s="420" t="s">
        <v>173</v>
      </c>
      <c r="D12550" s="420" t="s">
        <v>760</v>
      </c>
      <c r="E12550" s="501">
        <v>-27011766.600000001</v>
      </c>
      <c r="F12550" s="95" t="s">
        <v>878</v>
      </c>
      <c r="G12550" s="595">
        <v>119290435</v>
      </c>
      <c r="I12550" s="278" t="s">
        <v>590</v>
      </c>
      <c r="J12550" s="530" t="s">
        <v>906</v>
      </c>
      <c r="N12550" s="420">
        <v>28350</v>
      </c>
      <c r="R12550" s="420">
        <v>952.79600000000005</v>
      </c>
      <c r="S12550" s="420">
        <v>953.21888465608504</v>
      </c>
      <c r="T12550" s="420">
        <v>16.2</v>
      </c>
      <c r="U12550" s="278">
        <v>40.520000000000003</v>
      </c>
      <c r="V12550" s="278">
        <v>20.260000000000002</v>
      </c>
      <c r="Z12550" s="420" t="s">
        <v>2953</v>
      </c>
    </row>
    <row r="12551" spans="1:26">
      <c r="A12551" s="499">
        <v>45925</v>
      </c>
      <c r="B12551" s="499">
        <v>45925</v>
      </c>
      <c r="C12551" s="420" t="s">
        <v>173</v>
      </c>
      <c r="D12551" s="420" t="s">
        <v>760</v>
      </c>
      <c r="E12551" s="501">
        <v>-347253315.55000001</v>
      </c>
      <c r="F12551" s="95" t="s">
        <v>878</v>
      </c>
      <c r="G12551" s="595">
        <v>119290610</v>
      </c>
      <c r="I12551" s="278" t="s">
        <v>821</v>
      </c>
      <c r="J12551" s="530" t="s">
        <v>906</v>
      </c>
      <c r="N12551" s="420">
        <v>335896</v>
      </c>
      <c r="R12551" s="420">
        <v>1033.8119999999999</v>
      </c>
      <c r="S12551" s="420">
        <v>1034.27084258223</v>
      </c>
      <c r="T12551" s="420">
        <v>16.2</v>
      </c>
      <c r="U12551" s="278">
        <v>520.88</v>
      </c>
      <c r="V12551" s="278">
        <v>260.44</v>
      </c>
      <c r="Z12551" s="420" t="s">
        <v>2953</v>
      </c>
    </row>
    <row r="12552" spans="1:26">
      <c r="A12552" s="499">
        <v>45925</v>
      </c>
      <c r="B12552" s="499">
        <v>45925</v>
      </c>
      <c r="C12552" s="420" t="s">
        <v>173</v>
      </c>
      <c r="D12552" s="420" t="s">
        <v>760</v>
      </c>
      <c r="E12552" s="501">
        <v>-268255727.21000001</v>
      </c>
      <c r="F12552" s="95" t="s">
        <v>878</v>
      </c>
      <c r="G12552" s="595">
        <v>119290613</v>
      </c>
      <c r="I12552" s="278" t="s">
        <v>654</v>
      </c>
      <c r="J12552" s="530" t="s">
        <v>906</v>
      </c>
      <c r="N12552" s="420">
        <v>264516</v>
      </c>
      <c r="R12552" s="420">
        <v>1014.138</v>
      </c>
      <c r="S12552" s="420">
        <v>1014.58811058688</v>
      </c>
      <c r="T12552" s="420">
        <v>16.2</v>
      </c>
      <c r="U12552" s="278">
        <v>402.38</v>
      </c>
      <c r="V12552" s="278">
        <v>201.19</v>
      </c>
      <c r="Z12552" s="420" t="s">
        <v>2953</v>
      </c>
    </row>
    <row r="12553" spans="1:26">
      <c r="A12553" s="499">
        <v>45925</v>
      </c>
      <c r="B12553" s="499">
        <v>45926</v>
      </c>
      <c r="C12553" s="420" t="s">
        <v>173</v>
      </c>
      <c r="D12553" s="420" t="s">
        <v>760</v>
      </c>
      <c r="E12553" s="501">
        <v>60040781.469999999</v>
      </c>
      <c r="F12553" s="95" t="s">
        <v>878</v>
      </c>
      <c r="G12553" s="595">
        <v>119290084</v>
      </c>
      <c r="H12553" s="595">
        <v>119290084</v>
      </c>
      <c r="I12553" s="278" t="s">
        <v>2944</v>
      </c>
      <c r="J12553" s="530" t="s">
        <v>912</v>
      </c>
      <c r="N12553" s="420">
        <v>62100</v>
      </c>
      <c r="R12553" s="420">
        <v>966.41399999999999</v>
      </c>
      <c r="S12553" s="420">
        <v>966.84028132045103</v>
      </c>
      <c r="T12553" s="420">
        <v>16.100000000000001</v>
      </c>
      <c r="U12553" s="278">
        <v>90.02</v>
      </c>
      <c r="V12553" s="278">
        <v>45.01</v>
      </c>
      <c r="Z12553" s="420" t="s">
        <v>2953</v>
      </c>
    </row>
    <row r="12554" spans="1:26">
      <c r="A12554" s="499">
        <v>45925</v>
      </c>
      <c r="B12554" s="499">
        <v>45926</v>
      </c>
      <c r="C12554" s="420" t="s">
        <v>173</v>
      </c>
      <c r="D12554" s="420" t="s">
        <v>760</v>
      </c>
      <c r="E12554" s="501">
        <v>1240574955.9200001</v>
      </c>
      <c r="F12554" s="95" t="s">
        <v>878</v>
      </c>
      <c r="G12554" s="595">
        <v>119290087</v>
      </c>
      <c r="H12554" s="595">
        <v>119290087</v>
      </c>
      <c r="I12554" s="278" t="s">
        <v>1018</v>
      </c>
      <c r="J12554" s="530" t="s">
        <v>912</v>
      </c>
      <c r="N12554" s="420">
        <v>12548800</v>
      </c>
      <c r="R12554" s="420">
        <v>98.816999999999993</v>
      </c>
      <c r="S12554" s="420">
        <v>98.8600468506949</v>
      </c>
      <c r="T12554" s="420">
        <v>15.9002</v>
      </c>
      <c r="U12554" s="278">
        <v>1860.05</v>
      </c>
      <c r="V12554" s="278">
        <v>930.03</v>
      </c>
      <c r="Z12554" s="420" t="s">
        <v>2953</v>
      </c>
    </row>
    <row r="12555" spans="1:26">
      <c r="A12555" s="499">
        <v>45925</v>
      </c>
      <c r="B12555" s="499">
        <v>45926</v>
      </c>
      <c r="C12555" s="420" t="s">
        <v>173</v>
      </c>
      <c r="D12555" s="420" t="s">
        <v>760</v>
      </c>
      <c r="E12555" s="501">
        <v>1000646.23</v>
      </c>
      <c r="F12555" s="95" t="s">
        <v>878</v>
      </c>
      <c r="G12555" s="595">
        <v>119290175</v>
      </c>
      <c r="H12555" s="595">
        <v>119290175</v>
      </c>
      <c r="I12555" s="278" t="s">
        <v>713</v>
      </c>
      <c r="J12555" s="530" t="s">
        <v>912</v>
      </c>
      <c r="N12555" s="420">
        <v>1282</v>
      </c>
      <c r="R12555" s="420">
        <v>780.18899999999996</v>
      </c>
      <c r="S12555" s="420">
        <v>780.53528081123204</v>
      </c>
      <c r="T12555" s="420">
        <v>16.2</v>
      </c>
      <c r="U12555" s="278">
        <v>39.32</v>
      </c>
      <c r="V12555" s="278">
        <v>0.75</v>
      </c>
      <c r="Z12555" s="420" t="s">
        <v>2953</v>
      </c>
    </row>
    <row r="12556" spans="1:26">
      <c r="A12556" s="499">
        <v>45925</v>
      </c>
      <c r="B12556" s="499">
        <v>45926</v>
      </c>
      <c r="C12556" s="420" t="s">
        <v>173</v>
      </c>
      <c r="D12556" s="420" t="s">
        <v>760</v>
      </c>
      <c r="E12556" s="501">
        <v>1000675.5</v>
      </c>
      <c r="F12556" s="95" t="s">
        <v>878</v>
      </c>
      <c r="G12556" s="595">
        <v>119290178</v>
      </c>
      <c r="H12556" s="595">
        <v>119290178</v>
      </c>
      <c r="I12556" s="278" t="s">
        <v>715</v>
      </c>
      <c r="J12556" s="530" t="s">
        <v>912</v>
      </c>
      <c r="N12556" s="420">
        <v>1637</v>
      </c>
      <c r="R12556" s="420">
        <v>611.01499999999999</v>
      </c>
      <c r="S12556" s="420">
        <v>611.28619425778902</v>
      </c>
      <c r="T12556" s="420">
        <v>16.2</v>
      </c>
      <c r="U12556" s="278">
        <v>39.32</v>
      </c>
      <c r="V12556" s="278">
        <v>0.75</v>
      </c>
      <c r="Z12556" s="420" t="s">
        <v>2953</v>
      </c>
    </row>
    <row r="12557" spans="1:26">
      <c r="A12557" s="499">
        <v>45925</v>
      </c>
      <c r="B12557" s="499">
        <v>45926</v>
      </c>
      <c r="C12557" s="420" t="s">
        <v>173</v>
      </c>
      <c r="D12557" s="420" t="s">
        <v>760</v>
      </c>
      <c r="E12557" s="501">
        <v>1001202.21</v>
      </c>
      <c r="F12557" s="95" t="s">
        <v>878</v>
      </c>
      <c r="G12557" s="595">
        <v>119290181</v>
      </c>
      <c r="H12557" s="595">
        <v>119290181</v>
      </c>
      <c r="I12557" s="278" t="s">
        <v>592</v>
      </c>
      <c r="J12557" s="530" t="s">
        <v>912</v>
      </c>
      <c r="N12557" s="420">
        <v>1257</v>
      </c>
      <c r="R12557" s="420">
        <v>796.14800000000002</v>
      </c>
      <c r="S12557" s="420">
        <v>796.50136038186201</v>
      </c>
      <c r="T12557" s="420">
        <v>16.2</v>
      </c>
      <c r="U12557" s="278">
        <v>39.32</v>
      </c>
      <c r="V12557" s="278">
        <v>0.75</v>
      </c>
      <c r="Z12557" s="420" t="s">
        <v>2953</v>
      </c>
    </row>
    <row r="12558" spans="1:26">
      <c r="A12558" s="499">
        <v>45925</v>
      </c>
      <c r="B12558" s="499">
        <v>45926</v>
      </c>
      <c r="C12558" s="420" t="s">
        <v>173</v>
      </c>
      <c r="D12558" s="420" t="s">
        <v>760</v>
      </c>
      <c r="E12558" s="501">
        <v>1000830.46</v>
      </c>
      <c r="F12558" s="95" t="s">
        <v>878</v>
      </c>
      <c r="G12558" s="595">
        <v>119290184</v>
      </c>
      <c r="H12558" s="595">
        <v>119290184</v>
      </c>
      <c r="I12558" s="278" t="s">
        <v>598</v>
      </c>
      <c r="J12558" s="530" t="s">
        <v>912</v>
      </c>
      <c r="N12558" s="420">
        <v>945</v>
      </c>
      <c r="R12558" s="420">
        <v>1058.6099999999999</v>
      </c>
      <c r="S12558" s="420">
        <v>1059.07985185185</v>
      </c>
      <c r="T12558" s="420">
        <v>16.2</v>
      </c>
      <c r="U12558" s="278">
        <v>39.32</v>
      </c>
      <c r="V12558" s="278">
        <v>0.75</v>
      </c>
      <c r="Z12558" s="420" t="s">
        <v>2953</v>
      </c>
    </row>
    <row r="12559" spans="1:26">
      <c r="A12559" s="499">
        <v>45925</v>
      </c>
      <c r="B12559" s="499">
        <v>45926</v>
      </c>
      <c r="C12559" s="420" t="s">
        <v>173</v>
      </c>
      <c r="D12559" s="420" t="s">
        <v>760</v>
      </c>
      <c r="E12559" s="501">
        <v>2001507.96</v>
      </c>
      <c r="F12559" s="95" t="s">
        <v>878</v>
      </c>
      <c r="G12559" s="595">
        <v>119290187</v>
      </c>
      <c r="H12559" s="595">
        <v>119290187</v>
      </c>
      <c r="I12559" s="278" t="s">
        <v>677</v>
      </c>
      <c r="J12559" s="530" t="s">
        <v>912</v>
      </c>
      <c r="N12559" s="420">
        <v>2246</v>
      </c>
      <c r="R12559" s="420">
        <v>890.74800000000005</v>
      </c>
      <c r="S12559" s="420">
        <v>891.14334817453198</v>
      </c>
      <c r="T12559" s="420">
        <v>16.2</v>
      </c>
      <c r="U12559" s="278">
        <v>39.32</v>
      </c>
      <c r="V12559" s="278">
        <v>1.5</v>
      </c>
      <c r="Z12559" s="420" t="s">
        <v>2953</v>
      </c>
    </row>
    <row r="12560" spans="1:26">
      <c r="A12560" s="499">
        <v>45925</v>
      </c>
      <c r="B12560" s="499">
        <v>45926</v>
      </c>
      <c r="C12560" s="420" t="s">
        <v>173</v>
      </c>
      <c r="D12560" s="420" t="s">
        <v>760</v>
      </c>
      <c r="E12560" s="501">
        <v>2002395.93</v>
      </c>
      <c r="F12560" s="95" t="s">
        <v>878</v>
      </c>
      <c r="G12560" s="595">
        <v>119290190</v>
      </c>
      <c r="H12560" s="595">
        <v>119290190</v>
      </c>
      <c r="I12560" s="278" t="s">
        <v>600</v>
      </c>
      <c r="J12560" s="530" t="s">
        <v>912</v>
      </c>
      <c r="N12560" s="420">
        <v>2198</v>
      </c>
      <c r="R12560" s="420">
        <v>910.60400000000004</v>
      </c>
      <c r="S12560" s="420">
        <v>911.00815741583301</v>
      </c>
      <c r="T12560" s="420">
        <v>16.2</v>
      </c>
      <c r="U12560" s="278">
        <v>39.32</v>
      </c>
      <c r="V12560" s="278">
        <v>1.5</v>
      </c>
      <c r="Z12560" s="420" t="s">
        <v>2953</v>
      </c>
    </row>
    <row r="12561" spans="1:26">
      <c r="A12561" s="499">
        <v>45925</v>
      </c>
      <c r="B12561" s="499">
        <v>45926</v>
      </c>
      <c r="C12561" s="420" t="s">
        <v>173</v>
      </c>
      <c r="D12561" s="420" t="s">
        <v>760</v>
      </c>
      <c r="E12561" s="501">
        <v>4003064.84</v>
      </c>
      <c r="F12561" s="95" t="s">
        <v>878</v>
      </c>
      <c r="G12561" s="595">
        <v>119290212</v>
      </c>
      <c r="H12561" s="595">
        <v>119290212</v>
      </c>
      <c r="I12561" s="278" t="s">
        <v>604</v>
      </c>
      <c r="J12561" s="530" t="s">
        <v>912</v>
      </c>
      <c r="N12561" s="420">
        <v>3848</v>
      </c>
      <c r="R12561" s="420">
        <v>1039.836</v>
      </c>
      <c r="S12561" s="420">
        <v>1040.2975155925201</v>
      </c>
      <c r="T12561" s="420">
        <v>16.2</v>
      </c>
      <c r="U12561" s="278">
        <v>39.32</v>
      </c>
      <c r="V12561" s="278">
        <v>3</v>
      </c>
      <c r="Z12561" s="420" t="s">
        <v>2953</v>
      </c>
    </row>
    <row r="12562" spans="1:26">
      <c r="A12562" s="499">
        <v>45925</v>
      </c>
      <c r="B12562" s="499">
        <v>45926</v>
      </c>
      <c r="C12562" s="420" t="s">
        <v>173</v>
      </c>
      <c r="D12562" s="420" t="s">
        <v>760</v>
      </c>
      <c r="E12562" s="501">
        <v>5005989.83</v>
      </c>
      <c r="F12562" s="95" t="s">
        <v>878</v>
      </c>
      <c r="G12562" s="595">
        <v>119290215</v>
      </c>
      <c r="H12562" s="595">
        <v>119290215</v>
      </c>
      <c r="I12562" s="278" t="s">
        <v>600</v>
      </c>
      <c r="J12562" s="530" t="s">
        <v>912</v>
      </c>
      <c r="N12562" s="420">
        <v>5495</v>
      </c>
      <c r="R12562" s="420">
        <v>910.60400000000004</v>
      </c>
      <c r="S12562" s="420">
        <v>911.00815832575097</v>
      </c>
      <c r="T12562" s="420">
        <v>16.2</v>
      </c>
      <c r="U12562" s="278">
        <v>39.32</v>
      </c>
      <c r="V12562" s="278">
        <v>3.75</v>
      </c>
      <c r="Z12562" s="420" t="s">
        <v>2953</v>
      </c>
    </row>
    <row r="12563" spans="1:26">
      <c r="A12563" s="499">
        <v>45925</v>
      </c>
      <c r="B12563" s="499">
        <v>45926</v>
      </c>
      <c r="C12563" s="420" t="s">
        <v>173</v>
      </c>
      <c r="D12563" s="420" t="s">
        <v>760</v>
      </c>
      <c r="E12563" s="501">
        <v>6004956.8499999996</v>
      </c>
      <c r="F12563" s="95" t="s">
        <v>878</v>
      </c>
      <c r="G12563" s="595">
        <v>119290218</v>
      </c>
      <c r="H12563" s="595">
        <v>119290218</v>
      </c>
      <c r="I12563" s="278" t="s">
        <v>696</v>
      </c>
      <c r="J12563" s="530" t="s">
        <v>912</v>
      </c>
      <c r="N12563" s="420">
        <v>7956</v>
      </c>
      <c r="R12563" s="420">
        <v>754.43600000000004</v>
      </c>
      <c r="S12563" s="420">
        <v>754.77084590246295</v>
      </c>
      <c r="T12563" s="420">
        <v>16.2</v>
      </c>
      <c r="U12563" s="278">
        <v>39.32</v>
      </c>
      <c r="V12563" s="278">
        <v>4.5</v>
      </c>
      <c r="Z12563" s="420" t="s">
        <v>2953</v>
      </c>
    </row>
    <row r="12564" spans="1:26">
      <c r="A12564" s="499">
        <v>45925</v>
      </c>
      <c r="B12564" s="499">
        <v>45926</v>
      </c>
      <c r="C12564" s="420" t="s">
        <v>173</v>
      </c>
      <c r="D12564" s="420" t="s">
        <v>760</v>
      </c>
      <c r="E12564" s="501">
        <v>6005661.6399999997</v>
      </c>
      <c r="F12564" s="95" t="s">
        <v>878</v>
      </c>
      <c r="G12564" s="595">
        <v>119290221</v>
      </c>
      <c r="H12564" s="595">
        <v>119290221</v>
      </c>
      <c r="I12564" s="278" t="s">
        <v>676</v>
      </c>
      <c r="J12564" s="530" t="s">
        <v>912</v>
      </c>
      <c r="N12564" s="420">
        <v>7146</v>
      </c>
      <c r="R12564" s="420">
        <v>840.05</v>
      </c>
      <c r="S12564" s="420">
        <v>840.42284354883896</v>
      </c>
      <c r="T12564" s="420">
        <v>16.2</v>
      </c>
      <c r="U12564" s="278">
        <v>39.32</v>
      </c>
      <c r="V12564" s="278">
        <v>4.5</v>
      </c>
      <c r="Z12564" s="420" t="s">
        <v>2953</v>
      </c>
    </row>
    <row r="12565" spans="1:26">
      <c r="A12565" s="499">
        <v>45925</v>
      </c>
      <c r="B12565" s="499">
        <v>45926</v>
      </c>
      <c r="C12565" s="420" t="s">
        <v>173</v>
      </c>
      <c r="D12565" s="420" t="s">
        <v>760</v>
      </c>
      <c r="E12565" s="501">
        <v>7005806.5999999996</v>
      </c>
      <c r="F12565" s="95" t="s">
        <v>878</v>
      </c>
      <c r="G12565" s="595">
        <v>119290224</v>
      </c>
      <c r="H12565" s="595">
        <v>119290224</v>
      </c>
      <c r="I12565" s="278" t="s">
        <v>674</v>
      </c>
      <c r="J12565" s="530" t="s">
        <v>912</v>
      </c>
      <c r="N12565" s="420">
        <v>7777</v>
      </c>
      <c r="R12565" s="420">
        <v>900.43700000000001</v>
      </c>
      <c r="S12565" s="420">
        <v>900.83664652179505</v>
      </c>
      <c r="T12565" s="420">
        <v>16.2</v>
      </c>
      <c r="U12565" s="278">
        <v>39.32</v>
      </c>
      <c r="V12565" s="278">
        <v>5.25</v>
      </c>
      <c r="Z12565" s="420" t="s">
        <v>2953</v>
      </c>
    </row>
    <row r="12566" spans="1:26">
      <c r="A12566" s="499">
        <v>45925</v>
      </c>
      <c r="B12566" s="499">
        <v>45926</v>
      </c>
      <c r="C12566" s="420" t="s">
        <v>173</v>
      </c>
      <c r="D12566" s="420" t="s">
        <v>760</v>
      </c>
      <c r="E12566" s="501">
        <v>10007662.109999999</v>
      </c>
      <c r="F12566" s="95" t="s">
        <v>878</v>
      </c>
      <c r="G12566" s="595">
        <v>119290227</v>
      </c>
      <c r="H12566" s="595">
        <v>119290227</v>
      </c>
      <c r="I12566" s="278" t="s">
        <v>604</v>
      </c>
      <c r="J12566" s="530" t="s">
        <v>912</v>
      </c>
      <c r="N12566" s="420">
        <v>9620</v>
      </c>
      <c r="R12566" s="420">
        <v>1039.836</v>
      </c>
      <c r="S12566" s="420">
        <v>1040.29751663202</v>
      </c>
      <c r="T12566" s="420">
        <v>16.2</v>
      </c>
      <c r="U12566" s="278">
        <v>39.32</v>
      </c>
      <c r="V12566" s="278">
        <v>7.5</v>
      </c>
      <c r="Z12566" s="420" t="s">
        <v>2953</v>
      </c>
    </row>
    <row r="12567" spans="1:26">
      <c r="A12567" s="499">
        <v>45925</v>
      </c>
      <c r="B12567" s="499">
        <v>45926</v>
      </c>
      <c r="C12567" s="420" t="s">
        <v>173</v>
      </c>
      <c r="D12567" s="420" t="s">
        <v>760</v>
      </c>
      <c r="E12567" s="501">
        <v>11009562.26</v>
      </c>
      <c r="F12567" s="95" t="s">
        <v>878</v>
      </c>
      <c r="G12567" s="595">
        <v>119290230</v>
      </c>
      <c r="H12567" s="595">
        <v>119290230</v>
      </c>
      <c r="I12567" s="278" t="s">
        <v>816</v>
      </c>
      <c r="J12567" s="530" t="s">
        <v>912</v>
      </c>
      <c r="N12567" s="420">
        <v>10406</v>
      </c>
      <c r="R12567" s="420">
        <v>1057.5319999999999</v>
      </c>
      <c r="S12567" s="420">
        <v>1058.0013703632501</v>
      </c>
      <c r="T12567" s="420">
        <v>16.2</v>
      </c>
      <c r="U12567" s="278">
        <v>39.32</v>
      </c>
      <c r="V12567" s="278">
        <v>8.25</v>
      </c>
      <c r="Z12567" s="420" t="s">
        <v>2953</v>
      </c>
    </row>
    <row r="12568" spans="1:26">
      <c r="A12568" s="499">
        <v>45925</v>
      </c>
      <c r="B12568" s="499">
        <v>45926</v>
      </c>
      <c r="C12568" s="420" t="s">
        <v>173</v>
      </c>
      <c r="D12568" s="420" t="s">
        <v>760</v>
      </c>
      <c r="E12568" s="501">
        <v>12006791.630000001</v>
      </c>
      <c r="F12568" s="95" t="s">
        <v>878</v>
      </c>
      <c r="G12568" s="595">
        <v>119290233</v>
      </c>
      <c r="H12568" s="595">
        <v>119290233</v>
      </c>
      <c r="I12568" s="278" t="s">
        <v>695</v>
      </c>
      <c r="J12568" s="530" t="s">
        <v>912</v>
      </c>
      <c r="N12568" s="420">
        <v>16764</v>
      </c>
      <c r="R12568" s="420">
        <v>715.90700000000004</v>
      </c>
      <c r="S12568" s="420">
        <v>716.22474528752105</v>
      </c>
      <c r="T12568" s="420">
        <v>16.2</v>
      </c>
      <c r="U12568" s="278">
        <v>39.32</v>
      </c>
      <c r="V12568" s="278">
        <v>9</v>
      </c>
      <c r="Z12568" s="420" t="s">
        <v>2953</v>
      </c>
    </row>
    <row r="12569" spans="1:26">
      <c r="A12569" s="499">
        <v>45925</v>
      </c>
      <c r="B12569" s="499">
        <v>45926</v>
      </c>
      <c r="C12569" s="420" t="s">
        <v>173</v>
      </c>
      <c r="D12569" s="420" t="s">
        <v>760</v>
      </c>
      <c r="E12569" s="501">
        <v>15013039.449999999</v>
      </c>
      <c r="F12569" s="95" t="s">
        <v>878</v>
      </c>
      <c r="G12569" s="595">
        <v>119290236</v>
      </c>
      <c r="H12569" s="595">
        <v>119290236</v>
      </c>
      <c r="I12569" s="278" t="s">
        <v>816</v>
      </c>
      <c r="J12569" s="530" t="s">
        <v>912</v>
      </c>
      <c r="N12569" s="420">
        <v>14190</v>
      </c>
      <c r="R12569" s="420">
        <v>1057.5319999999999</v>
      </c>
      <c r="S12569" s="420">
        <v>1058.00137068358</v>
      </c>
      <c r="T12569" s="420">
        <v>16.2</v>
      </c>
      <c r="U12569" s="278">
        <v>39.32</v>
      </c>
      <c r="V12569" s="278">
        <v>11.25</v>
      </c>
      <c r="Z12569" s="420" t="s">
        <v>2953</v>
      </c>
    </row>
    <row r="12570" spans="1:26">
      <c r="A12570" s="499">
        <v>45925</v>
      </c>
      <c r="B12570" s="499">
        <v>45926</v>
      </c>
      <c r="C12570" s="420" t="s">
        <v>173</v>
      </c>
      <c r="D12570" s="420" t="s">
        <v>760</v>
      </c>
      <c r="E12570" s="501">
        <v>16013643.630000001</v>
      </c>
      <c r="F12570" s="95" t="s">
        <v>878</v>
      </c>
      <c r="G12570" s="595">
        <v>119290239</v>
      </c>
      <c r="H12570" s="595">
        <v>119290239</v>
      </c>
      <c r="I12570" s="278" t="s">
        <v>819</v>
      </c>
      <c r="J12570" s="530" t="s">
        <v>912</v>
      </c>
      <c r="N12570" s="420">
        <v>15072</v>
      </c>
      <c r="R12570" s="420">
        <v>1062.0050000000001</v>
      </c>
      <c r="S12570" s="420">
        <v>1062.4763554936301</v>
      </c>
      <c r="T12570" s="420">
        <v>16.2</v>
      </c>
      <c r="U12570" s="278">
        <v>39.32</v>
      </c>
      <c r="V12570" s="278">
        <v>12</v>
      </c>
      <c r="Z12570" s="420" t="s">
        <v>2953</v>
      </c>
    </row>
    <row r="12571" spans="1:26">
      <c r="A12571" s="499">
        <v>45925</v>
      </c>
      <c r="B12571" s="499">
        <v>45926</v>
      </c>
      <c r="C12571" s="420" t="s">
        <v>173</v>
      </c>
      <c r="D12571" s="420" t="s">
        <v>760</v>
      </c>
      <c r="E12571" s="501">
        <v>16015097.720000001</v>
      </c>
      <c r="F12571" s="95" t="s">
        <v>878</v>
      </c>
      <c r="G12571" s="595">
        <v>119290242</v>
      </c>
      <c r="H12571" s="595">
        <v>119290242</v>
      </c>
      <c r="I12571" s="278" t="s">
        <v>676</v>
      </c>
      <c r="J12571" s="530" t="s">
        <v>912</v>
      </c>
      <c r="N12571" s="420">
        <v>19056</v>
      </c>
      <c r="R12571" s="420">
        <v>840.05</v>
      </c>
      <c r="S12571" s="420">
        <v>840.42284424853096</v>
      </c>
      <c r="T12571" s="420">
        <v>16.2</v>
      </c>
      <c r="U12571" s="278">
        <v>39.32</v>
      </c>
      <c r="V12571" s="278">
        <v>12.01</v>
      </c>
      <c r="Z12571" s="420" t="s">
        <v>2953</v>
      </c>
    </row>
    <row r="12572" spans="1:26">
      <c r="A12572" s="499">
        <v>45925</v>
      </c>
      <c r="B12572" s="499">
        <v>45926</v>
      </c>
      <c r="C12572" s="420" t="s">
        <v>173</v>
      </c>
      <c r="D12572" s="420" t="s">
        <v>760</v>
      </c>
      <c r="E12572" s="501">
        <v>17018404.449999999</v>
      </c>
      <c r="F12572" s="95" t="s">
        <v>878</v>
      </c>
      <c r="G12572" s="595">
        <v>119290246</v>
      </c>
      <c r="H12572" s="595">
        <v>119290246</v>
      </c>
      <c r="I12572" s="278" t="s">
        <v>689</v>
      </c>
      <c r="J12572" s="530" t="s">
        <v>912</v>
      </c>
      <c r="N12572" s="420">
        <v>21964</v>
      </c>
      <c r="R12572" s="420">
        <v>774.48800000000006</v>
      </c>
      <c r="S12572" s="420">
        <v>774.83174512839196</v>
      </c>
      <c r="T12572" s="420">
        <v>16.2</v>
      </c>
      <c r="U12572" s="278">
        <v>39.32</v>
      </c>
      <c r="V12572" s="278">
        <v>12.76</v>
      </c>
      <c r="Z12572" s="420" t="s">
        <v>2953</v>
      </c>
    </row>
    <row r="12573" spans="1:26">
      <c r="A12573" s="499">
        <v>45925</v>
      </c>
      <c r="B12573" s="499">
        <v>45926</v>
      </c>
      <c r="C12573" s="420" t="s">
        <v>173</v>
      </c>
      <c r="D12573" s="420" t="s">
        <v>760</v>
      </c>
      <c r="E12573" s="501">
        <v>17014101.73</v>
      </c>
      <c r="F12573" s="95" t="s">
        <v>878</v>
      </c>
      <c r="G12573" s="595">
        <v>119290249</v>
      </c>
      <c r="H12573" s="595">
        <v>119290249</v>
      </c>
      <c r="I12573" s="278" t="s">
        <v>674</v>
      </c>
      <c r="J12573" s="530" t="s">
        <v>912</v>
      </c>
      <c r="N12573" s="420">
        <v>18887</v>
      </c>
      <c r="R12573" s="420">
        <v>900.43700000000001</v>
      </c>
      <c r="S12573" s="420">
        <v>900.83664584105497</v>
      </c>
      <c r="T12573" s="420">
        <v>16.2</v>
      </c>
      <c r="U12573" s="278">
        <v>39.32</v>
      </c>
      <c r="V12573" s="278">
        <v>12.75</v>
      </c>
      <c r="Z12573" s="420" t="s">
        <v>2953</v>
      </c>
    </row>
    <row r="12574" spans="1:26">
      <c r="A12574" s="499">
        <v>45925</v>
      </c>
      <c r="B12574" s="499">
        <v>45926</v>
      </c>
      <c r="C12574" s="420" t="s">
        <v>173</v>
      </c>
      <c r="D12574" s="420" t="s">
        <v>760</v>
      </c>
      <c r="E12574" s="501">
        <v>18011738.260000002</v>
      </c>
      <c r="F12574" s="95" t="s">
        <v>878</v>
      </c>
      <c r="G12574" s="595">
        <v>119290252</v>
      </c>
      <c r="H12574" s="595">
        <v>119290252</v>
      </c>
      <c r="I12574" s="278" t="s">
        <v>602</v>
      </c>
      <c r="J12574" s="530" t="s">
        <v>912</v>
      </c>
      <c r="N12574" s="420">
        <v>21582</v>
      </c>
      <c r="R12574" s="420">
        <v>834.202</v>
      </c>
      <c r="S12574" s="420">
        <v>834.572248169771</v>
      </c>
      <c r="T12574" s="420">
        <v>16.2</v>
      </c>
      <c r="U12574" s="278">
        <v>39.32</v>
      </c>
      <c r="V12574" s="278">
        <v>13.5</v>
      </c>
      <c r="Z12574" s="420" t="s">
        <v>2953</v>
      </c>
    </row>
    <row r="12575" spans="1:26">
      <c r="A12575" s="499">
        <v>45925</v>
      </c>
      <c r="B12575" s="499">
        <v>45926</v>
      </c>
      <c r="C12575" s="420" t="s">
        <v>173</v>
      </c>
      <c r="D12575" s="420" t="s">
        <v>760</v>
      </c>
      <c r="E12575" s="501">
        <v>19016687.859999999</v>
      </c>
      <c r="F12575" s="95" t="s">
        <v>878</v>
      </c>
      <c r="G12575" s="595">
        <v>119290255</v>
      </c>
      <c r="H12575" s="595">
        <v>119290255</v>
      </c>
      <c r="I12575" s="278" t="s">
        <v>588</v>
      </c>
      <c r="J12575" s="530" t="s">
        <v>912</v>
      </c>
      <c r="N12575" s="420">
        <v>20824</v>
      </c>
      <c r="R12575" s="420">
        <v>912.80499999999995</v>
      </c>
      <c r="S12575" s="420">
        <v>913.21013542066805</v>
      </c>
      <c r="T12575" s="420">
        <v>16.2</v>
      </c>
      <c r="U12575" s="278">
        <v>39.32</v>
      </c>
      <c r="V12575" s="278">
        <v>14.26</v>
      </c>
      <c r="Z12575" s="420" t="s">
        <v>2953</v>
      </c>
    </row>
    <row r="12576" spans="1:26">
      <c r="A12576" s="499">
        <v>45925</v>
      </c>
      <c r="B12576" s="499">
        <v>45926</v>
      </c>
      <c r="C12576" s="420" t="s">
        <v>173</v>
      </c>
      <c r="D12576" s="420" t="s">
        <v>760</v>
      </c>
      <c r="E12576" s="501">
        <v>20022268.489999998</v>
      </c>
      <c r="F12576" s="95" t="s">
        <v>878</v>
      </c>
      <c r="G12576" s="595">
        <v>119290258</v>
      </c>
      <c r="H12576" s="595">
        <v>119290258</v>
      </c>
      <c r="I12576" s="278" t="s">
        <v>657</v>
      </c>
      <c r="J12576" s="530" t="s">
        <v>912</v>
      </c>
      <c r="N12576" s="420">
        <v>20720</v>
      </c>
      <c r="R12576" s="420">
        <v>965.89700000000005</v>
      </c>
      <c r="S12576" s="420">
        <v>966.32569932432398</v>
      </c>
      <c r="T12576" s="420">
        <v>16.2</v>
      </c>
      <c r="U12576" s="278">
        <v>39.32</v>
      </c>
      <c r="V12576" s="278">
        <v>15.01</v>
      </c>
      <c r="Z12576" s="420" t="s">
        <v>2953</v>
      </c>
    </row>
    <row r="12577" spans="1:26">
      <c r="A12577" s="499">
        <v>45925</v>
      </c>
      <c r="B12577" s="499">
        <v>45926</v>
      </c>
      <c r="C12577" s="420" t="s">
        <v>173</v>
      </c>
      <c r="D12577" s="420" t="s">
        <v>760</v>
      </c>
      <c r="E12577" s="501">
        <v>21016709.739999998</v>
      </c>
      <c r="F12577" s="95" t="s">
        <v>878</v>
      </c>
      <c r="G12577" s="595">
        <v>119290261</v>
      </c>
      <c r="H12577" s="595">
        <v>119290261</v>
      </c>
      <c r="I12577" s="278" t="s">
        <v>717</v>
      </c>
      <c r="J12577" s="530" t="s">
        <v>912</v>
      </c>
      <c r="N12577" s="420">
        <v>35595</v>
      </c>
      <c r="R12577" s="420">
        <v>590.178</v>
      </c>
      <c r="S12577" s="420">
        <v>590.43994212670304</v>
      </c>
      <c r="T12577" s="420">
        <v>16.2</v>
      </c>
      <c r="U12577" s="278">
        <v>39.32</v>
      </c>
      <c r="V12577" s="278">
        <v>15.76</v>
      </c>
      <c r="Z12577" s="420" t="s">
        <v>2953</v>
      </c>
    </row>
    <row r="12578" spans="1:26">
      <c r="A12578" s="499">
        <v>45925</v>
      </c>
      <c r="B12578" s="499">
        <v>45926</v>
      </c>
      <c r="C12578" s="420" t="s">
        <v>173</v>
      </c>
      <c r="D12578" s="420" t="s">
        <v>760</v>
      </c>
      <c r="E12578" s="501">
        <v>22014860.850000001</v>
      </c>
      <c r="F12578" s="95" t="s">
        <v>878</v>
      </c>
      <c r="G12578" s="595">
        <v>119290264</v>
      </c>
      <c r="H12578" s="595">
        <v>119290264</v>
      </c>
      <c r="I12578" s="278" t="s">
        <v>715</v>
      </c>
      <c r="J12578" s="530" t="s">
        <v>912</v>
      </c>
      <c r="N12578" s="420">
        <v>36014</v>
      </c>
      <c r="R12578" s="420">
        <v>611.01499999999999</v>
      </c>
      <c r="S12578" s="420">
        <v>611.286190092742</v>
      </c>
      <c r="T12578" s="420">
        <v>16.2</v>
      </c>
      <c r="U12578" s="278">
        <v>39.32</v>
      </c>
      <c r="V12578" s="278">
        <v>16.5</v>
      </c>
      <c r="Z12578" s="420" t="s">
        <v>2953</v>
      </c>
    </row>
    <row r="12579" spans="1:26">
      <c r="A12579" s="499">
        <v>45925</v>
      </c>
      <c r="B12579" s="499">
        <v>45926</v>
      </c>
      <c r="C12579" s="420" t="s">
        <v>173</v>
      </c>
      <c r="D12579" s="420" t="s">
        <v>760</v>
      </c>
      <c r="E12579" s="501">
        <v>23013017.289999999</v>
      </c>
      <c r="F12579" s="95" t="s">
        <v>878</v>
      </c>
      <c r="G12579" s="595">
        <v>119290267</v>
      </c>
      <c r="H12579" s="595">
        <v>119290267</v>
      </c>
      <c r="I12579" s="278" t="s">
        <v>695</v>
      </c>
      <c r="J12579" s="530" t="s">
        <v>912</v>
      </c>
      <c r="N12579" s="420">
        <v>32131</v>
      </c>
      <c r="R12579" s="420">
        <v>715.90700000000004</v>
      </c>
      <c r="S12579" s="420">
        <v>716.22474526158499</v>
      </c>
      <c r="T12579" s="420">
        <v>16.2</v>
      </c>
      <c r="U12579" s="278">
        <v>39.32</v>
      </c>
      <c r="V12579" s="278">
        <v>17.25</v>
      </c>
      <c r="Z12579" s="420" t="s">
        <v>2953</v>
      </c>
    </row>
    <row r="12580" spans="1:26">
      <c r="A12580" s="499">
        <v>45925</v>
      </c>
      <c r="B12580" s="499">
        <v>45926</v>
      </c>
      <c r="C12580" s="420" t="s">
        <v>173</v>
      </c>
      <c r="D12580" s="420" t="s">
        <v>760</v>
      </c>
      <c r="E12580" s="501">
        <v>24021115.899999999</v>
      </c>
      <c r="F12580" s="95" t="s">
        <v>878</v>
      </c>
      <c r="G12580" s="595">
        <v>119290270</v>
      </c>
      <c r="H12580" s="595">
        <v>119290270</v>
      </c>
      <c r="I12580" s="278" t="s">
        <v>590</v>
      </c>
      <c r="J12580" s="530" t="s">
        <v>912</v>
      </c>
      <c r="N12580" s="420">
        <v>25200</v>
      </c>
      <c r="R12580" s="420">
        <v>952.79600000000005</v>
      </c>
      <c r="S12580" s="420">
        <v>953.21888492063499</v>
      </c>
      <c r="T12580" s="420">
        <v>16.2</v>
      </c>
      <c r="U12580" s="278">
        <v>39.32</v>
      </c>
      <c r="V12580" s="278">
        <v>18.010000000000002</v>
      </c>
      <c r="Z12580" s="420" t="s">
        <v>2953</v>
      </c>
    </row>
    <row r="12581" spans="1:26">
      <c r="A12581" s="499">
        <v>45925</v>
      </c>
      <c r="B12581" s="499">
        <v>45926</v>
      </c>
      <c r="C12581" s="420" t="s">
        <v>173</v>
      </c>
      <c r="D12581" s="420" t="s">
        <v>760</v>
      </c>
      <c r="E12581" s="501">
        <v>25029354.390000001</v>
      </c>
      <c r="F12581" s="95" t="s">
        <v>878</v>
      </c>
      <c r="G12581" s="595">
        <v>119290273</v>
      </c>
      <c r="H12581" s="595">
        <v>119290273</v>
      </c>
      <c r="I12581" s="278" t="s">
        <v>821</v>
      </c>
      <c r="J12581" s="530" t="s">
        <v>912</v>
      </c>
      <c r="N12581" s="420">
        <v>24200</v>
      </c>
      <c r="R12581" s="420">
        <v>1033.8119999999999</v>
      </c>
      <c r="S12581" s="420">
        <v>1034.2708425619801</v>
      </c>
      <c r="T12581" s="420">
        <v>16.2</v>
      </c>
      <c r="U12581" s="278">
        <v>39.32</v>
      </c>
      <c r="V12581" s="278">
        <v>18.760000000000002</v>
      </c>
      <c r="Z12581" s="420" t="s">
        <v>2953</v>
      </c>
    </row>
    <row r="12582" spans="1:26">
      <c r="A12582" s="499">
        <v>45925</v>
      </c>
      <c r="B12582" s="499">
        <v>45926</v>
      </c>
      <c r="C12582" s="420" t="s">
        <v>173</v>
      </c>
      <c r="D12582" s="420" t="s">
        <v>760</v>
      </c>
      <c r="E12582" s="501">
        <v>25020653.530000001</v>
      </c>
      <c r="F12582" s="95" t="s">
        <v>878</v>
      </c>
      <c r="G12582" s="595">
        <v>119290276</v>
      </c>
      <c r="H12582" s="595">
        <v>119290276</v>
      </c>
      <c r="I12582" s="278" t="s">
        <v>696</v>
      </c>
      <c r="J12582" s="530" t="s">
        <v>912</v>
      </c>
      <c r="N12582" s="420">
        <v>33150</v>
      </c>
      <c r="R12582" s="420">
        <v>754.43600000000004</v>
      </c>
      <c r="S12582" s="420">
        <v>754.77084555052795</v>
      </c>
      <c r="T12582" s="420">
        <v>16.2</v>
      </c>
      <c r="U12582" s="278">
        <v>39.32</v>
      </c>
      <c r="V12582" s="278">
        <v>18.760000000000002</v>
      </c>
      <c r="Z12582" s="420" t="s">
        <v>2953</v>
      </c>
    </row>
    <row r="12583" spans="1:26">
      <c r="A12583" s="499">
        <v>45925</v>
      </c>
      <c r="B12583" s="499">
        <v>45926</v>
      </c>
      <c r="C12583" s="420" t="s">
        <v>173</v>
      </c>
      <c r="D12583" s="420" t="s">
        <v>760</v>
      </c>
      <c r="E12583" s="501">
        <v>26016249.379999999</v>
      </c>
      <c r="F12583" s="95" t="s">
        <v>878</v>
      </c>
      <c r="G12583" s="595">
        <v>119290279</v>
      </c>
      <c r="H12583" s="595">
        <v>119290279</v>
      </c>
      <c r="I12583" s="278" t="s">
        <v>709</v>
      </c>
      <c r="J12583" s="530" t="s">
        <v>912</v>
      </c>
      <c r="N12583" s="420">
        <v>36244</v>
      </c>
      <c r="R12583" s="420">
        <v>717.49</v>
      </c>
      <c r="S12583" s="420">
        <v>717.80844774307502</v>
      </c>
      <c r="T12583" s="420">
        <v>16.2</v>
      </c>
      <c r="U12583" s="278">
        <v>39.32</v>
      </c>
      <c r="V12583" s="278">
        <v>19.5</v>
      </c>
      <c r="Z12583" s="420" t="s">
        <v>2953</v>
      </c>
    </row>
    <row r="12584" spans="1:26">
      <c r="A12584" s="499">
        <v>45925</v>
      </c>
      <c r="B12584" s="499">
        <v>45926</v>
      </c>
      <c r="C12584" s="420" t="s">
        <v>173</v>
      </c>
      <c r="D12584" s="420" t="s">
        <v>760</v>
      </c>
      <c r="E12584" s="501">
        <v>26031257.41</v>
      </c>
      <c r="F12584" s="95" t="s">
        <v>878</v>
      </c>
      <c r="G12584" s="595">
        <v>119290358</v>
      </c>
      <c r="H12584" s="595">
        <v>119290358</v>
      </c>
      <c r="I12584" s="278" t="s">
        <v>592</v>
      </c>
      <c r="J12584" s="530" t="s">
        <v>912</v>
      </c>
      <c r="N12584" s="420">
        <v>32682</v>
      </c>
      <c r="R12584" s="420">
        <v>796.14800000000002</v>
      </c>
      <c r="S12584" s="420">
        <v>796.50135885196698</v>
      </c>
      <c r="T12584" s="420">
        <v>16.2</v>
      </c>
      <c r="U12584" s="278">
        <v>39.32</v>
      </c>
      <c r="V12584" s="278">
        <v>19.510000000000002</v>
      </c>
      <c r="Z12584" s="420" t="s">
        <v>2953</v>
      </c>
    </row>
    <row r="12585" spans="1:26">
      <c r="A12585" s="499">
        <v>45925</v>
      </c>
      <c r="B12585" s="499">
        <v>45926</v>
      </c>
      <c r="C12585" s="420" t="s">
        <v>173</v>
      </c>
      <c r="D12585" s="420" t="s">
        <v>760</v>
      </c>
      <c r="E12585" s="501">
        <v>27022422.34</v>
      </c>
      <c r="F12585" s="95" t="s">
        <v>878</v>
      </c>
      <c r="G12585" s="595">
        <v>119290361</v>
      </c>
      <c r="H12585" s="595">
        <v>119290361</v>
      </c>
      <c r="I12585" s="278" t="s">
        <v>598</v>
      </c>
      <c r="J12585" s="530" t="s">
        <v>912</v>
      </c>
      <c r="N12585" s="420">
        <v>25515</v>
      </c>
      <c r="R12585" s="420">
        <v>1058.6099999999999</v>
      </c>
      <c r="S12585" s="420">
        <v>1059.07984871644</v>
      </c>
      <c r="T12585" s="420">
        <v>16.2</v>
      </c>
      <c r="U12585" s="278">
        <v>40.520000000000003</v>
      </c>
      <c r="V12585" s="278">
        <v>20.260000000000002</v>
      </c>
      <c r="Z12585" s="420" t="s">
        <v>2953</v>
      </c>
    </row>
    <row r="12586" spans="1:26">
      <c r="A12586" s="499">
        <v>45925</v>
      </c>
      <c r="B12586" s="499">
        <v>45926</v>
      </c>
      <c r="C12586" s="420" t="s">
        <v>173</v>
      </c>
      <c r="D12586" s="420" t="s">
        <v>760</v>
      </c>
      <c r="E12586" s="501">
        <v>27029439.66</v>
      </c>
      <c r="F12586" s="95" t="s">
        <v>878</v>
      </c>
      <c r="G12586" s="595">
        <v>119290364</v>
      </c>
      <c r="H12586" s="595">
        <v>119290364</v>
      </c>
      <c r="I12586" s="278" t="s">
        <v>706</v>
      </c>
      <c r="J12586" s="530" t="s">
        <v>912</v>
      </c>
      <c r="N12586" s="420">
        <v>34911</v>
      </c>
      <c r="R12586" s="420">
        <v>773.89499999999998</v>
      </c>
      <c r="S12586" s="420">
        <v>774.23848242674205</v>
      </c>
      <c r="T12586" s="420">
        <v>16.2</v>
      </c>
      <c r="U12586" s="278">
        <v>40.53</v>
      </c>
      <c r="V12586" s="278">
        <v>20.260000000000002</v>
      </c>
      <c r="Z12586" s="420" t="s">
        <v>2953</v>
      </c>
    </row>
    <row r="12587" spans="1:26">
      <c r="A12587" s="499">
        <v>45925</v>
      </c>
      <c r="B12587" s="499">
        <v>45926</v>
      </c>
      <c r="C12587" s="420" t="s">
        <v>173</v>
      </c>
      <c r="D12587" s="420" t="s">
        <v>760</v>
      </c>
      <c r="E12587" s="501">
        <v>30024885.41</v>
      </c>
      <c r="F12587" s="95" t="s">
        <v>878</v>
      </c>
      <c r="G12587" s="595">
        <v>119290367</v>
      </c>
      <c r="H12587" s="595">
        <v>119290367</v>
      </c>
      <c r="I12587" s="278" t="s">
        <v>674</v>
      </c>
      <c r="J12587" s="530" t="s">
        <v>912</v>
      </c>
      <c r="N12587" s="420">
        <v>33330</v>
      </c>
      <c r="R12587" s="420">
        <v>900.43700000000001</v>
      </c>
      <c r="S12587" s="420">
        <v>900.83664596459596</v>
      </c>
      <c r="T12587" s="420">
        <v>16.2</v>
      </c>
      <c r="U12587" s="278">
        <v>45.02</v>
      </c>
      <c r="V12587" s="278">
        <v>22.51</v>
      </c>
      <c r="Z12587" s="420" t="s">
        <v>2953</v>
      </c>
    </row>
    <row r="12588" spans="1:26">
      <c r="A12588" s="499">
        <v>45925</v>
      </c>
      <c r="B12588" s="499">
        <v>45926</v>
      </c>
      <c r="C12588" s="420" t="s">
        <v>173</v>
      </c>
      <c r="D12588" s="420" t="s">
        <v>760</v>
      </c>
      <c r="E12588" s="501">
        <v>35045170.060000002</v>
      </c>
      <c r="F12588" s="95" t="s">
        <v>878</v>
      </c>
      <c r="G12588" s="595">
        <v>119290370</v>
      </c>
      <c r="H12588" s="595">
        <v>119290370</v>
      </c>
      <c r="I12588" s="278" t="s">
        <v>694</v>
      </c>
      <c r="J12588" s="530" t="s">
        <v>912</v>
      </c>
      <c r="N12588" s="420">
        <v>34090</v>
      </c>
      <c r="R12588" s="420">
        <v>1027.5630000000001</v>
      </c>
      <c r="S12588" s="420">
        <v>1028.01906893517</v>
      </c>
      <c r="T12588" s="420">
        <v>16.2</v>
      </c>
      <c r="U12588" s="278">
        <v>52.54</v>
      </c>
      <c r="V12588" s="278">
        <v>26.27</v>
      </c>
      <c r="Z12588" s="420" t="s">
        <v>2953</v>
      </c>
    </row>
    <row r="12589" spans="1:26">
      <c r="A12589" s="499">
        <v>45925</v>
      </c>
      <c r="B12589" s="499">
        <v>45926</v>
      </c>
      <c r="C12589" s="420" t="s">
        <v>173</v>
      </c>
      <c r="D12589" s="420" t="s">
        <v>760</v>
      </c>
      <c r="E12589" s="501">
        <v>37018313.200000003</v>
      </c>
      <c r="F12589" s="95" t="s">
        <v>878</v>
      </c>
      <c r="G12589" s="595">
        <v>119290373</v>
      </c>
      <c r="H12589" s="595">
        <v>119290373</v>
      </c>
      <c r="I12589" s="278" t="s">
        <v>823</v>
      </c>
      <c r="J12589" s="530" t="s">
        <v>912</v>
      </c>
      <c r="N12589" s="420">
        <v>35779</v>
      </c>
      <c r="R12589" s="420">
        <v>1034.1790000000001</v>
      </c>
      <c r="S12589" s="420">
        <v>1034.63800553397</v>
      </c>
      <c r="T12589" s="420">
        <v>16.2</v>
      </c>
      <c r="U12589" s="278">
        <v>55.5</v>
      </c>
      <c r="V12589" s="278">
        <v>27.75</v>
      </c>
      <c r="Z12589" s="420" t="s">
        <v>2953</v>
      </c>
    </row>
    <row r="12590" spans="1:26">
      <c r="A12590" s="499">
        <v>45925</v>
      </c>
      <c r="B12590" s="499">
        <v>45926</v>
      </c>
      <c r="C12590" s="420" t="s">
        <v>173</v>
      </c>
      <c r="D12590" s="420" t="s">
        <v>760</v>
      </c>
      <c r="E12590" s="501">
        <v>39027548.350000001</v>
      </c>
      <c r="F12590" s="95" t="s">
        <v>878</v>
      </c>
      <c r="G12590" s="595">
        <v>119290376</v>
      </c>
      <c r="H12590" s="595">
        <v>119290376</v>
      </c>
      <c r="I12590" s="278" t="s">
        <v>719</v>
      </c>
      <c r="J12590" s="530" t="s">
        <v>912</v>
      </c>
      <c r="N12590" s="420">
        <v>59592</v>
      </c>
      <c r="R12590" s="420">
        <v>654.62199999999996</v>
      </c>
      <c r="S12590" s="420">
        <v>654.912544469056</v>
      </c>
      <c r="T12590" s="420">
        <v>16.2</v>
      </c>
      <c r="U12590" s="278">
        <v>58.52</v>
      </c>
      <c r="V12590" s="278">
        <v>29.26</v>
      </c>
      <c r="Z12590" s="420" t="s">
        <v>2953</v>
      </c>
    </row>
    <row r="12591" spans="1:26">
      <c r="A12591" s="499">
        <v>45925</v>
      </c>
      <c r="B12591" s="499">
        <v>45926</v>
      </c>
      <c r="C12591" s="420" t="s">
        <v>173</v>
      </c>
      <c r="D12591" s="420" t="s">
        <v>760</v>
      </c>
      <c r="E12591" s="501">
        <v>40030879.93</v>
      </c>
      <c r="F12591" s="95" t="s">
        <v>878</v>
      </c>
      <c r="G12591" s="595">
        <v>119290379</v>
      </c>
      <c r="H12591" s="595">
        <v>119290379</v>
      </c>
      <c r="I12591" s="278" t="s">
        <v>714</v>
      </c>
      <c r="J12591" s="530" t="s">
        <v>912</v>
      </c>
      <c r="N12591" s="420">
        <v>53960</v>
      </c>
      <c r="R12591" s="420">
        <v>741.53300000000002</v>
      </c>
      <c r="S12591" s="420">
        <v>741.86211879169798</v>
      </c>
      <c r="T12591" s="420">
        <v>16.2</v>
      </c>
      <c r="U12591" s="278">
        <v>60.02</v>
      </c>
      <c r="V12591" s="278">
        <v>30.01</v>
      </c>
      <c r="Z12591" s="420" t="s">
        <v>2953</v>
      </c>
    </row>
    <row r="12592" spans="1:26">
      <c r="A12592" s="499">
        <v>45925</v>
      </c>
      <c r="B12592" s="499">
        <v>45926</v>
      </c>
      <c r="C12592" s="420" t="s">
        <v>173</v>
      </c>
      <c r="D12592" s="420" t="s">
        <v>760</v>
      </c>
      <c r="E12592" s="501">
        <v>41038687.899999999</v>
      </c>
      <c r="F12592" s="95" t="s">
        <v>878</v>
      </c>
      <c r="G12592" s="595">
        <v>119290394</v>
      </c>
      <c r="H12592" s="595">
        <v>119290394</v>
      </c>
      <c r="I12592" s="278" t="s">
        <v>676</v>
      </c>
      <c r="J12592" s="530" t="s">
        <v>912</v>
      </c>
      <c r="N12592" s="420">
        <v>48831</v>
      </c>
      <c r="R12592" s="420">
        <v>840.05</v>
      </c>
      <c r="S12592" s="420">
        <v>840.42284409494005</v>
      </c>
      <c r="T12592" s="420">
        <v>16.2</v>
      </c>
      <c r="U12592" s="278">
        <v>61.53</v>
      </c>
      <c r="V12592" s="278">
        <v>30.77</v>
      </c>
      <c r="Z12592" s="420" t="s">
        <v>2953</v>
      </c>
    </row>
    <row r="12593" spans="1:26">
      <c r="A12593" s="499">
        <v>45925</v>
      </c>
      <c r="B12593" s="499">
        <v>45926</v>
      </c>
      <c r="C12593" s="420" t="s">
        <v>173</v>
      </c>
      <c r="D12593" s="420" t="s">
        <v>760</v>
      </c>
      <c r="E12593" s="501">
        <v>44035286.770000003</v>
      </c>
      <c r="F12593" s="95" t="s">
        <v>878</v>
      </c>
      <c r="G12593" s="595">
        <v>119290397</v>
      </c>
      <c r="H12593" s="595">
        <v>119290397</v>
      </c>
      <c r="I12593" s="278" t="s">
        <v>550</v>
      </c>
      <c r="J12593" s="530" t="s">
        <v>912</v>
      </c>
      <c r="N12593" s="420">
        <v>81004</v>
      </c>
      <c r="R12593" s="420">
        <v>543.37750000000005</v>
      </c>
      <c r="S12593" s="420">
        <v>543.61867031257702</v>
      </c>
      <c r="T12593" s="420">
        <v>16.2</v>
      </c>
      <c r="U12593" s="278">
        <v>66.02</v>
      </c>
      <c r="V12593" s="278">
        <v>33.01</v>
      </c>
      <c r="Z12593" s="420" t="s">
        <v>2953</v>
      </c>
    </row>
    <row r="12594" spans="1:26">
      <c r="A12594" s="499">
        <v>45925</v>
      </c>
      <c r="B12594" s="499">
        <v>45926</v>
      </c>
      <c r="C12594" s="420" t="s">
        <v>173</v>
      </c>
      <c r="D12594" s="420" t="s">
        <v>760</v>
      </c>
      <c r="E12594" s="501">
        <v>45029345.670000002</v>
      </c>
      <c r="F12594" s="95" t="s">
        <v>878</v>
      </c>
      <c r="G12594" s="595">
        <v>119290400</v>
      </c>
      <c r="H12594" s="595">
        <v>119290400</v>
      </c>
      <c r="I12594" s="278" t="s">
        <v>602</v>
      </c>
      <c r="J12594" s="530" t="s">
        <v>912</v>
      </c>
      <c r="N12594" s="420">
        <v>53955</v>
      </c>
      <c r="R12594" s="420">
        <v>834.202</v>
      </c>
      <c r="S12594" s="420">
        <v>834.57224854045</v>
      </c>
      <c r="T12594" s="420">
        <v>16.2</v>
      </c>
      <c r="U12594" s="278">
        <v>67.510000000000005</v>
      </c>
      <c r="V12594" s="278">
        <v>33.76</v>
      </c>
      <c r="Z12594" s="420" t="s">
        <v>2953</v>
      </c>
    </row>
    <row r="12595" spans="1:26">
      <c r="A12595" s="499">
        <v>45925</v>
      </c>
      <c r="B12595" s="499">
        <v>45926</v>
      </c>
      <c r="C12595" s="420" t="s">
        <v>173</v>
      </c>
      <c r="D12595" s="420" t="s">
        <v>760</v>
      </c>
      <c r="E12595" s="501">
        <v>46040402.18</v>
      </c>
      <c r="F12595" s="95" t="s">
        <v>878</v>
      </c>
      <c r="G12595" s="595">
        <v>119290403</v>
      </c>
      <c r="H12595" s="595">
        <v>119290403</v>
      </c>
      <c r="I12595" s="278" t="s">
        <v>588</v>
      </c>
      <c r="J12595" s="530" t="s">
        <v>912</v>
      </c>
      <c r="N12595" s="420">
        <v>50416</v>
      </c>
      <c r="R12595" s="420">
        <v>912.80499999999995</v>
      </c>
      <c r="S12595" s="420">
        <v>913.21013527451601</v>
      </c>
      <c r="T12595" s="420">
        <v>16.2</v>
      </c>
      <c r="U12595" s="278">
        <v>69.03</v>
      </c>
      <c r="V12595" s="278">
        <v>34.51</v>
      </c>
      <c r="Z12595" s="420" t="s">
        <v>2953</v>
      </c>
    </row>
    <row r="12596" spans="1:26">
      <c r="A12596" s="499">
        <v>45925</v>
      </c>
      <c r="B12596" s="499">
        <v>45926</v>
      </c>
      <c r="C12596" s="420" t="s">
        <v>173</v>
      </c>
      <c r="D12596" s="420" t="s">
        <v>760</v>
      </c>
      <c r="E12596" s="501">
        <v>50058415.850000001</v>
      </c>
      <c r="F12596" s="95" t="s">
        <v>878</v>
      </c>
      <c r="G12596" s="595">
        <v>119290406</v>
      </c>
      <c r="H12596" s="595">
        <v>119290406</v>
      </c>
      <c r="I12596" s="278" t="s">
        <v>687</v>
      </c>
      <c r="J12596" s="530" t="s">
        <v>912</v>
      </c>
      <c r="N12596" s="420">
        <v>60600</v>
      </c>
      <c r="R12596" s="420">
        <v>825.68</v>
      </c>
      <c r="S12596" s="420">
        <v>826.046466171617</v>
      </c>
      <c r="T12596" s="420">
        <v>16.2</v>
      </c>
      <c r="U12596" s="278">
        <v>75.05</v>
      </c>
      <c r="V12596" s="278">
        <v>37.53</v>
      </c>
      <c r="Z12596" s="420" t="s">
        <v>2953</v>
      </c>
    </row>
    <row r="12597" spans="1:26">
      <c r="A12597" s="499">
        <v>45925</v>
      </c>
      <c r="B12597" s="499">
        <v>45926</v>
      </c>
      <c r="C12597" s="420" t="s">
        <v>173</v>
      </c>
      <c r="D12597" s="420" t="s">
        <v>760</v>
      </c>
      <c r="E12597" s="501">
        <v>54035214.799999997</v>
      </c>
      <c r="F12597" s="95" t="s">
        <v>878</v>
      </c>
      <c r="G12597" s="595">
        <v>119290409</v>
      </c>
      <c r="H12597" s="595">
        <v>119290409</v>
      </c>
      <c r="I12597" s="278" t="s">
        <v>602</v>
      </c>
      <c r="J12597" s="530" t="s">
        <v>912</v>
      </c>
      <c r="N12597" s="420">
        <v>64746</v>
      </c>
      <c r="R12597" s="420">
        <v>834.202</v>
      </c>
      <c r="S12597" s="420">
        <v>834.57224847866996</v>
      </c>
      <c r="T12597" s="420">
        <v>16.2</v>
      </c>
      <c r="U12597" s="278">
        <v>81.02</v>
      </c>
      <c r="V12597" s="278">
        <v>40.51</v>
      </c>
      <c r="Z12597" s="420" t="s">
        <v>2953</v>
      </c>
    </row>
    <row r="12598" spans="1:26">
      <c r="A12598" s="499">
        <v>45925</v>
      </c>
      <c r="B12598" s="499">
        <v>45926</v>
      </c>
      <c r="C12598" s="420" t="s">
        <v>173</v>
      </c>
      <c r="D12598" s="420" t="s">
        <v>760</v>
      </c>
      <c r="E12598" s="501">
        <v>56049185.270000003</v>
      </c>
      <c r="F12598" s="95" t="s">
        <v>878</v>
      </c>
      <c r="G12598" s="595">
        <v>119290412</v>
      </c>
      <c r="H12598" s="595">
        <v>119290412</v>
      </c>
      <c r="I12598" s="278" t="s">
        <v>588</v>
      </c>
      <c r="J12598" s="530" t="s">
        <v>912</v>
      </c>
      <c r="N12598" s="420">
        <v>61376</v>
      </c>
      <c r="R12598" s="420">
        <v>912.80499999999995</v>
      </c>
      <c r="S12598" s="420">
        <v>913.21013539494299</v>
      </c>
      <c r="T12598" s="420">
        <v>16.2</v>
      </c>
      <c r="U12598" s="278">
        <v>84.04</v>
      </c>
      <c r="V12598" s="278">
        <v>42.02</v>
      </c>
      <c r="Z12598" s="420" t="s">
        <v>2953</v>
      </c>
    </row>
    <row r="12599" spans="1:26">
      <c r="A12599" s="499">
        <v>45925</v>
      </c>
      <c r="B12599" s="499">
        <v>45926</v>
      </c>
      <c r="C12599" s="420" t="s">
        <v>173</v>
      </c>
      <c r="D12599" s="420" t="s">
        <v>760</v>
      </c>
      <c r="E12599" s="501">
        <v>58067878.670000002</v>
      </c>
      <c r="F12599" s="95" t="s">
        <v>878</v>
      </c>
      <c r="G12599" s="595">
        <v>119290415</v>
      </c>
      <c r="H12599" s="595">
        <v>119290415</v>
      </c>
      <c r="I12599" s="278" t="s">
        <v>824</v>
      </c>
      <c r="J12599" s="530" t="s">
        <v>912</v>
      </c>
      <c r="N12599" s="420">
        <v>54636</v>
      </c>
      <c r="R12599" s="420">
        <v>1062.3420000000001</v>
      </c>
      <c r="S12599" s="420">
        <v>1062.81350519804</v>
      </c>
      <c r="T12599" s="420">
        <v>16.2</v>
      </c>
      <c r="U12599" s="278">
        <v>87.06</v>
      </c>
      <c r="V12599" s="278">
        <v>43.53</v>
      </c>
      <c r="Z12599" s="420" t="s">
        <v>2953</v>
      </c>
    </row>
    <row r="12600" spans="1:26">
      <c r="A12600" s="499">
        <v>45925</v>
      </c>
      <c r="B12600" s="499">
        <v>45926</v>
      </c>
      <c r="C12600" s="420" t="s">
        <v>173</v>
      </c>
      <c r="D12600" s="420" t="s">
        <v>760</v>
      </c>
      <c r="E12600" s="501">
        <v>58053004.119999997</v>
      </c>
      <c r="F12600" s="95" t="s">
        <v>878</v>
      </c>
      <c r="G12600" s="595">
        <v>119290418</v>
      </c>
      <c r="H12600" s="595">
        <v>119290418</v>
      </c>
      <c r="I12600" s="278" t="s">
        <v>690</v>
      </c>
      <c r="J12600" s="530" t="s">
        <v>912</v>
      </c>
      <c r="N12600" s="420">
        <v>77314</v>
      </c>
      <c r="R12600" s="420">
        <v>750.54</v>
      </c>
      <c r="S12600" s="420">
        <v>750.87311638254403</v>
      </c>
      <c r="T12600" s="420">
        <v>16.2</v>
      </c>
      <c r="U12600" s="278">
        <v>87.04</v>
      </c>
      <c r="V12600" s="278">
        <v>43.52</v>
      </c>
      <c r="Z12600" s="420" t="s">
        <v>2953</v>
      </c>
    </row>
    <row r="12601" spans="1:26">
      <c r="A12601" s="499">
        <v>45925</v>
      </c>
      <c r="B12601" s="499">
        <v>45926</v>
      </c>
      <c r="C12601" s="420" t="s">
        <v>173</v>
      </c>
      <c r="D12601" s="420" t="s">
        <v>760</v>
      </c>
      <c r="E12601" s="501">
        <v>59061997.25</v>
      </c>
      <c r="F12601" s="95" t="s">
        <v>878</v>
      </c>
      <c r="G12601" s="595">
        <v>119290421</v>
      </c>
      <c r="H12601" s="595">
        <v>119290421</v>
      </c>
      <c r="I12601" s="278" t="s">
        <v>711</v>
      </c>
      <c r="J12601" s="530" t="s">
        <v>912</v>
      </c>
      <c r="N12601" s="420">
        <v>74812</v>
      </c>
      <c r="R12601" s="420">
        <v>789.12199999999996</v>
      </c>
      <c r="S12601" s="420">
        <v>789.47224041597599</v>
      </c>
      <c r="T12601" s="420">
        <v>16.2</v>
      </c>
      <c r="U12601" s="278">
        <v>88.55</v>
      </c>
      <c r="V12601" s="278">
        <v>44.28</v>
      </c>
      <c r="Z12601" s="420" t="s">
        <v>2953</v>
      </c>
    </row>
    <row r="12602" spans="1:26">
      <c r="A12602" s="499">
        <v>45925</v>
      </c>
      <c r="B12602" s="499">
        <v>45926</v>
      </c>
      <c r="C12602" s="420" t="s">
        <v>173</v>
      </c>
      <c r="D12602" s="420" t="s">
        <v>760</v>
      </c>
      <c r="E12602" s="501">
        <v>64052873.030000001</v>
      </c>
      <c r="F12602" s="95" t="s">
        <v>878</v>
      </c>
      <c r="G12602" s="595">
        <v>119290424</v>
      </c>
      <c r="H12602" s="595">
        <v>119290424</v>
      </c>
      <c r="I12602" s="278" t="s">
        <v>696</v>
      </c>
      <c r="J12602" s="530" t="s">
        <v>912</v>
      </c>
      <c r="N12602" s="420">
        <v>84864</v>
      </c>
      <c r="R12602" s="420">
        <v>754.43600000000004</v>
      </c>
      <c r="S12602" s="420">
        <v>754.77084547039999</v>
      </c>
      <c r="T12602" s="420">
        <v>16.2</v>
      </c>
      <c r="U12602" s="278">
        <v>96.04</v>
      </c>
      <c r="V12602" s="278">
        <v>48.02</v>
      </c>
      <c r="Z12602" s="420" t="s">
        <v>2953</v>
      </c>
    </row>
    <row r="12603" spans="1:26">
      <c r="A12603" s="499">
        <v>45925</v>
      </c>
      <c r="B12603" s="499">
        <v>45926</v>
      </c>
      <c r="C12603" s="420" t="s">
        <v>173</v>
      </c>
      <c r="D12603" s="420" t="s">
        <v>760</v>
      </c>
      <c r="E12603" s="501">
        <v>64076669.829999998</v>
      </c>
      <c r="F12603" s="95" t="s">
        <v>878</v>
      </c>
      <c r="G12603" s="595">
        <v>119290432</v>
      </c>
      <c r="H12603" s="595">
        <v>119290432</v>
      </c>
      <c r="I12603" s="278" t="s">
        <v>600</v>
      </c>
      <c r="J12603" s="530" t="s">
        <v>912</v>
      </c>
      <c r="N12603" s="420">
        <v>70336</v>
      </c>
      <c r="R12603" s="420">
        <v>910.60400000000004</v>
      </c>
      <c r="S12603" s="420">
        <v>911.00815841105498</v>
      </c>
      <c r="T12603" s="420">
        <v>16.2</v>
      </c>
      <c r="U12603" s="278">
        <v>96.07</v>
      </c>
      <c r="V12603" s="278">
        <v>48.04</v>
      </c>
      <c r="Z12603" s="420" t="s">
        <v>2953</v>
      </c>
    </row>
    <row r="12604" spans="1:26">
      <c r="A12604" s="499">
        <v>45925</v>
      </c>
      <c r="B12604" s="499">
        <v>45926</v>
      </c>
      <c r="C12604" s="420" t="s">
        <v>173</v>
      </c>
      <c r="D12604" s="420" t="s">
        <v>760</v>
      </c>
      <c r="E12604" s="501">
        <v>27023755.379999999</v>
      </c>
      <c r="F12604" s="95" t="s">
        <v>878</v>
      </c>
      <c r="G12604" s="595">
        <v>119290435</v>
      </c>
      <c r="H12604" s="595">
        <v>119290435</v>
      </c>
      <c r="I12604" s="278" t="s">
        <v>590</v>
      </c>
      <c r="J12604" s="530" t="s">
        <v>912</v>
      </c>
      <c r="N12604" s="420">
        <v>28350</v>
      </c>
      <c r="R12604" s="420">
        <v>952.79600000000005</v>
      </c>
      <c r="S12604" s="420">
        <v>953.21888465608504</v>
      </c>
      <c r="T12604" s="420">
        <v>16.2</v>
      </c>
      <c r="U12604" s="278">
        <v>40.520000000000003</v>
      </c>
      <c r="V12604" s="278">
        <v>20.260000000000002</v>
      </c>
      <c r="Z12604" s="420" t="s">
        <v>2953</v>
      </c>
    </row>
    <row r="12605" spans="1:26">
      <c r="A12605" s="499">
        <v>45925</v>
      </c>
      <c r="B12605" s="499">
        <v>45926</v>
      </c>
      <c r="C12605" s="420" t="s">
        <v>173</v>
      </c>
      <c r="D12605" s="420" t="s">
        <v>760</v>
      </c>
      <c r="E12605" s="501">
        <v>347407438.94</v>
      </c>
      <c r="F12605" s="95" t="s">
        <v>878</v>
      </c>
      <c r="G12605" s="595">
        <v>119290610</v>
      </c>
      <c r="H12605" s="595">
        <v>119290610</v>
      </c>
      <c r="I12605" s="278" t="s">
        <v>821</v>
      </c>
      <c r="J12605" s="530" t="s">
        <v>912</v>
      </c>
      <c r="N12605" s="420">
        <v>335896</v>
      </c>
      <c r="R12605" s="420">
        <v>1033.8119999999999</v>
      </c>
      <c r="S12605" s="420">
        <v>1034.27084258223</v>
      </c>
      <c r="T12605" s="420">
        <v>16.2</v>
      </c>
      <c r="U12605" s="278">
        <v>520.88</v>
      </c>
      <c r="V12605" s="278">
        <v>260.44</v>
      </c>
      <c r="Z12605" s="420" t="s">
        <v>2953</v>
      </c>
    </row>
    <row r="12606" spans="1:26">
      <c r="A12606" s="499">
        <v>45925</v>
      </c>
      <c r="B12606" s="499">
        <v>45926</v>
      </c>
      <c r="C12606" s="420" t="s">
        <v>173</v>
      </c>
      <c r="D12606" s="420" t="s">
        <v>760</v>
      </c>
      <c r="E12606" s="501">
        <v>268374788.66</v>
      </c>
      <c r="F12606" s="95" t="s">
        <v>878</v>
      </c>
      <c r="G12606" s="595">
        <v>119290613</v>
      </c>
      <c r="H12606" s="595">
        <v>119290613</v>
      </c>
      <c r="I12606" s="278" t="s">
        <v>654</v>
      </c>
      <c r="J12606" s="530" t="s">
        <v>912</v>
      </c>
      <c r="N12606" s="420">
        <v>264516</v>
      </c>
      <c r="R12606" s="420">
        <v>1014.138</v>
      </c>
      <c r="S12606" s="420">
        <v>1014.58811058688</v>
      </c>
      <c r="T12606" s="420">
        <v>16.2</v>
      </c>
      <c r="U12606" s="278">
        <v>402.38</v>
      </c>
      <c r="V12606" s="278">
        <v>201.19</v>
      </c>
      <c r="Z12606" s="420" t="s">
        <v>2953</v>
      </c>
    </row>
    <row r="12607" spans="1:26">
      <c r="A12607" s="499">
        <v>45925</v>
      </c>
      <c r="B12607" s="499">
        <v>45925</v>
      </c>
      <c r="C12607" s="420" t="s">
        <v>173</v>
      </c>
      <c r="D12607" s="500" t="s">
        <v>763</v>
      </c>
      <c r="E12607" s="501">
        <v>-2089287005.6199999</v>
      </c>
      <c r="F12607" s="95" t="s">
        <v>878</v>
      </c>
      <c r="G12607" s="595">
        <v>119290661</v>
      </c>
      <c r="I12607" s="278" t="s">
        <v>653</v>
      </c>
      <c r="J12607" s="530" t="s">
        <v>906</v>
      </c>
      <c r="N12607" s="420">
        <v>2085912</v>
      </c>
      <c r="R12607" s="420">
        <v>1001.6180000000001</v>
      </c>
      <c r="S12607" s="420">
        <v>1002.0570709167</v>
      </c>
      <c r="T12607" s="420">
        <v>16.0002</v>
      </c>
      <c r="U12607" s="278">
        <v>3133.93</v>
      </c>
      <c r="V12607" s="278">
        <v>1566.97</v>
      </c>
      <c r="Z12607" s="420" t="s">
        <v>2953</v>
      </c>
    </row>
    <row r="12608" spans="1:26">
      <c r="A12608" s="499">
        <v>45925</v>
      </c>
      <c r="B12608" s="499">
        <v>45925</v>
      </c>
      <c r="C12608" s="420" t="s">
        <v>173</v>
      </c>
      <c r="D12608" s="500" t="s">
        <v>763</v>
      </c>
      <c r="E12608" s="501">
        <v>-12007396.58</v>
      </c>
      <c r="F12608" s="95" t="s">
        <v>878</v>
      </c>
      <c r="G12608" s="595">
        <v>119290701</v>
      </c>
      <c r="I12608" s="278" t="s">
        <v>653</v>
      </c>
      <c r="J12608" s="530" t="s">
        <v>906</v>
      </c>
      <c r="N12608" s="420">
        <v>11988</v>
      </c>
      <c r="R12608" s="420">
        <v>1001.6180000000001</v>
      </c>
      <c r="S12608" s="420">
        <v>1002.05707040374</v>
      </c>
      <c r="T12608" s="420">
        <v>16.0002</v>
      </c>
      <c r="U12608" s="278">
        <v>39.32</v>
      </c>
      <c r="V12608" s="278">
        <v>39.32</v>
      </c>
      <c r="Z12608" s="420" t="s">
        <v>2953</v>
      </c>
    </row>
    <row r="12609" spans="1:26">
      <c r="A12609" s="499">
        <v>45925</v>
      </c>
      <c r="B12609" s="499">
        <v>45926</v>
      </c>
      <c r="C12609" s="420" t="s">
        <v>173</v>
      </c>
      <c r="D12609" s="500" t="s">
        <v>763</v>
      </c>
      <c r="E12609" s="501">
        <v>2090202868.9100001</v>
      </c>
      <c r="F12609" s="95" t="s">
        <v>878</v>
      </c>
      <c r="G12609" s="595">
        <v>119290661</v>
      </c>
      <c r="H12609" s="595">
        <v>119290661</v>
      </c>
      <c r="I12609" s="278" t="s">
        <v>653</v>
      </c>
      <c r="J12609" s="530" t="s">
        <v>912</v>
      </c>
      <c r="N12609" s="420">
        <v>2085912</v>
      </c>
      <c r="R12609" s="420">
        <v>1001.6180000000001</v>
      </c>
      <c r="S12609" s="420">
        <v>1002.0570709167</v>
      </c>
      <c r="T12609" s="420">
        <v>16.0002</v>
      </c>
      <c r="U12609" s="278">
        <v>3133.93</v>
      </c>
      <c r="V12609" s="278">
        <v>1566.97</v>
      </c>
      <c r="Z12609" s="420" t="s">
        <v>2953</v>
      </c>
    </row>
    <row r="12610" spans="1:26">
      <c r="A12610" s="499">
        <v>45925</v>
      </c>
      <c r="B12610" s="499">
        <v>45926</v>
      </c>
      <c r="C12610" s="420" t="s">
        <v>173</v>
      </c>
      <c r="D12610" s="500" t="s">
        <v>763</v>
      </c>
      <c r="E12610" s="501">
        <v>12012660.16</v>
      </c>
      <c r="F12610" s="95" t="s">
        <v>878</v>
      </c>
      <c r="G12610" s="595">
        <v>119290701</v>
      </c>
      <c r="H12610" s="595">
        <v>119290701</v>
      </c>
      <c r="I12610" s="278" t="s">
        <v>653</v>
      </c>
      <c r="J12610" s="530" t="s">
        <v>912</v>
      </c>
      <c r="N12610" s="420">
        <v>11988</v>
      </c>
      <c r="R12610" s="420">
        <v>1001.6180000000001</v>
      </c>
      <c r="S12610" s="420">
        <v>1002.05707040374</v>
      </c>
      <c r="T12610" s="420">
        <v>16.0002</v>
      </c>
      <c r="U12610" s="278">
        <v>39.32</v>
      </c>
      <c r="V12610" s="278">
        <v>39.32</v>
      </c>
      <c r="Z12610" s="420" t="s">
        <v>2953</v>
      </c>
    </row>
    <row r="12611" spans="1:26">
      <c r="A12611" s="499">
        <v>45925</v>
      </c>
      <c r="B12611" s="499">
        <v>45925</v>
      </c>
      <c r="C12611" s="420" t="s">
        <v>173</v>
      </c>
      <c r="D12611" s="500" t="s">
        <v>761</v>
      </c>
      <c r="E12611" s="501">
        <v>-16000042.800000001</v>
      </c>
      <c r="F12611" s="95" t="s">
        <v>878</v>
      </c>
      <c r="G12611" s="595">
        <v>119290444</v>
      </c>
      <c r="I12611" s="278" t="s">
        <v>705</v>
      </c>
      <c r="J12611" s="530" t="s">
        <v>906</v>
      </c>
      <c r="N12611" s="420">
        <v>21200</v>
      </c>
      <c r="R12611" s="420">
        <v>754.71900000000005</v>
      </c>
      <c r="S12611" s="420">
        <v>755.053971226415</v>
      </c>
      <c r="T12611" s="420">
        <v>16.2</v>
      </c>
      <c r="U12611" s="278">
        <v>39.32</v>
      </c>
      <c r="V12611" s="278">
        <v>12</v>
      </c>
      <c r="Z12611" s="420" t="s">
        <v>2953</v>
      </c>
    </row>
    <row r="12612" spans="1:26">
      <c r="A12612" s="499">
        <v>45925</v>
      </c>
      <c r="B12612" s="499">
        <v>45925</v>
      </c>
      <c r="C12612" s="420" t="s">
        <v>173</v>
      </c>
      <c r="D12612" s="500" t="s">
        <v>761</v>
      </c>
      <c r="E12612" s="501">
        <v>-76029370.200000003</v>
      </c>
      <c r="F12612" s="95" t="s">
        <v>878</v>
      </c>
      <c r="G12612" s="595">
        <v>119290447</v>
      </c>
      <c r="I12612" s="278" t="s">
        <v>598</v>
      </c>
      <c r="J12612" s="530" t="s">
        <v>906</v>
      </c>
      <c r="N12612" s="420">
        <v>71820</v>
      </c>
      <c r="R12612" s="420">
        <v>1058.6100000000001</v>
      </c>
      <c r="S12612" s="420">
        <v>1059.07984878864</v>
      </c>
      <c r="T12612" s="420">
        <v>16.2</v>
      </c>
      <c r="U12612" s="278">
        <v>114.04</v>
      </c>
      <c r="V12612" s="278">
        <v>57.02</v>
      </c>
      <c r="Z12612" s="420" t="s">
        <v>2953</v>
      </c>
    </row>
    <row r="12613" spans="1:26">
      <c r="A12613" s="499">
        <v>45925</v>
      </c>
      <c r="B12613" s="499">
        <v>45925</v>
      </c>
      <c r="C12613" s="420" t="s">
        <v>173</v>
      </c>
      <c r="D12613" s="500" t="s">
        <v>761</v>
      </c>
      <c r="E12613" s="501">
        <v>-78047322.290000007</v>
      </c>
      <c r="F12613" s="95" t="s">
        <v>878</v>
      </c>
      <c r="G12613" s="595">
        <v>119290450</v>
      </c>
      <c r="I12613" s="278" t="s">
        <v>711</v>
      </c>
      <c r="J12613" s="530" t="s">
        <v>906</v>
      </c>
      <c r="N12613" s="420">
        <v>98904</v>
      </c>
      <c r="R12613" s="420">
        <v>789.12200002022166</v>
      </c>
      <c r="S12613" s="420">
        <v>789.47224045539099</v>
      </c>
      <c r="T12613" s="420">
        <v>16.2</v>
      </c>
      <c r="U12613" s="278">
        <v>117.07</v>
      </c>
      <c r="V12613" s="278">
        <v>58.54</v>
      </c>
      <c r="Z12613" s="420" t="s">
        <v>2953</v>
      </c>
    </row>
    <row r="12614" spans="1:26">
      <c r="A12614" s="499">
        <v>45925</v>
      </c>
      <c r="B12614" s="499">
        <v>45925</v>
      </c>
      <c r="C12614" s="420" t="s">
        <v>173</v>
      </c>
      <c r="D12614" s="500" t="s">
        <v>761</v>
      </c>
      <c r="E12614" s="501">
        <v>-90016295.400000006</v>
      </c>
      <c r="F12614" s="95" t="s">
        <v>878</v>
      </c>
      <c r="G12614" s="595">
        <v>119290453</v>
      </c>
      <c r="I12614" s="278" t="s">
        <v>709</v>
      </c>
      <c r="J12614" s="530" t="s">
        <v>906</v>
      </c>
      <c r="N12614" s="420">
        <v>125460</v>
      </c>
      <c r="R12614" s="420">
        <v>717.49</v>
      </c>
      <c r="S12614" s="420">
        <v>717.80844763271205</v>
      </c>
      <c r="T12614" s="420">
        <v>16.2</v>
      </c>
      <c r="U12614" s="278">
        <v>135.02000000000001</v>
      </c>
      <c r="V12614" s="278">
        <v>67.510000000000005</v>
      </c>
      <c r="Z12614" s="420" t="s">
        <v>2953</v>
      </c>
    </row>
    <row r="12615" spans="1:26">
      <c r="A12615" s="499">
        <v>45925</v>
      </c>
      <c r="B12615" s="499">
        <v>45925</v>
      </c>
      <c r="C12615" s="420" t="s">
        <v>173</v>
      </c>
      <c r="D12615" s="500" t="s">
        <v>761</v>
      </c>
      <c r="E12615" s="501">
        <v>-92032933.930000007</v>
      </c>
      <c r="F12615" s="95" t="s">
        <v>878</v>
      </c>
      <c r="G12615" s="595">
        <v>119290456</v>
      </c>
      <c r="I12615" s="624" t="s">
        <v>550</v>
      </c>
      <c r="J12615" s="530" t="s">
        <v>906</v>
      </c>
      <c r="N12615" s="420">
        <v>169372</v>
      </c>
      <c r="R12615" s="420">
        <v>543.37750000000005</v>
      </c>
      <c r="S12615" s="420">
        <v>543.61867026427001</v>
      </c>
      <c r="T12615" s="420">
        <v>16.2</v>
      </c>
      <c r="U12615" s="278">
        <v>138.05000000000001</v>
      </c>
      <c r="V12615" s="278">
        <v>69.02</v>
      </c>
      <c r="Z12615" s="420" t="s">
        <v>2953</v>
      </c>
    </row>
    <row r="12616" spans="1:26">
      <c r="A12616" s="499">
        <v>45925</v>
      </c>
      <c r="B12616" s="499">
        <v>45925</v>
      </c>
      <c r="C12616" s="420" t="s">
        <v>173</v>
      </c>
      <c r="D12616" s="500" t="s">
        <v>761</v>
      </c>
      <c r="E12616" s="501">
        <v>-97022460.840000004</v>
      </c>
      <c r="F12616" s="95" t="s">
        <v>878</v>
      </c>
      <c r="G12616" s="595">
        <v>119290459</v>
      </c>
      <c r="I12616" s="278" t="s">
        <v>715</v>
      </c>
      <c r="J12616" s="530" t="s">
        <v>906</v>
      </c>
      <c r="N12616" s="420">
        <v>158789</v>
      </c>
      <c r="R12616" s="420">
        <v>611.0150000314884</v>
      </c>
      <c r="S12616" s="420">
        <v>611.28619022728299</v>
      </c>
      <c r="T12616" s="420">
        <v>16.2</v>
      </c>
      <c r="U12616" s="278">
        <v>145.53</v>
      </c>
      <c r="V12616" s="278">
        <v>72.77</v>
      </c>
      <c r="Z12616" s="420" t="s">
        <v>2953</v>
      </c>
    </row>
    <row r="12617" spans="1:26">
      <c r="A12617" s="499">
        <v>45925</v>
      </c>
      <c r="B12617" s="499">
        <v>45925</v>
      </c>
      <c r="C12617" s="420" t="s">
        <v>173</v>
      </c>
      <c r="D12617" s="500" t="s">
        <v>761</v>
      </c>
      <c r="E12617" s="501">
        <v>-98041676.659999996</v>
      </c>
      <c r="F12617" s="95" t="s">
        <v>878</v>
      </c>
      <c r="G12617" s="595">
        <v>119290462</v>
      </c>
      <c r="I12617" s="278" t="s">
        <v>816</v>
      </c>
      <c r="J12617" s="530" t="s">
        <v>906</v>
      </c>
      <c r="N12617" s="420">
        <v>92708</v>
      </c>
      <c r="R12617" s="420">
        <v>1057.5320000431461</v>
      </c>
      <c r="S12617" s="420">
        <v>1058.0013704318901</v>
      </c>
      <c r="T12617" s="420">
        <v>16.2</v>
      </c>
      <c r="U12617" s="278">
        <v>147.06</v>
      </c>
      <c r="V12617" s="278">
        <v>73.53</v>
      </c>
      <c r="Z12617" s="420" t="s">
        <v>2953</v>
      </c>
    </row>
    <row r="12618" spans="1:26">
      <c r="A12618" s="499">
        <v>45925</v>
      </c>
      <c r="B12618" s="499">
        <v>45925</v>
      </c>
      <c r="C12618" s="420" t="s">
        <v>173</v>
      </c>
      <c r="D12618" s="500" t="s">
        <v>761</v>
      </c>
      <c r="E12618" s="501">
        <v>-106079902.38</v>
      </c>
      <c r="F12618" s="95" t="s">
        <v>878</v>
      </c>
      <c r="G12618" s="595">
        <v>119290470</v>
      </c>
      <c r="I12618" s="278" t="s">
        <v>600</v>
      </c>
      <c r="J12618" s="530" t="s">
        <v>906</v>
      </c>
      <c r="N12618" s="420">
        <v>116494</v>
      </c>
      <c r="R12618" s="420">
        <v>910.60400003433654</v>
      </c>
      <c r="S12618" s="420">
        <v>911.00815853177005</v>
      </c>
      <c r="T12618" s="420">
        <v>16.2</v>
      </c>
      <c r="U12618" s="278">
        <v>159.12</v>
      </c>
      <c r="V12618" s="278">
        <v>79.56</v>
      </c>
      <c r="Z12618" s="420" t="s">
        <v>2953</v>
      </c>
    </row>
    <row r="12619" spans="1:26">
      <c r="A12619" s="499">
        <v>45925</v>
      </c>
      <c r="B12619" s="499">
        <v>45925</v>
      </c>
      <c r="C12619" s="420" t="s">
        <v>173</v>
      </c>
      <c r="D12619" s="500" t="s">
        <v>761</v>
      </c>
      <c r="E12619" s="501">
        <v>-137067705.40000001</v>
      </c>
      <c r="F12619" s="95" t="s">
        <v>878</v>
      </c>
      <c r="G12619" s="595">
        <v>119290473</v>
      </c>
      <c r="I12619" s="278" t="s">
        <v>708</v>
      </c>
      <c r="J12619" s="530" t="s">
        <v>906</v>
      </c>
      <c r="N12619" s="420">
        <v>198650</v>
      </c>
      <c r="R12619" s="420">
        <v>689.99599999999998</v>
      </c>
      <c r="S12619" s="420">
        <v>690.302244802416</v>
      </c>
      <c r="T12619" s="420">
        <v>16.2</v>
      </c>
      <c r="U12619" s="278">
        <v>205.6</v>
      </c>
      <c r="V12619" s="278">
        <v>102.8</v>
      </c>
      <c r="Z12619" s="420" t="s">
        <v>2953</v>
      </c>
    </row>
    <row r="12620" spans="1:26">
      <c r="A12620" s="499">
        <v>45925</v>
      </c>
      <c r="B12620" s="499">
        <v>45925</v>
      </c>
      <c r="C12620" s="420" t="s">
        <v>173</v>
      </c>
      <c r="D12620" s="500" t="s">
        <v>761</v>
      </c>
      <c r="E12620" s="501">
        <v>-159008123.78999999</v>
      </c>
      <c r="F12620" s="95" t="s">
        <v>878</v>
      </c>
      <c r="G12620" s="595">
        <v>119290476</v>
      </c>
      <c r="I12620" s="278" t="s">
        <v>823</v>
      </c>
      <c r="J12620" s="530" t="s">
        <v>906</v>
      </c>
      <c r="N12620" s="420">
        <v>153753</v>
      </c>
      <c r="R12620" s="420">
        <v>1034.1790000195117</v>
      </c>
      <c r="S12620" s="420">
        <v>1034.6380055023301</v>
      </c>
      <c r="T12620" s="420">
        <v>16.2</v>
      </c>
      <c r="U12620" s="278">
        <v>238.51</v>
      </c>
      <c r="V12620" s="278">
        <v>119.26</v>
      </c>
      <c r="Z12620" s="420" t="s">
        <v>2953</v>
      </c>
    </row>
    <row r="12621" spans="1:26">
      <c r="A12621" s="499">
        <v>45925</v>
      </c>
      <c r="B12621" s="499">
        <v>45925</v>
      </c>
      <c r="C12621" s="420" t="s">
        <v>173</v>
      </c>
      <c r="D12621" s="500" t="s">
        <v>761</v>
      </c>
      <c r="E12621" s="501">
        <v>-192139423.49000001</v>
      </c>
      <c r="F12621" s="95" t="s">
        <v>878</v>
      </c>
      <c r="G12621" s="595">
        <v>119290479</v>
      </c>
      <c r="I12621" s="278" t="s">
        <v>824</v>
      </c>
      <c r="J12621" s="530" t="s">
        <v>906</v>
      </c>
      <c r="N12621" s="420">
        <v>180864</v>
      </c>
      <c r="R12621" s="420">
        <v>1062.3420000110582</v>
      </c>
      <c r="S12621" s="420">
        <v>1062.8135052304499</v>
      </c>
      <c r="T12621" s="420">
        <v>16.2</v>
      </c>
      <c r="U12621" s="278">
        <v>288.20999999999998</v>
      </c>
      <c r="V12621" s="278">
        <v>144.1</v>
      </c>
      <c r="Z12621" s="420" t="s">
        <v>2953</v>
      </c>
    </row>
    <row r="12622" spans="1:26">
      <c r="A12622" s="499">
        <v>45925</v>
      </c>
      <c r="B12622" s="499">
        <v>45925</v>
      </c>
      <c r="C12622" s="420" t="s">
        <v>173</v>
      </c>
      <c r="D12622" s="500" t="s">
        <v>761</v>
      </c>
      <c r="E12622" s="501">
        <v>-216163735.78</v>
      </c>
      <c r="F12622" s="95" t="s">
        <v>878</v>
      </c>
      <c r="G12622" s="595">
        <v>119290482</v>
      </c>
      <c r="I12622" s="278" t="s">
        <v>592</v>
      </c>
      <c r="J12622" s="530" t="s">
        <v>906</v>
      </c>
      <c r="N12622" s="420">
        <v>271512</v>
      </c>
      <c r="R12622" s="420">
        <v>796.14800001473236</v>
      </c>
      <c r="S12622" s="420">
        <v>796.50135883496898</v>
      </c>
      <c r="T12622" s="420">
        <v>16.2</v>
      </c>
      <c r="U12622" s="278">
        <v>324.25</v>
      </c>
      <c r="V12622" s="278">
        <v>162.12</v>
      </c>
      <c r="Z12622" s="420" t="s">
        <v>2953</v>
      </c>
    </row>
    <row r="12623" spans="1:26">
      <c r="A12623" s="499">
        <v>45925</v>
      </c>
      <c r="B12623" s="499">
        <v>45925</v>
      </c>
      <c r="C12623" s="420" t="s">
        <v>173</v>
      </c>
      <c r="D12623" s="500" t="s">
        <v>761</v>
      </c>
      <c r="E12623" s="501">
        <v>-50042268</v>
      </c>
      <c r="F12623" s="95" t="s">
        <v>878</v>
      </c>
      <c r="G12623" s="595">
        <v>119290529</v>
      </c>
      <c r="I12623" s="278" t="s">
        <v>1091</v>
      </c>
      <c r="J12623" s="530" t="s">
        <v>906</v>
      </c>
      <c r="N12623" s="420">
        <v>50500</v>
      </c>
      <c r="R12623" s="420">
        <v>990.93600000000004</v>
      </c>
      <c r="S12623" s="420">
        <v>991.37581267326698</v>
      </c>
      <c r="T12623" s="420">
        <v>16.2</v>
      </c>
      <c r="U12623" s="278">
        <v>75.06</v>
      </c>
      <c r="V12623" s="278">
        <v>37.53</v>
      </c>
      <c r="Z12623" s="420" t="s">
        <v>2953</v>
      </c>
    </row>
    <row r="12624" spans="1:26">
      <c r="A12624" s="499">
        <v>45925</v>
      </c>
      <c r="B12624" s="499">
        <v>45925</v>
      </c>
      <c r="C12624" s="420" t="s">
        <v>173</v>
      </c>
      <c r="D12624" s="500" t="s">
        <v>761</v>
      </c>
      <c r="E12624" s="501">
        <v>-8005840.1299999999</v>
      </c>
      <c r="F12624" s="95" t="s">
        <v>878</v>
      </c>
      <c r="G12624" s="595">
        <v>119290607</v>
      </c>
      <c r="I12624" s="278" t="s">
        <v>821</v>
      </c>
      <c r="J12624" s="530" t="s">
        <v>906</v>
      </c>
      <c r="N12624" s="420">
        <v>7744</v>
      </c>
      <c r="R12624" s="420">
        <v>1033.8120002582646</v>
      </c>
      <c r="S12624" s="420">
        <v>1034.27084323347</v>
      </c>
      <c r="T12624" s="420">
        <v>16.2</v>
      </c>
      <c r="U12624" s="278">
        <v>39.32</v>
      </c>
      <c r="V12624" s="278">
        <v>6</v>
      </c>
      <c r="Z12624" s="420" t="s">
        <v>2953</v>
      </c>
    </row>
    <row r="12625" spans="1:26">
      <c r="A12625" s="499">
        <v>45925</v>
      </c>
      <c r="B12625" s="499">
        <v>45926</v>
      </c>
      <c r="C12625" s="420" t="s">
        <v>173</v>
      </c>
      <c r="D12625" s="500" t="s">
        <v>761</v>
      </c>
      <c r="E12625" s="501">
        <v>16007144.189999999</v>
      </c>
      <c r="F12625" s="95" t="s">
        <v>878</v>
      </c>
      <c r="G12625" s="595">
        <v>119290444</v>
      </c>
      <c r="H12625" s="595">
        <v>119290444</v>
      </c>
      <c r="I12625" s="278" t="s">
        <v>705</v>
      </c>
      <c r="J12625" s="530" t="s">
        <v>912</v>
      </c>
      <c r="N12625" s="420">
        <v>21200</v>
      </c>
      <c r="R12625" s="420">
        <v>754.71900000000005</v>
      </c>
      <c r="S12625" s="420">
        <v>755.053971226415</v>
      </c>
      <c r="T12625" s="420">
        <v>16.2</v>
      </c>
      <c r="U12625" s="278">
        <v>39.32</v>
      </c>
      <c r="V12625" s="278">
        <v>12</v>
      </c>
      <c r="Z12625" s="420" t="s">
        <v>2953</v>
      </c>
    </row>
    <row r="12626" spans="1:26">
      <c r="A12626" s="499">
        <v>45925</v>
      </c>
      <c r="B12626" s="499">
        <v>45926</v>
      </c>
      <c r="C12626" s="420" t="s">
        <v>173</v>
      </c>
      <c r="D12626" s="500" t="s">
        <v>761</v>
      </c>
      <c r="E12626" s="501">
        <v>76063114.739999995</v>
      </c>
      <c r="F12626" s="95" t="s">
        <v>878</v>
      </c>
      <c r="G12626" s="595">
        <v>119290447</v>
      </c>
      <c r="H12626" s="595">
        <v>119290447</v>
      </c>
      <c r="I12626" s="278" t="s">
        <v>598</v>
      </c>
      <c r="J12626" s="530" t="s">
        <v>912</v>
      </c>
      <c r="N12626" s="420">
        <v>71820</v>
      </c>
      <c r="R12626" s="420">
        <v>1058.6100000000001</v>
      </c>
      <c r="S12626" s="420">
        <v>1059.07984878864</v>
      </c>
      <c r="T12626" s="420">
        <v>16.2</v>
      </c>
      <c r="U12626" s="278">
        <v>114.04</v>
      </c>
      <c r="V12626" s="278">
        <v>57.02</v>
      </c>
      <c r="Z12626" s="420" t="s">
        <v>2953</v>
      </c>
    </row>
    <row r="12627" spans="1:26">
      <c r="A12627" s="499">
        <v>45925</v>
      </c>
      <c r="B12627" s="499">
        <v>45926</v>
      </c>
      <c r="C12627" s="420" t="s">
        <v>173</v>
      </c>
      <c r="D12627" s="500" t="s">
        <v>761</v>
      </c>
      <c r="E12627" s="501">
        <v>78081962.469999999</v>
      </c>
      <c r="F12627" s="95" t="s">
        <v>878</v>
      </c>
      <c r="G12627" s="595">
        <v>119290450</v>
      </c>
      <c r="H12627" s="595">
        <v>119290450</v>
      </c>
      <c r="I12627" s="278" t="s">
        <v>711</v>
      </c>
      <c r="J12627" s="530" t="s">
        <v>912</v>
      </c>
      <c r="N12627" s="420">
        <v>98904</v>
      </c>
      <c r="R12627" s="420">
        <v>789.12200002022166</v>
      </c>
      <c r="S12627" s="420">
        <v>789.47224045539099</v>
      </c>
      <c r="T12627" s="420">
        <v>16.2</v>
      </c>
      <c r="U12627" s="278">
        <v>117.07</v>
      </c>
      <c r="V12627" s="278">
        <v>58.54</v>
      </c>
      <c r="Z12627" s="420" t="s">
        <v>2953</v>
      </c>
    </row>
    <row r="12628" spans="1:26">
      <c r="A12628" s="499">
        <v>45925</v>
      </c>
      <c r="B12628" s="499">
        <v>45926</v>
      </c>
      <c r="C12628" s="420" t="s">
        <v>173</v>
      </c>
      <c r="D12628" s="500" t="s">
        <v>761</v>
      </c>
      <c r="E12628" s="501">
        <v>90056247.840000004</v>
      </c>
      <c r="F12628" s="95" t="s">
        <v>878</v>
      </c>
      <c r="G12628" s="595">
        <v>119290453</v>
      </c>
      <c r="H12628" s="595">
        <v>119290453</v>
      </c>
      <c r="I12628" s="278" t="s">
        <v>709</v>
      </c>
      <c r="J12628" s="530" t="s">
        <v>912</v>
      </c>
      <c r="N12628" s="420">
        <v>125460</v>
      </c>
      <c r="R12628" s="420">
        <v>717.49</v>
      </c>
      <c r="S12628" s="420">
        <v>717.80844763271205</v>
      </c>
      <c r="T12628" s="420">
        <v>16.2</v>
      </c>
      <c r="U12628" s="278">
        <v>135.02000000000001</v>
      </c>
      <c r="V12628" s="278">
        <v>67.510000000000005</v>
      </c>
      <c r="Z12628" s="420" t="s">
        <v>2953</v>
      </c>
    </row>
    <row r="12629" spans="1:26">
      <c r="A12629" s="499">
        <v>45925</v>
      </c>
      <c r="B12629" s="499">
        <v>45926</v>
      </c>
      <c r="C12629" s="420" t="s">
        <v>173</v>
      </c>
      <c r="D12629" s="500" t="s">
        <v>761</v>
      </c>
      <c r="E12629" s="501">
        <v>92073781.420000002</v>
      </c>
      <c r="F12629" s="95" t="s">
        <v>878</v>
      </c>
      <c r="G12629" s="595">
        <v>119290456</v>
      </c>
      <c r="H12629" s="595">
        <v>119290456</v>
      </c>
      <c r="I12629" s="278" t="s">
        <v>550</v>
      </c>
      <c r="J12629" s="530" t="s">
        <v>912</v>
      </c>
      <c r="N12629" s="420">
        <v>169372</v>
      </c>
      <c r="R12629" s="420">
        <v>543.37750000000005</v>
      </c>
      <c r="S12629" s="420">
        <v>543.61867026427001</v>
      </c>
      <c r="T12629" s="420">
        <v>16.2</v>
      </c>
      <c r="U12629" s="278">
        <v>138.05000000000001</v>
      </c>
      <c r="V12629" s="278">
        <v>69.02</v>
      </c>
      <c r="Z12629" s="420" t="s">
        <v>2953</v>
      </c>
    </row>
    <row r="12630" spans="1:26">
      <c r="A12630" s="499">
        <v>45925</v>
      </c>
      <c r="B12630" s="499">
        <v>45926</v>
      </c>
      <c r="C12630" s="420" t="s">
        <v>173</v>
      </c>
      <c r="D12630" s="500" t="s">
        <v>761</v>
      </c>
      <c r="E12630" s="501">
        <v>97065522.859999999</v>
      </c>
      <c r="F12630" s="95" t="s">
        <v>878</v>
      </c>
      <c r="G12630" s="595">
        <v>119290459</v>
      </c>
      <c r="H12630" s="595">
        <v>119290459</v>
      </c>
      <c r="I12630" s="278" t="s">
        <v>715</v>
      </c>
      <c r="J12630" s="530" t="s">
        <v>912</v>
      </c>
      <c r="N12630" s="420">
        <v>158789</v>
      </c>
      <c r="R12630" s="420">
        <v>611.0150000314884</v>
      </c>
      <c r="S12630" s="420">
        <v>611.28619022728299</v>
      </c>
      <c r="T12630" s="420">
        <v>16.2</v>
      </c>
      <c r="U12630" s="278">
        <v>145.53</v>
      </c>
      <c r="V12630" s="278">
        <v>72.77</v>
      </c>
      <c r="Z12630" s="420" t="s">
        <v>2953</v>
      </c>
    </row>
    <row r="12631" spans="1:26">
      <c r="A12631" s="499">
        <v>45925</v>
      </c>
      <c r="B12631" s="499">
        <v>45926</v>
      </c>
      <c r="C12631" s="420" t="s">
        <v>173</v>
      </c>
      <c r="D12631" s="500" t="s">
        <v>761</v>
      </c>
      <c r="E12631" s="501">
        <v>98085191.049999997</v>
      </c>
      <c r="F12631" s="95" t="s">
        <v>878</v>
      </c>
      <c r="G12631" s="595">
        <v>119290462</v>
      </c>
      <c r="H12631" s="595">
        <v>119290462</v>
      </c>
      <c r="I12631" s="278" t="s">
        <v>816</v>
      </c>
      <c r="J12631" s="530" t="s">
        <v>912</v>
      </c>
      <c r="N12631" s="420">
        <v>92708</v>
      </c>
      <c r="R12631" s="420">
        <v>1057.5320000431461</v>
      </c>
      <c r="S12631" s="420">
        <v>1058.0013704318901</v>
      </c>
      <c r="T12631" s="420">
        <v>16.2</v>
      </c>
      <c r="U12631" s="278">
        <v>147.06</v>
      </c>
      <c r="V12631" s="278">
        <v>73.53</v>
      </c>
      <c r="Z12631" s="420" t="s">
        <v>2953</v>
      </c>
    </row>
    <row r="12632" spans="1:26">
      <c r="A12632" s="499">
        <v>45925</v>
      </c>
      <c r="B12632" s="499">
        <v>45926</v>
      </c>
      <c r="C12632" s="420" t="s">
        <v>173</v>
      </c>
      <c r="D12632" s="500" t="s">
        <v>761</v>
      </c>
      <c r="E12632" s="501">
        <v>106126984.42</v>
      </c>
      <c r="F12632" s="95" t="s">
        <v>878</v>
      </c>
      <c r="G12632" s="595">
        <v>119290470</v>
      </c>
      <c r="H12632" s="595">
        <v>119290470</v>
      </c>
      <c r="I12632" s="278" t="s">
        <v>600</v>
      </c>
      <c r="J12632" s="530" t="s">
        <v>912</v>
      </c>
      <c r="N12632" s="420">
        <v>116494</v>
      </c>
      <c r="R12632" s="420">
        <v>910.60400003433654</v>
      </c>
      <c r="S12632" s="420">
        <v>911.00815853177005</v>
      </c>
      <c r="T12632" s="420">
        <v>16.2</v>
      </c>
      <c r="U12632" s="278">
        <v>159.12</v>
      </c>
      <c r="V12632" s="278">
        <v>79.56</v>
      </c>
      <c r="Z12632" s="420" t="s">
        <v>2953</v>
      </c>
    </row>
    <row r="12633" spans="1:26">
      <c r="A12633" s="499">
        <v>45925</v>
      </c>
      <c r="B12633" s="499">
        <v>45926</v>
      </c>
      <c r="C12633" s="420" t="s">
        <v>173</v>
      </c>
      <c r="D12633" s="500" t="s">
        <v>761</v>
      </c>
      <c r="E12633" s="501">
        <v>137128540.93000001</v>
      </c>
      <c r="F12633" s="95" t="s">
        <v>878</v>
      </c>
      <c r="G12633" s="595">
        <v>119290473</v>
      </c>
      <c r="H12633" s="595">
        <v>119290473</v>
      </c>
      <c r="I12633" s="278" t="s">
        <v>708</v>
      </c>
      <c r="J12633" s="530" t="s">
        <v>912</v>
      </c>
      <c r="N12633" s="420">
        <v>198650</v>
      </c>
      <c r="R12633" s="420">
        <v>689.99599999999998</v>
      </c>
      <c r="S12633" s="420">
        <v>690.302244802416</v>
      </c>
      <c r="T12633" s="420">
        <v>16.2</v>
      </c>
      <c r="U12633" s="278">
        <v>205.6</v>
      </c>
      <c r="V12633" s="278">
        <v>102.8</v>
      </c>
      <c r="Z12633" s="420" t="s">
        <v>2953</v>
      </c>
    </row>
    <row r="12634" spans="1:26">
      <c r="A12634" s="499">
        <v>45925</v>
      </c>
      <c r="B12634" s="499">
        <v>45926</v>
      </c>
      <c r="C12634" s="420" t="s">
        <v>173</v>
      </c>
      <c r="D12634" s="500" t="s">
        <v>761</v>
      </c>
      <c r="E12634" s="501">
        <v>159078697.25999999</v>
      </c>
      <c r="F12634" s="95" t="s">
        <v>878</v>
      </c>
      <c r="G12634" s="595">
        <v>119290476</v>
      </c>
      <c r="H12634" s="595">
        <v>119290476</v>
      </c>
      <c r="I12634" s="278" t="s">
        <v>823</v>
      </c>
      <c r="J12634" s="530" t="s">
        <v>912</v>
      </c>
      <c r="N12634" s="420">
        <v>153753</v>
      </c>
      <c r="R12634" s="420">
        <v>1034.1790000195117</v>
      </c>
      <c r="S12634" s="420">
        <v>1034.6380055023301</v>
      </c>
      <c r="T12634" s="420">
        <v>16.2</v>
      </c>
      <c r="U12634" s="278">
        <v>238.51</v>
      </c>
      <c r="V12634" s="278">
        <v>119.26</v>
      </c>
      <c r="Z12634" s="420" t="s">
        <v>2953</v>
      </c>
    </row>
    <row r="12635" spans="1:26">
      <c r="A12635" s="499">
        <v>45925</v>
      </c>
      <c r="B12635" s="499">
        <v>45926</v>
      </c>
      <c r="C12635" s="420" t="s">
        <v>173</v>
      </c>
      <c r="D12635" s="500" t="s">
        <v>761</v>
      </c>
      <c r="E12635" s="501">
        <v>192224701.81</v>
      </c>
      <c r="F12635" s="95" t="s">
        <v>878</v>
      </c>
      <c r="G12635" s="595">
        <v>119290479</v>
      </c>
      <c r="H12635" s="595">
        <v>119290479</v>
      </c>
      <c r="I12635" s="278" t="s">
        <v>824</v>
      </c>
      <c r="J12635" s="530" t="s">
        <v>912</v>
      </c>
      <c r="N12635" s="420">
        <v>180864</v>
      </c>
      <c r="R12635" s="420">
        <v>1062.3420000110582</v>
      </c>
      <c r="S12635" s="420">
        <v>1062.8135052304499</v>
      </c>
      <c r="T12635" s="420">
        <v>16.2</v>
      </c>
      <c r="U12635" s="278">
        <v>288.20999999999998</v>
      </c>
      <c r="V12635" s="278">
        <v>144.1</v>
      </c>
      <c r="Z12635" s="420" t="s">
        <v>2953</v>
      </c>
    </row>
    <row r="12636" spans="1:26">
      <c r="A12636" s="499">
        <v>45925</v>
      </c>
      <c r="B12636" s="499">
        <v>45926</v>
      </c>
      <c r="C12636" s="420" t="s">
        <v>173</v>
      </c>
      <c r="D12636" s="500" t="s">
        <v>761</v>
      </c>
      <c r="E12636" s="501">
        <v>216259676.94</v>
      </c>
      <c r="F12636" s="95" t="s">
        <v>878</v>
      </c>
      <c r="G12636" s="595">
        <v>119290482</v>
      </c>
      <c r="H12636" s="595">
        <v>119290482</v>
      </c>
      <c r="I12636" s="278" t="s">
        <v>592</v>
      </c>
      <c r="J12636" s="530" t="s">
        <v>912</v>
      </c>
      <c r="N12636" s="420">
        <v>271512</v>
      </c>
      <c r="R12636" s="420">
        <v>796.14800001473236</v>
      </c>
      <c r="S12636" s="420">
        <v>796.50135883496898</v>
      </c>
      <c r="T12636" s="420">
        <v>16.2</v>
      </c>
      <c r="U12636" s="278">
        <v>324.25</v>
      </c>
      <c r="V12636" s="278">
        <v>162.12</v>
      </c>
      <c r="Z12636" s="420" t="s">
        <v>2953</v>
      </c>
    </row>
    <row r="12637" spans="1:26">
      <c r="A12637" s="499">
        <v>45925</v>
      </c>
      <c r="B12637" s="499">
        <v>45926</v>
      </c>
      <c r="C12637" s="420" t="s">
        <v>173</v>
      </c>
      <c r="D12637" s="500" t="s">
        <v>761</v>
      </c>
      <c r="E12637" s="501">
        <v>50064478.539999999</v>
      </c>
      <c r="F12637" s="95" t="s">
        <v>878</v>
      </c>
      <c r="G12637" s="595">
        <v>119290529</v>
      </c>
      <c r="H12637" s="595">
        <v>119290529</v>
      </c>
      <c r="I12637" s="278" t="s">
        <v>1091</v>
      </c>
      <c r="J12637" s="530" t="s">
        <v>912</v>
      </c>
      <c r="N12637" s="420">
        <v>50500</v>
      </c>
      <c r="R12637" s="420">
        <v>990.93600000000004</v>
      </c>
      <c r="S12637" s="420">
        <v>991.37581267326698</v>
      </c>
      <c r="T12637" s="420">
        <v>16.2</v>
      </c>
      <c r="U12637" s="278">
        <v>75.06</v>
      </c>
      <c r="V12637" s="278">
        <v>37.53</v>
      </c>
      <c r="Z12637" s="420" t="s">
        <v>2953</v>
      </c>
    </row>
    <row r="12638" spans="1:26">
      <c r="A12638" s="499">
        <v>45925</v>
      </c>
      <c r="B12638" s="499">
        <v>45926</v>
      </c>
      <c r="C12638" s="420" t="s">
        <v>173</v>
      </c>
      <c r="D12638" s="500" t="s">
        <v>761</v>
      </c>
      <c r="E12638" s="501">
        <v>8009393.4100000001</v>
      </c>
      <c r="F12638" s="95" t="s">
        <v>878</v>
      </c>
      <c r="G12638" s="595">
        <v>119290607</v>
      </c>
      <c r="H12638" s="595">
        <v>119290607</v>
      </c>
      <c r="I12638" s="278" t="s">
        <v>821</v>
      </c>
      <c r="J12638" s="530" t="s">
        <v>912</v>
      </c>
      <c r="N12638" s="420">
        <v>7744</v>
      </c>
      <c r="R12638" s="420">
        <v>1033.8120002582646</v>
      </c>
      <c r="S12638" s="420">
        <v>1034.27084323347</v>
      </c>
      <c r="T12638" s="420">
        <v>16.2</v>
      </c>
      <c r="U12638" s="278">
        <v>39.32</v>
      </c>
      <c r="V12638" s="278">
        <v>6</v>
      </c>
      <c r="Z12638" s="420" t="s">
        <v>2953</v>
      </c>
    </row>
    <row r="12639" spans="1:26">
      <c r="A12639" s="499">
        <v>45926</v>
      </c>
      <c r="B12639" s="499">
        <v>45926</v>
      </c>
      <c r="C12639" s="420" t="s">
        <v>173</v>
      </c>
      <c r="D12639" s="500" t="s">
        <v>762</v>
      </c>
      <c r="E12639" s="501">
        <v>-694006239.05999994</v>
      </c>
      <c r="F12639" s="95" t="s">
        <v>878</v>
      </c>
      <c r="G12639" s="595">
        <v>119315067</v>
      </c>
      <c r="H12639" s="595"/>
      <c r="I12639" s="278" t="s">
        <v>674</v>
      </c>
      <c r="J12639" s="530" t="s">
        <v>906</v>
      </c>
      <c r="N12639" s="420">
        <v>770340</v>
      </c>
      <c r="R12639" s="558">
        <v>900.90899999999999</v>
      </c>
      <c r="S12639" s="558">
        <v>902.08638192226795</v>
      </c>
      <c r="T12639" s="567">
        <v>15.900399999999999</v>
      </c>
      <c r="U12639" s="538">
        <v>3123.03</v>
      </c>
      <c r="V12639" s="538">
        <v>1561.51</v>
      </c>
      <c r="Z12639" s="539" t="s">
        <v>2953</v>
      </c>
    </row>
    <row r="12640" spans="1:26">
      <c r="A12640" s="499">
        <v>45926</v>
      </c>
      <c r="B12640" s="499">
        <v>45926</v>
      </c>
      <c r="C12640" s="420" t="s">
        <v>173</v>
      </c>
      <c r="D12640" s="500" t="s">
        <v>762</v>
      </c>
      <c r="E12640" s="501">
        <v>-1156581731.5699999</v>
      </c>
      <c r="F12640" s="95" t="s">
        <v>878</v>
      </c>
      <c r="G12640" s="595">
        <v>119315070</v>
      </c>
      <c r="H12640" s="595"/>
      <c r="I12640" s="278" t="s">
        <v>723</v>
      </c>
      <c r="J12640" s="530" t="s">
        <v>906</v>
      </c>
      <c r="N12640" s="420">
        <v>1915492</v>
      </c>
      <c r="R12640" s="558">
        <v>603.80399999999997</v>
      </c>
      <c r="S12640" s="558">
        <v>604.59308580771904</v>
      </c>
      <c r="T12640" s="567">
        <v>15.9001</v>
      </c>
      <c r="U12640" s="538">
        <v>5204.62</v>
      </c>
      <c r="V12640" s="538">
        <v>2602.31</v>
      </c>
      <c r="Z12640" s="539" t="s">
        <v>2953</v>
      </c>
    </row>
    <row r="12641" spans="1:26">
      <c r="A12641" s="499">
        <v>45926</v>
      </c>
      <c r="B12641" s="499">
        <v>45926</v>
      </c>
      <c r="C12641" s="420" t="s">
        <v>173</v>
      </c>
      <c r="D12641" s="500" t="s">
        <v>762</v>
      </c>
      <c r="E12641" s="501">
        <v>-2239053669.5</v>
      </c>
      <c r="F12641" s="95" t="s">
        <v>878</v>
      </c>
      <c r="G12641" s="595">
        <v>119315073</v>
      </c>
      <c r="H12641" s="595"/>
      <c r="I12641" s="278" t="s">
        <v>1018</v>
      </c>
      <c r="J12641" s="530" t="s">
        <v>906</v>
      </c>
      <c r="N12641" s="420">
        <v>22651963</v>
      </c>
      <c r="R12641" s="558">
        <v>98.8459</v>
      </c>
      <c r="S12641" s="558">
        <v>98.9750775091766</v>
      </c>
      <c r="T12641" s="567">
        <v>15.9001</v>
      </c>
      <c r="U12641" s="538">
        <v>10075.74</v>
      </c>
      <c r="V12641" s="538">
        <v>5037.87</v>
      </c>
      <c r="Z12641" s="539" t="s">
        <v>2953</v>
      </c>
    </row>
    <row r="12642" spans="1:26">
      <c r="A12642" s="499">
        <v>45926</v>
      </c>
      <c r="B12642" s="499">
        <v>45926</v>
      </c>
      <c r="C12642" s="420" t="s">
        <v>173</v>
      </c>
      <c r="D12642" s="500" t="s">
        <v>762</v>
      </c>
      <c r="E12642" s="501">
        <v>-25000599.260000002</v>
      </c>
      <c r="F12642" s="95" t="s">
        <v>878</v>
      </c>
      <c r="G12642" s="595">
        <v>119317111</v>
      </c>
      <c r="H12642" s="595"/>
      <c r="I12642" s="278" t="s">
        <v>1018</v>
      </c>
      <c r="J12642" s="530" t="s">
        <v>906</v>
      </c>
      <c r="N12642" s="420">
        <v>252925</v>
      </c>
      <c r="R12642" s="558">
        <v>98.8459</v>
      </c>
      <c r="S12642" s="558">
        <v>98.975077513096807</v>
      </c>
      <c r="T12642" s="567">
        <v>15.9001</v>
      </c>
      <c r="U12642" s="538">
        <v>112.5</v>
      </c>
      <c r="V12642" s="538">
        <v>56.25</v>
      </c>
      <c r="Z12642" s="539" t="s">
        <v>2953</v>
      </c>
    </row>
    <row r="12643" spans="1:26">
      <c r="A12643" s="499">
        <v>45926</v>
      </c>
      <c r="B12643" s="499">
        <v>45929</v>
      </c>
      <c r="C12643" s="420" t="s">
        <v>173</v>
      </c>
      <c r="D12643" s="500" t="s">
        <v>762</v>
      </c>
      <c r="E12643" s="501">
        <v>694913223.45000005</v>
      </c>
      <c r="F12643" s="95" t="s">
        <v>878</v>
      </c>
      <c r="G12643" s="595">
        <v>119315067</v>
      </c>
      <c r="H12643" s="595">
        <v>119315067</v>
      </c>
      <c r="I12643" s="278" t="s">
        <v>674</v>
      </c>
      <c r="J12643" s="530" t="s">
        <v>912</v>
      </c>
      <c r="N12643" s="420">
        <v>770340</v>
      </c>
      <c r="R12643" s="558">
        <v>900.90899999999999</v>
      </c>
      <c r="S12643" s="558">
        <v>902.08638192226795</v>
      </c>
      <c r="T12643" s="567">
        <v>15.900399999999999</v>
      </c>
      <c r="U12643" s="538">
        <v>3123.03</v>
      </c>
      <c r="V12643" s="538">
        <v>1561.51</v>
      </c>
      <c r="Z12643" s="539" t="s">
        <v>2953</v>
      </c>
    </row>
    <row r="12644" spans="1:26">
      <c r="A12644" s="499">
        <v>45926</v>
      </c>
      <c r="B12644" s="499">
        <v>45929</v>
      </c>
      <c r="C12644" s="420" t="s">
        <v>173</v>
      </c>
      <c r="D12644" s="500" t="s">
        <v>762</v>
      </c>
      <c r="E12644" s="501">
        <v>1158093219.1199999</v>
      </c>
      <c r="F12644" s="95" t="s">
        <v>878</v>
      </c>
      <c r="G12644" s="595">
        <v>119315070</v>
      </c>
      <c r="H12644" s="595">
        <v>119315070</v>
      </c>
      <c r="I12644" s="278" t="s">
        <v>723</v>
      </c>
      <c r="J12644" s="530" t="s">
        <v>912</v>
      </c>
      <c r="N12644" s="420">
        <v>1915492</v>
      </c>
      <c r="R12644" s="558">
        <v>603.80399999999997</v>
      </c>
      <c r="S12644" s="558">
        <v>604.59308580771904</v>
      </c>
      <c r="T12644" s="567">
        <v>15.9001</v>
      </c>
      <c r="U12644" s="538">
        <v>5204.62</v>
      </c>
      <c r="V12644" s="538">
        <v>2602.31</v>
      </c>
      <c r="Z12644" s="539" t="s">
        <v>2953</v>
      </c>
    </row>
    <row r="12645" spans="1:26">
      <c r="A12645" s="499">
        <v>45926</v>
      </c>
      <c r="B12645" s="499">
        <v>45929</v>
      </c>
      <c r="C12645" s="420" t="s">
        <v>173</v>
      </c>
      <c r="D12645" s="500" t="s">
        <v>762</v>
      </c>
      <c r="E12645" s="501">
        <v>2241979793.6599998</v>
      </c>
      <c r="F12645" s="95" t="s">
        <v>878</v>
      </c>
      <c r="G12645" s="595">
        <v>119315073</v>
      </c>
      <c r="H12645" s="595">
        <v>119315073</v>
      </c>
      <c r="I12645" s="278" t="s">
        <v>1018</v>
      </c>
      <c r="J12645" s="530" t="s">
        <v>912</v>
      </c>
      <c r="K12645" s="590"/>
      <c r="N12645" s="420">
        <v>22651963</v>
      </c>
      <c r="R12645" s="558">
        <v>98.8459</v>
      </c>
      <c r="S12645" s="558">
        <v>98.9750775091766</v>
      </c>
      <c r="T12645" s="567">
        <v>15.9001</v>
      </c>
      <c r="U12645" s="538">
        <v>10075.74</v>
      </c>
      <c r="V12645" s="538">
        <v>5037.87</v>
      </c>
      <c r="Z12645" s="539" t="s">
        <v>2953</v>
      </c>
    </row>
    <row r="12646" spans="1:26">
      <c r="A12646" s="499">
        <v>45926</v>
      </c>
      <c r="B12646" s="499">
        <v>45929</v>
      </c>
      <c r="C12646" s="420" t="s">
        <v>173</v>
      </c>
      <c r="D12646" s="500" t="s">
        <v>762</v>
      </c>
      <c r="E12646" s="501">
        <v>25033271.48</v>
      </c>
      <c r="F12646" s="95" t="s">
        <v>878</v>
      </c>
      <c r="G12646" s="595">
        <v>119317111</v>
      </c>
      <c r="H12646" s="595">
        <v>119317111</v>
      </c>
      <c r="I12646" s="278" t="s">
        <v>1018</v>
      </c>
      <c r="J12646" s="530" t="s">
        <v>912</v>
      </c>
      <c r="N12646" s="420">
        <v>252925</v>
      </c>
      <c r="R12646" s="558">
        <v>98.8459</v>
      </c>
      <c r="S12646" s="558">
        <v>98.975077513096807</v>
      </c>
      <c r="T12646" s="567">
        <v>15.9001</v>
      </c>
      <c r="U12646" s="538">
        <v>112.5</v>
      </c>
      <c r="V12646" s="538">
        <v>56.25</v>
      </c>
      <c r="Z12646" s="539" t="s">
        <v>2953</v>
      </c>
    </row>
    <row r="12647" spans="1:26">
      <c r="A12647" s="499">
        <v>45926</v>
      </c>
      <c r="B12647" s="499">
        <v>45926</v>
      </c>
      <c r="C12647" s="420" t="s">
        <v>173</v>
      </c>
      <c r="D12647" s="500" t="s">
        <v>764</v>
      </c>
      <c r="E12647" s="501">
        <v>-3001822668</v>
      </c>
      <c r="F12647" s="95" t="s">
        <v>878</v>
      </c>
      <c r="G12647" s="595">
        <v>119311555</v>
      </c>
      <c r="H12647" s="595"/>
      <c r="I12647" s="278" t="s">
        <v>705</v>
      </c>
      <c r="J12647" s="530" t="s">
        <v>906</v>
      </c>
      <c r="N12647" s="420">
        <v>3978000</v>
      </c>
      <c r="R12647" s="420">
        <v>754.60599999999999</v>
      </c>
      <c r="S12647" s="420">
        <v>756.93597523881397</v>
      </c>
      <c r="T12647" s="567">
        <v>16.100000000000001</v>
      </c>
      <c r="U12647" s="538">
        <v>31519.14</v>
      </c>
      <c r="V12647" s="538">
        <v>15759.57</v>
      </c>
      <c r="Z12647" s="539" t="s">
        <v>2961</v>
      </c>
    </row>
    <row r="12648" spans="1:26">
      <c r="A12648" s="499">
        <v>45926</v>
      </c>
      <c r="B12648" s="499">
        <v>45926</v>
      </c>
      <c r="C12648" s="420" t="s">
        <v>173</v>
      </c>
      <c r="D12648" s="500" t="s">
        <v>764</v>
      </c>
      <c r="E12648" s="501">
        <v>-1886121853.98</v>
      </c>
      <c r="F12648" s="95" t="s">
        <v>878</v>
      </c>
      <c r="G12648" s="595">
        <v>119311561</v>
      </c>
      <c r="H12648" s="595"/>
      <c r="I12648" s="278" t="s">
        <v>2616</v>
      </c>
      <c r="J12648" s="530" t="s">
        <v>906</v>
      </c>
      <c r="N12648" s="420">
        <v>1999985</v>
      </c>
      <c r="R12648" s="420">
        <v>943.06799999999998</v>
      </c>
      <c r="S12648" s="420">
        <v>945.97988393413004</v>
      </c>
      <c r="T12648" s="567">
        <v>16.100000000000001</v>
      </c>
      <c r="U12648" s="538">
        <v>19804.28</v>
      </c>
      <c r="V12648" s="538">
        <v>9902.14</v>
      </c>
      <c r="Z12648" s="539" t="s">
        <v>2961</v>
      </c>
    </row>
    <row r="12649" spans="1:26">
      <c r="A12649" s="499">
        <v>45926</v>
      </c>
      <c r="B12649" s="499">
        <v>45926</v>
      </c>
      <c r="C12649" s="420" t="s">
        <v>173</v>
      </c>
      <c r="D12649" s="500" t="s">
        <v>764</v>
      </c>
      <c r="E12649" s="501">
        <v>-27013509.370000001</v>
      </c>
      <c r="F12649" s="95" t="s">
        <v>878</v>
      </c>
      <c r="G12649" s="595">
        <v>119311625</v>
      </c>
      <c r="H12649" s="595"/>
      <c r="I12649" s="278" t="s">
        <v>687</v>
      </c>
      <c r="J12649" s="530" t="s">
        <v>906</v>
      </c>
      <c r="N12649" s="420">
        <v>32697</v>
      </c>
      <c r="R12649" s="420">
        <v>826.17700003058383</v>
      </c>
      <c r="S12649" s="420">
        <v>828.72796311588195</v>
      </c>
      <c r="T12649" s="567">
        <v>16.100000000000001</v>
      </c>
      <c r="U12649" s="538">
        <v>283.64</v>
      </c>
      <c r="V12649" s="538">
        <v>141.82</v>
      </c>
      <c r="Z12649" s="539" t="s">
        <v>2961</v>
      </c>
    </row>
    <row r="12650" spans="1:26">
      <c r="A12650" s="499">
        <v>45926</v>
      </c>
      <c r="B12650" s="499">
        <v>45933</v>
      </c>
      <c r="C12650" s="420" t="s">
        <v>173</v>
      </c>
      <c r="D12650" s="500" t="s">
        <v>764</v>
      </c>
      <c r="E12650" s="501">
        <v>3011091309.5</v>
      </c>
      <c r="F12650" s="95" t="s">
        <v>878</v>
      </c>
      <c r="G12650" s="595">
        <v>119311555</v>
      </c>
      <c r="H12650" s="595">
        <v>119311555</v>
      </c>
      <c r="I12650" s="278" t="s">
        <v>705</v>
      </c>
      <c r="J12650" s="530" t="s">
        <v>912</v>
      </c>
      <c r="N12650" s="420">
        <v>3978000</v>
      </c>
      <c r="R12650" s="420">
        <v>754.60599999999999</v>
      </c>
      <c r="S12650" s="420">
        <v>756.93597523881397</v>
      </c>
      <c r="T12650" s="567">
        <v>16.100000000000001</v>
      </c>
      <c r="U12650" s="538">
        <v>31519.14</v>
      </c>
      <c r="V12650" s="538">
        <v>15759.57</v>
      </c>
      <c r="Z12650" s="539" t="s">
        <v>2961</v>
      </c>
    </row>
    <row r="12651" spans="1:26">
      <c r="A12651" s="499">
        <v>45926</v>
      </c>
      <c r="B12651" s="499">
        <v>45933</v>
      </c>
      <c r="C12651" s="420" t="s">
        <v>173</v>
      </c>
      <c r="D12651" s="500" t="s">
        <v>764</v>
      </c>
      <c r="E12651" s="501">
        <v>1891945578.1700001</v>
      </c>
      <c r="F12651" s="95" t="s">
        <v>878</v>
      </c>
      <c r="G12651" s="595">
        <v>119311561</v>
      </c>
      <c r="H12651" s="595">
        <v>119311561</v>
      </c>
      <c r="I12651" s="278" t="s">
        <v>2616</v>
      </c>
      <c r="J12651" s="530" t="s">
        <v>912</v>
      </c>
      <c r="N12651" s="420">
        <v>1999985</v>
      </c>
      <c r="R12651" s="420">
        <v>943.06799999999998</v>
      </c>
      <c r="S12651" s="420">
        <v>945.97988393413004</v>
      </c>
      <c r="T12651" s="567">
        <v>16.100000000000001</v>
      </c>
      <c r="U12651" s="538">
        <v>19804.28</v>
      </c>
      <c r="V12651" s="538">
        <v>9902.14</v>
      </c>
      <c r="Z12651" s="539" t="s">
        <v>2961</v>
      </c>
    </row>
    <row r="12652" spans="1:26">
      <c r="A12652" s="499">
        <v>45926</v>
      </c>
      <c r="B12652" s="499">
        <v>45933</v>
      </c>
      <c r="C12652" s="420" t="s">
        <v>173</v>
      </c>
      <c r="D12652" s="500" t="s">
        <v>764</v>
      </c>
      <c r="E12652" s="501">
        <v>27096918.210000001</v>
      </c>
      <c r="F12652" s="95" t="s">
        <v>878</v>
      </c>
      <c r="G12652" s="595">
        <v>119311625</v>
      </c>
      <c r="H12652" s="595">
        <v>119311625</v>
      </c>
      <c r="I12652" s="278" t="s">
        <v>687</v>
      </c>
      <c r="J12652" s="530" t="s">
        <v>912</v>
      </c>
      <c r="N12652" s="420">
        <v>32697</v>
      </c>
      <c r="R12652" s="420">
        <v>826.17700003058383</v>
      </c>
      <c r="S12652" s="420">
        <v>828.72796311588195</v>
      </c>
      <c r="T12652" s="567">
        <v>16.100000000000001</v>
      </c>
      <c r="U12652" s="538">
        <v>283.64</v>
      </c>
      <c r="V12652" s="538">
        <v>141.82</v>
      </c>
      <c r="Z12652" s="539" t="s">
        <v>2961</v>
      </c>
    </row>
    <row r="12653" spans="1:26">
      <c r="A12653" s="499">
        <v>45926</v>
      </c>
      <c r="B12653" s="499">
        <v>45926</v>
      </c>
      <c r="C12653" s="420" t="s">
        <v>173</v>
      </c>
      <c r="D12653" s="500" t="s">
        <v>763</v>
      </c>
      <c r="E12653" s="501">
        <v>-245000097.66</v>
      </c>
      <c r="F12653" s="95" t="s">
        <v>878</v>
      </c>
      <c r="G12653" s="595">
        <v>119311474</v>
      </c>
      <c r="H12653" s="595"/>
      <c r="I12653" s="278" t="s">
        <v>1048</v>
      </c>
      <c r="J12653" s="530" t="s">
        <v>906</v>
      </c>
      <c r="N12653" s="420">
        <v>241545990</v>
      </c>
      <c r="R12653" s="420">
        <v>1.0143</v>
      </c>
      <c r="S12653" s="420">
        <v>1.01562554559486</v>
      </c>
      <c r="T12653" s="420">
        <v>15.9001</v>
      </c>
      <c r="U12653" s="278">
        <v>1102.5</v>
      </c>
      <c r="V12653" s="278">
        <v>551.25</v>
      </c>
      <c r="Z12653" s="420" t="s">
        <v>2953</v>
      </c>
    </row>
    <row r="12654" spans="1:26">
      <c r="A12654" s="499">
        <v>45926</v>
      </c>
      <c r="B12654" s="499">
        <v>45926</v>
      </c>
      <c r="C12654" s="420" t="s">
        <v>173</v>
      </c>
      <c r="D12654" s="500" t="s">
        <v>763</v>
      </c>
      <c r="E12654" s="501">
        <v>-1844927952.4300001</v>
      </c>
      <c r="F12654" s="95" t="s">
        <v>878</v>
      </c>
      <c r="G12654" s="595">
        <v>119311477</v>
      </c>
      <c r="H12654" s="595"/>
      <c r="I12654" s="278" t="s">
        <v>723</v>
      </c>
      <c r="J12654" s="530" t="s">
        <v>906</v>
      </c>
      <c r="N12654" s="420">
        <v>3055508</v>
      </c>
      <c r="R12654" s="420">
        <v>603.80399999999997</v>
      </c>
      <c r="S12654" s="420">
        <v>604.59308580438994</v>
      </c>
      <c r="T12654" s="420">
        <v>15.9001</v>
      </c>
      <c r="U12654" s="278">
        <v>8302.18</v>
      </c>
      <c r="V12654" s="278">
        <v>4151.09</v>
      </c>
      <c r="Z12654" s="420" t="s">
        <v>2953</v>
      </c>
    </row>
    <row r="12655" spans="1:26">
      <c r="A12655" s="499">
        <v>45926</v>
      </c>
      <c r="B12655" s="499">
        <v>45926</v>
      </c>
      <c r="C12655" s="420" t="s">
        <v>173</v>
      </c>
      <c r="D12655" s="500" t="s">
        <v>763</v>
      </c>
      <c r="E12655" s="501">
        <v>-12000287.640000001</v>
      </c>
      <c r="F12655" s="95" t="s">
        <v>878</v>
      </c>
      <c r="G12655" s="595">
        <v>119311524</v>
      </c>
      <c r="H12655" s="595"/>
      <c r="I12655" s="278" t="s">
        <v>1018</v>
      </c>
      <c r="J12655" s="530" t="s">
        <v>906</v>
      </c>
      <c r="N12655" s="420">
        <v>121404</v>
      </c>
      <c r="R12655" s="420">
        <v>98.8459</v>
      </c>
      <c r="S12655" s="420">
        <v>98.975079074824606</v>
      </c>
      <c r="T12655" s="420">
        <v>15.9003</v>
      </c>
      <c r="U12655" s="278">
        <v>54</v>
      </c>
      <c r="V12655" s="278">
        <v>39.32</v>
      </c>
      <c r="Z12655" s="420" t="s">
        <v>2953</v>
      </c>
    </row>
    <row r="12656" spans="1:26">
      <c r="A12656" s="499">
        <v>45926</v>
      </c>
      <c r="B12656" s="499">
        <v>45929</v>
      </c>
      <c r="C12656" s="420" t="s">
        <v>173</v>
      </c>
      <c r="D12656" s="500" t="s">
        <v>763</v>
      </c>
      <c r="E12656" s="501">
        <v>245320277.88</v>
      </c>
      <c r="F12656" s="95" t="s">
        <v>878</v>
      </c>
      <c r="G12656" s="595">
        <v>119311474</v>
      </c>
      <c r="H12656" s="595">
        <v>119311474</v>
      </c>
      <c r="I12656" s="278" t="s">
        <v>1048</v>
      </c>
      <c r="J12656" s="530" t="s">
        <v>912</v>
      </c>
      <c r="N12656" s="420">
        <v>241545990</v>
      </c>
      <c r="R12656" s="420">
        <v>1.0143</v>
      </c>
      <c r="S12656" s="420">
        <v>1.01562554559486</v>
      </c>
      <c r="T12656" s="420">
        <v>15.9001</v>
      </c>
      <c r="U12656" s="278">
        <v>1102.5</v>
      </c>
      <c r="V12656" s="278">
        <v>551.25</v>
      </c>
      <c r="Z12656" s="420" t="s">
        <v>2953</v>
      </c>
    </row>
    <row r="12657" spans="1:26">
      <c r="A12657" s="499">
        <v>45926</v>
      </c>
      <c r="B12657" s="499">
        <v>45929</v>
      </c>
      <c r="C12657" s="420" t="s">
        <v>173</v>
      </c>
      <c r="D12657" s="500" t="s">
        <v>763</v>
      </c>
      <c r="E12657" s="501">
        <v>1847339010.4200001</v>
      </c>
      <c r="F12657" s="95" t="s">
        <v>878</v>
      </c>
      <c r="G12657" s="595">
        <v>119311477</v>
      </c>
      <c r="H12657" s="595">
        <v>119311477</v>
      </c>
      <c r="I12657" s="278" t="s">
        <v>723</v>
      </c>
      <c r="J12657" s="530" t="s">
        <v>912</v>
      </c>
      <c r="N12657" s="420">
        <v>3055508</v>
      </c>
      <c r="R12657" s="420">
        <v>603.80399999999997</v>
      </c>
      <c r="S12657" s="420">
        <v>604.59308580438994</v>
      </c>
      <c r="T12657" s="420">
        <v>15.9001</v>
      </c>
      <c r="U12657" s="278">
        <v>8302.18</v>
      </c>
      <c r="V12657" s="278">
        <v>4151.09</v>
      </c>
      <c r="Z12657" s="420" t="s">
        <v>2953</v>
      </c>
    </row>
    <row r="12658" spans="1:26">
      <c r="A12658" s="499">
        <v>45926</v>
      </c>
      <c r="B12658" s="499">
        <v>45929</v>
      </c>
      <c r="C12658" s="420" t="s">
        <v>173</v>
      </c>
      <c r="D12658" s="500" t="s">
        <v>763</v>
      </c>
      <c r="E12658" s="501">
        <v>12015970.5</v>
      </c>
      <c r="F12658" s="95" t="s">
        <v>878</v>
      </c>
      <c r="G12658" s="595">
        <v>119311524</v>
      </c>
      <c r="H12658" s="595">
        <v>119311524</v>
      </c>
      <c r="I12658" s="278" t="s">
        <v>1018</v>
      </c>
      <c r="J12658" s="530" t="s">
        <v>912</v>
      </c>
      <c r="N12658" s="420">
        <v>121404</v>
      </c>
      <c r="R12658" s="420">
        <v>98.8459</v>
      </c>
      <c r="S12658" s="420">
        <v>98.975079074824606</v>
      </c>
      <c r="T12658" s="420">
        <v>15.9003</v>
      </c>
      <c r="U12658" s="278">
        <v>54</v>
      </c>
      <c r="V12658" s="278">
        <v>39.32</v>
      </c>
      <c r="Z12658" s="420" t="s">
        <v>2953</v>
      </c>
    </row>
    <row r="12659" spans="1:26">
      <c r="A12659" s="499">
        <v>45926</v>
      </c>
      <c r="B12659" s="499">
        <v>45926</v>
      </c>
      <c r="C12659" s="420" t="s">
        <v>173</v>
      </c>
      <c r="D12659" s="500" t="s">
        <v>760</v>
      </c>
      <c r="E12659" s="501">
        <v>-1300920348</v>
      </c>
      <c r="F12659" s="95" t="s">
        <v>878</v>
      </c>
      <c r="G12659" s="595">
        <v>119310832</v>
      </c>
      <c r="H12659" s="595"/>
      <c r="I12659" s="278" t="s">
        <v>675</v>
      </c>
      <c r="J12659" s="530" t="s">
        <v>906</v>
      </c>
      <c r="N12659" s="420">
        <v>1383200</v>
      </c>
      <c r="R12659" s="420">
        <v>940.51499999999999</v>
      </c>
      <c r="S12659" s="420">
        <v>941.75183391411201</v>
      </c>
      <c r="T12659" s="420">
        <v>15.9999</v>
      </c>
      <c r="U12659" s="278">
        <v>5854.14</v>
      </c>
      <c r="V12659" s="278">
        <v>2927.07</v>
      </c>
      <c r="Z12659" s="420" t="s">
        <v>2953</v>
      </c>
    </row>
    <row r="12660" spans="1:26">
      <c r="A12660" s="499">
        <v>45926</v>
      </c>
      <c r="B12660" s="499">
        <v>45926</v>
      </c>
      <c r="C12660" s="420" t="s">
        <v>173</v>
      </c>
      <c r="D12660" s="500" t="s">
        <v>760</v>
      </c>
      <c r="E12660" s="501">
        <v>-1300920348</v>
      </c>
      <c r="F12660" s="95" t="s">
        <v>878</v>
      </c>
      <c r="G12660" s="595">
        <v>119310835</v>
      </c>
      <c r="H12660" s="595"/>
      <c r="I12660" s="278" t="s">
        <v>675</v>
      </c>
      <c r="J12660" s="530" t="s">
        <v>906</v>
      </c>
      <c r="N12660" s="420">
        <v>1383200</v>
      </c>
      <c r="R12660" s="420">
        <v>940.51499999999999</v>
      </c>
      <c r="S12660" s="420">
        <v>941.75183391411201</v>
      </c>
      <c r="T12660" s="420">
        <v>15.9999</v>
      </c>
      <c r="U12660" s="278">
        <v>5854.14</v>
      </c>
      <c r="V12660" s="278">
        <v>2927.07</v>
      </c>
      <c r="Z12660" s="420" t="s">
        <v>2953</v>
      </c>
    </row>
    <row r="12661" spans="1:26">
      <c r="A12661" s="499">
        <v>45926</v>
      </c>
      <c r="B12661" s="499">
        <v>45926</v>
      </c>
      <c r="C12661" s="420" t="s">
        <v>173</v>
      </c>
      <c r="D12661" s="500" t="s">
        <v>760</v>
      </c>
      <c r="E12661" s="501">
        <v>-348111258.73000002</v>
      </c>
      <c r="F12661" s="95" t="s">
        <v>878</v>
      </c>
      <c r="G12661" s="595">
        <v>119312012</v>
      </c>
      <c r="H12661" s="595"/>
      <c r="I12661" s="278" t="s">
        <v>676</v>
      </c>
      <c r="J12661" s="530" t="s">
        <v>906</v>
      </c>
      <c r="N12661" s="420">
        <v>414468</v>
      </c>
      <c r="R12661" s="420">
        <v>839.899</v>
      </c>
      <c r="S12661" s="420">
        <v>841.00351781078405</v>
      </c>
      <c r="T12661" s="420">
        <v>15.9999</v>
      </c>
      <c r="U12661" s="278">
        <v>1566.5</v>
      </c>
      <c r="V12661" s="278">
        <v>783.25</v>
      </c>
      <c r="Z12661" s="420" t="s">
        <v>2953</v>
      </c>
    </row>
    <row r="12662" spans="1:26">
      <c r="A12662" s="499">
        <v>45926</v>
      </c>
      <c r="B12662" s="499">
        <v>45926</v>
      </c>
      <c r="C12662" s="420" t="s">
        <v>173</v>
      </c>
      <c r="D12662" s="500" t="s">
        <v>760</v>
      </c>
      <c r="E12662" s="501">
        <v>-263195440.03</v>
      </c>
      <c r="F12662" s="95" t="s">
        <v>878</v>
      </c>
      <c r="G12662" s="595">
        <v>119312015</v>
      </c>
      <c r="H12662" s="595"/>
      <c r="I12662" s="278" t="s">
        <v>658</v>
      </c>
      <c r="J12662" s="530" t="s">
        <v>906</v>
      </c>
      <c r="N12662" s="420">
        <v>256162</v>
      </c>
      <c r="R12662" s="420">
        <v>1027.4570000000001</v>
      </c>
      <c r="S12662" s="420">
        <v>1028.80816787814</v>
      </c>
      <c r="T12662" s="420">
        <v>15.9999</v>
      </c>
      <c r="U12662" s="278">
        <v>1184.3800000000001</v>
      </c>
      <c r="V12662" s="278">
        <v>592.19000000000005</v>
      </c>
      <c r="Z12662" s="420" t="s">
        <v>2953</v>
      </c>
    </row>
    <row r="12663" spans="1:26">
      <c r="A12663" s="499">
        <v>45926</v>
      </c>
      <c r="B12663" s="499">
        <v>45929</v>
      </c>
      <c r="C12663" s="420" t="s">
        <v>173</v>
      </c>
      <c r="D12663" s="500" t="s">
        <v>760</v>
      </c>
      <c r="E12663" s="501">
        <v>1302631136.6700001</v>
      </c>
      <c r="F12663" s="95" t="s">
        <v>878</v>
      </c>
      <c r="G12663" s="595">
        <v>119310832</v>
      </c>
      <c r="H12663" s="595">
        <v>119310832</v>
      </c>
      <c r="I12663" s="278" t="s">
        <v>675</v>
      </c>
      <c r="J12663" s="530" t="s">
        <v>912</v>
      </c>
      <c r="N12663" s="420">
        <v>1383200</v>
      </c>
      <c r="R12663" s="420">
        <v>940.51499999999999</v>
      </c>
      <c r="S12663" s="420">
        <v>941.75183391411201</v>
      </c>
      <c r="T12663" s="420">
        <v>15.9999</v>
      </c>
      <c r="U12663" s="278">
        <v>5854.14</v>
      </c>
      <c r="V12663" s="278">
        <v>2927.07</v>
      </c>
      <c r="Z12663" s="420" t="s">
        <v>2953</v>
      </c>
    </row>
    <row r="12664" spans="1:26">
      <c r="A12664" s="499">
        <v>45926</v>
      </c>
      <c r="B12664" s="499">
        <v>45929</v>
      </c>
      <c r="C12664" s="420" t="s">
        <v>173</v>
      </c>
      <c r="D12664" s="500" t="s">
        <v>760</v>
      </c>
      <c r="E12664" s="501">
        <v>1302631136.6700001</v>
      </c>
      <c r="F12664" s="95" t="s">
        <v>878</v>
      </c>
      <c r="G12664" s="595">
        <v>119310835</v>
      </c>
      <c r="H12664" s="595">
        <v>119310835</v>
      </c>
      <c r="I12664" s="278" t="s">
        <v>675</v>
      </c>
      <c r="J12664" s="530" t="s">
        <v>912</v>
      </c>
      <c r="N12664" s="420">
        <v>1383200</v>
      </c>
      <c r="R12664" s="420">
        <v>940.51499999999999</v>
      </c>
      <c r="S12664" s="420">
        <v>941.75183391411201</v>
      </c>
      <c r="T12664" s="420">
        <v>15.9999</v>
      </c>
      <c r="U12664" s="278">
        <v>5854.14</v>
      </c>
      <c r="V12664" s="278">
        <v>2927.07</v>
      </c>
      <c r="Z12664" s="420" t="s">
        <v>2953</v>
      </c>
    </row>
    <row r="12665" spans="1:26">
      <c r="A12665" s="499">
        <v>45926</v>
      </c>
      <c r="B12665" s="499">
        <v>45929</v>
      </c>
      <c r="C12665" s="420" t="s">
        <v>173</v>
      </c>
      <c r="D12665" s="500" t="s">
        <v>760</v>
      </c>
      <c r="E12665" s="501">
        <v>348569046.01999998</v>
      </c>
      <c r="F12665" s="95" t="s">
        <v>878</v>
      </c>
      <c r="G12665" s="595">
        <v>119312012</v>
      </c>
      <c r="H12665" s="595">
        <v>119312012</v>
      </c>
      <c r="I12665" s="278" t="s">
        <v>676</v>
      </c>
      <c r="J12665" s="530" t="s">
        <v>912</v>
      </c>
      <c r="N12665" s="420">
        <v>414468</v>
      </c>
      <c r="R12665" s="420">
        <v>839.899</v>
      </c>
      <c r="S12665" s="420">
        <v>841.00351781078405</v>
      </c>
      <c r="T12665" s="420">
        <v>15.9999</v>
      </c>
      <c r="U12665" s="278">
        <v>1566.5</v>
      </c>
      <c r="V12665" s="278">
        <v>783.25</v>
      </c>
      <c r="Z12665" s="420" t="s">
        <v>2953</v>
      </c>
    </row>
    <row r="12666" spans="1:26">
      <c r="A12666" s="499">
        <v>45926</v>
      </c>
      <c r="B12666" s="499">
        <v>45929</v>
      </c>
      <c r="C12666" s="420" t="s">
        <v>173</v>
      </c>
      <c r="D12666" s="500" t="s">
        <v>760</v>
      </c>
      <c r="E12666" s="501">
        <v>263541557.90000001</v>
      </c>
      <c r="F12666" s="95" t="s">
        <v>878</v>
      </c>
      <c r="G12666" s="595">
        <v>119312015</v>
      </c>
      <c r="H12666" s="595">
        <v>119312015</v>
      </c>
      <c r="I12666" s="278" t="s">
        <v>658</v>
      </c>
      <c r="J12666" s="530" t="s">
        <v>912</v>
      </c>
      <c r="N12666" s="420">
        <v>256162</v>
      </c>
      <c r="R12666" s="420">
        <v>1027.4570000000001</v>
      </c>
      <c r="S12666" s="420">
        <v>1028.80816787814</v>
      </c>
      <c r="T12666" s="420">
        <v>15.9999</v>
      </c>
      <c r="U12666" s="278">
        <v>1184.3800000000001</v>
      </c>
      <c r="V12666" s="278">
        <v>592.19000000000005</v>
      </c>
      <c r="Z12666" s="420" t="s">
        <v>2953</v>
      </c>
    </row>
    <row r="12667" spans="1:26">
      <c r="A12667" s="499">
        <v>45926</v>
      </c>
      <c r="B12667" s="499">
        <v>45926</v>
      </c>
      <c r="C12667" s="420" t="s">
        <v>173</v>
      </c>
      <c r="D12667" s="500" t="s">
        <v>761</v>
      </c>
      <c r="E12667" s="501">
        <v>-1408265796.6099999</v>
      </c>
      <c r="F12667" s="95" t="s">
        <v>878</v>
      </c>
      <c r="G12667" s="420">
        <v>119311307</v>
      </c>
      <c r="I12667" s="278" t="s">
        <v>699</v>
      </c>
      <c r="J12667" s="530" t="s">
        <v>906</v>
      </c>
      <c r="N12667" s="420">
        <v>1543168</v>
      </c>
      <c r="R12667" s="420">
        <v>912.58100000129593</v>
      </c>
      <c r="S12667" s="420">
        <v>913.78110652242594</v>
      </c>
      <c r="T12667" s="420">
        <v>16</v>
      </c>
      <c r="U12667" s="278">
        <v>6337.2</v>
      </c>
      <c r="V12667" s="278">
        <v>3168.6</v>
      </c>
      <c r="Z12667" s="420" t="s">
        <v>2953</v>
      </c>
    </row>
    <row r="12668" spans="1:26">
      <c r="A12668" s="499">
        <v>45926</v>
      </c>
      <c r="B12668" s="499">
        <v>45926</v>
      </c>
      <c r="C12668" s="420" t="s">
        <v>173</v>
      </c>
      <c r="D12668" s="500" t="s">
        <v>761</v>
      </c>
      <c r="E12668" s="501">
        <v>-1000450.04</v>
      </c>
      <c r="F12668" s="95" t="s">
        <v>878</v>
      </c>
      <c r="G12668" s="420">
        <v>119311606</v>
      </c>
      <c r="I12668" s="278" t="s">
        <v>713</v>
      </c>
      <c r="J12668" s="530" t="s">
        <v>906</v>
      </c>
      <c r="N12668" s="420">
        <v>1283</v>
      </c>
      <c r="R12668" s="420">
        <v>779.77399844115359</v>
      </c>
      <c r="S12668" s="420">
        <v>780.79945440374104</v>
      </c>
      <c r="T12668" s="420">
        <v>16</v>
      </c>
      <c r="U12668" s="278">
        <v>39.32</v>
      </c>
      <c r="V12668" s="278">
        <v>2.25</v>
      </c>
      <c r="Z12668" s="420" t="s">
        <v>2953</v>
      </c>
    </row>
    <row r="12669" spans="1:26">
      <c r="A12669" s="499">
        <v>45926</v>
      </c>
      <c r="B12669" s="499">
        <v>45926</v>
      </c>
      <c r="C12669" s="420" t="s">
        <v>173</v>
      </c>
      <c r="D12669" s="500" t="s">
        <v>761</v>
      </c>
      <c r="E12669" s="501">
        <v>-1000566.86</v>
      </c>
      <c r="F12669" s="95" t="s">
        <v>878</v>
      </c>
      <c r="G12669" s="420">
        <v>119311613</v>
      </c>
      <c r="I12669" s="278" t="s">
        <v>715</v>
      </c>
      <c r="J12669" s="530" t="s">
        <v>906</v>
      </c>
      <c r="N12669" s="420">
        <v>1633</v>
      </c>
      <c r="R12669" s="420">
        <v>612.71699938763015</v>
      </c>
      <c r="S12669" s="420">
        <v>613.52276178811996</v>
      </c>
      <c r="T12669" s="420">
        <v>16</v>
      </c>
      <c r="U12669" s="278">
        <v>39.32</v>
      </c>
      <c r="V12669" s="278">
        <v>2.25</v>
      </c>
      <c r="Z12669" s="420" t="s">
        <v>2953</v>
      </c>
    </row>
    <row r="12670" spans="1:26">
      <c r="A12670" s="499">
        <v>45926</v>
      </c>
      <c r="B12670" s="499">
        <v>45926</v>
      </c>
      <c r="C12670" s="420" t="s">
        <v>173</v>
      </c>
      <c r="D12670" s="500" t="s">
        <v>761</v>
      </c>
      <c r="E12670" s="501">
        <v>-1000564.46</v>
      </c>
      <c r="F12670" s="95" t="s">
        <v>878</v>
      </c>
      <c r="G12670" s="420">
        <v>119311691</v>
      </c>
      <c r="I12670" s="278" t="s">
        <v>592</v>
      </c>
      <c r="J12670" s="530" t="s">
        <v>906</v>
      </c>
      <c r="N12670" s="420">
        <v>1257</v>
      </c>
      <c r="R12670" s="420">
        <v>795.99400159108984</v>
      </c>
      <c r="S12670" s="420">
        <v>797.04078758949902</v>
      </c>
      <c r="T12670" s="420">
        <v>16</v>
      </c>
      <c r="U12670" s="278">
        <v>39.32</v>
      </c>
      <c r="V12670" s="278">
        <v>2.25</v>
      </c>
      <c r="Z12670" s="420" t="s">
        <v>2953</v>
      </c>
    </row>
    <row r="12671" spans="1:26">
      <c r="A12671" s="499">
        <v>45926</v>
      </c>
      <c r="B12671" s="499">
        <v>45926</v>
      </c>
      <c r="C12671" s="420" t="s">
        <v>173</v>
      </c>
      <c r="D12671" s="500" t="s">
        <v>761</v>
      </c>
      <c r="E12671" s="501">
        <v>-1000358.1</v>
      </c>
      <c r="F12671" s="95" t="s">
        <v>878</v>
      </c>
      <c r="G12671" s="420">
        <v>119311694</v>
      </c>
      <c r="I12671" s="278" t="s">
        <v>598</v>
      </c>
      <c r="J12671" s="530" t="s">
        <v>906</v>
      </c>
      <c r="N12671" s="420">
        <v>945</v>
      </c>
      <c r="R12671" s="420">
        <v>1058.58</v>
      </c>
      <c r="S12671" s="420">
        <v>1059.9721058201101</v>
      </c>
      <c r="T12671" s="420">
        <v>16</v>
      </c>
      <c r="U12671" s="278">
        <v>39.32</v>
      </c>
      <c r="V12671" s="278">
        <v>2.25</v>
      </c>
      <c r="Z12671" s="420" t="s">
        <v>2953</v>
      </c>
    </row>
    <row r="12672" spans="1:26">
      <c r="A12672" s="499">
        <v>45926</v>
      </c>
      <c r="B12672" s="499">
        <v>45926</v>
      </c>
      <c r="C12672" s="420" t="s">
        <v>173</v>
      </c>
      <c r="D12672" s="500" t="s">
        <v>761</v>
      </c>
      <c r="E12672" s="501">
        <v>-2000743.54</v>
      </c>
      <c r="F12672" s="95" t="s">
        <v>878</v>
      </c>
      <c r="G12672" s="420">
        <v>119311697</v>
      </c>
      <c r="I12672" s="278" t="s">
        <v>677</v>
      </c>
      <c r="J12672" s="530" t="s">
        <v>906</v>
      </c>
      <c r="N12672" s="420">
        <v>2246</v>
      </c>
      <c r="R12672" s="420">
        <v>890.80300089047194</v>
      </c>
      <c r="S12672" s="420">
        <v>891.97446571682997</v>
      </c>
      <c r="T12672" s="420">
        <v>16</v>
      </c>
      <c r="U12672" s="278">
        <v>39.32</v>
      </c>
      <c r="V12672" s="278">
        <v>4.5</v>
      </c>
      <c r="Z12672" s="420" t="s">
        <v>2953</v>
      </c>
    </row>
    <row r="12673" spans="1:26">
      <c r="A12673" s="499">
        <v>45926</v>
      </c>
      <c r="B12673" s="499">
        <v>45926</v>
      </c>
      <c r="C12673" s="420" t="s">
        <v>173</v>
      </c>
      <c r="D12673" s="500" t="s">
        <v>761</v>
      </c>
      <c r="E12673" s="501">
        <v>-2001224.05</v>
      </c>
      <c r="F12673" s="95" t="s">
        <v>878</v>
      </c>
      <c r="G12673" s="420">
        <v>119311700</v>
      </c>
      <c r="I12673" s="278" t="s">
        <v>600</v>
      </c>
      <c r="J12673" s="530" t="s">
        <v>906</v>
      </c>
      <c r="N12673" s="420">
        <v>2198</v>
      </c>
      <c r="R12673" s="420">
        <v>910.47500000000002</v>
      </c>
      <c r="S12673" s="420">
        <v>911.67233848953595</v>
      </c>
      <c r="T12673" s="420">
        <v>16</v>
      </c>
      <c r="U12673" s="278">
        <v>39.32</v>
      </c>
      <c r="V12673" s="278">
        <v>4.5</v>
      </c>
      <c r="Z12673" s="420" t="s">
        <v>2953</v>
      </c>
    </row>
    <row r="12674" spans="1:26">
      <c r="A12674" s="499">
        <v>45926</v>
      </c>
      <c r="B12674" s="499">
        <v>45929</v>
      </c>
      <c r="C12674" s="420" t="s">
        <v>173</v>
      </c>
      <c r="D12674" s="500" t="s">
        <v>761</v>
      </c>
      <c r="E12674" s="501">
        <v>1410117762.5899999</v>
      </c>
      <c r="F12674" s="95" t="s">
        <v>878</v>
      </c>
      <c r="G12674" s="420">
        <v>119311307</v>
      </c>
      <c r="H12674" s="420">
        <v>119311307</v>
      </c>
      <c r="I12674" s="278" t="s">
        <v>699</v>
      </c>
      <c r="J12674" s="530" t="s">
        <v>912</v>
      </c>
      <c r="N12674" s="420">
        <v>1543168</v>
      </c>
      <c r="R12674" s="420">
        <v>912.58100000129593</v>
      </c>
      <c r="S12674" s="420">
        <v>913.78110652242594</v>
      </c>
      <c r="T12674" s="420">
        <v>16</v>
      </c>
      <c r="U12674" s="278">
        <v>6337.2</v>
      </c>
      <c r="V12674" s="278">
        <v>3168.6</v>
      </c>
      <c r="Z12674" s="420" t="s">
        <v>2953</v>
      </c>
    </row>
    <row r="12675" spans="1:26">
      <c r="A12675" s="499">
        <v>45926</v>
      </c>
      <c r="B12675" s="499">
        <v>45929</v>
      </c>
      <c r="C12675" s="420" t="s">
        <v>173</v>
      </c>
      <c r="D12675" s="500" t="s">
        <v>761</v>
      </c>
      <c r="E12675" s="501">
        <v>1001765.7</v>
      </c>
      <c r="F12675" s="95" t="s">
        <v>878</v>
      </c>
      <c r="G12675" s="420">
        <v>119311606</v>
      </c>
      <c r="H12675" s="420">
        <v>119311606</v>
      </c>
      <c r="I12675" s="278" t="s">
        <v>713</v>
      </c>
      <c r="J12675" s="530" t="s">
        <v>912</v>
      </c>
      <c r="N12675" s="420">
        <v>1283</v>
      </c>
      <c r="R12675" s="420">
        <v>779.77399844115359</v>
      </c>
      <c r="S12675" s="420">
        <v>780.79945440374104</v>
      </c>
      <c r="T12675" s="420">
        <v>16</v>
      </c>
      <c r="U12675" s="278">
        <v>39.32</v>
      </c>
      <c r="V12675" s="278">
        <v>2.25</v>
      </c>
      <c r="Z12675" s="420" t="s">
        <v>2953</v>
      </c>
    </row>
    <row r="12676" spans="1:26">
      <c r="A12676" s="499">
        <v>45926</v>
      </c>
      <c r="B12676" s="499">
        <v>45929</v>
      </c>
      <c r="C12676" s="420" t="s">
        <v>173</v>
      </c>
      <c r="D12676" s="500" t="s">
        <v>761</v>
      </c>
      <c r="E12676" s="501">
        <v>1001882.67</v>
      </c>
      <c r="F12676" s="95" t="s">
        <v>878</v>
      </c>
      <c r="G12676" s="420">
        <v>119311613</v>
      </c>
      <c r="H12676" s="420">
        <v>119311613</v>
      </c>
      <c r="I12676" s="278" t="s">
        <v>715</v>
      </c>
      <c r="J12676" s="530" t="s">
        <v>912</v>
      </c>
      <c r="N12676" s="420">
        <v>1633</v>
      </c>
      <c r="R12676" s="420">
        <v>612.71699938763015</v>
      </c>
      <c r="S12676" s="420">
        <v>613.52276178811996</v>
      </c>
      <c r="T12676" s="420">
        <v>16</v>
      </c>
      <c r="U12676" s="278">
        <v>39.32</v>
      </c>
      <c r="V12676" s="278">
        <v>2.25</v>
      </c>
      <c r="Z12676" s="420" t="s">
        <v>2953</v>
      </c>
    </row>
    <row r="12677" spans="1:26">
      <c r="A12677" s="499">
        <v>45926</v>
      </c>
      <c r="B12677" s="499">
        <v>45929</v>
      </c>
      <c r="C12677" s="420" t="s">
        <v>173</v>
      </c>
      <c r="D12677" s="500" t="s">
        <v>761</v>
      </c>
      <c r="E12677" s="501">
        <v>1001880.27</v>
      </c>
      <c r="F12677" s="95" t="s">
        <v>878</v>
      </c>
      <c r="G12677" s="420">
        <v>119311691</v>
      </c>
      <c r="H12677" s="420">
        <v>119311691</v>
      </c>
      <c r="I12677" s="278" t="s">
        <v>592</v>
      </c>
      <c r="J12677" s="530" t="s">
        <v>912</v>
      </c>
      <c r="N12677" s="420">
        <v>1257</v>
      </c>
      <c r="R12677" s="420">
        <v>795.99400159108984</v>
      </c>
      <c r="S12677" s="420">
        <v>797.04078758949902</v>
      </c>
      <c r="T12677" s="420">
        <v>16</v>
      </c>
      <c r="U12677" s="278">
        <v>39.32</v>
      </c>
      <c r="V12677" s="278">
        <v>2.25</v>
      </c>
      <c r="Z12677" s="420" t="s">
        <v>2953</v>
      </c>
    </row>
    <row r="12678" spans="1:26">
      <c r="A12678" s="499">
        <v>45926</v>
      </c>
      <c r="B12678" s="499">
        <v>45929</v>
      </c>
      <c r="C12678" s="420" t="s">
        <v>173</v>
      </c>
      <c r="D12678" s="500" t="s">
        <v>761</v>
      </c>
      <c r="E12678" s="501">
        <v>1001673.64</v>
      </c>
      <c r="F12678" s="95" t="s">
        <v>878</v>
      </c>
      <c r="G12678" s="420">
        <v>119311694</v>
      </c>
      <c r="H12678" s="420">
        <v>119311694</v>
      </c>
      <c r="I12678" s="278" t="s">
        <v>598</v>
      </c>
      <c r="J12678" s="530" t="s">
        <v>912</v>
      </c>
      <c r="N12678" s="420">
        <v>945</v>
      </c>
      <c r="R12678" s="420">
        <v>1058.58</v>
      </c>
      <c r="S12678" s="420">
        <v>1059.9721058201101</v>
      </c>
      <c r="T12678" s="420">
        <v>16</v>
      </c>
      <c r="U12678" s="278">
        <v>39.32</v>
      </c>
      <c r="V12678" s="278">
        <v>2.25</v>
      </c>
      <c r="Z12678" s="420" t="s">
        <v>2953</v>
      </c>
    </row>
    <row r="12679" spans="1:26">
      <c r="A12679" s="499">
        <v>45926</v>
      </c>
      <c r="B12679" s="499">
        <v>45929</v>
      </c>
      <c r="C12679" s="420" t="s">
        <v>173</v>
      </c>
      <c r="D12679" s="500" t="s">
        <v>761</v>
      </c>
      <c r="E12679" s="501">
        <v>2003374.65</v>
      </c>
      <c r="F12679" s="95" t="s">
        <v>878</v>
      </c>
      <c r="G12679" s="420">
        <v>119311697</v>
      </c>
      <c r="H12679" s="420">
        <v>119311697</v>
      </c>
      <c r="I12679" s="278" t="s">
        <v>677</v>
      </c>
      <c r="J12679" s="530" t="s">
        <v>912</v>
      </c>
      <c r="N12679" s="420">
        <v>2246</v>
      </c>
      <c r="R12679" s="420">
        <v>890.80300089047194</v>
      </c>
      <c r="S12679" s="420">
        <v>891.97446571682997</v>
      </c>
      <c r="T12679" s="420">
        <v>16</v>
      </c>
      <c r="U12679" s="278">
        <v>39.32</v>
      </c>
      <c r="V12679" s="278">
        <v>4.5</v>
      </c>
      <c r="Z12679" s="420" t="s">
        <v>2953</v>
      </c>
    </row>
    <row r="12680" spans="1:26">
      <c r="A12680" s="499">
        <v>45926</v>
      </c>
      <c r="B12680" s="499">
        <v>45929</v>
      </c>
      <c r="C12680" s="420" t="s">
        <v>173</v>
      </c>
      <c r="D12680" s="500" t="s">
        <v>761</v>
      </c>
      <c r="E12680" s="501">
        <v>2003855.8</v>
      </c>
      <c r="F12680" s="95" t="s">
        <v>878</v>
      </c>
      <c r="G12680" s="420">
        <v>119311700</v>
      </c>
      <c r="H12680" s="420">
        <v>119311700</v>
      </c>
      <c r="I12680" s="278" t="s">
        <v>600</v>
      </c>
      <c r="J12680" s="530" t="s">
        <v>912</v>
      </c>
      <c r="N12680" s="420">
        <v>2198</v>
      </c>
      <c r="R12680" s="420">
        <v>910.47500000000002</v>
      </c>
      <c r="S12680" s="420">
        <v>911.67233848953595</v>
      </c>
      <c r="T12680" s="420">
        <v>16</v>
      </c>
      <c r="U12680" s="278">
        <v>39.32</v>
      </c>
      <c r="V12680" s="278">
        <v>4.5</v>
      </c>
      <c r="Z12680" s="420" t="s">
        <v>2953</v>
      </c>
    </row>
    <row r="12681" spans="1:26">
      <c r="A12681" s="499">
        <v>45926</v>
      </c>
      <c r="B12681" s="499">
        <v>45926</v>
      </c>
      <c r="C12681" s="420" t="s">
        <v>173</v>
      </c>
      <c r="D12681" s="500" t="s">
        <v>759</v>
      </c>
      <c r="E12681" s="501">
        <v>-1990741558.5799999</v>
      </c>
      <c r="F12681" s="95" t="s">
        <v>878</v>
      </c>
      <c r="G12681" s="420">
        <v>119312556</v>
      </c>
      <c r="H12681" s="420"/>
      <c r="I12681" s="278" t="s">
        <v>631</v>
      </c>
      <c r="J12681" s="530" t="s">
        <v>906</v>
      </c>
      <c r="N12681" s="420">
        <v>3830750</v>
      </c>
      <c r="R12681" s="420">
        <v>519.67410000130519</v>
      </c>
      <c r="S12681" s="420">
        <v>520.35750703648102</v>
      </c>
      <c r="T12681" s="420">
        <v>16</v>
      </c>
      <c r="U12681" s="278">
        <v>8958.34</v>
      </c>
      <c r="V12681" s="278">
        <v>4479.17</v>
      </c>
      <c r="Z12681" s="420" t="s">
        <v>2953</v>
      </c>
    </row>
    <row r="12682" spans="1:26">
      <c r="A12682" s="499">
        <v>45926</v>
      </c>
      <c r="B12682" s="499">
        <v>45926</v>
      </c>
      <c r="C12682" s="420" t="s">
        <v>173</v>
      </c>
      <c r="D12682" s="500" t="s">
        <v>759</v>
      </c>
      <c r="E12682" s="501">
        <v>-11010213.98</v>
      </c>
      <c r="F12682" s="95" t="s">
        <v>878</v>
      </c>
      <c r="G12682" s="420">
        <v>119316836</v>
      </c>
      <c r="H12682" s="420"/>
      <c r="I12682" s="278" t="s">
        <v>816</v>
      </c>
      <c r="J12682" s="530" t="s">
        <v>906</v>
      </c>
      <c r="N12682" s="420">
        <v>10406</v>
      </c>
      <c r="R12682" s="420">
        <v>1058.0639996156065</v>
      </c>
      <c r="S12682" s="420">
        <v>1059.4510782241</v>
      </c>
      <c r="T12682" s="420">
        <v>15.95</v>
      </c>
      <c r="U12682" s="278">
        <v>49.55</v>
      </c>
      <c r="V12682" s="278">
        <v>24.77</v>
      </c>
      <c r="Z12682" s="420" t="s">
        <v>2953</v>
      </c>
    </row>
    <row r="12683" spans="1:26">
      <c r="A12683" s="499">
        <v>45926</v>
      </c>
      <c r="B12683" s="499">
        <v>45929</v>
      </c>
      <c r="C12683" s="420" t="s">
        <v>173</v>
      </c>
      <c r="D12683" s="500" t="s">
        <v>759</v>
      </c>
      <c r="E12683" s="501">
        <v>1993359520.0799999</v>
      </c>
      <c r="F12683" s="95" t="s">
        <v>878</v>
      </c>
      <c r="G12683" s="420">
        <v>119312556</v>
      </c>
      <c r="H12683" s="420">
        <v>119312556</v>
      </c>
      <c r="I12683" s="278" t="s">
        <v>631</v>
      </c>
      <c r="J12683" s="530" t="s">
        <v>912</v>
      </c>
      <c r="N12683" s="420">
        <v>3830750</v>
      </c>
      <c r="R12683" s="420">
        <v>519.67410000130519</v>
      </c>
      <c r="S12683" s="420">
        <v>520.35750703648102</v>
      </c>
      <c r="T12683" s="420">
        <v>16</v>
      </c>
      <c r="U12683" s="278">
        <v>8958.34</v>
      </c>
      <c r="V12683" s="278">
        <v>4479.17</v>
      </c>
      <c r="Z12683" s="420" t="s">
        <v>2953</v>
      </c>
    </row>
    <row r="12684" spans="1:26">
      <c r="A12684" s="499">
        <v>45926</v>
      </c>
      <c r="B12684" s="499">
        <v>45929</v>
      </c>
      <c r="C12684" s="420" t="s">
        <v>173</v>
      </c>
      <c r="D12684" s="500" t="s">
        <v>759</v>
      </c>
      <c r="E12684" s="501">
        <v>11024647.92</v>
      </c>
      <c r="F12684" s="95" t="s">
        <v>878</v>
      </c>
      <c r="G12684" s="420">
        <v>119316836</v>
      </c>
      <c r="H12684" s="420">
        <v>119316836</v>
      </c>
      <c r="I12684" s="278" t="s">
        <v>816</v>
      </c>
      <c r="J12684" s="530" t="s">
        <v>912</v>
      </c>
      <c r="N12684" s="420">
        <v>10406</v>
      </c>
      <c r="R12684" s="420">
        <v>1058.0639996156065</v>
      </c>
      <c r="S12684" s="420">
        <v>1059.4510782241</v>
      </c>
      <c r="T12684" s="420">
        <v>15.95</v>
      </c>
      <c r="U12684" s="278">
        <v>49.55</v>
      </c>
      <c r="V12684" s="278">
        <v>24.77</v>
      </c>
      <c r="Z12684" s="420" t="s">
        <v>2953</v>
      </c>
    </row>
    <row r="12685" spans="1:26">
      <c r="A12685" s="499">
        <v>45929</v>
      </c>
      <c r="B12685" s="499">
        <v>45929</v>
      </c>
      <c r="C12685" s="420" t="s">
        <v>173</v>
      </c>
      <c r="D12685" s="500" t="s">
        <v>762</v>
      </c>
      <c r="E12685" s="501">
        <v>-55000697.020000003</v>
      </c>
      <c r="F12685" s="95" t="s">
        <v>878</v>
      </c>
      <c r="G12685" s="420">
        <v>119341112</v>
      </c>
      <c r="H12685" s="420"/>
      <c r="I12685" s="278" t="s">
        <v>682</v>
      </c>
      <c r="J12685" s="530" t="s">
        <v>906</v>
      </c>
      <c r="N12685" s="420">
        <v>58685</v>
      </c>
      <c r="R12685" s="558">
        <v>937.21900000000005</v>
      </c>
      <c r="S12685" s="558">
        <v>937.61699974439796</v>
      </c>
      <c r="T12685" s="567">
        <v>15.5001</v>
      </c>
      <c r="U12685" s="538">
        <v>82.5</v>
      </c>
      <c r="V12685" s="538">
        <v>41.25</v>
      </c>
      <c r="Z12685" s="539" t="s">
        <v>2953</v>
      </c>
    </row>
    <row r="12686" spans="1:26">
      <c r="A12686" s="499">
        <v>45929</v>
      </c>
      <c r="B12686" s="499">
        <v>45929</v>
      </c>
      <c r="C12686" s="420" t="s">
        <v>173</v>
      </c>
      <c r="D12686" s="500" t="s">
        <v>762</v>
      </c>
      <c r="E12686" s="501">
        <v>-506039192.74000001</v>
      </c>
      <c r="F12686" s="95" t="s">
        <v>878</v>
      </c>
      <c r="G12686" s="420">
        <v>119341115</v>
      </c>
      <c r="H12686" s="420"/>
      <c r="I12686" s="278" t="s">
        <v>800</v>
      </c>
      <c r="J12686" s="530" t="s">
        <v>906</v>
      </c>
      <c r="N12686" s="420">
        <v>479182</v>
      </c>
      <c r="R12686" s="558">
        <v>1056.048</v>
      </c>
      <c r="S12686" s="558">
        <v>1056.4964616367099</v>
      </c>
      <c r="T12686" s="567">
        <v>15.5001</v>
      </c>
      <c r="U12686" s="538">
        <v>759.06</v>
      </c>
      <c r="V12686" s="538">
        <v>379.53</v>
      </c>
      <c r="Z12686" s="539" t="s">
        <v>2953</v>
      </c>
    </row>
    <row r="12687" spans="1:26">
      <c r="A12687" s="499">
        <v>45929</v>
      </c>
      <c r="B12687" s="499">
        <v>45929</v>
      </c>
      <c r="C12687" s="420" t="s">
        <v>173</v>
      </c>
      <c r="D12687" s="500" t="s">
        <v>762</v>
      </c>
      <c r="E12687" s="501">
        <v>-2000094883.2</v>
      </c>
      <c r="F12687" s="95" t="s">
        <v>878</v>
      </c>
      <c r="G12687" s="420">
        <v>119341118</v>
      </c>
      <c r="H12687" s="420"/>
      <c r="I12687" s="278" t="s">
        <v>1018</v>
      </c>
      <c r="J12687" s="530" t="s">
        <v>906</v>
      </c>
      <c r="N12687" s="420">
        <v>20208000</v>
      </c>
      <c r="R12687" s="558">
        <v>98.975399999999993</v>
      </c>
      <c r="S12687" s="558">
        <v>99.0174309204276</v>
      </c>
      <c r="T12687" s="567">
        <v>15.5001</v>
      </c>
      <c r="U12687" s="538">
        <v>3000.14</v>
      </c>
      <c r="V12687" s="538">
        <v>1500.07</v>
      </c>
      <c r="Z12687" s="539" t="s">
        <v>2953</v>
      </c>
    </row>
    <row r="12688" spans="1:26">
      <c r="A12688" s="499">
        <v>45929</v>
      </c>
      <c r="B12688" s="499">
        <v>45929</v>
      </c>
      <c r="C12688" s="420" t="s">
        <v>173</v>
      </c>
      <c r="D12688" s="500" t="s">
        <v>762</v>
      </c>
      <c r="E12688" s="501">
        <v>-1548601150.3199999</v>
      </c>
      <c r="F12688" s="95" t="s">
        <v>878</v>
      </c>
      <c r="G12688" s="420">
        <v>119341157</v>
      </c>
      <c r="H12688" s="420"/>
      <c r="I12688" s="278" t="s">
        <v>719</v>
      </c>
      <c r="J12688" s="530" t="s">
        <v>906</v>
      </c>
      <c r="N12688" s="420">
        <v>2371536</v>
      </c>
      <c r="R12688" s="558">
        <v>652.995</v>
      </c>
      <c r="S12688" s="558">
        <v>653.27229924825099</v>
      </c>
      <c r="T12688" s="567">
        <v>15.5</v>
      </c>
      <c r="U12688" s="538">
        <v>2322.9</v>
      </c>
      <c r="V12688" s="538">
        <v>1161.45</v>
      </c>
      <c r="Z12688" s="539" t="s">
        <v>2953</v>
      </c>
    </row>
    <row r="12689" spans="1:26">
      <c r="A12689" s="499">
        <v>45929</v>
      </c>
      <c r="B12689" s="499">
        <v>45929</v>
      </c>
      <c r="C12689" s="420" t="s">
        <v>173</v>
      </c>
      <c r="D12689" s="500" t="s">
        <v>762</v>
      </c>
      <c r="E12689" s="501">
        <v>-10003883.4</v>
      </c>
      <c r="F12689" s="95" t="s">
        <v>878</v>
      </c>
      <c r="G12689" s="420">
        <v>119341165</v>
      </c>
      <c r="H12689" s="420"/>
      <c r="I12689" s="278" t="s">
        <v>719</v>
      </c>
      <c r="J12689" s="530" t="s">
        <v>906</v>
      </c>
      <c r="N12689" s="420">
        <v>15320</v>
      </c>
      <c r="R12689" s="558">
        <v>652.995</v>
      </c>
      <c r="S12689" s="558">
        <v>653.27229895561402</v>
      </c>
      <c r="T12689" s="567">
        <v>15.5</v>
      </c>
      <c r="U12689" s="538">
        <v>39.32</v>
      </c>
      <c r="V12689" s="538">
        <v>7.5</v>
      </c>
      <c r="Z12689" s="539" t="s">
        <v>2953</v>
      </c>
    </row>
    <row r="12690" spans="1:26">
      <c r="A12690" s="499">
        <v>45929</v>
      </c>
      <c r="B12690" s="499">
        <v>45930</v>
      </c>
      <c r="C12690" s="420" t="s">
        <v>173</v>
      </c>
      <c r="D12690" s="500" t="s">
        <v>762</v>
      </c>
      <c r="E12690" s="501">
        <v>55024053.630000003</v>
      </c>
      <c r="F12690" s="95" t="s">
        <v>878</v>
      </c>
      <c r="G12690" s="420">
        <v>119341112</v>
      </c>
      <c r="H12690" s="420">
        <v>119341112</v>
      </c>
      <c r="I12690" s="278" t="s">
        <v>682</v>
      </c>
      <c r="J12690" s="530" t="s">
        <v>912</v>
      </c>
      <c r="N12690" s="420">
        <v>58685</v>
      </c>
      <c r="R12690" s="558">
        <v>937.21900000000005</v>
      </c>
      <c r="S12690" s="558">
        <v>937.61699974439796</v>
      </c>
      <c r="T12690" s="567">
        <v>15.5001</v>
      </c>
      <c r="U12690" s="538">
        <v>82.5</v>
      </c>
      <c r="V12690" s="538">
        <v>41.25</v>
      </c>
      <c r="Z12690" s="539" t="s">
        <v>2953</v>
      </c>
    </row>
    <row r="12691" spans="1:26">
      <c r="A12691" s="499">
        <v>45929</v>
      </c>
      <c r="B12691" s="499">
        <v>45930</v>
      </c>
      <c r="C12691" s="420" t="s">
        <v>173</v>
      </c>
      <c r="D12691" s="500" t="s">
        <v>762</v>
      </c>
      <c r="E12691" s="501">
        <v>506254087.48000002</v>
      </c>
      <c r="F12691" s="95" t="s">
        <v>878</v>
      </c>
      <c r="G12691" s="420">
        <v>119341115</v>
      </c>
      <c r="H12691" s="420">
        <v>119341115</v>
      </c>
      <c r="I12691" s="278" t="s">
        <v>800</v>
      </c>
      <c r="J12691" s="530" t="s">
        <v>912</v>
      </c>
      <c r="N12691" s="420">
        <v>479182</v>
      </c>
      <c r="R12691" s="558">
        <v>1056.048</v>
      </c>
      <c r="S12691" s="558">
        <v>1056.4964616367099</v>
      </c>
      <c r="T12691" s="567">
        <v>15.5001</v>
      </c>
      <c r="U12691" s="538">
        <v>759.06</v>
      </c>
      <c r="V12691" s="538">
        <v>379.53</v>
      </c>
      <c r="Z12691" s="539" t="s">
        <v>2953</v>
      </c>
    </row>
    <row r="12692" spans="1:26">
      <c r="A12692" s="499">
        <v>45929</v>
      </c>
      <c r="B12692" s="499">
        <v>45930</v>
      </c>
      <c r="C12692" s="420" t="s">
        <v>173</v>
      </c>
      <c r="D12692" s="500" t="s">
        <v>762</v>
      </c>
      <c r="E12692" s="501">
        <v>2000944244.04</v>
      </c>
      <c r="F12692" s="95" t="s">
        <v>878</v>
      </c>
      <c r="G12692" s="420">
        <v>119341118</v>
      </c>
      <c r="H12692" s="420">
        <v>119341118</v>
      </c>
      <c r="I12692" s="278" t="s">
        <v>1018</v>
      </c>
      <c r="J12692" s="530" t="s">
        <v>912</v>
      </c>
      <c r="N12692" s="420">
        <v>20208000</v>
      </c>
      <c r="R12692" s="558">
        <v>98.975399999999993</v>
      </c>
      <c r="S12692" s="558">
        <v>99.0174309204276</v>
      </c>
      <c r="T12692" s="567">
        <v>15.5001</v>
      </c>
      <c r="U12692" s="538">
        <v>3000.14</v>
      </c>
      <c r="V12692" s="538">
        <v>1500.07</v>
      </c>
      <c r="Z12692" s="539" t="s">
        <v>2953</v>
      </c>
    </row>
    <row r="12693" spans="1:26">
      <c r="A12693" s="499">
        <v>45929</v>
      </c>
      <c r="B12693" s="499">
        <v>45930</v>
      </c>
      <c r="C12693" s="420" t="s">
        <v>173</v>
      </c>
      <c r="D12693" s="500" t="s">
        <v>762</v>
      </c>
      <c r="E12693" s="501">
        <v>1549258775.47</v>
      </c>
      <c r="F12693" s="95" t="s">
        <v>878</v>
      </c>
      <c r="G12693" s="420">
        <v>119341157</v>
      </c>
      <c r="H12693" s="420">
        <v>119341157</v>
      </c>
      <c r="I12693" s="278" t="s">
        <v>719</v>
      </c>
      <c r="J12693" s="530" t="s">
        <v>912</v>
      </c>
      <c r="N12693" s="420">
        <v>2371536</v>
      </c>
      <c r="R12693" s="558">
        <v>652.995</v>
      </c>
      <c r="S12693" s="558">
        <v>653.27229924825099</v>
      </c>
      <c r="T12693" s="567">
        <v>15.5</v>
      </c>
      <c r="U12693" s="538">
        <v>2322.9</v>
      </c>
      <c r="V12693" s="538">
        <v>1161.45</v>
      </c>
      <c r="Z12693" s="539" t="s">
        <v>2953</v>
      </c>
    </row>
    <row r="12694" spans="1:26">
      <c r="A12694" s="499">
        <v>45929</v>
      </c>
      <c r="B12694" s="499">
        <v>45930</v>
      </c>
      <c r="C12694" s="420" t="s">
        <v>173</v>
      </c>
      <c r="D12694" s="500" t="s">
        <v>762</v>
      </c>
      <c r="E12694" s="501">
        <v>10008131.619999999</v>
      </c>
      <c r="F12694" s="95" t="s">
        <v>878</v>
      </c>
      <c r="G12694" s="420">
        <v>119341165</v>
      </c>
      <c r="H12694" s="420">
        <v>119341165</v>
      </c>
      <c r="I12694" s="278" t="s">
        <v>719</v>
      </c>
      <c r="J12694" s="530" t="s">
        <v>912</v>
      </c>
      <c r="N12694" s="420">
        <v>15320</v>
      </c>
      <c r="R12694" s="558">
        <v>652.995</v>
      </c>
      <c r="S12694" s="558">
        <v>653.27229895561402</v>
      </c>
      <c r="T12694" s="567">
        <v>15.5</v>
      </c>
      <c r="U12694" s="538">
        <v>39.32</v>
      </c>
      <c r="V12694" s="538">
        <v>7.5</v>
      </c>
      <c r="Z12694" s="539" t="s">
        <v>2953</v>
      </c>
    </row>
    <row r="12695" spans="1:26">
      <c r="A12695" s="499">
        <v>45929</v>
      </c>
      <c r="B12695" s="499">
        <v>45929</v>
      </c>
      <c r="C12695" s="420" t="s">
        <v>173</v>
      </c>
      <c r="D12695" s="500" t="s">
        <v>760</v>
      </c>
      <c r="E12695" s="501">
        <v>-193001785.83000001</v>
      </c>
      <c r="F12695" s="95" t="s">
        <v>878</v>
      </c>
      <c r="G12695" s="420">
        <v>119337125</v>
      </c>
      <c r="I12695" s="278" t="s">
        <v>1013</v>
      </c>
      <c r="J12695" s="530" t="s">
        <v>906</v>
      </c>
      <c r="N12695" s="420">
        <v>349330</v>
      </c>
      <c r="R12695" s="420">
        <v>552.49130000000002</v>
      </c>
      <c r="S12695" s="420">
        <v>554.19191363467201</v>
      </c>
      <c r="T12695" s="420">
        <v>16.05</v>
      </c>
      <c r="U12695" s="278">
        <v>2026.52</v>
      </c>
      <c r="V12695" s="278">
        <v>1013.26</v>
      </c>
      <c r="Z12695" s="420" t="s">
        <v>2961</v>
      </c>
    </row>
    <row r="12696" spans="1:26">
      <c r="A12696" s="499">
        <v>45929</v>
      </c>
      <c r="B12696" s="499">
        <v>45929</v>
      </c>
      <c r="C12696" s="420" t="s">
        <v>173</v>
      </c>
      <c r="D12696" s="500" t="s">
        <v>760</v>
      </c>
      <c r="E12696" s="501">
        <v>-1300988005.2</v>
      </c>
      <c r="F12696" s="95" t="s">
        <v>878</v>
      </c>
      <c r="G12696" s="420">
        <v>119337251</v>
      </c>
      <c r="I12696" s="278" t="s">
        <v>686</v>
      </c>
      <c r="J12696" s="530" t="s">
        <v>906</v>
      </c>
      <c r="N12696" s="420">
        <v>1440400</v>
      </c>
      <c r="R12696" s="420">
        <v>903.21299999999997</v>
      </c>
      <c r="S12696" s="420">
        <v>905.98450290197195</v>
      </c>
      <c r="T12696" s="420">
        <v>16</v>
      </c>
      <c r="U12696" s="278">
        <v>13660.37</v>
      </c>
      <c r="V12696" s="278">
        <v>6830.19</v>
      </c>
      <c r="Z12696" s="420" t="s">
        <v>2961</v>
      </c>
    </row>
    <row r="12697" spans="1:26">
      <c r="A12697" s="499">
        <v>45929</v>
      </c>
      <c r="B12697" s="499">
        <v>45929</v>
      </c>
      <c r="C12697" s="420" t="s">
        <v>173</v>
      </c>
      <c r="D12697" s="500" t="s">
        <v>760</v>
      </c>
      <c r="E12697" s="501">
        <v>-6003156.79</v>
      </c>
      <c r="F12697" s="95" t="s">
        <v>878</v>
      </c>
      <c r="G12697" s="420">
        <v>119337414</v>
      </c>
      <c r="I12697" s="278" t="s">
        <v>2854</v>
      </c>
      <c r="J12697" s="530" t="s">
        <v>906</v>
      </c>
      <c r="N12697" s="420">
        <v>10632</v>
      </c>
      <c r="R12697" s="420">
        <v>564.63099999999997</v>
      </c>
      <c r="S12697" s="420">
        <v>566.363566591422</v>
      </c>
      <c r="T12697" s="420">
        <v>16</v>
      </c>
      <c r="U12697" s="278">
        <v>63.03</v>
      </c>
      <c r="V12697" s="278">
        <v>31.52</v>
      </c>
      <c r="Z12697" s="420" t="s">
        <v>2961</v>
      </c>
    </row>
    <row r="12698" spans="1:26">
      <c r="A12698" s="499">
        <v>45929</v>
      </c>
      <c r="B12698" s="499">
        <v>45929</v>
      </c>
      <c r="C12698" s="420" t="s">
        <v>173</v>
      </c>
      <c r="D12698" s="500" t="s">
        <v>760</v>
      </c>
      <c r="E12698" s="501">
        <v>-1300450444.8</v>
      </c>
      <c r="F12698" s="95" t="s">
        <v>878</v>
      </c>
      <c r="G12698" s="420">
        <v>119337778</v>
      </c>
      <c r="I12698" s="278" t="s">
        <v>2944</v>
      </c>
      <c r="J12698" s="530" t="s">
        <v>906</v>
      </c>
      <c r="N12698" s="420">
        <v>1341600</v>
      </c>
      <c r="R12698" s="420">
        <v>969.32799999999997</v>
      </c>
      <c r="S12698" s="420">
        <v>969.74892736285005</v>
      </c>
      <c r="T12698" s="420">
        <v>15.85</v>
      </c>
      <c r="U12698" s="278">
        <v>1950.68</v>
      </c>
      <c r="V12698" s="278">
        <v>975.34</v>
      </c>
      <c r="Z12698" s="420" t="s">
        <v>2953</v>
      </c>
    </row>
    <row r="12699" spans="1:26">
      <c r="A12699" s="499">
        <v>45929</v>
      </c>
      <c r="B12699" s="499">
        <v>45929</v>
      </c>
      <c r="C12699" s="420" t="s">
        <v>173</v>
      </c>
      <c r="D12699" s="500" t="s">
        <v>760</v>
      </c>
      <c r="E12699" s="501">
        <v>-40011414.140000001</v>
      </c>
      <c r="F12699" s="95" t="s">
        <v>878</v>
      </c>
      <c r="G12699" s="420">
        <v>119337899</v>
      </c>
      <c r="I12699" s="278" t="s">
        <v>631</v>
      </c>
      <c r="J12699" s="530" t="s">
        <v>906</v>
      </c>
      <c r="N12699" s="420">
        <v>76640</v>
      </c>
      <c r="R12699" s="420">
        <v>522.06960000000004</v>
      </c>
      <c r="S12699" s="420">
        <v>522.29687904488503</v>
      </c>
      <c r="T12699" s="420">
        <v>15.89</v>
      </c>
      <c r="U12699" s="278">
        <v>60.02</v>
      </c>
      <c r="V12699" s="278">
        <v>30.01</v>
      </c>
      <c r="Z12699" s="420" t="s">
        <v>2953</v>
      </c>
    </row>
    <row r="12700" spans="1:26">
      <c r="A12700" s="499">
        <v>45929</v>
      </c>
      <c r="B12700" s="499">
        <v>45929</v>
      </c>
      <c r="C12700" s="420" t="s">
        <v>173</v>
      </c>
      <c r="D12700" s="500" t="s">
        <v>760</v>
      </c>
      <c r="E12700" s="501">
        <v>-374104124.88999999</v>
      </c>
      <c r="F12700" s="95" t="s">
        <v>878</v>
      </c>
      <c r="G12700" s="420">
        <v>119338066</v>
      </c>
      <c r="I12700" s="278" t="s">
        <v>833</v>
      </c>
      <c r="J12700" s="530" t="s">
        <v>906</v>
      </c>
      <c r="N12700" s="420">
        <v>584936</v>
      </c>
      <c r="R12700" s="420">
        <v>639.56420000000003</v>
      </c>
      <c r="S12700" s="420">
        <v>639.84262945006003</v>
      </c>
      <c r="T12700" s="420">
        <v>15.89</v>
      </c>
      <c r="U12700" s="278">
        <v>561.16</v>
      </c>
      <c r="V12700" s="278">
        <v>280.58</v>
      </c>
      <c r="Z12700" s="420" t="s">
        <v>2953</v>
      </c>
    </row>
    <row r="12701" spans="1:26">
      <c r="A12701" s="499">
        <v>45929</v>
      </c>
      <c r="B12701" s="499">
        <v>45936</v>
      </c>
      <c r="C12701" s="420" t="s">
        <v>173</v>
      </c>
      <c r="D12701" s="500" t="s">
        <v>760</v>
      </c>
      <c r="E12701" s="501">
        <v>193595861.19</v>
      </c>
      <c r="F12701" s="95" t="s">
        <v>878</v>
      </c>
      <c r="G12701" s="420">
        <v>119337125</v>
      </c>
      <c r="H12701" s="420">
        <v>119337125</v>
      </c>
      <c r="I12701" s="278" t="s">
        <v>1013</v>
      </c>
      <c r="J12701" s="530" t="s">
        <v>912</v>
      </c>
      <c r="N12701" s="420">
        <v>349330</v>
      </c>
      <c r="R12701" s="420">
        <v>552.49130000000002</v>
      </c>
      <c r="S12701" s="420">
        <v>554.19191363467201</v>
      </c>
      <c r="T12701" s="420">
        <v>16.05</v>
      </c>
      <c r="U12701" s="278">
        <v>2026.52</v>
      </c>
      <c r="V12701" s="278">
        <v>1013.26</v>
      </c>
      <c r="Z12701" s="420" t="s">
        <v>2961</v>
      </c>
    </row>
    <row r="12702" spans="1:26">
      <c r="A12702" s="499">
        <v>45929</v>
      </c>
      <c r="B12702" s="499">
        <v>45936</v>
      </c>
      <c r="C12702" s="420" t="s">
        <v>173</v>
      </c>
      <c r="D12702" s="500" t="s">
        <v>760</v>
      </c>
      <c r="E12702" s="501">
        <v>1304980077.98</v>
      </c>
      <c r="F12702" s="95" t="s">
        <v>878</v>
      </c>
      <c r="G12702" s="420">
        <v>119337251</v>
      </c>
      <c r="H12702" s="420">
        <v>119337251</v>
      </c>
      <c r="I12702" s="278" t="s">
        <v>686</v>
      </c>
      <c r="J12702" s="530" t="s">
        <v>912</v>
      </c>
      <c r="N12702" s="420">
        <v>1440400</v>
      </c>
      <c r="R12702" s="420">
        <v>903.21299999999997</v>
      </c>
      <c r="S12702" s="420">
        <v>905.98450290197195</v>
      </c>
      <c r="T12702" s="420">
        <v>16</v>
      </c>
      <c r="U12702" s="278">
        <v>13660.37</v>
      </c>
      <c r="V12702" s="278">
        <v>6830.19</v>
      </c>
      <c r="Z12702" s="420" t="s">
        <v>2961</v>
      </c>
    </row>
    <row r="12703" spans="1:26">
      <c r="A12703" s="499">
        <v>45929</v>
      </c>
      <c r="B12703" s="499">
        <v>45936</v>
      </c>
      <c r="C12703" s="420" t="s">
        <v>173</v>
      </c>
      <c r="D12703" s="500" t="s">
        <v>760</v>
      </c>
      <c r="E12703" s="501">
        <v>6021577.4400000004</v>
      </c>
      <c r="F12703" s="95" t="s">
        <v>878</v>
      </c>
      <c r="G12703" s="420">
        <v>119337414</v>
      </c>
      <c r="H12703" s="420">
        <v>119337414</v>
      </c>
      <c r="I12703" s="278" t="s">
        <v>2854</v>
      </c>
      <c r="J12703" s="530" t="s">
        <v>912</v>
      </c>
      <c r="N12703" s="420">
        <v>10632</v>
      </c>
      <c r="R12703" s="420">
        <v>564.63099999999997</v>
      </c>
      <c r="S12703" s="420">
        <v>566.363566591422</v>
      </c>
      <c r="T12703" s="420">
        <v>16</v>
      </c>
      <c r="U12703" s="278">
        <v>63.03</v>
      </c>
      <c r="V12703" s="278">
        <v>31.52</v>
      </c>
      <c r="Z12703" s="420" t="s">
        <v>2961</v>
      </c>
    </row>
    <row r="12704" spans="1:26">
      <c r="A12704" s="499">
        <v>45929</v>
      </c>
      <c r="B12704" s="499">
        <v>45930</v>
      </c>
      <c r="C12704" s="420" t="s">
        <v>173</v>
      </c>
      <c r="D12704" s="500" t="s">
        <v>760</v>
      </c>
      <c r="E12704" s="501">
        <v>1301015160.95</v>
      </c>
      <c r="F12704" s="95" t="s">
        <v>878</v>
      </c>
      <c r="G12704" s="420">
        <v>119337778</v>
      </c>
      <c r="H12704" s="420">
        <v>119337778</v>
      </c>
      <c r="I12704" s="278" t="s">
        <v>2944</v>
      </c>
      <c r="J12704" s="530" t="s">
        <v>912</v>
      </c>
      <c r="N12704" s="420">
        <v>1341600</v>
      </c>
      <c r="R12704" s="420">
        <v>969.32799999999997</v>
      </c>
      <c r="S12704" s="420">
        <v>969.74892736285005</v>
      </c>
      <c r="T12704" s="420">
        <v>15.85</v>
      </c>
      <c r="U12704" s="278">
        <v>1950.68</v>
      </c>
      <c r="V12704" s="278">
        <v>975.34</v>
      </c>
      <c r="Z12704" s="420" t="s">
        <v>2953</v>
      </c>
    </row>
    <row r="12705" spans="1:26">
      <c r="A12705" s="499">
        <v>45929</v>
      </c>
      <c r="B12705" s="499">
        <v>45930</v>
      </c>
      <c r="C12705" s="420" t="s">
        <v>173</v>
      </c>
      <c r="D12705" s="500" t="s">
        <v>760</v>
      </c>
      <c r="E12705" s="501">
        <v>40028832.810000002</v>
      </c>
      <c r="F12705" s="95" t="s">
        <v>878</v>
      </c>
      <c r="G12705" s="420">
        <v>119337899</v>
      </c>
      <c r="H12705" s="420">
        <v>119337899</v>
      </c>
      <c r="I12705" s="278" t="s">
        <v>631</v>
      </c>
      <c r="J12705" s="530" t="s">
        <v>912</v>
      </c>
      <c r="N12705" s="420">
        <v>76640</v>
      </c>
      <c r="R12705" s="420">
        <v>522.06960000000004</v>
      </c>
      <c r="S12705" s="420">
        <v>522.29687904488503</v>
      </c>
      <c r="T12705" s="420">
        <v>15.89</v>
      </c>
      <c r="U12705" s="278">
        <v>60.02</v>
      </c>
      <c r="V12705" s="278">
        <v>30.01</v>
      </c>
      <c r="Z12705" s="420" t="s">
        <v>2953</v>
      </c>
    </row>
    <row r="12706" spans="1:26">
      <c r="A12706" s="499">
        <v>45929</v>
      </c>
      <c r="B12706" s="499">
        <v>45930</v>
      </c>
      <c r="C12706" s="420" t="s">
        <v>173</v>
      </c>
      <c r="D12706" s="500" t="s">
        <v>760</v>
      </c>
      <c r="E12706" s="501">
        <v>374266988.30000001</v>
      </c>
      <c r="F12706" s="95" t="s">
        <v>878</v>
      </c>
      <c r="G12706" s="420">
        <v>119338066</v>
      </c>
      <c r="H12706" s="420">
        <v>119338066</v>
      </c>
      <c r="I12706" s="278" t="s">
        <v>833</v>
      </c>
      <c r="J12706" s="530" t="s">
        <v>912</v>
      </c>
      <c r="N12706" s="420">
        <v>584936</v>
      </c>
      <c r="R12706" s="420">
        <v>639.56420000000003</v>
      </c>
      <c r="S12706" s="420">
        <v>639.84262945006003</v>
      </c>
      <c r="T12706" s="420">
        <v>15.89</v>
      </c>
      <c r="U12706" s="278">
        <v>561.16</v>
      </c>
      <c r="V12706" s="278">
        <v>280.58</v>
      </c>
      <c r="Z12706" s="420" t="s">
        <v>2953</v>
      </c>
    </row>
    <row r="12707" spans="1:26">
      <c r="A12707" s="499">
        <v>45929</v>
      </c>
      <c r="B12707" s="499">
        <v>45929</v>
      </c>
      <c r="C12707" s="420" t="s">
        <v>173</v>
      </c>
      <c r="D12707" s="500" t="s">
        <v>761</v>
      </c>
      <c r="E12707" s="501">
        <v>-1410141466.71</v>
      </c>
      <c r="F12707" s="95" t="s">
        <v>878</v>
      </c>
      <c r="G12707" s="420">
        <v>119337472</v>
      </c>
      <c r="I12707" s="278" t="s">
        <v>674</v>
      </c>
      <c r="J12707" s="530" t="s">
        <v>906</v>
      </c>
      <c r="N12707" s="420">
        <v>1560870</v>
      </c>
      <c r="R12707" s="420">
        <v>903.43299999999999</v>
      </c>
      <c r="S12707" s="420">
        <v>903.82408005791604</v>
      </c>
      <c r="T12707" s="420">
        <v>15.8002</v>
      </c>
      <c r="U12707" s="278">
        <v>2115.21</v>
      </c>
      <c r="V12707" s="278">
        <v>1057.6099999999999</v>
      </c>
      <c r="Z12707" s="420" t="s">
        <v>2953</v>
      </c>
    </row>
    <row r="12708" spans="1:26">
      <c r="A12708" s="499">
        <v>45929</v>
      </c>
      <c r="B12708" s="499">
        <v>45929</v>
      </c>
      <c r="C12708" s="420" t="s">
        <v>173</v>
      </c>
      <c r="D12708" s="500" t="s">
        <v>761</v>
      </c>
      <c r="E12708" s="501">
        <v>-8000802.6500000004</v>
      </c>
      <c r="F12708" s="95" t="s">
        <v>878</v>
      </c>
      <c r="G12708" s="420">
        <v>119337497</v>
      </c>
      <c r="I12708" s="278" t="s">
        <v>674</v>
      </c>
      <c r="J12708" s="530" t="s">
        <v>906</v>
      </c>
      <c r="N12708" s="420">
        <v>8856</v>
      </c>
      <c r="R12708" s="420">
        <v>903.4330002258356</v>
      </c>
      <c r="S12708" s="420">
        <v>903.82407971996395</v>
      </c>
      <c r="T12708" s="420">
        <v>15.8002</v>
      </c>
      <c r="U12708" s="278">
        <v>39.32</v>
      </c>
      <c r="V12708" s="278">
        <v>6</v>
      </c>
      <c r="Z12708" s="420" t="s">
        <v>2953</v>
      </c>
    </row>
    <row r="12709" spans="1:26">
      <c r="A12709" s="499">
        <v>45929</v>
      </c>
      <c r="B12709" s="499">
        <v>45930</v>
      </c>
      <c r="C12709" s="420" t="s">
        <v>173</v>
      </c>
      <c r="D12709" s="500" t="s">
        <v>761</v>
      </c>
      <c r="E12709" s="501">
        <v>1410751891.8399999</v>
      </c>
      <c r="F12709" s="95" t="s">
        <v>878</v>
      </c>
      <c r="G12709" s="420">
        <v>119337472</v>
      </c>
      <c r="H12709" s="420">
        <v>119337472</v>
      </c>
      <c r="I12709" s="278" t="s">
        <v>674</v>
      </c>
      <c r="J12709" s="530" t="s">
        <v>912</v>
      </c>
      <c r="N12709" s="420">
        <v>1560870</v>
      </c>
      <c r="R12709" s="420">
        <v>903.43299999999999</v>
      </c>
      <c r="S12709" s="420">
        <v>903.82408005791604</v>
      </c>
      <c r="T12709" s="420">
        <v>15.8002</v>
      </c>
      <c r="U12709" s="278">
        <v>2115.21</v>
      </c>
      <c r="V12709" s="278">
        <v>1057.6099999999999</v>
      </c>
      <c r="Z12709" s="420" t="s">
        <v>2953</v>
      </c>
    </row>
    <row r="12710" spans="1:26">
      <c r="A12710" s="499">
        <v>45929</v>
      </c>
      <c r="B12710" s="499">
        <v>45930</v>
      </c>
      <c r="C12710" s="420" t="s">
        <v>173</v>
      </c>
      <c r="D12710" s="500" t="s">
        <v>761</v>
      </c>
      <c r="E12710" s="501">
        <v>8004266.0499999998</v>
      </c>
      <c r="F12710" s="95" t="s">
        <v>878</v>
      </c>
      <c r="G12710" s="420">
        <v>119337497</v>
      </c>
      <c r="H12710" s="420">
        <v>119337497</v>
      </c>
      <c r="I12710" s="278" t="s">
        <v>674</v>
      </c>
      <c r="J12710" s="530" t="s">
        <v>912</v>
      </c>
      <c r="N12710" s="420">
        <v>8856</v>
      </c>
      <c r="R12710" s="420">
        <v>903.4330002258356</v>
      </c>
      <c r="S12710" s="420">
        <v>903.82407971996395</v>
      </c>
      <c r="T12710" s="420">
        <v>15.8002</v>
      </c>
      <c r="U12710" s="278">
        <v>39.32</v>
      </c>
      <c r="V12710" s="278">
        <v>6</v>
      </c>
      <c r="Z12710" s="420" t="s">
        <v>2953</v>
      </c>
    </row>
    <row r="12711" spans="1:26">
      <c r="A12711" s="499">
        <v>45929</v>
      </c>
      <c r="B12711" s="499">
        <v>45929</v>
      </c>
      <c r="C12711" s="420" t="s">
        <v>173</v>
      </c>
      <c r="D12711" s="500" t="s">
        <v>763</v>
      </c>
      <c r="E12711" s="501">
        <v>-1300329888</v>
      </c>
      <c r="F12711" s="95" t="s">
        <v>878</v>
      </c>
      <c r="G12711" s="420">
        <v>119335425</v>
      </c>
      <c r="I12711" s="278" t="s">
        <v>675</v>
      </c>
      <c r="J12711" s="530" t="s">
        <v>906</v>
      </c>
      <c r="N12711" s="420">
        <v>1372800</v>
      </c>
      <c r="R12711" s="420">
        <v>947.21</v>
      </c>
      <c r="S12711" s="420">
        <v>947.62004071969704</v>
      </c>
      <c r="T12711" s="420">
        <v>15.800599999999999</v>
      </c>
      <c r="U12711" s="278">
        <v>1950.49</v>
      </c>
      <c r="V12711" s="278">
        <v>975.25</v>
      </c>
      <c r="Z12711" s="420" t="s">
        <v>2953</v>
      </c>
    </row>
    <row r="12712" spans="1:26">
      <c r="A12712" s="499">
        <v>45929</v>
      </c>
      <c r="B12712" s="499">
        <v>45929</v>
      </c>
      <c r="C12712" s="420" t="s">
        <v>173</v>
      </c>
      <c r="D12712" s="500" t="s">
        <v>763</v>
      </c>
      <c r="E12712" s="501">
        <v>-791007319.12</v>
      </c>
      <c r="F12712" s="95" t="s">
        <v>878</v>
      </c>
      <c r="G12712" s="420">
        <v>119335428</v>
      </c>
      <c r="I12712" s="278" t="s">
        <v>1013</v>
      </c>
      <c r="J12712" s="530" t="s">
        <v>906</v>
      </c>
      <c r="N12712" s="420">
        <v>1431710</v>
      </c>
      <c r="R12712" s="420">
        <v>552.49130000000002</v>
      </c>
      <c r="S12712" s="420">
        <v>552.73046818140597</v>
      </c>
      <c r="T12712" s="420">
        <v>15.8005</v>
      </c>
      <c r="U12712" s="278">
        <v>1186.51</v>
      </c>
      <c r="V12712" s="278">
        <v>593.26</v>
      </c>
      <c r="Z12712" s="420" t="s">
        <v>2953</v>
      </c>
    </row>
    <row r="12713" spans="1:26">
      <c r="A12713" s="499">
        <v>45929</v>
      </c>
      <c r="B12713" s="499">
        <v>45929</v>
      </c>
      <c r="C12713" s="420" t="s">
        <v>173</v>
      </c>
      <c r="D12713" s="500" t="s">
        <v>763</v>
      </c>
      <c r="E12713" s="501">
        <v>-13007524.27</v>
      </c>
      <c r="F12713" s="95" t="s">
        <v>878</v>
      </c>
      <c r="G12713" s="420">
        <v>119335451</v>
      </c>
      <c r="I12713" s="278" t="s">
        <v>709</v>
      </c>
      <c r="J12713" s="530" t="s">
        <v>906</v>
      </c>
      <c r="N12713" s="420">
        <v>18187</v>
      </c>
      <c r="R12713" s="420">
        <v>715.21</v>
      </c>
      <c r="S12713" s="420">
        <v>715.51960961126099</v>
      </c>
      <c r="T12713" s="420">
        <v>15.800599999999999</v>
      </c>
      <c r="U12713" s="278">
        <v>39.32</v>
      </c>
      <c r="V12713" s="278">
        <v>39.32</v>
      </c>
      <c r="Z12713" s="420" t="s">
        <v>2953</v>
      </c>
    </row>
    <row r="12714" spans="1:26">
      <c r="A12714" s="499">
        <v>45929</v>
      </c>
      <c r="B12714" s="499">
        <v>45930</v>
      </c>
      <c r="C12714" s="420" t="s">
        <v>173</v>
      </c>
      <c r="D12714" s="500" t="s">
        <v>763</v>
      </c>
      <c r="E12714" s="501">
        <v>1300892791.9000001</v>
      </c>
      <c r="F12714" s="95" t="s">
        <v>878</v>
      </c>
      <c r="G12714" s="420">
        <v>119335425</v>
      </c>
      <c r="H12714" s="420">
        <v>119335425</v>
      </c>
      <c r="I12714" s="278" t="s">
        <v>675</v>
      </c>
      <c r="J12714" s="530" t="s">
        <v>912</v>
      </c>
      <c r="N12714" s="420">
        <v>1372800</v>
      </c>
      <c r="R12714" s="420">
        <v>947.21</v>
      </c>
      <c r="S12714" s="420">
        <v>947.62004071969704</v>
      </c>
      <c r="T12714" s="420">
        <v>15.800599999999999</v>
      </c>
      <c r="U12714" s="278">
        <v>1950.49</v>
      </c>
      <c r="V12714" s="278">
        <v>975.25</v>
      </c>
      <c r="Z12714" s="420" t="s">
        <v>2953</v>
      </c>
    </row>
    <row r="12715" spans="1:26">
      <c r="A12715" s="499">
        <v>45929</v>
      </c>
      <c r="B12715" s="499">
        <v>45930</v>
      </c>
      <c r="C12715" s="420" t="s">
        <v>173</v>
      </c>
      <c r="D12715" s="500" t="s">
        <v>763</v>
      </c>
      <c r="E12715" s="501">
        <v>791349738.60000002</v>
      </c>
      <c r="F12715" s="95" t="s">
        <v>878</v>
      </c>
      <c r="G12715" s="420">
        <v>119335428</v>
      </c>
      <c r="H12715" s="420">
        <v>119335428</v>
      </c>
      <c r="I12715" s="278" t="s">
        <v>1013</v>
      </c>
      <c r="J12715" s="530" t="s">
        <v>912</v>
      </c>
      <c r="N12715" s="420">
        <v>1431710</v>
      </c>
      <c r="R12715" s="420">
        <v>552.49130000000002</v>
      </c>
      <c r="S12715" s="420">
        <v>552.73046818140597</v>
      </c>
      <c r="T12715" s="420">
        <v>15.8005</v>
      </c>
      <c r="U12715" s="278">
        <v>1186.51</v>
      </c>
      <c r="V12715" s="278">
        <v>593.26</v>
      </c>
      <c r="Z12715" s="420" t="s">
        <v>2953</v>
      </c>
    </row>
    <row r="12716" spans="1:26">
      <c r="A12716" s="499">
        <v>45929</v>
      </c>
      <c r="B12716" s="499">
        <v>45930</v>
      </c>
      <c r="C12716" s="420" t="s">
        <v>173</v>
      </c>
      <c r="D12716" s="500" t="s">
        <v>763</v>
      </c>
      <c r="E12716" s="501">
        <v>13013155.140000001</v>
      </c>
      <c r="F12716" s="95" t="s">
        <v>878</v>
      </c>
      <c r="G12716" s="420">
        <v>119335451</v>
      </c>
      <c r="H12716" s="420">
        <v>119335451</v>
      </c>
      <c r="I12716" s="278" t="s">
        <v>709</v>
      </c>
      <c r="J12716" s="530" t="s">
        <v>912</v>
      </c>
      <c r="N12716" s="420">
        <v>18187</v>
      </c>
      <c r="R12716" s="420">
        <v>715.21</v>
      </c>
      <c r="S12716" s="420">
        <v>715.51960961126099</v>
      </c>
      <c r="T12716" s="420">
        <v>15.800599999999999</v>
      </c>
      <c r="U12716" s="278">
        <v>39.32</v>
      </c>
      <c r="V12716" s="278">
        <v>39.32</v>
      </c>
      <c r="Z12716" s="420" t="s">
        <v>2953</v>
      </c>
    </row>
    <row r="12717" spans="1:26">
      <c r="A12717" s="499">
        <v>45929</v>
      </c>
      <c r="B12717" s="499">
        <v>45929</v>
      </c>
      <c r="C12717" s="420" t="s">
        <v>173</v>
      </c>
      <c r="D12717" s="500" t="s">
        <v>759</v>
      </c>
      <c r="E12717" s="501">
        <v>-1993773961.6199999</v>
      </c>
      <c r="F12717" s="95" t="s">
        <v>878</v>
      </c>
      <c r="G12717" s="420">
        <v>119341402</v>
      </c>
      <c r="I12717" s="278" t="s">
        <v>719</v>
      </c>
      <c r="J12717" s="530" t="s">
        <v>906</v>
      </c>
      <c r="N12717" s="420">
        <v>3053276</v>
      </c>
      <c r="R12717" s="420">
        <v>652.995</v>
      </c>
      <c r="S12717" s="420">
        <v>653.27229924513904</v>
      </c>
      <c r="T12717" s="420">
        <v>15.5</v>
      </c>
      <c r="U12717" s="278">
        <v>2990.66</v>
      </c>
      <c r="V12717" s="278">
        <v>1495.33</v>
      </c>
      <c r="Z12717" s="420" t="s">
        <v>2953</v>
      </c>
    </row>
    <row r="12718" spans="1:26">
      <c r="A12718" s="499">
        <v>45929</v>
      </c>
      <c r="B12718" s="499">
        <v>45929</v>
      </c>
      <c r="C12718" s="420" t="s">
        <v>173</v>
      </c>
      <c r="D12718" s="500" t="s">
        <v>759</v>
      </c>
      <c r="E12718" s="501">
        <v>-12004660.08</v>
      </c>
      <c r="F12718" s="95" t="s">
        <v>878</v>
      </c>
      <c r="G12718" s="420">
        <v>119341519</v>
      </c>
      <c r="H12718" s="420"/>
      <c r="I12718" s="278" t="s">
        <v>719</v>
      </c>
      <c r="J12718" s="530" t="s">
        <v>906</v>
      </c>
      <c r="N12718" s="420">
        <v>18384</v>
      </c>
      <c r="R12718" s="420">
        <v>652.995</v>
      </c>
      <c r="S12718" s="420">
        <v>653.27229928198403</v>
      </c>
      <c r="T12718" s="420">
        <v>15.5</v>
      </c>
      <c r="U12718" s="278">
        <v>39.32</v>
      </c>
      <c r="V12718" s="278">
        <v>9</v>
      </c>
      <c r="Z12718" s="420" t="s">
        <v>2953</v>
      </c>
    </row>
    <row r="12719" spans="1:26">
      <c r="A12719" s="499">
        <v>45929</v>
      </c>
      <c r="B12719" s="499">
        <v>45930</v>
      </c>
      <c r="C12719" s="420" t="s">
        <v>173</v>
      </c>
      <c r="D12719" s="500" t="s">
        <v>759</v>
      </c>
      <c r="E12719" s="501">
        <v>1994620632.75</v>
      </c>
      <c r="F12719" s="95" t="s">
        <v>878</v>
      </c>
      <c r="G12719" s="420">
        <v>119341402</v>
      </c>
      <c r="H12719" s="420">
        <v>119341402</v>
      </c>
      <c r="I12719" s="278" t="s">
        <v>719</v>
      </c>
      <c r="J12719" s="530" t="s">
        <v>912</v>
      </c>
      <c r="N12719" s="420">
        <v>3053276</v>
      </c>
      <c r="R12719" s="420">
        <v>652.995</v>
      </c>
      <c r="S12719" s="420">
        <v>653.27229924513904</v>
      </c>
      <c r="T12719" s="420">
        <v>15.5</v>
      </c>
      <c r="U12719" s="278">
        <v>2990.66</v>
      </c>
      <c r="V12719" s="278">
        <v>1495.33</v>
      </c>
      <c r="Z12719" s="420" t="s">
        <v>2953</v>
      </c>
    </row>
    <row r="12720" spans="1:26">
      <c r="A12720" s="499">
        <v>45929</v>
      </c>
      <c r="B12720" s="499">
        <v>45930</v>
      </c>
      <c r="C12720" s="420" t="s">
        <v>173</v>
      </c>
      <c r="D12720" s="500" t="s">
        <v>759</v>
      </c>
      <c r="E12720" s="501">
        <v>12009757.949999999</v>
      </c>
      <c r="F12720" s="95" t="s">
        <v>878</v>
      </c>
      <c r="G12720" s="420">
        <v>119341519</v>
      </c>
      <c r="H12720" s="420">
        <v>119341519</v>
      </c>
      <c r="I12720" s="278" t="s">
        <v>719</v>
      </c>
      <c r="J12720" s="530" t="s">
        <v>912</v>
      </c>
      <c r="N12720" s="420">
        <v>18384</v>
      </c>
      <c r="R12720" s="420">
        <v>652.995</v>
      </c>
      <c r="S12720" s="420">
        <v>653.27229928198403</v>
      </c>
      <c r="T12720" s="420">
        <v>15.5</v>
      </c>
      <c r="U12720" s="278">
        <v>39.32</v>
      </c>
      <c r="V12720" s="278">
        <v>9</v>
      </c>
      <c r="Z12720" s="420" t="s">
        <v>2953</v>
      </c>
    </row>
    <row r="12721" spans="1:26">
      <c r="A12721" s="499">
        <v>45930</v>
      </c>
      <c r="B12721" s="499">
        <v>45930</v>
      </c>
      <c r="C12721" s="420" t="s">
        <v>173</v>
      </c>
      <c r="D12721" s="500" t="s">
        <v>762</v>
      </c>
      <c r="E12721" s="501">
        <v>-362061280.81</v>
      </c>
      <c r="F12721" s="95" t="s">
        <v>878</v>
      </c>
      <c r="G12721" s="420">
        <v>119366784</v>
      </c>
      <c r="H12721" s="420"/>
      <c r="I12721" s="523" t="s">
        <v>707</v>
      </c>
      <c r="J12721" s="530" t="s">
        <v>906</v>
      </c>
      <c r="N12721" s="610">
        <v>513316</v>
      </c>
      <c r="R12721" s="539">
        <v>705.33799999999997</v>
      </c>
      <c r="S12721" s="539">
        <v>705.642358177029</v>
      </c>
      <c r="T12721" s="567">
        <v>15.75</v>
      </c>
      <c r="U12721" s="538">
        <v>543.09</v>
      </c>
      <c r="V12721" s="538">
        <v>271.55</v>
      </c>
      <c r="Z12721" s="539" t="s">
        <v>2953</v>
      </c>
    </row>
    <row r="12722" spans="1:26">
      <c r="A12722" s="499">
        <v>45930</v>
      </c>
      <c r="B12722" s="499">
        <v>45930</v>
      </c>
      <c r="C12722" s="420" t="s">
        <v>173</v>
      </c>
      <c r="D12722" s="500" t="s">
        <v>762</v>
      </c>
      <c r="E12722" s="501">
        <v>-823293033.26999998</v>
      </c>
      <c r="F12722" s="95" t="s">
        <v>878</v>
      </c>
      <c r="G12722" s="420">
        <v>119366787</v>
      </c>
      <c r="H12722" s="420"/>
      <c r="I12722" s="523" t="s">
        <v>687</v>
      </c>
      <c r="J12722" s="530" t="s">
        <v>906</v>
      </c>
      <c r="N12722" s="610">
        <v>991715</v>
      </c>
      <c r="R12722" s="539">
        <v>830.17100000000005</v>
      </c>
      <c r="S12722" s="539">
        <v>830.52922447477397</v>
      </c>
      <c r="T12722" s="567">
        <v>15.75</v>
      </c>
      <c r="U12722" s="538">
        <v>1234.94</v>
      </c>
      <c r="V12722" s="538">
        <v>617.47</v>
      </c>
      <c r="Z12722" s="539" t="s">
        <v>2953</v>
      </c>
    </row>
    <row r="12723" spans="1:26">
      <c r="A12723" s="499">
        <v>45930</v>
      </c>
      <c r="B12723" s="499">
        <v>45930</v>
      </c>
      <c r="C12723" s="420" t="s">
        <v>173</v>
      </c>
      <c r="D12723" s="500" t="s">
        <v>762</v>
      </c>
      <c r="E12723" s="501">
        <v>-2910796196.96</v>
      </c>
      <c r="F12723" s="95" t="s">
        <v>878</v>
      </c>
      <c r="G12723" s="420">
        <v>119366790</v>
      </c>
      <c r="H12723" s="420"/>
      <c r="I12723" s="523" t="s">
        <v>716</v>
      </c>
      <c r="J12723" s="530" t="s">
        <v>906</v>
      </c>
      <c r="N12723" s="610">
        <v>4462406</v>
      </c>
      <c r="R12723" s="539">
        <v>652.29300000000001</v>
      </c>
      <c r="S12723" s="539">
        <v>652.57446889861706</v>
      </c>
      <c r="T12723" s="567">
        <v>15.75</v>
      </c>
      <c r="U12723" s="538">
        <v>4366.1899999999996</v>
      </c>
      <c r="V12723" s="538">
        <v>2183.1</v>
      </c>
      <c r="Z12723" s="539" t="s">
        <v>2953</v>
      </c>
    </row>
    <row r="12724" spans="1:26">
      <c r="A12724" s="499">
        <v>45930</v>
      </c>
      <c r="B12724" s="499">
        <v>45930</v>
      </c>
      <c r="C12724" s="420" t="s">
        <v>173</v>
      </c>
      <c r="D12724" s="500" t="s">
        <v>762</v>
      </c>
      <c r="E12724" s="501">
        <v>-25015436.550000001</v>
      </c>
      <c r="F12724" s="95" t="s">
        <v>878</v>
      </c>
      <c r="G12724" s="420">
        <v>119366911</v>
      </c>
      <c r="H12724" s="420"/>
      <c r="I12724" s="523" t="s">
        <v>716</v>
      </c>
      <c r="J12724" s="530" t="s">
        <v>906</v>
      </c>
      <c r="N12724" s="610">
        <v>38350</v>
      </c>
      <c r="R12724" s="539">
        <v>652.29300000000001</v>
      </c>
      <c r="S12724" s="539">
        <v>652.57446883963496</v>
      </c>
      <c r="T12724" s="567">
        <v>15.75</v>
      </c>
      <c r="U12724" s="538">
        <v>39.32</v>
      </c>
      <c r="V12724" s="538">
        <v>18.760000000000002</v>
      </c>
      <c r="Z12724" s="539" t="s">
        <v>2953</v>
      </c>
    </row>
    <row r="12725" spans="1:26">
      <c r="A12725" s="499">
        <v>45930</v>
      </c>
      <c r="B12725" s="499">
        <v>45931</v>
      </c>
      <c r="C12725" s="420" t="s">
        <v>173</v>
      </c>
      <c r="D12725" s="500" t="s">
        <v>762</v>
      </c>
      <c r="E12725" s="501">
        <v>362217512.73000002</v>
      </c>
      <c r="F12725" s="95" t="s">
        <v>878</v>
      </c>
      <c r="G12725" s="420">
        <v>119366784</v>
      </c>
      <c r="H12725" s="420">
        <v>119366784</v>
      </c>
      <c r="I12725" s="523" t="s">
        <v>707</v>
      </c>
      <c r="J12725" s="530" t="s">
        <v>912</v>
      </c>
      <c r="N12725" s="610">
        <v>513316</v>
      </c>
      <c r="R12725" s="539">
        <v>705.33799999999997</v>
      </c>
      <c r="S12725" s="539">
        <v>705.642358177029</v>
      </c>
      <c r="T12725" s="567">
        <v>15.75</v>
      </c>
      <c r="U12725" s="538">
        <v>543.09</v>
      </c>
      <c r="V12725" s="538">
        <v>271.55</v>
      </c>
      <c r="Z12725" s="539" t="s">
        <v>2953</v>
      </c>
    </row>
    <row r="12726" spans="1:26">
      <c r="A12726" s="499">
        <v>45930</v>
      </c>
      <c r="B12726" s="499">
        <v>45931</v>
      </c>
      <c r="C12726" s="420" t="s">
        <v>173</v>
      </c>
      <c r="D12726" s="500" t="s">
        <v>762</v>
      </c>
      <c r="E12726" s="501">
        <v>823648289.85000002</v>
      </c>
      <c r="F12726" s="95" t="s">
        <v>878</v>
      </c>
      <c r="G12726" s="420">
        <v>119366787</v>
      </c>
      <c r="H12726" s="420">
        <v>119366787</v>
      </c>
      <c r="I12726" s="523" t="s">
        <v>687</v>
      </c>
      <c r="J12726" s="530" t="s">
        <v>912</v>
      </c>
      <c r="N12726" s="610">
        <v>991715</v>
      </c>
      <c r="R12726" s="539">
        <v>830.17100000000005</v>
      </c>
      <c r="S12726" s="539">
        <v>830.52922447477397</v>
      </c>
      <c r="T12726" s="567">
        <v>15.75</v>
      </c>
      <c r="U12726" s="538">
        <v>1234.94</v>
      </c>
      <c r="V12726" s="538">
        <v>617.47</v>
      </c>
      <c r="Z12726" s="539" t="s">
        <v>2953</v>
      </c>
    </row>
    <row r="12727" spans="1:26">
      <c r="A12727" s="499">
        <v>45930</v>
      </c>
      <c r="B12727" s="499">
        <v>45931</v>
      </c>
      <c r="C12727" s="420" t="s">
        <v>173</v>
      </c>
      <c r="D12727" s="500" t="s">
        <v>762</v>
      </c>
      <c r="E12727" s="501">
        <v>2912052225.46</v>
      </c>
      <c r="F12727" s="95" t="s">
        <v>878</v>
      </c>
      <c r="G12727" s="420">
        <v>119366790</v>
      </c>
      <c r="H12727" s="420">
        <v>119366790</v>
      </c>
      <c r="I12727" s="523" t="s">
        <v>716</v>
      </c>
      <c r="J12727" s="530" t="s">
        <v>912</v>
      </c>
      <c r="N12727" s="610">
        <v>4462406</v>
      </c>
      <c r="R12727" s="539">
        <v>652.29300000000001</v>
      </c>
      <c r="S12727" s="539">
        <v>652.57446889861706</v>
      </c>
      <c r="T12727" s="567">
        <v>15.75</v>
      </c>
      <c r="U12727" s="538">
        <v>4366.1899999999996</v>
      </c>
      <c r="V12727" s="538">
        <v>2183.1</v>
      </c>
      <c r="Z12727" s="539" t="s">
        <v>2953</v>
      </c>
    </row>
    <row r="12728" spans="1:26">
      <c r="A12728" s="499">
        <v>45930</v>
      </c>
      <c r="B12728" s="499">
        <v>45931</v>
      </c>
      <c r="C12728" s="420" t="s">
        <v>173</v>
      </c>
      <c r="D12728" s="500" t="s">
        <v>762</v>
      </c>
      <c r="E12728" s="501">
        <v>25026230.879999999</v>
      </c>
      <c r="F12728" s="95" t="s">
        <v>878</v>
      </c>
      <c r="G12728" s="420">
        <v>119366911</v>
      </c>
      <c r="H12728" s="420">
        <v>119366911</v>
      </c>
      <c r="I12728" s="523" t="s">
        <v>716</v>
      </c>
      <c r="J12728" s="530" t="s">
        <v>912</v>
      </c>
      <c r="N12728" s="610">
        <v>38350</v>
      </c>
      <c r="R12728" s="539">
        <v>652.29300000000001</v>
      </c>
      <c r="S12728" s="539">
        <v>652.57446883963496</v>
      </c>
      <c r="T12728" s="567">
        <v>15.75</v>
      </c>
      <c r="U12728" s="538">
        <v>39.32</v>
      </c>
      <c r="V12728" s="538">
        <v>18.760000000000002</v>
      </c>
      <c r="Z12728" s="539" t="s">
        <v>2953</v>
      </c>
    </row>
    <row r="12729" spans="1:26">
      <c r="A12729" s="499">
        <v>45930</v>
      </c>
      <c r="B12729" s="499">
        <v>45930</v>
      </c>
      <c r="C12729" s="420" t="s">
        <v>173</v>
      </c>
      <c r="D12729" s="500" t="s">
        <v>760</v>
      </c>
      <c r="E12729" s="501">
        <v>-1300233916.8</v>
      </c>
      <c r="F12729" s="95" t="s">
        <v>878</v>
      </c>
      <c r="G12729" s="420">
        <v>119360615</v>
      </c>
      <c r="I12729" s="523" t="s">
        <v>672</v>
      </c>
      <c r="J12729" s="530" t="s">
        <v>906</v>
      </c>
      <c r="N12729" s="420">
        <v>1411800</v>
      </c>
      <c r="R12729" s="420">
        <v>920.976</v>
      </c>
      <c r="S12729" s="420">
        <v>921.37466906077395</v>
      </c>
      <c r="T12729" s="420">
        <v>15.8</v>
      </c>
      <c r="U12729" s="278">
        <v>1950.35</v>
      </c>
      <c r="V12729" s="278">
        <v>975.18</v>
      </c>
      <c r="Z12729" s="420" t="s">
        <v>2953</v>
      </c>
    </row>
    <row r="12730" spans="1:26">
      <c r="A12730" s="499">
        <v>45930</v>
      </c>
      <c r="B12730" s="499">
        <v>45930</v>
      </c>
      <c r="C12730" s="420" t="s">
        <v>173</v>
      </c>
      <c r="D12730" s="500" t="s">
        <v>760</v>
      </c>
      <c r="E12730" s="501">
        <v>-18006151.329999998</v>
      </c>
      <c r="F12730" s="95" t="s">
        <v>878</v>
      </c>
      <c r="G12730" s="420">
        <v>119360754</v>
      </c>
      <c r="I12730" s="523" t="s">
        <v>1013</v>
      </c>
      <c r="J12730" s="530" t="s">
        <v>906</v>
      </c>
      <c r="N12730" s="420">
        <v>32346</v>
      </c>
      <c r="R12730" s="420">
        <v>556.67319999999995</v>
      </c>
      <c r="S12730" s="420">
        <v>556.91417084028899</v>
      </c>
      <c r="T12730" s="420">
        <v>15.8</v>
      </c>
      <c r="U12730" s="278">
        <v>39.32</v>
      </c>
      <c r="V12730" s="278">
        <v>13.5</v>
      </c>
      <c r="Z12730" s="420" t="s">
        <v>2953</v>
      </c>
    </row>
    <row r="12731" spans="1:26">
      <c r="A12731" s="499">
        <v>45930</v>
      </c>
      <c r="B12731" s="499">
        <v>45930</v>
      </c>
      <c r="C12731" s="420" t="s">
        <v>173</v>
      </c>
      <c r="D12731" s="500" t="s">
        <v>760</v>
      </c>
      <c r="E12731" s="501">
        <v>-52004498.329999998</v>
      </c>
      <c r="F12731" s="95" t="s">
        <v>878</v>
      </c>
      <c r="G12731" s="420">
        <v>119360771</v>
      </c>
      <c r="I12731" s="523" t="s">
        <v>2854</v>
      </c>
      <c r="J12731" s="530" t="s">
        <v>906</v>
      </c>
      <c r="N12731" s="420">
        <v>91832</v>
      </c>
      <c r="R12731" s="420">
        <v>566.30039999999997</v>
      </c>
      <c r="S12731" s="420">
        <v>566.54553826552797</v>
      </c>
      <c r="T12731" s="420">
        <v>15.8</v>
      </c>
      <c r="U12731" s="278">
        <v>78.010000000000005</v>
      </c>
      <c r="V12731" s="278">
        <v>39</v>
      </c>
      <c r="Z12731" s="420" t="s">
        <v>2953</v>
      </c>
    </row>
    <row r="12732" spans="1:26">
      <c r="A12732" s="499">
        <v>45930</v>
      </c>
      <c r="B12732" s="499">
        <v>45930</v>
      </c>
      <c r="C12732" s="420" t="s">
        <v>173</v>
      </c>
      <c r="D12732" s="500" t="s">
        <v>760</v>
      </c>
      <c r="E12732" s="501">
        <v>-357149277.12</v>
      </c>
      <c r="F12732" s="95" t="s">
        <v>878</v>
      </c>
      <c r="G12732" s="420">
        <v>119360797</v>
      </c>
      <c r="I12732" s="523" t="s">
        <v>833</v>
      </c>
      <c r="J12732" s="530" t="s">
        <v>906</v>
      </c>
      <c r="N12732" s="420">
        <v>550494</v>
      </c>
      <c r="R12732" s="420">
        <v>648.77959999999996</v>
      </c>
      <c r="S12732" s="420">
        <v>649.06044156702899</v>
      </c>
      <c r="T12732" s="420">
        <v>15.8</v>
      </c>
      <c r="U12732" s="278">
        <v>535.72</v>
      </c>
      <c r="V12732" s="278">
        <v>267.86</v>
      </c>
      <c r="Z12732" s="420" t="s">
        <v>2953</v>
      </c>
    </row>
    <row r="12733" spans="1:26">
      <c r="A12733" s="499">
        <v>45930</v>
      </c>
      <c r="B12733" s="499">
        <v>45931</v>
      </c>
      <c r="C12733" s="420" t="s">
        <v>173</v>
      </c>
      <c r="D12733" s="500" t="s">
        <v>760</v>
      </c>
      <c r="E12733" s="501">
        <v>1300796757.78</v>
      </c>
      <c r="F12733" s="95" t="s">
        <v>878</v>
      </c>
      <c r="G12733" s="420">
        <v>119360615</v>
      </c>
      <c r="H12733" s="420">
        <v>119360615</v>
      </c>
      <c r="I12733" s="523" t="s">
        <v>672</v>
      </c>
      <c r="J12733" s="530" t="s">
        <v>912</v>
      </c>
      <c r="N12733" s="420">
        <v>1411800</v>
      </c>
      <c r="R12733" s="420">
        <v>920.976</v>
      </c>
      <c r="S12733" s="420">
        <v>921.37466906077395</v>
      </c>
      <c r="T12733" s="420">
        <v>15.8</v>
      </c>
      <c r="U12733" s="278">
        <v>1950.35</v>
      </c>
      <c r="V12733" s="278">
        <v>975.18</v>
      </c>
      <c r="Z12733" s="420" t="s">
        <v>2953</v>
      </c>
    </row>
    <row r="12734" spans="1:26">
      <c r="A12734" s="499">
        <v>45930</v>
      </c>
      <c r="B12734" s="499">
        <v>45931</v>
      </c>
      <c r="C12734" s="420" t="s">
        <v>173</v>
      </c>
      <c r="D12734" s="500" t="s">
        <v>760</v>
      </c>
      <c r="E12734" s="501">
        <v>18013945.77</v>
      </c>
      <c r="F12734" s="95" t="s">
        <v>878</v>
      </c>
      <c r="G12734" s="420">
        <v>119360754</v>
      </c>
      <c r="H12734" s="420">
        <v>119360754</v>
      </c>
      <c r="I12734" s="523" t="s">
        <v>1013</v>
      </c>
      <c r="J12734" s="530" t="s">
        <v>912</v>
      </c>
      <c r="N12734" s="420">
        <v>32346</v>
      </c>
      <c r="R12734" s="420">
        <v>556.67319999999995</v>
      </c>
      <c r="S12734" s="420">
        <v>556.91417084028899</v>
      </c>
      <c r="T12734" s="420">
        <v>15.8</v>
      </c>
      <c r="U12734" s="278">
        <v>39.32</v>
      </c>
      <c r="V12734" s="278">
        <v>13.5</v>
      </c>
      <c r="Z12734" s="420" t="s">
        <v>2953</v>
      </c>
    </row>
    <row r="12735" spans="1:26">
      <c r="A12735" s="499">
        <v>45930</v>
      </c>
      <c r="B12735" s="499">
        <v>45931</v>
      </c>
      <c r="C12735" s="420" t="s">
        <v>173</v>
      </c>
      <c r="D12735" s="500" t="s">
        <v>760</v>
      </c>
      <c r="E12735" s="501">
        <v>52027009.869999997</v>
      </c>
      <c r="F12735" s="95" t="s">
        <v>878</v>
      </c>
      <c r="G12735" s="420">
        <v>119360771</v>
      </c>
      <c r="H12735" s="420">
        <v>119360771</v>
      </c>
      <c r="I12735" s="523" t="s">
        <v>2854</v>
      </c>
      <c r="J12735" s="530" t="s">
        <v>912</v>
      </c>
      <c r="N12735" s="420">
        <v>91832</v>
      </c>
      <c r="R12735" s="420">
        <v>566.30039999999997</v>
      </c>
      <c r="S12735" s="420">
        <v>566.54553826552797</v>
      </c>
      <c r="T12735" s="420">
        <v>15.8</v>
      </c>
      <c r="U12735" s="278">
        <v>78.010000000000005</v>
      </c>
      <c r="V12735" s="278">
        <v>39</v>
      </c>
      <c r="Z12735" s="420" t="s">
        <v>2953</v>
      </c>
    </row>
    <row r="12736" spans="1:26">
      <c r="A12736" s="499">
        <v>45930</v>
      </c>
      <c r="B12736" s="499">
        <v>45931</v>
      </c>
      <c r="C12736" s="420" t="s">
        <v>173</v>
      </c>
      <c r="D12736" s="500" t="s">
        <v>760</v>
      </c>
      <c r="E12736" s="501">
        <v>357303878.72000003</v>
      </c>
      <c r="F12736" s="95" t="s">
        <v>878</v>
      </c>
      <c r="G12736" s="420">
        <v>119360797</v>
      </c>
      <c r="H12736" s="420">
        <v>119360797</v>
      </c>
      <c r="I12736" s="523" t="s">
        <v>833</v>
      </c>
      <c r="J12736" s="530" t="s">
        <v>912</v>
      </c>
      <c r="N12736" s="420">
        <v>550494</v>
      </c>
      <c r="R12736" s="420">
        <v>648.77959999999996</v>
      </c>
      <c r="S12736" s="420">
        <v>649.06044156702899</v>
      </c>
      <c r="T12736" s="420">
        <v>15.8</v>
      </c>
      <c r="U12736" s="278">
        <v>535.72</v>
      </c>
      <c r="V12736" s="278">
        <v>267.86</v>
      </c>
      <c r="Z12736" s="420" t="s">
        <v>2953</v>
      </c>
    </row>
    <row r="12737" spans="1:26">
      <c r="A12737" s="499">
        <v>45930</v>
      </c>
      <c r="B12737" s="499">
        <v>45930</v>
      </c>
      <c r="C12737" s="420" t="s">
        <v>173</v>
      </c>
      <c r="D12737" s="500" t="s">
        <v>763</v>
      </c>
      <c r="E12737" s="501">
        <v>-165108784.00999999</v>
      </c>
      <c r="F12737" s="95" t="s">
        <v>878</v>
      </c>
      <c r="G12737" s="420">
        <v>119360312</v>
      </c>
      <c r="I12737" s="523" t="s">
        <v>671</v>
      </c>
      <c r="J12737" s="530" t="s">
        <v>906</v>
      </c>
      <c r="N12737" s="420">
        <v>157905</v>
      </c>
      <c r="R12737" s="420">
        <v>1045.6210000000001</v>
      </c>
      <c r="S12737" s="420">
        <v>1046.0724791488601</v>
      </c>
      <c r="T12737" s="420">
        <v>15.76</v>
      </c>
      <c r="U12737" s="278">
        <v>247.66</v>
      </c>
      <c r="V12737" s="278">
        <v>123.83</v>
      </c>
      <c r="Z12737" s="420" t="s">
        <v>2953</v>
      </c>
    </row>
    <row r="12738" spans="1:26">
      <c r="A12738" s="499">
        <v>45930</v>
      </c>
      <c r="B12738" s="499">
        <v>45930</v>
      </c>
      <c r="C12738" s="420" t="s">
        <v>173</v>
      </c>
      <c r="D12738" s="500" t="s">
        <v>763</v>
      </c>
      <c r="E12738" s="501">
        <v>-193177510.59</v>
      </c>
      <c r="F12738" s="95" t="s">
        <v>878</v>
      </c>
      <c r="G12738" s="420">
        <v>119360315</v>
      </c>
      <c r="I12738" s="523" t="s">
        <v>673</v>
      </c>
      <c r="J12738" s="530" t="s">
        <v>906</v>
      </c>
      <c r="N12738" s="420">
        <v>209984</v>
      </c>
      <c r="R12738" s="420">
        <v>919.96299999999997</v>
      </c>
      <c r="S12738" s="420">
        <v>920.36022235027394</v>
      </c>
      <c r="T12738" s="420">
        <v>15.76</v>
      </c>
      <c r="U12738" s="278">
        <v>289.77</v>
      </c>
      <c r="V12738" s="278">
        <v>144.88</v>
      </c>
      <c r="Z12738" s="420" t="s">
        <v>2953</v>
      </c>
    </row>
    <row r="12739" spans="1:26">
      <c r="A12739" s="499">
        <v>45930</v>
      </c>
      <c r="B12739" s="499">
        <v>45930</v>
      </c>
      <c r="C12739" s="420" t="s">
        <v>173</v>
      </c>
      <c r="D12739" s="500" t="s">
        <v>763</v>
      </c>
      <c r="E12739" s="501">
        <v>-216119947.81999999</v>
      </c>
      <c r="F12739" s="95" t="s">
        <v>878</v>
      </c>
      <c r="G12739" s="420">
        <v>119360318</v>
      </c>
      <c r="I12739" s="523" t="s">
        <v>592</v>
      </c>
      <c r="J12739" s="530" t="s">
        <v>906</v>
      </c>
      <c r="N12739" s="420">
        <v>270864</v>
      </c>
      <c r="R12739" s="420">
        <v>797.89099999999996</v>
      </c>
      <c r="S12739" s="420">
        <v>798.23551402179703</v>
      </c>
      <c r="T12739" s="420">
        <v>15.76</v>
      </c>
      <c r="U12739" s="278">
        <v>324.18</v>
      </c>
      <c r="V12739" s="278">
        <v>162.09</v>
      </c>
      <c r="Z12739" s="420" t="s">
        <v>2953</v>
      </c>
    </row>
    <row r="12740" spans="1:26">
      <c r="A12740" s="499">
        <v>45930</v>
      </c>
      <c r="B12740" s="499">
        <v>45930</v>
      </c>
      <c r="C12740" s="420" t="s">
        <v>173</v>
      </c>
      <c r="D12740" s="500" t="s">
        <v>763</v>
      </c>
      <c r="E12740" s="501">
        <v>-285099072.83999997</v>
      </c>
      <c r="F12740" s="95" t="s">
        <v>878</v>
      </c>
      <c r="G12740" s="420">
        <v>119360321</v>
      </c>
      <c r="I12740" s="523" t="s">
        <v>691</v>
      </c>
      <c r="J12740" s="530" t="s">
        <v>906</v>
      </c>
      <c r="N12740" s="420">
        <v>321480</v>
      </c>
      <c r="R12740" s="420">
        <v>886.83299999999997</v>
      </c>
      <c r="S12740" s="420">
        <v>887.21591747542595</v>
      </c>
      <c r="T12740" s="420">
        <v>15.76</v>
      </c>
      <c r="U12740" s="278">
        <v>427.65</v>
      </c>
      <c r="V12740" s="278">
        <v>213.82</v>
      </c>
      <c r="Z12740" s="420" t="s">
        <v>2953</v>
      </c>
    </row>
    <row r="12741" spans="1:26">
      <c r="A12741" s="499">
        <v>45930</v>
      </c>
      <c r="B12741" s="499">
        <v>45930</v>
      </c>
      <c r="C12741" s="420" t="s">
        <v>173</v>
      </c>
      <c r="D12741" s="500" t="s">
        <v>763</v>
      </c>
      <c r="E12741" s="501">
        <v>-303003499.94999999</v>
      </c>
      <c r="F12741" s="95" t="s">
        <v>878</v>
      </c>
      <c r="G12741" s="420">
        <v>119360324</v>
      </c>
      <c r="I12741" s="523" t="s">
        <v>692</v>
      </c>
      <c r="J12741" s="530" t="s">
        <v>906</v>
      </c>
      <c r="N12741" s="420">
        <v>409353</v>
      </c>
      <c r="R12741" s="420">
        <v>740.20100000000002</v>
      </c>
      <c r="S12741" s="420">
        <v>740.52060458821597</v>
      </c>
      <c r="T12741" s="420">
        <v>15.76</v>
      </c>
      <c r="U12741" s="278">
        <v>454.51</v>
      </c>
      <c r="V12741" s="278">
        <v>227.25</v>
      </c>
      <c r="Z12741" s="420" t="s">
        <v>2953</v>
      </c>
    </row>
    <row r="12742" spans="1:26">
      <c r="A12742" s="499">
        <v>45930</v>
      </c>
      <c r="B12742" s="499">
        <v>45930</v>
      </c>
      <c r="C12742" s="420" t="s">
        <v>173</v>
      </c>
      <c r="D12742" s="500" t="s">
        <v>763</v>
      </c>
      <c r="E12742" s="501">
        <v>-397015249.17000002</v>
      </c>
      <c r="F12742" s="95" t="s">
        <v>878</v>
      </c>
      <c r="G12742" s="420">
        <v>119360327</v>
      </c>
      <c r="I12742" s="523" t="s">
        <v>676</v>
      </c>
      <c r="J12742" s="530" t="s">
        <v>906</v>
      </c>
      <c r="N12742" s="420">
        <v>468063</v>
      </c>
      <c r="R12742" s="420">
        <v>848.20899999999995</v>
      </c>
      <c r="S12742" s="420">
        <v>848.57524038430699</v>
      </c>
      <c r="T12742" s="420">
        <v>15.76</v>
      </c>
      <c r="U12742" s="278">
        <v>595.52</v>
      </c>
      <c r="V12742" s="278">
        <v>297.76</v>
      </c>
      <c r="Z12742" s="420" t="s">
        <v>2953</v>
      </c>
    </row>
    <row r="12743" spans="1:26">
      <c r="A12743" s="499">
        <v>45930</v>
      </c>
      <c r="B12743" s="499">
        <v>45930</v>
      </c>
      <c r="C12743" s="420" t="s">
        <v>173</v>
      </c>
      <c r="D12743" s="500" t="s">
        <v>763</v>
      </c>
      <c r="E12743" s="501">
        <v>-414164416.79000002</v>
      </c>
      <c r="F12743" s="95" t="s">
        <v>878</v>
      </c>
      <c r="G12743" s="420">
        <v>119360330</v>
      </c>
      <c r="I12743" s="523" t="s">
        <v>658</v>
      </c>
      <c r="J12743" s="530" t="s">
        <v>906</v>
      </c>
      <c r="N12743" s="420">
        <v>398682</v>
      </c>
      <c r="R12743" s="420">
        <v>1038.8340000000001</v>
      </c>
      <c r="S12743" s="420">
        <v>1039.28254859763</v>
      </c>
      <c r="T12743" s="420">
        <v>15.76</v>
      </c>
      <c r="U12743" s="278">
        <v>621.25</v>
      </c>
      <c r="V12743" s="278">
        <v>310.62</v>
      </c>
      <c r="Z12743" s="420" t="s">
        <v>2953</v>
      </c>
    </row>
    <row r="12744" spans="1:26">
      <c r="A12744" s="499">
        <v>45930</v>
      </c>
      <c r="B12744" s="499">
        <v>45930</v>
      </c>
      <c r="C12744" s="420" t="s">
        <v>173</v>
      </c>
      <c r="D12744" s="500" t="s">
        <v>763</v>
      </c>
      <c r="E12744" s="501">
        <v>-119007993.18000001</v>
      </c>
      <c r="F12744" s="95" t="s">
        <v>878</v>
      </c>
      <c r="G12744" s="420">
        <v>119360333</v>
      </c>
      <c r="I12744" s="523" t="s">
        <v>2556</v>
      </c>
      <c r="J12744" s="530" t="s">
        <v>906</v>
      </c>
      <c r="N12744" s="420">
        <v>1314712</v>
      </c>
      <c r="R12744" s="420">
        <v>90.520200000000003</v>
      </c>
      <c r="S12744" s="420">
        <v>90.559260081295406</v>
      </c>
      <c r="T12744" s="420">
        <v>15.75</v>
      </c>
      <c r="U12744" s="278">
        <v>178.51</v>
      </c>
      <c r="V12744" s="278">
        <v>89.26</v>
      </c>
      <c r="Z12744" s="420" t="s">
        <v>2953</v>
      </c>
    </row>
    <row r="12745" spans="1:26">
      <c r="A12745" s="499">
        <v>45930</v>
      </c>
      <c r="B12745" s="499">
        <v>45930</v>
      </c>
      <c r="C12745" s="420" t="s">
        <v>173</v>
      </c>
      <c r="D12745" s="500" t="s">
        <v>763</v>
      </c>
      <c r="E12745" s="501">
        <v>-13007120.17</v>
      </c>
      <c r="F12745" s="95" t="s">
        <v>878</v>
      </c>
      <c r="G12745" s="420">
        <v>119360380</v>
      </c>
      <c r="I12745" s="523" t="s">
        <v>604</v>
      </c>
      <c r="J12745" s="530" t="s">
        <v>906</v>
      </c>
      <c r="N12745" s="420">
        <v>12545</v>
      </c>
      <c r="R12745" s="420">
        <v>1036.837</v>
      </c>
      <c r="S12745" s="420">
        <v>1037.28468712635</v>
      </c>
      <c r="T12745" s="420">
        <v>15.76</v>
      </c>
      <c r="U12745" s="278">
        <v>39.32</v>
      </c>
      <c r="V12745" s="278">
        <v>39.32</v>
      </c>
      <c r="Z12745" s="420" t="s">
        <v>2953</v>
      </c>
    </row>
    <row r="12746" spans="1:26">
      <c r="A12746" s="499">
        <v>45930</v>
      </c>
      <c r="B12746" s="499">
        <v>45931</v>
      </c>
      <c r="C12746" s="420" t="s">
        <v>173</v>
      </c>
      <c r="D12746" s="500" t="s">
        <v>763</v>
      </c>
      <c r="E12746" s="501">
        <v>165180074.81999999</v>
      </c>
      <c r="F12746" s="95" t="s">
        <v>878</v>
      </c>
      <c r="G12746" s="420">
        <v>119360312</v>
      </c>
      <c r="H12746" s="420">
        <v>119360312</v>
      </c>
      <c r="I12746" s="523" t="s">
        <v>671</v>
      </c>
      <c r="J12746" s="530" t="s">
        <v>912</v>
      </c>
      <c r="N12746" s="420">
        <v>157905</v>
      </c>
      <c r="R12746" s="420">
        <v>1045.6210000000001</v>
      </c>
      <c r="S12746" s="420">
        <v>1046.0724791488601</v>
      </c>
      <c r="T12746" s="420">
        <v>15.76</v>
      </c>
      <c r="U12746" s="278">
        <v>247.66</v>
      </c>
      <c r="V12746" s="278">
        <v>123.83</v>
      </c>
      <c r="Z12746" s="420" t="s">
        <v>2953</v>
      </c>
    </row>
    <row r="12747" spans="1:26">
      <c r="A12747" s="499">
        <v>45930</v>
      </c>
      <c r="B12747" s="499">
        <v>45931</v>
      </c>
      <c r="C12747" s="420" t="s">
        <v>173</v>
      </c>
      <c r="D12747" s="500" t="s">
        <v>763</v>
      </c>
      <c r="E12747" s="501">
        <v>193260920.93000001</v>
      </c>
      <c r="F12747" s="95" t="s">
        <v>878</v>
      </c>
      <c r="G12747" s="420">
        <v>119360315</v>
      </c>
      <c r="H12747" s="420">
        <v>119360315</v>
      </c>
      <c r="I12747" s="523" t="s">
        <v>673</v>
      </c>
      <c r="J12747" s="530" t="s">
        <v>912</v>
      </c>
      <c r="N12747" s="420">
        <v>209984</v>
      </c>
      <c r="R12747" s="420">
        <v>919.96299999999997</v>
      </c>
      <c r="S12747" s="420">
        <v>920.36022235027394</v>
      </c>
      <c r="T12747" s="420">
        <v>15.76</v>
      </c>
      <c r="U12747" s="278">
        <v>289.77</v>
      </c>
      <c r="V12747" s="278">
        <v>144.88</v>
      </c>
      <c r="Z12747" s="420" t="s">
        <v>2953</v>
      </c>
    </row>
    <row r="12748" spans="1:26">
      <c r="A12748" s="499">
        <v>45930</v>
      </c>
      <c r="B12748" s="499">
        <v>45931</v>
      </c>
      <c r="C12748" s="420" t="s">
        <v>173</v>
      </c>
      <c r="D12748" s="500" t="s">
        <v>763</v>
      </c>
      <c r="E12748" s="501">
        <v>216213264.27000001</v>
      </c>
      <c r="F12748" s="95" t="s">
        <v>878</v>
      </c>
      <c r="G12748" s="420">
        <v>119360318</v>
      </c>
      <c r="H12748" s="420">
        <v>119360318</v>
      </c>
      <c r="I12748" s="523" t="s">
        <v>592</v>
      </c>
      <c r="J12748" s="530" t="s">
        <v>912</v>
      </c>
      <c r="N12748" s="420">
        <v>270864</v>
      </c>
      <c r="R12748" s="420">
        <v>797.89099999999996</v>
      </c>
      <c r="S12748" s="420">
        <v>798.23551402179703</v>
      </c>
      <c r="T12748" s="420">
        <v>15.76</v>
      </c>
      <c r="U12748" s="278">
        <v>324.18</v>
      </c>
      <c r="V12748" s="278">
        <v>162.09</v>
      </c>
      <c r="Z12748" s="420" t="s">
        <v>2953</v>
      </c>
    </row>
    <row r="12749" spans="1:26">
      <c r="A12749" s="499">
        <v>45930</v>
      </c>
      <c r="B12749" s="499">
        <v>45931</v>
      </c>
      <c r="C12749" s="420" t="s">
        <v>173</v>
      </c>
      <c r="D12749" s="500" t="s">
        <v>763</v>
      </c>
      <c r="E12749" s="501">
        <v>285222173.14999998</v>
      </c>
      <c r="F12749" s="95" t="s">
        <v>878</v>
      </c>
      <c r="G12749" s="420">
        <v>119360321</v>
      </c>
      <c r="H12749" s="420">
        <v>119360321</v>
      </c>
      <c r="I12749" s="523" t="s">
        <v>691</v>
      </c>
      <c r="J12749" s="530" t="s">
        <v>912</v>
      </c>
      <c r="N12749" s="420">
        <v>321480</v>
      </c>
      <c r="R12749" s="420">
        <v>886.83299999999997</v>
      </c>
      <c r="S12749" s="420">
        <v>887.21591747542595</v>
      </c>
      <c r="T12749" s="420">
        <v>15.76</v>
      </c>
      <c r="U12749" s="278">
        <v>427.65</v>
      </c>
      <c r="V12749" s="278">
        <v>213.82</v>
      </c>
      <c r="Z12749" s="420" t="s">
        <v>2953</v>
      </c>
    </row>
    <row r="12750" spans="1:26">
      <c r="A12750" s="499">
        <v>45930</v>
      </c>
      <c r="B12750" s="499">
        <v>45931</v>
      </c>
      <c r="C12750" s="420" t="s">
        <v>173</v>
      </c>
      <c r="D12750" s="500" t="s">
        <v>763</v>
      </c>
      <c r="E12750" s="501">
        <v>303134331.05000001</v>
      </c>
      <c r="F12750" s="95" t="s">
        <v>878</v>
      </c>
      <c r="G12750" s="420">
        <v>119360324</v>
      </c>
      <c r="H12750" s="420">
        <v>119360324</v>
      </c>
      <c r="I12750" s="523" t="s">
        <v>692</v>
      </c>
      <c r="J12750" s="530" t="s">
        <v>912</v>
      </c>
      <c r="N12750" s="420">
        <v>409353</v>
      </c>
      <c r="R12750" s="420">
        <v>740.20100000000002</v>
      </c>
      <c r="S12750" s="420">
        <v>740.52060458821597</v>
      </c>
      <c r="T12750" s="420">
        <v>15.76</v>
      </c>
      <c r="U12750" s="278">
        <v>454.51</v>
      </c>
      <c r="V12750" s="278">
        <v>227.25</v>
      </c>
      <c r="Z12750" s="420" t="s">
        <v>2953</v>
      </c>
    </row>
    <row r="12751" spans="1:26">
      <c r="A12751" s="499">
        <v>45930</v>
      </c>
      <c r="B12751" s="499">
        <v>45931</v>
      </c>
      <c r="C12751" s="420" t="s">
        <v>173</v>
      </c>
      <c r="D12751" s="500" t="s">
        <v>763</v>
      </c>
      <c r="E12751" s="501">
        <v>397186672.74000001</v>
      </c>
      <c r="F12751" s="95" t="s">
        <v>878</v>
      </c>
      <c r="G12751" s="420">
        <v>119360327</v>
      </c>
      <c r="H12751" s="420">
        <v>119360327</v>
      </c>
      <c r="I12751" s="523" t="s">
        <v>676</v>
      </c>
      <c r="J12751" s="530" t="s">
        <v>912</v>
      </c>
      <c r="N12751" s="420">
        <v>468063</v>
      </c>
      <c r="R12751" s="420">
        <v>848.20899999999995</v>
      </c>
      <c r="S12751" s="420">
        <v>848.57524038430699</v>
      </c>
      <c r="T12751" s="420">
        <v>15.76</v>
      </c>
      <c r="U12751" s="278">
        <v>595.52</v>
      </c>
      <c r="V12751" s="278">
        <v>297.76</v>
      </c>
      <c r="Z12751" s="420" t="s">
        <v>2953</v>
      </c>
    </row>
    <row r="12752" spans="1:26">
      <c r="A12752" s="499">
        <v>45930</v>
      </c>
      <c r="B12752" s="499">
        <v>45931</v>
      </c>
      <c r="C12752" s="420" t="s">
        <v>173</v>
      </c>
      <c r="D12752" s="500" t="s">
        <v>763</v>
      </c>
      <c r="E12752" s="501">
        <v>414343245.04000002</v>
      </c>
      <c r="F12752" s="95" t="s">
        <v>878</v>
      </c>
      <c r="G12752" s="420">
        <v>119360330</v>
      </c>
      <c r="H12752" s="420">
        <v>119360330</v>
      </c>
      <c r="I12752" s="523" t="s">
        <v>658</v>
      </c>
      <c r="J12752" s="530" t="s">
        <v>912</v>
      </c>
      <c r="N12752" s="420">
        <v>398682</v>
      </c>
      <c r="R12752" s="420">
        <v>1038.8340000000001</v>
      </c>
      <c r="S12752" s="420">
        <v>1039.28254859763</v>
      </c>
      <c r="T12752" s="420">
        <v>15.76</v>
      </c>
      <c r="U12752" s="278">
        <v>621.25</v>
      </c>
      <c r="V12752" s="278">
        <v>310.62</v>
      </c>
      <c r="Z12752" s="420" t="s">
        <v>2953</v>
      </c>
    </row>
    <row r="12753" spans="1:26">
      <c r="A12753" s="499">
        <v>45930</v>
      </c>
      <c r="B12753" s="499">
        <v>45931</v>
      </c>
      <c r="C12753" s="420" t="s">
        <v>173</v>
      </c>
      <c r="D12753" s="500" t="s">
        <v>763</v>
      </c>
      <c r="E12753" s="501">
        <v>119059345.94</v>
      </c>
      <c r="F12753" s="95" t="s">
        <v>878</v>
      </c>
      <c r="G12753" s="420">
        <v>119360333</v>
      </c>
      <c r="H12753" s="420">
        <v>119360333</v>
      </c>
      <c r="I12753" s="523" t="s">
        <v>2556</v>
      </c>
      <c r="J12753" s="530" t="s">
        <v>912</v>
      </c>
      <c r="N12753" s="420">
        <v>1314712</v>
      </c>
      <c r="R12753" s="420">
        <v>90.520200000000003</v>
      </c>
      <c r="S12753" s="420">
        <v>90.559260081295406</v>
      </c>
      <c r="T12753" s="420">
        <v>15.75</v>
      </c>
      <c r="U12753" s="278">
        <v>178.51</v>
      </c>
      <c r="V12753" s="278">
        <v>89.26</v>
      </c>
      <c r="Z12753" s="420" t="s">
        <v>2953</v>
      </c>
    </row>
    <row r="12754" spans="1:26">
      <c r="A12754" s="499">
        <v>45930</v>
      </c>
      <c r="B12754" s="499">
        <v>45931</v>
      </c>
      <c r="C12754" s="420" t="s">
        <v>173</v>
      </c>
      <c r="D12754" s="500" t="s">
        <v>763</v>
      </c>
      <c r="E12754" s="501">
        <v>13012736.4</v>
      </c>
      <c r="F12754" s="95" t="s">
        <v>878</v>
      </c>
      <c r="G12754" s="420">
        <v>119360380</v>
      </c>
      <c r="H12754" s="420">
        <v>119360380</v>
      </c>
      <c r="I12754" s="523" t="s">
        <v>604</v>
      </c>
      <c r="J12754" s="530" t="s">
        <v>912</v>
      </c>
      <c r="N12754" s="420">
        <v>12545</v>
      </c>
      <c r="R12754" s="420">
        <v>1036.837</v>
      </c>
      <c r="S12754" s="420">
        <v>1037.28468712635</v>
      </c>
      <c r="T12754" s="420">
        <v>15.76</v>
      </c>
      <c r="U12754" s="278">
        <v>39.32</v>
      </c>
      <c r="V12754" s="278">
        <v>39.32</v>
      </c>
      <c r="Z12754" s="420" t="s">
        <v>2953</v>
      </c>
    </row>
    <row r="12755" spans="1:26">
      <c r="A12755" s="499">
        <v>45930</v>
      </c>
      <c r="B12755" s="499">
        <v>45930</v>
      </c>
      <c r="C12755" s="420" t="s">
        <v>173</v>
      </c>
      <c r="D12755" s="500" t="s">
        <v>759</v>
      </c>
      <c r="E12755" s="501">
        <v>-2920297475</v>
      </c>
      <c r="F12755" s="95" t="s">
        <v>878</v>
      </c>
      <c r="G12755" s="420">
        <v>119360109</v>
      </c>
      <c r="I12755" s="523" t="s">
        <v>821</v>
      </c>
      <c r="J12755" s="530" t="s">
        <v>906</v>
      </c>
      <c r="N12755" s="420">
        <v>2817800</v>
      </c>
      <c r="R12755" s="420">
        <v>1036.375</v>
      </c>
      <c r="S12755" s="420">
        <v>1039.5551095890401</v>
      </c>
      <c r="T12755" s="420">
        <v>16</v>
      </c>
      <c r="U12755" s="278">
        <v>30663.119999999999</v>
      </c>
      <c r="V12755" s="278">
        <v>15331.56</v>
      </c>
      <c r="Z12755" s="420" t="s">
        <v>2961</v>
      </c>
    </row>
    <row r="12756" spans="1:26">
      <c r="A12756" s="499">
        <v>45930</v>
      </c>
      <c r="B12756" s="499">
        <v>45930</v>
      </c>
      <c r="C12756" s="420" t="s">
        <v>173</v>
      </c>
      <c r="D12756" s="500" t="s">
        <v>759</v>
      </c>
      <c r="E12756" s="501">
        <v>-6936147215.21</v>
      </c>
      <c r="F12756" s="95" t="s">
        <v>878</v>
      </c>
      <c r="G12756" s="420">
        <v>119360210</v>
      </c>
      <c r="I12756" s="523" t="s">
        <v>1018</v>
      </c>
      <c r="J12756" s="530" t="s">
        <v>906</v>
      </c>
      <c r="N12756" s="420">
        <v>70067472</v>
      </c>
      <c r="R12756" s="420">
        <v>98.992399999960043</v>
      </c>
      <c r="S12756" s="420">
        <v>99.296157501300996</v>
      </c>
      <c r="T12756" s="420">
        <v>16</v>
      </c>
      <c r="U12756" s="278">
        <v>72829.55</v>
      </c>
      <c r="V12756" s="278">
        <v>36414.769999999997</v>
      </c>
      <c r="Z12756" s="420" t="s">
        <v>2961</v>
      </c>
    </row>
    <row r="12757" spans="1:26">
      <c r="A12757" s="499">
        <v>45930</v>
      </c>
      <c r="B12757" s="499">
        <v>45930</v>
      </c>
      <c r="C12757" s="420" t="s">
        <v>173</v>
      </c>
      <c r="D12757" s="500" t="s">
        <v>759</v>
      </c>
      <c r="E12757" s="501">
        <v>-63030638.659999996</v>
      </c>
      <c r="F12757" s="95" t="s">
        <v>878</v>
      </c>
      <c r="G12757" s="420">
        <v>119360999</v>
      </c>
      <c r="I12757" s="523" t="s">
        <v>656</v>
      </c>
      <c r="J12757" s="530" t="s">
        <v>906</v>
      </c>
      <c r="N12757" s="420">
        <v>64134</v>
      </c>
      <c r="R12757" s="420">
        <v>982.79599993763054</v>
      </c>
      <c r="S12757" s="420">
        <v>985.77417610004102</v>
      </c>
      <c r="T12757" s="420">
        <v>15.8009</v>
      </c>
      <c r="U12757" s="278">
        <v>661.82</v>
      </c>
      <c r="V12757" s="278">
        <v>330.91</v>
      </c>
      <c r="Z12757" s="420" t="s">
        <v>2961</v>
      </c>
    </row>
    <row r="12758" spans="1:26">
      <c r="A12758" s="499">
        <v>45930</v>
      </c>
      <c r="B12758" s="499">
        <v>45930</v>
      </c>
      <c r="C12758" s="420" t="s">
        <v>173</v>
      </c>
      <c r="D12758" s="500" t="s">
        <v>759</v>
      </c>
      <c r="E12758" s="501">
        <v>-1987099093.0799999</v>
      </c>
      <c r="F12758" s="95" t="s">
        <v>878</v>
      </c>
      <c r="G12758" s="420">
        <v>119361544</v>
      </c>
      <c r="I12758" s="523" t="s">
        <v>3046</v>
      </c>
      <c r="J12758" s="530" t="s">
        <v>906</v>
      </c>
      <c r="N12758" s="420">
        <v>19995181</v>
      </c>
      <c r="R12758" s="420">
        <v>99.378899999954982</v>
      </c>
      <c r="S12758" s="420">
        <v>99.421918539271999</v>
      </c>
      <c r="T12758" s="420">
        <v>15.799899999999999</v>
      </c>
      <c r="U12758" s="278">
        <v>2980.65</v>
      </c>
      <c r="V12758" s="278">
        <v>1490.32</v>
      </c>
      <c r="Z12758" s="420" t="s">
        <v>2953</v>
      </c>
    </row>
    <row r="12759" spans="1:26">
      <c r="A12759" s="499">
        <v>45930</v>
      </c>
      <c r="B12759" s="499">
        <v>45930</v>
      </c>
      <c r="C12759" s="420" t="s">
        <v>173</v>
      </c>
      <c r="D12759" s="500" t="s">
        <v>759</v>
      </c>
      <c r="E12759" s="501">
        <v>-12005515.1</v>
      </c>
      <c r="F12759" s="95" t="s">
        <v>878</v>
      </c>
      <c r="G12759" s="420">
        <v>119361632</v>
      </c>
      <c r="I12759" s="523" t="s">
        <v>723</v>
      </c>
      <c r="J12759" s="530" t="s">
        <v>906</v>
      </c>
      <c r="N12759" s="420">
        <v>20064</v>
      </c>
      <c r="R12759" s="420">
        <v>598.36099980063796</v>
      </c>
      <c r="S12759" s="420">
        <v>598.61788676235994</v>
      </c>
      <c r="T12759" s="420">
        <v>15.6701</v>
      </c>
      <c r="U12759" s="278">
        <v>39.32</v>
      </c>
      <c r="V12759" s="278">
        <v>9</v>
      </c>
      <c r="Z12759" s="420" t="s">
        <v>2953</v>
      </c>
    </row>
    <row r="12760" spans="1:26">
      <c r="A12760" s="499">
        <v>45930</v>
      </c>
      <c r="B12760" s="499">
        <v>45937</v>
      </c>
      <c r="C12760" s="420" t="s">
        <v>173</v>
      </c>
      <c r="D12760" s="500" t="s">
        <v>759</v>
      </c>
      <c r="E12760" s="501">
        <v>2929258387.8000002</v>
      </c>
      <c r="F12760" s="95" t="s">
        <v>878</v>
      </c>
      <c r="G12760" s="420">
        <v>119360109</v>
      </c>
      <c r="H12760" s="420">
        <v>119360109</v>
      </c>
      <c r="I12760" s="523" t="s">
        <v>821</v>
      </c>
      <c r="J12760" s="530" t="s">
        <v>912</v>
      </c>
      <c r="N12760" s="420">
        <v>2817800</v>
      </c>
      <c r="R12760" s="420">
        <v>1036.375</v>
      </c>
      <c r="S12760" s="420">
        <v>1039.5551095890401</v>
      </c>
      <c r="T12760" s="420">
        <v>16</v>
      </c>
      <c r="U12760" s="278">
        <v>30663.119999999999</v>
      </c>
      <c r="V12760" s="278">
        <v>15331.56</v>
      </c>
      <c r="Z12760" s="420" t="s">
        <v>2961</v>
      </c>
    </row>
    <row r="12761" spans="1:26">
      <c r="A12761" s="499">
        <v>45930</v>
      </c>
      <c r="B12761" s="499">
        <v>45937</v>
      </c>
      <c r="C12761" s="420" t="s">
        <v>173</v>
      </c>
      <c r="D12761" s="500" t="s">
        <v>759</v>
      </c>
      <c r="E12761" s="501">
        <v>6957430735.4300003</v>
      </c>
      <c r="F12761" s="95" t="s">
        <v>878</v>
      </c>
      <c r="G12761" s="420">
        <v>119360210</v>
      </c>
      <c r="H12761" s="420">
        <v>119360210</v>
      </c>
      <c r="I12761" s="523" t="s">
        <v>1018</v>
      </c>
      <c r="J12761" s="530" t="s">
        <v>912</v>
      </c>
      <c r="N12761" s="420">
        <v>70067472</v>
      </c>
      <c r="R12761" s="420">
        <v>98.992399999960043</v>
      </c>
      <c r="S12761" s="420">
        <v>99.296157501300996</v>
      </c>
      <c r="T12761" s="420">
        <v>16</v>
      </c>
      <c r="U12761" s="278">
        <v>72829.55</v>
      </c>
      <c r="V12761" s="278">
        <v>36414.769999999997</v>
      </c>
      <c r="Z12761" s="420" t="s">
        <v>2961</v>
      </c>
    </row>
    <row r="12762" spans="1:26">
      <c r="A12762" s="499">
        <v>45930</v>
      </c>
      <c r="B12762" s="499">
        <v>45937</v>
      </c>
      <c r="C12762" s="420" t="s">
        <v>173</v>
      </c>
      <c r="D12762" s="500" t="s">
        <v>759</v>
      </c>
      <c r="E12762" s="501">
        <v>63221641.009999998</v>
      </c>
      <c r="F12762" s="95" t="s">
        <v>878</v>
      </c>
      <c r="G12762" s="420">
        <v>119360999</v>
      </c>
      <c r="H12762" s="420">
        <v>119360999</v>
      </c>
      <c r="I12762" s="523" t="s">
        <v>656</v>
      </c>
      <c r="J12762" s="530" t="s">
        <v>912</v>
      </c>
      <c r="N12762" s="420">
        <v>64134</v>
      </c>
      <c r="R12762" s="420">
        <v>982.79599993763054</v>
      </c>
      <c r="S12762" s="420">
        <v>985.77417610004102</v>
      </c>
      <c r="T12762" s="420">
        <v>15.8009</v>
      </c>
      <c r="U12762" s="278">
        <v>661.82</v>
      </c>
      <c r="V12762" s="278">
        <v>330.91</v>
      </c>
      <c r="Z12762" s="420" t="s">
        <v>2961</v>
      </c>
    </row>
    <row r="12763" spans="1:26">
      <c r="A12763" s="499">
        <v>45930</v>
      </c>
      <c r="B12763" s="499">
        <v>45931</v>
      </c>
      <c r="C12763" s="420" t="s">
        <v>173</v>
      </c>
      <c r="D12763" s="500" t="s">
        <v>759</v>
      </c>
      <c r="E12763" s="501">
        <v>1987959256.5599999</v>
      </c>
      <c r="F12763" s="95" t="s">
        <v>878</v>
      </c>
      <c r="G12763" s="420">
        <v>119361544</v>
      </c>
      <c r="H12763" s="420">
        <v>119361544</v>
      </c>
      <c r="I12763" s="523" t="s">
        <v>3046</v>
      </c>
      <c r="J12763" s="530" t="s">
        <v>912</v>
      </c>
      <c r="N12763" s="420">
        <v>19995181</v>
      </c>
      <c r="R12763" s="420">
        <v>99.378899999954982</v>
      </c>
      <c r="S12763" s="420">
        <v>99.421918539271999</v>
      </c>
      <c r="T12763" s="420">
        <v>15.799899999999999</v>
      </c>
      <c r="U12763" s="278">
        <v>2980.65</v>
      </c>
      <c r="V12763" s="278">
        <v>1490.32</v>
      </c>
      <c r="Z12763" s="420" t="s">
        <v>2953</v>
      </c>
    </row>
    <row r="12764" spans="1:26">
      <c r="A12764" s="499">
        <v>45930</v>
      </c>
      <c r="B12764" s="499">
        <v>45931</v>
      </c>
      <c r="C12764" s="420" t="s">
        <v>173</v>
      </c>
      <c r="D12764" s="500" t="s">
        <v>759</v>
      </c>
      <c r="E12764" s="501">
        <v>12010669.279999999</v>
      </c>
      <c r="F12764" s="95" t="s">
        <v>878</v>
      </c>
      <c r="G12764" s="420">
        <v>119361632</v>
      </c>
      <c r="H12764" s="420">
        <v>119361632</v>
      </c>
      <c r="I12764" s="523" t="s">
        <v>723</v>
      </c>
      <c r="J12764" s="530" t="s">
        <v>912</v>
      </c>
      <c r="N12764" s="420">
        <v>20064</v>
      </c>
      <c r="R12764" s="420">
        <v>598.36099980063796</v>
      </c>
      <c r="S12764" s="420">
        <v>598.61788676235994</v>
      </c>
      <c r="T12764" s="420">
        <v>15.6701</v>
      </c>
      <c r="U12764" s="278">
        <v>39.32</v>
      </c>
      <c r="V12764" s="278">
        <v>9</v>
      </c>
      <c r="Z12764" s="420" t="s">
        <v>2953</v>
      </c>
    </row>
    <row r="12765" spans="1:26">
      <c r="A12765" s="499">
        <v>45930</v>
      </c>
      <c r="B12765" s="499">
        <v>45930</v>
      </c>
      <c r="C12765" s="420" t="s">
        <v>173</v>
      </c>
      <c r="D12765" s="500" t="s">
        <v>761</v>
      </c>
      <c r="E12765" s="501">
        <v>-200100310.40000001</v>
      </c>
      <c r="F12765" s="95" t="s">
        <v>878</v>
      </c>
      <c r="G12765" s="420">
        <v>119359504</v>
      </c>
      <c r="I12765" s="278" t="s">
        <v>678</v>
      </c>
      <c r="J12765" s="530" t="s">
        <v>906</v>
      </c>
      <c r="N12765" s="420">
        <v>210200</v>
      </c>
      <c r="R12765" s="420">
        <v>951.952</v>
      </c>
      <c r="S12765" s="420">
        <v>952.36538187440499</v>
      </c>
      <c r="T12765" s="420">
        <v>15.85</v>
      </c>
      <c r="U12765" s="278">
        <v>300.14999999999998</v>
      </c>
      <c r="V12765" s="278">
        <v>150.08000000000001</v>
      </c>
      <c r="Z12765" s="420" t="s">
        <v>2953</v>
      </c>
    </row>
    <row r="12766" spans="1:26">
      <c r="A12766" s="499">
        <v>45930</v>
      </c>
      <c r="B12766" s="499">
        <v>45930</v>
      </c>
      <c r="C12766" s="420" t="s">
        <v>173</v>
      </c>
      <c r="D12766" s="500" t="s">
        <v>761</v>
      </c>
      <c r="E12766" s="501">
        <v>-1210420625.04</v>
      </c>
      <c r="F12766" s="95" t="s">
        <v>878</v>
      </c>
      <c r="G12766" s="420">
        <v>119359544</v>
      </c>
      <c r="I12766" s="278" t="s">
        <v>691</v>
      </c>
      <c r="J12766" s="530" t="s">
        <v>906</v>
      </c>
      <c r="N12766" s="420">
        <v>1364880</v>
      </c>
      <c r="R12766" s="420">
        <v>886.83299999999997</v>
      </c>
      <c r="S12766" s="420">
        <v>887.21810419230997</v>
      </c>
      <c r="T12766" s="420">
        <v>15.85</v>
      </c>
      <c r="U12766" s="278">
        <v>1815.63</v>
      </c>
      <c r="V12766" s="278">
        <v>907.82</v>
      </c>
      <c r="Z12766" s="420" t="s">
        <v>2953</v>
      </c>
    </row>
    <row r="12767" spans="1:26">
      <c r="A12767" s="499">
        <v>45930</v>
      </c>
      <c r="B12767" s="499">
        <v>45930</v>
      </c>
      <c r="C12767" s="420" t="s">
        <v>173</v>
      </c>
      <c r="D12767" s="500" t="s">
        <v>761</v>
      </c>
      <c r="E12767" s="501">
        <v>-9003128.6199999992</v>
      </c>
      <c r="F12767" s="95" t="s">
        <v>878</v>
      </c>
      <c r="G12767" s="420">
        <v>119359720</v>
      </c>
      <c r="I12767" s="278" t="s">
        <v>691</v>
      </c>
      <c r="J12767" s="530" t="s">
        <v>906</v>
      </c>
      <c r="N12767" s="420">
        <v>10152</v>
      </c>
      <c r="R12767" s="420">
        <v>886.83300039401092</v>
      </c>
      <c r="S12767" s="420">
        <v>887.218104806935</v>
      </c>
      <c r="T12767" s="420">
        <v>15.85</v>
      </c>
      <c r="U12767" s="278">
        <v>39.32</v>
      </c>
      <c r="V12767" s="278">
        <v>6.75</v>
      </c>
      <c r="Z12767" s="420" t="s">
        <v>2953</v>
      </c>
    </row>
    <row r="12768" spans="1:26">
      <c r="A12768" s="499">
        <v>45930</v>
      </c>
      <c r="B12768" s="499">
        <v>45931</v>
      </c>
      <c r="C12768" s="420" t="s">
        <v>173</v>
      </c>
      <c r="D12768" s="500" t="s">
        <v>761</v>
      </c>
      <c r="E12768" s="501">
        <v>200187203.27000001</v>
      </c>
      <c r="F12768" s="95" t="s">
        <v>878</v>
      </c>
      <c r="G12768" s="420">
        <v>119359504</v>
      </c>
      <c r="H12768" s="420">
        <v>119359504</v>
      </c>
      <c r="I12768" s="278" t="s">
        <v>678</v>
      </c>
      <c r="J12768" s="530" t="s">
        <v>912</v>
      </c>
      <c r="N12768" s="420">
        <v>210200</v>
      </c>
      <c r="R12768" s="420">
        <v>951.952</v>
      </c>
      <c r="S12768" s="420">
        <v>952.36538187440499</v>
      </c>
      <c r="T12768" s="420">
        <v>15.85</v>
      </c>
      <c r="U12768" s="278">
        <v>300.14999999999998</v>
      </c>
      <c r="V12768" s="278">
        <v>150.08000000000001</v>
      </c>
      <c r="Z12768" s="420" t="s">
        <v>2953</v>
      </c>
    </row>
    <row r="12769" spans="1:26">
      <c r="A12769" s="499">
        <v>45930</v>
      </c>
      <c r="B12769" s="499">
        <v>45931</v>
      </c>
      <c r="C12769" s="420" t="s">
        <v>173</v>
      </c>
      <c r="D12769" s="500" t="s">
        <v>761</v>
      </c>
      <c r="E12769" s="501">
        <v>1210946246.05</v>
      </c>
      <c r="F12769" s="95" t="s">
        <v>878</v>
      </c>
      <c r="G12769" s="420">
        <v>119359544</v>
      </c>
      <c r="H12769" s="420">
        <v>119359544</v>
      </c>
      <c r="I12769" s="278" t="s">
        <v>691</v>
      </c>
      <c r="J12769" s="530" t="s">
        <v>912</v>
      </c>
      <c r="N12769" s="420">
        <v>1364880</v>
      </c>
      <c r="R12769" s="420">
        <v>886.83299999999997</v>
      </c>
      <c r="S12769" s="420">
        <v>887.21810419230997</v>
      </c>
      <c r="T12769" s="420">
        <v>15.85</v>
      </c>
      <c r="U12769" s="278">
        <v>1815.63</v>
      </c>
      <c r="V12769" s="278">
        <v>907.82</v>
      </c>
      <c r="Z12769" s="420" t="s">
        <v>2953</v>
      </c>
    </row>
    <row r="12770" spans="1:26">
      <c r="A12770" s="499">
        <v>45930</v>
      </c>
      <c r="B12770" s="499">
        <v>45931</v>
      </c>
      <c r="C12770" s="420" t="s">
        <v>173</v>
      </c>
      <c r="D12770" s="500" t="s">
        <v>761</v>
      </c>
      <c r="E12770" s="501">
        <v>9007038.1999999993</v>
      </c>
      <c r="F12770" s="95" t="s">
        <v>878</v>
      </c>
      <c r="G12770" s="420">
        <v>119359720</v>
      </c>
      <c r="H12770" s="420">
        <v>119359720</v>
      </c>
      <c r="I12770" s="278" t="s">
        <v>691</v>
      </c>
      <c r="J12770" s="530" t="s">
        <v>912</v>
      </c>
      <c r="N12770" s="420">
        <v>10152</v>
      </c>
      <c r="R12770" s="420">
        <v>886.83300039401092</v>
      </c>
      <c r="S12770" s="420">
        <v>887.218104806935</v>
      </c>
      <c r="T12770" s="420">
        <v>15.85</v>
      </c>
      <c r="U12770" s="278">
        <v>39.32</v>
      </c>
      <c r="V12770" s="278">
        <v>6.75</v>
      </c>
      <c r="Z12770" s="420" t="s">
        <v>2953</v>
      </c>
    </row>
    <row r="12771" spans="1:26">
      <c r="A12771" s="499">
        <v>45931</v>
      </c>
      <c r="B12771" s="499">
        <v>45931</v>
      </c>
      <c r="C12771" s="420" t="s">
        <v>173</v>
      </c>
      <c r="D12771" s="500" t="s">
        <v>762</v>
      </c>
      <c r="E12771" s="501">
        <v>-4096993841.1700001</v>
      </c>
      <c r="F12771" s="95" t="s">
        <v>878</v>
      </c>
      <c r="G12771" s="420">
        <v>119387726</v>
      </c>
      <c r="I12771" s="523" t="s">
        <v>2854</v>
      </c>
      <c r="J12771" s="530" t="s">
        <v>906</v>
      </c>
      <c r="N12771" s="611">
        <v>7227675</v>
      </c>
      <c r="R12771" s="558">
        <v>566.84810000000004</v>
      </c>
      <c r="S12771" s="558">
        <v>567.09457953076196</v>
      </c>
      <c r="T12771" s="567">
        <v>15.8711</v>
      </c>
      <c r="U12771" s="538">
        <v>6145.49</v>
      </c>
      <c r="V12771" s="538">
        <v>3072.75</v>
      </c>
      <c r="Z12771" s="539" t="s">
        <v>2953</v>
      </c>
    </row>
    <row r="12772" spans="1:26">
      <c r="A12772" s="499">
        <v>45931</v>
      </c>
      <c r="B12772" s="499">
        <v>45931</v>
      </c>
      <c r="C12772" s="420" t="s">
        <v>173</v>
      </c>
      <c r="D12772" s="500" t="s">
        <v>762</v>
      </c>
      <c r="E12772" s="501">
        <v>-25012172.41</v>
      </c>
      <c r="F12772" s="95" t="s">
        <v>878</v>
      </c>
      <c r="G12772" s="420">
        <v>119387744</v>
      </c>
      <c r="I12772" s="523" t="s">
        <v>2854</v>
      </c>
      <c r="J12772" s="530" t="s">
        <v>906</v>
      </c>
      <c r="N12772" s="611">
        <v>44125</v>
      </c>
      <c r="R12772" s="558">
        <v>566.84810000000004</v>
      </c>
      <c r="S12772" s="558">
        <v>567.09457949008504</v>
      </c>
      <c r="T12772" s="567">
        <v>15.8711</v>
      </c>
      <c r="U12772" s="538">
        <v>39.32</v>
      </c>
      <c r="V12772" s="538">
        <v>18.760000000000002</v>
      </c>
      <c r="Z12772" s="539" t="s">
        <v>2953</v>
      </c>
    </row>
    <row r="12773" spans="1:26">
      <c r="A12773" s="499">
        <v>45931</v>
      </c>
      <c r="B12773" s="499">
        <v>45932</v>
      </c>
      <c r="C12773" s="420" t="s">
        <v>173</v>
      </c>
      <c r="D12773" s="500" t="s">
        <v>762</v>
      </c>
      <c r="E12773" s="501">
        <v>4098775315.1100001</v>
      </c>
      <c r="F12773" s="95" t="s">
        <v>878</v>
      </c>
      <c r="G12773" s="420">
        <v>119387726</v>
      </c>
      <c r="H12773" s="420">
        <v>119387726</v>
      </c>
      <c r="I12773" s="523" t="s">
        <v>2854</v>
      </c>
      <c r="J12773" s="530" t="s">
        <v>912</v>
      </c>
      <c r="N12773" s="611">
        <v>7227675</v>
      </c>
      <c r="R12773" s="558">
        <v>566.84810000000004</v>
      </c>
      <c r="S12773" s="558">
        <v>567.09457953076196</v>
      </c>
      <c r="T12773" s="567">
        <v>15.8711</v>
      </c>
      <c r="U12773" s="538">
        <v>6145.49</v>
      </c>
      <c r="V12773" s="538">
        <v>3072.75</v>
      </c>
      <c r="Z12773" s="539" t="s">
        <v>2953</v>
      </c>
    </row>
    <row r="12774" spans="1:26">
      <c r="A12774" s="499">
        <v>45931</v>
      </c>
      <c r="B12774" s="499">
        <v>45932</v>
      </c>
      <c r="C12774" s="420" t="s">
        <v>173</v>
      </c>
      <c r="D12774" s="500" t="s">
        <v>762</v>
      </c>
      <c r="E12774" s="501">
        <v>25023048.32</v>
      </c>
      <c r="F12774" s="95" t="s">
        <v>878</v>
      </c>
      <c r="G12774" s="420">
        <v>119387744</v>
      </c>
      <c r="H12774" s="420">
        <v>119387744</v>
      </c>
      <c r="I12774" s="523" t="s">
        <v>2854</v>
      </c>
      <c r="J12774" s="530" t="s">
        <v>912</v>
      </c>
      <c r="N12774" s="611">
        <v>44125</v>
      </c>
      <c r="R12774" s="558">
        <v>566.84810000000004</v>
      </c>
      <c r="S12774" s="558">
        <v>567.09457949008504</v>
      </c>
      <c r="T12774" s="567">
        <v>15.8711</v>
      </c>
      <c r="U12774" s="538">
        <v>39.32</v>
      </c>
      <c r="V12774" s="538">
        <v>18.760000000000002</v>
      </c>
      <c r="Z12774" s="539" t="s">
        <v>2953</v>
      </c>
    </row>
    <row r="12775" spans="1:26">
      <c r="A12775" s="499">
        <v>45931</v>
      </c>
      <c r="B12775" s="499">
        <v>45931</v>
      </c>
      <c r="C12775" s="420" t="s">
        <v>173</v>
      </c>
      <c r="D12775" s="500" t="s">
        <v>760</v>
      </c>
      <c r="E12775" s="501">
        <v>-1300089437.01</v>
      </c>
      <c r="F12775" s="95" t="s">
        <v>878</v>
      </c>
      <c r="G12775" s="420">
        <v>119384898</v>
      </c>
      <c r="I12775" s="523" t="s">
        <v>3046</v>
      </c>
      <c r="J12775" s="530" t="s">
        <v>906</v>
      </c>
      <c r="N12775" s="420">
        <v>13076700</v>
      </c>
      <c r="R12775" s="420">
        <v>99.420299999999997</v>
      </c>
      <c r="S12775" s="420">
        <v>99.463472652121695</v>
      </c>
      <c r="T12775" s="420">
        <v>15.8499</v>
      </c>
      <c r="U12775" s="278">
        <v>1950.13</v>
      </c>
      <c r="V12775" s="278">
        <v>975.07</v>
      </c>
      <c r="Z12775" s="420" t="s">
        <v>2953</v>
      </c>
    </row>
    <row r="12776" spans="1:26">
      <c r="A12776" s="499">
        <v>45931</v>
      </c>
      <c r="B12776" s="499">
        <v>45931</v>
      </c>
      <c r="C12776" s="420" t="s">
        <v>173</v>
      </c>
      <c r="D12776" s="500" t="s">
        <v>760</v>
      </c>
      <c r="E12776" s="501">
        <v>-1000080.5</v>
      </c>
      <c r="F12776" s="95" t="s">
        <v>878</v>
      </c>
      <c r="G12776" s="420">
        <v>119385152</v>
      </c>
      <c r="I12776" s="523" t="s">
        <v>713</v>
      </c>
      <c r="J12776" s="530" t="s">
        <v>906</v>
      </c>
      <c r="N12776" s="420">
        <v>1266</v>
      </c>
      <c r="R12776" s="420">
        <v>789.95299999999997</v>
      </c>
      <c r="S12776" s="420">
        <v>790.29668246445499</v>
      </c>
      <c r="T12776" s="420">
        <v>15.879899999999999</v>
      </c>
      <c r="U12776" s="278">
        <v>39.32</v>
      </c>
      <c r="V12776" s="278">
        <v>0.75</v>
      </c>
      <c r="Z12776" s="420" t="s">
        <v>2953</v>
      </c>
    </row>
    <row r="12777" spans="1:26">
      <c r="A12777" s="499">
        <v>45931</v>
      </c>
      <c r="B12777" s="499">
        <v>45931</v>
      </c>
      <c r="C12777" s="420" t="s">
        <v>173</v>
      </c>
      <c r="D12777" s="500" t="s">
        <v>760</v>
      </c>
      <c r="E12777" s="501">
        <v>-1000122.5</v>
      </c>
      <c r="F12777" s="95" t="s">
        <v>878</v>
      </c>
      <c r="G12777" s="420">
        <v>119385155</v>
      </c>
      <c r="I12777" s="523" t="s">
        <v>715</v>
      </c>
      <c r="J12777" s="530" t="s">
        <v>906</v>
      </c>
      <c r="N12777" s="420">
        <v>1642</v>
      </c>
      <c r="R12777" s="420">
        <v>609.08799999999997</v>
      </c>
      <c r="S12777" s="420">
        <v>609.35299634592002</v>
      </c>
      <c r="T12777" s="420">
        <v>15.879899999999999</v>
      </c>
      <c r="U12777" s="278">
        <v>39.32</v>
      </c>
      <c r="V12777" s="278">
        <v>0.75</v>
      </c>
      <c r="Z12777" s="420" t="s">
        <v>2953</v>
      </c>
    </row>
    <row r="12778" spans="1:26">
      <c r="A12778" s="499">
        <v>45931</v>
      </c>
      <c r="B12778" s="499">
        <v>45931</v>
      </c>
      <c r="C12778" s="420" t="s">
        <v>173</v>
      </c>
      <c r="D12778" s="500" t="s">
        <v>760</v>
      </c>
      <c r="E12778" s="501">
        <v>-1000193.47</v>
      </c>
      <c r="F12778" s="95" t="s">
        <v>878</v>
      </c>
      <c r="G12778" s="420">
        <v>119385158</v>
      </c>
      <c r="I12778" s="523" t="s">
        <v>592</v>
      </c>
      <c r="J12778" s="530" t="s">
        <v>906</v>
      </c>
      <c r="N12778" s="420">
        <v>1253</v>
      </c>
      <c r="R12778" s="420">
        <v>798.23900000000003</v>
      </c>
      <c r="S12778" s="420">
        <v>798.58628890662396</v>
      </c>
      <c r="T12778" s="420">
        <v>15.879899999999999</v>
      </c>
      <c r="U12778" s="278">
        <v>39.32</v>
      </c>
      <c r="V12778" s="278">
        <v>0.75</v>
      </c>
      <c r="Z12778" s="420" t="s">
        <v>2953</v>
      </c>
    </row>
    <row r="12779" spans="1:26">
      <c r="A12779" s="499">
        <v>45931</v>
      </c>
      <c r="B12779" s="499">
        <v>45931</v>
      </c>
      <c r="C12779" s="420" t="s">
        <v>173</v>
      </c>
      <c r="D12779" s="500" t="s">
        <v>760</v>
      </c>
      <c r="E12779" s="501">
        <v>-1000205.01</v>
      </c>
      <c r="F12779" s="95" t="s">
        <v>878</v>
      </c>
      <c r="G12779" s="420">
        <v>119385161</v>
      </c>
      <c r="I12779" s="523" t="s">
        <v>598</v>
      </c>
      <c r="J12779" s="530" t="s">
        <v>906</v>
      </c>
      <c r="N12779" s="420">
        <v>945</v>
      </c>
      <c r="R12779" s="420">
        <v>1058.4179999999999</v>
      </c>
      <c r="S12779" s="420">
        <v>1058.8784761904799</v>
      </c>
      <c r="T12779" s="420">
        <v>15.879899999999999</v>
      </c>
      <c r="U12779" s="278">
        <v>39.32</v>
      </c>
      <c r="V12779" s="278">
        <v>0.75</v>
      </c>
      <c r="Z12779" s="420" t="s">
        <v>2953</v>
      </c>
    </row>
    <row r="12780" spans="1:26">
      <c r="A12780" s="499">
        <v>45931</v>
      </c>
      <c r="B12780" s="499">
        <v>45931</v>
      </c>
      <c r="C12780" s="420" t="s">
        <v>173</v>
      </c>
      <c r="D12780" s="500" t="s">
        <v>760</v>
      </c>
      <c r="E12780" s="501">
        <v>-2001147.27</v>
      </c>
      <c r="F12780" s="95" t="s">
        <v>878</v>
      </c>
      <c r="G12780" s="420">
        <v>119385164</v>
      </c>
      <c r="I12780" s="523" t="s">
        <v>677</v>
      </c>
      <c r="J12780" s="530" t="s">
        <v>906</v>
      </c>
      <c r="N12780" s="420">
        <v>2228</v>
      </c>
      <c r="R12780" s="420">
        <v>898.18100000000004</v>
      </c>
      <c r="S12780" s="420">
        <v>898.57176840215402</v>
      </c>
      <c r="T12780" s="420">
        <v>15.879899999999999</v>
      </c>
      <c r="U12780" s="278">
        <v>39.32</v>
      </c>
      <c r="V12780" s="278">
        <v>1.5</v>
      </c>
      <c r="Z12780" s="420" t="s">
        <v>2953</v>
      </c>
    </row>
    <row r="12781" spans="1:26">
      <c r="A12781" s="499">
        <v>45931</v>
      </c>
      <c r="B12781" s="499">
        <v>45931</v>
      </c>
      <c r="C12781" s="420" t="s">
        <v>173</v>
      </c>
      <c r="D12781" s="500" t="s">
        <v>760</v>
      </c>
      <c r="E12781" s="501">
        <v>-2001266.43</v>
      </c>
      <c r="F12781" s="95" t="s">
        <v>878</v>
      </c>
      <c r="G12781" s="420">
        <v>119385167</v>
      </c>
      <c r="I12781" s="523" t="s">
        <v>600</v>
      </c>
      <c r="J12781" s="530" t="s">
        <v>906</v>
      </c>
      <c r="N12781" s="420">
        <v>2118</v>
      </c>
      <c r="R12781" s="420">
        <v>944.88499999999999</v>
      </c>
      <c r="S12781" s="420">
        <v>945.29608593012301</v>
      </c>
      <c r="T12781" s="420">
        <v>15.879899999999999</v>
      </c>
      <c r="U12781" s="278">
        <v>39.32</v>
      </c>
      <c r="V12781" s="278">
        <v>1.5</v>
      </c>
      <c r="Z12781" s="420" t="s">
        <v>2953</v>
      </c>
    </row>
    <row r="12782" spans="1:26">
      <c r="A12782" s="499">
        <v>45931</v>
      </c>
      <c r="B12782" s="499">
        <v>45931</v>
      </c>
      <c r="C12782" s="420" t="s">
        <v>173</v>
      </c>
      <c r="D12782" s="500" t="s">
        <v>760</v>
      </c>
      <c r="E12782" s="501">
        <v>-4003673.06</v>
      </c>
      <c r="F12782" s="95" t="s">
        <v>878</v>
      </c>
      <c r="G12782" s="420">
        <v>119385170</v>
      </c>
      <c r="I12782" s="523" t="s">
        <v>604</v>
      </c>
      <c r="J12782" s="530" t="s">
        <v>906</v>
      </c>
      <c r="N12782" s="420">
        <v>3860</v>
      </c>
      <c r="R12782" s="420">
        <v>1037.221</v>
      </c>
      <c r="S12782" s="420">
        <v>1037.6722590673601</v>
      </c>
      <c r="T12782" s="420">
        <v>15.879899999999999</v>
      </c>
      <c r="U12782" s="278">
        <v>39.32</v>
      </c>
      <c r="V12782" s="278">
        <v>3</v>
      </c>
      <c r="Z12782" s="420" t="s">
        <v>2953</v>
      </c>
    </row>
    <row r="12783" spans="1:26">
      <c r="A12783" s="499">
        <v>45931</v>
      </c>
      <c r="B12783" s="499">
        <v>45931</v>
      </c>
      <c r="C12783" s="420" t="s">
        <v>173</v>
      </c>
      <c r="D12783" s="500" t="s">
        <v>760</v>
      </c>
      <c r="E12783" s="501">
        <v>-6003799.29</v>
      </c>
      <c r="F12783" s="95" t="s">
        <v>878</v>
      </c>
      <c r="G12783" s="420">
        <v>119385173</v>
      </c>
      <c r="I12783" s="523" t="s">
        <v>600</v>
      </c>
      <c r="J12783" s="530" t="s">
        <v>906</v>
      </c>
      <c r="N12783" s="420">
        <v>6354</v>
      </c>
      <c r="R12783" s="420">
        <v>944.88499999999999</v>
      </c>
      <c r="S12783" s="420">
        <v>945.29608750393402</v>
      </c>
      <c r="T12783" s="420">
        <v>15.879899999999999</v>
      </c>
      <c r="U12783" s="278">
        <v>39.32</v>
      </c>
      <c r="V12783" s="278">
        <v>4.5</v>
      </c>
      <c r="Z12783" s="420" t="s">
        <v>2953</v>
      </c>
    </row>
    <row r="12784" spans="1:26">
      <c r="A12784" s="499">
        <v>45931</v>
      </c>
      <c r="B12784" s="499">
        <v>45931</v>
      </c>
      <c r="C12784" s="420" t="s">
        <v>173</v>
      </c>
      <c r="D12784" s="500" t="s">
        <v>760</v>
      </c>
      <c r="E12784" s="501">
        <v>-6002082.04</v>
      </c>
      <c r="F12784" s="95" t="s">
        <v>878</v>
      </c>
      <c r="G12784" s="420">
        <v>119385176</v>
      </c>
      <c r="I12784" s="523" t="s">
        <v>696</v>
      </c>
      <c r="J12784" s="530" t="s">
        <v>906</v>
      </c>
      <c r="N12784" s="420">
        <v>7962</v>
      </c>
      <c r="R12784" s="420">
        <v>753.84100000000001</v>
      </c>
      <c r="S12784" s="420">
        <v>754.16897010801301</v>
      </c>
      <c r="T12784" s="420">
        <v>15.879899999999999</v>
      </c>
      <c r="U12784" s="278">
        <v>39.32</v>
      </c>
      <c r="V12784" s="278">
        <v>4.5</v>
      </c>
      <c r="Z12784" s="420" t="s">
        <v>2953</v>
      </c>
    </row>
    <row r="12785" spans="1:26">
      <c r="A12785" s="499">
        <v>45931</v>
      </c>
      <c r="B12785" s="499">
        <v>45931</v>
      </c>
      <c r="C12785" s="420" t="s">
        <v>173</v>
      </c>
      <c r="D12785" s="500" t="s">
        <v>760</v>
      </c>
      <c r="E12785" s="501">
        <v>-6002890.29</v>
      </c>
      <c r="F12785" s="95" t="s">
        <v>878</v>
      </c>
      <c r="G12785" s="420">
        <v>119385179</v>
      </c>
      <c r="I12785" s="523" t="s">
        <v>676</v>
      </c>
      <c r="J12785" s="530" t="s">
        <v>906</v>
      </c>
      <c r="N12785" s="420">
        <v>7074</v>
      </c>
      <c r="R12785" s="420">
        <v>848.58500000000004</v>
      </c>
      <c r="S12785" s="420">
        <v>848.95418999151798</v>
      </c>
      <c r="T12785" s="420">
        <v>15.879899999999999</v>
      </c>
      <c r="U12785" s="278">
        <v>39.32</v>
      </c>
      <c r="V12785" s="278">
        <v>4.5</v>
      </c>
      <c r="Z12785" s="420" t="s">
        <v>2953</v>
      </c>
    </row>
    <row r="12786" spans="1:26">
      <c r="A12786" s="499">
        <v>45931</v>
      </c>
      <c r="B12786" s="499">
        <v>45931</v>
      </c>
      <c r="C12786" s="420" t="s">
        <v>173</v>
      </c>
      <c r="D12786" s="500" t="s">
        <v>760</v>
      </c>
      <c r="E12786" s="501">
        <v>-7000988.4000000004</v>
      </c>
      <c r="F12786" s="95" t="s">
        <v>878</v>
      </c>
      <c r="G12786" s="420">
        <v>119385182</v>
      </c>
      <c r="I12786" s="523" t="s">
        <v>674</v>
      </c>
      <c r="J12786" s="530" t="s">
        <v>906</v>
      </c>
      <c r="N12786" s="420">
        <v>7728</v>
      </c>
      <c r="R12786" s="420">
        <v>905.92499999999995</v>
      </c>
      <c r="S12786" s="420">
        <v>906.31913690476199</v>
      </c>
      <c r="T12786" s="420">
        <v>15.879899999999999</v>
      </c>
      <c r="U12786" s="278">
        <v>39.32</v>
      </c>
      <c r="V12786" s="278">
        <v>5.25</v>
      </c>
      <c r="Z12786" s="420" t="s">
        <v>2953</v>
      </c>
    </row>
    <row r="12787" spans="1:26">
      <c r="A12787" s="499">
        <v>45931</v>
      </c>
      <c r="B12787" s="499">
        <v>45931</v>
      </c>
      <c r="C12787" s="420" t="s">
        <v>173</v>
      </c>
      <c r="D12787" s="500" t="s">
        <v>760</v>
      </c>
      <c r="E12787" s="501">
        <v>-10009182.65</v>
      </c>
      <c r="F12787" s="95" t="s">
        <v>878</v>
      </c>
      <c r="G12787" s="420">
        <v>119385185</v>
      </c>
      <c r="I12787" s="523" t="s">
        <v>604</v>
      </c>
      <c r="J12787" s="530" t="s">
        <v>906</v>
      </c>
      <c r="N12787" s="420">
        <v>9650</v>
      </c>
      <c r="R12787" s="420">
        <v>1037.221</v>
      </c>
      <c r="S12787" s="420">
        <v>1037.6722590673601</v>
      </c>
      <c r="T12787" s="420">
        <v>15.879899999999999</v>
      </c>
      <c r="U12787" s="278">
        <v>39.32</v>
      </c>
      <c r="V12787" s="278">
        <v>7.51</v>
      </c>
      <c r="Z12787" s="420" t="s">
        <v>2953</v>
      </c>
    </row>
    <row r="12788" spans="1:26">
      <c r="A12788" s="499">
        <v>45931</v>
      </c>
      <c r="B12788" s="499">
        <v>45931</v>
      </c>
      <c r="C12788" s="420" t="s">
        <v>173</v>
      </c>
      <c r="D12788" s="500" t="s">
        <v>760</v>
      </c>
      <c r="E12788" s="501">
        <v>-11001946.109999999</v>
      </c>
      <c r="F12788" s="95" t="s">
        <v>878</v>
      </c>
      <c r="G12788" s="420">
        <v>119385188</v>
      </c>
      <c r="I12788" s="523" t="s">
        <v>816</v>
      </c>
      <c r="J12788" s="530" t="s">
        <v>906</v>
      </c>
      <c r="N12788" s="420">
        <v>10373</v>
      </c>
      <c r="R12788" s="420">
        <v>1060.633</v>
      </c>
      <c r="S12788" s="420">
        <v>1061.0944451942501</v>
      </c>
      <c r="T12788" s="420">
        <v>15.879899999999999</v>
      </c>
      <c r="U12788" s="278">
        <v>39.32</v>
      </c>
      <c r="V12788" s="278">
        <v>8.25</v>
      </c>
      <c r="Z12788" s="420" t="s">
        <v>2953</v>
      </c>
    </row>
    <row r="12789" spans="1:26">
      <c r="A12789" s="499">
        <v>45931</v>
      </c>
      <c r="B12789" s="499">
        <v>45931</v>
      </c>
      <c r="C12789" s="420" t="s">
        <v>173</v>
      </c>
      <c r="D12789" s="500" t="s">
        <v>760</v>
      </c>
      <c r="E12789" s="501">
        <v>-12006384.01</v>
      </c>
      <c r="F12789" s="95" t="s">
        <v>878</v>
      </c>
      <c r="G12789" s="420">
        <v>119385191</v>
      </c>
      <c r="I12789" s="523" t="s">
        <v>695</v>
      </c>
      <c r="J12789" s="530" t="s">
        <v>906</v>
      </c>
      <c r="N12789" s="420">
        <v>16716</v>
      </c>
      <c r="R12789" s="420">
        <v>718.25699999999995</v>
      </c>
      <c r="S12789" s="420">
        <v>718.56948911222798</v>
      </c>
      <c r="T12789" s="420">
        <v>15.879899999999999</v>
      </c>
      <c r="U12789" s="278">
        <v>39.32</v>
      </c>
      <c r="V12789" s="278">
        <v>9</v>
      </c>
      <c r="Z12789" s="420" t="s">
        <v>2953</v>
      </c>
    </row>
    <row r="12790" spans="1:26">
      <c r="A12790" s="499">
        <v>45931</v>
      </c>
      <c r="B12790" s="499">
        <v>45931</v>
      </c>
      <c r="C12790" s="420" t="s">
        <v>173</v>
      </c>
      <c r="D12790" s="500" t="s">
        <v>760</v>
      </c>
      <c r="E12790" s="501">
        <v>-15002653.789999999</v>
      </c>
      <c r="F12790" s="95" t="s">
        <v>878</v>
      </c>
      <c r="G12790" s="420">
        <v>119385194</v>
      </c>
      <c r="I12790" s="523" t="s">
        <v>816</v>
      </c>
      <c r="J12790" s="530" t="s">
        <v>906</v>
      </c>
      <c r="N12790" s="420">
        <v>14145</v>
      </c>
      <c r="R12790" s="420">
        <v>1060.633</v>
      </c>
      <c r="S12790" s="420">
        <v>1061.09444538706</v>
      </c>
      <c r="T12790" s="420">
        <v>15.879899999999999</v>
      </c>
      <c r="U12790" s="278">
        <v>39.32</v>
      </c>
      <c r="V12790" s="278">
        <v>11.25</v>
      </c>
      <c r="Z12790" s="420" t="s">
        <v>2953</v>
      </c>
    </row>
    <row r="12791" spans="1:26">
      <c r="A12791" s="499">
        <v>45931</v>
      </c>
      <c r="B12791" s="499">
        <v>45931</v>
      </c>
      <c r="C12791" s="420" t="s">
        <v>173</v>
      </c>
      <c r="D12791" s="500" t="s">
        <v>760</v>
      </c>
      <c r="E12791" s="501">
        <v>-16002603.26</v>
      </c>
      <c r="F12791" s="95" t="s">
        <v>878</v>
      </c>
      <c r="G12791" s="420">
        <v>119385197</v>
      </c>
      <c r="I12791" s="523" t="s">
        <v>819</v>
      </c>
      <c r="J12791" s="530" t="s">
        <v>906</v>
      </c>
      <c r="N12791" s="420">
        <v>15024</v>
      </c>
      <c r="R12791" s="420">
        <v>1065.136</v>
      </c>
      <c r="S12791" s="420">
        <v>1065.5994036208699</v>
      </c>
      <c r="T12791" s="420">
        <v>15.879899999999999</v>
      </c>
      <c r="U12791" s="278">
        <v>39.32</v>
      </c>
      <c r="V12791" s="278">
        <v>12</v>
      </c>
      <c r="Z12791" s="420" t="s">
        <v>2953</v>
      </c>
    </row>
    <row r="12792" spans="1:26">
      <c r="A12792" s="499">
        <v>45931</v>
      </c>
      <c r="B12792" s="499">
        <v>45931</v>
      </c>
      <c r="C12792" s="420" t="s">
        <v>173</v>
      </c>
      <c r="D12792" s="500" t="s">
        <v>760</v>
      </c>
      <c r="E12792" s="501">
        <v>-16007707.439999999</v>
      </c>
      <c r="F12792" s="95" t="s">
        <v>878</v>
      </c>
      <c r="G12792" s="420">
        <v>119385200</v>
      </c>
      <c r="I12792" s="523" t="s">
        <v>676</v>
      </c>
      <c r="J12792" s="530" t="s">
        <v>906</v>
      </c>
      <c r="N12792" s="420">
        <v>18864</v>
      </c>
      <c r="R12792" s="420">
        <v>848.58500000000004</v>
      </c>
      <c r="S12792" s="420">
        <v>848.95419052162799</v>
      </c>
      <c r="T12792" s="420">
        <v>15.879899999999999</v>
      </c>
      <c r="U12792" s="278">
        <v>39.32</v>
      </c>
      <c r="V12792" s="278">
        <v>12.01</v>
      </c>
      <c r="Z12792" s="420" t="s">
        <v>2953</v>
      </c>
    </row>
    <row r="12793" spans="1:26">
      <c r="A12793" s="499">
        <v>45931</v>
      </c>
      <c r="B12793" s="499">
        <v>45931</v>
      </c>
      <c r="C12793" s="420" t="s">
        <v>173</v>
      </c>
      <c r="D12793" s="500" t="s">
        <v>760</v>
      </c>
      <c r="E12793" s="501">
        <v>-17002542.84</v>
      </c>
      <c r="F12793" s="95" t="s">
        <v>878</v>
      </c>
      <c r="G12793" s="420">
        <v>119385203</v>
      </c>
      <c r="I12793" s="523" t="s">
        <v>689</v>
      </c>
      <c r="J12793" s="530" t="s">
        <v>906</v>
      </c>
      <c r="N12793" s="420">
        <v>21879</v>
      </c>
      <c r="R12793" s="420">
        <v>777.11699999999996</v>
      </c>
      <c r="S12793" s="420">
        <v>777.45509666803798</v>
      </c>
      <c r="T12793" s="420">
        <v>15.879899999999999</v>
      </c>
      <c r="U12793" s="278">
        <v>39.32</v>
      </c>
      <c r="V12793" s="278">
        <v>12.75</v>
      </c>
      <c r="Z12793" s="420" t="s">
        <v>2953</v>
      </c>
    </row>
    <row r="12794" spans="1:26">
      <c r="A12794" s="499">
        <v>45931</v>
      </c>
      <c r="B12794" s="499">
        <v>45931</v>
      </c>
      <c r="C12794" s="420" t="s">
        <v>173</v>
      </c>
      <c r="D12794" s="500" t="s">
        <v>760</v>
      </c>
      <c r="E12794" s="501">
        <v>-17002400.399999999</v>
      </c>
      <c r="F12794" s="95" t="s">
        <v>878</v>
      </c>
      <c r="G12794" s="420">
        <v>119385206</v>
      </c>
      <c r="I12794" s="523" t="s">
        <v>674</v>
      </c>
      <c r="J12794" s="530" t="s">
        <v>906</v>
      </c>
      <c r="N12794" s="420">
        <v>18768</v>
      </c>
      <c r="R12794" s="420">
        <v>905.92499999999995</v>
      </c>
      <c r="S12794" s="420">
        <v>906.31913682864399</v>
      </c>
      <c r="T12794" s="420">
        <v>15.879899999999999</v>
      </c>
      <c r="U12794" s="278">
        <v>39.32</v>
      </c>
      <c r="V12794" s="278">
        <v>12.75</v>
      </c>
      <c r="Z12794" s="420" t="s">
        <v>2953</v>
      </c>
    </row>
    <row r="12795" spans="1:26">
      <c r="A12795" s="499">
        <v>45931</v>
      </c>
      <c r="B12795" s="499">
        <v>45931</v>
      </c>
      <c r="C12795" s="420" t="s">
        <v>173</v>
      </c>
      <c r="D12795" s="500" t="s">
        <v>760</v>
      </c>
      <c r="E12795" s="501">
        <v>-18005782.390000001</v>
      </c>
      <c r="F12795" s="95" t="s">
        <v>878</v>
      </c>
      <c r="G12795" s="420">
        <v>119385209</v>
      </c>
      <c r="I12795" s="523" t="s">
        <v>602</v>
      </c>
      <c r="J12795" s="530" t="s">
        <v>906</v>
      </c>
      <c r="N12795" s="420">
        <v>21528</v>
      </c>
      <c r="R12795" s="420">
        <v>836.38900000000001</v>
      </c>
      <c r="S12795" s="420">
        <v>836.752884150873</v>
      </c>
      <c r="T12795" s="420">
        <v>15.879899999999999</v>
      </c>
      <c r="U12795" s="278">
        <v>39.32</v>
      </c>
      <c r="V12795" s="278">
        <v>13.5</v>
      </c>
      <c r="Z12795" s="420" t="s">
        <v>2953</v>
      </c>
    </row>
    <row r="12796" spans="1:26">
      <c r="A12796" s="499">
        <v>45931</v>
      </c>
      <c r="B12796" s="499">
        <v>45931</v>
      </c>
      <c r="C12796" s="420" t="s">
        <v>173</v>
      </c>
      <c r="D12796" s="500" t="s">
        <v>760</v>
      </c>
      <c r="E12796" s="501">
        <v>-19005916.870000001</v>
      </c>
      <c r="F12796" s="95" t="s">
        <v>878</v>
      </c>
      <c r="G12796" s="420">
        <v>119385212</v>
      </c>
      <c r="I12796" s="523" t="s">
        <v>588</v>
      </c>
      <c r="J12796" s="530" t="s">
        <v>906</v>
      </c>
      <c r="N12796" s="420">
        <v>20767</v>
      </c>
      <c r="R12796" s="420">
        <v>915.19799999999998</v>
      </c>
      <c r="S12796" s="420">
        <v>915.59617132951303</v>
      </c>
      <c r="T12796" s="420">
        <v>15.879899999999999</v>
      </c>
      <c r="U12796" s="278">
        <v>39.32</v>
      </c>
      <c r="V12796" s="278">
        <v>14.25</v>
      </c>
      <c r="Z12796" s="420" t="s">
        <v>2953</v>
      </c>
    </row>
    <row r="12797" spans="1:26">
      <c r="A12797" s="499">
        <v>45931</v>
      </c>
      <c r="B12797" s="499">
        <v>45931</v>
      </c>
      <c r="C12797" s="420" t="s">
        <v>173</v>
      </c>
      <c r="D12797" s="500" t="s">
        <v>760</v>
      </c>
      <c r="E12797" s="501">
        <v>-20009462.420000002</v>
      </c>
      <c r="F12797" s="95" t="s">
        <v>878</v>
      </c>
      <c r="G12797" s="420">
        <v>119385215</v>
      </c>
      <c r="I12797" s="523" t="s">
        <v>657</v>
      </c>
      <c r="J12797" s="530" t="s">
        <v>906</v>
      </c>
      <c r="N12797" s="420">
        <v>20620</v>
      </c>
      <c r="R12797" s="420">
        <v>970.39099999999996</v>
      </c>
      <c r="S12797" s="420">
        <v>970.81318380213395</v>
      </c>
      <c r="T12797" s="420">
        <v>15.879899999999999</v>
      </c>
      <c r="U12797" s="278">
        <v>39.32</v>
      </c>
      <c r="V12797" s="278">
        <v>15.01</v>
      </c>
      <c r="Z12797" s="420" t="s">
        <v>2953</v>
      </c>
    </row>
    <row r="12798" spans="1:26">
      <c r="A12798" s="499">
        <v>45931</v>
      </c>
      <c r="B12798" s="499">
        <v>45931</v>
      </c>
      <c r="C12798" s="420" t="s">
        <v>173</v>
      </c>
      <c r="D12798" s="500" t="s">
        <v>760</v>
      </c>
      <c r="E12798" s="501">
        <v>-21008201.07</v>
      </c>
      <c r="F12798" s="95" t="s">
        <v>878</v>
      </c>
      <c r="G12798" s="420">
        <v>119385218</v>
      </c>
      <c r="I12798" s="523" t="s">
        <v>717</v>
      </c>
      <c r="J12798" s="530" t="s">
        <v>906</v>
      </c>
      <c r="N12798" s="420">
        <v>35511</v>
      </c>
      <c r="R12798" s="420">
        <v>591.59699999999998</v>
      </c>
      <c r="S12798" s="420">
        <v>591.85438371208897</v>
      </c>
      <c r="T12798" s="420">
        <v>15.879899999999999</v>
      </c>
      <c r="U12798" s="278">
        <v>39.32</v>
      </c>
      <c r="V12798" s="278">
        <v>15.76</v>
      </c>
      <c r="Z12798" s="420" t="s">
        <v>2953</v>
      </c>
    </row>
    <row r="12799" spans="1:26">
      <c r="A12799" s="499">
        <v>45931</v>
      </c>
      <c r="B12799" s="499">
        <v>45931</v>
      </c>
      <c r="C12799" s="420" t="s">
        <v>173</v>
      </c>
      <c r="D12799" s="500" t="s">
        <v>760</v>
      </c>
      <c r="E12799" s="501">
        <v>-22002694.91</v>
      </c>
      <c r="F12799" s="95" t="s">
        <v>878</v>
      </c>
      <c r="G12799" s="420">
        <v>119385221</v>
      </c>
      <c r="I12799" s="523" t="s">
        <v>715</v>
      </c>
      <c r="J12799" s="530" t="s">
        <v>906</v>
      </c>
      <c r="N12799" s="420">
        <v>36124</v>
      </c>
      <c r="R12799" s="420">
        <v>609.08799999999997</v>
      </c>
      <c r="S12799" s="420">
        <v>609.35299330085297</v>
      </c>
      <c r="T12799" s="420">
        <v>15.879899999999999</v>
      </c>
      <c r="U12799" s="278">
        <v>39.32</v>
      </c>
      <c r="V12799" s="278">
        <v>16.5</v>
      </c>
      <c r="Z12799" s="420" t="s">
        <v>2953</v>
      </c>
    </row>
    <row r="12800" spans="1:26">
      <c r="A12800" s="499">
        <v>45931</v>
      </c>
      <c r="B12800" s="499">
        <v>45931</v>
      </c>
      <c r="C12800" s="420" t="s">
        <v>173</v>
      </c>
      <c r="D12800" s="500" t="s">
        <v>760</v>
      </c>
      <c r="E12800" s="501">
        <v>-23012236.02</v>
      </c>
      <c r="F12800" s="95" t="s">
        <v>878</v>
      </c>
      <c r="G12800" s="420">
        <v>119385224</v>
      </c>
      <c r="I12800" s="523" t="s">
        <v>695</v>
      </c>
      <c r="J12800" s="530" t="s">
        <v>906</v>
      </c>
      <c r="N12800" s="420">
        <v>32039</v>
      </c>
      <c r="R12800" s="420">
        <v>718.25699999999995</v>
      </c>
      <c r="S12800" s="420">
        <v>718.56948906020796</v>
      </c>
      <c r="T12800" s="420">
        <v>15.879899999999999</v>
      </c>
      <c r="U12800" s="278">
        <v>39.32</v>
      </c>
      <c r="V12800" s="278">
        <v>17.260000000000002</v>
      </c>
      <c r="Z12800" s="420" t="s">
        <v>2953</v>
      </c>
    </row>
    <row r="12801" spans="1:26">
      <c r="A12801" s="499">
        <v>45931</v>
      </c>
      <c r="B12801" s="499">
        <v>45931</v>
      </c>
      <c r="C12801" s="420" t="s">
        <v>173</v>
      </c>
      <c r="D12801" s="500" t="s">
        <v>760</v>
      </c>
      <c r="E12801" s="501">
        <v>-24020663.039999999</v>
      </c>
      <c r="F12801" s="95" t="s">
        <v>878</v>
      </c>
      <c r="G12801" s="420">
        <v>119385227</v>
      </c>
      <c r="I12801" s="523" t="s">
        <v>590</v>
      </c>
      <c r="J12801" s="530" t="s">
        <v>906</v>
      </c>
      <c r="N12801" s="420">
        <v>25152</v>
      </c>
      <c r="R12801" s="420">
        <v>955.02</v>
      </c>
      <c r="S12801" s="420">
        <v>955.43549658078905</v>
      </c>
      <c r="T12801" s="420">
        <v>15.879899999999999</v>
      </c>
      <c r="U12801" s="278">
        <v>39.32</v>
      </c>
      <c r="V12801" s="278">
        <v>18.02</v>
      </c>
      <c r="Z12801" s="420" t="s">
        <v>2953</v>
      </c>
    </row>
    <row r="12802" spans="1:26">
      <c r="A12802" s="499">
        <v>45931</v>
      </c>
      <c r="B12802" s="499">
        <v>45931</v>
      </c>
      <c r="C12802" s="420" t="s">
        <v>173</v>
      </c>
      <c r="D12802" s="500" t="s">
        <v>760</v>
      </c>
      <c r="E12802" s="501">
        <v>-25015212.5</v>
      </c>
      <c r="F12802" s="95" t="s">
        <v>878</v>
      </c>
      <c r="G12802" s="420">
        <v>119385232</v>
      </c>
      <c r="I12802" s="523" t="s">
        <v>821</v>
      </c>
      <c r="J12802" s="530" t="s">
        <v>906</v>
      </c>
      <c r="N12802" s="420">
        <v>24125</v>
      </c>
      <c r="R12802" s="420">
        <v>1036.9000000000001</v>
      </c>
      <c r="S12802" s="420">
        <v>1037.3511195854901</v>
      </c>
      <c r="T12802" s="420">
        <v>15.879899999999999</v>
      </c>
      <c r="U12802" s="278">
        <v>39.32</v>
      </c>
      <c r="V12802" s="278">
        <v>18.760000000000002</v>
      </c>
      <c r="Z12802" s="420" t="s">
        <v>2953</v>
      </c>
    </row>
    <row r="12803" spans="1:26">
      <c r="A12803" s="499">
        <v>45931</v>
      </c>
      <c r="B12803" s="499">
        <v>45931</v>
      </c>
      <c r="C12803" s="420" t="s">
        <v>173</v>
      </c>
      <c r="D12803" s="500" t="s">
        <v>760</v>
      </c>
      <c r="E12803" s="501">
        <v>-25008675.18</v>
      </c>
      <c r="F12803" s="95" t="s">
        <v>878</v>
      </c>
      <c r="G12803" s="420">
        <v>119385235</v>
      </c>
      <c r="I12803" s="523" t="s">
        <v>696</v>
      </c>
      <c r="J12803" s="530" t="s">
        <v>906</v>
      </c>
      <c r="N12803" s="420">
        <v>33175</v>
      </c>
      <c r="R12803" s="420">
        <v>753.84100000000001</v>
      </c>
      <c r="S12803" s="420">
        <v>754.16897061039901</v>
      </c>
      <c r="T12803" s="420">
        <v>15.879899999999999</v>
      </c>
      <c r="U12803" s="278">
        <v>39.32</v>
      </c>
      <c r="V12803" s="278">
        <v>18.760000000000002</v>
      </c>
      <c r="Z12803" s="420" t="s">
        <v>2953</v>
      </c>
    </row>
    <row r="12804" spans="1:26">
      <c r="A12804" s="499">
        <v>45931</v>
      </c>
      <c r="B12804" s="499">
        <v>45931</v>
      </c>
      <c r="C12804" s="420" t="s">
        <v>173</v>
      </c>
      <c r="D12804" s="500" t="s">
        <v>760</v>
      </c>
      <c r="E12804" s="501">
        <v>-26005208.09</v>
      </c>
      <c r="F12804" s="95" t="s">
        <v>878</v>
      </c>
      <c r="G12804" s="420">
        <v>119385238</v>
      </c>
      <c r="I12804" s="523" t="s">
        <v>709</v>
      </c>
      <c r="J12804" s="530" t="s">
        <v>906</v>
      </c>
      <c r="N12804" s="420">
        <v>36322</v>
      </c>
      <c r="R12804" s="420">
        <v>715.96299999999997</v>
      </c>
      <c r="S12804" s="420">
        <v>716.27449121744405</v>
      </c>
      <c r="T12804" s="420">
        <v>15.879899999999999</v>
      </c>
      <c r="U12804" s="278">
        <v>39.32</v>
      </c>
      <c r="V12804" s="278">
        <v>19.5</v>
      </c>
      <c r="Z12804" s="420" t="s">
        <v>2953</v>
      </c>
    </row>
    <row r="12805" spans="1:26">
      <c r="A12805" s="499">
        <v>45931</v>
      </c>
      <c r="B12805" s="499">
        <v>45931</v>
      </c>
      <c r="C12805" s="420" t="s">
        <v>173</v>
      </c>
      <c r="D12805" s="500" t="s">
        <v>760</v>
      </c>
      <c r="E12805" s="501">
        <v>-26005030.140000001</v>
      </c>
      <c r="F12805" s="95" t="s">
        <v>878</v>
      </c>
      <c r="G12805" s="420">
        <v>119385241</v>
      </c>
      <c r="I12805" s="523" t="s">
        <v>592</v>
      </c>
      <c r="J12805" s="530" t="s">
        <v>906</v>
      </c>
      <c r="N12805" s="420">
        <v>32578</v>
      </c>
      <c r="R12805" s="420">
        <v>798.23900000000003</v>
      </c>
      <c r="S12805" s="420">
        <v>798.58628645097895</v>
      </c>
      <c r="T12805" s="420">
        <v>15.879899999999999</v>
      </c>
      <c r="U12805" s="278">
        <v>39.32</v>
      </c>
      <c r="V12805" s="278">
        <v>19.5</v>
      </c>
      <c r="Z12805" s="420" t="s">
        <v>2953</v>
      </c>
    </row>
    <row r="12806" spans="1:26">
      <c r="A12806" s="499">
        <v>45931</v>
      </c>
      <c r="B12806" s="499">
        <v>45931</v>
      </c>
      <c r="C12806" s="420" t="s">
        <v>173</v>
      </c>
      <c r="D12806" s="500" t="s">
        <v>760</v>
      </c>
      <c r="E12806" s="501">
        <v>-25005125.25</v>
      </c>
      <c r="F12806" s="95" t="s">
        <v>878</v>
      </c>
      <c r="G12806" s="420">
        <v>119385244</v>
      </c>
      <c r="I12806" s="523" t="s">
        <v>598</v>
      </c>
      <c r="J12806" s="530" t="s">
        <v>906</v>
      </c>
      <c r="N12806" s="420">
        <v>23625</v>
      </c>
      <c r="R12806" s="420">
        <v>1058.4179999999999</v>
      </c>
      <c r="S12806" s="420">
        <v>1058.87848126984</v>
      </c>
      <c r="T12806" s="420">
        <v>15.879899999999999</v>
      </c>
      <c r="U12806" s="278">
        <v>39.32</v>
      </c>
      <c r="V12806" s="278">
        <v>18.75</v>
      </c>
      <c r="Z12806" s="420" t="s">
        <v>2953</v>
      </c>
    </row>
    <row r="12807" spans="1:26">
      <c r="A12807" s="499">
        <v>45931</v>
      </c>
      <c r="B12807" s="499">
        <v>45932</v>
      </c>
      <c r="C12807" s="420" t="s">
        <v>173</v>
      </c>
      <c r="D12807" s="500" t="s">
        <v>760</v>
      </c>
      <c r="E12807" s="501">
        <v>1300653992.8299999</v>
      </c>
      <c r="F12807" s="95" t="s">
        <v>878</v>
      </c>
      <c r="G12807" s="420">
        <v>119384898</v>
      </c>
      <c r="H12807" s="420">
        <v>119384898</v>
      </c>
      <c r="I12807" s="523" t="s">
        <v>3046</v>
      </c>
      <c r="J12807" s="530" t="s">
        <v>912</v>
      </c>
      <c r="N12807" s="420">
        <v>13076700</v>
      </c>
      <c r="R12807" s="420">
        <v>99.420299999999997</v>
      </c>
      <c r="S12807" s="420">
        <v>99.463472652121695</v>
      </c>
      <c r="T12807" s="420">
        <v>15.8499</v>
      </c>
      <c r="U12807" s="278">
        <v>1950.13</v>
      </c>
      <c r="V12807" s="278">
        <v>975.07</v>
      </c>
      <c r="Z12807" s="420" t="s">
        <v>2953</v>
      </c>
    </row>
    <row r="12808" spans="1:26">
      <c r="A12808" s="499">
        <v>45931</v>
      </c>
      <c r="B12808" s="499">
        <v>45932</v>
      </c>
      <c r="C12808" s="420" t="s">
        <v>173</v>
      </c>
      <c r="D12808" s="500" t="s">
        <v>760</v>
      </c>
      <c r="E12808" s="501">
        <v>1000515.6</v>
      </c>
      <c r="F12808" s="95" t="s">
        <v>878</v>
      </c>
      <c r="G12808" s="420">
        <v>119385152</v>
      </c>
      <c r="H12808" s="420">
        <v>119385152</v>
      </c>
      <c r="I12808" s="523" t="s">
        <v>713</v>
      </c>
      <c r="J12808" s="530" t="s">
        <v>912</v>
      </c>
      <c r="N12808" s="420">
        <v>1266</v>
      </c>
      <c r="R12808" s="420">
        <v>789.95299999999997</v>
      </c>
      <c r="S12808" s="420">
        <v>790.29668246445499</v>
      </c>
      <c r="T12808" s="420">
        <v>15.879899999999999</v>
      </c>
      <c r="U12808" s="278">
        <v>39.32</v>
      </c>
      <c r="V12808" s="278">
        <v>0.75</v>
      </c>
      <c r="Z12808" s="420" t="s">
        <v>2953</v>
      </c>
    </row>
    <row r="12809" spans="1:26">
      <c r="A12809" s="499">
        <v>45931</v>
      </c>
      <c r="B12809" s="499">
        <v>45932</v>
      </c>
      <c r="C12809" s="420" t="s">
        <v>173</v>
      </c>
      <c r="D12809" s="500" t="s">
        <v>760</v>
      </c>
      <c r="E12809" s="501">
        <v>1000557.62</v>
      </c>
      <c r="F12809" s="95" t="s">
        <v>878</v>
      </c>
      <c r="G12809" s="420">
        <v>119385155</v>
      </c>
      <c r="H12809" s="420">
        <v>119385155</v>
      </c>
      <c r="I12809" s="523" t="s">
        <v>715</v>
      </c>
      <c r="J12809" s="530" t="s">
        <v>912</v>
      </c>
      <c r="N12809" s="420">
        <v>1642</v>
      </c>
      <c r="R12809" s="420">
        <v>609.08799999999997</v>
      </c>
      <c r="S12809" s="420">
        <v>609.35299634592002</v>
      </c>
      <c r="T12809" s="420">
        <v>15.879899999999999</v>
      </c>
      <c r="U12809" s="278">
        <v>39.32</v>
      </c>
      <c r="V12809" s="278">
        <v>0.75</v>
      </c>
      <c r="Z12809" s="420" t="s">
        <v>2953</v>
      </c>
    </row>
    <row r="12810" spans="1:26">
      <c r="A12810" s="499">
        <v>45931</v>
      </c>
      <c r="B12810" s="499">
        <v>45932</v>
      </c>
      <c r="C12810" s="420" t="s">
        <v>173</v>
      </c>
      <c r="D12810" s="500" t="s">
        <v>760</v>
      </c>
      <c r="E12810" s="501">
        <v>1000628.62</v>
      </c>
      <c r="F12810" s="95" t="s">
        <v>878</v>
      </c>
      <c r="G12810" s="420">
        <v>119385158</v>
      </c>
      <c r="H12810" s="420">
        <v>119385158</v>
      </c>
      <c r="I12810" s="523" t="s">
        <v>592</v>
      </c>
      <c r="J12810" s="530" t="s">
        <v>912</v>
      </c>
      <c r="N12810" s="420">
        <v>1253</v>
      </c>
      <c r="R12810" s="420">
        <v>798.23900000000003</v>
      </c>
      <c r="S12810" s="420">
        <v>798.58628890662396</v>
      </c>
      <c r="T12810" s="420">
        <v>15.879899999999999</v>
      </c>
      <c r="U12810" s="278">
        <v>39.32</v>
      </c>
      <c r="V12810" s="278">
        <v>0.75</v>
      </c>
      <c r="Z12810" s="420" t="s">
        <v>2953</v>
      </c>
    </row>
    <row r="12811" spans="1:26">
      <c r="A12811" s="499">
        <v>45931</v>
      </c>
      <c r="B12811" s="499">
        <v>45932</v>
      </c>
      <c r="C12811" s="420" t="s">
        <v>173</v>
      </c>
      <c r="D12811" s="500" t="s">
        <v>760</v>
      </c>
      <c r="E12811" s="501">
        <v>1000640.16</v>
      </c>
      <c r="F12811" s="95" t="s">
        <v>878</v>
      </c>
      <c r="G12811" s="420">
        <v>119385161</v>
      </c>
      <c r="H12811" s="420">
        <v>119385161</v>
      </c>
      <c r="I12811" s="523" t="s">
        <v>598</v>
      </c>
      <c r="J12811" s="530" t="s">
        <v>912</v>
      </c>
      <c r="N12811" s="420">
        <v>945</v>
      </c>
      <c r="R12811" s="420">
        <v>1058.4179999999999</v>
      </c>
      <c r="S12811" s="420">
        <v>1058.8784761904799</v>
      </c>
      <c r="T12811" s="420">
        <v>15.879899999999999</v>
      </c>
      <c r="U12811" s="278">
        <v>39.32</v>
      </c>
      <c r="V12811" s="278">
        <v>0.75</v>
      </c>
      <c r="Z12811" s="420" t="s">
        <v>2953</v>
      </c>
    </row>
    <row r="12812" spans="1:26">
      <c r="A12812" s="499">
        <v>45931</v>
      </c>
      <c r="B12812" s="499">
        <v>45932</v>
      </c>
      <c r="C12812" s="420" t="s">
        <v>173</v>
      </c>
      <c r="D12812" s="500" t="s">
        <v>760</v>
      </c>
      <c r="E12812" s="501">
        <v>2002017.9</v>
      </c>
      <c r="F12812" s="95" t="s">
        <v>878</v>
      </c>
      <c r="G12812" s="420">
        <v>119385164</v>
      </c>
      <c r="H12812" s="420">
        <v>119385164</v>
      </c>
      <c r="I12812" s="523" t="s">
        <v>677</v>
      </c>
      <c r="J12812" s="530" t="s">
        <v>912</v>
      </c>
      <c r="N12812" s="420">
        <v>2228</v>
      </c>
      <c r="R12812" s="420">
        <v>898.18100000000004</v>
      </c>
      <c r="S12812" s="420">
        <v>898.57176840215402</v>
      </c>
      <c r="T12812" s="420">
        <v>15.879899999999999</v>
      </c>
      <c r="U12812" s="278">
        <v>39.32</v>
      </c>
      <c r="V12812" s="278">
        <v>1.5</v>
      </c>
      <c r="Z12812" s="420" t="s">
        <v>2953</v>
      </c>
    </row>
    <row r="12813" spans="1:26">
      <c r="A12813" s="499">
        <v>45931</v>
      </c>
      <c r="B12813" s="499">
        <v>45932</v>
      </c>
      <c r="C12813" s="420" t="s">
        <v>173</v>
      </c>
      <c r="D12813" s="500" t="s">
        <v>760</v>
      </c>
      <c r="E12813" s="501">
        <v>2002137.11</v>
      </c>
      <c r="F12813" s="95" t="s">
        <v>878</v>
      </c>
      <c r="G12813" s="420">
        <v>119385167</v>
      </c>
      <c r="H12813" s="420">
        <v>119385167</v>
      </c>
      <c r="I12813" s="523" t="s">
        <v>600</v>
      </c>
      <c r="J12813" s="530" t="s">
        <v>912</v>
      </c>
      <c r="N12813" s="420">
        <v>2118</v>
      </c>
      <c r="R12813" s="420">
        <v>944.88499999999999</v>
      </c>
      <c r="S12813" s="420">
        <v>945.29608593012301</v>
      </c>
      <c r="T12813" s="420">
        <v>15.879899999999999</v>
      </c>
      <c r="U12813" s="278">
        <v>39.32</v>
      </c>
      <c r="V12813" s="278">
        <v>1.5</v>
      </c>
      <c r="Z12813" s="420" t="s">
        <v>2953</v>
      </c>
    </row>
    <row r="12814" spans="1:26">
      <c r="A12814" s="499">
        <v>45931</v>
      </c>
      <c r="B12814" s="499">
        <v>45932</v>
      </c>
      <c r="C12814" s="420" t="s">
        <v>173</v>
      </c>
      <c r="D12814" s="500" t="s">
        <v>760</v>
      </c>
      <c r="E12814" s="501">
        <v>4005414.92</v>
      </c>
      <c r="F12814" s="95" t="s">
        <v>878</v>
      </c>
      <c r="G12814" s="420">
        <v>119385170</v>
      </c>
      <c r="H12814" s="420">
        <v>119385170</v>
      </c>
      <c r="I12814" s="523" t="s">
        <v>604</v>
      </c>
      <c r="J12814" s="530" t="s">
        <v>912</v>
      </c>
      <c r="N12814" s="420">
        <v>3860</v>
      </c>
      <c r="R12814" s="420">
        <v>1037.221</v>
      </c>
      <c r="S12814" s="420">
        <v>1037.6722590673601</v>
      </c>
      <c r="T12814" s="420">
        <v>15.879899999999999</v>
      </c>
      <c r="U12814" s="278">
        <v>39.32</v>
      </c>
      <c r="V12814" s="278">
        <v>3</v>
      </c>
      <c r="Z12814" s="420" t="s">
        <v>2953</v>
      </c>
    </row>
    <row r="12815" spans="1:26">
      <c r="A12815" s="499">
        <v>45931</v>
      </c>
      <c r="B12815" s="499">
        <v>45932</v>
      </c>
      <c r="C12815" s="420" t="s">
        <v>173</v>
      </c>
      <c r="D12815" s="500" t="s">
        <v>760</v>
      </c>
      <c r="E12815" s="501">
        <v>6006411.3399999999</v>
      </c>
      <c r="F12815" s="95" t="s">
        <v>878</v>
      </c>
      <c r="G12815" s="420">
        <v>119385173</v>
      </c>
      <c r="H12815" s="420">
        <v>119385173</v>
      </c>
      <c r="I12815" s="523" t="s">
        <v>600</v>
      </c>
      <c r="J12815" s="530" t="s">
        <v>912</v>
      </c>
      <c r="N12815" s="420">
        <v>6354</v>
      </c>
      <c r="R12815" s="420">
        <v>944.88499999999999</v>
      </c>
      <c r="S12815" s="420">
        <v>945.29608750393402</v>
      </c>
      <c r="T12815" s="420">
        <v>15.879899999999999</v>
      </c>
      <c r="U12815" s="278">
        <v>39.32</v>
      </c>
      <c r="V12815" s="278">
        <v>4.5</v>
      </c>
      <c r="Z12815" s="420" t="s">
        <v>2953</v>
      </c>
    </row>
    <row r="12816" spans="1:26">
      <c r="A12816" s="499">
        <v>45931</v>
      </c>
      <c r="B12816" s="499">
        <v>45932</v>
      </c>
      <c r="C12816" s="420" t="s">
        <v>173</v>
      </c>
      <c r="D12816" s="500" t="s">
        <v>760</v>
      </c>
      <c r="E12816" s="501">
        <v>6004693.3399999999</v>
      </c>
      <c r="F12816" s="95" t="s">
        <v>878</v>
      </c>
      <c r="G12816" s="420">
        <v>119385176</v>
      </c>
      <c r="H12816" s="420">
        <v>119385176</v>
      </c>
      <c r="I12816" s="523" t="s">
        <v>696</v>
      </c>
      <c r="J12816" s="530" t="s">
        <v>912</v>
      </c>
      <c r="N12816" s="420">
        <v>7962</v>
      </c>
      <c r="R12816" s="420">
        <v>753.84100000000001</v>
      </c>
      <c r="S12816" s="420">
        <v>754.16897010801301</v>
      </c>
      <c r="T12816" s="420">
        <v>15.879899999999999</v>
      </c>
      <c r="U12816" s="278">
        <v>39.32</v>
      </c>
      <c r="V12816" s="278">
        <v>4.5</v>
      </c>
      <c r="Z12816" s="420" t="s">
        <v>2953</v>
      </c>
    </row>
    <row r="12817" spans="1:26">
      <c r="A12817" s="499">
        <v>45931</v>
      </c>
      <c r="B12817" s="499">
        <v>45932</v>
      </c>
      <c r="C12817" s="420" t="s">
        <v>173</v>
      </c>
      <c r="D12817" s="500" t="s">
        <v>760</v>
      </c>
      <c r="E12817" s="501">
        <v>6005501.9400000004</v>
      </c>
      <c r="F12817" s="95" t="s">
        <v>878</v>
      </c>
      <c r="G12817" s="420">
        <v>119385179</v>
      </c>
      <c r="H12817" s="420">
        <v>119385179</v>
      </c>
      <c r="I12817" s="523" t="s">
        <v>676</v>
      </c>
      <c r="J12817" s="530" t="s">
        <v>912</v>
      </c>
      <c r="N12817" s="420">
        <v>7074</v>
      </c>
      <c r="R12817" s="420">
        <v>848.58500000000004</v>
      </c>
      <c r="S12817" s="420">
        <v>848.95418999151798</v>
      </c>
      <c r="T12817" s="420">
        <v>15.879899999999999</v>
      </c>
      <c r="U12817" s="278">
        <v>39.32</v>
      </c>
      <c r="V12817" s="278">
        <v>4.5</v>
      </c>
      <c r="Z12817" s="420" t="s">
        <v>2953</v>
      </c>
    </row>
    <row r="12818" spans="1:26">
      <c r="A12818" s="499">
        <v>45931</v>
      </c>
      <c r="B12818" s="499">
        <v>45932</v>
      </c>
      <c r="C12818" s="420" t="s">
        <v>173</v>
      </c>
      <c r="D12818" s="500" t="s">
        <v>760</v>
      </c>
      <c r="E12818" s="501">
        <v>7004034.29</v>
      </c>
      <c r="F12818" s="95" t="s">
        <v>878</v>
      </c>
      <c r="G12818" s="420">
        <v>119385182</v>
      </c>
      <c r="H12818" s="420">
        <v>119385182</v>
      </c>
      <c r="I12818" s="523" t="s">
        <v>674</v>
      </c>
      <c r="J12818" s="530" t="s">
        <v>912</v>
      </c>
      <c r="N12818" s="420">
        <v>7728</v>
      </c>
      <c r="R12818" s="420">
        <v>905.92499999999995</v>
      </c>
      <c r="S12818" s="420">
        <v>906.31913690476199</v>
      </c>
      <c r="T12818" s="420">
        <v>15.879899999999999</v>
      </c>
      <c r="U12818" s="278">
        <v>39.32</v>
      </c>
      <c r="V12818" s="278">
        <v>5.25</v>
      </c>
      <c r="Z12818" s="420" t="s">
        <v>2953</v>
      </c>
    </row>
    <row r="12819" spans="1:26">
      <c r="A12819" s="499">
        <v>45931</v>
      </c>
      <c r="B12819" s="499">
        <v>45932</v>
      </c>
      <c r="C12819" s="420" t="s">
        <v>173</v>
      </c>
      <c r="D12819" s="500" t="s">
        <v>760</v>
      </c>
      <c r="E12819" s="501">
        <v>10013537.300000001</v>
      </c>
      <c r="F12819" s="95" t="s">
        <v>878</v>
      </c>
      <c r="G12819" s="420">
        <v>119385185</v>
      </c>
      <c r="H12819" s="420">
        <v>119385185</v>
      </c>
      <c r="I12819" s="523" t="s">
        <v>604</v>
      </c>
      <c r="J12819" s="530" t="s">
        <v>912</v>
      </c>
      <c r="N12819" s="420">
        <v>9650</v>
      </c>
      <c r="R12819" s="420">
        <v>1037.221</v>
      </c>
      <c r="S12819" s="420">
        <v>1037.6722590673601</v>
      </c>
      <c r="T12819" s="420">
        <v>15.879899999999999</v>
      </c>
      <c r="U12819" s="278">
        <v>39.32</v>
      </c>
      <c r="V12819" s="278">
        <v>7.51</v>
      </c>
      <c r="Z12819" s="420" t="s">
        <v>2953</v>
      </c>
    </row>
    <row r="12820" spans="1:26">
      <c r="A12820" s="499">
        <v>45931</v>
      </c>
      <c r="B12820" s="499">
        <v>45932</v>
      </c>
      <c r="C12820" s="420" t="s">
        <v>173</v>
      </c>
      <c r="D12820" s="500" t="s">
        <v>760</v>
      </c>
      <c r="E12820" s="501">
        <v>11006732.68</v>
      </c>
      <c r="F12820" s="95" t="s">
        <v>878</v>
      </c>
      <c r="G12820" s="420">
        <v>119385188</v>
      </c>
      <c r="H12820" s="420">
        <v>119385188</v>
      </c>
      <c r="I12820" s="523" t="s">
        <v>816</v>
      </c>
      <c r="J12820" s="530" t="s">
        <v>912</v>
      </c>
      <c r="N12820" s="420">
        <v>10373</v>
      </c>
      <c r="R12820" s="420">
        <v>1060.633</v>
      </c>
      <c r="S12820" s="420">
        <v>1061.0944451942501</v>
      </c>
      <c r="T12820" s="420">
        <v>15.879899999999999</v>
      </c>
      <c r="U12820" s="278">
        <v>39.32</v>
      </c>
      <c r="V12820" s="278">
        <v>8.25</v>
      </c>
      <c r="Z12820" s="420" t="s">
        <v>2953</v>
      </c>
    </row>
    <row r="12821" spans="1:26">
      <c r="A12821" s="499">
        <v>45931</v>
      </c>
      <c r="B12821" s="499">
        <v>45932</v>
      </c>
      <c r="C12821" s="420" t="s">
        <v>173</v>
      </c>
      <c r="D12821" s="500" t="s">
        <v>760</v>
      </c>
      <c r="E12821" s="501">
        <v>12011607.58</v>
      </c>
      <c r="F12821" s="95" t="s">
        <v>878</v>
      </c>
      <c r="G12821" s="420">
        <v>119385191</v>
      </c>
      <c r="H12821" s="420">
        <v>119385191</v>
      </c>
      <c r="I12821" s="523" t="s">
        <v>695</v>
      </c>
      <c r="J12821" s="530" t="s">
        <v>912</v>
      </c>
      <c r="N12821" s="420">
        <v>16716</v>
      </c>
      <c r="R12821" s="420">
        <v>718.25699999999995</v>
      </c>
      <c r="S12821" s="420">
        <v>718.56948911222798</v>
      </c>
      <c r="T12821" s="420">
        <v>15.879899999999999</v>
      </c>
      <c r="U12821" s="278">
        <v>39.32</v>
      </c>
      <c r="V12821" s="278">
        <v>9</v>
      </c>
      <c r="Z12821" s="420" t="s">
        <v>2953</v>
      </c>
    </row>
    <row r="12822" spans="1:26">
      <c r="A12822" s="499">
        <v>45931</v>
      </c>
      <c r="B12822" s="499">
        <v>45932</v>
      </c>
      <c r="C12822" s="420" t="s">
        <v>173</v>
      </c>
      <c r="D12822" s="500" t="s">
        <v>760</v>
      </c>
      <c r="E12822" s="501">
        <v>15009180.93</v>
      </c>
      <c r="F12822" s="95" t="s">
        <v>878</v>
      </c>
      <c r="G12822" s="420">
        <v>119385194</v>
      </c>
      <c r="H12822" s="420">
        <v>119385194</v>
      </c>
      <c r="I12822" s="523" t="s">
        <v>816</v>
      </c>
      <c r="J12822" s="530" t="s">
        <v>912</v>
      </c>
      <c r="N12822" s="420">
        <v>14145</v>
      </c>
      <c r="R12822" s="420">
        <v>1060.633</v>
      </c>
      <c r="S12822" s="420">
        <v>1061.09444538706</v>
      </c>
      <c r="T12822" s="420">
        <v>15.879899999999999</v>
      </c>
      <c r="U12822" s="278">
        <v>39.32</v>
      </c>
      <c r="V12822" s="278">
        <v>11.25</v>
      </c>
      <c r="Z12822" s="420" t="s">
        <v>2953</v>
      </c>
    </row>
    <row r="12823" spans="1:26">
      <c r="A12823" s="499">
        <v>45931</v>
      </c>
      <c r="B12823" s="499">
        <v>45932</v>
      </c>
      <c r="C12823" s="420" t="s">
        <v>173</v>
      </c>
      <c r="D12823" s="500" t="s">
        <v>760</v>
      </c>
      <c r="E12823" s="501">
        <v>16009565.439999999</v>
      </c>
      <c r="F12823" s="95" t="s">
        <v>878</v>
      </c>
      <c r="G12823" s="420">
        <v>119385197</v>
      </c>
      <c r="H12823" s="420">
        <v>119385197</v>
      </c>
      <c r="I12823" s="523" t="s">
        <v>819</v>
      </c>
      <c r="J12823" s="530" t="s">
        <v>912</v>
      </c>
      <c r="N12823" s="420">
        <v>15024</v>
      </c>
      <c r="R12823" s="420">
        <v>1065.136</v>
      </c>
      <c r="S12823" s="420">
        <v>1065.5994036208699</v>
      </c>
      <c r="T12823" s="420">
        <v>15.879899999999999</v>
      </c>
      <c r="U12823" s="278">
        <v>39.32</v>
      </c>
      <c r="V12823" s="278">
        <v>12</v>
      </c>
      <c r="Z12823" s="420" t="s">
        <v>2953</v>
      </c>
    </row>
    <row r="12824" spans="1:26">
      <c r="A12824" s="499">
        <v>45931</v>
      </c>
      <c r="B12824" s="499">
        <v>45932</v>
      </c>
      <c r="C12824" s="420" t="s">
        <v>173</v>
      </c>
      <c r="D12824" s="500" t="s">
        <v>760</v>
      </c>
      <c r="E12824" s="501">
        <v>16014671.85</v>
      </c>
      <c r="F12824" s="95" t="s">
        <v>878</v>
      </c>
      <c r="G12824" s="420">
        <v>119385200</v>
      </c>
      <c r="H12824" s="420">
        <v>119385200</v>
      </c>
      <c r="I12824" s="523" t="s">
        <v>676</v>
      </c>
      <c r="J12824" s="530" t="s">
        <v>912</v>
      </c>
      <c r="N12824" s="420">
        <v>18864</v>
      </c>
      <c r="R12824" s="420">
        <v>848.58500000000004</v>
      </c>
      <c r="S12824" s="420">
        <v>848.95419052162799</v>
      </c>
      <c r="T12824" s="420">
        <v>15.879899999999999</v>
      </c>
      <c r="U12824" s="278">
        <v>39.32</v>
      </c>
      <c r="V12824" s="278">
        <v>12.01</v>
      </c>
      <c r="Z12824" s="420" t="s">
        <v>2953</v>
      </c>
    </row>
    <row r="12825" spans="1:26">
      <c r="A12825" s="499">
        <v>45931</v>
      </c>
      <c r="B12825" s="499">
        <v>45932</v>
      </c>
      <c r="C12825" s="420" t="s">
        <v>173</v>
      </c>
      <c r="D12825" s="500" t="s">
        <v>760</v>
      </c>
      <c r="E12825" s="501">
        <v>17009940.059999999</v>
      </c>
      <c r="F12825" s="95" t="s">
        <v>878</v>
      </c>
      <c r="G12825" s="420">
        <v>119385203</v>
      </c>
      <c r="H12825" s="420">
        <v>119385203</v>
      </c>
      <c r="I12825" s="523" t="s">
        <v>689</v>
      </c>
      <c r="J12825" s="530" t="s">
        <v>912</v>
      </c>
      <c r="N12825" s="420">
        <v>21879</v>
      </c>
      <c r="R12825" s="420">
        <v>777.11699999999996</v>
      </c>
      <c r="S12825" s="420">
        <v>777.45509666803798</v>
      </c>
      <c r="T12825" s="420">
        <v>15.879899999999999</v>
      </c>
      <c r="U12825" s="278">
        <v>39.32</v>
      </c>
      <c r="V12825" s="278">
        <v>12.75</v>
      </c>
      <c r="Z12825" s="420" t="s">
        <v>2953</v>
      </c>
    </row>
    <row r="12826" spans="1:26">
      <c r="A12826" s="499">
        <v>45931</v>
      </c>
      <c r="B12826" s="499">
        <v>45932</v>
      </c>
      <c r="C12826" s="420" t="s">
        <v>173</v>
      </c>
      <c r="D12826" s="500" t="s">
        <v>760</v>
      </c>
      <c r="E12826" s="501">
        <v>17009797.559999999</v>
      </c>
      <c r="F12826" s="95" t="s">
        <v>878</v>
      </c>
      <c r="G12826" s="420">
        <v>119385206</v>
      </c>
      <c r="H12826" s="420">
        <v>119385206</v>
      </c>
      <c r="I12826" s="523" t="s">
        <v>674</v>
      </c>
      <c r="J12826" s="530" t="s">
        <v>912</v>
      </c>
      <c r="N12826" s="420">
        <v>18768</v>
      </c>
      <c r="R12826" s="420">
        <v>905.92499999999995</v>
      </c>
      <c r="S12826" s="420">
        <v>906.31913682864399</v>
      </c>
      <c r="T12826" s="420">
        <v>15.879899999999999</v>
      </c>
      <c r="U12826" s="278">
        <v>39.32</v>
      </c>
      <c r="V12826" s="278">
        <v>12.75</v>
      </c>
      <c r="Z12826" s="420" t="s">
        <v>2953</v>
      </c>
    </row>
    <row r="12827" spans="1:26">
      <c r="A12827" s="499">
        <v>45931</v>
      </c>
      <c r="B12827" s="499">
        <v>45932</v>
      </c>
      <c r="C12827" s="420" t="s">
        <v>173</v>
      </c>
      <c r="D12827" s="500" t="s">
        <v>760</v>
      </c>
      <c r="E12827" s="501">
        <v>18013616.09</v>
      </c>
      <c r="F12827" s="95" t="s">
        <v>878</v>
      </c>
      <c r="G12827" s="420">
        <v>119385209</v>
      </c>
      <c r="H12827" s="420">
        <v>119385209</v>
      </c>
      <c r="I12827" s="523" t="s">
        <v>602</v>
      </c>
      <c r="J12827" s="530" t="s">
        <v>912</v>
      </c>
      <c r="N12827" s="420">
        <v>21528</v>
      </c>
      <c r="R12827" s="420">
        <v>836.38900000000001</v>
      </c>
      <c r="S12827" s="420">
        <v>836.752884150873</v>
      </c>
      <c r="T12827" s="420">
        <v>15.879899999999999</v>
      </c>
      <c r="U12827" s="278">
        <v>39.32</v>
      </c>
      <c r="V12827" s="278">
        <v>13.5</v>
      </c>
      <c r="Z12827" s="420" t="s">
        <v>2953</v>
      </c>
    </row>
    <row r="12828" spans="1:26">
      <c r="A12828" s="499">
        <v>45931</v>
      </c>
      <c r="B12828" s="499">
        <v>45932</v>
      </c>
      <c r="C12828" s="420" t="s">
        <v>173</v>
      </c>
      <c r="D12828" s="500" t="s">
        <v>760</v>
      </c>
      <c r="E12828" s="501">
        <v>19014185.690000001</v>
      </c>
      <c r="F12828" s="95" t="s">
        <v>878</v>
      </c>
      <c r="G12828" s="420">
        <v>119385212</v>
      </c>
      <c r="H12828" s="420">
        <v>119385212</v>
      </c>
      <c r="I12828" s="523" t="s">
        <v>588</v>
      </c>
      <c r="J12828" s="530" t="s">
        <v>912</v>
      </c>
      <c r="N12828" s="420">
        <v>20767</v>
      </c>
      <c r="R12828" s="420">
        <v>915.19799999999998</v>
      </c>
      <c r="S12828" s="420">
        <v>915.59617132951303</v>
      </c>
      <c r="T12828" s="420">
        <v>15.879899999999999</v>
      </c>
      <c r="U12828" s="278">
        <v>39.32</v>
      </c>
      <c r="V12828" s="278">
        <v>14.25</v>
      </c>
      <c r="Z12828" s="420" t="s">
        <v>2953</v>
      </c>
    </row>
    <row r="12829" spans="1:26">
      <c r="A12829" s="499">
        <v>45931</v>
      </c>
      <c r="B12829" s="499">
        <v>45932</v>
      </c>
      <c r="C12829" s="420" t="s">
        <v>173</v>
      </c>
      <c r="D12829" s="500" t="s">
        <v>760</v>
      </c>
      <c r="E12829" s="501">
        <v>20018167.850000001</v>
      </c>
      <c r="F12829" s="95" t="s">
        <v>878</v>
      </c>
      <c r="G12829" s="420">
        <v>119385215</v>
      </c>
      <c r="H12829" s="420">
        <v>119385215</v>
      </c>
      <c r="I12829" s="523" t="s">
        <v>657</v>
      </c>
      <c r="J12829" s="530" t="s">
        <v>912</v>
      </c>
      <c r="N12829" s="420">
        <v>20620</v>
      </c>
      <c r="R12829" s="420">
        <v>970.39099999999996</v>
      </c>
      <c r="S12829" s="420">
        <v>970.81318380213395</v>
      </c>
      <c r="T12829" s="420">
        <v>15.879899999999999</v>
      </c>
      <c r="U12829" s="278">
        <v>39.32</v>
      </c>
      <c r="V12829" s="278">
        <v>15.01</v>
      </c>
      <c r="Z12829" s="420" t="s">
        <v>2953</v>
      </c>
    </row>
    <row r="12830" spans="1:26">
      <c r="A12830" s="499">
        <v>45931</v>
      </c>
      <c r="B12830" s="499">
        <v>45932</v>
      </c>
      <c r="C12830" s="420" t="s">
        <v>173</v>
      </c>
      <c r="D12830" s="500" t="s">
        <v>760</v>
      </c>
      <c r="E12830" s="501">
        <v>21017341.02</v>
      </c>
      <c r="F12830" s="95" t="s">
        <v>878</v>
      </c>
      <c r="G12830" s="420">
        <v>119385218</v>
      </c>
      <c r="H12830" s="420">
        <v>119385218</v>
      </c>
      <c r="I12830" s="523" t="s">
        <v>717</v>
      </c>
      <c r="J12830" s="530" t="s">
        <v>912</v>
      </c>
      <c r="N12830" s="420">
        <v>35511</v>
      </c>
      <c r="R12830" s="420">
        <v>591.59699999999998</v>
      </c>
      <c r="S12830" s="420">
        <v>591.85438371208897</v>
      </c>
      <c r="T12830" s="420">
        <v>15.879899999999999</v>
      </c>
      <c r="U12830" s="278">
        <v>39.32</v>
      </c>
      <c r="V12830" s="278">
        <v>15.76</v>
      </c>
      <c r="Z12830" s="420" t="s">
        <v>2953</v>
      </c>
    </row>
    <row r="12831" spans="1:26">
      <c r="A12831" s="499">
        <v>45931</v>
      </c>
      <c r="B12831" s="499">
        <v>45932</v>
      </c>
      <c r="C12831" s="420" t="s">
        <v>173</v>
      </c>
      <c r="D12831" s="500" t="s">
        <v>760</v>
      </c>
      <c r="E12831" s="501">
        <v>22012267.530000001</v>
      </c>
      <c r="F12831" s="95" t="s">
        <v>878</v>
      </c>
      <c r="G12831" s="420">
        <v>119385221</v>
      </c>
      <c r="H12831" s="420">
        <v>119385221</v>
      </c>
      <c r="I12831" s="523" t="s">
        <v>715</v>
      </c>
      <c r="J12831" s="530" t="s">
        <v>912</v>
      </c>
      <c r="N12831" s="420">
        <v>36124</v>
      </c>
      <c r="R12831" s="420">
        <v>609.08799999999997</v>
      </c>
      <c r="S12831" s="420">
        <v>609.35299330085297</v>
      </c>
      <c r="T12831" s="420">
        <v>15.879899999999999</v>
      </c>
      <c r="U12831" s="278">
        <v>39.32</v>
      </c>
      <c r="V12831" s="278">
        <v>16.5</v>
      </c>
      <c r="Z12831" s="420" t="s">
        <v>2953</v>
      </c>
    </row>
    <row r="12832" spans="1:26">
      <c r="A12832" s="499">
        <v>45931</v>
      </c>
      <c r="B12832" s="499">
        <v>45932</v>
      </c>
      <c r="C12832" s="420" t="s">
        <v>173</v>
      </c>
      <c r="D12832" s="500" t="s">
        <v>760</v>
      </c>
      <c r="E12832" s="501">
        <v>23022247.859999999</v>
      </c>
      <c r="F12832" s="95" t="s">
        <v>878</v>
      </c>
      <c r="G12832" s="420">
        <v>119385224</v>
      </c>
      <c r="H12832" s="420">
        <v>119385224</v>
      </c>
      <c r="I12832" s="523" t="s">
        <v>695</v>
      </c>
      <c r="J12832" s="530" t="s">
        <v>912</v>
      </c>
      <c r="N12832" s="420">
        <v>32039</v>
      </c>
      <c r="R12832" s="420">
        <v>718.25699999999995</v>
      </c>
      <c r="S12832" s="420">
        <v>718.56948906020796</v>
      </c>
      <c r="T12832" s="420">
        <v>15.879899999999999</v>
      </c>
      <c r="U12832" s="278">
        <v>39.32</v>
      </c>
      <c r="V12832" s="278">
        <v>17.260000000000002</v>
      </c>
      <c r="Z12832" s="420" t="s">
        <v>2953</v>
      </c>
    </row>
    <row r="12833" spans="1:26">
      <c r="A12833" s="499">
        <v>45931</v>
      </c>
      <c r="B12833" s="499">
        <v>45932</v>
      </c>
      <c r="C12833" s="420" t="s">
        <v>173</v>
      </c>
      <c r="D12833" s="500" t="s">
        <v>760</v>
      </c>
      <c r="E12833" s="501">
        <v>24031113.609999999</v>
      </c>
      <c r="F12833" s="95" t="s">
        <v>878</v>
      </c>
      <c r="G12833" s="420">
        <v>119385227</v>
      </c>
      <c r="H12833" s="420">
        <v>119385227</v>
      </c>
      <c r="I12833" s="523" t="s">
        <v>590</v>
      </c>
      <c r="J12833" s="530" t="s">
        <v>912</v>
      </c>
      <c r="N12833" s="420">
        <v>25152</v>
      </c>
      <c r="R12833" s="420">
        <v>955.02</v>
      </c>
      <c r="S12833" s="420">
        <v>955.43549658078905</v>
      </c>
      <c r="T12833" s="420">
        <v>15.879899999999999</v>
      </c>
      <c r="U12833" s="278">
        <v>39.32</v>
      </c>
      <c r="V12833" s="278">
        <v>18.02</v>
      </c>
      <c r="Z12833" s="420" t="s">
        <v>2953</v>
      </c>
    </row>
    <row r="12834" spans="1:26">
      <c r="A12834" s="499">
        <v>45931</v>
      </c>
      <c r="B12834" s="499">
        <v>45932</v>
      </c>
      <c r="C12834" s="420" t="s">
        <v>173</v>
      </c>
      <c r="D12834" s="500" t="s">
        <v>760</v>
      </c>
      <c r="E12834" s="501">
        <v>25026095.760000002</v>
      </c>
      <c r="F12834" s="95" t="s">
        <v>878</v>
      </c>
      <c r="G12834" s="420">
        <v>119385232</v>
      </c>
      <c r="H12834" s="420">
        <v>119385232</v>
      </c>
      <c r="I12834" s="523" t="s">
        <v>821</v>
      </c>
      <c r="J12834" s="530" t="s">
        <v>912</v>
      </c>
      <c r="N12834" s="420">
        <v>24125</v>
      </c>
      <c r="R12834" s="420">
        <v>1036.9000000000001</v>
      </c>
      <c r="S12834" s="420">
        <v>1037.3511195854901</v>
      </c>
      <c r="T12834" s="420">
        <v>15.879899999999999</v>
      </c>
      <c r="U12834" s="278">
        <v>39.32</v>
      </c>
      <c r="V12834" s="278">
        <v>18.760000000000002</v>
      </c>
      <c r="Z12834" s="420" t="s">
        <v>2953</v>
      </c>
    </row>
    <row r="12835" spans="1:26">
      <c r="A12835" s="499">
        <v>45931</v>
      </c>
      <c r="B12835" s="499">
        <v>45932</v>
      </c>
      <c r="C12835" s="420" t="s">
        <v>173</v>
      </c>
      <c r="D12835" s="500" t="s">
        <v>760</v>
      </c>
      <c r="E12835" s="501">
        <v>25019555.600000001</v>
      </c>
      <c r="F12835" s="95" t="s">
        <v>878</v>
      </c>
      <c r="G12835" s="420">
        <v>119385235</v>
      </c>
      <c r="H12835" s="420">
        <v>119385235</v>
      </c>
      <c r="I12835" s="523" t="s">
        <v>696</v>
      </c>
      <c r="J12835" s="530" t="s">
        <v>912</v>
      </c>
      <c r="N12835" s="420">
        <v>33175</v>
      </c>
      <c r="R12835" s="420">
        <v>753.84100000000001</v>
      </c>
      <c r="S12835" s="420">
        <v>754.16897061039901</v>
      </c>
      <c r="T12835" s="420">
        <v>15.879899999999999</v>
      </c>
      <c r="U12835" s="278">
        <v>39.32</v>
      </c>
      <c r="V12835" s="278">
        <v>18.760000000000002</v>
      </c>
      <c r="Z12835" s="420" t="s">
        <v>2953</v>
      </c>
    </row>
    <row r="12836" spans="1:26">
      <c r="A12836" s="499">
        <v>45931</v>
      </c>
      <c r="B12836" s="499">
        <v>45932</v>
      </c>
      <c r="C12836" s="420" t="s">
        <v>173</v>
      </c>
      <c r="D12836" s="500" t="s">
        <v>760</v>
      </c>
      <c r="E12836" s="501">
        <v>26016522.07</v>
      </c>
      <c r="F12836" s="95" t="s">
        <v>878</v>
      </c>
      <c r="G12836" s="420">
        <v>119385238</v>
      </c>
      <c r="H12836" s="420">
        <v>119385238</v>
      </c>
      <c r="I12836" s="523" t="s">
        <v>709</v>
      </c>
      <c r="J12836" s="530" t="s">
        <v>912</v>
      </c>
      <c r="N12836" s="420">
        <v>36322</v>
      </c>
      <c r="R12836" s="420">
        <v>715.96299999999997</v>
      </c>
      <c r="S12836" s="420">
        <v>716.27449121744405</v>
      </c>
      <c r="T12836" s="420">
        <v>15.879899999999999</v>
      </c>
      <c r="U12836" s="278">
        <v>39.32</v>
      </c>
      <c r="V12836" s="278">
        <v>19.5</v>
      </c>
      <c r="Z12836" s="420" t="s">
        <v>2953</v>
      </c>
    </row>
    <row r="12837" spans="1:26">
      <c r="A12837" s="499">
        <v>45931</v>
      </c>
      <c r="B12837" s="499">
        <v>45932</v>
      </c>
      <c r="C12837" s="420" t="s">
        <v>173</v>
      </c>
      <c r="D12837" s="500" t="s">
        <v>760</v>
      </c>
      <c r="E12837" s="501">
        <v>26016344.039999999</v>
      </c>
      <c r="F12837" s="95" t="s">
        <v>878</v>
      </c>
      <c r="G12837" s="420">
        <v>119385241</v>
      </c>
      <c r="H12837" s="420">
        <v>119385241</v>
      </c>
      <c r="I12837" s="523" t="s">
        <v>592</v>
      </c>
      <c r="J12837" s="530" t="s">
        <v>912</v>
      </c>
      <c r="N12837" s="420">
        <v>32578</v>
      </c>
      <c r="R12837" s="420">
        <v>798.23900000000003</v>
      </c>
      <c r="S12837" s="420">
        <v>798.58628645097895</v>
      </c>
      <c r="T12837" s="420">
        <v>15.879899999999999</v>
      </c>
      <c r="U12837" s="278">
        <v>39.32</v>
      </c>
      <c r="V12837" s="278">
        <v>19.5</v>
      </c>
      <c r="Z12837" s="420" t="s">
        <v>2953</v>
      </c>
    </row>
    <row r="12838" spans="1:26">
      <c r="A12838" s="499">
        <v>45931</v>
      </c>
      <c r="B12838" s="499">
        <v>45932</v>
      </c>
      <c r="C12838" s="420" t="s">
        <v>173</v>
      </c>
      <c r="D12838" s="500" t="s">
        <v>760</v>
      </c>
      <c r="E12838" s="501">
        <v>25016004.120000001</v>
      </c>
      <c r="F12838" s="95" t="s">
        <v>878</v>
      </c>
      <c r="G12838" s="420">
        <v>119385244</v>
      </c>
      <c r="H12838" s="420">
        <v>119385244</v>
      </c>
      <c r="I12838" s="523" t="s">
        <v>598</v>
      </c>
      <c r="J12838" s="530" t="s">
        <v>912</v>
      </c>
      <c r="N12838" s="420">
        <v>23625</v>
      </c>
      <c r="R12838" s="420">
        <v>1058.4179999999999</v>
      </c>
      <c r="S12838" s="420">
        <v>1058.87848126984</v>
      </c>
      <c r="T12838" s="420">
        <v>15.879899999999999</v>
      </c>
      <c r="U12838" s="278">
        <v>39.32</v>
      </c>
      <c r="V12838" s="278">
        <v>18.75</v>
      </c>
      <c r="Z12838" s="420" t="s">
        <v>2953</v>
      </c>
    </row>
    <row r="12839" spans="1:26">
      <c r="A12839" s="499">
        <v>45931</v>
      </c>
      <c r="B12839" s="499">
        <v>45931</v>
      </c>
      <c r="C12839" s="420" t="s">
        <v>173</v>
      </c>
      <c r="D12839" s="500" t="s">
        <v>761</v>
      </c>
      <c r="E12839" s="501">
        <v>-1411097073.55</v>
      </c>
      <c r="F12839" s="95" t="s">
        <v>878</v>
      </c>
      <c r="G12839" s="420">
        <v>119384878</v>
      </c>
      <c r="I12839" s="523" t="s">
        <v>3046</v>
      </c>
      <c r="J12839" s="530" t="s">
        <v>906</v>
      </c>
      <c r="N12839" s="420">
        <v>14193249</v>
      </c>
      <c r="R12839" s="420">
        <v>99.420299999668856</v>
      </c>
      <c r="S12839" s="420">
        <v>99.463445686044096</v>
      </c>
      <c r="T12839" s="420">
        <v>15.84</v>
      </c>
      <c r="U12839" s="278">
        <v>2116.65</v>
      </c>
      <c r="V12839" s="278">
        <v>1058.32</v>
      </c>
      <c r="Z12839" s="420" t="s">
        <v>2953</v>
      </c>
    </row>
    <row r="12840" spans="1:26">
      <c r="A12840" s="499">
        <v>45931</v>
      </c>
      <c r="B12840" s="499">
        <v>45931</v>
      </c>
      <c r="C12840" s="420" t="s">
        <v>173</v>
      </c>
      <c r="D12840" s="500" t="s">
        <v>761</v>
      </c>
      <c r="E12840" s="501">
        <v>-9000619.1799999997</v>
      </c>
      <c r="F12840" s="95" t="s">
        <v>878</v>
      </c>
      <c r="G12840" s="420">
        <v>119385051</v>
      </c>
      <c r="I12840" s="523" t="s">
        <v>3046</v>
      </c>
      <c r="J12840" s="530" t="s">
        <v>906</v>
      </c>
      <c r="N12840" s="420">
        <v>90531</v>
      </c>
      <c r="R12840" s="420">
        <v>99.420300007732152</v>
      </c>
      <c r="S12840" s="420">
        <v>99.463472954015799</v>
      </c>
      <c r="T12840" s="420">
        <v>15.85</v>
      </c>
      <c r="U12840" s="278">
        <v>39.32</v>
      </c>
      <c r="V12840" s="278">
        <v>6.75</v>
      </c>
      <c r="Z12840" s="420" t="s">
        <v>2953</v>
      </c>
    </row>
    <row r="12841" spans="1:26">
      <c r="A12841" s="499">
        <v>45931</v>
      </c>
      <c r="B12841" s="499">
        <v>45932</v>
      </c>
      <c r="C12841" s="420" t="s">
        <v>173</v>
      </c>
      <c r="D12841" s="500" t="s">
        <v>761</v>
      </c>
      <c r="E12841" s="501">
        <v>1411709451.02</v>
      </c>
      <c r="F12841" s="95" t="s">
        <v>878</v>
      </c>
      <c r="G12841" s="420">
        <v>119384878</v>
      </c>
      <c r="H12841" s="420">
        <v>119384878</v>
      </c>
      <c r="I12841" s="523" t="s">
        <v>3046</v>
      </c>
      <c r="J12841" s="530" t="s">
        <v>912</v>
      </c>
      <c r="N12841" s="420">
        <v>14193249</v>
      </c>
      <c r="R12841" s="420">
        <v>99.420299999668856</v>
      </c>
      <c r="S12841" s="420">
        <v>99.463445686044096</v>
      </c>
      <c r="T12841" s="420">
        <v>15.84</v>
      </c>
      <c r="U12841" s="278">
        <v>2116.65</v>
      </c>
      <c r="V12841" s="278">
        <v>1058.32</v>
      </c>
      <c r="Z12841" s="420" t="s">
        <v>2953</v>
      </c>
    </row>
    <row r="12842" spans="1:26">
      <c r="A12842" s="499">
        <v>45931</v>
      </c>
      <c r="B12842" s="499">
        <v>45932</v>
      </c>
      <c r="C12842" s="420" t="s">
        <v>173</v>
      </c>
      <c r="D12842" s="500" t="s">
        <v>761</v>
      </c>
      <c r="E12842" s="501">
        <v>9004527.6699999999</v>
      </c>
      <c r="F12842" s="95" t="s">
        <v>878</v>
      </c>
      <c r="G12842" s="420">
        <v>119385051</v>
      </c>
      <c r="H12842" s="420">
        <v>119385051</v>
      </c>
      <c r="I12842" s="523" t="s">
        <v>3046</v>
      </c>
      <c r="J12842" s="530" t="s">
        <v>912</v>
      </c>
      <c r="N12842" s="420">
        <v>90531</v>
      </c>
      <c r="R12842" s="420">
        <v>99.420300007732152</v>
      </c>
      <c r="S12842" s="420">
        <v>99.463472954015799</v>
      </c>
      <c r="T12842" s="420">
        <v>15.85</v>
      </c>
      <c r="U12842" s="278">
        <v>39.32</v>
      </c>
      <c r="V12842" s="278">
        <v>6.75</v>
      </c>
      <c r="Z12842" s="420" t="s">
        <v>2953</v>
      </c>
    </row>
    <row r="12843" spans="1:26">
      <c r="A12843" s="499">
        <v>45931</v>
      </c>
      <c r="B12843" s="499">
        <v>45931</v>
      </c>
      <c r="C12843" s="420" t="s">
        <v>173</v>
      </c>
      <c r="D12843" s="500" t="s">
        <v>763</v>
      </c>
      <c r="E12843" s="501">
        <v>-1860036102.5999999</v>
      </c>
      <c r="F12843" s="95" t="s">
        <v>878</v>
      </c>
      <c r="G12843" s="420">
        <v>119384503</v>
      </c>
      <c r="I12843" s="523" t="s">
        <v>699</v>
      </c>
      <c r="J12843" s="530" t="s">
        <v>906</v>
      </c>
      <c r="N12843" s="420">
        <v>2027400</v>
      </c>
      <c r="R12843" s="420">
        <v>917.44899999999996</v>
      </c>
      <c r="S12843" s="420">
        <v>917.84614230541604</v>
      </c>
      <c r="T12843" s="420">
        <v>15.8</v>
      </c>
      <c r="U12843" s="278">
        <v>2790.05</v>
      </c>
      <c r="V12843" s="278">
        <v>1395.03</v>
      </c>
      <c r="Z12843" s="420" t="s">
        <v>2953</v>
      </c>
    </row>
    <row r="12844" spans="1:26">
      <c r="A12844" s="499">
        <v>45931</v>
      </c>
      <c r="B12844" s="499">
        <v>45931</v>
      </c>
      <c r="C12844" s="420" t="s">
        <v>173</v>
      </c>
      <c r="D12844" s="500" t="s">
        <v>763</v>
      </c>
      <c r="E12844" s="501">
        <v>-233004522.53</v>
      </c>
      <c r="F12844" s="95" t="s">
        <v>878</v>
      </c>
      <c r="G12844" s="420">
        <v>119384506</v>
      </c>
      <c r="I12844" s="523" t="s">
        <v>699</v>
      </c>
      <c r="J12844" s="530" t="s">
        <v>906</v>
      </c>
      <c r="N12844" s="420">
        <v>253970</v>
      </c>
      <c r="R12844" s="420">
        <v>917.44899999999996</v>
      </c>
      <c r="S12844" s="420">
        <v>917.84488553766198</v>
      </c>
      <c r="T12844" s="420">
        <v>15.75</v>
      </c>
      <c r="U12844" s="278">
        <v>349.51</v>
      </c>
      <c r="V12844" s="278">
        <v>174.75</v>
      </c>
      <c r="Z12844" s="420" t="s">
        <v>2953</v>
      </c>
    </row>
    <row r="12845" spans="1:26">
      <c r="A12845" s="499">
        <v>45931</v>
      </c>
      <c r="B12845" s="499">
        <v>45931</v>
      </c>
      <c r="C12845" s="420" t="s">
        <v>173</v>
      </c>
      <c r="D12845" s="500" t="s">
        <v>763</v>
      </c>
      <c r="E12845" s="501">
        <v>-13005833.26</v>
      </c>
      <c r="F12845" s="95" t="s">
        <v>878</v>
      </c>
      <c r="G12845" s="420">
        <v>119384535</v>
      </c>
      <c r="I12845" s="523" t="s">
        <v>673</v>
      </c>
      <c r="J12845" s="530" t="s">
        <v>906</v>
      </c>
      <c r="N12845" s="420">
        <v>14131</v>
      </c>
      <c r="R12845" s="420">
        <v>920.37599999999998</v>
      </c>
      <c r="S12845" s="420">
        <v>920.77315122779703</v>
      </c>
      <c r="T12845" s="420">
        <v>15.7501</v>
      </c>
      <c r="U12845" s="278">
        <v>39.32</v>
      </c>
      <c r="V12845" s="278">
        <v>39.32</v>
      </c>
      <c r="Z12845" s="420" t="s">
        <v>2953</v>
      </c>
    </row>
    <row r="12846" spans="1:26">
      <c r="A12846" s="499">
        <v>45931</v>
      </c>
      <c r="B12846" s="499">
        <v>45932</v>
      </c>
      <c r="C12846" s="420" t="s">
        <v>173</v>
      </c>
      <c r="D12846" s="500" t="s">
        <v>763</v>
      </c>
      <c r="E12846" s="501">
        <v>1860841268.9100001</v>
      </c>
      <c r="F12846" s="95" t="s">
        <v>878</v>
      </c>
      <c r="G12846" s="420">
        <v>119384503</v>
      </c>
      <c r="H12846" s="420">
        <v>119384503</v>
      </c>
      <c r="I12846" s="523" t="s">
        <v>699</v>
      </c>
      <c r="J12846" s="530" t="s">
        <v>912</v>
      </c>
      <c r="N12846" s="420">
        <v>2027400</v>
      </c>
      <c r="R12846" s="420">
        <v>917.44899999999996</v>
      </c>
      <c r="S12846" s="420">
        <v>917.84614230541604</v>
      </c>
      <c r="T12846" s="420">
        <v>15.8</v>
      </c>
      <c r="U12846" s="278">
        <v>2790.05</v>
      </c>
      <c r="V12846" s="278">
        <v>1395.03</v>
      </c>
      <c r="Z12846" s="420" t="s">
        <v>2953</v>
      </c>
    </row>
    <row r="12847" spans="1:26">
      <c r="A12847" s="499">
        <v>45931</v>
      </c>
      <c r="B12847" s="499">
        <v>45932</v>
      </c>
      <c r="C12847" s="420" t="s">
        <v>173</v>
      </c>
      <c r="D12847" s="500" t="s">
        <v>763</v>
      </c>
      <c r="E12847" s="501">
        <v>233105065.58000001</v>
      </c>
      <c r="F12847" s="95" t="s">
        <v>878</v>
      </c>
      <c r="G12847" s="420">
        <v>119384506</v>
      </c>
      <c r="H12847" s="420">
        <v>119384506</v>
      </c>
      <c r="I12847" s="523" t="s">
        <v>699</v>
      </c>
      <c r="J12847" s="530" t="s">
        <v>912</v>
      </c>
      <c r="N12847" s="420">
        <v>253970</v>
      </c>
      <c r="R12847" s="420">
        <v>917.44899999999996</v>
      </c>
      <c r="S12847" s="420">
        <v>917.84488553766198</v>
      </c>
      <c r="T12847" s="420">
        <v>15.75</v>
      </c>
      <c r="U12847" s="278">
        <v>349.51</v>
      </c>
      <c r="V12847" s="278">
        <v>174.75</v>
      </c>
      <c r="Z12847" s="420" t="s">
        <v>2953</v>
      </c>
    </row>
    <row r="12848" spans="1:26">
      <c r="A12848" s="499">
        <v>45931</v>
      </c>
      <c r="B12848" s="499">
        <v>45932</v>
      </c>
      <c r="C12848" s="420" t="s">
        <v>173</v>
      </c>
      <c r="D12848" s="500" t="s">
        <v>763</v>
      </c>
      <c r="E12848" s="501">
        <v>13011445.4</v>
      </c>
      <c r="F12848" s="95" t="s">
        <v>878</v>
      </c>
      <c r="G12848" s="420">
        <v>119384535</v>
      </c>
      <c r="H12848" s="420">
        <v>119384535</v>
      </c>
      <c r="I12848" s="523" t="s">
        <v>673</v>
      </c>
      <c r="J12848" s="530" t="s">
        <v>912</v>
      </c>
      <c r="N12848" s="420">
        <v>14131</v>
      </c>
      <c r="R12848" s="420">
        <v>920.37599999999998</v>
      </c>
      <c r="S12848" s="420">
        <v>920.77315122779703</v>
      </c>
      <c r="T12848" s="420">
        <v>15.7501</v>
      </c>
      <c r="U12848" s="278">
        <v>39.32</v>
      </c>
      <c r="V12848" s="278">
        <v>39.32</v>
      </c>
      <c r="Z12848" s="420" t="s">
        <v>2953</v>
      </c>
    </row>
    <row r="12849" spans="1:26">
      <c r="A12849" s="499">
        <v>45931</v>
      </c>
      <c r="B12849" s="499">
        <v>45931</v>
      </c>
      <c r="C12849" s="420" t="s">
        <v>173</v>
      </c>
      <c r="D12849" s="500" t="s">
        <v>759</v>
      </c>
      <c r="E12849" s="501">
        <v>-1987136701.03</v>
      </c>
      <c r="F12849" s="95" t="s">
        <v>878</v>
      </c>
      <c r="G12849" s="420">
        <v>119384881</v>
      </c>
      <c r="H12849" s="420"/>
      <c r="I12849" s="523" t="s">
        <v>3046</v>
      </c>
      <c r="J12849" s="530" t="s">
        <v>906</v>
      </c>
      <c r="N12849" s="420">
        <v>19987233</v>
      </c>
      <c r="R12849" s="420">
        <v>99.420300000005</v>
      </c>
      <c r="S12849" s="420">
        <v>99.463445686553996</v>
      </c>
      <c r="T12849" s="420">
        <v>15.84</v>
      </c>
      <c r="U12849" s="278">
        <v>2980.71</v>
      </c>
      <c r="V12849" s="278">
        <v>1490.35</v>
      </c>
      <c r="Z12849" s="420" t="s">
        <v>2953</v>
      </c>
    </row>
    <row r="12850" spans="1:26">
      <c r="A12850" s="499">
        <v>45931</v>
      </c>
      <c r="B12850" s="499">
        <v>45931</v>
      </c>
      <c r="C12850" s="420" t="s">
        <v>173</v>
      </c>
      <c r="D12850" s="500" t="s">
        <v>759</v>
      </c>
      <c r="E12850" s="501">
        <v>-14003508.039999999</v>
      </c>
      <c r="F12850" s="95" t="s">
        <v>878</v>
      </c>
      <c r="G12850" s="420">
        <v>119389445</v>
      </c>
      <c r="H12850" s="420"/>
      <c r="I12850" s="523" t="s">
        <v>723</v>
      </c>
      <c r="J12850" s="530" t="s">
        <v>906</v>
      </c>
      <c r="N12850" s="420">
        <v>23394</v>
      </c>
      <c r="R12850" s="420">
        <v>598.59400017098392</v>
      </c>
      <c r="S12850" s="420">
        <v>598.85639736684595</v>
      </c>
      <c r="T12850" s="420">
        <v>16</v>
      </c>
      <c r="U12850" s="278">
        <v>39.32</v>
      </c>
      <c r="V12850" s="278">
        <v>10.5</v>
      </c>
      <c r="Z12850" s="420" t="s">
        <v>2953</v>
      </c>
    </row>
    <row r="12851" spans="1:26">
      <c r="A12851" s="499">
        <v>45931</v>
      </c>
      <c r="B12851" s="499">
        <v>45932</v>
      </c>
      <c r="C12851" s="420" t="s">
        <v>173</v>
      </c>
      <c r="D12851" s="500" t="s">
        <v>759</v>
      </c>
      <c r="E12851" s="501">
        <v>1987999063.9200001</v>
      </c>
      <c r="F12851" s="95" t="s">
        <v>878</v>
      </c>
      <c r="G12851" s="420">
        <v>119384881</v>
      </c>
      <c r="H12851" s="420">
        <v>119384881</v>
      </c>
      <c r="I12851" s="523" t="s">
        <v>3046</v>
      </c>
      <c r="J12851" s="530" t="s">
        <v>912</v>
      </c>
      <c r="N12851" s="420">
        <v>19987233</v>
      </c>
      <c r="R12851" s="420">
        <v>99.420300000005</v>
      </c>
      <c r="S12851" s="420">
        <v>99.463445686553996</v>
      </c>
      <c r="T12851" s="420">
        <v>15.84</v>
      </c>
      <c r="U12851" s="278">
        <v>2980.71</v>
      </c>
      <c r="V12851" s="278">
        <v>1490.35</v>
      </c>
      <c r="Z12851" s="420" t="s">
        <v>2953</v>
      </c>
    </row>
    <row r="12852" spans="1:26">
      <c r="A12852" s="499">
        <v>45931</v>
      </c>
      <c r="B12852" s="499">
        <v>45932</v>
      </c>
      <c r="C12852" s="420" t="s">
        <v>173</v>
      </c>
      <c r="D12852" s="500" t="s">
        <v>759</v>
      </c>
      <c r="E12852" s="501">
        <v>14009646.560000001</v>
      </c>
      <c r="F12852" s="95" t="s">
        <v>878</v>
      </c>
      <c r="G12852" s="420">
        <v>119389445</v>
      </c>
      <c r="H12852" s="420">
        <v>119389445</v>
      </c>
      <c r="I12852" s="523" t="s">
        <v>723</v>
      </c>
      <c r="J12852" s="530" t="s">
        <v>912</v>
      </c>
      <c r="N12852" s="420">
        <v>23394</v>
      </c>
      <c r="R12852" s="420">
        <v>598.59400017098392</v>
      </c>
      <c r="S12852" s="420">
        <v>598.85639736684595</v>
      </c>
      <c r="T12852" s="420">
        <v>16</v>
      </c>
      <c r="U12852" s="278">
        <v>39.32</v>
      </c>
      <c r="V12852" s="278">
        <v>10.5</v>
      </c>
      <c r="Z12852" s="420" t="s">
        <v>2953</v>
      </c>
    </row>
    <row r="12853" spans="1:26">
      <c r="A12853" s="499">
        <v>45932</v>
      </c>
      <c r="B12853" s="499">
        <v>45932</v>
      </c>
      <c r="C12853" s="420" t="s">
        <v>173</v>
      </c>
      <c r="D12853" s="500" t="s">
        <v>762</v>
      </c>
      <c r="E12853" s="501">
        <v>-1877996660.72</v>
      </c>
      <c r="F12853" s="95" t="s">
        <v>878</v>
      </c>
      <c r="G12853" s="420">
        <v>119412107</v>
      </c>
      <c r="H12853" s="420"/>
      <c r="I12853" s="523" t="s">
        <v>550</v>
      </c>
      <c r="J12853" s="530" t="s">
        <v>906</v>
      </c>
      <c r="N12853" s="610">
        <v>3416140</v>
      </c>
      <c r="R12853" s="539">
        <v>549.7423</v>
      </c>
      <c r="S12853" s="539">
        <v>551.42918048147897</v>
      </c>
      <c r="T12853" s="567">
        <v>16</v>
      </c>
      <c r="U12853" s="538">
        <v>19718.96</v>
      </c>
      <c r="V12853" s="538">
        <v>9859.48</v>
      </c>
      <c r="Z12853" s="539" t="s">
        <v>2961</v>
      </c>
    </row>
    <row r="12854" spans="1:26">
      <c r="A12854" s="499">
        <v>45932</v>
      </c>
      <c r="B12854" s="499">
        <v>45932</v>
      </c>
      <c r="C12854" s="420" t="s">
        <v>173</v>
      </c>
      <c r="D12854" s="500" t="s">
        <v>762</v>
      </c>
      <c r="E12854" s="501">
        <v>-2220440934.2800002</v>
      </c>
      <c r="F12854" s="95" t="s">
        <v>878</v>
      </c>
      <c r="G12854" s="420">
        <v>119412113</v>
      </c>
      <c r="H12854" s="420"/>
      <c r="I12854" s="523" t="s">
        <v>816</v>
      </c>
      <c r="J12854" s="530" t="s">
        <v>906</v>
      </c>
      <c r="N12854" s="610">
        <v>2092517</v>
      </c>
      <c r="R12854" s="539">
        <v>1061.134</v>
      </c>
      <c r="S12854" s="539">
        <v>1064.3900824127099</v>
      </c>
      <c r="T12854" s="567">
        <v>16</v>
      </c>
      <c r="U12854" s="538">
        <v>23314.63</v>
      </c>
      <c r="V12854" s="538">
        <v>11657.31</v>
      </c>
      <c r="Z12854" s="539" t="s">
        <v>2961</v>
      </c>
    </row>
    <row r="12855" spans="1:26">
      <c r="A12855" s="499">
        <v>45932</v>
      </c>
      <c r="B12855" s="499">
        <v>45932</v>
      </c>
      <c r="C12855" s="420" t="s">
        <v>173</v>
      </c>
      <c r="D12855" s="500" t="s">
        <v>762</v>
      </c>
      <c r="E12855" s="501">
        <v>-25013274.649999999</v>
      </c>
      <c r="F12855" s="95" t="s">
        <v>878</v>
      </c>
      <c r="G12855" s="420">
        <v>119413800</v>
      </c>
      <c r="H12855" s="420"/>
      <c r="I12855" s="523" t="s">
        <v>550</v>
      </c>
      <c r="J12855" s="530" t="s">
        <v>906</v>
      </c>
      <c r="N12855" s="610">
        <v>45500</v>
      </c>
      <c r="R12855" s="539">
        <v>549.7423</v>
      </c>
      <c r="S12855" s="539">
        <v>551.42918043956001</v>
      </c>
      <c r="T12855" s="567">
        <v>16</v>
      </c>
      <c r="U12855" s="538">
        <v>262.64</v>
      </c>
      <c r="V12855" s="538">
        <v>131.32</v>
      </c>
      <c r="Z12855" s="539" t="s">
        <v>2961</v>
      </c>
    </row>
    <row r="12856" spans="1:26">
      <c r="A12856" s="499">
        <v>45932</v>
      </c>
      <c r="B12856" s="499">
        <v>45939</v>
      </c>
      <c r="C12856" s="420" t="s">
        <v>173</v>
      </c>
      <c r="D12856" s="500" t="s">
        <v>762</v>
      </c>
      <c r="E12856" s="501">
        <v>1883759280.6099999</v>
      </c>
      <c r="F12856" s="95" t="s">
        <v>878</v>
      </c>
      <c r="G12856" s="420">
        <v>119412107</v>
      </c>
      <c r="H12856" s="420">
        <v>119412107</v>
      </c>
      <c r="I12856" s="523" t="s">
        <v>550</v>
      </c>
      <c r="J12856" s="530" t="s">
        <v>912</v>
      </c>
      <c r="N12856" s="610">
        <v>3416140</v>
      </c>
      <c r="R12856" s="539">
        <v>549.7423</v>
      </c>
      <c r="S12856" s="539">
        <v>551.42918048147897</v>
      </c>
      <c r="T12856" s="567">
        <v>16</v>
      </c>
      <c r="U12856" s="538">
        <v>19718.96</v>
      </c>
      <c r="V12856" s="538">
        <v>9859.48</v>
      </c>
      <c r="Z12856" s="539" t="s">
        <v>2961</v>
      </c>
    </row>
    <row r="12857" spans="1:26">
      <c r="A12857" s="499">
        <v>45932</v>
      </c>
      <c r="B12857" s="499">
        <v>45939</v>
      </c>
      <c r="C12857" s="420" t="s">
        <v>173</v>
      </c>
      <c r="D12857" s="500" t="s">
        <v>762</v>
      </c>
      <c r="E12857" s="501">
        <v>2227254342.0799999</v>
      </c>
      <c r="F12857" s="95" t="s">
        <v>878</v>
      </c>
      <c r="G12857" s="420">
        <v>119412113</v>
      </c>
      <c r="H12857" s="420">
        <v>119412113</v>
      </c>
      <c r="I12857" s="523" t="s">
        <v>816</v>
      </c>
      <c r="J12857" s="530" t="s">
        <v>912</v>
      </c>
      <c r="N12857" s="610">
        <v>2092517</v>
      </c>
      <c r="R12857" s="539">
        <v>1061.134</v>
      </c>
      <c r="S12857" s="539">
        <v>1064.3900824127099</v>
      </c>
      <c r="T12857" s="567">
        <v>16</v>
      </c>
      <c r="U12857" s="538">
        <v>23314.63</v>
      </c>
      <c r="V12857" s="538">
        <v>11657.31</v>
      </c>
      <c r="Z12857" s="539" t="s">
        <v>2961</v>
      </c>
    </row>
    <row r="12858" spans="1:26">
      <c r="A12858" s="499">
        <v>45932</v>
      </c>
      <c r="B12858" s="499">
        <v>45939</v>
      </c>
      <c r="C12858" s="420" t="s">
        <v>173</v>
      </c>
      <c r="D12858" s="500" t="s">
        <v>762</v>
      </c>
      <c r="E12858" s="501">
        <v>25090027.710000001</v>
      </c>
      <c r="F12858" s="95" t="s">
        <v>878</v>
      </c>
      <c r="G12858" s="420">
        <v>119413800</v>
      </c>
      <c r="H12858" s="420">
        <v>119413800</v>
      </c>
      <c r="I12858" s="523" t="s">
        <v>550</v>
      </c>
      <c r="J12858" s="530" t="s">
        <v>912</v>
      </c>
      <c r="N12858" s="610">
        <v>45500</v>
      </c>
      <c r="R12858" s="539">
        <v>549.7423</v>
      </c>
      <c r="S12858" s="539">
        <v>551.42918043956001</v>
      </c>
      <c r="T12858" s="567">
        <v>16</v>
      </c>
      <c r="U12858" s="538">
        <v>262.64</v>
      </c>
      <c r="V12858" s="538">
        <v>131.32</v>
      </c>
      <c r="Z12858" s="539" t="s">
        <v>2961</v>
      </c>
    </row>
    <row r="12859" spans="1:26">
      <c r="A12859" s="499">
        <v>45932</v>
      </c>
      <c r="B12859" s="499">
        <v>45932</v>
      </c>
      <c r="C12859" s="420" t="s">
        <v>173</v>
      </c>
      <c r="D12859" s="500" t="s">
        <v>760</v>
      </c>
      <c r="E12859" s="501">
        <v>-1714740905.8099999</v>
      </c>
      <c r="F12859" s="95" t="s">
        <v>878</v>
      </c>
      <c r="G12859" s="420">
        <v>119409527</v>
      </c>
      <c r="I12859" s="523" t="s">
        <v>1013</v>
      </c>
      <c r="J12859" s="530" t="s">
        <v>906</v>
      </c>
      <c r="N12859" s="420">
        <v>3086914</v>
      </c>
      <c r="R12859" s="420">
        <v>555.48710000000005</v>
      </c>
      <c r="S12859" s="420">
        <v>555.729840254701</v>
      </c>
      <c r="T12859" s="420">
        <v>15.95</v>
      </c>
      <c r="U12859" s="278">
        <v>2572.11</v>
      </c>
      <c r="V12859" s="278">
        <v>1286.06</v>
      </c>
      <c r="Z12859" s="420" t="s">
        <v>2953</v>
      </c>
    </row>
    <row r="12860" spans="1:26">
      <c r="A12860" s="499">
        <v>45932</v>
      </c>
      <c r="B12860" s="499">
        <v>45932</v>
      </c>
      <c r="C12860" s="420" t="s">
        <v>173</v>
      </c>
      <c r="D12860" s="500" t="s">
        <v>760</v>
      </c>
      <c r="E12860" s="501">
        <v>-11000009.710000001</v>
      </c>
      <c r="F12860" s="95" t="s">
        <v>878</v>
      </c>
      <c r="G12860" s="420">
        <v>119410321</v>
      </c>
      <c r="I12860" s="523" t="s">
        <v>807</v>
      </c>
      <c r="J12860" s="530" t="s">
        <v>906</v>
      </c>
      <c r="N12860" s="420">
        <v>10041086</v>
      </c>
      <c r="R12860" s="420">
        <v>1.0954999999999999</v>
      </c>
      <c r="S12860" s="420">
        <v>1.0959772180021199</v>
      </c>
      <c r="T12860" s="420">
        <v>15.9</v>
      </c>
      <c r="U12860" s="278">
        <v>39.32</v>
      </c>
      <c r="V12860" s="278">
        <v>8.25</v>
      </c>
      <c r="Z12860" s="420" t="s">
        <v>2953</v>
      </c>
    </row>
    <row r="12861" spans="1:26">
      <c r="A12861" s="499">
        <v>45932</v>
      </c>
      <c r="B12861" s="499">
        <v>45933</v>
      </c>
      <c r="C12861" s="420" t="s">
        <v>173</v>
      </c>
      <c r="D12861" s="500" t="s">
        <v>760</v>
      </c>
      <c r="E12861" s="501">
        <v>1715490224.0999999</v>
      </c>
      <c r="F12861" s="95" t="s">
        <v>878</v>
      </c>
      <c r="G12861" s="420">
        <v>119409527</v>
      </c>
      <c r="H12861" s="420">
        <v>119409527</v>
      </c>
      <c r="I12861" s="523" t="s">
        <v>1013</v>
      </c>
      <c r="J12861" s="530" t="s">
        <v>912</v>
      </c>
      <c r="N12861" s="420">
        <v>3086914</v>
      </c>
      <c r="R12861" s="420">
        <v>555.48710000000005</v>
      </c>
      <c r="S12861" s="420">
        <v>555.729840254701</v>
      </c>
      <c r="T12861" s="420">
        <v>15.95</v>
      </c>
      <c r="U12861" s="278">
        <v>2572.11</v>
      </c>
      <c r="V12861" s="278">
        <v>1286.06</v>
      </c>
      <c r="Z12861" s="420" t="s">
        <v>2953</v>
      </c>
    </row>
    <row r="12862" spans="1:26">
      <c r="A12862" s="499">
        <v>45932</v>
      </c>
      <c r="B12862" s="499">
        <v>45933</v>
      </c>
      <c r="C12862" s="420" t="s">
        <v>173</v>
      </c>
      <c r="D12862" s="500" t="s">
        <v>760</v>
      </c>
      <c r="E12862" s="501">
        <v>11004801.5</v>
      </c>
      <c r="F12862" s="95" t="s">
        <v>878</v>
      </c>
      <c r="G12862" s="420">
        <v>119410321</v>
      </c>
      <c r="H12862" s="420">
        <v>119410321</v>
      </c>
      <c r="I12862" s="523" t="s">
        <v>807</v>
      </c>
      <c r="J12862" s="530" t="s">
        <v>912</v>
      </c>
      <c r="N12862" s="420">
        <v>10041086</v>
      </c>
      <c r="R12862" s="420">
        <v>1.0954999999999999</v>
      </c>
      <c r="S12862" s="420">
        <v>1.0959772180021199</v>
      </c>
      <c r="T12862" s="420">
        <v>15.9</v>
      </c>
      <c r="U12862" s="278">
        <v>39.32</v>
      </c>
      <c r="V12862" s="278">
        <v>8.25</v>
      </c>
      <c r="Z12862" s="420" t="s">
        <v>2953</v>
      </c>
    </row>
    <row r="12863" spans="1:26">
      <c r="A12863" s="499">
        <v>45932</v>
      </c>
      <c r="B12863" s="499">
        <v>45932</v>
      </c>
      <c r="C12863" s="420" t="s">
        <v>173</v>
      </c>
      <c r="D12863" s="500" t="s">
        <v>763</v>
      </c>
      <c r="E12863" s="501">
        <v>-46003043.18</v>
      </c>
      <c r="F12863" s="95" t="s">
        <v>878</v>
      </c>
      <c r="G12863" s="420">
        <v>119408615</v>
      </c>
      <c r="I12863" s="523" t="s">
        <v>2944</v>
      </c>
      <c r="J12863" s="530" t="s">
        <v>906</v>
      </c>
      <c r="N12863" s="420">
        <v>47288</v>
      </c>
      <c r="R12863" s="420">
        <v>972.827</v>
      </c>
      <c r="S12863" s="420">
        <v>973.25078222804905</v>
      </c>
      <c r="T12863" s="420">
        <v>15.9001</v>
      </c>
      <c r="U12863" s="278">
        <v>69</v>
      </c>
      <c r="V12863" s="278">
        <v>39.32</v>
      </c>
      <c r="Z12863" s="420" t="s">
        <v>2953</v>
      </c>
    </row>
    <row r="12864" spans="1:26">
      <c r="A12864" s="499">
        <v>45932</v>
      </c>
      <c r="B12864" s="499">
        <v>45932</v>
      </c>
      <c r="C12864" s="420" t="s">
        <v>173</v>
      </c>
      <c r="D12864" s="500" t="s">
        <v>763</v>
      </c>
      <c r="E12864" s="501">
        <v>-284018788.30000001</v>
      </c>
      <c r="F12864" s="95" t="s">
        <v>878</v>
      </c>
      <c r="G12864" s="420">
        <v>119408618</v>
      </c>
      <c r="I12864" s="523" t="s">
        <v>2944</v>
      </c>
      <c r="J12864" s="530" t="s">
        <v>906</v>
      </c>
      <c r="N12864" s="420">
        <v>291952</v>
      </c>
      <c r="R12864" s="420">
        <v>972.827</v>
      </c>
      <c r="S12864" s="420">
        <v>973.25078208061598</v>
      </c>
      <c r="T12864" s="420">
        <v>15.9001</v>
      </c>
      <c r="U12864" s="278">
        <v>426.03</v>
      </c>
      <c r="V12864" s="278">
        <v>213.01</v>
      </c>
      <c r="Z12864" s="420" t="s">
        <v>2953</v>
      </c>
    </row>
    <row r="12865" spans="1:26">
      <c r="A12865" s="499">
        <v>45932</v>
      </c>
      <c r="B12865" s="499">
        <v>45932</v>
      </c>
      <c r="C12865" s="420" t="s">
        <v>173</v>
      </c>
      <c r="D12865" s="500" t="s">
        <v>763</v>
      </c>
      <c r="E12865" s="501">
        <v>-1764183939.3399999</v>
      </c>
      <c r="F12865" s="95" t="s">
        <v>878</v>
      </c>
      <c r="G12865" s="420">
        <v>119408621</v>
      </c>
      <c r="I12865" s="523" t="s">
        <v>675</v>
      </c>
      <c r="J12865" s="530" t="s">
        <v>906</v>
      </c>
      <c r="N12865" s="420">
        <v>1853964</v>
      </c>
      <c r="R12865" s="420">
        <v>951.57399999999996</v>
      </c>
      <c r="S12865" s="420">
        <v>951.98852127657301</v>
      </c>
      <c r="T12865" s="420">
        <v>15.9</v>
      </c>
      <c r="U12865" s="278">
        <v>2646.28</v>
      </c>
      <c r="V12865" s="278">
        <v>1323.14</v>
      </c>
      <c r="Z12865" s="420" t="s">
        <v>2953</v>
      </c>
    </row>
    <row r="12866" spans="1:26">
      <c r="A12866" s="499">
        <v>45932</v>
      </c>
      <c r="B12866" s="499">
        <v>45932</v>
      </c>
      <c r="C12866" s="420" t="s">
        <v>173</v>
      </c>
      <c r="D12866" s="500" t="s">
        <v>763</v>
      </c>
      <c r="E12866" s="501">
        <v>-13001355.560000001</v>
      </c>
      <c r="F12866" s="95" t="s">
        <v>878</v>
      </c>
      <c r="G12866" s="420">
        <v>119408652</v>
      </c>
      <c r="I12866" s="523" t="s">
        <v>675</v>
      </c>
      <c r="J12866" s="530" t="s">
        <v>906</v>
      </c>
      <c r="N12866" s="420">
        <v>13663</v>
      </c>
      <c r="R12866" s="420">
        <v>951.57399999999996</v>
      </c>
      <c r="S12866" s="420">
        <v>951.98852082266001</v>
      </c>
      <c r="T12866" s="420">
        <v>15.9</v>
      </c>
      <c r="U12866" s="278">
        <v>39.32</v>
      </c>
      <c r="V12866" s="278">
        <v>39.32</v>
      </c>
      <c r="Z12866" s="420" t="s">
        <v>2953</v>
      </c>
    </row>
    <row r="12867" spans="1:26">
      <c r="A12867" s="499">
        <v>45932</v>
      </c>
      <c r="B12867" s="499">
        <v>45933</v>
      </c>
      <c r="C12867" s="420" t="s">
        <v>173</v>
      </c>
      <c r="D12867" s="500" t="s">
        <v>763</v>
      </c>
      <c r="E12867" s="501">
        <v>46023082.990000002</v>
      </c>
      <c r="F12867" s="95" t="s">
        <v>878</v>
      </c>
      <c r="G12867" s="420">
        <v>119408615</v>
      </c>
      <c r="H12867" s="420">
        <v>119408615</v>
      </c>
      <c r="I12867" s="523" t="s">
        <v>2944</v>
      </c>
      <c r="J12867" s="530" t="s">
        <v>912</v>
      </c>
      <c r="N12867" s="420">
        <v>47288</v>
      </c>
      <c r="R12867" s="420">
        <v>972.827</v>
      </c>
      <c r="S12867" s="420">
        <v>973.25078222804905</v>
      </c>
      <c r="T12867" s="420">
        <v>15.9001</v>
      </c>
      <c r="U12867" s="278">
        <v>69</v>
      </c>
      <c r="V12867" s="278">
        <v>39.32</v>
      </c>
      <c r="Z12867" s="420" t="s">
        <v>2953</v>
      </c>
    </row>
    <row r="12868" spans="1:26">
      <c r="A12868" s="499">
        <v>45932</v>
      </c>
      <c r="B12868" s="499">
        <v>45933</v>
      </c>
      <c r="C12868" s="420" t="s">
        <v>173</v>
      </c>
      <c r="D12868" s="500" t="s">
        <v>763</v>
      </c>
      <c r="E12868" s="501">
        <v>284142512.32999998</v>
      </c>
      <c r="F12868" s="95" t="s">
        <v>878</v>
      </c>
      <c r="G12868" s="420">
        <v>119408618</v>
      </c>
      <c r="H12868" s="420">
        <v>119408618</v>
      </c>
      <c r="I12868" s="523" t="s">
        <v>2944</v>
      </c>
      <c r="J12868" s="530" t="s">
        <v>912</v>
      </c>
      <c r="N12868" s="420">
        <v>291952</v>
      </c>
      <c r="R12868" s="420">
        <v>972.827</v>
      </c>
      <c r="S12868" s="420">
        <v>973.25078208061598</v>
      </c>
      <c r="T12868" s="420">
        <v>15.9001</v>
      </c>
      <c r="U12868" s="278">
        <v>426.03</v>
      </c>
      <c r="V12868" s="278">
        <v>213.01</v>
      </c>
      <c r="Z12868" s="420" t="s">
        <v>2953</v>
      </c>
    </row>
    <row r="12869" spans="1:26">
      <c r="A12869" s="499">
        <v>45932</v>
      </c>
      <c r="B12869" s="499">
        <v>45933</v>
      </c>
      <c r="C12869" s="420" t="s">
        <v>173</v>
      </c>
      <c r="D12869" s="500" t="s">
        <v>763</v>
      </c>
      <c r="E12869" s="501">
        <v>1764952446.8599999</v>
      </c>
      <c r="F12869" s="95" t="s">
        <v>878</v>
      </c>
      <c r="G12869" s="420">
        <v>119408621</v>
      </c>
      <c r="H12869" s="420">
        <v>119408621</v>
      </c>
      <c r="I12869" s="523" t="s">
        <v>675</v>
      </c>
      <c r="J12869" s="530" t="s">
        <v>912</v>
      </c>
      <c r="N12869" s="420">
        <v>1853964</v>
      </c>
      <c r="R12869" s="420">
        <v>951.57399999999996</v>
      </c>
      <c r="S12869" s="420">
        <v>951.98852127657301</v>
      </c>
      <c r="T12869" s="420">
        <v>15.9</v>
      </c>
      <c r="U12869" s="278">
        <v>2646.28</v>
      </c>
      <c r="V12869" s="278">
        <v>1323.14</v>
      </c>
      <c r="Z12869" s="420" t="s">
        <v>2953</v>
      </c>
    </row>
    <row r="12870" spans="1:26">
      <c r="A12870" s="499">
        <v>45932</v>
      </c>
      <c r="B12870" s="499">
        <v>45933</v>
      </c>
      <c r="C12870" s="420" t="s">
        <v>173</v>
      </c>
      <c r="D12870" s="500" t="s">
        <v>763</v>
      </c>
      <c r="E12870" s="501">
        <v>13007019.16</v>
      </c>
      <c r="F12870" s="95" t="s">
        <v>878</v>
      </c>
      <c r="G12870" s="420">
        <v>119408652</v>
      </c>
      <c r="H12870" s="420">
        <v>119408652</v>
      </c>
      <c r="I12870" s="523" t="s">
        <v>675</v>
      </c>
      <c r="J12870" s="530" t="s">
        <v>912</v>
      </c>
      <c r="N12870" s="420">
        <v>13663</v>
      </c>
      <c r="R12870" s="420">
        <v>951.57399999999996</v>
      </c>
      <c r="S12870" s="420">
        <v>951.98852082266001</v>
      </c>
      <c r="T12870" s="420">
        <v>15.9</v>
      </c>
      <c r="U12870" s="278">
        <v>39.32</v>
      </c>
      <c r="V12870" s="278">
        <v>39.32</v>
      </c>
      <c r="Z12870" s="420" t="s">
        <v>2953</v>
      </c>
    </row>
    <row r="12871" spans="1:26">
      <c r="A12871" s="499">
        <v>45932</v>
      </c>
      <c r="B12871" s="499">
        <v>45932</v>
      </c>
      <c r="C12871" s="420" t="s">
        <v>173</v>
      </c>
      <c r="D12871" s="500" t="s">
        <v>761</v>
      </c>
      <c r="E12871" s="501">
        <v>-1411001245.9100001</v>
      </c>
      <c r="F12871" s="95" t="s">
        <v>878</v>
      </c>
      <c r="G12871" s="420">
        <v>119410292</v>
      </c>
      <c r="I12871" s="523" t="s">
        <v>807</v>
      </c>
      <c r="J12871" s="530" t="s">
        <v>906</v>
      </c>
      <c r="N12871" s="420">
        <v>1287997486</v>
      </c>
      <c r="R12871" s="420">
        <v>1.0954999999976709</v>
      </c>
      <c r="S12871" s="420">
        <v>1.09597721780802</v>
      </c>
      <c r="T12871" s="420">
        <v>15.9</v>
      </c>
      <c r="U12871" s="278">
        <v>2116.5</v>
      </c>
      <c r="V12871" s="278">
        <v>1058.25</v>
      </c>
      <c r="Z12871" s="420" t="s">
        <v>2953</v>
      </c>
    </row>
    <row r="12872" spans="1:26">
      <c r="A12872" s="499">
        <v>45932</v>
      </c>
      <c r="B12872" s="499">
        <v>45932</v>
      </c>
      <c r="C12872" s="420" t="s">
        <v>173</v>
      </c>
      <c r="D12872" s="500" t="s">
        <v>761</v>
      </c>
      <c r="E12872" s="501">
        <v>-9000007.9499999993</v>
      </c>
      <c r="F12872" s="95" t="s">
        <v>878</v>
      </c>
      <c r="G12872" s="420">
        <v>119410341</v>
      </c>
      <c r="I12872" s="523" t="s">
        <v>807</v>
      </c>
      <c r="J12872" s="530" t="s">
        <v>906</v>
      </c>
      <c r="N12872" s="420">
        <v>8215434</v>
      </c>
      <c r="R12872" s="420">
        <v>1.0955000003651663</v>
      </c>
      <c r="S12872" s="420">
        <v>1.0959772180021199</v>
      </c>
      <c r="T12872" s="420">
        <v>15.9</v>
      </c>
      <c r="U12872" s="278">
        <v>39.32</v>
      </c>
      <c r="V12872" s="278">
        <v>6.75</v>
      </c>
      <c r="Z12872" s="420" t="s">
        <v>2953</v>
      </c>
    </row>
    <row r="12873" spans="1:26">
      <c r="A12873" s="499">
        <v>45932</v>
      </c>
      <c r="B12873" s="499">
        <v>45933</v>
      </c>
      <c r="C12873" s="420" t="s">
        <v>173</v>
      </c>
      <c r="D12873" s="500" t="s">
        <v>761</v>
      </c>
      <c r="E12873" s="501">
        <v>1411615901.25</v>
      </c>
      <c r="F12873" s="95" t="s">
        <v>878</v>
      </c>
      <c r="G12873" s="420">
        <v>119410292</v>
      </c>
      <c r="H12873" s="420">
        <v>119410292</v>
      </c>
      <c r="I12873" s="523" t="s">
        <v>807</v>
      </c>
      <c r="J12873" s="530" t="s">
        <v>912</v>
      </c>
      <c r="N12873" s="420">
        <v>1287997486</v>
      </c>
      <c r="R12873" s="420">
        <v>1.0954999999976709</v>
      </c>
      <c r="S12873" s="420">
        <v>1.09597721780802</v>
      </c>
      <c r="T12873" s="420">
        <v>15.9</v>
      </c>
      <c r="U12873" s="278">
        <v>2116.5</v>
      </c>
      <c r="V12873" s="278">
        <v>1058.25</v>
      </c>
      <c r="Z12873" s="420" t="s">
        <v>2953</v>
      </c>
    </row>
    <row r="12874" spans="1:26">
      <c r="A12874" s="499">
        <v>45932</v>
      </c>
      <c r="B12874" s="499">
        <v>45933</v>
      </c>
      <c r="C12874" s="420" t="s">
        <v>173</v>
      </c>
      <c r="D12874" s="500" t="s">
        <v>761</v>
      </c>
      <c r="E12874" s="501">
        <v>9003928.5</v>
      </c>
      <c r="F12874" s="95" t="s">
        <v>878</v>
      </c>
      <c r="G12874" s="420">
        <v>119410341</v>
      </c>
      <c r="H12874" s="420">
        <v>119410341</v>
      </c>
      <c r="I12874" s="523" t="s">
        <v>807</v>
      </c>
      <c r="J12874" s="530" t="s">
        <v>912</v>
      </c>
      <c r="N12874" s="420">
        <v>8215434</v>
      </c>
      <c r="R12874" s="420">
        <v>1.0955000003651663</v>
      </c>
      <c r="S12874" s="420">
        <v>1.0959772180021199</v>
      </c>
      <c r="T12874" s="420">
        <v>15.9</v>
      </c>
      <c r="U12874" s="278">
        <v>39.32</v>
      </c>
      <c r="V12874" s="278">
        <v>6.75</v>
      </c>
      <c r="Z12874" s="420" t="s">
        <v>2953</v>
      </c>
    </row>
    <row r="12875" spans="1:26">
      <c r="A12875" s="499">
        <v>45932</v>
      </c>
      <c r="B12875" s="499">
        <v>45932</v>
      </c>
      <c r="C12875" s="420" t="s">
        <v>173</v>
      </c>
      <c r="D12875" s="500" t="s">
        <v>759</v>
      </c>
      <c r="E12875" s="501">
        <v>-1989159826.0999999</v>
      </c>
      <c r="F12875" s="95" t="s">
        <v>878</v>
      </c>
      <c r="G12875" s="420">
        <v>119410595</v>
      </c>
      <c r="I12875" s="523" t="s">
        <v>3046</v>
      </c>
      <c r="J12875" s="530" t="s">
        <v>906</v>
      </c>
      <c r="N12875" s="420">
        <v>19999395</v>
      </c>
      <c r="R12875" s="420">
        <v>99.461000000249996</v>
      </c>
      <c r="S12875" s="420">
        <v>99.504435845184304</v>
      </c>
      <c r="T12875" s="420">
        <v>15.94</v>
      </c>
      <c r="U12875" s="278">
        <v>2983.74</v>
      </c>
      <c r="V12875" s="278">
        <v>1491.87</v>
      </c>
      <c r="Z12875" s="420" t="s">
        <v>2953</v>
      </c>
    </row>
    <row r="12876" spans="1:26">
      <c r="A12876" s="499">
        <v>45932</v>
      </c>
      <c r="B12876" s="499">
        <v>45932</v>
      </c>
      <c r="C12876" s="420" t="s">
        <v>173</v>
      </c>
      <c r="D12876" s="500" t="s">
        <v>759</v>
      </c>
      <c r="E12876" s="501">
        <v>-13006902.82</v>
      </c>
      <c r="F12876" s="95" t="s">
        <v>878</v>
      </c>
      <c r="G12876" s="420">
        <v>119416683</v>
      </c>
      <c r="I12876" s="523" t="s">
        <v>550</v>
      </c>
      <c r="J12876" s="530" t="s">
        <v>906</v>
      </c>
      <c r="N12876" s="420">
        <v>23660</v>
      </c>
      <c r="R12876" s="420">
        <v>549.74230008453083</v>
      </c>
      <c r="S12876" s="420">
        <v>549.97605494505501</v>
      </c>
      <c r="T12876" s="420">
        <v>15.520099999999999</v>
      </c>
      <c r="U12876" s="278">
        <v>39.32</v>
      </c>
      <c r="V12876" s="278">
        <v>9.76</v>
      </c>
      <c r="Z12876" s="420" t="s">
        <v>2953</v>
      </c>
    </row>
    <row r="12877" spans="1:26">
      <c r="A12877" s="499">
        <v>45932</v>
      </c>
      <c r="B12877" s="499">
        <v>45933</v>
      </c>
      <c r="C12877" s="420" t="s">
        <v>173</v>
      </c>
      <c r="D12877" s="500" t="s">
        <v>759</v>
      </c>
      <c r="E12877" s="501">
        <v>1990028516.72</v>
      </c>
      <c r="F12877" s="95" t="s">
        <v>878</v>
      </c>
      <c r="G12877" s="420">
        <v>119410595</v>
      </c>
      <c r="H12877" s="420">
        <v>119410595</v>
      </c>
      <c r="I12877" s="523" t="s">
        <v>3046</v>
      </c>
      <c r="J12877" s="530" t="s">
        <v>912</v>
      </c>
      <c r="N12877" s="420">
        <v>19999395</v>
      </c>
      <c r="R12877" s="420">
        <v>99.461000000249996</v>
      </c>
      <c r="S12877" s="420">
        <v>99.504435845184304</v>
      </c>
      <c r="T12877" s="420">
        <v>15.94</v>
      </c>
      <c r="U12877" s="278">
        <v>2983.74</v>
      </c>
      <c r="V12877" s="278">
        <v>1491.87</v>
      </c>
      <c r="Z12877" s="420" t="s">
        <v>2953</v>
      </c>
    </row>
    <row r="12878" spans="1:26">
      <c r="A12878" s="499">
        <v>45932</v>
      </c>
      <c r="B12878" s="499">
        <v>45933</v>
      </c>
      <c r="C12878" s="420" t="s">
        <v>173</v>
      </c>
      <c r="D12878" s="500" t="s">
        <v>759</v>
      </c>
      <c r="E12878" s="501">
        <v>13012433.460000001</v>
      </c>
      <c r="F12878" s="95" t="s">
        <v>878</v>
      </c>
      <c r="G12878" s="420">
        <v>119416683</v>
      </c>
      <c r="H12878" s="420">
        <v>119416683</v>
      </c>
      <c r="I12878" s="523" t="s">
        <v>550</v>
      </c>
      <c r="J12878" s="530" t="s">
        <v>912</v>
      </c>
      <c r="N12878" s="420">
        <v>23660</v>
      </c>
      <c r="R12878" s="420">
        <v>549.74230008453083</v>
      </c>
      <c r="S12878" s="420">
        <v>549.97605494505501</v>
      </c>
      <c r="T12878" s="420">
        <v>15.520099999999999</v>
      </c>
      <c r="U12878" s="278">
        <v>39.32</v>
      </c>
      <c r="V12878" s="278">
        <v>9.76</v>
      </c>
      <c r="Z12878" s="420" t="s">
        <v>2953</v>
      </c>
    </row>
    <row r="12879" spans="1:26">
      <c r="A12879" s="499">
        <v>45933</v>
      </c>
      <c r="B12879" s="499">
        <v>45933</v>
      </c>
      <c r="C12879" s="420" t="s">
        <v>173</v>
      </c>
      <c r="D12879" s="500" t="s">
        <v>764</v>
      </c>
      <c r="E12879" s="501">
        <v>-4900396665.71</v>
      </c>
      <c r="F12879" s="95" t="s">
        <v>878</v>
      </c>
      <c r="G12879" s="420">
        <v>119431150</v>
      </c>
      <c r="I12879" s="523" t="s">
        <v>712</v>
      </c>
      <c r="J12879" s="530" t="s">
        <v>906</v>
      </c>
      <c r="N12879" s="420">
        <v>5687739</v>
      </c>
      <c r="R12879" s="420">
        <v>861.57200000035164</v>
      </c>
      <c r="S12879" s="420">
        <v>862.69086336415899</v>
      </c>
      <c r="T12879" s="420">
        <v>15.8</v>
      </c>
      <c r="U12879" s="278">
        <v>22051.78</v>
      </c>
      <c r="V12879" s="278">
        <v>11025.89</v>
      </c>
      <c r="Z12879" s="420" t="s">
        <v>2953</v>
      </c>
    </row>
    <row r="12880" spans="1:26">
      <c r="A12880" s="499">
        <v>45933</v>
      </c>
      <c r="B12880" s="499">
        <v>45933</v>
      </c>
      <c r="C12880" s="420" t="s">
        <v>173</v>
      </c>
      <c r="D12880" s="500" t="s">
        <v>764</v>
      </c>
      <c r="E12880" s="501">
        <v>-30008552.760000002</v>
      </c>
      <c r="F12880" s="95" t="s">
        <v>878</v>
      </c>
      <c r="G12880" s="420">
        <v>119431174</v>
      </c>
      <c r="I12880" s="523" t="s">
        <v>712</v>
      </c>
      <c r="J12880" s="530" t="s">
        <v>906</v>
      </c>
      <c r="N12880" s="420">
        <v>34830</v>
      </c>
      <c r="R12880" s="420">
        <v>861.572</v>
      </c>
      <c r="S12880" s="420">
        <v>862.69086333620396</v>
      </c>
      <c r="T12880" s="420">
        <v>15.8</v>
      </c>
      <c r="U12880" s="278">
        <v>135.04</v>
      </c>
      <c r="V12880" s="278">
        <v>67.52</v>
      </c>
      <c r="Z12880" s="420" t="s">
        <v>2953</v>
      </c>
    </row>
    <row r="12881" spans="1:26">
      <c r="A12881" s="499">
        <v>45933</v>
      </c>
      <c r="B12881" s="499">
        <v>45936</v>
      </c>
      <c r="C12881" s="420" t="s">
        <v>173</v>
      </c>
      <c r="D12881" s="500" t="s">
        <v>764</v>
      </c>
      <c r="E12881" s="501">
        <v>4906760468.5</v>
      </c>
      <c r="F12881" s="95" t="s">
        <v>878</v>
      </c>
      <c r="G12881" s="420">
        <v>119431150</v>
      </c>
      <c r="H12881" s="420">
        <v>119431150</v>
      </c>
      <c r="I12881" s="523" t="s">
        <v>712</v>
      </c>
      <c r="J12881" s="530" t="s">
        <v>912</v>
      </c>
      <c r="N12881" s="420">
        <v>5687739</v>
      </c>
      <c r="R12881" s="420">
        <v>861.57200000035164</v>
      </c>
      <c r="S12881" s="420">
        <v>862.69086336415899</v>
      </c>
      <c r="T12881" s="420">
        <v>15.8</v>
      </c>
      <c r="U12881" s="278">
        <v>22051.78</v>
      </c>
      <c r="V12881" s="278">
        <v>11025.89</v>
      </c>
      <c r="Z12881" s="420" t="s">
        <v>2953</v>
      </c>
    </row>
    <row r="12882" spans="1:26">
      <c r="A12882" s="499">
        <v>45933</v>
      </c>
      <c r="B12882" s="499">
        <v>45936</v>
      </c>
      <c r="C12882" s="420" t="s">
        <v>173</v>
      </c>
      <c r="D12882" s="500" t="s">
        <v>764</v>
      </c>
      <c r="E12882" s="501">
        <v>30047522.77</v>
      </c>
      <c r="F12882" s="95" t="s">
        <v>878</v>
      </c>
      <c r="G12882" s="420">
        <v>119431174</v>
      </c>
      <c r="H12882" s="420">
        <v>119431174</v>
      </c>
      <c r="I12882" s="523" t="s">
        <v>712</v>
      </c>
      <c r="J12882" s="530" t="s">
        <v>912</v>
      </c>
      <c r="N12882" s="420">
        <v>34830</v>
      </c>
      <c r="R12882" s="420">
        <v>861.572</v>
      </c>
      <c r="S12882" s="420">
        <v>862.69086333620396</v>
      </c>
      <c r="T12882" s="420">
        <v>15.8</v>
      </c>
      <c r="U12882" s="278">
        <v>135.04</v>
      </c>
      <c r="V12882" s="278">
        <v>67.52</v>
      </c>
      <c r="Z12882" s="420" t="s">
        <v>2953</v>
      </c>
    </row>
    <row r="12883" spans="1:26">
      <c r="A12883" s="499">
        <v>45933</v>
      </c>
      <c r="B12883" s="499">
        <v>45933</v>
      </c>
      <c r="C12883" s="420" t="s">
        <v>173</v>
      </c>
      <c r="D12883" s="500" t="s">
        <v>760</v>
      </c>
      <c r="E12883" s="501">
        <v>-12000130.810000001</v>
      </c>
      <c r="F12883" s="95" t="s">
        <v>878</v>
      </c>
      <c r="G12883" s="420">
        <v>119431047</v>
      </c>
      <c r="I12883" s="523" t="s">
        <v>833</v>
      </c>
      <c r="J12883" s="530" t="s">
        <v>906</v>
      </c>
      <c r="N12883" s="420">
        <v>18504</v>
      </c>
      <c r="R12883" s="420">
        <v>648.51549999999997</v>
      </c>
      <c r="S12883" s="420">
        <v>649.36034154777303</v>
      </c>
      <c r="T12883" s="420">
        <v>15.8499</v>
      </c>
      <c r="U12883" s="278">
        <v>54</v>
      </c>
      <c r="V12883" s="278">
        <v>27</v>
      </c>
      <c r="Z12883" s="420" t="s">
        <v>2953</v>
      </c>
    </row>
    <row r="12884" spans="1:26">
      <c r="A12884" s="499">
        <v>45933</v>
      </c>
      <c r="B12884" s="499">
        <v>45933</v>
      </c>
      <c r="C12884" s="420" t="s">
        <v>173</v>
      </c>
      <c r="D12884" s="500" t="s">
        <v>760</v>
      </c>
      <c r="E12884" s="501">
        <v>-156005232.24000001</v>
      </c>
      <c r="F12884" s="95" t="s">
        <v>878</v>
      </c>
      <c r="G12884" s="420">
        <v>119431050</v>
      </c>
      <c r="I12884" s="523" t="s">
        <v>690</v>
      </c>
      <c r="J12884" s="530" t="s">
        <v>906</v>
      </c>
      <c r="N12884" s="420">
        <v>207636</v>
      </c>
      <c r="R12884" s="420">
        <v>751.34</v>
      </c>
      <c r="S12884" s="420">
        <v>752.31879428422803</v>
      </c>
      <c r="T12884" s="420">
        <v>15.8499</v>
      </c>
      <c r="U12884" s="278">
        <v>702.02</v>
      </c>
      <c r="V12884" s="278">
        <v>351.01</v>
      </c>
      <c r="Z12884" s="420" t="s">
        <v>2953</v>
      </c>
    </row>
    <row r="12885" spans="1:26">
      <c r="A12885" s="499">
        <v>45933</v>
      </c>
      <c r="B12885" s="499">
        <v>45933</v>
      </c>
      <c r="C12885" s="420" t="s">
        <v>173</v>
      </c>
      <c r="D12885" s="500" t="s">
        <v>760</v>
      </c>
      <c r="E12885" s="501">
        <v>-139146826.25999999</v>
      </c>
      <c r="F12885" s="95" t="s">
        <v>878</v>
      </c>
      <c r="G12885" s="420">
        <v>119431053</v>
      </c>
      <c r="I12885" s="523" t="s">
        <v>598</v>
      </c>
      <c r="J12885" s="530" t="s">
        <v>906</v>
      </c>
      <c r="N12885" s="420">
        <v>131216</v>
      </c>
      <c r="R12885" s="420">
        <v>1060.441</v>
      </c>
      <c r="S12885" s="420">
        <v>1061.82246989696</v>
      </c>
      <c r="T12885" s="420">
        <v>15.8499</v>
      </c>
      <c r="U12885" s="278">
        <v>626.16</v>
      </c>
      <c r="V12885" s="278">
        <v>313.08</v>
      </c>
      <c r="Z12885" s="420" t="s">
        <v>2953</v>
      </c>
    </row>
    <row r="12886" spans="1:26">
      <c r="A12886" s="499">
        <v>45933</v>
      </c>
      <c r="B12886" s="499">
        <v>45933</v>
      </c>
      <c r="C12886" s="420" t="s">
        <v>173</v>
      </c>
      <c r="D12886" s="500" t="s">
        <v>760</v>
      </c>
      <c r="E12886" s="501">
        <v>-132087082.38</v>
      </c>
      <c r="F12886" s="95" t="s">
        <v>878</v>
      </c>
      <c r="G12886" s="420">
        <v>119431056</v>
      </c>
      <c r="I12886" s="523" t="s">
        <v>687</v>
      </c>
      <c r="J12886" s="530" t="s">
        <v>906</v>
      </c>
      <c r="N12886" s="420">
        <v>159060</v>
      </c>
      <c r="R12886" s="420">
        <v>830.423</v>
      </c>
      <c r="S12886" s="420">
        <v>831.504818181818</v>
      </c>
      <c r="T12886" s="420">
        <v>15.8499</v>
      </c>
      <c r="U12886" s="278">
        <v>594.39</v>
      </c>
      <c r="V12886" s="278">
        <v>297.2</v>
      </c>
      <c r="Z12886" s="420" t="s">
        <v>2953</v>
      </c>
    </row>
    <row r="12887" spans="1:26">
      <c r="A12887" s="499">
        <v>45933</v>
      </c>
      <c r="B12887" s="499">
        <v>45933</v>
      </c>
      <c r="C12887" s="420" t="s">
        <v>173</v>
      </c>
      <c r="D12887" s="500" t="s">
        <v>760</v>
      </c>
      <c r="E12887" s="501">
        <v>-129001406.23</v>
      </c>
      <c r="F12887" s="95" t="s">
        <v>878</v>
      </c>
      <c r="G12887" s="420">
        <v>119431059</v>
      </c>
      <c r="I12887" s="523" t="s">
        <v>833</v>
      </c>
      <c r="J12887" s="530" t="s">
        <v>906</v>
      </c>
      <c r="N12887" s="420">
        <v>198918</v>
      </c>
      <c r="R12887" s="420">
        <v>648.51549999999997</v>
      </c>
      <c r="S12887" s="420">
        <v>649.36034159804501</v>
      </c>
      <c r="T12887" s="420">
        <v>15.8499</v>
      </c>
      <c r="U12887" s="278">
        <v>580.51</v>
      </c>
      <c r="V12887" s="278">
        <v>290.25</v>
      </c>
      <c r="Z12887" s="420" t="s">
        <v>2953</v>
      </c>
    </row>
    <row r="12888" spans="1:26">
      <c r="A12888" s="499">
        <v>45933</v>
      </c>
      <c r="B12888" s="499">
        <v>45933</v>
      </c>
      <c r="C12888" s="420" t="s">
        <v>173</v>
      </c>
      <c r="D12888" s="500" t="s">
        <v>760</v>
      </c>
      <c r="E12888" s="501">
        <v>-98004736.540000007</v>
      </c>
      <c r="F12888" s="95" t="s">
        <v>878</v>
      </c>
      <c r="G12888" s="420">
        <v>119431062</v>
      </c>
      <c r="I12888" s="523" t="s">
        <v>590</v>
      </c>
      <c r="J12888" s="530" t="s">
        <v>906</v>
      </c>
      <c r="N12888" s="420">
        <v>102606</v>
      </c>
      <c r="R12888" s="420">
        <v>955.15599999999995</v>
      </c>
      <c r="S12888" s="420">
        <v>956.40031187260001</v>
      </c>
      <c r="T12888" s="420">
        <v>15.8499</v>
      </c>
      <c r="U12888" s="278">
        <v>441.02</v>
      </c>
      <c r="V12888" s="278">
        <v>220.51</v>
      </c>
      <c r="Z12888" s="420" t="s">
        <v>2953</v>
      </c>
    </row>
    <row r="12889" spans="1:26">
      <c r="A12889" s="499">
        <v>45933</v>
      </c>
      <c r="B12889" s="499">
        <v>45933</v>
      </c>
      <c r="C12889" s="420" t="s">
        <v>173</v>
      </c>
      <c r="D12889" s="500" t="s">
        <v>760</v>
      </c>
      <c r="E12889" s="501">
        <v>-93022631.359999999</v>
      </c>
      <c r="F12889" s="95" t="s">
        <v>878</v>
      </c>
      <c r="G12889" s="420">
        <v>119431065</v>
      </c>
      <c r="I12889" s="523" t="s">
        <v>658</v>
      </c>
      <c r="J12889" s="530" t="s">
        <v>906</v>
      </c>
      <c r="N12889" s="420">
        <v>89466</v>
      </c>
      <c r="R12889" s="420">
        <v>1039.7539999999999</v>
      </c>
      <c r="S12889" s="420">
        <v>1041.1085202199699</v>
      </c>
      <c r="T12889" s="420">
        <v>15.8499</v>
      </c>
      <c r="U12889" s="278">
        <v>418.6</v>
      </c>
      <c r="V12889" s="278">
        <v>209.3</v>
      </c>
      <c r="Z12889" s="420" t="s">
        <v>2953</v>
      </c>
    </row>
    <row r="12890" spans="1:26">
      <c r="A12890" s="499">
        <v>45933</v>
      </c>
      <c r="B12890" s="499">
        <v>45933</v>
      </c>
      <c r="C12890" s="420" t="s">
        <v>173</v>
      </c>
      <c r="D12890" s="500" t="s">
        <v>760</v>
      </c>
      <c r="E12890" s="501">
        <v>-76044166.939999998</v>
      </c>
      <c r="F12890" s="95" t="s">
        <v>878</v>
      </c>
      <c r="G12890" s="420">
        <v>119431068</v>
      </c>
      <c r="I12890" s="523" t="s">
        <v>715</v>
      </c>
      <c r="J12890" s="530" t="s">
        <v>906</v>
      </c>
      <c r="N12890" s="420">
        <v>124944</v>
      </c>
      <c r="R12890" s="420">
        <v>608.62599999999998</v>
      </c>
      <c r="S12890" s="420">
        <v>609.41887621654496</v>
      </c>
      <c r="T12890" s="420">
        <v>15.8499</v>
      </c>
      <c r="U12890" s="278">
        <v>342.2</v>
      </c>
      <c r="V12890" s="278">
        <v>171.1</v>
      </c>
      <c r="Z12890" s="420" t="s">
        <v>2953</v>
      </c>
    </row>
    <row r="12891" spans="1:26">
      <c r="A12891" s="499">
        <v>45933</v>
      </c>
      <c r="B12891" s="499">
        <v>45933</v>
      </c>
      <c r="C12891" s="420" t="s">
        <v>173</v>
      </c>
      <c r="D12891" s="500" t="s">
        <v>760</v>
      </c>
      <c r="E12891" s="501">
        <v>-39025597.420000002</v>
      </c>
      <c r="F12891" s="95" t="s">
        <v>878</v>
      </c>
      <c r="G12891" s="420">
        <v>119431071</v>
      </c>
      <c r="I12891" s="523" t="s">
        <v>693</v>
      </c>
      <c r="J12891" s="530" t="s">
        <v>906</v>
      </c>
      <c r="N12891" s="420">
        <v>50739</v>
      </c>
      <c r="R12891" s="420">
        <v>769.14400000000001</v>
      </c>
      <c r="S12891" s="420">
        <v>770.14598829302895</v>
      </c>
      <c r="T12891" s="420">
        <v>15.8499</v>
      </c>
      <c r="U12891" s="278">
        <v>175.62</v>
      </c>
      <c r="V12891" s="278">
        <v>87.81</v>
      </c>
      <c r="Z12891" s="420" t="s">
        <v>2953</v>
      </c>
    </row>
    <row r="12892" spans="1:26">
      <c r="A12892" s="499">
        <v>45933</v>
      </c>
      <c r="B12892" s="499">
        <v>45933</v>
      </c>
      <c r="C12892" s="420" t="s">
        <v>173</v>
      </c>
      <c r="D12892" s="500" t="s">
        <v>760</v>
      </c>
      <c r="E12892" s="501">
        <v>-39001884.950000003</v>
      </c>
      <c r="F12892" s="95" t="s">
        <v>878</v>
      </c>
      <c r="G12892" s="420">
        <v>119431074</v>
      </c>
      <c r="I12892" s="523" t="s">
        <v>590</v>
      </c>
      <c r="J12892" s="530" t="s">
        <v>906</v>
      </c>
      <c r="N12892" s="420">
        <v>40833</v>
      </c>
      <c r="R12892" s="420">
        <v>955.15599999999995</v>
      </c>
      <c r="S12892" s="420">
        <v>956.40031175764705</v>
      </c>
      <c r="T12892" s="420">
        <v>15.8499</v>
      </c>
      <c r="U12892" s="278">
        <v>175.51</v>
      </c>
      <c r="V12892" s="278">
        <v>87.75</v>
      </c>
      <c r="Z12892" s="420" t="s">
        <v>2953</v>
      </c>
    </row>
    <row r="12893" spans="1:26">
      <c r="A12893" s="499">
        <v>45933</v>
      </c>
      <c r="B12893" s="499">
        <v>45933</v>
      </c>
      <c r="C12893" s="420" t="s">
        <v>173</v>
      </c>
      <c r="D12893" s="500" t="s">
        <v>760</v>
      </c>
      <c r="E12893" s="501">
        <v>-37001788.280000001</v>
      </c>
      <c r="F12893" s="95" t="s">
        <v>878</v>
      </c>
      <c r="G12893" s="420">
        <v>119431077</v>
      </c>
      <c r="I12893" s="523" t="s">
        <v>590</v>
      </c>
      <c r="J12893" s="530" t="s">
        <v>906</v>
      </c>
      <c r="N12893" s="420">
        <v>38739</v>
      </c>
      <c r="R12893" s="420">
        <v>955.15599999999995</v>
      </c>
      <c r="S12893" s="420">
        <v>956.40031183045505</v>
      </c>
      <c r="T12893" s="420">
        <v>15.8499</v>
      </c>
      <c r="U12893" s="278">
        <v>166.51</v>
      </c>
      <c r="V12893" s="278">
        <v>83.25</v>
      </c>
      <c r="Z12893" s="420" t="s">
        <v>2953</v>
      </c>
    </row>
    <row r="12894" spans="1:26">
      <c r="A12894" s="499">
        <v>45933</v>
      </c>
      <c r="B12894" s="499">
        <v>45933</v>
      </c>
      <c r="C12894" s="420" t="s">
        <v>173</v>
      </c>
      <c r="D12894" s="500" t="s">
        <v>760</v>
      </c>
      <c r="E12894" s="501">
        <v>-30030065.280000001</v>
      </c>
      <c r="F12894" s="95" t="s">
        <v>878</v>
      </c>
      <c r="G12894" s="420">
        <v>119431080</v>
      </c>
      <c r="I12894" s="523" t="s">
        <v>823</v>
      </c>
      <c r="J12894" s="530" t="s">
        <v>906</v>
      </c>
      <c r="N12894" s="420">
        <v>28920</v>
      </c>
      <c r="R12894" s="420">
        <v>1038.384</v>
      </c>
      <c r="S12894" s="420">
        <v>1039.73673547718</v>
      </c>
      <c r="T12894" s="420">
        <v>15.8499</v>
      </c>
      <c r="U12894" s="278">
        <v>135.13999999999999</v>
      </c>
      <c r="V12894" s="278">
        <v>67.569999999999993</v>
      </c>
      <c r="Z12894" s="420" t="s">
        <v>2953</v>
      </c>
    </row>
    <row r="12895" spans="1:26">
      <c r="A12895" s="499">
        <v>45933</v>
      </c>
      <c r="B12895" s="499">
        <v>45933</v>
      </c>
      <c r="C12895" s="420" t="s">
        <v>173</v>
      </c>
      <c r="D12895" s="500" t="s">
        <v>760</v>
      </c>
      <c r="E12895" s="501">
        <v>-29020227.210000001</v>
      </c>
      <c r="F12895" s="95" t="s">
        <v>878</v>
      </c>
      <c r="G12895" s="420">
        <v>119431083</v>
      </c>
      <c r="I12895" s="523" t="s">
        <v>656</v>
      </c>
      <c r="J12895" s="530" t="s">
        <v>906</v>
      </c>
      <c r="N12895" s="420">
        <v>29493</v>
      </c>
      <c r="R12895" s="420">
        <v>983.97</v>
      </c>
      <c r="S12895" s="420">
        <v>985.25184857423801</v>
      </c>
      <c r="T12895" s="420">
        <v>15.8499</v>
      </c>
      <c r="U12895" s="278">
        <v>130.59</v>
      </c>
      <c r="V12895" s="278">
        <v>65.3</v>
      </c>
      <c r="Z12895" s="420" t="s">
        <v>2953</v>
      </c>
    </row>
    <row r="12896" spans="1:26">
      <c r="A12896" s="499">
        <v>45933</v>
      </c>
      <c r="B12896" s="499">
        <v>45933</v>
      </c>
      <c r="C12896" s="420" t="s">
        <v>173</v>
      </c>
      <c r="D12896" s="500" t="s">
        <v>760</v>
      </c>
      <c r="E12896" s="501">
        <v>-28016967.219999999</v>
      </c>
      <c r="F12896" s="95" t="s">
        <v>878</v>
      </c>
      <c r="G12896" s="420">
        <v>119431086</v>
      </c>
      <c r="I12896" s="523" t="s">
        <v>821</v>
      </c>
      <c r="J12896" s="530" t="s">
        <v>906</v>
      </c>
      <c r="N12896" s="420">
        <v>26992</v>
      </c>
      <c r="R12896" s="420">
        <v>1037.973</v>
      </c>
      <c r="S12896" s="420">
        <v>1039.3252004297599</v>
      </c>
      <c r="T12896" s="420">
        <v>15.8499</v>
      </c>
      <c r="U12896" s="278">
        <v>126.08</v>
      </c>
      <c r="V12896" s="278">
        <v>63.04</v>
      </c>
      <c r="Z12896" s="420" t="s">
        <v>2953</v>
      </c>
    </row>
    <row r="12897" spans="1:26">
      <c r="A12897" s="499">
        <v>45933</v>
      </c>
      <c r="B12897" s="499">
        <v>45933</v>
      </c>
      <c r="C12897" s="420" t="s">
        <v>173</v>
      </c>
      <c r="D12897" s="500" t="s">
        <v>760</v>
      </c>
      <c r="E12897" s="501">
        <v>-24012641.640000001</v>
      </c>
      <c r="F12897" s="95" t="s">
        <v>878</v>
      </c>
      <c r="G12897" s="420">
        <v>119431089</v>
      </c>
      <c r="I12897" s="523" t="s">
        <v>588</v>
      </c>
      <c r="J12897" s="530" t="s">
        <v>906</v>
      </c>
      <c r="N12897" s="420">
        <v>26232</v>
      </c>
      <c r="R12897" s="420">
        <v>915.39499999999998</v>
      </c>
      <c r="S12897" s="420">
        <v>916.58751372369602</v>
      </c>
      <c r="T12897" s="420">
        <v>15.8499</v>
      </c>
      <c r="U12897" s="278">
        <v>108.06</v>
      </c>
      <c r="V12897" s="278">
        <v>54.03</v>
      </c>
      <c r="Z12897" s="420" t="s">
        <v>2953</v>
      </c>
    </row>
    <row r="12898" spans="1:26">
      <c r="A12898" s="499">
        <v>45933</v>
      </c>
      <c r="B12898" s="499">
        <v>45933</v>
      </c>
      <c r="C12898" s="420" t="s">
        <v>173</v>
      </c>
      <c r="D12898" s="500" t="s">
        <v>760</v>
      </c>
      <c r="E12898" s="501">
        <v>-20000218.02</v>
      </c>
      <c r="F12898" s="95" t="s">
        <v>878</v>
      </c>
      <c r="G12898" s="420">
        <v>119431092</v>
      </c>
      <c r="I12898" s="523" t="s">
        <v>833</v>
      </c>
      <c r="J12898" s="530" t="s">
        <v>906</v>
      </c>
      <c r="N12898" s="420">
        <v>30840</v>
      </c>
      <c r="R12898" s="420">
        <v>648.51549999999997</v>
      </c>
      <c r="S12898" s="420">
        <v>649.36034143968902</v>
      </c>
      <c r="T12898" s="420">
        <v>15.8499</v>
      </c>
      <c r="U12898" s="278">
        <v>90</v>
      </c>
      <c r="V12898" s="278">
        <v>45</v>
      </c>
      <c r="Z12898" s="420" t="s">
        <v>2953</v>
      </c>
    </row>
    <row r="12899" spans="1:26">
      <c r="A12899" s="499">
        <v>45933</v>
      </c>
      <c r="B12899" s="499">
        <v>45933</v>
      </c>
      <c r="C12899" s="420" t="s">
        <v>173</v>
      </c>
      <c r="D12899" s="500" t="s">
        <v>760</v>
      </c>
      <c r="E12899" s="501">
        <v>-20011622.879999999</v>
      </c>
      <c r="F12899" s="95" t="s">
        <v>878</v>
      </c>
      <c r="G12899" s="420">
        <v>119431095</v>
      </c>
      <c r="I12899" s="523" t="s">
        <v>715</v>
      </c>
      <c r="J12899" s="530" t="s">
        <v>906</v>
      </c>
      <c r="N12899" s="420">
        <v>32880</v>
      </c>
      <c r="R12899" s="420">
        <v>608.62599999999998</v>
      </c>
      <c r="S12899" s="420">
        <v>609.41887621654496</v>
      </c>
      <c r="T12899" s="420">
        <v>15.8499</v>
      </c>
      <c r="U12899" s="278">
        <v>90.05</v>
      </c>
      <c r="V12899" s="278">
        <v>45.03</v>
      </c>
      <c r="Z12899" s="420" t="s">
        <v>2953</v>
      </c>
    </row>
    <row r="12900" spans="1:26">
      <c r="A12900" s="499">
        <v>45933</v>
      </c>
      <c r="B12900" s="499">
        <v>45933</v>
      </c>
      <c r="C12900" s="420" t="s">
        <v>173</v>
      </c>
      <c r="D12900" s="500" t="s">
        <v>760</v>
      </c>
      <c r="E12900" s="501">
        <v>-19005284.600000001</v>
      </c>
      <c r="F12900" s="95" t="s">
        <v>878</v>
      </c>
      <c r="G12900" s="420">
        <v>119431098</v>
      </c>
      <c r="I12900" s="523" t="s">
        <v>550</v>
      </c>
      <c r="J12900" s="530" t="s">
        <v>906</v>
      </c>
      <c r="N12900" s="420">
        <v>34884</v>
      </c>
      <c r="R12900" s="420">
        <v>544.81380000000001</v>
      </c>
      <c r="S12900" s="420">
        <v>545.52354603829804</v>
      </c>
      <c r="T12900" s="420">
        <v>15.8499</v>
      </c>
      <c r="U12900" s="278">
        <v>85.52</v>
      </c>
      <c r="V12900" s="278">
        <v>42.76</v>
      </c>
      <c r="Z12900" s="420" t="s">
        <v>2953</v>
      </c>
    </row>
    <row r="12901" spans="1:26">
      <c r="A12901" s="499">
        <v>45933</v>
      </c>
      <c r="B12901" s="499">
        <v>45933</v>
      </c>
      <c r="C12901" s="420" t="s">
        <v>173</v>
      </c>
      <c r="D12901" s="500" t="s">
        <v>760</v>
      </c>
      <c r="E12901" s="501">
        <v>-15010462.35</v>
      </c>
      <c r="F12901" s="95" t="s">
        <v>878</v>
      </c>
      <c r="G12901" s="420">
        <v>119431101</v>
      </c>
      <c r="I12901" s="523" t="s">
        <v>656</v>
      </c>
      <c r="J12901" s="530" t="s">
        <v>906</v>
      </c>
      <c r="N12901" s="420">
        <v>15255</v>
      </c>
      <c r="R12901" s="420">
        <v>983.97</v>
      </c>
      <c r="S12901" s="420">
        <v>985.25184857423801</v>
      </c>
      <c r="T12901" s="420">
        <v>15.8499</v>
      </c>
      <c r="U12901" s="278">
        <v>67.55</v>
      </c>
      <c r="V12901" s="278">
        <v>33.770000000000003</v>
      </c>
      <c r="Z12901" s="420" t="s">
        <v>2953</v>
      </c>
    </row>
    <row r="12902" spans="1:26">
      <c r="A12902" s="499">
        <v>45933</v>
      </c>
      <c r="B12902" s="499">
        <v>45933</v>
      </c>
      <c r="C12902" s="420" t="s">
        <v>173</v>
      </c>
      <c r="D12902" s="500" t="s">
        <v>760</v>
      </c>
      <c r="E12902" s="501">
        <v>-9002190.1300000008</v>
      </c>
      <c r="F12902" s="95" t="s">
        <v>878</v>
      </c>
      <c r="G12902" s="420">
        <v>119431104</v>
      </c>
      <c r="I12902" s="523" t="s">
        <v>658</v>
      </c>
      <c r="J12902" s="530" t="s">
        <v>906</v>
      </c>
      <c r="N12902" s="420">
        <v>8658</v>
      </c>
      <c r="R12902" s="420">
        <v>1039.7539999999999</v>
      </c>
      <c r="S12902" s="420">
        <v>1041.1085204435201</v>
      </c>
      <c r="T12902" s="420">
        <v>15.8499</v>
      </c>
      <c r="U12902" s="278">
        <v>40.51</v>
      </c>
      <c r="V12902" s="278">
        <v>20.25</v>
      </c>
      <c r="Z12902" s="420" t="s">
        <v>2953</v>
      </c>
    </row>
    <row r="12903" spans="1:26">
      <c r="A12903" s="499">
        <v>45933</v>
      </c>
      <c r="B12903" s="499">
        <v>45933</v>
      </c>
      <c r="C12903" s="420" t="s">
        <v>173</v>
      </c>
      <c r="D12903" s="500" t="s">
        <v>760</v>
      </c>
      <c r="E12903" s="501">
        <v>-4003051.42</v>
      </c>
      <c r="F12903" s="95" t="s">
        <v>878</v>
      </c>
      <c r="G12903" s="420">
        <v>119431107</v>
      </c>
      <c r="I12903" s="523" t="s">
        <v>673</v>
      </c>
      <c r="J12903" s="530" t="s">
        <v>906</v>
      </c>
      <c r="N12903" s="420">
        <v>4348</v>
      </c>
      <c r="R12903" s="420">
        <v>920.66499999999996</v>
      </c>
      <c r="S12903" s="420">
        <v>921.86437902483897</v>
      </c>
      <c r="T12903" s="420">
        <v>15.8499</v>
      </c>
      <c r="U12903" s="278">
        <v>39.32</v>
      </c>
      <c r="V12903" s="278">
        <v>9.01</v>
      </c>
      <c r="Z12903" s="420" t="s">
        <v>2953</v>
      </c>
    </row>
    <row r="12904" spans="1:26">
      <c r="A12904" s="499">
        <v>45933</v>
      </c>
      <c r="B12904" s="499">
        <v>45933</v>
      </c>
      <c r="C12904" s="420" t="s">
        <v>173</v>
      </c>
      <c r="D12904" s="500" t="s">
        <v>760</v>
      </c>
      <c r="E12904" s="501">
        <v>-567238834.23000002</v>
      </c>
      <c r="F12904" s="95" t="s">
        <v>878</v>
      </c>
      <c r="G12904" s="420">
        <v>119431272</v>
      </c>
      <c r="I12904" s="523" t="s">
        <v>1013</v>
      </c>
      <c r="J12904" s="530" t="s">
        <v>906</v>
      </c>
      <c r="N12904" s="420">
        <v>1019466</v>
      </c>
      <c r="R12904" s="420">
        <v>556.40779999999995</v>
      </c>
      <c r="S12904" s="420">
        <v>557.13264996576595</v>
      </c>
      <c r="T12904" s="420">
        <v>15.8499</v>
      </c>
      <c r="U12904" s="278">
        <v>2552.5700000000002</v>
      </c>
      <c r="V12904" s="278">
        <v>1276.29</v>
      </c>
      <c r="Z12904" s="420" t="s">
        <v>2953</v>
      </c>
    </row>
    <row r="12905" spans="1:26">
      <c r="A12905" s="499">
        <v>45933</v>
      </c>
      <c r="B12905" s="499">
        <v>45933</v>
      </c>
      <c r="C12905" s="420" t="s">
        <v>173</v>
      </c>
      <c r="D12905" s="500" t="s">
        <v>760</v>
      </c>
      <c r="E12905" s="501">
        <v>-10000805.25</v>
      </c>
      <c r="F12905" s="95" t="s">
        <v>878</v>
      </c>
      <c r="G12905" s="420">
        <v>119432063</v>
      </c>
      <c r="I12905" s="523" t="s">
        <v>3046</v>
      </c>
      <c r="J12905" s="530" t="s">
        <v>906</v>
      </c>
      <c r="N12905" s="420">
        <v>100500</v>
      </c>
      <c r="R12905" s="420">
        <v>99.510499999999993</v>
      </c>
      <c r="S12905" s="420">
        <v>99.639727363184093</v>
      </c>
      <c r="T12905" s="420">
        <v>15.8</v>
      </c>
      <c r="U12905" s="278">
        <v>45</v>
      </c>
      <c r="V12905" s="278">
        <v>22.5</v>
      </c>
      <c r="Z12905" s="420" t="s">
        <v>2953</v>
      </c>
    </row>
    <row r="12906" spans="1:26">
      <c r="A12906" s="499">
        <v>45933</v>
      </c>
      <c r="B12906" s="499">
        <v>45936</v>
      </c>
      <c r="C12906" s="420" t="s">
        <v>173</v>
      </c>
      <c r="D12906" s="500" t="s">
        <v>760</v>
      </c>
      <c r="E12906" s="278">
        <v>12015763.76</v>
      </c>
      <c r="F12906" s="95" t="s">
        <v>878</v>
      </c>
      <c r="G12906" s="420">
        <v>119431047</v>
      </c>
      <c r="H12906" s="420">
        <v>119431047</v>
      </c>
      <c r="I12906" s="523" t="s">
        <v>833</v>
      </c>
      <c r="J12906" s="530" t="s">
        <v>912</v>
      </c>
      <c r="N12906" s="420">
        <v>18504</v>
      </c>
      <c r="R12906" s="420">
        <v>648.51549999999997</v>
      </c>
      <c r="S12906" s="420">
        <v>649.36034154777303</v>
      </c>
      <c r="T12906" s="420">
        <v>15.8499</v>
      </c>
      <c r="U12906" s="278">
        <v>54</v>
      </c>
      <c r="V12906" s="278">
        <v>27</v>
      </c>
      <c r="Z12906" s="420" t="s">
        <v>2953</v>
      </c>
    </row>
    <row r="12907" spans="1:26">
      <c r="A12907" s="499">
        <v>45933</v>
      </c>
      <c r="B12907" s="499">
        <v>45936</v>
      </c>
      <c r="C12907" s="420" t="s">
        <v>173</v>
      </c>
      <c r="D12907" s="500" t="s">
        <v>760</v>
      </c>
      <c r="E12907" s="278">
        <v>156208465.16999999</v>
      </c>
      <c r="F12907" s="95" t="s">
        <v>878</v>
      </c>
      <c r="G12907" s="420">
        <v>119431050</v>
      </c>
      <c r="H12907" s="420">
        <v>119431050</v>
      </c>
      <c r="I12907" s="523" t="s">
        <v>690</v>
      </c>
      <c r="J12907" s="530" t="s">
        <v>912</v>
      </c>
      <c r="N12907" s="420">
        <v>207636</v>
      </c>
      <c r="R12907" s="420">
        <v>751.34</v>
      </c>
      <c r="S12907" s="420">
        <v>752.31879428422803</v>
      </c>
      <c r="T12907" s="420">
        <v>15.8499</v>
      </c>
      <c r="U12907" s="278">
        <v>702.02</v>
      </c>
      <c r="V12907" s="278">
        <v>351.01</v>
      </c>
      <c r="Z12907" s="420" t="s">
        <v>2953</v>
      </c>
    </row>
    <row r="12908" spans="1:26">
      <c r="A12908" s="499">
        <v>45933</v>
      </c>
      <c r="B12908" s="499">
        <v>45936</v>
      </c>
      <c r="C12908" s="420" t="s">
        <v>173</v>
      </c>
      <c r="D12908" s="500" t="s">
        <v>760</v>
      </c>
      <c r="E12908" s="278">
        <v>139328097.21000001</v>
      </c>
      <c r="F12908" s="95" t="s">
        <v>878</v>
      </c>
      <c r="G12908" s="420">
        <v>119431053</v>
      </c>
      <c r="H12908" s="420">
        <v>119431053</v>
      </c>
      <c r="I12908" s="523" t="s">
        <v>598</v>
      </c>
      <c r="J12908" s="530" t="s">
        <v>912</v>
      </c>
      <c r="N12908" s="420">
        <v>131216</v>
      </c>
      <c r="R12908" s="420">
        <v>1060.441</v>
      </c>
      <c r="S12908" s="420">
        <v>1061.82246989696</v>
      </c>
      <c r="T12908" s="420">
        <v>15.8499</v>
      </c>
      <c r="U12908" s="278">
        <v>626.16</v>
      </c>
      <c r="V12908" s="278">
        <v>313.08</v>
      </c>
      <c r="Z12908" s="420" t="s">
        <v>2953</v>
      </c>
    </row>
    <row r="12909" spans="1:26">
      <c r="A12909" s="499">
        <v>45933</v>
      </c>
      <c r="B12909" s="499">
        <v>45936</v>
      </c>
      <c r="C12909" s="420" t="s">
        <v>173</v>
      </c>
      <c r="D12909" s="500" t="s">
        <v>760</v>
      </c>
      <c r="E12909" s="278">
        <v>132259156.38</v>
      </c>
      <c r="F12909" s="95" t="s">
        <v>878</v>
      </c>
      <c r="G12909" s="420">
        <v>119431056</v>
      </c>
      <c r="H12909" s="420">
        <v>119431056</v>
      </c>
      <c r="I12909" s="523" t="s">
        <v>687</v>
      </c>
      <c r="J12909" s="530" t="s">
        <v>912</v>
      </c>
      <c r="N12909" s="420">
        <v>159060</v>
      </c>
      <c r="R12909" s="420">
        <v>830.423</v>
      </c>
      <c r="S12909" s="420">
        <v>831.504818181818</v>
      </c>
      <c r="T12909" s="420">
        <v>15.8499</v>
      </c>
      <c r="U12909" s="278">
        <v>594.39</v>
      </c>
      <c r="V12909" s="278">
        <v>297.2</v>
      </c>
      <c r="Z12909" s="420" t="s">
        <v>2953</v>
      </c>
    </row>
    <row r="12910" spans="1:26">
      <c r="A12910" s="499">
        <v>45933</v>
      </c>
      <c r="B12910" s="499">
        <v>45936</v>
      </c>
      <c r="C12910" s="420" t="s">
        <v>173</v>
      </c>
      <c r="D12910" s="500" t="s">
        <v>760</v>
      </c>
      <c r="E12910" s="278">
        <v>129169460.43000001</v>
      </c>
      <c r="F12910" s="95" t="s">
        <v>878</v>
      </c>
      <c r="G12910" s="420">
        <v>119431059</v>
      </c>
      <c r="H12910" s="420">
        <v>119431059</v>
      </c>
      <c r="I12910" s="523" t="s">
        <v>833</v>
      </c>
      <c r="J12910" s="530" t="s">
        <v>912</v>
      </c>
      <c r="N12910" s="420">
        <v>198918</v>
      </c>
      <c r="R12910" s="420">
        <v>648.51549999999997</v>
      </c>
      <c r="S12910" s="420">
        <v>649.36034159804501</v>
      </c>
      <c r="T12910" s="420">
        <v>15.8499</v>
      </c>
      <c r="U12910" s="278">
        <v>580.51</v>
      </c>
      <c r="V12910" s="278">
        <v>290.25</v>
      </c>
      <c r="Z12910" s="420" t="s">
        <v>2953</v>
      </c>
    </row>
    <row r="12911" spans="1:26">
      <c r="A12911" s="499">
        <v>45933</v>
      </c>
      <c r="B12911" s="499">
        <v>45936</v>
      </c>
      <c r="C12911" s="420" t="s">
        <v>173</v>
      </c>
      <c r="D12911" s="500" t="s">
        <v>760</v>
      </c>
      <c r="E12911" s="278">
        <v>98132410.400000006</v>
      </c>
      <c r="F12911" s="95" t="s">
        <v>878</v>
      </c>
      <c r="G12911" s="420">
        <v>119431062</v>
      </c>
      <c r="H12911" s="420">
        <v>119431062</v>
      </c>
      <c r="I12911" s="523" t="s">
        <v>590</v>
      </c>
      <c r="J12911" s="530" t="s">
        <v>912</v>
      </c>
      <c r="N12911" s="420">
        <v>102606</v>
      </c>
      <c r="R12911" s="420">
        <v>955.15599999999995</v>
      </c>
      <c r="S12911" s="420">
        <v>956.40031187260001</v>
      </c>
      <c r="T12911" s="420">
        <v>15.8499</v>
      </c>
      <c r="U12911" s="278">
        <v>441.02</v>
      </c>
      <c r="V12911" s="278">
        <v>220.51</v>
      </c>
      <c r="Z12911" s="420" t="s">
        <v>2953</v>
      </c>
    </row>
    <row r="12912" spans="1:26">
      <c r="A12912" s="499">
        <v>45933</v>
      </c>
      <c r="B12912" s="499">
        <v>45936</v>
      </c>
      <c r="C12912" s="420" t="s">
        <v>173</v>
      </c>
      <c r="D12912" s="500" t="s">
        <v>760</v>
      </c>
      <c r="E12912" s="278">
        <v>93143814.870000005</v>
      </c>
      <c r="F12912" s="95" t="s">
        <v>878</v>
      </c>
      <c r="G12912" s="420">
        <v>119431065</v>
      </c>
      <c r="H12912" s="420">
        <v>119431065</v>
      </c>
      <c r="I12912" s="523" t="s">
        <v>658</v>
      </c>
      <c r="J12912" s="530" t="s">
        <v>912</v>
      </c>
      <c r="N12912" s="420">
        <v>89466</v>
      </c>
      <c r="R12912" s="420">
        <v>1039.7539999999999</v>
      </c>
      <c r="S12912" s="420">
        <v>1041.1085202199699</v>
      </c>
      <c r="T12912" s="420">
        <v>15.8499</v>
      </c>
      <c r="U12912" s="278">
        <v>418.6</v>
      </c>
      <c r="V12912" s="278">
        <v>209.3</v>
      </c>
      <c r="Z12912" s="420" t="s">
        <v>2953</v>
      </c>
    </row>
    <row r="12913" spans="1:26">
      <c r="A12913" s="499">
        <v>45933</v>
      </c>
      <c r="B12913" s="499">
        <v>45936</v>
      </c>
      <c r="C12913" s="420" t="s">
        <v>173</v>
      </c>
      <c r="D12913" s="500" t="s">
        <v>760</v>
      </c>
      <c r="E12913" s="278">
        <v>76143232.069999993</v>
      </c>
      <c r="F12913" s="95" t="s">
        <v>878</v>
      </c>
      <c r="G12913" s="420">
        <v>119431068</v>
      </c>
      <c r="H12913" s="420">
        <v>119431068</v>
      </c>
      <c r="I12913" s="523" t="s">
        <v>715</v>
      </c>
      <c r="J12913" s="530" t="s">
        <v>912</v>
      </c>
      <c r="N12913" s="420">
        <v>124944</v>
      </c>
      <c r="R12913" s="420">
        <v>608.62599999999998</v>
      </c>
      <c r="S12913" s="420">
        <v>609.41887621654496</v>
      </c>
      <c r="T12913" s="420">
        <v>15.8499</v>
      </c>
      <c r="U12913" s="278">
        <v>342.2</v>
      </c>
      <c r="V12913" s="278">
        <v>171.1</v>
      </c>
      <c r="Z12913" s="420" t="s">
        <v>2953</v>
      </c>
    </row>
    <row r="12914" spans="1:26">
      <c r="A12914" s="499">
        <v>45933</v>
      </c>
      <c r="B12914" s="499">
        <v>45936</v>
      </c>
      <c r="C12914" s="420" t="s">
        <v>173</v>
      </c>
      <c r="D12914" s="500" t="s">
        <v>760</v>
      </c>
      <c r="E12914" s="278">
        <v>39076437.299999997</v>
      </c>
      <c r="F12914" s="95" t="s">
        <v>878</v>
      </c>
      <c r="G12914" s="420">
        <v>119431071</v>
      </c>
      <c r="H12914" s="420">
        <v>119431071</v>
      </c>
      <c r="I12914" s="523" t="s">
        <v>693</v>
      </c>
      <c r="J12914" s="530" t="s">
        <v>912</v>
      </c>
      <c r="N12914" s="420">
        <v>50739</v>
      </c>
      <c r="R12914" s="420">
        <v>769.14400000000001</v>
      </c>
      <c r="S12914" s="420">
        <v>770.14598829302895</v>
      </c>
      <c r="T12914" s="420">
        <v>15.8499</v>
      </c>
      <c r="U12914" s="278">
        <v>175.62</v>
      </c>
      <c r="V12914" s="278">
        <v>87.81</v>
      </c>
      <c r="Z12914" s="420" t="s">
        <v>2953</v>
      </c>
    </row>
    <row r="12915" spans="1:26">
      <c r="A12915" s="499">
        <v>45933</v>
      </c>
      <c r="B12915" s="499">
        <v>45936</v>
      </c>
      <c r="C12915" s="420" t="s">
        <v>173</v>
      </c>
      <c r="D12915" s="500" t="s">
        <v>760</v>
      </c>
      <c r="E12915" s="278">
        <v>39052693.93</v>
      </c>
      <c r="F12915" s="95" t="s">
        <v>878</v>
      </c>
      <c r="G12915" s="420">
        <v>119431074</v>
      </c>
      <c r="H12915" s="420">
        <v>119431074</v>
      </c>
      <c r="I12915" s="523" t="s">
        <v>590</v>
      </c>
      <c r="J12915" s="530" t="s">
        <v>912</v>
      </c>
      <c r="N12915" s="420">
        <v>40833</v>
      </c>
      <c r="R12915" s="420">
        <v>955.15599999999995</v>
      </c>
      <c r="S12915" s="420">
        <v>956.40031175764705</v>
      </c>
      <c r="T12915" s="420">
        <v>15.8499</v>
      </c>
      <c r="U12915" s="278">
        <v>175.51</v>
      </c>
      <c r="V12915" s="278">
        <v>87.75</v>
      </c>
      <c r="Z12915" s="420" t="s">
        <v>2953</v>
      </c>
    </row>
    <row r="12916" spans="1:26">
      <c r="A12916" s="499">
        <v>45933</v>
      </c>
      <c r="B12916" s="499">
        <v>45936</v>
      </c>
      <c r="C12916" s="420" t="s">
        <v>173</v>
      </c>
      <c r="D12916" s="500" t="s">
        <v>760</v>
      </c>
      <c r="E12916" s="278">
        <v>37049991.68</v>
      </c>
      <c r="F12916" s="95" t="s">
        <v>878</v>
      </c>
      <c r="G12916" s="420">
        <v>119431077</v>
      </c>
      <c r="H12916" s="420">
        <v>119431077</v>
      </c>
      <c r="I12916" s="523" t="s">
        <v>590</v>
      </c>
      <c r="J12916" s="530" t="s">
        <v>912</v>
      </c>
      <c r="N12916" s="420">
        <v>38739</v>
      </c>
      <c r="R12916" s="420">
        <v>955.15599999999995</v>
      </c>
      <c r="S12916" s="420">
        <v>956.40031183045505</v>
      </c>
      <c r="T12916" s="420">
        <v>15.8499</v>
      </c>
      <c r="U12916" s="278">
        <v>166.51</v>
      </c>
      <c r="V12916" s="278">
        <v>83.25</v>
      </c>
      <c r="Z12916" s="420" t="s">
        <v>2953</v>
      </c>
    </row>
    <row r="12917" spans="1:26">
      <c r="A12917" s="499">
        <v>45933</v>
      </c>
      <c r="B12917" s="499">
        <v>45936</v>
      </c>
      <c r="C12917" s="420" t="s">
        <v>173</v>
      </c>
      <c r="D12917" s="500" t="s">
        <v>760</v>
      </c>
      <c r="E12917" s="278">
        <v>30069186.390000001</v>
      </c>
      <c r="F12917" s="95" t="s">
        <v>878</v>
      </c>
      <c r="G12917" s="420">
        <v>119431080</v>
      </c>
      <c r="H12917" s="420">
        <v>119431080</v>
      </c>
      <c r="I12917" s="523" t="s">
        <v>823</v>
      </c>
      <c r="J12917" s="530" t="s">
        <v>912</v>
      </c>
      <c r="N12917" s="420">
        <v>28920</v>
      </c>
      <c r="R12917" s="420">
        <v>1038.384</v>
      </c>
      <c r="S12917" s="420">
        <v>1039.73673547718</v>
      </c>
      <c r="T12917" s="420">
        <v>15.8499</v>
      </c>
      <c r="U12917" s="278">
        <v>135.13999999999999</v>
      </c>
      <c r="V12917" s="278">
        <v>67.569999999999993</v>
      </c>
      <c r="Z12917" s="420" t="s">
        <v>2953</v>
      </c>
    </row>
    <row r="12918" spans="1:26">
      <c r="A12918" s="499">
        <v>45933</v>
      </c>
      <c r="B12918" s="499">
        <v>45936</v>
      </c>
      <c r="C12918" s="420" t="s">
        <v>173</v>
      </c>
      <c r="D12918" s="500" t="s">
        <v>760</v>
      </c>
      <c r="E12918" s="278">
        <v>29058032.77</v>
      </c>
      <c r="F12918" s="95" t="s">
        <v>878</v>
      </c>
      <c r="G12918" s="420">
        <v>119431083</v>
      </c>
      <c r="H12918" s="420">
        <v>119431083</v>
      </c>
      <c r="I12918" s="523" t="s">
        <v>656</v>
      </c>
      <c r="J12918" s="530" t="s">
        <v>912</v>
      </c>
      <c r="N12918" s="420">
        <v>29493</v>
      </c>
      <c r="R12918" s="420">
        <v>983.97</v>
      </c>
      <c r="S12918" s="420">
        <v>985.25184857423801</v>
      </c>
      <c r="T12918" s="420">
        <v>15.8499</v>
      </c>
      <c r="U12918" s="278">
        <v>130.59</v>
      </c>
      <c r="V12918" s="278">
        <v>65.3</v>
      </c>
      <c r="Z12918" s="420" t="s">
        <v>2953</v>
      </c>
    </row>
    <row r="12919" spans="1:26">
      <c r="A12919" s="499">
        <v>45933</v>
      </c>
      <c r="B12919" s="499">
        <v>45936</v>
      </c>
      <c r="C12919" s="420" t="s">
        <v>173</v>
      </c>
      <c r="D12919" s="500" t="s">
        <v>760</v>
      </c>
      <c r="E12919" s="278">
        <v>28053465.809999999</v>
      </c>
      <c r="F12919" s="95" t="s">
        <v>878</v>
      </c>
      <c r="G12919" s="420">
        <v>119431086</v>
      </c>
      <c r="H12919" s="420">
        <v>119431086</v>
      </c>
      <c r="I12919" s="523" t="s">
        <v>821</v>
      </c>
      <c r="J12919" s="530" t="s">
        <v>912</v>
      </c>
      <c r="N12919" s="420">
        <v>26992</v>
      </c>
      <c r="R12919" s="420">
        <v>1037.973</v>
      </c>
      <c r="S12919" s="420">
        <v>1039.3252004297599</v>
      </c>
      <c r="T12919" s="420">
        <v>15.8499</v>
      </c>
      <c r="U12919" s="278">
        <v>126.08</v>
      </c>
      <c r="V12919" s="278">
        <v>63.04</v>
      </c>
      <c r="Z12919" s="420" t="s">
        <v>2953</v>
      </c>
    </row>
    <row r="12920" spans="1:26">
      <c r="A12920" s="499">
        <v>45933</v>
      </c>
      <c r="B12920" s="499">
        <v>45936</v>
      </c>
      <c r="C12920" s="420" t="s">
        <v>173</v>
      </c>
      <c r="D12920" s="500" t="s">
        <v>760</v>
      </c>
      <c r="E12920" s="278">
        <v>24043923.66</v>
      </c>
      <c r="F12920" s="95" t="s">
        <v>878</v>
      </c>
      <c r="G12920" s="420">
        <v>119431089</v>
      </c>
      <c r="H12920" s="420">
        <v>119431089</v>
      </c>
      <c r="I12920" s="523" t="s">
        <v>588</v>
      </c>
      <c r="J12920" s="530" t="s">
        <v>912</v>
      </c>
      <c r="N12920" s="420">
        <v>26232</v>
      </c>
      <c r="R12920" s="420">
        <v>915.39499999999998</v>
      </c>
      <c r="S12920" s="420">
        <v>916.58751372369602</v>
      </c>
      <c r="T12920" s="420">
        <v>15.8499</v>
      </c>
      <c r="U12920" s="278">
        <v>108.06</v>
      </c>
      <c r="V12920" s="278">
        <v>54.03</v>
      </c>
      <c r="Z12920" s="420" t="s">
        <v>2953</v>
      </c>
    </row>
    <row r="12921" spans="1:26">
      <c r="A12921" s="499">
        <v>45933</v>
      </c>
      <c r="B12921" s="499">
        <v>45936</v>
      </c>
      <c r="C12921" s="420" t="s">
        <v>173</v>
      </c>
      <c r="D12921" s="500" t="s">
        <v>760</v>
      </c>
      <c r="E12921" s="278">
        <v>20026272.93</v>
      </c>
      <c r="F12921" s="95" t="s">
        <v>878</v>
      </c>
      <c r="G12921" s="420">
        <v>119431092</v>
      </c>
      <c r="H12921" s="420">
        <v>119431092</v>
      </c>
      <c r="I12921" s="523" t="s">
        <v>833</v>
      </c>
      <c r="J12921" s="530" t="s">
        <v>912</v>
      </c>
      <c r="N12921" s="420">
        <v>30840</v>
      </c>
      <c r="R12921" s="420">
        <v>648.51549999999997</v>
      </c>
      <c r="S12921" s="420">
        <v>649.36034143968902</v>
      </c>
      <c r="T12921" s="420">
        <v>15.8499</v>
      </c>
      <c r="U12921" s="278">
        <v>90</v>
      </c>
      <c r="V12921" s="278">
        <v>45</v>
      </c>
      <c r="Z12921" s="420" t="s">
        <v>2953</v>
      </c>
    </row>
    <row r="12922" spans="1:26">
      <c r="A12922" s="499">
        <v>45933</v>
      </c>
      <c r="B12922" s="499">
        <v>45936</v>
      </c>
      <c r="C12922" s="420" t="s">
        <v>173</v>
      </c>
      <c r="D12922" s="500" t="s">
        <v>760</v>
      </c>
      <c r="E12922" s="278">
        <v>20037692.649999999</v>
      </c>
      <c r="F12922" s="95" t="s">
        <v>878</v>
      </c>
      <c r="G12922" s="420">
        <v>119431095</v>
      </c>
      <c r="H12922" s="420">
        <v>119431095</v>
      </c>
      <c r="I12922" s="523" t="s">
        <v>715</v>
      </c>
      <c r="J12922" s="530" t="s">
        <v>912</v>
      </c>
      <c r="N12922" s="420">
        <v>32880</v>
      </c>
      <c r="R12922" s="420">
        <v>608.62599999999998</v>
      </c>
      <c r="S12922" s="420">
        <v>609.41887621654496</v>
      </c>
      <c r="T12922" s="420">
        <v>15.8499</v>
      </c>
      <c r="U12922" s="278">
        <v>90.05</v>
      </c>
      <c r="V12922" s="278">
        <v>45.03</v>
      </c>
      <c r="Z12922" s="420" t="s">
        <v>2953</v>
      </c>
    </row>
    <row r="12923" spans="1:26">
      <c r="A12923" s="499">
        <v>45933</v>
      </c>
      <c r="B12923" s="499">
        <v>45936</v>
      </c>
      <c r="C12923" s="420" t="s">
        <v>173</v>
      </c>
      <c r="D12923" s="500" t="s">
        <v>760</v>
      </c>
      <c r="E12923" s="278">
        <v>19030043.379999999</v>
      </c>
      <c r="F12923" s="95" t="s">
        <v>878</v>
      </c>
      <c r="G12923" s="420">
        <v>119431098</v>
      </c>
      <c r="H12923" s="420">
        <v>119431098</v>
      </c>
      <c r="I12923" s="523" t="s">
        <v>550</v>
      </c>
      <c r="J12923" s="530" t="s">
        <v>912</v>
      </c>
      <c r="N12923" s="420">
        <v>34884</v>
      </c>
      <c r="R12923" s="420">
        <v>544.81380000000001</v>
      </c>
      <c r="S12923" s="420">
        <v>545.52354603829804</v>
      </c>
      <c r="T12923" s="420">
        <v>15.8499</v>
      </c>
      <c r="U12923" s="278">
        <v>85.52</v>
      </c>
      <c r="V12923" s="278">
        <v>42.76</v>
      </c>
      <c r="Z12923" s="420" t="s">
        <v>2953</v>
      </c>
    </row>
    <row r="12924" spans="1:26">
      <c r="A12924" s="499">
        <v>45933</v>
      </c>
      <c r="B12924" s="499">
        <v>45936</v>
      </c>
      <c r="C12924" s="420" t="s">
        <v>173</v>
      </c>
      <c r="D12924" s="500" t="s">
        <v>760</v>
      </c>
      <c r="E12924" s="278">
        <v>15030016.949999999</v>
      </c>
      <c r="F12924" s="95" t="s">
        <v>878</v>
      </c>
      <c r="G12924" s="420">
        <v>119431101</v>
      </c>
      <c r="H12924" s="420">
        <v>119431101</v>
      </c>
      <c r="I12924" s="523" t="s">
        <v>656</v>
      </c>
      <c r="J12924" s="530" t="s">
        <v>912</v>
      </c>
      <c r="N12924" s="420">
        <v>15255</v>
      </c>
      <c r="R12924" s="420">
        <v>983.97</v>
      </c>
      <c r="S12924" s="420">
        <v>985.25184857423801</v>
      </c>
      <c r="T12924" s="420">
        <v>15.8499</v>
      </c>
      <c r="U12924" s="278">
        <v>67.55</v>
      </c>
      <c r="V12924" s="278">
        <v>33.770000000000003</v>
      </c>
      <c r="Z12924" s="420" t="s">
        <v>2953</v>
      </c>
    </row>
    <row r="12925" spans="1:26">
      <c r="A12925" s="499">
        <v>45933</v>
      </c>
      <c r="B12925" s="499">
        <v>45936</v>
      </c>
      <c r="C12925" s="420" t="s">
        <v>173</v>
      </c>
      <c r="D12925" s="500" t="s">
        <v>760</v>
      </c>
      <c r="E12925" s="278">
        <v>9013917.5700000003</v>
      </c>
      <c r="F12925" s="95" t="s">
        <v>878</v>
      </c>
      <c r="G12925" s="420">
        <v>119431104</v>
      </c>
      <c r="H12925" s="420">
        <v>119431104</v>
      </c>
      <c r="I12925" s="523" t="s">
        <v>658</v>
      </c>
      <c r="J12925" s="530" t="s">
        <v>912</v>
      </c>
      <c r="N12925" s="420">
        <v>8658</v>
      </c>
      <c r="R12925" s="420">
        <v>1039.7539999999999</v>
      </c>
      <c r="S12925" s="420">
        <v>1041.1085204435201</v>
      </c>
      <c r="T12925" s="420">
        <v>15.8499</v>
      </c>
      <c r="U12925" s="278">
        <v>40.51</v>
      </c>
      <c r="V12925" s="278">
        <v>20.25</v>
      </c>
      <c r="Z12925" s="420" t="s">
        <v>2953</v>
      </c>
    </row>
    <row r="12926" spans="1:26">
      <c r="A12926" s="499">
        <v>45933</v>
      </c>
      <c r="B12926" s="499">
        <v>45936</v>
      </c>
      <c r="C12926" s="420" t="s">
        <v>173</v>
      </c>
      <c r="D12926" s="500" t="s">
        <v>760</v>
      </c>
      <c r="E12926" s="278">
        <v>4008266.32</v>
      </c>
      <c r="F12926" s="95" t="s">
        <v>878</v>
      </c>
      <c r="G12926" s="420">
        <v>119431107</v>
      </c>
      <c r="H12926" s="420">
        <v>119431107</v>
      </c>
      <c r="I12926" s="523" t="s">
        <v>673</v>
      </c>
      <c r="J12926" s="530" t="s">
        <v>912</v>
      </c>
      <c r="N12926" s="420">
        <v>4348</v>
      </c>
      <c r="R12926" s="420">
        <v>920.66499999999996</v>
      </c>
      <c r="S12926" s="420">
        <v>921.86437902483897</v>
      </c>
      <c r="T12926" s="420">
        <v>15.8499</v>
      </c>
      <c r="U12926" s="278">
        <v>39.32</v>
      </c>
      <c r="V12926" s="278">
        <v>9.01</v>
      </c>
      <c r="Z12926" s="420" t="s">
        <v>2953</v>
      </c>
    </row>
    <row r="12927" spans="1:26">
      <c r="A12927" s="499">
        <v>45933</v>
      </c>
      <c r="B12927" s="499">
        <v>45936</v>
      </c>
      <c r="C12927" s="420" t="s">
        <v>173</v>
      </c>
      <c r="D12927" s="500" t="s">
        <v>760</v>
      </c>
      <c r="E12927" s="278">
        <v>567977794.13</v>
      </c>
      <c r="F12927" s="95" t="s">
        <v>878</v>
      </c>
      <c r="G12927" s="420">
        <v>119431272</v>
      </c>
      <c r="H12927" s="420">
        <v>119431272</v>
      </c>
      <c r="I12927" s="523" t="s">
        <v>1013</v>
      </c>
      <c r="J12927" s="530" t="s">
        <v>912</v>
      </c>
      <c r="N12927" s="420">
        <v>1019466</v>
      </c>
      <c r="R12927" s="420">
        <v>556.40779999999995</v>
      </c>
      <c r="S12927" s="420">
        <v>557.13264996576595</v>
      </c>
      <c r="T12927" s="420">
        <v>15.8499</v>
      </c>
      <c r="U12927" s="278">
        <v>2552.5700000000002</v>
      </c>
      <c r="V12927" s="278">
        <v>1276.29</v>
      </c>
      <c r="Z12927" s="420" t="s">
        <v>2953</v>
      </c>
    </row>
    <row r="12928" spans="1:26">
      <c r="A12928" s="499">
        <v>45933</v>
      </c>
      <c r="B12928" s="499">
        <v>45936</v>
      </c>
      <c r="C12928" s="420" t="s">
        <v>173</v>
      </c>
      <c r="D12928" s="500" t="s">
        <v>760</v>
      </c>
      <c r="E12928" s="278">
        <v>10013792.6</v>
      </c>
      <c r="F12928" s="95" t="s">
        <v>878</v>
      </c>
      <c r="G12928" s="420">
        <v>119432063</v>
      </c>
      <c r="H12928" s="420">
        <v>119432063</v>
      </c>
      <c r="I12928" s="523" t="s">
        <v>3046</v>
      </c>
      <c r="J12928" s="530" t="s">
        <v>912</v>
      </c>
      <c r="N12928" s="420">
        <v>100500</v>
      </c>
      <c r="R12928" s="420">
        <v>99.510499999999993</v>
      </c>
      <c r="S12928" s="420">
        <v>99.639727363184093</v>
      </c>
      <c r="T12928" s="420">
        <v>15.8</v>
      </c>
      <c r="U12928" s="278">
        <v>45</v>
      </c>
      <c r="V12928" s="278">
        <v>22.5</v>
      </c>
      <c r="Z12928" s="420" t="s">
        <v>2953</v>
      </c>
    </row>
    <row r="12929" spans="1:26">
      <c r="A12929" s="499">
        <v>45933</v>
      </c>
      <c r="B12929" s="499">
        <v>45933</v>
      </c>
      <c r="C12929" s="420" t="s">
        <v>173</v>
      </c>
      <c r="D12929" s="500" t="s">
        <v>761</v>
      </c>
      <c r="E12929" s="501">
        <v>-193153249.91</v>
      </c>
      <c r="F12929" s="95" t="s">
        <v>878</v>
      </c>
      <c r="G12929" s="420">
        <v>119430427</v>
      </c>
      <c r="I12929" s="523" t="s">
        <v>2944</v>
      </c>
      <c r="J12929" s="530" t="s">
        <v>906</v>
      </c>
      <c r="N12929" s="420">
        <v>198211</v>
      </c>
      <c r="R12929" s="420">
        <v>974.48299998486459</v>
      </c>
      <c r="S12929" s="420">
        <v>975.75651043584901</v>
      </c>
      <c r="T12929" s="420">
        <v>15.9001</v>
      </c>
      <c r="U12929" s="278">
        <v>869.19</v>
      </c>
      <c r="V12929" s="278">
        <v>434.59</v>
      </c>
      <c r="Z12929" s="420" t="s">
        <v>2953</v>
      </c>
    </row>
    <row r="12930" spans="1:26">
      <c r="A12930" s="499">
        <v>45933</v>
      </c>
      <c r="B12930" s="499">
        <v>45933</v>
      </c>
      <c r="C12930" s="420" t="s">
        <v>173</v>
      </c>
      <c r="D12930" s="500" t="s">
        <v>761</v>
      </c>
      <c r="E12930" s="501">
        <v>-1220051119.3199999</v>
      </c>
      <c r="F12930" s="95" t="s">
        <v>878</v>
      </c>
      <c r="G12930" s="420">
        <v>119430430</v>
      </c>
      <c r="I12930" s="523" t="s">
        <v>675</v>
      </c>
      <c r="J12930" s="530" t="s">
        <v>906</v>
      </c>
      <c r="N12930" s="420">
        <v>1282388</v>
      </c>
      <c r="R12930" s="420">
        <v>951.39</v>
      </c>
      <c r="S12930" s="420">
        <v>952.63332337015004</v>
      </c>
      <c r="T12930" s="420">
        <v>15.9</v>
      </c>
      <c r="U12930" s="278">
        <v>5490.23</v>
      </c>
      <c r="V12930" s="278">
        <v>2745.12</v>
      </c>
      <c r="Z12930" s="420" t="s">
        <v>2953</v>
      </c>
    </row>
    <row r="12931" spans="1:26">
      <c r="A12931" s="499">
        <v>45933</v>
      </c>
      <c r="B12931" s="499">
        <v>45933</v>
      </c>
      <c r="C12931" s="420" t="s">
        <v>173</v>
      </c>
      <c r="D12931" s="500" t="s">
        <v>761</v>
      </c>
      <c r="E12931" s="501">
        <v>-8001946.7800000003</v>
      </c>
      <c r="F12931" s="95" t="s">
        <v>878</v>
      </c>
      <c r="G12931" s="420">
        <v>119432657</v>
      </c>
      <c r="I12931" s="523" t="s">
        <v>658</v>
      </c>
      <c r="J12931" s="530" t="s">
        <v>906</v>
      </c>
      <c r="N12931" s="420">
        <v>7696</v>
      </c>
      <c r="R12931" s="420">
        <v>1039.7539994802496</v>
      </c>
      <c r="S12931" s="420">
        <v>1041.0999999999999</v>
      </c>
      <c r="T12931" s="420">
        <v>15.7502</v>
      </c>
      <c r="U12931" s="278">
        <v>39.32</v>
      </c>
      <c r="V12931" s="278">
        <v>18</v>
      </c>
      <c r="Z12931" s="420" t="s">
        <v>2953</v>
      </c>
    </row>
    <row r="12932" spans="1:26">
      <c r="A12932" s="499">
        <v>45933</v>
      </c>
      <c r="B12932" s="499">
        <v>45936</v>
      </c>
      <c r="C12932" s="420" t="s">
        <v>173</v>
      </c>
      <c r="D12932" s="500" t="s">
        <v>761</v>
      </c>
      <c r="E12932" s="501">
        <v>193405673.69</v>
      </c>
      <c r="F12932" s="95" t="s">
        <v>878</v>
      </c>
      <c r="G12932" s="420">
        <v>119430427</v>
      </c>
      <c r="H12932" s="420">
        <v>119430427</v>
      </c>
      <c r="I12932" s="523" t="s">
        <v>2944</v>
      </c>
      <c r="J12932" s="530" t="s">
        <v>912</v>
      </c>
      <c r="N12932" s="420">
        <v>198211</v>
      </c>
      <c r="R12932" s="420">
        <v>974.48299998486459</v>
      </c>
      <c r="S12932" s="420">
        <v>975.75651043584901</v>
      </c>
      <c r="T12932" s="420">
        <v>15.9001</v>
      </c>
      <c r="U12932" s="278">
        <v>869.19</v>
      </c>
      <c r="V12932" s="278">
        <v>434.59</v>
      </c>
      <c r="Z12932" s="420" t="s">
        <v>2953</v>
      </c>
    </row>
    <row r="12933" spans="1:26">
      <c r="A12933" s="499">
        <v>45933</v>
      </c>
      <c r="B12933" s="499">
        <v>45936</v>
      </c>
      <c r="C12933" s="420" t="s">
        <v>173</v>
      </c>
      <c r="D12933" s="500" t="s">
        <v>761</v>
      </c>
      <c r="E12933" s="501">
        <v>1221645542.29</v>
      </c>
      <c r="F12933" s="95" t="s">
        <v>878</v>
      </c>
      <c r="G12933" s="420">
        <v>119430430</v>
      </c>
      <c r="H12933" s="420">
        <v>119430430</v>
      </c>
      <c r="I12933" s="523" t="s">
        <v>675</v>
      </c>
      <c r="J12933" s="530" t="s">
        <v>912</v>
      </c>
      <c r="N12933" s="420">
        <v>1282388</v>
      </c>
      <c r="R12933" s="420">
        <v>951.39</v>
      </c>
      <c r="S12933" s="420">
        <v>952.63332337015004</v>
      </c>
      <c r="T12933" s="420">
        <v>15.9</v>
      </c>
      <c r="U12933" s="278">
        <v>5490.23</v>
      </c>
      <c r="V12933" s="278">
        <v>2745.12</v>
      </c>
      <c r="Z12933" s="420" t="s">
        <v>2953</v>
      </c>
    </row>
    <row r="12934" spans="1:26">
      <c r="A12934" s="499">
        <v>45933</v>
      </c>
      <c r="B12934" s="499">
        <v>45936</v>
      </c>
      <c r="C12934" s="420" t="s">
        <v>173</v>
      </c>
      <c r="D12934" s="500" t="s">
        <v>761</v>
      </c>
      <c r="E12934" s="501">
        <v>8012305.5999999996</v>
      </c>
      <c r="F12934" s="95" t="s">
        <v>878</v>
      </c>
      <c r="G12934" s="420">
        <v>119432657</v>
      </c>
      <c r="H12934" s="420">
        <v>119432657</v>
      </c>
      <c r="I12934" s="523" t="s">
        <v>658</v>
      </c>
      <c r="J12934" s="530" t="s">
        <v>912</v>
      </c>
      <c r="N12934" s="420">
        <v>7696</v>
      </c>
      <c r="R12934" s="420">
        <v>1039.7539994802496</v>
      </c>
      <c r="S12934" s="420">
        <v>1041.0999999999999</v>
      </c>
      <c r="T12934" s="420">
        <v>15.7502</v>
      </c>
      <c r="U12934" s="278">
        <v>39.32</v>
      </c>
      <c r="V12934" s="278">
        <v>18</v>
      </c>
      <c r="Z12934" s="420" t="s">
        <v>2953</v>
      </c>
    </row>
    <row r="12935" spans="1:26">
      <c r="A12935" s="499">
        <v>45933</v>
      </c>
      <c r="B12935" s="499">
        <v>45933</v>
      </c>
      <c r="C12935" s="420" t="s">
        <v>173</v>
      </c>
      <c r="D12935" s="500" t="s">
        <v>759</v>
      </c>
      <c r="E12935" s="501">
        <v>-1991321941.0799999</v>
      </c>
      <c r="F12935" s="95" t="s">
        <v>878</v>
      </c>
      <c r="G12935" s="420">
        <v>119432546</v>
      </c>
      <c r="I12935" s="523" t="s">
        <v>672</v>
      </c>
      <c r="J12935" s="530" t="s">
        <v>906</v>
      </c>
      <c r="N12935" s="420">
        <v>2161140</v>
      </c>
      <c r="R12935" s="420">
        <v>921.42199999999991</v>
      </c>
      <c r="S12935" s="420">
        <v>922.62237304385599</v>
      </c>
      <c r="T12935" s="420">
        <v>15.85</v>
      </c>
      <c r="U12935" s="278">
        <v>8960.9500000000007</v>
      </c>
      <c r="V12935" s="278">
        <v>4480.47</v>
      </c>
      <c r="Z12935" s="420" t="s">
        <v>2953</v>
      </c>
    </row>
    <row r="12936" spans="1:26">
      <c r="A12936" s="499">
        <v>45933</v>
      </c>
      <c r="B12936" s="499">
        <v>45933</v>
      </c>
      <c r="C12936" s="420" t="s">
        <v>173</v>
      </c>
      <c r="D12936" s="500" t="s">
        <v>759</v>
      </c>
      <c r="E12936" s="501">
        <v>-11001608.77</v>
      </c>
      <c r="F12936" s="95" t="s">
        <v>878</v>
      </c>
      <c r="G12936" s="420">
        <v>119433032</v>
      </c>
      <c r="I12936" s="523" t="s">
        <v>819</v>
      </c>
      <c r="J12936" s="530" t="s">
        <v>906</v>
      </c>
      <c r="N12936" s="420">
        <v>10318</v>
      </c>
      <c r="R12936" s="420">
        <v>1066.2539998061638</v>
      </c>
      <c r="S12936" s="420">
        <v>1067.63431382051</v>
      </c>
      <c r="T12936" s="420">
        <v>15.750299999999999</v>
      </c>
      <c r="U12936" s="278">
        <v>49.51</v>
      </c>
      <c r="V12936" s="278">
        <v>24.75</v>
      </c>
      <c r="Z12936" s="420" t="s">
        <v>2953</v>
      </c>
    </row>
    <row r="12937" spans="1:26">
      <c r="A12937" s="499">
        <v>45933</v>
      </c>
      <c r="B12937" s="499">
        <v>45936</v>
      </c>
      <c r="C12937" s="420" t="s">
        <v>173</v>
      </c>
      <c r="D12937" s="500" t="s">
        <v>759</v>
      </c>
      <c r="E12937" s="501">
        <v>1993916115.28</v>
      </c>
      <c r="F12937" s="95" t="s">
        <v>878</v>
      </c>
      <c r="G12937" s="420">
        <v>119432546</v>
      </c>
      <c r="H12937" s="420">
        <v>119432546</v>
      </c>
      <c r="I12937" s="523" t="s">
        <v>672</v>
      </c>
      <c r="J12937" s="530" t="s">
        <v>912</v>
      </c>
      <c r="N12937" s="420">
        <v>2161140</v>
      </c>
      <c r="R12937" s="420">
        <v>921.42199999999991</v>
      </c>
      <c r="S12937" s="420">
        <v>922.62237304385599</v>
      </c>
      <c r="T12937" s="420">
        <v>15.85</v>
      </c>
      <c r="U12937" s="278">
        <v>8960.9500000000007</v>
      </c>
      <c r="V12937" s="278">
        <v>4480.47</v>
      </c>
      <c r="Z12937" s="420" t="s">
        <v>2953</v>
      </c>
    </row>
    <row r="12938" spans="1:26">
      <c r="A12938" s="499">
        <v>45933</v>
      </c>
      <c r="B12938" s="499">
        <v>45936</v>
      </c>
      <c r="C12938" s="420" t="s">
        <v>173</v>
      </c>
      <c r="D12938" s="500" t="s">
        <v>759</v>
      </c>
      <c r="E12938" s="501">
        <v>11015850.85</v>
      </c>
      <c r="F12938" s="95" t="s">
        <v>878</v>
      </c>
      <c r="G12938" s="420">
        <v>119433032</v>
      </c>
      <c r="H12938" s="420">
        <v>119433032</v>
      </c>
      <c r="I12938" s="523" t="s">
        <v>819</v>
      </c>
      <c r="J12938" s="530" t="s">
        <v>912</v>
      </c>
      <c r="N12938" s="420">
        <v>10318</v>
      </c>
      <c r="R12938" s="420">
        <v>1066.2539998061638</v>
      </c>
      <c r="S12938" s="420">
        <v>1067.63431382051</v>
      </c>
      <c r="T12938" s="420">
        <v>15.750299999999999</v>
      </c>
      <c r="U12938" s="278">
        <v>49.51</v>
      </c>
      <c r="V12938" s="278">
        <v>24.75</v>
      </c>
      <c r="Z12938" s="420" t="s">
        <v>2953</v>
      </c>
    </row>
    <row r="12939" spans="1:26">
      <c r="A12939" s="499">
        <v>45933</v>
      </c>
      <c r="B12939" s="499">
        <v>45933</v>
      </c>
      <c r="C12939" s="420" t="s">
        <v>173</v>
      </c>
      <c r="D12939" s="500" t="s">
        <v>763</v>
      </c>
      <c r="E12939" s="501">
        <v>-2095882465.1199999</v>
      </c>
      <c r="F12939" s="95" t="s">
        <v>878</v>
      </c>
      <c r="G12939" s="420">
        <v>119430534</v>
      </c>
      <c r="I12939" s="523" t="s">
        <v>1013</v>
      </c>
      <c r="J12939" s="530" t="s">
        <v>906</v>
      </c>
      <c r="N12939" s="420">
        <v>3766810</v>
      </c>
      <c r="R12939" s="420">
        <v>556.40779999999995</v>
      </c>
      <c r="S12939" s="420">
        <v>557.12808120133502</v>
      </c>
      <c r="T12939" s="420">
        <v>15.75</v>
      </c>
      <c r="U12939" s="278">
        <v>9431.4699999999993</v>
      </c>
      <c r="V12939" s="278">
        <v>4715.74</v>
      </c>
      <c r="Z12939" s="420" t="s">
        <v>2953</v>
      </c>
    </row>
    <row r="12940" spans="1:26">
      <c r="A12940" s="499">
        <v>45933</v>
      </c>
      <c r="B12940" s="499">
        <v>45933</v>
      </c>
      <c r="C12940" s="420" t="s">
        <v>173</v>
      </c>
      <c r="D12940" s="500" t="s">
        <v>763</v>
      </c>
      <c r="E12940" s="501">
        <v>-12005054.689999999</v>
      </c>
      <c r="F12940" s="95" t="s">
        <v>878</v>
      </c>
      <c r="G12940" s="420">
        <v>119430571</v>
      </c>
      <c r="I12940" s="523" t="s">
        <v>1013</v>
      </c>
      <c r="J12940" s="530" t="s">
        <v>906</v>
      </c>
      <c r="N12940" s="420">
        <v>21576</v>
      </c>
      <c r="R12940" s="420">
        <v>556.40779999999995</v>
      </c>
      <c r="S12940" s="420">
        <v>557.12808120133502</v>
      </c>
      <c r="T12940" s="420">
        <v>15.75</v>
      </c>
      <c r="U12940" s="278">
        <v>54.02</v>
      </c>
      <c r="V12940" s="278">
        <v>39.32</v>
      </c>
      <c r="Z12940" s="420" t="s">
        <v>2953</v>
      </c>
    </row>
    <row r="12941" spans="1:26">
      <c r="A12941" s="499">
        <v>45933</v>
      </c>
      <c r="B12941" s="499">
        <v>45936</v>
      </c>
      <c r="C12941" s="420" t="s">
        <v>173</v>
      </c>
      <c r="D12941" s="500" t="s">
        <v>763</v>
      </c>
      <c r="E12941" s="501">
        <v>2098595628.04</v>
      </c>
      <c r="F12941" s="95" t="s">
        <v>878</v>
      </c>
      <c r="G12941" s="420">
        <v>119430534</v>
      </c>
      <c r="H12941" s="420">
        <v>119430534</v>
      </c>
      <c r="I12941" s="523" t="s">
        <v>1013</v>
      </c>
      <c r="J12941" s="530" t="s">
        <v>912</v>
      </c>
      <c r="N12941" s="420">
        <v>3766810</v>
      </c>
      <c r="R12941" s="420">
        <v>556.40779999999995</v>
      </c>
      <c r="S12941" s="420">
        <v>557.12808120133502</v>
      </c>
      <c r="T12941" s="420">
        <v>15.75</v>
      </c>
      <c r="U12941" s="278">
        <v>9431.4699999999993</v>
      </c>
      <c r="V12941" s="278">
        <v>4715.74</v>
      </c>
      <c r="Z12941" s="420" t="s">
        <v>2953</v>
      </c>
    </row>
    <row r="12942" spans="1:26">
      <c r="A12942" s="499">
        <v>45933</v>
      </c>
      <c r="B12942" s="499">
        <v>45936</v>
      </c>
      <c r="C12942" s="420" t="s">
        <v>173</v>
      </c>
      <c r="D12942" s="500" t="s">
        <v>763</v>
      </c>
      <c r="E12942" s="501">
        <v>12020595.48</v>
      </c>
      <c r="F12942" s="95" t="s">
        <v>878</v>
      </c>
      <c r="G12942" s="420">
        <v>119430571</v>
      </c>
      <c r="H12942" s="420">
        <v>119430571</v>
      </c>
      <c r="I12942" s="523" t="s">
        <v>1013</v>
      </c>
      <c r="J12942" s="530" t="s">
        <v>912</v>
      </c>
      <c r="N12942" s="420">
        <v>21576</v>
      </c>
      <c r="R12942" s="420">
        <v>556.40779999999995</v>
      </c>
      <c r="S12942" s="420">
        <v>557.12808120133502</v>
      </c>
      <c r="T12942" s="420">
        <v>15.75</v>
      </c>
      <c r="U12942" s="278">
        <v>54.02</v>
      </c>
      <c r="V12942" s="278">
        <v>39.32</v>
      </c>
      <c r="Z12942" s="420" t="s">
        <v>2953</v>
      </c>
    </row>
    <row r="12943" spans="1:26">
      <c r="A12943" s="499">
        <v>45936</v>
      </c>
      <c r="B12943" s="499">
        <v>45936</v>
      </c>
      <c r="C12943" s="420" t="s">
        <v>173</v>
      </c>
      <c r="D12943" s="500" t="s">
        <v>761</v>
      </c>
      <c r="E12943" s="501">
        <v>-1014032934.92</v>
      </c>
      <c r="F12943" s="95" t="s">
        <v>878</v>
      </c>
      <c r="G12943" s="420">
        <v>119453588</v>
      </c>
      <c r="I12943" s="523" t="s">
        <v>3046</v>
      </c>
      <c r="J12943" s="530" t="s">
        <v>906</v>
      </c>
      <c r="N12943" s="420">
        <v>10177518</v>
      </c>
      <c r="R12943" s="420">
        <v>99.634599999724884</v>
      </c>
      <c r="S12943" s="420">
        <v>99.677729497506206</v>
      </c>
      <c r="T12943" s="420">
        <v>15.8</v>
      </c>
      <c r="U12943" s="278">
        <v>1521.05</v>
      </c>
      <c r="V12943" s="278">
        <v>760.52</v>
      </c>
      <c r="Z12943" s="420" t="s">
        <v>2953</v>
      </c>
    </row>
    <row r="12944" spans="1:26">
      <c r="A12944" s="499">
        <v>45936</v>
      </c>
      <c r="B12944" s="499">
        <v>45936</v>
      </c>
      <c r="C12944" s="420" t="s">
        <v>173</v>
      </c>
      <c r="D12944" s="500" t="s">
        <v>761</v>
      </c>
      <c r="E12944" s="501">
        <v>-80046739.629999995</v>
      </c>
      <c r="F12944" s="95" t="s">
        <v>878</v>
      </c>
      <c r="G12944" s="420">
        <v>119453595</v>
      </c>
      <c r="I12944" s="523" t="s">
        <v>637</v>
      </c>
      <c r="J12944" s="530" t="s">
        <v>906</v>
      </c>
      <c r="N12944" s="420">
        <v>127520</v>
      </c>
      <c r="R12944" s="420">
        <v>627.71909998431613</v>
      </c>
      <c r="S12944" s="420">
        <v>627.99082496863196</v>
      </c>
      <c r="T12944" s="420">
        <v>15.8</v>
      </c>
      <c r="U12944" s="278">
        <v>120.07</v>
      </c>
      <c r="V12944" s="278">
        <v>60.04</v>
      </c>
      <c r="Z12944" s="420" t="s">
        <v>2953</v>
      </c>
    </row>
    <row r="12945" spans="1:26">
      <c r="A12945" s="499">
        <v>45936</v>
      </c>
      <c r="B12945" s="499">
        <v>45936</v>
      </c>
      <c r="C12945" s="420" t="s">
        <v>173</v>
      </c>
      <c r="D12945" s="500" t="s">
        <v>761</v>
      </c>
      <c r="E12945" s="501">
        <v>-320178267.13999999</v>
      </c>
      <c r="F12945" s="95" t="s">
        <v>878</v>
      </c>
      <c r="G12945" s="420">
        <v>119454099</v>
      </c>
      <c r="I12945" s="523" t="s">
        <v>833</v>
      </c>
      <c r="J12945" s="530" t="s">
        <v>906</v>
      </c>
      <c r="N12945" s="420">
        <v>494080</v>
      </c>
      <c r="R12945" s="420">
        <v>648.02920000809581</v>
      </c>
      <c r="S12945" s="420">
        <v>648.30971676651598</v>
      </c>
      <c r="T12945" s="420">
        <v>15.8</v>
      </c>
      <c r="U12945" s="278">
        <v>480.27</v>
      </c>
      <c r="V12945" s="278">
        <v>240.13</v>
      </c>
      <c r="Z12945" s="420" t="s">
        <v>2953</v>
      </c>
    </row>
    <row r="12946" spans="1:26">
      <c r="A12946" s="499">
        <v>45936</v>
      </c>
      <c r="B12946" s="499">
        <v>45936</v>
      </c>
      <c r="C12946" s="420" t="s">
        <v>173</v>
      </c>
      <c r="D12946" s="500" t="s">
        <v>761</v>
      </c>
      <c r="E12946" s="501">
        <v>-9006866.3699999992</v>
      </c>
      <c r="F12946" s="95" t="s">
        <v>878</v>
      </c>
      <c r="G12946" s="420">
        <v>119454294</v>
      </c>
      <c r="I12946" s="523" t="s">
        <v>681</v>
      </c>
      <c r="J12946" s="530" t="s">
        <v>906</v>
      </c>
      <c r="N12946" s="420">
        <v>9927</v>
      </c>
      <c r="R12946" s="420">
        <v>907.31</v>
      </c>
      <c r="S12946" s="420">
        <v>907.70275309761303</v>
      </c>
      <c r="T12946" s="420">
        <v>15.8</v>
      </c>
      <c r="U12946" s="278">
        <v>39.32</v>
      </c>
      <c r="V12946" s="278">
        <v>6.76</v>
      </c>
      <c r="Z12946" s="420" t="s">
        <v>2953</v>
      </c>
    </row>
    <row r="12947" spans="1:26">
      <c r="A12947" s="499">
        <v>45936</v>
      </c>
      <c r="B12947" s="499">
        <v>45937</v>
      </c>
      <c r="C12947" s="420" t="s">
        <v>173</v>
      </c>
      <c r="D12947" s="500" t="s">
        <v>761</v>
      </c>
      <c r="E12947" s="501">
        <v>1014471886.16</v>
      </c>
      <c r="F12947" s="95" t="s">
        <v>878</v>
      </c>
      <c r="G12947" s="420">
        <v>119453588</v>
      </c>
      <c r="H12947" s="420">
        <v>119453588</v>
      </c>
      <c r="I12947" s="523" t="s">
        <v>3046</v>
      </c>
      <c r="J12947" s="530" t="s">
        <v>912</v>
      </c>
      <c r="N12947" s="420">
        <v>10177518</v>
      </c>
      <c r="R12947" s="420">
        <v>99.634599999724884</v>
      </c>
      <c r="S12947" s="420">
        <v>99.677729497506206</v>
      </c>
      <c r="T12947" s="420">
        <v>15.8</v>
      </c>
      <c r="U12947" s="278">
        <v>1521.05</v>
      </c>
      <c r="V12947" s="278">
        <v>760.52</v>
      </c>
      <c r="Z12947" s="420" t="s">
        <v>2953</v>
      </c>
    </row>
    <row r="12948" spans="1:26">
      <c r="A12948" s="499">
        <v>45936</v>
      </c>
      <c r="B12948" s="499">
        <v>45937</v>
      </c>
      <c r="C12948" s="420" t="s">
        <v>173</v>
      </c>
      <c r="D12948" s="500" t="s">
        <v>761</v>
      </c>
      <c r="E12948" s="501">
        <v>80081390</v>
      </c>
      <c r="F12948" s="95" t="s">
        <v>878</v>
      </c>
      <c r="G12948" s="420">
        <v>119453595</v>
      </c>
      <c r="H12948" s="420">
        <v>119453595</v>
      </c>
      <c r="I12948" s="523" t="s">
        <v>637</v>
      </c>
      <c r="J12948" s="530" t="s">
        <v>912</v>
      </c>
      <c r="N12948" s="420">
        <v>127520</v>
      </c>
      <c r="R12948" s="420">
        <v>627.71909998431613</v>
      </c>
      <c r="S12948" s="420">
        <v>627.99082496863196</v>
      </c>
      <c r="T12948" s="420">
        <v>15.8</v>
      </c>
      <c r="U12948" s="278">
        <v>120.07</v>
      </c>
      <c r="V12948" s="278">
        <v>60.04</v>
      </c>
      <c r="Z12948" s="420" t="s">
        <v>2953</v>
      </c>
    </row>
    <row r="12949" spans="1:26">
      <c r="A12949" s="499">
        <v>45936</v>
      </c>
      <c r="B12949" s="499">
        <v>45937</v>
      </c>
      <c r="C12949" s="420" t="s">
        <v>173</v>
      </c>
      <c r="D12949" s="500" t="s">
        <v>761</v>
      </c>
      <c r="E12949" s="501">
        <v>320316864.86000001</v>
      </c>
      <c r="F12949" s="95" t="s">
        <v>878</v>
      </c>
      <c r="G12949" s="420">
        <v>119454099</v>
      </c>
      <c r="H12949" s="420">
        <v>119454099</v>
      </c>
      <c r="I12949" s="523" t="s">
        <v>833</v>
      </c>
      <c r="J12949" s="530" t="s">
        <v>912</v>
      </c>
      <c r="N12949" s="420">
        <v>494080</v>
      </c>
      <c r="R12949" s="420">
        <v>648.02920000809581</v>
      </c>
      <c r="S12949" s="420">
        <v>648.30971676651598</v>
      </c>
      <c r="T12949" s="420">
        <v>15.8</v>
      </c>
      <c r="U12949" s="278">
        <v>480.27</v>
      </c>
      <c r="V12949" s="278">
        <v>240.13</v>
      </c>
      <c r="Z12949" s="420" t="s">
        <v>2953</v>
      </c>
    </row>
    <row r="12950" spans="1:26">
      <c r="A12950" s="499">
        <v>45936</v>
      </c>
      <c r="B12950" s="499">
        <v>45937</v>
      </c>
      <c r="C12950" s="420" t="s">
        <v>173</v>
      </c>
      <c r="D12950" s="500" t="s">
        <v>761</v>
      </c>
      <c r="E12950" s="501">
        <v>9010765.2300000004</v>
      </c>
      <c r="F12950" s="95" t="s">
        <v>878</v>
      </c>
      <c r="G12950" s="420">
        <v>119454294</v>
      </c>
      <c r="H12950" s="420">
        <v>119454294</v>
      </c>
      <c r="I12950" s="523" t="s">
        <v>681</v>
      </c>
      <c r="J12950" s="530" t="s">
        <v>912</v>
      </c>
      <c r="N12950" s="420">
        <v>9927</v>
      </c>
      <c r="R12950" s="420">
        <v>907.31</v>
      </c>
      <c r="S12950" s="420">
        <v>907.70275309761303</v>
      </c>
      <c r="T12950" s="420">
        <v>15.8</v>
      </c>
      <c r="U12950" s="278">
        <v>39.32</v>
      </c>
      <c r="V12950" s="278">
        <v>6.76</v>
      </c>
      <c r="Z12950" s="420" t="s">
        <v>2953</v>
      </c>
    </row>
    <row r="12951" spans="1:26">
      <c r="A12951" s="499">
        <v>45936</v>
      </c>
      <c r="B12951" s="499">
        <v>45936</v>
      </c>
      <c r="C12951" s="420" t="s">
        <v>173</v>
      </c>
      <c r="D12951" s="500" t="s">
        <v>760</v>
      </c>
      <c r="E12951" s="501">
        <v>-326014340.74000001</v>
      </c>
      <c r="F12951" s="95" t="s">
        <v>878</v>
      </c>
      <c r="G12951" s="420">
        <v>119455077</v>
      </c>
      <c r="I12951" s="523" t="s">
        <v>590</v>
      </c>
      <c r="J12951" s="530" t="s">
        <v>906</v>
      </c>
      <c r="N12951" s="420">
        <v>340996</v>
      </c>
      <c r="R12951" s="420">
        <v>956.06500000000005</v>
      </c>
      <c r="S12951" s="420">
        <v>958.99867889945904</v>
      </c>
      <c r="T12951" s="420">
        <v>16</v>
      </c>
      <c r="U12951" s="278">
        <v>3423.15</v>
      </c>
      <c r="V12951" s="278">
        <v>1711.58</v>
      </c>
      <c r="Z12951" s="420" t="s">
        <v>2961</v>
      </c>
    </row>
    <row r="12952" spans="1:26">
      <c r="A12952" s="499">
        <v>45936</v>
      </c>
      <c r="B12952" s="499">
        <v>45936</v>
      </c>
      <c r="C12952" s="420" t="s">
        <v>173</v>
      </c>
      <c r="D12952" s="500" t="s">
        <v>760</v>
      </c>
      <c r="E12952" s="501">
        <v>-1279706705.0599999</v>
      </c>
      <c r="F12952" s="95" t="s">
        <v>878</v>
      </c>
      <c r="G12952" s="420">
        <v>119455092</v>
      </c>
      <c r="I12952" s="523" t="s">
        <v>671</v>
      </c>
      <c r="J12952" s="530" t="s">
        <v>906</v>
      </c>
      <c r="N12952" s="420">
        <v>1221445</v>
      </c>
      <c r="R12952" s="420">
        <v>1047.6990000000001</v>
      </c>
      <c r="S12952" s="420">
        <v>1050.9138572101101</v>
      </c>
      <c r="T12952" s="420">
        <v>16</v>
      </c>
      <c r="U12952" s="278">
        <v>13436.92</v>
      </c>
      <c r="V12952" s="278">
        <v>6718.46</v>
      </c>
      <c r="Z12952" s="420" t="s">
        <v>2961</v>
      </c>
    </row>
    <row r="12953" spans="1:26">
      <c r="A12953" s="499">
        <v>45936</v>
      </c>
      <c r="B12953" s="499">
        <v>45936</v>
      </c>
      <c r="C12953" s="420" t="s">
        <v>173</v>
      </c>
      <c r="D12953" s="500" t="s">
        <v>760</v>
      </c>
      <c r="E12953" s="501">
        <v>-10000439.9</v>
      </c>
      <c r="F12953" s="95" t="s">
        <v>878</v>
      </c>
      <c r="G12953" s="420">
        <v>119455483</v>
      </c>
      <c r="I12953" s="523" t="s">
        <v>590</v>
      </c>
      <c r="J12953" s="530" t="s">
        <v>906</v>
      </c>
      <c r="N12953" s="420">
        <v>10460</v>
      </c>
      <c r="R12953" s="420">
        <v>956.06500000000005</v>
      </c>
      <c r="S12953" s="420">
        <v>958.99867877629094</v>
      </c>
      <c r="T12953" s="420">
        <v>16</v>
      </c>
      <c r="U12953" s="278">
        <v>105</v>
      </c>
      <c r="V12953" s="278">
        <v>52.5</v>
      </c>
      <c r="Z12953" s="420" t="s">
        <v>2961</v>
      </c>
    </row>
    <row r="12954" spans="1:26">
      <c r="A12954" s="499">
        <v>45936</v>
      </c>
      <c r="B12954" s="499">
        <v>45936</v>
      </c>
      <c r="C12954" s="420" t="s">
        <v>173</v>
      </c>
      <c r="D12954" s="500" t="s">
        <v>760</v>
      </c>
      <c r="E12954" s="501">
        <v>-1000221.7</v>
      </c>
      <c r="F12954" s="95" t="s">
        <v>878</v>
      </c>
      <c r="G12954" s="420">
        <v>119455927</v>
      </c>
      <c r="I12954" s="523" t="s">
        <v>1013</v>
      </c>
      <c r="J12954" s="530" t="s">
        <v>906</v>
      </c>
      <c r="N12954" s="420">
        <v>1797</v>
      </c>
      <c r="R12954" s="420">
        <v>556.60640000000001</v>
      </c>
      <c r="S12954" s="420">
        <v>556.84581524763496</v>
      </c>
      <c r="T12954" s="420">
        <v>15.6999</v>
      </c>
      <c r="U12954" s="278">
        <v>39.32</v>
      </c>
      <c r="V12954" s="278">
        <v>0.75</v>
      </c>
      <c r="Z12954" s="420" t="s">
        <v>2953</v>
      </c>
    </row>
    <row r="12955" spans="1:26">
      <c r="A12955" s="499">
        <v>45936</v>
      </c>
      <c r="B12955" s="499">
        <v>45936</v>
      </c>
      <c r="C12955" s="420" t="s">
        <v>173</v>
      </c>
      <c r="D12955" s="500" t="s">
        <v>760</v>
      </c>
      <c r="E12955" s="501">
        <v>-333067471.79000002</v>
      </c>
      <c r="F12955" s="95" t="s">
        <v>878</v>
      </c>
      <c r="G12955" s="420">
        <v>119456253</v>
      </c>
      <c r="I12955" s="523" t="s">
        <v>678</v>
      </c>
      <c r="J12955" s="530" t="s">
        <v>906</v>
      </c>
      <c r="N12955" s="420">
        <v>349317</v>
      </c>
      <c r="R12955" s="420">
        <v>953.48199999999997</v>
      </c>
      <c r="S12955" s="420">
        <v>953.89473753066704</v>
      </c>
      <c r="T12955" s="420">
        <v>15.799899999999999</v>
      </c>
      <c r="U12955" s="278">
        <v>499.6</v>
      </c>
      <c r="V12955" s="278">
        <v>249.8</v>
      </c>
      <c r="Z12955" s="420" t="s">
        <v>2953</v>
      </c>
    </row>
    <row r="12956" spans="1:26">
      <c r="A12956" s="499">
        <v>45936</v>
      </c>
      <c r="B12956" s="499">
        <v>45936</v>
      </c>
      <c r="C12956" s="420" t="s">
        <v>173</v>
      </c>
      <c r="D12956" s="500" t="s">
        <v>760</v>
      </c>
      <c r="E12956" s="501">
        <v>-407256731.94</v>
      </c>
      <c r="F12956" s="95" t="s">
        <v>878</v>
      </c>
      <c r="G12956" s="420">
        <v>119456256</v>
      </c>
      <c r="I12956" s="523" t="s">
        <v>654</v>
      </c>
      <c r="J12956" s="530" t="s">
        <v>906</v>
      </c>
      <c r="N12956" s="420">
        <v>399267</v>
      </c>
      <c r="R12956" s="420">
        <v>1020.011</v>
      </c>
      <c r="S12956" s="420">
        <v>1020.45253622263</v>
      </c>
      <c r="T12956" s="420">
        <v>15.799899999999999</v>
      </c>
      <c r="U12956" s="278">
        <v>610.89</v>
      </c>
      <c r="V12956" s="278">
        <v>305.44</v>
      </c>
      <c r="Z12956" s="420" t="s">
        <v>2953</v>
      </c>
    </row>
    <row r="12957" spans="1:26">
      <c r="A12957" s="499">
        <v>45936</v>
      </c>
      <c r="B12957" s="499">
        <v>45936</v>
      </c>
      <c r="C12957" s="420" t="s">
        <v>173</v>
      </c>
      <c r="D12957" s="500" t="s">
        <v>760</v>
      </c>
      <c r="E12957" s="501">
        <v>-864517721.75999999</v>
      </c>
      <c r="F12957" s="95" t="s">
        <v>878</v>
      </c>
      <c r="G12957" s="420">
        <v>119459456</v>
      </c>
      <c r="I12957" s="523" t="s">
        <v>714</v>
      </c>
      <c r="J12957" s="530" t="s">
        <v>906</v>
      </c>
      <c r="N12957" s="420">
        <v>1149984</v>
      </c>
      <c r="R12957" s="420">
        <v>751.76499999999999</v>
      </c>
      <c r="S12957" s="420">
        <v>752.07394452444601</v>
      </c>
      <c r="T12957" s="420">
        <v>15</v>
      </c>
      <c r="U12957" s="278">
        <v>1296.78</v>
      </c>
      <c r="V12957" s="278">
        <v>648.39</v>
      </c>
      <c r="Z12957" s="420" t="s">
        <v>2953</v>
      </c>
    </row>
    <row r="12958" spans="1:26">
      <c r="A12958" s="499">
        <v>45936</v>
      </c>
      <c r="B12958" s="499">
        <v>45936</v>
      </c>
      <c r="C12958" s="420" t="s">
        <v>173</v>
      </c>
      <c r="D12958" s="500" t="s">
        <v>760</v>
      </c>
      <c r="E12958" s="501">
        <v>-10006077.35</v>
      </c>
      <c r="F12958" s="95" t="s">
        <v>878</v>
      </c>
      <c r="G12958" s="420">
        <v>119461020</v>
      </c>
      <c r="I12958" s="523" t="s">
        <v>708</v>
      </c>
      <c r="J12958" s="530" t="s">
        <v>906</v>
      </c>
      <c r="N12958" s="420">
        <v>14470</v>
      </c>
      <c r="R12958" s="420">
        <v>691.505</v>
      </c>
      <c r="S12958" s="420">
        <v>691.77971112646901</v>
      </c>
      <c r="T12958" s="420">
        <v>14.5002</v>
      </c>
      <c r="U12958" s="278">
        <v>39.32</v>
      </c>
      <c r="V12958" s="278">
        <v>7.5</v>
      </c>
      <c r="Z12958" s="420" t="s">
        <v>2953</v>
      </c>
    </row>
    <row r="12959" spans="1:26">
      <c r="A12959" s="499">
        <v>45936</v>
      </c>
      <c r="B12959" s="275">
        <v>45943</v>
      </c>
      <c r="C12959" s="420" t="s">
        <v>173</v>
      </c>
      <c r="D12959" s="500" t="s">
        <v>760</v>
      </c>
      <c r="E12959" s="278">
        <v>327014713.50999999</v>
      </c>
      <c r="F12959" s="95" t="s">
        <v>878</v>
      </c>
      <c r="G12959" s="420">
        <v>119455077</v>
      </c>
      <c r="H12959" s="420">
        <v>119455077</v>
      </c>
      <c r="I12959" s="523" t="s">
        <v>590</v>
      </c>
      <c r="J12959" s="530" t="s">
        <v>912</v>
      </c>
      <c r="N12959" s="420">
        <v>340996</v>
      </c>
      <c r="R12959" s="420">
        <v>956.06500000000005</v>
      </c>
      <c r="S12959" s="420">
        <v>958.99867889945904</v>
      </c>
      <c r="T12959" s="420">
        <v>16</v>
      </c>
      <c r="U12959" s="278">
        <v>3423.15</v>
      </c>
      <c r="V12959" s="278">
        <v>1711.58</v>
      </c>
      <c r="Z12959" s="420" t="s">
        <v>2961</v>
      </c>
    </row>
    <row r="12960" spans="1:26">
      <c r="A12960" s="499">
        <v>45936</v>
      </c>
      <c r="B12960" s="275">
        <v>45943</v>
      </c>
      <c r="C12960" s="420" t="s">
        <v>173</v>
      </c>
      <c r="D12960" s="500" t="s">
        <v>760</v>
      </c>
      <c r="E12960" s="278">
        <v>1283633476.3199999</v>
      </c>
      <c r="F12960" s="95" t="s">
        <v>878</v>
      </c>
      <c r="G12960" s="420">
        <v>119455092</v>
      </c>
      <c r="H12960" s="420">
        <v>119455092</v>
      </c>
      <c r="I12960" s="523" t="s">
        <v>671</v>
      </c>
      <c r="J12960" s="530" t="s">
        <v>912</v>
      </c>
      <c r="N12960" s="420">
        <v>1221445</v>
      </c>
      <c r="R12960" s="420">
        <v>1047.6990000000001</v>
      </c>
      <c r="S12960" s="420">
        <v>1050.9138572101101</v>
      </c>
      <c r="T12960" s="420">
        <v>16</v>
      </c>
      <c r="U12960" s="278">
        <v>13436.92</v>
      </c>
      <c r="V12960" s="278">
        <v>6718.46</v>
      </c>
      <c r="Z12960" s="420" t="s">
        <v>2961</v>
      </c>
    </row>
    <row r="12961" spans="1:26">
      <c r="A12961" s="499">
        <v>45936</v>
      </c>
      <c r="B12961" s="275">
        <v>45943</v>
      </c>
      <c r="C12961" s="420" t="s">
        <v>173</v>
      </c>
      <c r="D12961" s="500" t="s">
        <v>760</v>
      </c>
      <c r="E12961" s="278">
        <v>10031126.18</v>
      </c>
      <c r="F12961" s="95" t="s">
        <v>878</v>
      </c>
      <c r="G12961" s="420">
        <v>119455483</v>
      </c>
      <c r="H12961" s="420">
        <v>119455483</v>
      </c>
      <c r="I12961" s="523" t="s">
        <v>590</v>
      </c>
      <c r="J12961" s="530" t="s">
        <v>912</v>
      </c>
      <c r="N12961" s="420">
        <v>10460</v>
      </c>
      <c r="R12961" s="420">
        <v>956.06500000000005</v>
      </c>
      <c r="S12961" s="420">
        <v>958.99867877629094</v>
      </c>
      <c r="T12961" s="420">
        <v>16</v>
      </c>
      <c r="U12961" s="278">
        <v>105</v>
      </c>
      <c r="V12961" s="278">
        <v>52.5</v>
      </c>
      <c r="Z12961" s="420" t="s">
        <v>2961</v>
      </c>
    </row>
    <row r="12962" spans="1:26">
      <c r="A12962" s="499">
        <v>45936</v>
      </c>
      <c r="B12962" s="275">
        <v>45937</v>
      </c>
      <c r="C12962" s="420" t="s">
        <v>173</v>
      </c>
      <c r="D12962" s="500" t="s">
        <v>760</v>
      </c>
      <c r="E12962" s="278">
        <v>1000651.93</v>
      </c>
      <c r="F12962" s="95" t="s">
        <v>878</v>
      </c>
      <c r="G12962" s="420">
        <v>119455927</v>
      </c>
      <c r="H12962" s="420">
        <v>119455927</v>
      </c>
      <c r="I12962" s="523" t="s">
        <v>1013</v>
      </c>
      <c r="J12962" s="530" t="s">
        <v>912</v>
      </c>
      <c r="N12962" s="420">
        <v>1797</v>
      </c>
      <c r="R12962" s="420">
        <v>556.60640000000001</v>
      </c>
      <c r="S12962" s="420">
        <v>556.84581524763496</v>
      </c>
      <c r="T12962" s="420">
        <v>15.6999</v>
      </c>
      <c r="U12962" s="278">
        <v>39.32</v>
      </c>
      <c r="V12962" s="278">
        <v>0.75</v>
      </c>
      <c r="Z12962" s="420" t="s">
        <v>2953</v>
      </c>
    </row>
    <row r="12963" spans="1:26">
      <c r="A12963" s="499">
        <v>45936</v>
      </c>
      <c r="B12963" s="275">
        <v>45937</v>
      </c>
      <c r="C12963" s="420" t="s">
        <v>173</v>
      </c>
      <c r="D12963" s="500" t="s">
        <v>760</v>
      </c>
      <c r="E12963" s="278">
        <v>333211648.02999997</v>
      </c>
      <c r="F12963" s="95" t="s">
        <v>878</v>
      </c>
      <c r="G12963" s="420">
        <v>119456253</v>
      </c>
      <c r="H12963" s="420">
        <v>119456253</v>
      </c>
      <c r="I12963" s="523" t="s">
        <v>678</v>
      </c>
      <c r="J12963" s="530" t="s">
        <v>912</v>
      </c>
      <c r="N12963" s="420">
        <v>349317</v>
      </c>
      <c r="R12963" s="420">
        <v>953.48199999999997</v>
      </c>
      <c r="S12963" s="420">
        <v>953.89473753066704</v>
      </c>
      <c r="T12963" s="420">
        <v>15.799899999999999</v>
      </c>
      <c r="U12963" s="278">
        <v>499.6</v>
      </c>
      <c r="V12963" s="278">
        <v>249.8</v>
      </c>
      <c r="Z12963" s="420" t="s">
        <v>2953</v>
      </c>
    </row>
    <row r="12964" spans="1:26">
      <c r="A12964" s="499">
        <v>45936</v>
      </c>
      <c r="B12964" s="275">
        <v>45937</v>
      </c>
      <c r="C12964" s="420" t="s">
        <v>173</v>
      </c>
      <c r="D12964" s="500" t="s">
        <v>760</v>
      </c>
      <c r="E12964" s="278">
        <v>407433022.77999997</v>
      </c>
      <c r="F12964" s="95" t="s">
        <v>878</v>
      </c>
      <c r="G12964" s="420">
        <v>119456256</v>
      </c>
      <c r="H12964" s="420">
        <v>119456256</v>
      </c>
      <c r="I12964" s="523" t="s">
        <v>654</v>
      </c>
      <c r="J12964" s="530" t="s">
        <v>912</v>
      </c>
      <c r="N12964" s="420">
        <v>399267</v>
      </c>
      <c r="R12964" s="420">
        <v>1020.011</v>
      </c>
      <c r="S12964" s="420">
        <v>1020.45253622263</v>
      </c>
      <c r="T12964" s="420">
        <v>15.799899999999999</v>
      </c>
      <c r="U12964" s="278">
        <v>610.89</v>
      </c>
      <c r="V12964" s="278">
        <v>305.44</v>
      </c>
      <c r="Z12964" s="420" t="s">
        <v>2953</v>
      </c>
    </row>
    <row r="12965" spans="1:26">
      <c r="A12965" s="499">
        <v>45936</v>
      </c>
      <c r="B12965" s="275">
        <v>45937</v>
      </c>
      <c r="C12965" s="420" t="s">
        <v>173</v>
      </c>
      <c r="D12965" s="500" t="s">
        <v>760</v>
      </c>
      <c r="E12965" s="278">
        <v>864873003.01999998</v>
      </c>
      <c r="F12965" s="95" t="s">
        <v>878</v>
      </c>
      <c r="G12965" s="420">
        <v>119459456</v>
      </c>
      <c r="H12965" s="420">
        <v>119459456</v>
      </c>
      <c r="I12965" s="523" t="s">
        <v>714</v>
      </c>
      <c r="J12965" s="530" t="s">
        <v>912</v>
      </c>
      <c r="N12965" s="420">
        <v>1149984</v>
      </c>
      <c r="R12965" s="420">
        <v>751.76499999999999</v>
      </c>
      <c r="S12965" s="420">
        <v>752.07394452444601</v>
      </c>
      <c r="T12965" s="420">
        <v>15</v>
      </c>
      <c r="U12965" s="278">
        <v>1296.78</v>
      </c>
      <c r="V12965" s="278">
        <v>648.39</v>
      </c>
      <c r="Z12965" s="420" t="s">
        <v>2953</v>
      </c>
    </row>
    <row r="12966" spans="1:26">
      <c r="A12966" s="499">
        <v>45936</v>
      </c>
      <c r="B12966" s="275">
        <v>45937</v>
      </c>
      <c r="C12966" s="420" t="s">
        <v>173</v>
      </c>
      <c r="D12966" s="500" t="s">
        <v>760</v>
      </c>
      <c r="E12966" s="278">
        <v>10010052.42</v>
      </c>
      <c r="F12966" s="95" t="s">
        <v>878</v>
      </c>
      <c r="G12966" s="420">
        <v>119461020</v>
      </c>
      <c r="H12966" s="420">
        <v>119461020</v>
      </c>
      <c r="I12966" s="523" t="s">
        <v>708</v>
      </c>
      <c r="J12966" s="530" t="s">
        <v>912</v>
      </c>
      <c r="N12966" s="420">
        <v>14470</v>
      </c>
      <c r="R12966" s="420">
        <v>691.505</v>
      </c>
      <c r="S12966" s="420">
        <v>691.77971112646901</v>
      </c>
      <c r="T12966" s="420">
        <v>14.5002</v>
      </c>
      <c r="U12966" s="278">
        <v>39.32</v>
      </c>
      <c r="V12966" s="278">
        <v>7.5</v>
      </c>
      <c r="Z12966" s="420" t="s">
        <v>2953</v>
      </c>
    </row>
    <row r="12967" spans="1:26">
      <c r="A12967" s="499">
        <v>45936</v>
      </c>
      <c r="B12967" s="499">
        <v>45936</v>
      </c>
      <c r="C12967" s="420" t="s">
        <v>173</v>
      </c>
      <c r="D12967" s="500" t="s">
        <v>764</v>
      </c>
      <c r="E12967" s="501">
        <v>-4906599748.6899996</v>
      </c>
      <c r="F12967" s="95" t="s">
        <v>878</v>
      </c>
      <c r="G12967" s="420">
        <v>119452217</v>
      </c>
      <c r="I12967" s="523" t="s">
        <v>672</v>
      </c>
      <c r="J12967" s="530" t="s">
        <v>906</v>
      </c>
      <c r="N12967" s="420">
        <v>5318104</v>
      </c>
      <c r="R12967" s="420">
        <v>922.62200000037603</v>
      </c>
      <c r="S12967" s="420">
        <v>923.02390931053606</v>
      </c>
      <c r="T12967" s="420">
        <v>15.9</v>
      </c>
      <c r="U12967" s="278">
        <v>7359.9</v>
      </c>
      <c r="V12967" s="278">
        <v>3679.95</v>
      </c>
      <c r="Z12967" s="420" t="s">
        <v>2953</v>
      </c>
    </row>
    <row r="12968" spans="1:26">
      <c r="A12968" s="499">
        <v>45936</v>
      </c>
      <c r="B12968" s="499">
        <v>45936</v>
      </c>
      <c r="C12968" s="420" t="s">
        <v>173</v>
      </c>
      <c r="D12968" s="500" t="s">
        <v>764</v>
      </c>
      <c r="E12968" s="501">
        <v>-30000530.25</v>
      </c>
      <c r="F12968" s="95" t="s">
        <v>878</v>
      </c>
      <c r="G12968" s="420">
        <v>119453461</v>
      </c>
      <c r="I12968" s="523" t="s">
        <v>2944</v>
      </c>
      <c r="J12968" s="530" t="s">
        <v>906</v>
      </c>
      <c r="N12968" s="420">
        <v>30750</v>
      </c>
      <c r="R12968" s="420">
        <v>975.62699999999995</v>
      </c>
      <c r="S12968" s="420">
        <v>976.04932617886197</v>
      </c>
      <c r="T12968" s="420">
        <v>15.8</v>
      </c>
      <c r="U12968" s="278">
        <v>45</v>
      </c>
      <c r="V12968" s="278">
        <v>22.5</v>
      </c>
      <c r="Z12968" s="420" t="s">
        <v>2953</v>
      </c>
    </row>
    <row r="12969" spans="1:26">
      <c r="A12969" s="499">
        <v>45936</v>
      </c>
      <c r="B12969" s="499">
        <v>45937</v>
      </c>
      <c r="C12969" s="420" t="s">
        <v>173</v>
      </c>
      <c r="D12969" s="500" t="s">
        <v>764</v>
      </c>
      <c r="E12969" s="501">
        <v>4908737144.1999998</v>
      </c>
      <c r="F12969" s="95" t="s">
        <v>878</v>
      </c>
      <c r="G12969" s="420">
        <v>119452217</v>
      </c>
      <c r="H12969" s="420">
        <v>119452217</v>
      </c>
      <c r="I12969" s="523" t="s">
        <v>672</v>
      </c>
      <c r="J12969" s="530" t="s">
        <v>912</v>
      </c>
      <c r="N12969" s="420">
        <v>5318104</v>
      </c>
      <c r="R12969" s="420">
        <v>922.62200000037603</v>
      </c>
      <c r="S12969" s="420">
        <v>923.02390931053606</v>
      </c>
      <c r="T12969" s="420">
        <v>15.9</v>
      </c>
      <c r="U12969" s="278">
        <v>7359.9</v>
      </c>
      <c r="V12969" s="278">
        <v>3679.95</v>
      </c>
      <c r="Z12969" s="420" t="s">
        <v>2953</v>
      </c>
    </row>
    <row r="12970" spans="1:26">
      <c r="A12970" s="499">
        <v>45936</v>
      </c>
      <c r="B12970" s="499">
        <v>45937</v>
      </c>
      <c r="C12970" s="420" t="s">
        <v>173</v>
      </c>
      <c r="D12970" s="500" t="s">
        <v>764</v>
      </c>
      <c r="E12970" s="501">
        <v>30013516.780000001</v>
      </c>
      <c r="F12970" s="95" t="s">
        <v>878</v>
      </c>
      <c r="G12970" s="420">
        <v>119453461</v>
      </c>
      <c r="H12970" s="420">
        <v>119453461</v>
      </c>
      <c r="I12970" s="523" t="s">
        <v>2944</v>
      </c>
      <c r="J12970" s="530" t="s">
        <v>912</v>
      </c>
      <c r="N12970" s="420">
        <v>30750</v>
      </c>
      <c r="R12970" s="420">
        <v>975.62699999999995</v>
      </c>
      <c r="S12970" s="420">
        <v>976.04932617886197</v>
      </c>
      <c r="T12970" s="420">
        <v>15.8</v>
      </c>
      <c r="U12970" s="278">
        <v>45</v>
      </c>
      <c r="V12970" s="278">
        <v>22.5</v>
      </c>
      <c r="Z12970" s="420" t="s">
        <v>2953</v>
      </c>
    </row>
    <row r="12971" spans="1:26">
      <c r="A12971" s="499">
        <v>45936</v>
      </c>
      <c r="B12971" s="499">
        <v>45936</v>
      </c>
      <c r="C12971" s="420" t="s">
        <v>173</v>
      </c>
      <c r="D12971" s="500" t="s">
        <v>759</v>
      </c>
      <c r="E12971" s="501">
        <v>-1992243518.02</v>
      </c>
      <c r="F12971" s="95" t="s">
        <v>878</v>
      </c>
      <c r="G12971" s="420">
        <v>119452223</v>
      </c>
      <c r="I12971" s="523" t="s">
        <v>672</v>
      </c>
      <c r="J12971" s="530" t="s">
        <v>906</v>
      </c>
      <c r="N12971" s="420">
        <v>2159328</v>
      </c>
      <c r="R12971" s="420">
        <v>922.62200000185237</v>
      </c>
      <c r="S12971" s="420">
        <v>923.02390931345303</v>
      </c>
      <c r="T12971" s="420">
        <v>15.9</v>
      </c>
      <c r="U12971" s="278">
        <v>2988.37</v>
      </c>
      <c r="V12971" s="278">
        <v>1494.18</v>
      </c>
      <c r="Z12971" s="420" t="s">
        <v>2953</v>
      </c>
    </row>
    <row r="12972" spans="1:26">
      <c r="A12972" s="499">
        <v>45936</v>
      </c>
      <c r="B12972" s="499">
        <v>45936</v>
      </c>
      <c r="C12972" s="420" t="s">
        <v>173</v>
      </c>
      <c r="D12972" s="500" t="s">
        <v>759</v>
      </c>
      <c r="E12972" s="501">
        <v>-13008811.449999999</v>
      </c>
      <c r="F12972" s="95" t="s">
        <v>878</v>
      </c>
      <c r="G12972" s="420">
        <v>119459019</v>
      </c>
      <c r="I12972" s="523" t="s">
        <v>657</v>
      </c>
      <c r="J12972" s="530" t="s">
        <v>906</v>
      </c>
      <c r="N12972" s="420">
        <v>13377</v>
      </c>
      <c r="R12972" s="420">
        <v>972.47599985048964</v>
      </c>
      <c r="S12972" s="420">
        <v>972.87564775360704</v>
      </c>
      <c r="T12972" s="420">
        <v>15</v>
      </c>
      <c r="U12972" s="278">
        <v>39.32</v>
      </c>
      <c r="V12972" s="278">
        <v>9.76</v>
      </c>
      <c r="Z12972" s="420" t="s">
        <v>2953</v>
      </c>
    </row>
    <row r="12973" spans="1:26">
      <c r="A12973" s="499">
        <v>45936</v>
      </c>
      <c r="B12973" s="499">
        <v>45937</v>
      </c>
      <c r="C12973" s="420" t="s">
        <v>173</v>
      </c>
      <c r="D12973" s="500" t="s">
        <v>759</v>
      </c>
      <c r="E12973" s="501">
        <v>1993111372.05</v>
      </c>
      <c r="F12973" s="95" t="s">
        <v>878</v>
      </c>
      <c r="G12973" s="420">
        <v>119452223</v>
      </c>
      <c r="H12973" s="420">
        <v>119452223</v>
      </c>
      <c r="I12973" s="523" t="s">
        <v>672</v>
      </c>
      <c r="J12973" s="530" t="s">
        <v>912</v>
      </c>
      <c r="N12973" s="420">
        <v>2159328</v>
      </c>
      <c r="R12973" s="420">
        <v>922.62200000185237</v>
      </c>
      <c r="S12973" s="420">
        <v>923.02390931345303</v>
      </c>
      <c r="T12973" s="420">
        <v>15.9</v>
      </c>
      <c r="U12973" s="278">
        <v>2988.37</v>
      </c>
      <c r="V12973" s="278">
        <v>1494.18</v>
      </c>
      <c r="Z12973" s="420" t="s">
        <v>2953</v>
      </c>
    </row>
    <row r="12974" spans="1:26">
      <c r="A12974" s="499">
        <v>45936</v>
      </c>
      <c r="B12974" s="499">
        <v>45937</v>
      </c>
      <c r="C12974" s="420" t="s">
        <v>173</v>
      </c>
      <c r="D12974" s="500" t="s">
        <v>759</v>
      </c>
      <c r="E12974" s="501">
        <v>13014157.539999999</v>
      </c>
      <c r="F12974" s="95" t="s">
        <v>878</v>
      </c>
      <c r="G12974" s="420">
        <v>119459019</v>
      </c>
      <c r="H12974" s="420">
        <v>119459019</v>
      </c>
      <c r="I12974" s="523" t="s">
        <v>657</v>
      </c>
      <c r="J12974" s="530" t="s">
        <v>912</v>
      </c>
      <c r="N12974" s="420">
        <v>13377</v>
      </c>
      <c r="R12974" s="420">
        <v>972.47599985048964</v>
      </c>
      <c r="S12974" s="420">
        <v>972.87564775360704</v>
      </c>
      <c r="T12974" s="420">
        <v>15</v>
      </c>
      <c r="U12974" s="278">
        <v>39.32</v>
      </c>
      <c r="V12974" s="278">
        <v>9.76</v>
      </c>
      <c r="Z12974" s="420" t="s">
        <v>2953</v>
      </c>
    </row>
    <row r="12975" spans="1:26">
      <c r="A12975" s="499">
        <v>45936</v>
      </c>
      <c r="B12975" s="499">
        <v>45936</v>
      </c>
      <c r="C12975" s="420" t="s">
        <v>173</v>
      </c>
      <c r="D12975" s="500" t="s">
        <v>763</v>
      </c>
      <c r="E12975" s="501">
        <v>-244000088.81999999</v>
      </c>
      <c r="F12975" s="95" t="s">
        <v>878</v>
      </c>
      <c r="G12975" s="420">
        <v>119452965</v>
      </c>
      <c r="I12975" s="523" t="s">
        <v>1048</v>
      </c>
      <c r="J12975" s="530" t="s">
        <v>906</v>
      </c>
      <c r="N12975" s="420">
        <v>239544560</v>
      </c>
      <c r="R12975" s="420">
        <v>1.0185999999999999</v>
      </c>
      <c r="S12975" s="420">
        <v>1.0190395356922299</v>
      </c>
      <c r="T12975" s="420">
        <v>15.7501</v>
      </c>
      <c r="U12975" s="278">
        <v>366</v>
      </c>
      <c r="V12975" s="278">
        <v>183</v>
      </c>
      <c r="Z12975" s="420" t="s">
        <v>2953</v>
      </c>
    </row>
    <row r="12976" spans="1:26">
      <c r="A12976" s="499">
        <v>45936</v>
      </c>
      <c r="B12976" s="499">
        <v>45936</v>
      </c>
      <c r="C12976" s="420" t="s">
        <v>173</v>
      </c>
      <c r="D12976" s="500" t="s">
        <v>763</v>
      </c>
      <c r="E12976" s="501">
        <v>-1826883548.45</v>
      </c>
      <c r="F12976" s="95" t="s">
        <v>878</v>
      </c>
      <c r="G12976" s="420">
        <v>119452968</v>
      </c>
      <c r="I12976" s="523" t="s">
        <v>674</v>
      </c>
      <c r="J12976" s="530" t="s">
        <v>906</v>
      </c>
      <c r="N12976" s="420">
        <v>2014078</v>
      </c>
      <c r="R12976" s="420">
        <v>907.05700000000002</v>
      </c>
      <c r="S12976" s="420">
        <v>907.448403795682</v>
      </c>
      <c r="T12976" s="420">
        <v>15.7501</v>
      </c>
      <c r="U12976" s="278">
        <v>2740.33</v>
      </c>
      <c r="V12976" s="278">
        <v>1370.16</v>
      </c>
      <c r="Z12976" s="420" t="s">
        <v>2953</v>
      </c>
    </row>
    <row r="12977" spans="1:26">
      <c r="A12977" s="499">
        <v>45936</v>
      </c>
      <c r="B12977" s="499">
        <v>45936</v>
      </c>
      <c r="C12977" s="420" t="s">
        <v>173</v>
      </c>
      <c r="D12977" s="500" t="s">
        <v>763</v>
      </c>
      <c r="E12977" s="501">
        <v>-27009112.170000002</v>
      </c>
      <c r="F12977" s="95" t="s">
        <v>878</v>
      </c>
      <c r="G12977" s="420">
        <v>119452962</v>
      </c>
      <c r="I12977" s="523" t="s">
        <v>631</v>
      </c>
      <c r="J12977" s="530" t="s">
        <v>906</v>
      </c>
      <c r="N12977" s="420">
        <v>51111</v>
      </c>
      <c r="R12977" s="420">
        <v>528.44029999999998</v>
      </c>
      <c r="S12977" s="420">
        <v>528.66832834419199</v>
      </c>
      <c r="T12977" s="420">
        <v>15.7502</v>
      </c>
      <c r="U12977" s="278">
        <v>40.51</v>
      </c>
      <c r="V12977" s="278">
        <v>39.32</v>
      </c>
      <c r="Z12977" s="420" t="s">
        <v>2953</v>
      </c>
    </row>
    <row r="12978" spans="1:26">
      <c r="A12978" s="499">
        <v>45936</v>
      </c>
      <c r="B12978" s="499">
        <v>45936</v>
      </c>
      <c r="C12978" s="420" t="s">
        <v>173</v>
      </c>
      <c r="D12978" s="500" t="s">
        <v>763</v>
      </c>
      <c r="E12978" s="501">
        <v>-13006290.32</v>
      </c>
      <c r="F12978" s="95" t="s">
        <v>878</v>
      </c>
      <c r="G12978" s="420">
        <v>119452992</v>
      </c>
      <c r="I12978" s="523" t="s">
        <v>674</v>
      </c>
      <c r="J12978" s="530" t="s">
        <v>906</v>
      </c>
      <c r="N12978" s="420">
        <v>14339</v>
      </c>
      <c r="R12978" s="420">
        <v>907.05700000000002</v>
      </c>
      <c r="S12978" s="420">
        <v>907.44840365436903</v>
      </c>
      <c r="T12978" s="420">
        <v>15.7501</v>
      </c>
      <c r="U12978" s="278">
        <v>39.32</v>
      </c>
      <c r="V12978" s="278">
        <v>39.32</v>
      </c>
      <c r="Z12978" s="420" t="s">
        <v>2953</v>
      </c>
    </row>
    <row r="12979" spans="1:26">
      <c r="A12979" s="499">
        <v>45936</v>
      </c>
      <c r="B12979" s="499">
        <v>45937</v>
      </c>
      <c r="C12979" s="420" t="s">
        <v>173</v>
      </c>
      <c r="D12979" s="500" t="s">
        <v>763</v>
      </c>
      <c r="E12979" s="501">
        <v>244105377.19999999</v>
      </c>
      <c r="F12979" s="95" t="s">
        <v>878</v>
      </c>
      <c r="G12979" s="420">
        <v>119452965</v>
      </c>
      <c r="H12979" s="420">
        <v>119452965</v>
      </c>
      <c r="I12979" s="523" t="s">
        <v>1048</v>
      </c>
      <c r="J12979" s="530" t="s">
        <v>912</v>
      </c>
      <c r="N12979" s="420">
        <v>239544560</v>
      </c>
      <c r="R12979" s="420">
        <v>1.0185999999999999</v>
      </c>
      <c r="S12979" s="420">
        <v>1.0190395356922299</v>
      </c>
      <c r="T12979" s="420">
        <v>15.7501</v>
      </c>
      <c r="U12979" s="278">
        <v>366</v>
      </c>
      <c r="V12979" s="278">
        <v>183</v>
      </c>
      <c r="Z12979" s="420" t="s">
        <v>2953</v>
      </c>
    </row>
    <row r="12980" spans="1:26">
      <c r="A12980" s="499">
        <v>45936</v>
      </c>
      <c r="B12980" s="499">
        <v>45937</v>
      </c>
      <c r="C12980" s="420" t="s">
        <v>173</v>
      </c>
      <c r="D12980" s="500" t="s">
        <v>763</v>
      </c>
      <c r="E12980" s="501">
        <v>1827671866.22</v>
      </c>
      <c r="F12980" s="95" t="s">
        <v>878</v>
      </c>
      <c r="G12980" s="420">
        <v>119452968</v>
      </c>
      <c r="H12980" s="420">
        <v>119452968</v>
      </c>
      <c r="I12980" s="523" t="s">
        <v>674</v>
      </c>
      <c r="J12980" s="530" t="s">
        <v>912</v>
      </c>
      <c r="N12980" s="420">
        <v>2014078</v>
      </c>
      <c r="R12980" s="420">
        <v>907.05700000000002</v>
      </c>
      <c r="S12980" s="420">
        <v>907.448403795682</v>
      </c>
      <c r="T12980" s="420">
        <v>15.7501</v>
      </c>
      <c r="U12980" s="278">
        <v>2740.33</v>
      </c>
      <c r="V12980" s="278">
        <v>1370.16</v>
      </c>
      <c r="Z12980" s="420" t="s">
        <v>2953</v>
      </c>
    </row>
    <row r="12981" spans="1:26">
      <c r="A12981" s="499">
        <v>45936</v>
      </c>
      <c r="B12981" s="499">
        <v>45937</v>
      </c>
      <c r="C12981" s="420" t="s">
        <v>173</v>
      </c>
      <c r="D12981" s="500" t="s">
        <v>763</v>
      </c>
      <c r="E12981" s="501">
        <v>27020766.93</v>
      </c>
      <c r="F12981" s="95" t="s">
        <v>878</v>
      </c>
      <c r="G12981" s="420">
        <v>119452962</v>
      </c>
      <c r="H12981" s="420">
        <v>119452962</v>
      </c>
      <c r="I12981" s="523" t="s">
        <v>631</v>
      </c>
      <c r="J12981" s="530" t="s">
        <v>912</v>
      </c>
      <c r="N12981" s="420">
        <v>51111</v>
      </c>
      <c r="R12981" s="420">
        <v>528.44029999999998</v>
      </c>
      <c r="S12981" s="420">
        <v>528.66832834419199</v>
      </c>
      <c r="T12981" s="420">
        <v>15.7502</v>
      </c>
      <c r="U12981" s="278">
        <v>40.51</v>
      </c>
      <c r="V12981" s="278">
        <v>39.32</v>
      </c>
      <c r="Z12981" s="420" t="s">
        <v>2953</v>
      </c>
    </row>
    <row r="12982" spans="1:26">
      <c r="A12982" s="499">
        <v>45936</v>
      </c>
      <c r="B12982" s="499">
        <v>45937</v>
      </c>
      <c r="C12982" s="420" t="s">
        <v>173</v>
      </c>
      <c r="D12982" s="500" t="s">
        <v>763</v>
      </c>
      <c r="E12982" s="501">
        <v>13011902.66</v>
      </c>
      <c r="F12982" s="95" t="s">
        <v>878</v>
      </c>
      <c r="G12982" s="420">
        <v>119452992</v>
      </c>
      <c r="H12982" s="420">
        <v>119452992</v>
      </c>
      <c r="I12982" s="523" t="s">
        <v>674</v>
      </c>
      <c r="J12982" s="530" t="s">
        <v>912</v>
      </c>
      <c r="N12982" s="420">
        <v>14339</v>
      </c>
      <c r="R12982" s="420">
        <v>907.05700000000002</v>
      </c>
      <c r="S12982" s="420">
        <v>907.44840365436903</v>
      </c>
      <c r="T12982" s="420">
        <v>15.7501</v>
      </c>
      <c r="U12982" s="278">
        <v>39.32</v>
      </c>
      <c r="V12982" s="278">
        <v>39.32</v>
      </c>
      <c r="Z12982" s="420" t="s">
        <v>2953</v>
      </c>
    </row>
    <row r="12983" spans="1:26">
      <c r="A12983" s="499">
        <v>45937</v>
      </c>
      <c r="B12983" s="499">
        <v>45937</v>
      </c>
      <c r="C12983" s="420" t="s">
        <v>173</v>
      </c>
      <c r="D12983" s="500" t="s">
        <v>760</v>
      </c>
      <c r="E12983" s="501">
        <v>-1057212773.6799999</v>
      </c>
      <c r="F12983" s="95" t="s">
        <v>878</v>
      </c>
      <c r="G12983" s="420">
        <v>119476942</v>
      </c>
      <c r="I12983" s="523" t="s">
        <v>637</v>
      </c>
      <c r="J12983" s="530" t="s">
        <v>906</v>
      </c>
      <c r="N12983" s="420">
        <v>1698599</v>
      </c>
      <c r="R12983" s="420">
        <v>622.40279999999996</v>
      </c>
      <c r="S12983" s="420">
        <v>622.66796064874598</v>
      </c>
      <c r="T12983" s="420">
        <v>15.55</v>
      </c>
      <c r="U12983" s="278">
        <v>1585.82</v>
      </c>
      <c r="V12983" s="278">
        <v>792.91</v>
      </c>
      <c r="Z12983" s="420" t="s">
        <v>2953</v>
      </c>
    </row>
    <row r="12984" spans="1:26">
      <c r="A12984" s="499">
        <v>45937</v>
      </c>
      <c r="B12984" s="499">
        <v>45937</v>
      </c>
      <c r="C12984" s="420" t="s">
        <v>173</v>
      </c>
      <c r="D12984" s="500" t="s">
        <v>760</v>
      </c>
      <c r="E12984" s="501">
        <v>-549091353.60000002</v>
      </c>
      <c r="F12984" s="95" t="s">
        <v>878</v>
      </c>
      <c r="G12984" s="420">
        <v>119476945</v>
      </c>
      <c r="I12984" s="523" t="s">
        <v>604</v>
      </c>
      <c r="J12984" s="530" t="s">
        <v>906</v>
      </c>
      <c r="N12984" s="420">
        <v>527040</v>
      </c>
      <c r="R12984" s="420">
        <v>1041.8399999999999</v>
      </c>
      <c r="S12984" s="420">
        <v>1042.2838523831199</v>
      </c>
      <c r="T12984" s="420">
        <v>15.55</v>
      </c>
      <c r="U12984" s="278">
        <v>823.64</v>
      </c>
      <c r="V12984" s="278">
        <v>411.82</v>
      </c>
      <c r="Z12984" s="420" t="s">
        <v>2953</v>
      </c>
    </row>
    <row r="12985" spans="1:26">
      <c r="A12985" s="499">
        <v>45937</v>
      </c>
      <c r="B12985" s="499">
        <v>45937</v>
      </c>
      <c r="C12985" s="420" t="s">
        <v>173</v>
      </c>
      <c r="D12985" s="500" t="s">
        <v>760</v>
      </c>
      <c r="E12985" s="501">
        <v>-10001664</v>
      </c>
      <c r="F12985" s="95" t="s">
        <v>878</v>
      </c>
      <c r="G12985" s="420">
        <v>119477077</v>
      </c>
      <c r="I12985" s="523" t="s">
        <v>604</v>
      </c>
      <c r="J12985" s="530" t="s">
        <v>906</v>
      </c>
      <c r="N12985" s="420">
        <v>9600</v>
      </c>
      <c r="R12985" s="420">
        <v>1041.8399999999999</v>
      </c>
      <c r="S12985" s="420">
        <v>1042.28385208333</v>
      </c>
      <c r="T12985" s="420">
        <v>15.55</v>
      </c>
      <c r="U12985" s="278">
        <v>39.32</v>
      </c>
      <c r="V12985" s="278">
        <v>7.5</v>
      </c>
      <c r="Z12985" s="420" t="s">
        <v>2953</v>
      </c>
    </row>
    <row r="12986" spans="1:26">
      <c r="A12986" s="499">
        <v>45937</v>
      </c>
      <c r="B12986" s="499">
        <v>45938</v>
      </c>
      <c r="C12986" s="420" t="s">
        <v>173</v>
      </c>
      <c r="D12986" s="500" t="s">
        <v>760</v>
      </c>
      <c r="E12986" s="501">
        <v>1057663175.29</v>
      </c>
      <c r="F12986" s="95" t="s">
        <v>878</v>
      </c>
      <c r="G12986" s="420">
        <v>119476942</v>
      </c>
      <c r="H12986" s="420">
        <v>119476942</v>
      </c>
      <c r="I12986" s="523" t="s">
        <v>637</v>
      </c>
      <c r="J12986" s="530" t="s">
        <v>912</v>
      </c>
      <c r="N12986" s="420">
        <v>1698599</v>
      </c>
      <c r="R12986" s="420">
        <v>622.40279999999996</v>
      </c>
      <c r="S12986" s="420">
        <v>622.66796064874598</v>
      </c>
      <c r="T12986" s="420">
        <v>15.55</v>
      </c>
      <c r="U12986" s="278">
        <v>1585.82</v>
      </c>
      <c r="V12986" s="278">
        <v>792.91</v>
      </c>
      <c r="Z12986" s="420" t="s">
        <v>2953</v>
      </c>
    </row>
    <row r="12987" spans="1:26">
      <c r="A12987" s="499">
        <v>45937</v>
      </c>
      <c r="B12987" s="499">
        <v>45938</v>
      </c>
      <c r="C12987" s="420" t="s">
        <v>173</v>
      </c>
      <c r="D12987" s="500" t="s">
        <v>760</v>
      </c>
      <c r="E12987" s="501">
        <v>549325281.55999994</v>
      </c>
      <c r="F12987" s="95" t="s">
        <v>878</v>
      </c>
      <c r="G12987" s="420">
        <v>119476945</v>
      </c>
      <c r="H12987" s="420">
        <v>119476945</v>
      </c>
      <c r="I12987" s="523" t="s">
        <v>604</v>
      </c>
      <c r="J12987" s="530" t="s">
        <v>912</v>
      </c>
      <c r="N12987" s="420">
        <v>527040</v>
      </c>
      <c r="R12987" s="420">
        <v>1041.8399999999999</v>
      </c>
      <c r="S12987" s="420">
        <v>1042.2838523831199</v>
      </c>
      <c r="T12987" s="420">
        <v>15.55</v>
      </c>
      <c r="U12987" s="278">
        <v>823.64</v>
      </c>
      <c r="V12987" s="278">
        <v>411.82</v>
      </c>
      <c r="Z12987" s="420" t="s">
        <v>2953</v>
      </c>
    </row>
    <row r="12988" spans="1:26">
      <c r="A12988" s="499">
        <v>45937</v>
      </c>
      <c r="B12988" s="499">
        <v>45938</v>
      </c>
      <c r="C12988" s="420" t="s">
        <v>173</v>
      </c>
      <c r="D12988" s="500" t="s">
        <v>760</v>
      </c>
      <c r="E12988" s="501">
        <v>10005924.98</v>
      </c>
      <c r="F12988" s="95" t="s">
        <v>878</v>
      </c>
      <c r="G12988" s="420">
        <v>119477077</v>
      </c>
      <c r="H12988" s="420">
        <v>119477077</v>
      </c>
      <c r="I12988" s="523" t="s">
        <v>604</v>
      </c>
      <c r="J12988" s="530" t="s">
        <v>912</v>
      </c>
      <c r="N12988" s="420">
        <v>9600</v>
      </c>
      <c r="R12988" s="420">
        <v>1041.8399999999999</v>
      </c>
      <c r="S12988" s="420">
        <v>1042.28385208333</v>
      </c>
      <c r="T12988" s="420">
        <v>15.55</v>
      </c>
      <c r="U12988" s="278">
        <v>39.32</v>
      </c>
      <c r="V12988" s="278">
        <v>7.5</v>
      </c>
      <c r="Z12988" s="420" t="s">
        <v>2953</v>
      </c>
    </row>
    <row r="12989" spans="1:26">
      <c r="A12989" s="499">
        <v>45937</v>
      </c>
      <c r="B12989" s="499">
        <v>45937</v>
      </c>
      <c r="C12989" s="420" t="s">
        <v>173</v>
      </c>
      <c r="D12989" s="500" t="s">
        <v>759</v>
      </c>
      <c r="E12989" s="501">
        <v>-1839703484.1300001</v>
      </c>
      <c r="F12989" s="95" t="s">
        <v>878</v>
      </c>
      <c r="G12989" s="420">
        <v>119478356</v>
      </c>
      <c r="I12989" s="523" t="s">
        <v>685</v>
      </c>
      <c r="J12989" s="530" t="s">
        <v>906</v>
      </c>
      <c r="N12989" s="420">
        <v>1922548</v>
      </c>
      <c r="R12989" s="420">
        <v>956.90899999895976</v>
      </c>
      <c r="S12989" s="420">
        <v>959.82691703406101</v>
      </c>
      <c r="T12989" s="420">
        <v>15.9</v>
      </c>
      <c r="U12989" s="278">
        <v>19316.89</v>
      </c>
      <c r="V12989" s="278">
        <v>9658.44</v>
      </c>
      <c r="Z12989" s="420" t="s">
        <v>2961</v>
      </c>
    </row>
    <row r="12990" spans="1:26">
      <c r="A12990" s="499">
        <v>45937</v>
      </c>
      <c r="B12990" s="499">
        <v>45937</v>
      </c>
      <c r="C12990" s="420" t="s">
        <v>173</v>
      </c>
      <c r="D12990" s="500" t="s">
        <v>759</v>
      </c>
      <c r="E12990" s="501">
        <v>-355176888.69</v>
      </c>
      <c r="F12990" s="95" t="s">
        <v>878</v>
      </c>
      <c r="G12990" s="420">
        <v>119478997</v>
      </c>
      <c r="I12990" s="523" t="s">
        <v>821</v>
      </c>
      <c r="J12990" s="530" t="s">
        <v>906</v>
      </c>
      <c r="N12990" s="420">
        <v>341510</v>
      </c>
      <c r="R12990" s="420">
        <v>1040.019</v>
      </c>
      <c r="S12990" s="420">
        <v>1040.4606576088499</v>
      </c>
      <c r="T12990" s="420">
        <v>15.5002</v>
      </c>
      <c r="U12990" s="278">
        <v>532.77</v>
      </c>
      <c r="V12990" s="278">
        <v>266.38</v>
      </c>
      <c r="Z12990" s="420" t="s">
        <v>2953</v>
      </c>
    </row>
    <row r="12991" spans="1:26">
      <c r="A12991" s="499">
        <v>45937</v>
      </c>
      <c r="B12991" s="499">
        <v>45937</v>
      </c>
      <c r="C12991" s="420" t="s">
        <v>173</v>
      </c>
      <c r="D12991" s="500" t="s">
        <v>759</v>
      </c>
      <c r="E12991" s="501">
        <v>-1632351219.46</v>
      </c>
      <c r="F12991" s="95" t="s">
        <v>878</v>
      </c>
      <c r="G12991" s="420">
        <v>119479000</v>
      </c>
      <c r="I12991" s="523" t="s">
        <v>550</v>
      </c>
      <c r="J12991" s="530" t="s">
        <v>906</v>
      </c>
      <c r="N12991" s="420">
        <v>2989824</v>
      </c>
      <c r="R12991" s="420">
        <v>545.96900000133792</v>
      </c>
      <c r="S12991" s="420">
        <v>546.20085134777196</v>
      </c>
      <c r="T12991" s="420">
        <v>15.5001</v>
      </c>
      <c r="U12991" s="278">
        <v>2448.5300000000002</v>
      </c>
      <c r="V12991" s="278">
        <v>1224.26</v>
      </c>
      <c r="Z12991" s="420" t="s">
        <v>2953</v>
      </c>
    </row>
    <row r="12992" spans="1:26">
      <c r="A12992" s="499">
        <v>45937</v>
      </c>
      <c r="B12992" s="499">
        <v>45937</v>
      </c>
      <c r="C12992" s="420" t="s">
        <v>173</v>
      </c>
      <c r="D12992" s="500" t="s">
        <v>759</v>
      </c>
      <c r="E12992" s="501">
        <v>-6734795191.1199999</v>
      </c>
      <c r="F12992" s="95" t="s">
        <v>878</v>
      </c>
      <c r="G12992" s="420">
        <v>119479382</v>
      </c>
      <c r="I12992" s="523" t="s">
        <v>693</v>
      </c>
      <c r="J12992" s="530" t="s">
        <v>906</v>
      </c>
      <c r="N12992" s="420">
        <v>8740732</v>
      </c>
      <c r="R12992" s="420">
        <v>770.50699999954236</v>
      </c>
      <c r="S12992" s="420">
        <v>772.84913018154498</v>
      </c>
      <c r="T12992" s="420">
        <v>15.85</v>
      </c>
      <c r="U12992" s="278">
        <v>70715.350000000006</v>
      </c>
      <c r="V12992" s="278">
        <v>35357.67</v>
      </c>
      <c r="Z12992" s="420" t="s">
        <v>2961</v>
      </c>
    </row>
    <row r="12993" spans="1:26">
      <c r="A12993" s="499">
        <v>45937</v>
      </c>
      <c r="B12993" s="499">
        <v>45937</v>
      </c>
      <c r="C12993" s="420" t="s">
        <v>173</v>
      </c>
      <c r="D12993" s="500" t="s">
        <v>759</v>
      </c>
      <c r="E12993" s="501">
        <v>-1044025377.47</v>
      </c>
      <c r="F12993" s="95" t="s">
        <v>878</v>
      </c>
      <c r="G12993" s="420">
        <v>119479390</v>
      </c>
      <c r="I12993" s="523" t="s">
        <v>816</v>
      </c>
      <c r="J12993" s="530" t="s">
        <v>906</v>
      </c>
      <c r="N12993" s="420">
        <v>981463</v>
      </c>
      <c r="R12993" s="420">
        <v>1063.7439999979622</v>
      </c>
      <c r="S12993" s="420">
        <v>1066.97749031803</v>
      </c>
      <c r="T12993" s="420">
        <v>15.85</v>
      </c>
      <c r="U12993" s="278">
        <v>10962.27</v>
      </c>
      <c r="V12993" s="278">
        <v>5481.13</v>
      </c>
      <c r="Z12993" s="420" t="s">
        <v>2961</v>
      </c>
    </row>
    <row r="12994" spans="1:26">
      <c r="A12994" s="499">
        <v>45937</v>
      </c>
      <c r="B12994" s="499">
        <v>45937</v>
      </c>
      <c r="C12994" s="420" t="s">
        <v>173</v>
      </c>
      <c r="D12994" s="500" t="s">
        <v>759</v>
      </c>
      <c r="E12994" s="501">
        <v>-279161039.07999998</v>
      </c>
      <c r="F12994" s="95" t="s">
        <v>878</v>
      </c>
      <c r="G12994" s="420">
        <v>119479607</v>
      </c>
      <c r="I12994" s="523" t="s">
        <v>700</v>
      </c>
      <c r="J12994" s="530" t="s">
        <v>906</v>
      </c>
      <c r="N12994" s="420">
        <v>301041</v>
      </c>
      <c r="R12994" s="420">
        <v>927.31900000332178</v>
      </c>
      <c r="S12994" s="420">
        <v>930.13779571553403</v>
      </c>
      <c r="T12994" s="420">
        <v>15.85</v>
      </c>
      <c r="U12994" s="278">
        <v>2931.19</v>
      </c>
      <c r="V12994" s="278">
        <v>1465.6</v>
      </c>
      <c r="Z12994" s="420" t="s">
        <v>2961</v>
      </c>
    </row>
    <row r="12995" spans="1:26">
      <c r="A12995" s="499">
        <v>45937</v>
      </c>
      <c r="B12995" s="499">
        <v>45937</v>
      </c>
      <c r="C12995" s="420" t="s">
        <v>173</v>
      </c>
      <c r="D12995" s="500" t="s">
        <v>759</v>
      </c>
      <c r="E12995" s="501">
        <v>-12011871.359999999</v>
      </c>
      <c r="F12995" s="95" t="s">
        <v>878</v>
      </c>
      <c r="G12995" s="420">
        <v>119479763</v>
      </c>
      <c r="I12995" s="523" t="s">
        <v>800</v>
      </c>
      <c r="J12995" s="530" t="s">
        <v>906</v>
      </c>
      <c r="N12995" s="420">
        <v>11328</v>
      </c>
      <c r="R12995" s="420">
        <v>1060.3699999999999</v>
      </c>
      <c r="S12995" s="420">
        <v>1060.8203027895499</v>
      </c>
      <c r="T12995" s="420">
        <v>15.500299999999999</v>
      </c>
      <c r="U12995" s="278">
        <v>39.32</v>
      </c>
      <c r="V12995" s="278">
        <v>9.01</v>
      </c>
      <c r="Z12995" s="420" t="s">
        <v>2953</v>
      </c>
    </row>
    <row r="12996" spans="1:26">
      <c r="A12996" s="499">
        <v>45937</v>
      </c>
      <c r="B12996" s="499">
        <v>45937</v>
      </c>
      <c r="C12996" s="420" t="s">
        <v>173</v>
      </c>
      <c r="D12996" s="500" t="s">
        <v>759</v>
      </c>
      <c r="E12996" s="501">
        <v>-58022482.310000002</v>
      </c>
      <c r="F12996" s="95" t="s">
        <v>878</v>
      </c>
      <c r="G12996" s="420">
        <v>119480042</v>
      </c>
      <c r="I12996" s="523" t="s">
        <v>708</v>
      </c>
      <c r="J12996" s="530" t="s">
        <v>906</v>
      </c>
      <c r="N12996" s="420">
        <v>83868</v>
      </c>
      <c r="R12996" s="420">
        <v>691.83100002384708</v>
      </c>
      <c r="S12996" s="420">
        <v>693.91418085562998</v>
      </c>
      <c r="T12996" s="420">
        <v>15.700799999999999</v>
      </c>
      <c r="U12996" s="278">
        <v>609.24</v>
      </c>
      <c r="V12996" s="278">
        <v>304.62</v>
      </c>
      <c r="Z12996" s="420" t="s">
        <v>2961</v>
      </c>
    </row>
    <row r="12997" spans="1:26">
      <c r="A12997" s="499">
        <v>45937</v>
      </c>
      <c r="B12997" s="499">
        <v>45944</v>
      </c>
      <c r="C12997" s="420" t="s">
        <v>173</v>
      </c>
      <c r="D12997" s="500" t="s">
        <v>759</v>
      </c>
      <c r="E12997" s="501">
        <v>1845313319.6900001</v>
      </c>
      <c r="F12997" s="95" t="s">
        <v>878</v>
      </c>
      <c r="G12997" s="420">
        <v>119478356</v>
      </c>
      <c r="H12997" s="420">
        <v>119478356</v>
      </c>
      <c r="I12997" s="523" t="s">
        <v>685</v>
      </c>
      <c r="J12997" s="530" t="s">
        <v>912</v>
      </c>
      <c r="N12997" s="420">
        <v>1922548</v>
      </c>
      <c r="R12997" s="420">
        <v>956.90899999895976</v>
      </c>
      <c r="S12997" s="420">
        <v>959.82691703406101</v>
      </c>
      <c r="T12997" s="420">
        <v>15.9</v>
      </c>
      <c r="U12997" s="278">
        <v>19316.89</v>
      </c>
      <c r="V12997" s="278">
        <v>9658.44</v>
      </c>
      <c r="Z12997" s="420" t="s">
        <v>2961</v>
      </c>
    </row>
    <row r="12998" spans="1:26">
      <c r="A12998" s="499">
        <v>45937</v>
      </c>
      <c r="B12998" s="499">
        <v>45938</v>
      </c>
      <c r="C12998" s="420" t="s">
        <v>173</v>
      </c>
      <c r="D12998" s="500" t="s">
        <v>759</v>
      </c>
      <c r="E12998" s="501">
        <v>355327719.18000001</v>
      </c>
      <c r="F12998" s="95" t="s">
        <v>878</v>
      </c>
      <c r="G12998" s="420">
        <v>119478997</v>
      </c>
      <c r="H12998" s="420">
        <v>119478997</v>
      </c>
      <c r="I12998" s="523" t="s">
        <v>821</v>
      </c>
      <c r="J12998" s="530" t="s">
        <v>912</v>
      </c>
      <c r="N12998" s="420">
        <v>341510</v>
      </c>
      <c r="R12998" s="420">
        <v>1040.019</v>
      </c>
      <c r="S12998" s="420">
        <v>1040.4606576088499</v>
      </c>
      <c r="T12998" s="420">
        <v>15.5002</v>
      </c>
      <c r="U12998" s="278">
        <v>532.77</v>
      </c>
      <c r="V12998" s="278">
        <v>266.38</v>
      </c>
      <c r="Z12998" s="420" t="s">
        <v>2953</v>
      </c>
    </row>
    <row r="12999" spans="1:26">
      <c r="A12999" s="499">
        <v>45937</v>
      </c>
      <c r="B12999" s="499">
        <v>45938</v>
      </c>
      <c r="C12999" s="420" t="s">
        <v>173</v>
      </c>
      <c r="D12999" s="500" t="s">
        <v>759</v>
      </c>
      <c r="E12999" s="501">
        <v>1633044414.1800001</v>
      </c>
      <c r="F12999" s="95" t="s">
        <v>878</v>
      </c>
      <c r="G12999" s="420">
        <v>119479000</v>
      </c>
      <c r="H12999" s="420">
        <v>119479000</v>
      </c>
      <c r="I12999" s="523" t="s">
        <v>550</v>
      </c>
      <c r="J12999" s="530" t="s">
        <v>912</v>
      </c>
      <c r="N12999" s="420">
        <v>2989824</v>
      </c>
      <c r="R12999" s="420">
        <v>545.96900000133792</v>
      </c>
      <c r="S12999" s="420">
        <v>546.20085134777196</v>
      </c>
      <c r="T12999" s="420">
        <v>15.5001</v>
      </c>
      <c r="U12999" s="278">
        <v>2448.5300000000002</v>
      </c>
      <c r="V12999" s="278">
        <v>1224.26</v>
      </c>
      <c r="Z12999" s="420" t="s">
        <v>2953</v>
      </c>
    </row>
    <row r="13000" spans="1:26">
      <c r="A13000" s="499">
        <v>45937</v>
      </c>
      <c r="B13000" s="499">
        <v>45944</v>
      </c>
      <c r="C13000" s="420" t="s">
        <v>173</v>
      </c>
      <c r="D13000" s="500" t="s">
        <v>759</v>
      </c>
      <c r="E13000" s="501">
        <v>6755267123.3500004</v>
      </c>
      <c r="F13000" s="95" t="s">
        <v>878</v>
      </c>
      <c r="G13000" s="420">
        <v>119479382</v>
      </c>
      <c r="H13000" s="420">
        <v>119479382</v>
      </c>
      <c r="I13000" s="523" t="s">
        <v>693</v>
      </c>
      <c r="J13000" s="530" t="s">
        <v>912</v>
      </c>
      <c r="N13000" s="420">
        <v>8740732</v>
      </c>
      <c r="R13000" s="420">
        <v>770.50699999954236</v>
      </c>
      <c r="S13000" s="420">
        <v>772.84913018154498</v>
      </c>
      <c r="T13000" s="420">
        <v>15.85</v>
      </c>
      <c r="U13000" s="278">
        <v>70715.350000000006</v>
      </c>
      <c r="V13000" s="278">
        <v>35357.67</v>
      </c>
      <c r="Z13000" s="420" t="s">
        <v>2961</v>
      </c>
    </row>
    <row r="13001" spans="1:26">
      <c r="A13001" s="499">
        <v>45937</v>
      </c>
      <c r="B13001" s="499">
        <v>45944</v>
      </c>
      <c r="C13001" s="420" t="s">
        <v>173</v>
      </c>
      <c r="D13001" s="500" t="s">
        <v>759</v>
      </c>
      <c r="E13001" s="501">
        <v>1047198928.58</v>
      </c>
      <c r="F13001" s="95" t="s">
        <v>878</v>
      </c>
      <c r="G13001" s="420">
        <v>119479390</v>
      </c>
      <c r="H13001" s="420">
        <v>119479390</v>
      </c>
      <c r="I13001" s="523" t="s">
        <v>816</v>
      </c>
      <c r="J13001" s="530" t="s">
        <v>912</v>
      </c>
      <c r="N13001" s="420">
        <v>981463</v>
      </c>
      <c r="R13001" s="420">
        <v>1063.7439999979622</v>
      </c>
      <c r="S13001" s="420">
        <v>1066.97749031803</v>
      </c>
      <c r="T13001" s="420">
        <v>15.85</v>
      </c>
      <c r="U13001" s="278">
        <v>10962.27</v>
      </c>
      <c r="V13001" s="278">
        <v>5481.13</v>
      </c>
      <c r="Z13001" s="420" t="s">
        <v>2961</v>
      </c>
    </row>
    <row r="13002" spans="1:26">
      <c r="A13002" s="499">
        <v>45937</v>
      </c>
      <c r="B13002" s="499">
        <v>45944</v>
      </c>
      <c r="C13002" s="420" t="s">
        <v>173</v>
      </c>
      <c r="D13002" s="500" t="s">
        <v>759</v>
      </c>
      <c r="E13002" s="501">
        <v>280009612.16000003</v>
      </c>
      <c r="F13002" s="95" t="s">
        <v>878</v>
      </c>
      <c r="G13002" s="420">
        <v>119479607</v>
      </c>
      <c r="H13002" s="420">
        <v>119479607</v>
      </c>
      <c r="I13002" s="523" t="s">
        <v>700</v>
      </c>
      <c r="J13002" s="530" t="s">
        <v>912</v>
      </c>
      <c r="N13002" s="420">
        <v>301041</v>
      </c>
      <c r="R13002" s="420">
        <v>927.31900000332178</v>
      </c>
      <c r="S13002" s="420">
        <v>930.13779571553403</v>
      </c>
      <c r="T13002" s="420">
        <v>15.85</v>
      </c>
      <c r="U13002" s="278">
        <v>2931.19</v>
      </c>
      <c r="V13002" s="278">
        <v>1465.6</v>
      </c>
      <c r="Z13002" s="420" t="s">
        <v>2961</v>
      </c>
    </row>
    <row r="13003" spans="1:26">
      <c r="A13003" s="499">
        <v>45937</v>
      </c>
      <c r="B13003" s="499">
        <v>45938</v>
      </c>
      <c r="C13003" s="420" t="s">
        <v>173</v>
      </c>
      <c r="D13003" s="500" t="s">
        <v>759</v>
      </c>
      <c r="E13003" s="501">
        <v>12016972.390000001</v>
      </c>
      <c r="F13003" s="95" t="s">
        <v>878</v>
      </c>
      <c r="G13003" s="420">
        <v>119479763</v>
      </c>
      <c r="H13003" s="420">
        <v>119479763</v>
      </c>
      <c r="I13003" s="523" t="s">
        <v>800</v>
      </c>
      <c r="J13003" s="530" t="s">
        <v>912</v>
      </c>
      <c r="N13003" s="420">
        <v>11328</v>
      </c>
      <c r="R13003" s="420">
        <v>1060.3699999999999</v>
      </c>
      <c r="S13003" s="420">
        <v>1060.8203027895499</v>
      </c>
      <c r="T13003" s="420">
        <v>15.500299999999999</v>
      </c>
      <c r="U13003" s="278">
        <v>39.32</v>
      </c>
      <c r="V13003" s="278">
        <v>9.01</v>
      </c>
      <c r="Z13003" s="420" t="s">
        <v>2953</v>
      </c>
    </row>
    <row r="13004" spans="1:26">
      <c r="A13004" s="499">
        <v>45937</v>
      </c>
      <c r="B13004" s="499">
        <v>45944</v>
      </c>
      <c r="C13004" s="420" t="s">
        <v>173</v>
      </c>
      <c r="D13004" s="500" t="s">
        <v>759</v>
      </c>
      <c r="E13004" s="501">
        <v>58197194.520000003</v>
      </c>
      <c r="F13004" s="95" t="s">
        <v>878</v>
      </c>
      <c r="G13004" s="420">
        <v>119480042</v>
      </c>
      <c r="H13004" s="420">
        <v>119480042</v>
      </c>
      <c r="I13004" s="523" t="s">
        <v>708</v>
      </c>
      <c r="J13004" s="530" t="s">
        <v>912</v>
      </c>
      <c r="N13004" s="420">
        <v>83868</v>
      </c>
      <c r="R13004" s="420">
        <v>691.83100002384708</v>
      </c>
      <c r="S13004" s="420">
        <v>693.91418085562998</v>
      </c>
      <c r="T13004" s="420">
        <v>15.700799999999999</v>
      </c>
      <c r="U13004" s="278">
        <v>609.24</v>
      </c>
      <c r="V13004" s="278">
        <v>304.62</v>
      </c>
      <c r="Z13004" s="420" t="s">
        <v>2961</v>
      </c>
    </row>
    <row r="13005" spans="1:26">
      <c r="A13005" s="499">
        <v>45937</v>
      </c>
      <c r="B13005" s="499">
        <v>45937</v>
      </c>
      <c r="C13005" s="420" t="s">
        <v>173</v>
      </c>
      <c r="D13005" s="500" t="s">
        <v>761</v>
      </c>
      <c r="E13005" s="501">
        <v>-507465953.27999997</v>
      </c>
      <c r="F13005" s="95" t="s">
        <v>878</v>
      </c>
      <c r="G13005" s="420">
        <v>119476494</v>
      </c>
      <c r="I13005" s="523" t="s">
        <v>2944</v>
      </c>
      <c r="J13005" s="530" t="s">
        <v>906</v>
      </c>
      <c r="N13005" s="420">
        <v>519168</v>
      </c>
      <c r="R13005" s="420">
        <v>977.45999999999992</v>
      </c>
      <c r="S13005" s="420">
        <v>977.87776372966005</v>
      </c>
      <c r="T13005" s="420">
        <v>15.6</v>
      </c>
      <c r="U13005" s="278">
        <v>761.2</v>
      </c>
      <c r="V13005" s="278">
        <v>380.6</v>
      </c>
      <c r="Z13005" s="420" t="s">
        <v>2953</v>
      </c>
    </row>
    <row r="13006" spans="1:26">
      <c r="A13006" s="499">
        <v>45937</v>
      </c>
      <c r="B13006" s="499">
        <v>45937</v>
      </c>
      <c r="C13006" s="420" t="s">
        <v>173</v>
      </c>
      <c r="D13006" s="500" t="s">
        <v>761</v>
      </c>
      <c r="E13006" s="501">
        <v>-127073304.53</v>
      </c>
      <c r="F13006" s="95" t="s">
        <v>878</v>
      </c>
      <c r="G13006" s="420">
        <v>119476497</v>
      </c>
      <c r="I13006" s="523" t="s">
        <v>700</v>
      </c>
      <c r="J13006" s="530" t="s">
        <v>906</v>
      </c>
      <c r="N13006" s="420">
        <v>137033</v>
      </c>
      <c r="R13006" s="420">
        <v>927.31900002189252</v>
      </c>
      <c r="S13006" s="420">
        <v>927.71533360577405</v>
      </c>
      <c r="T13006" s="420">
        <v>15.6</v>
      </c>
      <c r="U13006" s="278">
        <v>190.61</v>
      </c>
      <c r="V13006" s="278">
        <v>95.3</v>
      </c>
      <c r="Z13006" s="420" t="s">
        <v>2953</v>
      </c>
    </row>
    <row r="13007" spans="1:26">
      <c r="A13007" s="499">
        <v>45937</v>
      </c>
      <c r="B13007" s="499">
        <v>45937</v>
      </c>
      <c r="C13007" s="420" t="s">
        <v>173</v>
      </c>
      <c r="D13007" s="500" t="s">
        <v>761</v>
      </c>
      <c r="E13007" s="501">
        <v>-784008953.27999997</v>
      </c>
      <c r="F13007" s="95" t="s">
        <v>878</v>
      </c>
      <c r="G13007" s="420">
        <v>119486660</v>
      </c>
      <c r="I13007" s="523" t="s">
        <v>1018</v>
      </c>
      <c r="J13007" s="530" t="s">
        <v>906</v>
      </c>
      <c r="N13007" s="420">
        <v>7894880</v>
      </c>
      <c r="R13007" s="420">
        <v>99.305999999999997</v>
      </c>
      <c r="S13007" s="420">
        <v>99.347491407089194</v>
      </c>
      <c r="T13007" s="420">
        <v>15.2502</v>
      </c>
      <c r="U13007" s="278">
        <v>1176.01</v>
      </c>
      <c r="V13007" s="278">
        <v>588.01</v>
      </c>
      <c r="Z13007" s="420" t="s">
        <v>2953</v>
      </c>
    </row>
    <row r="13008" spans="1:26">
      <c r="A13008" s="499">
        <v>45937</v>
      </c>
      <c r="B13008" s="499">
        <v>45937</v>
      </c>
      <c r="C13008" s="420" t="s">
        <v>173</v>
      </c>
      <c r="D13008" s="500" t="s">
        <v>761</v>
      </c>
      <c r="E13008" s="501">
        <v>-5000057.0999999996</v>
      </c>
      <c r="F13008" s="95" t="s">
        <v>878</v>
      </c>
      <c r="G13008" s="420">
        <v>119486679</v>
      </c>
      <c r="I13008" s="523" t="s">
        <v>1018</v>
      </c>
      <c r="J13008" s="530" t="s">
        <v>906</v>
      </c>
      <c r="N13008" s="420">
        <v>50350</v>
      </c>
      <c r="R13008" s="420">
        <v>99.305999999999997</v>
      </c>
      <c r="S13008" s="420">
        <v>99.347491360476695</v>
      </c>
      <c r="T13008" s="420">
        <v>15.2502</v>
      </c>
      <c r="U13008" s="278">
        <v>39.32</v>
      </c>
      <c r="V13008" s="278">
        <v>3.75</v>
      </c>
      <c r="Z13008" s="420" t="s">
        <v>2953</v>
      </c>
    </row>
    <row r="13009" spans="1:26">
      <c r="A13009" s="499">
        <v>45937</v>
      </c>
      <c r="B13009" s="499">
        <v>45938</v>
      </c>
      <c r="C13009" s="420" t="s">
        <v>173</v>
      </c>
      <c r="D13009" s="500" t="s">
        <v>761</v>
      </c>
      <c r="E13009" s="501">
        <v>507682842.83999997</v>
      </c>
      <c r="F13009" s="95" t="s">
        <v>878</v>
      </c>
      <c r="G13009" s="420">
        <v>119476494</v>
      </c>
      <c r="H13009" s="420">
        <v>119476494</v>
      </c>
      <c r="I13009" s="523" t="s">
        <v>2944</v>
      </c>
      <c r="J13009" s="530" t="s">
        <v>912</v>
      </c>
      <c r="N13009" s="420">
        <v>519168</v>
      </c>
      <c r="R13009" s="420">
        <v>977.45999999999992</v>
      </c>
      <c r="S13009" s="420">
        <v>977.87776372966005</v>
      </c>
      <c r="T13009" s="420">
        <v>15.6</v>
      </c>
      <c r="U13009" s="278">
        <v>761.2</v>
      </c>
      <c r="V13009" s="278">
        <v>380.6</v>
      </c>
      <c r="Z13009" s="420" t="s">
        <v>2953</v>
      </c>
    </row>
    <row r="13010" spans="1:26">
      <c r="A13010" s="499">
        <v>45937</v>
      </c>
      <c r="B13010" s="499">
        <v>45938</v>
      </c>
      <c r="C13010" s="420" t="s">
        <v>173</v>
      </c>
      <c r="D13010" s="500" t="s">
        <v>761</v>
      </c>
      <c r="E13010" s="501">
        <v>127127615.31</v>
      </c>
      <c r="F13010" s="95" t="s">
        <v>878</v>
      </c>
      <c r="G13010" s="420">
        <v>119476497</v>
      </c>
      <c r="H13010" s="420">
        <v>119476497</v>
      </c>
      <c r="I13010" s="523" t="s">
        <v>700</v>
      </c>
      <c r="J13010" s="530" t="s">
        <v>912</v>
      </c>
      <c r="N13010" s="420">
        <v>137033</v>
      </c>
      <c r="R13010" s="420">
        <v>927.31900002189252</v>
      </c>
      <c r="S13010" s="420">
        <v>927.71533360577405</v>
      </c>
      <c r="T13010" s="420">
        <v>15.6</v>
      </c>
      <c r="U13010" s="278">
        <v>190.61</v>
      </c>
      <c r="V13010" s="278">
        <v>95.3</v>
      </c>
      <c r="Z13010" s="420" t="s">
        <v>2953</v>
      </c>
    </row>
    <row r="13011" spans="1:26">
      <c r="A13011" s="499">
        <v>45937</v>
      </c>
      <c r="B13011" s="499">
        <v>45938</v>
      </c>
      <c r="C13011" s="420" t="s">
        <v>173</v>
      </c>
      <c r="D13011" s="500" t="s">
        <v>761</v>
      </c>
      <c r="E13011" s="501">
        <v>784336522.96000004</v>
      </c>
      <c r="F13011" s="95" t="s">
        <v>878</v>
      </c>
      <c r="G13011" s="420">
        <v>119486660</v>
      </c>
      <c r="H13011" s="420">
        <v>119486660</v>
      </c>
      <c r="I13011" s="523" t="s">
        <v>1018</v>
      </c>
      <c r="J13011" s="530" t="s">
        <v>912</v>
      </c>
      <c r="N13011" s="420">
        <v>7894880</v>
      </c>
      <c r="R13011" s="420">
        <v>99.305999999999997</v>
      </c>
      <c r="S13011" s="420">
        <v>99.347491407089194</v>
      </c>
      <c r="T13011" s="420">
        <v>15.2502</v>
      </c>
      <c r="U13011" s="278">
        <v>1176.01</v>
      </c>
      <c r="V13011" s="278">
        <v>588.01</v>
      </c>
      <c r="Z13011" s="420" t="s">
        <v>2953</v>
      </c>
    </row>
    <row r="13012" spans="1:26">
      <c r="A13012" s="499">
        <v>45937</v>
      </c>
      <c r="B13012" s="499">
        <v>45938</v>
      </c>
      <c r="C13012" s="420" t="s">
        <v>173</v>
      </c>
      <c r="D13012" s="500" t="s">
        <v>761</v>
      </c>
      <c r="E13012" s="501">
        <v>5002146.1900000004</v>
      </c>
      <c r="F13012" s="95" t="s">
        <v>878</v>
      </c>
      <c r="G13012" s="420">
        <v>119486679</v>
      </c>
      <c r="H13012" s="420">
        <v>119486679</v>
      </c>
      <c r="I13012" s="523" t="s">
        <v>1018</v>
      </c>
      <c r="J13012" s="530" t="s">
        <v>912</v>
      </c>
      <c r="N13012" s="420">
        <v>50350</v>
      </c>
      <c r="R13012" s="420">
        <v>99.305999999999997</v>
      </c>
      <c r="S13012" s="420">
        <v>99.347491360476695</v>
      </c>
      <c r="T13012" s="420">
        <v>15.2502</v>
      </c>
      <c r="U13012" s="278">
        <v>39.32</v>
      </c>
      <c r="V13012" s="278">
        <v>3.75</v>
      </c>
      <c r="Z13012" s="420" t="s">
        <v>2953</v>
      </c>
    </row>
    <row r="13013" spans="1:26">
      <c r="A13013" s="499">
        <v>45937</v>
      </c>
      <c r="B13013" s="499">
        <v>45937</v>
      </c>
      <c r="C13013" s="420" t="s">
        <v>173</v>
      </c>
      <c r="D13013" s="500" t="s">
        <v>764</v>
      </c>
      <c r="E13013" s="501">
        <v>-1000420</v>
      </c>
      <c r="F13013" s="95" t="s">
        <v>878</v>
      </c>
      <c r="G13013" s="420">
        <v>119477365</v>
      </c>
      <c r="I13013" s="523" t="s">
        <v>592</v>
      </c>
      <c r="J13013" s="530" t="s">
        <v>906</v>
      </c>
      <c r="N13013" s="420">
        <v>1250</v>
      </c>
      <c r="R13013" s="420">
        <v>800.33600000000001</v>
      </c>
      <c r="S13013" s="420">
        <v>800.67783999999995</v>
      </c>
      <c r="T13013" s="420">
        <v>15.59</v>
      </c>
      <c r="U13013" s="278">
        <v>39.32</v>
      </c>
      <c r="V13013" s="278">
        <v>0.75</v>
      </c>
      <c r="Z13013" s="420" t="s">
        <v>2953</v>
      </c>
    </row>
    <row r="13014" spans="1:26">
      <c r="A13014" s="499">
        <v>45937</v>
      </c>
      <c r="B13014" s="499">
        <v>45937</v>
      </c>
      <c r="C13014" s="420" t="s">
        <v>173</v>
      </c>
      <c r="D13014" s="500" t="s">
        <v>764</v>
      </c>
      <c r="E13014" s="501">
        <v>-1000036.46</v>
      </c>
      <c r="F13014" s="95" t="s">
        <v>878</v>
      </c>
      <c r="G13014" s="420">
        <v>119477371</v>
      </c>
      <c r="I13014" s="523" t="s">
        <v>598</v>
      </c>
      <c r="J13014" s="530" t="s">
        <v>906</v>
      </c>
      <c r="N13014" s="420">
        <v>941</v>
      </c>
      <c r="R13014" s="420">
        <v>1062.7380021253985</v>
      </c>
      <c r="S13014" s="420">
        <v>1063.19192348565</v>
      </c>
      <c r="T13014" s="420">
        <v>15.59</v>
      </c>
      <c r="U13014" s="278">
        <v>39.32</v>
      </c>
      <c r="V13014" s="278">
        <v>0.75</v>
      </c>
      <c r="Z13014" s="420" t="s">
        <v>2953</v>
      </c>
    </row>
    <row r="13015" spans="1:26">
      <c r="A13015" s="499">
        <v>45937</v>
      </c>
      <c r="B13015" s="499">
        <v>45937</v>
      </c>
      <c r="C13015" s="420" t="s">
        <v>173</v>
      </c>
      <c r="D13015" s="500" t="s">
        <v>764</v>
      </c>
      <c r="E13015" s="501">
        <v>-64010649.600000001</v>
      </c>
      <c r="F13015" s="95" t="s">
        <v>878</v>
      </c>
      <c r="G13015" s="420">
        <v>119477457</v>
      </c>
      <c r="I13015" s="523" t="s">
        <v>604</v>
      </c>
      <c r="J13015" s="530" t="s">
        <v>906</v>
      </c>
      <c r="N13015" s="420">
        <v>61440</v>
      </c>
      <c r="R13015" s="420">
        <v>1041.8399999999999</v>
      </c>
      <c r="S13015" s="420">
        <v>1042.2838523763</v>
      </c>
      <c r="T13015" s="420">
        <v>15.55</v>
      </c>
      <c r="U13015" s="278">
        <v>96.02</v>
      </c>
      <c r="V13015" s="278">
        <v>48.01</v>
      </c>
      <c r="Z13015" s="420" t="s">
        <v>2953</v>
      </c>
    </row>
    <row r="13016" spans="1:26">
      <c r="A13016" s="499">
        <v>45937</v>
      </c>
      <c r="B13016" s="499">
        <v>45937</v>
      </c>
      <c r="C13016" s="420" t="s">
        <v>173</v>
      </c>
      <c r="D13016" s="500" t="s">
        <v>764</v>
      </c>
      <c r="E13016" s="501">
        <v>-520525842.19999999</v>
      </c>
      <c r="F13016" s="95" t="s">
        <v>878</v>
      </c>
      <c r="G13016" s="420">
        <v>119477460</v>
      </c>
      <c r="I13016" s="523" t="s">
        <v>658</v>
      </c>
      <c r="J13016" s="530" t="s">
        <v>906</v>
      </c>
      <c r="N13016" s="420">
        <v>499720</v>
      </c>
      <c r="R13016" s="420">
        <v>1041.635</v>
      </c>
      <c r="S13016" s="420">
        <v>1042.0787650484299</v>
      </c>
      <c r="T13016" s="420">
        <v>15.55</v>
      </c>
      <c r="U13016" s="278">
        <v>780.79</v>
      </c>
      <c r="V13016" s="278">
        <v>390.39</v>
      </c>
      <c r="Z13016" s="420" t="s">
        <v>2953</v>
      </c>
    </row>
    <row r="13017" spans="1:26">
      <c r="A13017" s="499">
        <v>45937</v>
      </c>
      <c r="B13017" s="499">
        <v>45937</v>
      </c>
      <c r="C13017" s="420" t="s">
        <v>173</v>
      </c>
      <c r="D13017" s="500" t="s">
        <v>764</v>
      </c>
      <c r="E13017" s="501">
        <v>-239121921.55000001</v>
      </c>
      <c r="F13017" s="95" t="s">
        <v>878</v>
      </c>
      <c r="G13017" s="420">
        <v>119477463</v>
      </c>
      <c r="I13017" s="523" t="s">
        <v>692</v>
      </c>
      <c r="J13017" s="530" t="s">
        <v>906</v>
      </c>
      <c r="N13017" s="420">
        <v>322411</v>
      </c>
      <c r="R13017" s="420">
        <v>741.66800000620333</v>
      </c>
      <c r="S13017" s="420">
        <v>741.98397089429295</v>
      </c>
      <c r="T13017" s="420">
        <v>15.55</v>
      </c>
      <c r="U13017" s="278">
        <v>358.68</v>
      </c>
      <c r="V13017" s="278">
        <v>179.34</v>
      </c>
      <c r="Z13017" s="420" t="s">
        <v>2953</v>
      </c>
    </row>
    <row r="13018" spans="1:26">
      <c r="A13018" s="499">
        <v>45937</v>
      </c>
      <c r="B13018" s="499">
        <v>45937</v>
      </c>
      <c r="C13018" s="420" t="s">
        <v>173</v>
      </c>
      <c r="D13018" s="500" t="s">
        <v>764</v>
      </c>
      <c r="E13018" s="501">
        <v>-205023182.88</v>
      </c>
      <c r="F13018" s="95" t="s">
        <v>878</v>
      </c>
      <c r="G13018" s="420">
        <v>119477466</v>
      </c>
      <c r="I13018" s="523" t="s">
        <v>833</v>
      </c>
      <c r="J13018" s="530" t="s">
        <v>906</v>
      </c>
      <c r="N13018" s="420">
        <v>318980</v>
      </c>
      <c r="R13018" s="420">
        <v>642.74620001253993</v>
      </c>
      <c r="S13018" s="420">
        <v>643.02002749388703</v>
      </c>
      <c r="T13018" s="420">
        <v>15.55</v>
      </c>
      <c r="U13018" s="278">
        <v>307.52999999999997</v>
      </c>
      <c r="V13018" s="278">
        <v>153.77000000000001</v>
      </c>
      <c r="Z13018" s="420" t="s">
        <v>2953</v>
      </c>
    </row>
    <row r="13019" spans="1:26">
      <c r="A13019" s="499">
        <v>45937</v>
      </c>
      <c r="B13019" s="499">
        <v>45937</v>
      </c>
      <c r="C13019" s="420" t="s">
        <v>173</v>
      </c>
      <c r="D13019" s="500" t="s">
        <v>764</v>
      </c>
      <c r="E13019" s="501">
        <v>-156047384.38</v>
      </c>
      <c r="F13019" s="95" t="s">
        <v>878</v>
      </c>
      <c r="G13019" s="420">
        <v>119477469</v>
      </c>
      <c r="I13019" s="523" t="s">
        <v>690</v>
      </c>
      <c r="J13019" s="530" t="s">
        <v>906</v>
      </c>
      <c r="N13019" s="420">
        <v>207324</v>
      </c>
      <c r="R13019" s="420">
        <v>752.67400001929343</v>
      </c>
      <c r="S13019" s="420">
        <v>752.994659759603</v>
      </c>
      <c r="T13019" s="420">
        <v>15.55</v>
      </c>
      <c r="U13019" s="278">
        <v>234.07</v>
      </c>
      <c r="V13019" s="278">
        <v>117.04</v>
      </c>
      <c r="Z13019" s="420" t="s">
        <v>2953</v>
      </c>
    </row>
    <row r="13020" spans="1:26">
      <c r="A13020" s="499">
        <v>45937</v>
      </c>
      <c r="B13020" s="499">
        <v>45937</v>
      </c>
      <c r="C13020" s="420" t="s">
        <v>173</v>
      </c>
      <c r="D13020" s="500" t="s">
        <v>764</v>
      </c>
      <c r="E13020" s="501">
        <v>-139005067.66</v>
      </c>
      <c r="F13020" s="95" t="s">
        <v>878</v>
      </c>
      <c r="G13020" s="420">
        <v>119477472</v>
      </c>
      <c r="I13020" s="523" t="s">
        <v>598</v>
      </c>
      <c r="J13020" s="530" t="s">
        <v>906</v>
      </c>
      <c r="N13020" s="420">
        <v>130799</v>
      </c>
      <c r="R13020" s="420">
        <v>1062.7379999847094</v>
      </c>
      <c r="S13020" s="420">
        <v>1063.1907555103601</v>
      </c>
      <c r="T13020" s="420">
        <v>15.55</v>
      </c>
      <c r="U13020" s="278">
        <v>208.51</v>
      </c>
      <c r="V13020" s="278">
        <v>104.25</v>
      </c>
      <c r="Z13020" s="420" t="s">
        <v>2953</v>
      </c>
    </row>
    <row r="13021" spans="1:26">
      <c r="A13021" s="499">
        <v>45937</v>
      </c>
      <c r="B13021" s="499">
        <v>45937</v>
      </c>
      <c r="C13021" s="420" t="s">
        <v>173</v>
      </c>
      <c r="D13021" s="500" t="s">
        <v>764</v>
      </c>
      <c r="E13021" s="501">
        <v>-133103968.09999999</v>
      </c>
      <c r="F13021" s="95" t="s">
        <v>878</v>
      </c>
      <c r="G13021" s="420">
        <v>119477475</v>
      </c>
      <c r="I13021" s="523" t="s">
        <v>687</v>
      </c>
      <c r="J13021" s="530" t="s">
        <v>906</v>
      </c>
      <c r="N13021" s="420">
        <v>159999</v>
      </c>
      <c r="R13021" s="420">
        <v>831.90500003125021</v>
      </c>
      <c r="S13021" s="420">
        <v>832.25941437133997</v>
      </c>
      <c r="T13021" s="420">
        <v>15.55</v>
      </c>
      <c r="U13021" s="278">
        <v>199.66</v>
      </c>
      <c r="V13021" s="278">
        <v>99.83</v>
      </c>
      <c r="Z13021" s="420" t="s">
        <v>2953</v>
      </c>
    </row>
    <row r="13022" spans="1:26">
      <c r="A13022" s="499">
        <v>45937</v>
      </c>
      <c r="B13022" s="499">
        <v>45937</v>
      </c>
      <c r="C13022" s="420" t="s">
        <v>173</v>
      </c>
      <c r="D13022" s="500" t="s">
        <v>764</v>
      </c>
      <c r="E13022" s="501">
        <v>-128014475.16</v>
      </c>
      <c r="F13022" s="95" t="s">
        <v>878</v>
      </c>
      <c r="G13022" s="420">
        <v>119477478</v>
      </c>
      <c r="I13022" s="523" t="s">
        <v>833</v>
      </c>
      <c r="J13022" s="530" t="s">
        <v>906</v>
      </c>
      <c r="N13022" s="420">
        <v>199168</v>
      </c>
      <c r="R13022" s="420">
        <v>642.74619999196659</v>
      </c>
      <c r="S13022" s="420">
        <v>643.02002746425103</v>
      </c>
      <c r="T13022" s="420">
        <v>15.55</v>
      </c>
      <c r="U13022" s="278">
        <v>192.02</v>
      </c>
      <c r="V13022" s="278">
        <v>96.01</v>
      </c>
      <c r="Z13022" s="420" t="s">
        <v>2953</v>
      </c>
    </row>
    <row r="13023" spans="1:26">
      <c r="A13023" s="499">
        <v>45937</v>
      </c>
      <c r="B13023" s="499">
        <v>45937</v>
      </c>
      <c r="C13023" s="420" t="s">
        <v>173</v>
      </c>
      <c r="D13023" s="500" t="s">
        <v>764</v>
      </c>
      <c r="E13023" s="501">
        <v>-98031870.090000004</v>
      </c>
      <c r="F13023" s="95" t="s">
        <v>878</v>
      </c>
      <c r="G13023" s="420">
        <v>119477481</v>
      </c>
      <c r="I13023" s="523" t="s">
        <v>590</v>
      </c>
      <c r="J13023" s="530" t="s">
        <v>906</v>
      </c>
      <c r="N13023" s="420">
        <v>102410</v>
      </c>
      <c r="R13023" s="420">
        <v>957.24900000000002</v>
      </c>
      <c r="S13023" s="420">
        <v>957.65681427594905</v>
      </c>
      <c r="T13023" s="420">
        <v>15.55</v>
      </c>
      <c r="U13023" s="278">
        <v>147.05000000000001</v>
      </c>
      <c r="V13023" s="278">
        <v>73.52</v>
      </c>
      <c r="Z13023" s="420" t="s">
        <v>2953</v>
      </c>
    </row>
    <row r="13024" spans="1:26">
      <c r="A13024" s="499">
        <v>45937</v>
      </c>
      <c r="B13024" s="499">
        <v>45937</v>
      </c>
      <c r="C13024" s="420" t="s">
        <v>173</v>
      </c>
      <c r="D13024" s="500" t="s">
        <v>764</v>
      </c>
      <c r="E13024" s="501">
        <v>-93094044.859999999</v>
      </c>
      <c r="F13024" s="95" t="s">
        <v>878</v>
      </c>
      <c r="G13024" s="420">
        <v>119477484</v>
      </c>
      <c r="I13024" s="523" t="s">
        <v>658</v>
      </c>
      <c r="J13024" s="530" t="s">
        <v>906</v>
      </c>
      <c r="N13024" s="420">
        <v>89373</v>
      </c>
      <c r="R13024" s="420">
        <v>1041.6350000559453</v>
      </c>
      <c r="S13024" s="420">
        <v>1042.0787650632701</v>
      </c>
      <c r="T13024" s="420">
        <v>15.55</v>
      </c>
      <c r="U13024" s="278">
        <v>139.63999999999999</v>
      </c>
      <c r="V13024" s="278">
        <v>69.819999999999993</v>
      </c>
      <c r="Z13024" s="420" t="s">
        <v>2953</v>
      </c>
    </row>
    <row r="13025" spans="1:26">
      <c r="A13025" s="499">
        <v>45937</v>
      </c>
      <c r="B13025" s="499">
        <v>45937</v>
      </c>
      <c r="C13025" s="420" t="s">
        <v>173</v>
      </c>
      <c r="D13025" s="500" t="s">
        <v>764</v>
      </c>
      <c r="E13025" s="501">
        <v>-76039345.200000003</v>
      </c>
      <c r="F13025" s="95" t="s">
        <v>878</v>
      </c>
      <c r="G13025" s="420">
        <v>119477487</v>
      </c>
      <c r="I13025" s="523" t="s">
        <v>715</v>
      </c>
      <c r="J13025" s="530" t="s">
        <v>906</v>
      </c>
      <c r="N13025" s="420">
        <v>124716</v>
      </c>
      <c r="R13025" s="420">
        <v>609.70000000000005</v>
      </c>
      <c r="S13025" s="420">
        <v>609.959748869431</v>
      </c>
      <c r="T13025" s="420">
        <v>15.55</v>
      </c>
      <c r="U13025" s="278">
        <v>114.06</v>
      </c>
      <c r="V13025" s="278">
        <v>57.03</v>
      </c>
      <c r="Z13025" s="420" t="s">
        <v>2953</v>
      </c>
    </row>
    <row r="13026" spans="1:26">
      <c r="A13026" s="499">
        <v>45937</v>
      </c>
      <c r="B13026" s="499">
        <v>45937</v>
      </c>
      <c r="C13026" s="420" t="s">
        <v>173</v>
      </c>
      <c r="D13026" s="500" t="s">
        <v>764</v>
      </c>
      <c r="E13026" s="501">
        <v>-39004605.350000001</v>
      </c>
      <c r="F13026" s="95" t="s">
        <v>878</v>
      </c>
      <c r="G13026" s="420">
        <v>119477490</v>
      </c>
      <c r="I13026" s="523" t="s">
        <v>693</v>
      </c>
      <c r="J13026" s="530" t="s">
        <v>906</v>
      </c>
      <c r="N13026" s="420">
        <v>50622</v>
      </c>
      <c r="R13026" s="420">
        <v>770.50699992098305</v>
      </c>
      <c r="S13026" s="420">
        <v>770.83525700288396</v>
      </c>
      <c r="T13026" s="420">
        <v>15.55</v>
      </c>
      <c r="U13026" s="278">
        <v>58.51</v>
      </c>
      <c r="V13026" s="278">
        <v>29.25</v>
      </c>
      <c r="Z13026" s="420" t="s">
        <v>2953</v>
      </c>
    </row>
    <row r="13027" spans="1:26">
      <c r="A13027" s="499">
        <v>45937</v>
      </c>
      <c r="B13027" s="499">
        <v>45937</v>
      </c>
      <c r="C13027" s="420" t="s">
        <v>173</v>
      </c>
      <c r="D13027" s="500" t="s">
        <v>764</v>
      </c>
      <c r="E13027" s="501">
        <v>-39012683</v>
      </c>
      <c r="F13027" s="95" t="s">
        <v>878</v>
      </c>
      <c r="G13027" s="420">
        <v>119477493</v>
      </c>
      <c r="I13027" s="523" t="s">
        <v>590</v>
      </c>
      <c r="J13027" s="530" t="s">
        <v>906</v>
      </c>
      <c r="N13027" s="420">
        <v>40755</v>
      </c>
      <c r="R13027" s="420">
        <v>957.24900012268438</v>
      </c>
      <c r="S13027" s="420">
        <v>957.65681437860405</v>
      </c>
      <c r="T13027" s="420">
        <v>15.55</v>
      </c>
      <c r="U13027" s="278">
        <v>58.52</v>
      </c>
      <c r="V13027" s="278">
        <v>29.26</v>
      </c>
      <c r="Z13027" s="420" t="s">
        <v>2953</v>
      </c>
    </row>
    <row r="13028" spans="1:26">
      <c r="A13028" s="499">
        <v>45937</v>
      </c>
      <c r="B13028" s="499">
        <v>45937</v>
      </c>
      <c r="C13028" s="420" t="s">
        <v>173</v>
      </c>
      <c r="D13028" s="500" t="s">
        <v>764</v>
      </c>
      <c r="E13028" s="501">
        <v>-37012032.590000004</v>
      </c>
      <c r="F13028" s="95" t="s">
        <v>878</v>
      </c>
      <c r="G13028" s="420">
        <v>119477496</v>
      </c>
      <c r="I13028" s="523" t="s">
        <v>590</v>
      </c>
      <c r="J13028" s="530" t="s">
        <v>906</v>
      </c>
      <c r="N13028" s="420">
        <v>38665</v>
      </c>
      <c r="R13028" s="420">
        <v>957.24900012931596</v>
      </c>
      <c r="S13028" s="420">
        <v>957.65681443165602</v>
      </c>
      <c r="T13028" s="420">
        <v>15.55</v>
      </c>
      <c r="U13028" s="278">
        <v>55.52</v>
      </c>
      <c r="V13028" s="278">
        <v>27.76</v>
      </c>
      <c r="Z13028" s="420" t="s">
        <v>2953</v>
      </c>
    </row>
    <row r="13029" spans="1:26">
      <c r="A13029" s="499">
        <v>45937</v>
      </c>
      <c r="B13029" s="499">
        <v>45937</v>
      </c>
      <c r="C13029" s="420" t="s">
        <v>173</v>
      </c>
      <c r="D13029" s="500" t="s">
        <v>764</v>
      </c>
      <c r="E13029" s="501">
        <v>-30027444.719999999</v>
      </c>
      <c r="F13029" s="95" t="s">
        <v>878</v>
      </c>
      <c r="G13029" s="420">
        <v>119477499</v>
      </c>
      <c r="I13029" s="523" t="s">
        <v>823</v>
      </c>
      <c r="J13029" s="530" t="s">
        <v>906</v>
      </c>
      <c r="N13029" s="420">
        <v>28860</v>
      </c>
      <c r="R13029" s="420">
        <v>1040.452</v>
      </c>
      <c r="S13029" s="420">
        <v>1040.89526091476</v>
      </c>
      <c r="T13029" s="420">
        <v>15.55</v>
      </c>
      <c r="U13029" s="278">
        <v>45.04</v>
      </c>
      <c r="V13029" s="278">
        <v>22.52</v>
      </c>
      <c r="Z13029" s="420" t="s">
        <v>2953</v>
      </c>
    </row>
    <row r="13030" spans="1:26">
      <c r="A13030" s="499">
        <v>45937</v>
      </c>
      <c r="B13030" s="499">
        <v>45937</v>
      </c>
      <c r="C13030" s="420" t="s">
        <v>173</v>
      </c>
      <c r="D13030" s="500" t="s">
        <v>764</v>
      </c>
      <c r="E13030" s="501">
        <v>-29015168.600000001</v>
      </c>
      <c r="F13030" s="95" t="s">
        <v>878</v>
      </c>
      <c r="G13030" s="420">
        <v>119477502</v>
      </c>
      <c r="I13030" s="523" t="s">
        <v>656</v>
      </c>
      <c r="J13030" s="530" t="s">
        <v>906</v>
      </c>
      <c r="N13030" s="420">
        <v>29435</v>
      </c>
      <c r="R13030" s="420">
        <v>985.73700016986584</v>
      </c>
      <c r="S13030" s="420">
        <v>986.15695124851402</v>
      </c>
      <c r="T13030" s="420">
        <v>15.55</v>
      </c>
      <c r="U13030" s="278">
        <v>43.52</v>
      </c>
      <c r="V13030" s="278">
        <v>21.76</v>
      </c>
      <c r="Z13030" s="420" t="s">
        <v>2953</v>
      </c>
    </row>
    <row r="13031" spans="1:26">
      <c r="A13031" s="499">
        <v>45937</v>
      </c>
      <c r="B13031" s="499">
        <v>45937</v>
      </c>
      <c r="C13031" s="420" t="s">
        <v>173</v>
      </c>
      <c r="D13031" s="500" t="s">
        <v>764</v>
      </c>
      <c r="E13031" s="501">
        <v>-28013951.780000001</v>
      </c>
      <c r="F13031" s="95" t="s">
        <v>878</v>
      </c>
      <c r="G13031" s="420">
        <v>119477505</v>
      </c>
      <c r="I13031" s="523" t="s">
        <v>821</v>
      </c>
      <c r="J13031" s="530" t="s">
        <v>906</v>
      </c>
      <c r="N13031" s="420">
        <v>26936</v>
      </c>
      <c r="R13031" s="420">
        <v>1040.0189998515</v>
      </c>
      <c r="S13031" s="420">
        <v>1040.46207640333</v>
      </c>
      <c r="T13031" s="420">
        <v>15.55</v>
      </c>
      <c r="U13031" s="278">
        <v>42.02</v>
      </c>
      <c r="V13031" s="278">
        <v>21.01</v>
      </c>
      <c r="Z13031" s="420" t="s">
        <v>2953</v>
      </c>
    </row>
    <row r="13032" spans="1:26">
      <c r="A13032" s="499">
        <v>45937</v>
      </c>
      <c r="B13032" s="499">
        <v>45937</v>
      </c>
      <c r="C13032" s="420" t="s">
        <v>173</v>
      </c>
      <c r="D13032" s="500" t="s">
        <v>764</v>
      </c>
      <c r="E13032" s="501">
        <v>-24004389.84</v>
      </c>
      <c r="F13032" s="95" t="s">
        <v>878</v>
      </c>
      <c r="G13032" s="420">
        <v>119477508</v>
      </c>
      <c r="I13032" s="523" t="s">
        <v>588</v>
      </c>
      <c r="J13032" s="530" t="s">
        <v>906</v>
      </c>
      <c r="N13032" s="420">
        <v>26160</v>
      </c>
      <c r="R13032" s="420">
        <v>917.59900000000005</v>
      </c>
      <c r="S13032" s="420">
        <v>917.98992240061204</v>
      </c>
      <c r="T13032" s="420">
        <v>15.55</v>
      </c>
      <c r="U13032" s="278">
        <v>39.32</v>
      </c>
      <c r="V13032" s="278">
        <v>18</v>
      </c>
      <c r="Z13032" s="420" t="s">
        <v>2953</v>
      </c>
    </row>
    <row r="13033" spans="1:26">
      <c r="A13033" s="499">
        <v>45937</v>
      </c>
      <c r="B13033" s="499">
        <v>45937</v>
      </c>
      <c r="C13033" s="420" t="s">
        <v>173</v>
      </c>
      <c r="D13033" s="500" t="s">
        <v>764</v>
      </c>
      <c r="E13033" s="501">
        <v>-20002261.739999998</v>
      </c>
      <c r="F13033" s="95" t="s">
        <v>878</v>
      </c>
      <c r="G13033" s="420">
        <v>119477511</v>
      </c>
      <c r="I13033" s="523" t="s">
        <v>833</v>
      </c>
      <c r="J13033" s="530" t="s">
        <v>906</v>
      </c>
      <c r="N13033" s="420">
        <v>31120</v>
      </c>
      <c r="R13033" s="420">
        <v>642.74619987146525</v>
      </c>
      <c r="S13033" s="420">
        <v>643.02002731362495</v>
      </c>
      <c r="T13033" s="420">
        <v>15.55</v>
      </c>
      <c r="U13033" s="278">
        <v>39.32</v>
      </c>
      <c r="V13033" s="278">
        <v>15</v>
      </c>
      <c r="Z13033" s="420" t="s">
        <v>2953</v>
      </c>
    </row>
    <row r="13034" spans="1:26">
      <c r="A13034" s="499">
        <v>45937</v>
      </c>
      <c r="B13034" s="499">
        <v>45937</v>
      </c>
      <c r="C13034" s="420" t="s">
        <v>173</v>
      </c>
      <c r="D13034" s="500" t="s">
        <v>764</v>
      </c>
      <c r="E13034" s="501">
        <v>-20010354</v>
      </c>
      <c r="F13034" s="95" t="s">
        <v>878</v>
      </c>
      <c r="G13034" s="420">
        <v>119477514</v>
      </c>
      <c r="I13034" s="523" t="s">
        <v>715</v>
      </c>
      <c r="J13034" s="530" t="s">
        <v>906</v>
      </c>
      <c r="N13034" s="420">
        <v>32820</v>
      </c>
      <c r="R13034" s="420">
        <v>609.70000000000005</v>
      </c>
      <c r="S13034" s="420">
        <v>609.95974893357698</v>
      </c>
      <c r="T13034" s="420">
        <v>15.55</v>
      </c>
      <c r="U13034" s="278">
        <v>39.32</v>
      </c>
      <c r="V13034" s="278">
        <v>15.01</v>
      </c>
      <c r="Z13034" s="420" t="s">
        <v>2953</v>
      </c>
    </row>
    <row r="13035" spans="1:26">
      <c r="A13035" s="499">
        <v>45937</v>
      </c>
      <c r="B13035" s="499">
        <v>45937</v>
      </c>
      <c r="C13035" s="420" t="s">
        <v>173</v>
      </c>
      <c r="D13035" s="500" t="s">
        <v>764</v>
      </c>
      <c r="E13035" s="501">
        <v>-19004088.949999999</v>
      </c>
      <c r="F13035" s="95" t="s">
        <v>878</v>
      </c>
      <c r="G13035" s="420">
        <v>119477517</v>
      </c>
      <c r="I13035" s="523" t="s">
        <v>550</v>
      </c>
      <c r="J13035" s="530" t="s">
        <v>906</v>
      </c>
      <c r="N13035" s="420">
        <v>34808</v>
      </c>
      <c r="R13035" s="420">
        <v>545.96899994254193</v>
      </c>
      <c r="S13035" s="420">
        <v>546.20159762123603</v>
      </c>
      <c r="T13035" s="420">
        <v>15.55</v>
      </c>
      <c r="U13035" s="278">
        <v>39.32</v>
      </c>
      <c r="V13035" s="278">
        <v>14.25</v>
      </c>
      <c r="Z13035" s="420" t="s">
        <v>2953</v>
      </c>
    </row>
    <row r="13036" spans="1:26">
      <c r="A13036" s="499">
        <v>45937</v>
      </c>
      <c r="B13036" s="499">
        <v>45937</v>
      </c>
      <c r="C13036" s="420" t="s">
        <v>173</v>
      </c>
      <c r="D13036" s="500" t="s">
        <v>764</v>
      </c>
      <c r="E13036" s="501">
        <v>-15007845.83</v>
      </c>
      <c r="F13036" s="95" t="s">
        <v>878</v>
      </c>
      <c r="G13036" s="420">
        <v>119477520</v>
      </c>
      <c r="I13036" s="523" t="s">
        <v>656</v>
      </c>
      <c r="J13036" s="530" t="s">
        <v>906</v>
      </c>
      <c r="N13036" s="420">
        <v>15225</v>
      </c>
      <c r="R13036" s="420">
        <v>985.73700032840725</v>
      </c>
      <c r="S13036" s="420">
        <v>986.15695106732403</v>
      </c>
      <c r="T13036" s="420">
        <v>15.55</v>
      </c>
      <c r="U13036" s="278">
        <v>39.32</v>
      </c>
      <c r="V13036" s="278">
        <v>11.26</v>
      </c>
      <c r="Z13036" s="420" t="s">
        <v>2953</v>
      </c>
    </row>
    <row r="13037" spans="1:26">
      <c r="A13037" s="499">
        <v>45937</v>
      </c>
      <c r="B13037" s="499">
        <v>45937</v>
      </c>
      <c r="C13037" s="420" t="s">
        <v>173</v>
      </c>
      <c r="D13037" s="500" t="s">
        <v>764</v>
      </c>
      <c r="E13037" s="501">
        <v>-9009101.1199999992</v>
      </c>
      <c r="F13037" s="95" t="s">
        <v>878</v>
      </c>
      <c r="G13037" s="420">
        <v>119477523</v>
      </c>
      <c r="I13037" s="523" t="s">
        <v>658</v>
      </c>
      <c r="J13037" s="530" t="s">
        <v>906</v>
      </c>
      <c r="N13037" s="420">
        <v>8649</v>
      </c>
      <c r="R13037" s="420">
        <v>1041.6350005781014</v>
      </c>
      <c r="S13037" s="420">
        <v>1042.07876517516</v>
      </c>
      <c r="T13037" s="420">
        <v>15.55</v>
      </c>
      <c r="U13037" s="278">
        <v>39.32</v>
      </c>
      <c r="V13037" s="278">
        <v>6.76</v>
      </c>
      <c r="Z13037" s="420" t="s">
        <v>2953</v>
      </c>
    </row>
    <row r="13038" spans="1:26">
      <c r="A13038" s="499">
        <v>45937</v>
      </c>
      <c r="B13038" s="499">
        <v>45937</v>
      </c>
      <c r="C13038" s="420" t="s">
        <v>173</v>
      </c>
      <c r="D13038" s="500" t="s">
        <v>764</v>
      </c>
      <c r="E13038" s="501">
        <v>-4002894.84</v>
      </c>
      <c r="F13038" s="95" t="s">
        <v>878</v>
      </c>
      <c r="G13038" s="420">
        <v>119477526</v>
      </c>
      <c r="I13038" s="523" t="s">
        <v>673</v>
      </c>
      <c r="J13038" s="530" t="s">
        <v>906</v>
      </c>
      <c r="N13038" s="420">
        <v>4340</v>
      </c>
      <c r="R13038" s="420">
        <v>922.32600000000002</v>
      </c>
      <c r="S13038" s="420">
        <v>922.71893548387095</v>
      </c>
      <c r="T13038" s="420">
        <v>15.55</v>
      </c>
      <c r="U13038" s="278">
        <v>39.32</v>
      </c>
      <c r="V13038" s="278">
        <v>3</v>
      </c>
      <c r="Z13038" s="420" t="s">
        <v>2953</v>
      </c>
    </row>
    <row r="13039" spans="1:26">
      <c r="A13039" s="499">
        <v>45937</v>
      </c>
      <c r="B13039" s="499">
        <v>45937</v>
      </c>
      <c r="C13039" s="420" t="s">
        <v>173</v>
      </c>
      <c r="D13039" s="500" t="s">
        <v>764</v>
      </c>
      <c r="E13039" s="501">
        <v>-1000036.46</v>
      </c>
      <c r="F13039" s="95" t="s">
        <v>878</v>
      </c>
      <c r="G13039" s="420">
        <v>119477544</v>
      </c>
      <c r="I13039" s="523" t="s">
        <v>598</v>
      </c>
      <c r="J13039" s="530" t="s">
        <v>906</v>
      </c>
      <c r="N13039" s="420">
        <v>941</v>
      </c>
      <c r="R13039" s="420">
        <v>1062.7380021253985</v>
      </c>
      <c r="S13039" s="420">
        <v>1063.19075451647</v>
      </c>
      <c r="T13039" s="420">
        <v>15.55</v>
      </c>
      <c r="U13039" s="278">
        <v>39.32</v>
      </c>
      <c r="V13039" s="278">
        <v>0.75</v>
      </c>
      <c r="Z13039" s="420" t="s">
        <v>2953</v>
      </c>
    </row>
    <row r="13040" spans="1:26">
      <c r="A13040" s="499">
        <v>45937</v>
      </c>
      <c r="B13040" s="499">
        <v>45937</v>
      </c>
      <c r="C13040" s="420" t="s">
        <v>173</v>
      </c>
      <c r="D13040" s="500" t="s">
        <v>764</v>
      </c>
      <c r="E13040" s="501">
        <v>-4000665.6000000001</v>
      </c>
      <c r="F13040" s="95" t="s">
        <v>878</v>
      </c>
      <c r="G13040" s="420">
        <v>119477547</v>
      </c>
      <c r="I13040" s="523" t="s">
        <v>604</v>
      </c>
      <c r="J13040" s="530" t="s">
        <v>906</v>
      </c>
      <c r="N13040" s="420">
        <v>3840</v>
      </c>
      <c r="R13040" s="420">
        <v>1041.8399999999999</v>
      </c>
      <c r="S13040" s="420">
        <v>1042.2838515625001</v>
      </c>
      <c r="T13040" s="420">
        <v>15.55</v>
      </c>
      <c r="U13040" s="278">
        <v>39.32</v>
      </c>
      <c r="V13040" s="278">
        <v>3</v>
      </c>
      <c r="Z13040" s="420" t="s">
        <v>2953</v>
      </c>
    </row>
    <row r="13041" spans="1:26">
      <c r="A13041" s="499">
        <v>45937</v>
      </c>
      <c r="B13041" s="499">
        <v>45937</v>
      </c>
      <c r="C13041" s="420" t="s">
        <v>173</v>
      </c>
      <c r="D13041" s="500" t="s">
        <v>764</v>
      </c>
      <c r="E13041" s="501">
        <v>-6002491.9699999997</v>
      </c>
      <c r="F13041" s="95" t="s">
        <v>878</v>
      </c>
      <c r="G13041" s="420">
        <v>119477550</v>
      </c>
      <c r="I13041" s="523" t="s">
        <v>600</v>
      </c>
      <c r="J13041" s="530" t="s">
        <v>906</v>
      </c>
      <c r="N13041" s="420">
        <v>6336</v>
      </c>
      <c r="R13041" s="420">
        <v>947.36300031565656</v>
      </c>
      <c r="S13041" s="420">
        <v>947.76660353535306</v>
      </c>
      <c r="T13041" s="420">
        <v>15.55</v>
      </c>
      <c r="U13041" s="278">
        <v>39.32</v>
      </c>
      <c r="V13041" s="278">
        <v>4.5</v>
      </c>
      <c r="Z13041" s="420" t="s">
        <v>2953</v>
      </c>
    </row>
    <row r="13042" spans="1:26">
      <c r="A13042" s="499">
        <v>45937</v>
      </c>
      <c r="B13042" s="499">
        <v>45937</v>
      </c>
      <c r="C13042" s="420" t="s">
        <v>173</v>
      </c>
      <c r="D13042" s="500" t="s">
        <v>764</v>
      </c>
      <c r="E13042" s="501">
        <v>-6000826.9500000002</v>
      </c>
      <c r="F13042" s="95" t="s">
        <v>878</v>
      </c>
      <c r="G13042" s="420">
        <v>119477553</v>
      </c>
      <c r="I13042" s="523" t="s">
        <v>696</v>
      </c>
      <c r="J13042" s="530" t="s">
        <v>906</v>
      </c>
      <c r="N13042" s="420">
        <v>7950</v>
      </c>
      <c r="R13042" s="420">
        <v>754.82100000000003</v>
      </c>
      <c r="S13042" s="420">
        <v>755.14257484276698</v>
      </c>
      <c r="T13042" s="420">
        <v>15.55</v>
      </c>
      <c r="U13042" s="278">
        <v>39.32</v>
      </c>
      <c r="V13042" s="278">
        <v>4.5</v>
      </c>
      <c r="Z13042" s="420" t="s">
        <v>2953</v>
      </c>
    </row>
    <row r="13043" spans="1:26">
      <c r="A13043" s="499">
        <v>45937</v>
      </c>
      <c r="B13043" s="499">
        <v>45937</v>
      </c>
      <c r="C13043" s="420" t="s">
        <v>173</v>
      </c>
      <c r="D13043" s="500" t="s">
        <v>764</v>
      </c>
      <c r="E13043" s="501">
        <v>-7000401</v>
      </c>
      <c r="F13043" s="95" t="s">
        <v>878</v>
      </c>
      <c r="G13043" s="420">
        <v>119477556</v>
      </c>
      <c r="I13043" s="523" t="s">
        <v>674</v>
      </c>
      <c r="J13043" s="530" t="s">
        <v>906</v>
      </c>
      <c r="N13043" s="420">
        <v>7714</v>
      </c>
      <c r="R13043" s="420">
        <v>907.49299974073119</v>
      </c>
      <c r="S13043" s="420">
        <v>907.87961628208495</v>
      </c>
      <c r="T13043" s="420">
        <v>15.55</v>
      </c>
      <c r="U13043" s="278">
        <v>39.32</v>
      </c>
      <c r="V13043" s="278">
        <v>5.25</v>
      </c>
      <c r="Z13043" s="420" t="s">
        <v>2953</v>
      </c>
    </row>
    <row r="13044" spans="1:26">
      <c r="A13044" s="499">
        <v>45937</v>
      </c>
      <c r="B13044" s="499">
        <v>45937</v>
      </c>
      <c r="C13044" s="420" t="s">
        <v>173</v>
      </c>
      <c r="D13044" s="500" t="s">
        <v>764</v>
      </c>
      <c r="E13044" s="501">
        <v>-11010814.140000001</v>
      </c>
      <c r="F13044" s="95" t="s">
        <v>878</v>
      </c>
      <c r="G13044" s="420">
        <v>119477559</v>
      </c>
      <c r="I13044" s="523" t="s">
        <v>816</v>
      </c>
      <c r="J13044" s="530" t="s">
        <v>906</v>
      </c>
      <c r="N13044" s="420">
        <v>10351</v>
      </c>
      <c r="R13044" s="420">
        <v>1063.743999613564</v>
      </c>
      <c r="S13044" s="420">
        <v>1064.1971838469699</v>
      </c>
      <c r="T13044" s="420">
        <v>15.55</v>
      </c>
      <c r="U13044" s="278">
        <v>39.32</v>
      </c>
      <c r="V13044" s="278">
        <v>8.26</v>
      </c>
      <c r="Z13044" s="420" t="s">
        <v>2953</v>
      </c>
    </row>
    <row r="13045" spans="1:26">
      <c r="A13045" s="499">
        <v>45937</v>
      </c>
      <c r="B13045" s="499">
        <v>45937</v>
      </c>
      <c r="C13045" s="420" t="s">
        <v>173</v>
      </c>
      <c r="D13045" s="500" t="s">
        <v>764</v>
      </c>
      <c r="E13045" s="501">
        <v>-12006605.68</v>
      </c>
      <c r="F13045" s="95" t="s">
        <v>878</v>
      </c>
      <c r="G13045" s="420">
        <v>119477562</v>
      </c>
      <c r="I13045" s="523" t="s">
        <v>695</v>
      </c>
      <c r="J13045" s="530" t="s">
        <v>906</v>
      </c>
      <c r="N13045" s="420">
        <v>16692</v>
      </c>
      <c r="R13045" s="420">
        <v>719.30300023963571</v>
      </c>
      <c r="S13045" s="420">
        <v>719.60944284687298</v>
      </c>
      <c r="T13045" s="420">
        <v>15.55</v>
      </c>
      <c r="U13045" s="278">
        <v>39.32</v>
      </c>
      <c r="V13045" s="278">
        <v>9</v>
      </c>
      <c r="Z13045" s="420" t="s">
        <v>2953</v>
      </c>
    </row>
    <row r="13046" spans="1:26">
      <c r="A13046" s="499">
        <v>45937</v>
      </c>
      <c r="B13046" s="499">
        <v>45937</v>
      </c>
      <c r="C13046" s="420" t="s">
        <v>173</v>
      </c>
      <c r="D13046" s="500" t="s">
        <v>764</v>
      </c>
      <c r="E13046" s="501">
        <v>-200000005.56</v>
      </c>
      <c r="F13046" s="95" t="s">
        <v>878</v>
      </c>
      <c r="G13046" s="420">
        <v>119477592</v>
      </c>
      <c r="I13046" s="523" t="s">
        <v>1048</v>
      </c>
      <c r="J13046" s="530" t="s">
        <v>906</v>
      </c>
      <c r="N13046" s="420">
        <v>196251600</v>
      </c>
      <c r="R13046" s="420">
        <v>1.0191000000000001</v>
      </c>
      <c r="S13046" s="420">
        <v>1.01953277410222</v>
      </c>
      <c r="T13046" s="420">
        <v>15.5002</v>
      </c>
      <c r="U13046" s="278">
        <v>300</v>
      </c>
      <c r="V13046" s="278">
        <v>150</v>
      </c>
      <c r="Z13046" s="420" t="s">
        <v>2953</v>
      </c>
    </row>
    <row r="13047" spans="1:26">
      <c r="A13047" s="499">
        <v>45937</v>
      </c>
      <c r="B13047" s="499">
        <v>45937</v>
      </c>
      <c r="C13047" s="420" t="s">
        <v>173</v>
      </c>
      <c r="D13047" s="500" t="s">
        <v>764</v>
      </c>
      <c r="E13047" s="501">
        <v>-2201161845.6999998</v>
      </c>
      <c r="F13047" s="95" t="s">
        <v>878</v>
      </c>
      <c r="G13047" s="420">
        <v>119477595</v>
      </c>
      <c r="I13047" s="523" t="s">
        <v>816</v>
      </c>
      <c r="J13047" s="530" t="s">
        <v>906</v>
      </c>
      <c r="N13047" s="420">
        <v>2069259</v>
      </c>
      <c r="R13047" s="420">
        <v>1063.744000001933</v>
      </c>
      <c r="S13047" s="420">
        <v>1064.19573273331</v>
      </c>
      <c r="T13047" s="420">
        <v>15.5002</v>
      </c>
      <c r="U13047" s="278">
        <v>3301.74</v>
      </c>
      <c r="V13047" s="278">
        <v>1650.87</v>
      </c>
      <c r="Z13047" s="420" t="s">
        <v>2953</v>
      </c>
    </row>
    <row r="13048" spans="1:26">
      <c r="A13048" s="499">
        <v>45937</v>
      </c>
      <c r="B13048" s="499">
        <v>45937</v>
      </c>
      <c r="C13048" s="420" t="s">
        <v>173</v>
      </c>
      <c r="D13048" s="500" t="s">
        <v>764</v>
      </c>
      <c r="E13048" s="501">
        <v>-296020534.69999999</v>
      </c>
      <c r="F13048" s="95" t="s">
        <v>878</v>
      </c>
      <c r="G13048" s="420">
        <v>119477598</v>
      </c>
      <c r="I13048" s="523" t="s">
        <v>3046</v>
      </c>
      <c r="J13048" s="530" t="s">
        <v>906</v>
      </c>
      <c r="N13048" s="420">
        <v>2969768</v>
      </c>
      <c r="R13048" s="420">
        <v>99.677999998653092</v>
      </c>
      <c r="S13048" s="420">
        <v>99.720329284981204</v>
      </c>
      <c r="T13048" s="420">
        <v>15.5001</v>
      </c>
      <c r="U13048" s="278">
        <v>444.03</v>
      </c>
      <c r="V13048" s="278">
        <v>222.02</v>
      </c>
      <c r="Z13048" s="420" t="s">
        <v>2953</v>
      </c>
    </row>
    <row r="13049" spans="1:26">
      <c r="A13049" s="499">
        <v>45937</v>
      </c>
      <c r="B13049" s="499">
        <v>45937</v>
      </c>
      <c r="C13049" s="420" t="s">
        <v>173</v>
      </c>
      <c r="D13049" s="500" t="s">
        <v>764</v>
      </c>
      <c r="E13049" s="501">
        <v>-28001971.199999999</v>
      </c>
      <c r="F13049" s="95" t="s">
        <v>878</v>
      </c>
      <c r="G13049" s="420">
        <v>119477639</v>
      </c>
      <c r="I13049" s="523" t="s">
        <v>654</v>
      </c>
      <c r="J13049" s="530" t="s">
        <v>906</v>
      </c>
      <c r="N13049" s="420">
        <v>27440</v>
      </c>
      <c r="R13049" s="420">
        <v>1020.48</v>
      </c>
      <c r="S13049" s="420">
        <v>1020.91336005831</v>
      </c>
      <c r="T13049" s="420">
        <v>15.5002</v>
      </c>
      <c r="U13049" s="278">
        <v>42</v>
      </c>
      <c r="V13049" s="278">
        <v>21</v>
      </c>
      <c r="Z13049" s="420" t="s">
        <v>2953</v>
      </c>
    </row>
    <row r="13050" spans="1:26">
      <c r="A13050" s="499">
        <v>45937</v>
      </c>
      <c r="B13050" s="499">
        <v>45938</v>
      </c>
      <c r="C13050" s="420" t="s">
        <v>173</v>
      </c>
      <c r="D13050" s="500" t="s">
        <v>764</v>
      </c>
      <c r="E13050" s="501">
        <v>1000847.3</v>
      </c>
      <c r="F13050" s="95" t="s">
        <v>878</v>
      </c>
      <c r="G13050" s="420">
        <v>119477365</v>
      </c>
      <c r="H13050" s="420">
        <v>119477365</v>
      </c>
      <c r="I13050" s="523" t="s">
        <v>592</v>
      </c>
      <c r="J13050" s="530" t="s">
        <v>912</v>
      </c>
      <c r="N13050" s="420">
        <v>1250</v>
      </c>
      <c r="R13050" s="420">
        <v>800.33600000000001</v>
      </c>
      <c r="S13050" s="420">
        <v>800.67783999999995</v>
      </c>
      <c r="T13050" s="420">
        <v>15.59</v>
      </c>
      <c r="U13050" s="278">
        <v>39.32</v>
      </c>
      <c r="V13050" s="278">
        <v>0.75</v>
      </c>
      <c r="Z13050" s="420" t="s">
        <v>2953</v>
      </c>
    </row>
    <row r="13051" spans="1:26">
      <c r="A13051" s="499">
        <v>45937</v>
      </c>
      <c r="B13051" s="499">
        <v>45938</v>
      </c>
      <c r="C13051" s="420" t="s">
        <v>173</v>
      </c>
      <c r="D13051" s="500" t="s">
        <v>764</v>
      </c>
      <c r="E13051" s="501">
        <v>1000463.6</v>
      </c>
      <c r="F13051" s="95" t="s">
        <v>878</v>
      </c>
      <c r="G13051" s="420">
        <v>119477371</v>
      </c>
      <c r="H13051" s="420">
        <v>119477371</v>
      </c>
      <c r="I13051" s="523" t="s">
        <v>598</v>
      </c>
      <c r="J13051" s="530" t="s">
        <v>912</v>
      </c>
      <c r="N13051" s="420">
        <v>941</v>
      </c>
      <c r="R13051" s="420">
        <v>1062.7380021253985</v>
      </c>
      <c r="S13051" s="420">
        <v>1063.19192348565</v>
      </c>
      <c r="T13051" s="420">
        <v>15.59</v>
      </c>
      <c r="U13051" s="278">
        <v>39.32</v>
      </c>
      <c r="V13051" s="278">
        <v>0.75</v>
      </c>
      <c r="Z13051" s="420" t="s">
        <v>2953</v>
      </c>
    </row>
    <row r="13052" spans="1:26">
      <c r="A13052" s="499">
        <v>45937</v>
      </c>
      <c r="B13052" s="499">
        <v>45938</v>
      </c>
      <c r="C13052" s="420" t="s">
        <v>173</v>
      </c>
      <c r="D13052" s="500" t="s">
        <v>764</v>
      </c>
      <c r="E13052" s="501">
        <v>64037919.890000001</v>
      </c>
      <c r="F13052" s="95" t="s">
        <v>878</v>
      </c>
      <c r="G13052" s="420">
        <v>119477457</v>
      </c>
      <c r="H13052" s="420">
        <v>119477457</v>
      </c>
      <c r="I13052" s="523" t="s">
        <v>604</v>
      </c>
      <c r="J13052" s="530" t="s">
        <v>912</v>
      </c>
      <c r="N13052" s="420">
        <v>61440</v>
      </c>
      <c r="R13052" s="420">
        <v>1041.8399999999999</v>
      </c>
      <c r="S13052" s="420">
        <v>1042.2838523763</v>
      </c>
      <c r="T13052" s="420">
        <v>15.55</v>
      </c>
      <c r="U13052" s="278">
        <v>96.02</v>
      </c>
      <c r="V13052" s="278">
        <v>48.01</v>
      </c>
      <c r="Z13052" s="420" t="s">
        <v>2953</v>
      </c>
    </row>
    <row r="13053" spans="1:26">
      <c r="A13053" s="499">
        <v>45937</v>
      </c>
      <c r="B13053" s="499">
        <v>45938</v>
      </c>
      <c r="C13053" s="420" t="s">
        <v>173</v>
      </c>
      <c r="D13053" s="500" t="s">
        <v>764</v>
      </c>
      <c r="E13053" s="501">
        <v>520747600.47000003</v>
      </c>
      <c r="F13053" s="95" t="s">
        <v>878</v>
      </c>
      <c r="G13053" s="420">
        <v>119477460</v>
      </c>
      <c r="H13053" s="420">
        <v>119477460</v>
      </c>
      <c r="I13053" s="523" t="s">
        <v>658</v>
      </c>
      <c r="J13053" s="530" t="s">
        <v>912</v>
      </c>
      <c r="N13053" s="420">
        <v>499720</v>
      </c>
      <c r="R13053" s="420">
        <v>1041.635</v>
      </c>
      <c r="S13053" s="420">
        <v>1042.0787650484299</v>
      </c>
      <c r="T13053" s="420">
        <v>15.55</v>
      </c>
      <c r="U13053" s="278">
        <v>780.79</v>
      </c>
      <c r="V13053" s="278">
        <v>390.39</v>
      </c>
      <c r="Z13053" s="420" t="s">
        <v>2953</v>
      </c>
    </row>
    <row r="13054" spans="1:26">
      <c r="A13054" s="499">
        <v>45937</v>
      </c>
      <c r="B13054" s="499">
        <v>45938</v>
      </c>
      <c r="C13054" s="420" t="s">
        <v>173</v>
      </c>
      <c r="D13054" s="500" t="s">
        <v>764</v>
      </c>
      <c r="E13054" s="501">
        <v>239223794.03999999</v>
      </c>
      <c r="F13054" s="95" t="s">
        <v>878</v>
      </c>
      <c r="G13054" s="420">
        <v>119477463</v>
      </c>
      <c r="H13054" s="420">
        <v>119477463</v>
      </c>
      <c r="I13054" s="523" t="s">
        <v>692</v>
      </c>
      <c r="J13054" s="530" t="s">
        <v>912</v>
      </c>
      <c r="N13054" s="420">
        <v>322411</v>
      </c>
      <c r="R13054" s="420">
        <v>741.66800000620333</v>
      </c>
      <c r="S13054" s="420">
        <v>741.98397089429295</v>
      </c>
      <c r="T13054" s="420">
        <v>15.55</v>
      </c>
      <c r="U13054" s="278">
        <v>358.68</v>
      </c>
      <c r="V13054" s="278">
        <v>179.34</v>
      </c>
      <c r="Z13054" s="420" t="s">
        <v>2953</v>
      </c>
    </row>
    <row r="13055" spans="1:26">
      <c r="A13055" s="499">
        <v>45937</v>
      </c>
      <c r="B13055" s="499">
        <v>45938</v>
      </c>
      <c r="C13055" s="420" t="s">
        <v>173</v>
      </c>
      <c r="D13055" s="500" t="s">
        <v>764</v>
      </c>
      <c r="E13055" s="501">
        <v>205110528.37</v>
      </c>
      <c r="F13055" s="95" t="s">
        <v>878</v>
      </c>
      <c r="G13055" s="420">
        <v>119477466</v>
      </c>
      <c r="H13055" s="420">
        <v>119477466</v>
      </c>
      <c r="I13055" s="523" t="s">
        <v>833</v>
      </c>
      <c r="J13055" s="530" t="s">
        <v>912</v>
      </c>
      <c r="N13055" s="420">
        <v>318980</v>
      </c>
      <c r="R13055" s="420">
        <v>642.74620001253993</v>
      </c>
      <c r="S13055" s="420">
        <v>643.02002749388703</v>
      </c>
      <c r="T13055" s="420">
        <v>15.55</v>
      </c>
      <c r="U13055" s="278">
        <v>307.52999999999997</v>
      </c>
      <c r="V13055" s="278">
        <v>153.77000000000001</v>
      </c>
      <c r="Z13055" s="420" t="s">
        <v>2953</v>
      </c>
    </row>
    <row r="13056" spans="1:26">
      <c r="A13056" s="499">
        <v>45937</v>
      </c>
      <c r="B13056" s="499">
        <v>45938</v>
      </c>
      <c r="C13056" s="420" t="s">
        <v>173</v>
      </c>
      <c r="D13056" s="500" t="s">
        <v>764</v>
      </c>
      <c r="E13056" s="501">
        <v>156113864.84</v>
      </c>
      <c r="F13056" s="95" t="s">
        <v>878</v>
      </c>
      <c r="G13056" s="420">
        <v>119477469</v>
      </c>
      <c r="H13056" s="420">
        <v>119477469</v>
      </c>
      <c r="I13056" s="523" t="s">
        <v>690</v>
      </c>
      <c r="J13056" s="530" t="s">
        <v>912</v>
      </c>
      <c r="N13056" s="420">
        <v>207324</v>
      </c>
      <c r="R13056" s="420">
        <v>752.67400001929343</v>
      </c>
      <c r="S13056" s="420">
        <v>752.994659759603</v>
      </c>
      <c r="T13056" s="420">
        <v>15.55</v>
      </c>
      <c r="U13056" s="278">
        <v>234.07</v>
      </c>
      <c r="V13056" s="278">
        <v>117.04</v>
      </c>
      <c r="Z13056" s="420" t="s">
        <v>2953</v>
      </c>
    </row>
    <row r="13057" spans="1:26">
      <c r="A13057" s="499">
        <v>45937</v>
      </c>
      <c r="B13057" s="499">
        <v>45938</v>
      </c>
      <c r="C13057" s="420" t="s">
        <v>173</v>
      </c>
      <c r="D13057" s="500" t="s">
        <v>764</v>
      </c>
      <c r="E13057" s="501">
        <v>139064287.63</v>
      </c>
      <c r="F13057" s="95" t="s">
        <v>878</v>
      </c>
      <c r="G13057" s="420">
        <v>119477472</v>
      </c>
      <c r="H13057" s="420">
        <v>119477472</v>
      </c>
      <c r="I13057" s="523" t="s">
        <v>598</v>
      </c>
      <c r="J13057" s="530" t="s">
        <v>912</v>
      </c>
      <c r="N13057" s="420">
        <v>130799</v>
      </c>
      <c r="R13057" s="420">
        <v>1062.7379999847094</v>
      </c>
      <c r="S13057" s="420">
        <v>1063.1907555103601</v>
      </c>
      <c r="T13057" s="420">
        <v>15.55</v>
      </c>
      <c r="U13057" s="278">
        <v>208.51</v>
      </c>
      <c r="V13057" s="278">
        <v>104.25</v>
      </c>
      <c r="Z13057" s="420" t="s">
        <v>2953</v>
      </c>
    </row>
    <row r="13058" spans="1:26">
      <c r="A13058" s="499">
        <v>45937</v>
      </c>
      <c r="B13058" s="499">
        <v>45938</v>
      </c>
      <c r="C13058" s="420" t="s">
        <v>173</v>
      </c>
      <c r="D13058" s="500" t="s">
        <v>764</v>
      </c>
      <c r="E13058" s="501">
        <v>133160674.04000001</v>
      </c>
      <c r="F13058" s="95" t="s">
        <v>878</v>
      </c>
      <c r="G13058" s="420">
        <v>119477475</v>
      </c>
      <c r="H13058" s="420">
        <v>119477475</v>
      </c>
      <c r="I13058" s="523" t="s">
        <v>687</v>
      </c>
      <c r="J13058" s="530" t="s">
        <v>912</v>
      </c>
      <c r="N13058" s="420">
        <v>159999</v>
      </c>
      <c r="R13058" s="420">
        <v>831.90500003125021</v>
      </c>
      <c r="S13058" s="420">
        <v>832.25941437133997</v>
      </c>
      <c r="T13058" s="420">
        <v>15.55</v>
      </c>
      <c r="U13058" s="278">
        <v>199.66</v>
      </c>
      <c r="V13058" s="278">
        <v>99.83</v>
      </c>
      <c r="Z13058" s="420" t="s">
        <v>2953</v>
      </c>
    </row>
    <row r="13059" spans="1:26">
      <c r="A13059" s="499">
        <v>45937</v>
      </c>
      <c r="B13059" s="499">
        <v>45938</v>
      </c>
      <c r="C13059" s="420" t="s">
        <v>173</v>
      </c>
      <c r="D13059" s="500" t="s">
        <v>764</v>
      </c>
      <c r="E13059" s="501">
        <v>128069012.83</v>
      </c>
      <c r="F13059" s="95" t="s">
        <v>878</v>
      </c>
      <c r="G13059" s="420">
        <v>119477478</v>
      </c>
      <c r="H13059" s="420">
        <v>119477478</v>
      </c>
      <c r="I13059" s="523" t="s">
        <v>833</v>
      </c>
      <c r="J13059" s="530" t="s">
        <v>912</v>
      </c>
      <c r="N13059" s="420">
        <v>199168</v>
      </c>
      <c r="R13059" s="420">
        <v>642.74619999196659</v>
      </c>
      <c r="S13059" s="420">
        <v>643.02002746425103</v>
      </c>
      <c r="T13059" s="420">
        <v>15.55</v>
      </c>
      <c r="U13059" s="278">
        <v>192.02</v>
      </c>
      <c r="V13059" s="278">
        <v>96.01</v>
      </c>
      <c r="Z13059" s="420" t="s">
        <v>2953</v>
      </c>
    </row>
    <row r="13060" spans="1:26">
      <c r="A13060" s="499">
        <v>45937</v>
      </c>
      <c r="B13060" s="499">
        <v>45938</v>
      </c>
      <c r="C13060" s="420" t="s">
        <v>173</v>
      </c>
      <c r="D13060" s="500" t="s">
        <v>764</v>
      </c>
      <c r="E13060" s="501">
        <v>98073634.349999994</v>
      </c>
      <c r="F13060" s="95" t="s">
        <v>878</v>
      </c>
      <c r="G13060" s="420">
        <v>119477481</v>
      </c>
      <c r="H13060" s="420">
        <v>119477481</v>
      </c>
      <c r="I13060" s="523" t="s">
        <v>590</v>
      </c>
      <c r="J13060" s="530" t="s">
        <v>912</v>
      </c>
      <c r="N13060" s="420">
        <v>102410</v>
      </c>
      <c r="R13060" s="420">
        <v>957.24900000000002</v>
      </c>
      <c r="S13060" s="420">
        <v>957.65681427594905</v>
      </c>
      <c r="T13060" s="420">
        <v>15.55</v>
      </c>
      <c r="U13060" s="278">
        <v>147.05000000000001</v>
      </c>
      <c r="V13060" s="278">
        <v>73.52</v>
      </c>
      <c r="Z13060" s="420" t="s">
        <v>2953</v>
      </c>
    </row>
    <row r="13061" spans="1:26">
      <c r="A13061" s="499">
        <v>45937</v>
      </c>
      <c r="B13061" s="499">
        <v>45938</v>
      </c>
      <c r="C13061" s="420" t="s">
        <v>173</v>
      </c>
      <c r="D13061" s="500" t="s">
        <v>764</v>
      </c>
      <c r="E13061" s="501">
        <v>93133705.469999999</v>
      </c>
      <c r="F13061" s="95" t="s">
        <v>878</v>
      </c>
      <c r="G13061" s="420">
        <v>119477484</v>
      </c>
      <c r="H13061" s="420">
        <v>119477484</v>
      </c>
      <c r="I13061" s="523" t="s">
        <v>658</v>
      </c>
      <c r="J13061" s="530" t="s">
        <v>912</v>
      </c>
      <c r="N13061" s="420">
        <v>89373</v>
      </c>
      <c r="R13061" s="420">
        <v>1041.6350000559453</v>
      </c>
      <c r="S13061" s="420">
        <v>1042.0787650632701</v>
      </c>
      <c r="T13061" s="420">
        <v>15.55</v>
      </c>
      <c r="U13061" s="278">
        <v>139.63999999999999</v>
      </c>
      <c r="V13061" s="278">
        <v>69.819999999999993</v>
      </c>
      <c r="Z13061" s="420" t="s">
        <v>2953</v>
      </c>
    </row>
    <row r="13062" spans="1:26">
      <c r="A13062" s="499">
        <v>45937</v>
      </c>
      <c r="B13062" s="499">
        <v>45938</v>
      </c>
      <c r="C13062" s="420" t="s">
        <v>173</v>
      </c>
      <c r="D13062" s="500" t="s">
        <v>764</v>
      </c>
      <c r="E13062" s="501">
        <v>76071740.040000007</v>
      </c>
      <c r="F13062" s="95" t="s">
        <v>878</v>
      </c>
      <c r="G13062" s="420">
        <v>119477487</v>
      </c>
      <c r="H13062" s="420">
        <v>119477487</v>
      </c>
      <c r="I13062" s="523" t="s">
        <v>715</v>
      </c>
      <c r="J13062" s="530" t="s">
        <v>912</v>
      </c>
      <c r="N13062" s="420">
        <v>124716</v>
      </c>
      <c r="R13062" s="420">
        <v>609.70000000000005</v>
      </c>
      <c r="S13062" s="420">
        <v>609.959748869431</v>
      </c>
      <c r="T13062" s="420">
        <v>15.55</v>
      </c>
      <c r="U13062" s="278">
        <v>114.06</v>
      </c>
      <c r="V13062" s="278">
        <v>57.03</v>
      </c>
      <c r="Z13062" s="420" t="s">
        <v>2953</v>
      </c>
    </row>
    <row r="13063" spans="1:26">
      <c r="A13063" s="499">
        <v>45937</v>
      </c>
      <c r="B13063" s="499">
        <v>45938</v>
      </c>
      <c r="C13063" s="420" t="s">
        <v>173</v>
      </c>
      <c r="D13063" s="500" t="s">
        <v>764</v>
      </c>
      <c r="E13063" s="501">
        <v>39021222.380000003</v>
      </c>
      <c r="F13063" s="95" t="s">
        <v>878</v>
      </c>
      <c r="G13063" s="420">
        <v>119477490</v>
      </c>
      <c r="H13063" s="420">
        <v>119477490</v>
      </c>
      <c r="I13063" s="523" t="s">
        <v>693</v>
      </c>
      <c r="J13063" s="530" t="s">
        <v>912</v>
      </c>
      <c r="N13063" s="420">
        <v>50622</v>
      </c>
      <c r="R13063" s="420">
        <v>770.50699992098305</v>
      </c>
      <c r="S13063" s="420">
        <v>770.83525700288396</v>
      </c>
      <c r="T13063" s="420">
        <v>15.55</v>
      </c>
      <c r="U13063" s="278">
        <v>58.51</v>
      </c>
      <c r="V13063" s="278">
        <v>29.25</v>
      </c>
      <c r="Z13063" s="420" t="s">
        <v>2953</v>
      </c>
    </row>
    <row r="13064" spans="1:26">
      <c r="A13064" s="499">
        <v>45937</v>
      </c>
      <c r="B13064" s="499">
        <v>45938</v>
      </c>
      <c r="C13064" s="420" t="s">
        <v>173</v>
      </c>
      <c r="D13064" s="500" t="s">
        <v>764</v>
      </c>
      <c r="E13064" s="501">
        <v>39029303.469999999</v>
      </c>
      <c r="F13064" s="95" t="s">
        <v>878</v>
      </c>
      <c r="G13064" s="420">
        <v>119477493</v>
      </c>
      <c r="H13064" s="420">
        <v>119477493</v>
      </c>
      <c r="I13064" s="523" t="s">
        <v>590</v>
      </c>
      <c r="J13064" s="530" t="s">
        <v>912</v>
      </c>
      <c r="N13064" s="420">
        <v>40755</v>
      </c>
      <c r="R13064" s="420">
        <v>957.24900012268438</v>
      </c>
      <c r="S13064" s="420">
        <v>957.65681437860405</v>
      </c>
      <c r="T13064" s="420">
        <v>15.55</v>
      </c>
      <c r="U13064" s="278">
        <v>58.52</v>
      </c>
      <c r="V13064" s="278">
        <v>29.26</v>
      </c>
      <c r="Z13064" s="420" t="s">
        <v>2953</v>
      </c>
    </row>
    <row r="13065" spans="1:26">
      <c r="A13065" s="499">
        <v>45937</v>
      </c>
      <c r="B13065" s="499">
        <v>45938</v>
      </c>
      <c r="C13065" s="420" t="s">
        <v>173</v>
      </c>
      <c r="D13065" s="500" t="s">
        <v>764</v>
      </c>
      <c r="E13065" s="501">
        <v>37027800.729999997</v>
      </c>
      <c r="F13065" s="95" t="s">
        <v>878</v>
      </c>
      <c r="G13065" s="420">
        <v>119477496</v>
      </c>
      <c r="H13065" s="420">
        <v>119477496</v>
      </c>
      <c r="I13065" s="523" t="s">
        <v>590</v>
      </c>
      <c r="J13065" s="530" t="s">
        <v>912</v>
      </c>
      <c r="N13065" s="420">
        <v>38665</v>
      </c>
      <c r="R13065" s="420">
        <v>957.24900012931596</v>
      </c>
      <c r="S13065" s="420">
        <v>957.65681443165602</v>
      </c>
      <c r="T13065" s="420">
        <v>15.55</v>
      </c>
      <c r="U13065" s="278">
        <v>55.52</v>
      </c>
      <c r="V13065" s="278">
        <v>27.76</v>
      </c>
      <c r="Z13065" s="420" t="s">
        <v>2953</v>
      </c>
    </row>
    <row r="13066" spans="1:26">
      <c r="A13066" s="499">
        <v>45937</v>
      </c>
      <c r="B13066" s="499">
        <v>45938</v>
      </c>
      <c r="C13066" s="420" t="s">
        <v>173</v>
      </c>
      <c r="D13066" s="500" t="s">
        <v>764</v>
      </c>
      <c r="E13066" s="501">
        <v>30040237.23</v>
      </c>
      <c r="F13066" s="95" t="s">
        <v>878</v>
      </c>
      <c r="G13066" s="420">
        <v>119477499</v>
      </c>
      <c r="H13066" s="420">
        <v>119477499</v>
      </c>
      <c r="I13066" s="523" t="s">
        <v>823</v>
      </c>
      <c r="J13066" s="530" t="s">
        <v>912</v>
      </c>
      <c r="N13066" s="420">
        <v>28860</v>
      </c>
      <c r="R13066" s="420">
        <v>1040.452</v>
      </c>
      <c r="S13066" s="420">
        <v>1040.89526091476</v>
      </c>
      <c r="T13066" s="420">
        <v>15.55</v>
      </c>
      <c r="U13066" s="278">
        <v>45.04</v>
      </c>
      <c r="V13066" s="278">
        <v>22.52</v>
      </c>
      <c r="Z13066" s="420" t="s">
        <v>2953</v>
      </c>
    </row>
    <row r="13067" spans="1:26">
      <c r="A13067" s="499">
        <v>45937</v>
      </c>
      <c r="B13067" s="499">
        <v>45938</v>
      </c>
      <c r="C13067" s="420" t="s">
        <v>173</v>
      </c>
      <c r="D13067" s="500" t="s">
        <v>764</v>
      </c>
      <c r="E13067" s="501">
        <v>29027529.859999999</v>
      </c>
      <c r="F13067" s="95" t="s">
        <v>878</v>
      </c>
      <c r="G13067" s="420">
        <v>119477502</v>
      </c>
      <c r="H13067" s="420">
        <v>119477502</v>
      </c>
      <c r="I13067" s="523" t="s">
        <v>656</v>
      </c>
      <c r="J13067" s="530" t="s">
        <v>912</v>
      </c>
      <c r="N13067" s="420">
        <v>29435</v>
      </c>
      <c r="R13067" s="420">
        <v>985.73700016986584</v>
      </c>
      <c r="S13067" s="420">
        <v>986.15695124851402</v>
      </c>
      <c r="T13067" s="420">
        <v>15.55</v>
      </c>
      <c r="U13067" s="278">
        <v>43.52</v>
      </c>
      <c r="V13067" s="278">
        <v>21.76</v>
      </c>
      <c r="Z13067" s="420" t="s">
        <v>2953</v>
      </c>
    </row>
    <row r="13068" spans="1:26">
      <c r="A13068" s="499">
        <v>45937</v>
      </c>
      <c r="B13068" s="499">
        <v>45938</v>
      </c>
      <c r="C13068" s="420" t="s">
        <v>173</v>
      </c>
      <c r="D13068" s="500" t="s">
        <v>764</v>
      </c>
      <c r="E13068" s="501">
        <v>28025886.489999998</v>
      </c>
      <c r="F13068" s="95" t="s">
        <v>878</v>
      </c>
      <c r="G13068" s="420">
        <v>119477505</v>
      </c>
      <c r="H13068" s="420">
        <v>119477505</v>
      </c>
      <c r="I13068" s="523" t="s">
        <v>821</v>
      </c>
      <c r="J13068" s="530" t="s">
        <v>912</v>
      </c>
      <c r="N13068" s="420">
        <v>26936</v>
      </c>
      <c r="R13068" s="420">
        <v>1040.0189998515</v>
      </c>
      <c r="S13068" s="420">
        <v>1040.46207640333</v>
      </c>
      <c r="T13068" s="420">
        <v>15.55</v>
      </c>
      <c r="U13068" s="278">
        <v>42.02</v>
      </c>
      <c r="V13068" s="278">
        <v>21.01</v>
      </c>
      <c r="Z13068" s="420" t="s">
        <v>2953</v>
      </c>
    </row>
    <row r="13069" spans="1:26">
      <c r="A13069" s="499">
        <v>45937</v>
      </c>
      <c r="B13069" s="499">
        <v>45938</v>
      </c>
      <c r="C13069" s="420" t="s">
        <v>173</v>
      </c>
      <c r="D13069" s="500" t="s">
        <v>764</v>
      </c>
      <c r="E13069" s="501">
        <v>24014616.370000001</v>
      </c>
      <c r="F13069" s="95" t="s">
        <v>878</v>
      </c>
      <c r="G13069" s="420">
        <v>119477508</v>
      </c>
      <c r="H13069" s="420">
        <v>119477508</v>
      </c>
      <c r="I13069" s="523" t="s">
        <v>588</v>
      </c>
      <c r="J13069" s="530" t="s">
        <v>912</v>
      </c>
      <c r="N13069" s="420">
        <v>26160</v>
      </c>
      <c r="R13069" s="420">
        <v>917.59900000000005</v>
      </c>
      <c r="S13069" s="420">
        <v>917.98992240061204</v>
      </c>
      <c r="T13069" s="420">
        <v>15.55</v>
      </c>
      <c r="U13069" s="278">
        <v>39.32</v>
      </c>
      <c r="V13069" s="278">
        <v>18</v>
      </c>
      <c r="Z13069" s="420" t="s">
        <v>2953</v>
      </c>
    </row>
    <row r="13070" spans="1:26">
      <c r="A13070" s="499">
        <v>45937</v>
      </c>
      <c r="B13070" s="499">
        <v>45938</v>
      </c>
      <c r="C13070" s="420" t="s">
        <v>173</v>
      </c>
      <c r="D13070" s="500" t="s">
        <v>764</v>
      </c>
      <c r="E13070" s="501">
        <v>20010783.25</v>
      </c>
      <c r="F13070" s="95" t="s">
        <v>878</v>
      </c>
      <c r="G13070" s="420">
        <v>119477511</v>
      </c>
      <c r="H13070" s="420">
        <v>119477511</v>
      </c>
      <c r="I13070" s="523" t="s">
        <v>833</v>
      </c>
      <c r="J13070" s="530" t="s">
        <v>912</v>
      </c>
      <c r="N13070" s="420">
        <v>31120</v>
      </c>
      <c r="R13070" s="420">
        <v>642.74619987146525</v>
      </c>
      <c r="S13070" s="420">
        <v>643.02002731362495</v>
      </c>
      <c r="T13070" s="420">
        <v>15.55</v>
      </c>
      <c r="U13070" s="278">
        <v>39.32</v>
      </c>
      <c r="V13070" s="278">
        <v>15</v>
      </c>
      <c r="Z13070" s="420" t="s">
        <v>2953</v>
      </c>
    </row>
    <row r="13071" spans="1:26">
      <c r="A13071" s="499">
        <v>45937</v>
      </c>
      <c r="B13071" s="499">
        <v>45938</v>
      </c>
      <c r="C13071" s="420" t="s">
        <v>173</v>
      </c>
      <c r="D13071" s="500" t="s">
        <v>764</v>
      </c>
      <c r="E13071" s="501">
        <v>20018878.960000001</v>
      </c>
      <c r="F13071" s="95" t="s">
        <v>878</v>
      </c>
      <c r="G13071" s="420">
        <v>119477514</v>
      </c>
      <c r="H13071" s="420">
        <v>119477514</v>
      </c>
      <c r="I13071" s="523" t="s">
        <v>715</v>
      </c>
      <c r="J13071" s="530" t="s">
        <v>912</v>
      </c>
      <c r="N13071" s="420">
        <v>32820</v>
      </c>
      <c r="R13071" s="420">
        <v>609.70000000000005</v>
      </c>
      <c r="S13071" s="420">
        <v>609.95974893357698</v>
      </c>
      <c r="T13071" s="420">
        <v>15.55</v>
      </c>
      <c r="U13071" s="278">
        <v>39.32</v>
      </c>
      <c r="V13071" s="278">
        <v>15.01</v>
      </c>
      <c r="Z13071" s="420" t="s">
        <v>2953</v>
      </c>
    </row>
    <row r="13072" spans="1:26">
      <c r="A13072" s="499">
        <v>45937</v>
      </c>
      <c r="B13072" s="499">
        <v>45938</v>
      </c>
      <c r="C13072" s="420" t="s">
        <v>173</v>
      </c>
      <c r="D13072" s="500" t="s">
        <v>764</v>
      </c>
      <c r="E13072" s="501">
        <v>19012185.210000001</v>
      </c>
      <c r="F13072" s="95" t="s">
        <v>878</v>
      </c>
      <c r="G13072" s="420">
        <v>119477517</v>
      </c>
      <c r="H13072" s="420">
        <v>119477517</v>
      </c>
      <c r="I13072" s="523" t="s">
        <v>550</v>
      </c>
      <c r="J13072" s="530" t="s">
        <v>912</v>
      </c>
      <c r="N13072" s="420">
        <v>34808</v>
      </c>
      <c r="R13072" s="420">
        <v>545.96899994254193</v>
      </c>
      <c r="S13072" s="420">
        <v>546.20159762123603</v>
      </c>
      <c r="T13072" s="420">
        <v>15.55</v>
      </c>
      <c r="U13072" s="278">
        <v>39.32</v>
      </c>
      <c r="V13072" s="278">
        <v>14.25</v>
      </c>
      <c r="Z13072" s="420" t="s">
        <v>2953</v>
      </c>
    </row>
    <row r="13073" spans="1:26">
      <c r="A13073" s="499">
        <v>45937</v>
      </c>
      <c r="B13073" s="499">
        <v>45938</v>
      </c>
      <c r="C13073" s="420" t="s">
        <v>173</v>
      </c>
      <c r="D13073" s="500" t="s">
        <v>764</v>
      </c>
      <c r="E13073" s="501">
        <v>15014239.58</v>
      </c>
      <c r="F13073" s="95" t="s">
        <v>878</v>
      </c>
      <c r="G13073" s="420">
        <v>119477520</v>
      </c>
      <c r="H13073" s="420">
        <v>119477520</v>
      </c>
      <c r="I13073" s="523" t="s">
        <v>656</v>
      </c>
      <c r="J13073" s="530" t="s">
        <v>912</v>
      </c>
      <c r="N13073" s="420">
        <v>15225</v>
      </c>
      <c r="R13073" s="420">
        <v>985.73700032840725</v>
      </c>
      <c r="S13073" s="420">
        <v>986.15695106732403</v>
      </c>
      <c r="T13073" s="420">
        <v>15.55</v>
      </c>
      <c r="U13073" s="278">
        <v>39.32</v>
      </c>
      <c r="V13073" s="278">
        <v>11.26</v>
      </c>
      <c r="Z13073" s="420" t="s">
        <v>2953</v>
      </c>
    </row>
    <row r="13074" spans="1:26">
      <c r="A13074" s="499">
        <v>45937</v>
      </c>
      <c r="B13074" s="499">
        <v>45938</v>
      </c>
      <c r="C13074" s="420" t="s">
        <v>173</v>
      </c>
      <c r="D13074" s="500" t="s">
        <v>764</v>
      </c>
      <c r="E13074" s="501">
        <v>9012939.2400000002</v>
      </c>
      <c r="F13074" s="95" t="s">
        <v>878</v>
      </c>
      <c r="G13074" s="420">
        <v>119477523</v>
      </c>
      <c r="H13074" s="420">
        <v>119477523</v>
      </c>
      <c r="I13074" s="523" t="s">
        <v>658</v>
      </c>
      <c r="J13074" s="530" t="s">
        <v>912</v>
      </c>
      <c r="N13074" s="420">
        <v>8649</v>
      </c>
      <c r="R13074" s="420">
        <v>1041.6350005781014</v>
      </c>
      <c r="S13074" s="420">
        <v>1042.07876517516</v>
      </c>
      <c r="T13074" s="420">
        <v>15.55</v>
      </c>
      <c r="U13074" s="278">
        <v>39.32</v>
      </c>
      <c r="V13074" s="278">
        <v>6.76</v>
      </c>
      <c r="Z13074" s="420" t="s">
        <v>2953</v>
      </c>
    </row>
    <row r="13075" spans="1:26">
      <c r="A13075" s="499">
        <v>45937</v>
      </c>
      <c r="B13075" s="499">
        <v>45938</v>
      </c>
      <c r="C13075" s="420" t="s">
        <v>173</v>
      </c>
      <c r="D13075" s="500" t="s">
        <v>764</v>
      </c>
      <c r="E13075" s="501">
        <v>4004600.18</v>
      </c>
      <c r="F13075" s="95" t="s">
        <v>878</v>
      </c>
      <c r="G13075" s="420">
        <v>119477526</v>
      </c>
      <c r="H13075" s="420">
        <v>119477526</v>
      </c>
      <c r="I13075" s="523" t="s">
        <v>673</v>
      </c>
      <c r="J13075" s="530" t="s">
        <v>912</v>
      </c>
      <c r="N13075" s="420">
        <v>4340</v>
      </c>
      <c r="R13075" s="420">
        <v>922.32600000000002</v>
      </c>
      <c r="S13075" s="420">
        <v>922.71893548387095</v>
      </c>
      <c r="T13075" s="420">
        <v>15.55</v>
      </c>
      <c r="U13075" s="278">
        <v>39.32</v>
      </c>
      <c r="V13075" s="278">
        <v>3</v>
      </c>
      <c r="Z13075" s="420" t="s">
        <v>2953</v>
      </c>
    </row>
    <row r="13076" spans="1:26">
      <c r="A13076" s="499">
        <v>45937</v>
      </c>
      <c r="B13076" s="499">
        <v>45938</v>
      </c>
      <c r="C13076" s="420" t="s">
        <v>173</v>
      </c>
      <c r="D13076" s="500" t="s">
        <v>764</v>
      </c>
      <c r="E13076" s="501">
        <v>1000462.5</v>
      </c>
      <c r="F13076" s="95" t="s">
        <v>878</v>
      </c>
      <c r="G13076" s="420">
        <v>119477544</v>
      </c>
      <c r="H13076" s="420">
        <v>119477544</v>
      </c>
      <c r="I13076" s="523" t="s">
        <v>598</v>
      </c>
      <c r="J13076" s="530" t="s">
        <v>912</v>
      </c>
      <c r="N13076" s="420">
        <v>941</v>
      </c>
      <c r="R13076" s="420">
        <v>1062.7380021253985</v>
      </c>
      <c r="S13076" s="420">
        <v>1063.19075451647</v>
      </c>
      <c r="T13076" s="420">
        <v>15.55</v>
      </c>
      <c r="U13076" s="278">
        <v>39.32</v>
      </c>
      <c r="V13076" s="278">
        <v>0.75</v>
      </c>
      <c r="Z13076" s="420" t="s">
        <v>2953</v>
      </c>
    </row>
    <row r="13077" spans="1:26">
      <c r="A13077" s="499">
        <v>45937</v>
      </c>
      <c r="B13077" s="499">
        <v>45938</v>
      </c>
      <c r="C13077" s="420" t="s">
        <v>173</v>
      </c>
      <c r="D13077" s="500" t="s">
        <v>764</v>
      </c>
      <c r="E13077" s="501">
        <v>4002369.99</v>
      </c>
      <c r="F13077" s="95" t="s">
        <v>878</v>
      </c>
      <c r="G13077" s="420">
        <v>119477547</v>
      </c>
      <c r="H13077" s="420">
        <v>119477547</v>
      </c>
      <c r="I13077" s="523" t="s">
        <v>604</v>
      </c>
      <c r="J13077" s="530" t="s">
        <v>912</v>
      </c>
      <c r="N13077" s="420">
        <v>3840</v>
      </c>
      <c r="R13077" s="420">
        <v>1041.8399999999999</v>
      </c>
      <c r="S13077" s="420">
        <v>1042.2838515625001</v>
      </c>
      <c r="T13077" s="420">
        <v>15.55</v>
      </c>
      <c r="U13077" s="278">
        <v>39.32</v>
      </c>
      <c r="V13077" s="278">
        <v>3</v>
      </c>
      <c r="Z13077" s="420" t="s">
        <v>2953</v>
      </c>
    </row>
    <row r="13078" spans="1:26">
      <c r="A13078" s="499">
        <v>45937</v>
      </c>
      <c r="B13078" s="499">
        <v>45938</v>
      </c>
      <c r="C13078" s="420" t="s">
        <v>173</v>
      </c>
      <c r="D13078" s="500" t="s">
        <v>764</v>
      </c>
      <c r="E13078" s="501">
        <v>6005049.2000000002</v>
      </c>
      <c r="F13078" s="95" t="s">
        <v>878</v>
      </c>
      <c r="G13078" s="420">
        <v>119477550</v>
      </c>
      <c r="H13078" s="420">
        <v>119477550</v>
      </c>
      <c r="I13078" s="523" t="s">
        <v>600</v>
      </c>
      <c r="J13078" s="530" t="s">
        <v>912</v>
      </c>
      <c r="N13078" s="420">
        <v>6336</v>
      </c>
      <c r="R13078" s="420">
        <v>947.36300031565656</v>
      </c>
      <c r="S13078" s="420">
        <v>947.76660353535306</v>
      </c>
      <c r="T13078" s="420">
        <v>15.55</v>
      </c>
      <c r="U13078" s="278">
        <v>39.32</v>
      </c>
      <c r="V13078" s="278">
        <v>4.5</v>
      </c>
      <c r="Z13078" s="420" t="s">
        <v>2953</v>
      </c>
    </row>
    <row r="13079" spans="1:26">
      <c r="A13079" s="499">
        <v>45937</v>
      </c>
      <c r="B13079" s="499">
        <v>45938</v>
      </c>
      <c r="C13079" s="420" t="s">
        <v>173</v>
      </c>
      <c r="D13079" s="500" t="s">
        <v>764</v>
      </c>
      <c r="E13079" s="501">
        <v>6003383.4699999997</v>
      </c>
      <c r="F13079" s="95" t="s">
        <v>878</v>
      </c>
      <c r="G13079" s="420">
        <v>119477553</v>
      </c>
      <c r="H13079" s="420">
        <v>119477553</v>
      </c>
      <c r="I13079" s="523" t="s">
        <v>696</v>
      </c>
      <c r="J13079" s="530" t="s">
        <v>912</v>
      </c>
      <c r="N13079" s="420">
        <v>7950</v>
      </c>
      <c r="R13079" s="420">
        <v>754.82100000000003</v>
      </c>
      <c r="S13079" s="420">
        <v>755.14257484276698</v>
      </c>
      <c r="T13079" s="420">
        <v>15.55</v>
      </c>
      <c r="U13079" s="278">
        <v>39.32</v>
      </c>
      <c r="V13079" s="278">
        <v>4.5</v>
      </c>
      <c r="Z13079" s="420" t="s">
        <v>2953</v>
      </c>
    </row>
    <row r="13080" spans="1:26">
      <c r="A13080" s="499">
        <v>45937</v>
      </c>
      <c r="B13080" s="499">
        <v>45938</v>
      </c>
      <c r="C13080" s="420" t="s">
        <v>173</v>
      </c>
      <c r="D13080" s="500" t="s">
        <v>764</v>
      </c>
      <c r="E13080" s="501">
        <v>7003383.3600000003</v>
      </c>
      <c r="F13080" s="95" t="s">
        <v>878</v>
      </c>
      <c r="G13080" s="420">
        <v>119477556</v>
      </c>
      <c r="H13080" s="420">
        <v>119477556</v>
      </c>
      <c r="I13080" s="523" t="s">
        <v>674</v>
      </c>
      <c r="J13080" s="530" t="s">
        <v>912</v>
      </c>
      <c r="N13080" s="420">
        <v>7714</v>
      </c>
      <c r="R13080" s="420">
        <v>907.49299974073119</v>
      </c>
      <c r="S13080" s="420">
        <v>907.87961628208495</v>
      </c>
      <c r="T13080" s="420">
        <v>15.55</v>
      </c>
      <c r="U13080" s="278">
        <v>39.32</v>
      </c>
      <c r="V13080" s="278">
        <v>5.25</v>
      </c>
      <c r="Z13080" s="420" t="s">
        <v>2953</v>
      </c>
    </row>
    <row r="13081" spans="1:26">
      <c r="A13081" s="499">
        <v>45937</v>
      </c>
      <c r="B13081" s="499">
        <v>45938</v>
      </c>
      <c r="C13081" s="420" t="s">
        <v>173</v>
      </c>
      <c r="D13081" s="500" t="s">
        <v>764</v>
      </c>
      <c r="E13081" s="501">
        <v>11015505.050000001</v>
      </c>
      <c r="F13081" s="95" t="s">
        <v>878</v>
      </c>
      <c r="G13081" s="420">
        <v>119477559</v>
      </c>
      <c r="H13081" s="420">
        <v>119477559</v>
      </c>
      <c r="I13081" s="523" t="s">
        <v>816</v>
      </c>
      <c r="J13081" s="530" t="s">
        <v>912</v>
      </c>
      <c r="N13081" s="420">
        <v>10351</v>
      </c>
      <c r="R13081" s="420">
        <v>1063.743999613564</v>
      </c>
      <c r="S13081" s="420">
        <v>1064.1971838469699</v>
      </c>
      <c r="T13081" s="420">
        <v>15.55</v>
      </c>
      <c r="U13081" s="278">
        <v>39.32</v>
      </c>
      <c r="V13081" s="278">
        <v>8.26</v>
      </c>
      <c r="Z13081" s="420" t="s">
        <v>2953</v>
      </c>
    </row>
    <row r="13082" spans="1:26">
      <c r="A13082" s="499">
        <v>45937</v>
      </c>
      <c r="B13082" s="499">
        <v>45938</v>
      </c>
      <c r="C13082" s="420" t="s">
        <v>173</v>
      </c>
      <c r="D13082" s="500" t="s">
        <v>764</v>
      </c>
      <c r="E13082" s="501">
        <v>12011720.82</v>
      </c>
      <c r="F13082" s="95" t="s">
        <v>878</v>
      </c>
      <c r="G13082" s="420">
        <v>119477562</v>
      </c>
      <c r="H13082" s="420">
        <v>119477562</v>
      </c>
      <c r="I13082" s="523" t="s">
        <v>695</v>
      </c>
      <c r="J13082" s="530" t="s">
        <v>912</v>
      </c>
      <c r="N13082" s="420">
        <v>16692</v>
      </c>
      <c r="R13082" s="420">
        <v>719.30300023963571</v>
      </c>
      <c r="S13082" s="420">
        <v>719.60944284687298</v>
      </c>
      <c r="T13082" s="420">
        <v>15.55</v>
      </c>
      <c r="U13082" s="278">
        <v>39.32</v>
      </c>
      <c r="V13082" s="278">
        <v>9</v>
      </c>
      <c r="Z13082" s="420" t="s">
        <v>2953</v>
      </c>
    </row>
    <row r="13083" spans="1:26">
      <c r="A13083" s="499">
        <v>45937</v>
      </c>
      <c r="B13083" s="499">
        <v>45938</v>
      </c>
      <c r="C13083" s="420" t="s">
        <v>173</v>
      </c>
      <c r="D13083" s="500" t="s">
        <v>764</v>
      </c>
      <c r="E13083" s="501">
        <v>200084938.16999999</v>
      </c>
      <c r="F13083" s="95" t="s">
        <v>878</v>
      </c>
      <c r="G13083" s="420">
        <v>119477592</v>
      </c>
      <c r="H13083" s="420">
        <v>119477592</v>
      </c>
      <c r="I13083" s="523" t="s">
        <v>1048</v>
      </c>
      <c r="J13083" s="530" t="s">
        <v>912</v>
      </c>
      <c r="N13083" s="420">
        <v>196251600</v>
      </c>
      <c r="R13083" s="420">
        <v>1.0191000000000001</v>
      </c>
      <c r="S13083" s="420">
        <v>1.01953277410222</v>
      </c>
      <c r="T13083" s="420">
        <v>15.5002</v>
      </c>
      <c r="U13083" s="278">
        <v>300</v>
      </c>
      <c r="V13083" s="278">
        <v>150</v>
      </c>
      <c r="Z13083" s="420" t="s">
        <v>2953</v>
      </c>
    </row>
    <row r="13084" spans="1:26">
      <c r="A13084" s="499">
        <v>45937</v>
      </c>
      <c r="B13084" s="499">
        <v>45938</v>
      </c>
      <c r="C13084" s="420" t="s">
        <v>173</v>
      </c>
      <c r="D13084" s="500" t="s">
        <v>764</v>
      </c>
      <c r="E13084" s="501">
        <v>2202096597.7199998</v>
      </c>
      <c r="F13084" s="95" t="s">
        <v>878</v>
      </c>
      <c r="G13084" s="420">
        <v>119477595</v>
      </c>
      <c r="H13084" s="420">
        <v>119477595</v>
      </c>
      <c r="I13084" s="523" t="s">
        <v>816</v>
      </c>
      <c r="J13084" s="530" t="s">
        <v>912</v>
      </c>
      <c r="N13084" s="420">
        <v>2069259</v>
      </c>
      <c r="R13084" s="420">
        <v>1063.744000001933</v>
      </c>
      <c r="S13084" s="420">
        <v>1064.19573273331</v>
      </c>
      <c r="T13084" s="420">
        <v>15.5002</v>
      </c>
      <c r="U13084" s="278">
        <v>3301.74</v>
      </c>
      <c r="V13084" s="278">
        <v>1650.87</v>
      </c>
      <c r="Z13084" s="420" t="s">
        <v>2953</v>
      </c>
    </row>
    <row r="13085" spans="1:26">
      <c r="A13085" s="499">
        <v>45937</v>
      </c>
      <c r="B13085" s="499">
        <v>45938</v>
      </c>
      <c r="C13085" s="420" t="s">
        <v>173</v>
      </c>
      <c r="D13085" s="500" t="s">
        <v>764</v>
      </c>
      <c r="E13085" s="501">
        <v>296146242.86000001</v>
      </c>
      <c r="F13085" s="95" t="s">
        <v>878</v>
      </c>
      <c r="G13085" s="420">
        <v>119477598</v>
      </c>
      <c r="H13085" s="420">
        <v>119477598</v>
      </c>
      <c r="I13085" s="523" t="s">
        <v>3046</v>
      </c>
      <c r="J13085" s="530" t="s">
        <v>912</v>
      </c>
      <c r="N13085" s="420">
        <v>2969768</v>
      </c>
      <c r="R13085" s="420">
        <v>99.677999998653092</v>
      </c>
      <c r="S13085" s="420">
        <v>99.720329284981204</v>
      </c>
      <c r="T13085" s="420">
        <v>15.5001</v>
      </c>
      <c r="U13085" s="278">
        <v>444.03</v>
      </c>
      <c r="V13085" s="278">
        <v>222.02</v>
      </c>
      <c r="Z13085" s="420" t="s">
        <v>2953</v>
      </c>
    </row>
    <row r="13086" spans="1:26">
      <c r="A13086" s="499">
        <v>45937</v>
      </c>
      <c r="B13086" s="499">
        <v>45938</v>
      </c>
      <c r="C13086" s="420" t="s">
        <v>173</v>
      </c>
      <c r="D13086" s="500" t="s">
        <v>764</v>
      </c>
      <c r="E13086" s="501">
        <v>28013862.600000001</v>
      </c>
      <c r="F13086" s="95" t="s">
        <v>878</v>
      </c>
      <c r="G13086" s="420">
        <v>119477639</v>
      </c>
      <c r="H13086" s="420">
        <v>119477639</v>
      </c>
      <c r="I13086" s="523" t="s">
        <v>654</v>
      </c>
      <c r="J13086" s="530" t="s">
        <v>912</v>
      </c>
      <c r="N13086" s="420">
        <v>27440</v>
      </c>
      <c r="R13086" s="420">
        <v>1020.48</v>
      </c>
      <c r="S13086" s="420">
        <v>1020.91336005831</v>
      </c>
      <c r="T13086" s="420">
        <v>15.5002</v>
      </c>
      <c r="U13086" s="278">
        <v>42</v>
      </c>
      <c r="V13086" s="278">
        <v>21</v>
      </c>
      <c r="Z13086" s="420" t="s">
        <v>2953</v>
      </c>
    </row>
    <row r="13087" spans="1:26">
      <c r="A13087" s="499">
        <v>45937</v>
      </c>
      <c r="B13087" s="499">
        <v>45937</v>
      </c>
      <c r="C13087" s="420" t="s">
        <v>173</v>
      </c>
      <c r="D13087" s="500" t="s">
        <v>763</v>
      </c>
      <c r="E13087" s="501">
        <v>-2099422527.8599999</v>
      </c>
      <c r="F13087" s="95" t="s">
        <v>878</v>
      </c>
      <c r="G13087" s="420">
        <v>119476105</v>
      </c>
      <c r="I13087" s="523" t="s">
        <v>637</v>
      </c>
      <c r="J13087" s="530" t="s">
        <v>906</v>
      </c>
      <c r="N13087" s="420">
        <v>3373093</v>
      </c>
      <c r="R13087" s="420">
        <v>622.40279999999996</v>
      </c>
      <c r="S13087" s="420">
        <v>622.66796064620803</v>
      </c>
      <c r="T13087" s="420">
        <v>15.55</v>
      </c>
      <c r="U13087" s="278">
        <v>3149.13</v>
      </c>
      <c r="V13087" s="278">
        <v>1574.57</v>
      </c>
      <c r="Z13087" s="420" t="s">
        <v>2953</v>
      </c>
    </row>
    <row r="13088" spans="1:26">
      <c r="A13088" s="499">
        <v>45937</v>
      </c>
      <c r="B13088" s="499">
        <v>45937</v>
      </c>
      <c r="C13088" s="420" t="s">
        <v>173</v>
      </c>
      <c r="D13088" s="500" t="s">
        <v>763</v>
      </c>
      <c r="E13088" s="501">
        <v>-12002415.6</v>
      </c>
      <c r="F13088" s="95" t="s">
        <v>878</v>
      </c>
      <c r="G13088" s="420">
        <v>119476292</v>
      </c>
      <c r="I13088" s="523" t="s">
        <v>637</v>
      </c>
      <c r="J13088" s="530" t="s">
        <v>906</v>
      </c>
      <c r="N13088" s="420">
        <v>19284</v>
      </c>
      <c r="R13088" s="420">
        <v>622.40279999999996</v>
      </c>
      <c r="S13088" s="420">
        <v>622.66796100394095</v>
      </c>
      <c r="T13088" s="420">
        <v>15.55</v>
      </c>
      <c r="U13088" s="278">
        <v>39.32</v>
      </c>
      <c r="V13088" s="278">
        <v>39.32</v>
      </c>
      <c r="Z13088" s="420" t="s">
        <v>2953</v>
      </c>
    </row>
    <row r="13089" spans="1:26">
      <c r="A13089" s="499">
        <v>45937</v>
      </c>
      <c r="B13089" s="499">
        <v>45938</v>
      </c>
      <c r="C13089" s="420" t="s">
        <v>173</v>
      </c>
      <c r="D13089" s="500" t="s">
        <v>763</v>
      </c>
      <c r="E13089" s="501">
        <v>2100316939.3800001</v>
      </c>
      <c r="F13089" s="95" t="s">
        <v>878</v>
      </c>
      <c r="G13089" s="420">
        <v>119476105</v>
      </c>
      <c r="H13089" s="420">
        <v>119476105</v>
      </c>
      <c r="I13089" s="523" t="s">
        <v>637</v>
      </c>
      <c r="J13089" s="530" t="s">
        <v>912</v>
      </c>
      <c r="N13089" s="420">
        <v>3373093</v>
      </c>
      <c r="R13089" s="420">
        <v>622.40279999999996</v>
      </c>
      <c r="S13089" s="420">
        <v>622.66796064620803</v>
      </c>
      <c r="T13089" s="420">
        <v>15.55</v>
      </c>
      <c r="U13089" s="278">
        <v>3149.13</v>
      </c>
      <c r="V13089" s="278">
        <v>1574.57</v>
      </c>
      <c r="Z13089" s="420" t="s">
        <v>2953</v>
      </c>
    </row>
    <row r="13090" spans="1:26">
      <c r="A13090" s="499">
        <v>45937</v>
      </c>
      <c r="B13090" s="499">
        <v>45938</v>
      </c>
      <c r="C13090" s="420" t="s">
        <v>173</v>
      </c>
      <c r="D13090" s="500" t="s">
        <v>763</v>
      </c>
      <c r="E13090" s="501">
        <v>12007528.960000001</v>
      </c>
      <c r="F13090" s="95" t="s">
        <v>878</v>
      </c>
      <c r="G13090" s="420">
        <v>119476292</v>
      </c>
      <c r="H13090" s="420">
        <v>119476292</v>
      </c>
      <c r="I13090" s="523" t="s">
        <v>637</v>
      </c>
      <c r="J13090" s="530" t="s">
        <v>912</v>
      </c>
      <c r="N13090" s="420">
        <v>19284</v>
      </c>
      <c r="R13090" s="420">
        <v>622.40279999999996</v>
      </c>
      <c r="S13090" s="420">
        <v>622.66796100394095</v>
      </c>
      <c r="T13090" s="420">
        <v>15.55</v>
      </c>
      <c r="U13090" s="278">
        <v>39.32</v>
      </c>
      <c r="V13090" s="278">
        <v>39.32</v>
      </c>
      <c r="Z13090" s="420" t="s">
        <v>2953</v>
      </c>
    </row>
    <row r="13091" spans="1:26">
      <c r="A13091" s="499">
        <v>45938</v>
      </c>
      <c r="B13091" s="499">
        <v>45938</v>
      </c>
      <c r="C13091" s="420" t="s">
        <v>173</v>
      </c>
      <c r="D13091" s="500" t="s">
        <v>761</v>
      </c>
      <c r="E13091" s="501">
        <v>-1415581093.8099999</v>
      </c>
      <c r="F13091" s="95" t="s">
        <v>878</v>
      </c>
      <c r="G13091" s="420">
        <v>119500221</v>
      </c>
      <c r="I13091" s="523" t="s">
        <v>699</v>
      </c>
      <c r="J13091" s="530" t="s">
        <v>906</v>
      </c>
      <c r="N13091" s="420">
        <v>1538105</v>
      </c>
      <c r="R13091" s="420">
        <v>920.34100000325077</v>
      </c>
      <c r="S13091" s="420">
        <v>920.73435122439605</v>
      </c>
      <c r="T13091" s="420">
        <v>15.6</v>
      </c>
      <c r="U13091" s="278">
        <v>2123.37</v>
      </c>
      <c r="V13091" s="278">
        <v>1061.69</v>
      </c>
      <c r="Z13091" s="420" t="s">
        <v>2953</v>
      </c>
    </row>
    <row r="13092" spans="1:26">
      <c r="A13092" s="499">
        <v>45938</v>
      </c>
      <c r="B13092" s="499">
        <v>45938</v>
      </c>
      <c r="C13092" s="420" t="s">
        <v>173</v>
      </c>
      <c r="D13092" s="500" t="s">
        <v>761</v>
      </c>
      <c r="E13092" s="501">
        <v>-9003696</v>
      </c>
      <c r="F13092" s="95" t="s">
        <v>878</v>
      </c>
      <c r="G13092" s="420">
        <v>119500259</v>
      </c>
      <c r="I13092" s="523" t="s">
        <v>699</v>
      </c>
      <c r="J13092" s="530" t="s">
        <v>906</v>
      </c>
      <c r="N13092" s="420">
        <v>9783</v>
      </c>
      <c r="R13092" s="420">
        <v>920.34099969334557</v>
      </c>
      <c r="S13092" s="420">
        <v>920.73435142594303</v>
      </c>
      <c r="T13092" s="420">
        <v>15.6</v>
      </c>
      <c r="U13092" s="278">
        <v>39.32</v>
      </c>
      <c r="V13092" s="278">
        <v>6.75</v>
      </c>
      <c r="Z13092" s="420" t="s">
        <v>2953</v>
      </c>
    </row>
    <row r="13093" spans="1:26">
      <c r="A13093" s="499">
        <v>45938</v>
      </c>
      <c r="B13093" s="499">
        <v>45939</v>
      </c>
      <c r="C13093" s="420" t="s">
        <v>173</v>
      </c>
      <c r="D13093" s="500" t="s">
        <v>761</v>
      </c>
      <c r="E13093" s="501">
        <v>1416186109.29</v>
      </c>
      <c r="F13093" s="95" t="s">
        <v>878</v>
      </c>
      <c r="G13093" s="420">
        <v>119500221</v>
      </c>
      <c r="H13093" s="420">
        <v>119500221</v>
      </c>
      <c r="I13093" s="523" t="s">
        <v>699</v>
      </c>
      <c r="J13093" s="530" t="s">
        <v>912</v>
      </c>
      <c r="N13093" s="420">
        <v>1538105</v>
      </c>
      <c r="R13093" s="420">
        <v>920.34100000325077</v>
      </c>
      <c r="S13093" s="420">
        <v>920.73435122439605</v>
      </c>
      <c r="T13093" s="420">
        <v>15.6</v>
      </c>
      <c r="U13093" s="278">
        <v>2123.37</v>
      </c>
      <c r="V13093" s="278">
        <v>1061.69</v>
      </c>
      <c r="Z13093" s="420" t="s">
        <v>2953</v>
      </c>
    </row>
    <row r="13094" spans="1:26">
      <c r="A13094" s="499">
        <v>45938</v>
      </c>
      <c r="B13094" s="499">
        <v>45939</v>
      </c>
      <c r="C13094" s="420" t="s">
        <v>173</v>
      </c>
      <c r="D13094" s="500" t="s">
        <v>761</v>
      </c>
      <c r="E13094" s="501">
        <v>9007544.1600000001</v>
      </c>
      <c r="F13094" s="95" t="s">
        <v>878</v>
      </c>
      <c r="G13094" s="420">
        <v>119500259</v>
      </c>
      <c r="H13094" s="420">
        <v>119500259</v>
      </c>
      <c r="I13094" s="523" t="s">
        <v>699</v>
      </c>
      <c r="J13094" s="530" t="s">
        <v>912</v>
      </c>
      <c r="N13094" s="420">
        <v>9783</v>
      </c>
      <c r="R13094" s="420">
        <v>920.34099969334557</v>
      </c>
      <c r="S13094" s="420">
        <v>920.73435142594303</v>
      </c>
      <c r="T13094" s="420">
        <v>15.6</v>
      </c>
      <c r="U13094" s="278">
        <v>39.32</v>
      </c>
      <c r="V13094" s="278">
        <v>6.75</v>
      </c>
      <c r="Z13094" s="420" t="s">
        <v>2953</v>
      </c>
    </row>
    <row r="13095" spans="1:26">
      <c r="A13095" s="499">
        <v>45938</v>
      </c>
      <c r="B13095" s="499">
        <v>45938</v>
      </c>
      <c r="C13095" s="420" t="s">
        <v>173</v>
      </c>
      <c r="D13095" s="500" t="s">
        <v>759</v>
      </c>
      <c r="E13095" s="501">
        <v>-1767582823.4200001</v>
      </c>
      <c r="F13095" s="95" t="s">
        <v>878</v>
      </c>
      <c r="G13095" s="420">
        <v>119504566</v>
      </c>
      <c r="I13095" s="523" t="s">
        <v>829</v>
      </c>
      <c r="J13095" s="530" t="s">
        <v>906</v>
      </c>
      <c r="N13095" s="420">
        <v>1760702</v>
      </c>
      <c r="R13095" s="420">
        <v>1003.9080000022718</v>
      </c>
      <c r="S13095" s="420">
        <v>1004.3343170962499</v>
      </c>
      <c r="T13095" s="420">
        <v>15.5</v>
      </c>
      <c r="U13095" s="278">
        <v>2651.37</v>
      </c>
      <c r="V13095" s="278">
        <v>1325.69</v>
      </c>
      <c r="Z13095" s="420" t="s">
        <v>2953</v>
      </c>
    </row>
    <row r="13096" spans="1:26">
      <c r="A13096" s="499">
        <v>45938</v>
      </c>
      <c r="B13096" s="499">
        <v>45938</v>
      </c>
      <c r="C13096" s="420" t="s">
        <v>173</v>
      </c>
      <c r="D13096" s="500" t="s">
        <v>759</v>
      </c>
      <c r="E13096" s="501">
        <v>-223029555.53</v>
      </c>
      <c r="F13096" s="95" t="s">
        <v>878</v>
      </c>
      <c r="G13096" s="420">
        <v>119504799</v>
      </c>
      <c r="I13096" s="523" t="s">
        <v>656</v>
      </c>
      <c r="J13096" s="530" t="s">
        <v>906</v>
      </c>
      <c r="N13096" s="420">
        <v>226122</v>
      </c>
      <c r="R13096" s="420">
        <v>986.32400000884479</v>
      </c>
      <c r="S13096" s="420">
        <v>986.74284992172397</v>
      </c>
      <c r="T13096" s="420">
        <v>15.5</v>
      </c>
      <c r="U13096" s="278">
        <v>334.54</v>
      </c>
      <c r="V13096" s="278">
        <v>167.27</v>
      </c>
      <c r="Z13096" s="420" t="s">
        <v>2953</v>
      </c>
    </row>
    <row r="13097" spans="1:26">
      <c r="A13097" s="499">
        <v>45938</v>
      </c>
      <c r="B13097" s="499">
        <v>45938</v>
      </c>
      <c r="C13097" s="420" t="s">
        <v>173</v>
      </c>
      <c r="D13097" s="500" t="s">
        <v>759</v>
      </c>
      <c r="E13097" s="501">
        <v>-11001020.84</v>
      </c>
      <c r="F13097" s="95" t="s">
        <v>878</v>
      </c>
      <c r="G13097" s="420">
        <v>119506019</v>
      </c>
      <c r="I13097" s="523" t="s">
        <v>712</v>
      </c>
      <c r="J13097" s="530" t="s">
        <v>906</v>
      </c>
      <c r="N13097" s="420">
        <v>12738</v>
      </c>
      <c r="R13097" s="420">
        <v>863.63799968597891</v>
      </c>
      <c r="S13097" s="420">
        <v>864.00711650180597</v>
      </c>
      <c r="T13097" s="420">
        <v>15.6</v>
      </c>
      <c r="U13097" s="278">
        <v>39.32</v>
      </c>
      <c r="V13097" s="278">
        <v>8.25</v>
      </c>
      <c r="Z13097" s="420" t="s">
        <v>2953</v>
      </c>
    </row>
    <row r="13098" spans="1:26">
      <c r="A13098" s="499">
        <v>45938</v>
      </c>
      <c r="B13098" s="499">
        <v>45939</v>
      </c>
      <c r="C13098" s="420" t="s">
        <v>173</v>
      </c>
      <c r="D13098" s="500" t="s">
        <v>759</v>
      </c>
      <c r="E13098" s="501">
        <v>1768333440.78</v>
      </c>
      <c r="F13098" s="95" t="s">
        <v>878</v>
      </c>
      <c r="G13098" s="420">
        <v>119504566</v>
      </c>
      <c r="H13098" s="420">
        <v>119504566</v>
      </c>
      <c r="I13098" s="523" t="s">
        <v>829</v>
      </c>
      <c r="J13098" s="530" t="s">
        <v>912</v>
      </c>
      <c r="N13098" s="420">
        <v>1760702</v>
      </c>
      <c r="R13098" s="420">
        <v>1003.9080000022718</v>
      </c>
      <c r="S13098" s="420">
        <v>1004.3343170962499</v>
      </c>
      <c r="T13098" s="420">
        <v>15.5</v>
      </c>
      <c r="U13098" s="278">
        <v>2651.37</v>
      </c>
      <c r="V13098" s="278">
        <v>1325.69</v>
      </c>
      <c r="Z13098" s="420" t="s">
        <v>2953</v>
      </c>
    </row>
    <row r="13099" spans="1:26">
      <c r="A13099" s="499">
        <v>45938</v>
      </c>
      <c r="B13099" s="499">
        <v>45939</v>
      </c>
      <c r="C13099" s="420" t="s">
        <v>173</v>
      </c>
      <c r="D13099" s="500" t="s">
        <v>759</v>
      </c>
      <c r="E13099" s="501">
        <v>223124266.71000001</v>
      </c>
      <c r="F13099" s="95" t="s">
        <v>878</v>
      </c>
      <c r="G13099" s="420">
        <v>119504799</v>
      </c>
      <c r="H13099" s="420">
        <v>119504799</v>
      </c>
      <c r="I13099" s="523" t="s">
        <v>656</v>
      </c>
      <c r="J13099" s="530" t="s">
        <v>912</v>
      </c>
      <c r="N13099" s="420">
        <v>226122</v>
      </c>
      <c r="R13099" s="420">
        <v>986.32400000884479</v>
      </c>
      <c r="S13099" s="420">
        <v>986.74284992172397</v>
      </c>
      <c r="T13099" s="420">
        <v>15.5</v>
      </c>
      <c r="U13099" s="278">
        <v>334.54</v>
      </c>
      <c r="V13099" s="278">
        <v>167.27</v>
      </c>
      <c r="Z13099" s="420" t="s">
        <v>2953</v>
      </c>
    </row>
    <row r="13100" spans="1:26">
      <c r="A13100" s="499">
        <v>45938</v>
      </c>
      <c r="B13100" s="499">
        <v>45939</v>
      </c>
      <c r="C13100" s="420" t="s">
        <v>173</v>
      </c>
      <c r="D13100" s="500" t="s">
        <v>759</v>
      </c>
      <c r="E13100" s="501">
        <v>11005722.65</v>
      </c>
      <c r="F13100" s="95" t="s">
        <v>878</v>
      </c>
      <c r="G13100" s="420">
        <v>119506019</v>
      </c>
      <c r="H13100" s="420">
        <v>119506019</v>
      </c>
      <c r="I13100" s="523" t="s">
        <v>712</v>
      </c>
      <c r="J13100" s="530" t="s">
        <v>912</v>
      </c>
      <c r="N13100" s="420">
        <v>12738</v>
      </c>
      <c r="R13100" s="420">
        <v>863.63799968597891</v>
      </c>
      <c r="S13100" s="420">
        <v>864.00711650180597</v>
      </c>
      <c r="T13100" s="420">
        <v>15.6</v>
      </c>
      <c r="U13100" s="278">
        <v>39.32</v>
      </c>
      <c r="V13100" s="278">
        <v>8.25</v>
      </c>
      <c r="Z13100" s="420" t="s">
        <v>2953</v>
      </c>
    </row>
    <row r="13101" spans="1:26">
      <c r="A13101" s="499">
        <v>45938</v>
      </c>
      <c r="B13101" s="499">
        <v>45938</v>
      </c>
      <c r="C13101" s="420" t="s">
        <v>173</v>
      </c>
      <c r="D13101" s="500" t="s">
        <v>760</v>
      </c>
      <c r="E13101" s="501">
        <v>-1606603472.1700001</v>
      </c>
      <c r="F13101" s="95" t="s">
        <v>878</v>
      </c>
      <c r="G13101" s="420">
        <v>119501333</v>
      </c>
      <c r="I13101" s="523" t="s">
        <v>705</v>
      </c>
      <c r="J13101" s="530" t="s">
        <v>906</v>
      </c>
      <c r="N13101" s="420">
        <v>2102254</v>
      </c>
      <c r="R13101" s="420">
        <v>764.22900000000004</v>
      </c>
      <c r="S13101" s="420">
        <v>764.55374498038805</v>
      </c>
      <c r="T13101" s="420">
        <v>15.51</v>
      </c>
      <c r="U13101" s="278">
        <v>2409.91</v>
      </c>
      <c r="V13101" s="278">
        <v>1204.95</v>
      </c>
      <c r="Z13101" s="420" t="s">
        <v>2953</v>
      </c>
    </row>
    <row r="13102" spans="1:26">
      <c r="A13102" s="499">
        <v>45938</v>
      </c>
      <c r="B13102" s="499">
        <v>45938</v>
      </c>
      <c r="C13102" s="420" t="s">
        <v>173</v>
      </c>
      <c r="D13102" s="500" t="s">
        <v>760</v>
      </c>
      <c r="E13102" s="501">
        <v>-10000973.92</v>
      </c>
      <c r="F13102" s="95" t="s">
        <v>878</v>
      </c>
      <c r="G13102" s="420">
        <v>119501852</v>
      </c>
      <c r="I13102" s="523" t="s">
        <v>631</v>
      </c>
      <c r="J13102" s="530" t="s">
        <v>906</v>
      </c>
      <c r="N13102" s="420">
        <v>19100</v>
      </c>
      <c r="R13102" s="420">
        <v>523.61120000000005</v>
      </c>
      <c r="S13102" s="420">
        <v>523.83355549738201</v>
      </c>
      <c r="T13102" s="420">
        <v>15.5</v>
      </c>
      <c r="U13102" s="278">
        <v>39.32</v>
      </c>
      <c r="V13102" s="278">
        <v>7.5</v>
      </c>
      <c r="Z13102" s="420" t="s">
        <v>2953</v>
      </c>
    </row>
    <row r="13103" spans="1:26">
      <c r="A13103" s="499">
        <v>45938</v>
      </c>
      <c r="B13103" s="499">
        <v>45939</v>
      </c>
      <c r="C13103" s="420" t="s">
        <v>173</v>
      </c>
      <c r="D13103" s="500" t="s">
        <v>760</v>
      </c>
      <c r="E13103" s="501">
        <v>1607286168.5999999</v>
      </c>
      <c r="F13103" s="95" t="s">
        <v>878</v>
      </c>
      <c r="G13103" s="420">
        <v>119501333</v>
      </c>
      <c r="H13103" s="420">
        <v>119501333</v>
      </c>
      <c r="I13103" s="523" t="s">
        <v>705</v>
      </c>
      <c r="J13103" s="530" t="s">
        <v>912</v>
      </c>
      <c r="N13103" s="420">
        <v>2102254</v>
      </c>
      <c r="R13103" s="420">
        <v>764.22900000000004</v>
      </c>
      <c r="S13103" s="420">
        <v>764.55374498038805</v>
      </c>
      <c r="T13103" s="420">
        <v>15.51</v>
      </c>
      <c r="U13103" s="278">
        <v>2409.91</v>
      </c>
      <c r="V13103" s="278">
        <v>1204.95</v>
      </c>
      <c r="Z13103" s="420" t="s">
        <v>2953</v>
      </c>
    </row>
    <row r="13104" spans="1:26">
      <c r="A13104" s="499">
        <v>45938</v>
      </c>
      <c r="B13104" s="499">
        <v>45939</v>
      </c>
      <c r="C13104" s="420" t="s">
        <v>173</v>
      </c>
      <c r="D13104" s="500" t="s">
        <v>760</v>
      </c>
      <c r="E13104" s="501">
        <v>10005220.91</v>
      </c>
      <c r="F13104" s="95" t="s">
        <v>878</v>
      </c>
      <c r="G13104" s="420">
        <v>119501852</v>
      </c>
      <c r="H13104" s="420">
        <v>119501852</v>
      </c>
      <c r="I13104" s="523" t="s">
        <v>631</v>
      </c>
      <c r="J13104" s="530" t="s">
        <v>912</v>
      </c>
      <c r="N13104" s="420">
        <v>19100</v>
      </c>
      <c r="R13104" s="420">
        <v>523.61120000000005</v>
      </c>
      <c r="S13104" s="420">
        <v>523.83355549738201</v>
      </c>
      <c r="T13104" s="420">
        <v>15.5</v>
      </c>
      <c r="U13104" s="278">
        <v>39.32</v>
      </c>
      <c r="V13104" s="278">
        <v>7.5</v>
      </c>
      <c r="Z13104" s="420" t="s">
        <v>2953</v>
      </c>
    </row>
    <row r="13105" spans="1:26">
      <c r="A13105" s="499">
        <v>45938</v>
      </c>
      <c r="B13105" s="499">
        <v>45938</v>
      </c>
      <c r="C13105" s="420" t="s">
        <v>173</v>
      </c>
      <c r="D13105" s="500" t="s">
        <v>764</v>
      </c>
      <c r="E13105" s="501">
        <v>-2751166385</v>
      </c>
      <c r="F13105" s="95" t="s">
        <v>878</v>
      </c>
      <c r="G13105" s="420">
        <v>119501697</v>
      </c>
      <c r="I13105" s="523" t="s">
        <v>816</v>
      </c>
      <c r="J13105" s="530" t="s">
        <v>906</v>
      </c>
      <c r="N13105" s="420">
        <v>2585000</v>
      </c>
      <c r="R13105" s="420">
        <v>1064.2809999999999</v>
      </c>
      <c r="S13105" s="420">
        <v>1064.73295786074</v>
      </c>
      <c r="T13105" s="420">
        <v>15.5001</v>
      </c>
      <c r="U13105" s="278">
        <v>4126.75</v>
      </c>
      <c r="V13105" s="278">
        <v>2063.37</v>
      </c>
      <c r="Z13105" s="420" t="s">
        <v>2953</v>
      </c>
    </row>
    <row r="13106" spans="1:26">
      <c r="A13106" s="499">
        <v>45938</v>
      </c>
      <c r="B13106" s="499">
        <v>45938</v>
      </c>
      <c r="C13106" s="420" t="s">
        <v>173</v>
      </c>
      <c r="D13106" s="500" t="s">
        <v>764</v>
      </c>
      <c r="E13106" s="501">
        <v>-2160887040.7199998</v>
      </c>
      <c r="F13106" s="95" t="s">
        <v>878</v>
      </c>
      <c r="G13106" s="420">
        <v>119501700</v>
      </c>
      <c r="I13106" s="523" t="s">
        <v>699</v>
      </c>
      <c r="J13106" s="530" t="s">
        <v>906</v>
      </c>
      <c r="N13106" s="420">
        <v>2347920</v>
      </c>
      <c r="R13106" s="420">
        <v>920.34099999999989</v>
      </c>
      <c r="S13106" s="420">
        <v>920.73182973866199</v>
      </c>
      <c r="T13106" s="420">
        <v>15.5</v>
      </c>
      <c r="U13106" s="278">
        <v>3241.33</v>
      </c>
      <c r="V13106" s="278">
        <v>1620.67</v>
      </c>
      <c r="Z13106" s="420" t="s">
        <v>2953</v>
      </c>
    </row>
    <row r="13107" spans="1:26">
      <c r="A13107" s="499">
        <v>45938</v>
      </c>
      <c r="B13107" s="499">
        <v>45938</v>
      </c>
      <c r="C13107" s="420" t="s">
        <v>173</v>
      </c>
      <c r="D13107" s="500" t="s">
        <v>764</v>
      </c>
      <c r="E13107" s="501">
        <v>-29002824.370000001</v>
      </c>
      <c r="F13107" s="95" t="s">
        <v>878</v>
      </c>
      <c r="G13107" s="420">
        <v>119501783</v>
      </c>
      <c r="I13107" s="523" t="s">
        <v>631</v>
      </c>
      <c r="J13107" s="530" t="s">
        <v>906</v>
      </c>
      <c r="N13107" s="420">
        <v>55390</v>
      </c>
      <c r="R13107" s="420">
        <v>523.61120003610768</v>
      </c>
      <c r="S13107" s="420">
        <v>523.83355551543605</v>
      </c>
      <c r="T13107" s="420">
        <v>15.5</v>
      </c>
      <c r="U13107" s="278">
        <v>43.5</v>
      </c>
      <c r="V13107" s="278">
        <v>21.75</v>
      </c>
      <c r="Z13107" s="420" t="s">
        <v>2953</v>
      </c>
    </row>
    <row r="13108" spans="1:26">
      <c r="A13108" s="499">
        <v>45938</v>
      </c>
      <c r="B13108" s="499">
        <v>45939</v>
      </c>
      <c r="C13108" s="420" t="s">
        <v>173</v>
      </c>
      <c r="D13108" s="500" t="s">
        <v>764</v>
      </c>
      <c r="E13108" s="501">
        <v>2752334696.0700002</v>
      </c>
      <c r="F13108" s="95" t="s">
        <v>878</v>
      </c>
      <c r="G13108" s="420">
        <v>119501697</v>
      </c>
      <c r="H13108" s="420">
        <v>119501697</v>
      </c>
      <c r="I13108" s="523" t="s">
        <v>816</v>
      </c>
      <c r="J13108" s="530" t="s">
        <v>912</v>
      </c>
      <c r="N13108" s="420">
        <v>2585000</v>
      </c>
      <c r="R13108" s="420">
        <v>1064.2809999999999</v>
      </c>
      <c r="S13108" s="420">
        <v>1064.73295786074</v>
      </c>
      <c r="T13108" s="420">
        <v>15.5001</v>
      </c>
      <c r="U13108" s="278">
        <v>4126.75</v>
      </c>
      <c r="V13108" s="278">
        <v>2063.37</v>
      </c>
      <c r="Z13108" s="420" t="s">
        <v>2953</v>
      </c>
    </row>
    <row r="13109" spans="1:26">
      <c r="A13109" s="499">
        <v>45938</v>
      </c>
      <c r="B13109" s="499">
        <v>45939</v>
      </c>
      <c r="C13109" s="420" t="s">
        <v>173</v>
      </c>
      <c r="D13109" s="500" t="s">
        <v>764</v>
      </c>
      <c r="E13109" s="501">
        <v>2161804677.6799998</v>
      </c>
      <c r="F13109" s="95" t="s">
        <v>878</v>
      </c>
      <c r="G13109" s="420">
        <v>119501700</v>
      </c>
      <c r="H13109" s="420">
        <v>119501700</v>
      </c>
      <c r="I13109" s="523" t="s">
        <v>699</v>
      </c>
      <c r="J13109" s="530" t="s">
        <v>912</v>
      </c>
      <c r="N13109" s="420">
        <v>2347920</v>
      </c>
      <c r="R13109" s="420">
        <v>920.34099999999989</v>
      </c>
      <c r="S13109" s="420">
        <v>920.73182973866199</v>
      </c>
      <c r="T13109" s="420">
        <v>15.5</v>
      </c>
      <c r="U13109" s="278">
        <v>3241.33</v>
      </c>
      <c r="V13109" s="278">
        <v>1620.67</v>
      </c>
      <c r="Z13109" s="420" t="s">
        <v>2953</v>
      </c>
    </row>
    <row r="13110" spans="1:26">
      <c r="A13110" s="499">
        <v>45938</v>
      </c>
      <c r="B13110" s="499">
        <v>45939</v>
      </c>
      <c r="C13110" s="420" t="s">
        <v>173</v>
      </c>
      <c r="D13110" s="500" t="s">
        <v>764</v>
      </c>
      <c r="E13110" s="501">
        <v>29015140.640000001</v>
      </c>
      <c r="F13110" s="95" t="s">
        <v>878</v>
      </c>
      <c r="G13110" s="420">
        <v>119501783</v>
      </c>
      <c r="H13110" s="420">
        <v>119501783</v>
      </c>
      <c r="I13110" s="523" t="s">
        <v>631</v>
      </c>
      <c r="J13110" s="530" t="s">
        <v>912</v>
      </c>
      <c r="N13110" s="420">
        <v>55390</v>
      </c>
      <c r="R13110" s="420">
        <v>523.61120003610768</v>
      </c>
      <c r="S13110" s="420">
        <v>523.83355551543605</v>
      </c>
      <c r="T13110" s="420">
        <v>15.5</v>
      </c>
      <c r="U13110" s="278">
        <v>43.5</v>
      </c>
      <c r="V13110" s="278">
        <v>21.75</v>
      </c>
      <c r="Z13110" s="420" t="s">
        <v>2953</v>
      </c>
    </row>
    <row r="13111" spans="1:26">
      <c r="A13111" s="499">
        <v>45938</v>
      </c>
      <c r="B13111" s="499">
        <v>45938</v>
      </c>
      <c r="C13111" s="420" t="s">
        <v>173</v>
      </c>
      <c r="D13111" s="500" t="s">
        <v>763</v>
      </c>
      <c r="E13111" s="501">
        <v>-2038637779.8699999</v>
      </c>
      <c r="F13111" s="95" t="s">
        <v>878</v>
      </c>
      <c r="G13111" s="420">
        <v>119501579</v>
      </c>
      <c r="I13111" s="523" t="s">
        <v>723</v>
      </c>
      <c r="J13111" s="530" t="s">
        <v>906</v>
      </c>
      <c r="N13111" s="420">
        <v>3399384</v>
      </c>
      <c r="R13111" s="420">
        <v>599.70799999999997</v>
      </c>
      <c r="S13111" s="420">
        <v>599.96267544943396</v>
      </c>
      <c r="T13111" s="420">
        <v>15.500299999999999</v>
      </c>
      <c r="U13111" s="278">
        <v>3057.96</v>
      </c>
      <c r="V13111" s="278">
        <v>1528.98</v>
      </c>
      <c r="Z13111" s="420" t="s">
        <v>2953</v>
      </c>
    </row>
    <row r="13112" spans="1:26">
      <c r="A13112" s="499">
        <v>45938</v>
      </c>
      <c r="B13112" s="499">
        <v>45938</v>
      </c>
      <c r="C13112" s="420" t="s">
        <v>173</v>
      </c>
      <c r="D13112" s="500" t="s">
        <v>763</v>
      </c>
      <c r="E13112" s="501">
        <v>-42004090.460000001</v>
      </c>
      <c r="F13112" s="95" t="s">
        <v>878</v>
      </c>
      <c r="G13112" s="420">
        <v>119501576</v>
      </c>
      <c r="I13112" s="523" t="s">
        <v>631</v>
      </c>
      <c r="J13112" s="530" t="s">
        <v>906</v>
      </c>
      <c r="N13112" s="420">
        <v>80220</v>
      </c>
      <c r="R13112" s="420">
        <v>523.61120000000005</v>
      </c>
      <c r="S13112" s="420">
        <v>523.83355971079504</v>
      </c>
      <c r="T13112" s="420">
        <v>15.500299999999999</v>
      </c>
      <c r="U13112" s="278">
        <v>63.01</v>
      </c>
      <c r="V13112" s="278">
        <v>39.32</v>
      </c>
      <c r="Z13112" s="420" t="s">
        <v>2953</v>
      </c>
    </row>
    <row r="13113" spans="1:26">
      <c r="A13113" s="499">
        <v>45938</v>
      </c>
      <c r="B13113" s="499">
        <v>45938</v>
      </c>
      <c r="C13113" s="420" t="s">
        <v>173</v>
      </c>
      <c r="D13113" s="500" t="s">
        <v>763</v>
      </c>
      <c r="E13113" s="501">
        <v>-19001850.449999999</v>
      </c>
      <c r="F13113" s="95" t="s">
        <v>878</v>
      </c>
      <c r="G13113" s="420">
        <v>119501573</v>
      </c>
      <c r="I13113" s="523" t="s">
        <v>631</v>
      </c>
      <c r="J13113" s="530" t="s">
        <v>906</v>
      </c>
      <c r="N13113" s="420">
        <v>36290</v>
      </c>
      <c r="R13113" s="420">
        <v>523.61120000000005</v>
      </c>
      <c r="S13113" s="420">
        <v>523.83355993386601</v>
      </c>
      <c r="T13113" s="420">
        <v>15.500299999999999</v>
      </c>
      <c r="U13113" s="278">
        <v>39.32</v>
      </c>
      <c r="V13113" s="278">
        <v>39.32</v>
      </c>
      <c r="Z13113" s="420" t="s">
        <v>2953</v>
      </c>
    </row>
    <row r="13114" spans="1:26">
      <c r="A13114" s="499">
        <v>45938</v>
      </c>
      <c r="B13114" s="499">
        <v>45938</v>
      </c>
      <c r="C13114" s="420" t="s">
        <v>173</v>
      </c>
      <c r="D13114" s="500" t="s">
        <v>763</v>
      </c>
      <c r="E13114" s="501">
        <v>-13005338.67</v>
      </c>
      <c r="F13114" s="95" t="s">
        <v>878</v>
      </c>
      <c r="G13114" s="420">
        <v>119501651</v>
      </c>
      <c r="I13114" s="523" t="s">
        <v>699</v>
      </c>
      <c r="J13114" s="530" t="s">
        <v>906</v>
      </c>
      <c r="N13114" s="420">
        <v>14131</v>
      </c>
      <c r="R13114" s="420">
        <v>920.34100000000001</v>
      </c>
      <c r="S13114" s="420">
        <v>920.73183001910695</v>
      </c>
      <c r="T13114" s="420">
        <v>15.5</v>
      </c>
      <c r="U13114" s="278">
        <v>39.32</v>
      </c>
      <c r="V13114" s="278">
        <v>39.32</v>
      </c>
      <c r="Z13114" s="420" t="s">
        <v>2953</v>
      </c>
    </row>
    <row r="13115" spans="1:26">
      <c r="A13115" s="499">
        <v>45938</v>
      </c>
      <c r="B13115" s="499">
        <v>45939</v>
      </c>
      <c r="C13115" s="420" t="s">
        <v>173</v>
      </c>
      <c r="D13115" s="500" t="s">
        <v>763</v>
      </c>
      <c r="E13115" s="501">
        <v>2039503519.52</v>
      </c>
      <c r="F13115" s="95" t="s">
        <v>878</v>
      </c>
      <c r="G13115" s="420">
        <v>119501579</v>
      </c>
      <c r="H13115" s="420">
        <v>119501579</v>
      </c>
      <c r="I13115" s="523" t="s">
        <v>723</v>
      </c>
      <c r="J13115" s="530" t="s">
        <v>912</v>
      </c>
      <c r="N13115" s="420">
        <v>3399384</v>
      </c>
      <c r="R13115" s="420">
        <v>599.70799999999997</v>
      </c>
      <c r="S13115" s="420">
        <v>599.96267544943396</v>
      </c>
      <c r="T13115" s="420">
        <v>15.500299999999999</v>
      </c>
      <c r="U13115" s="278">
        <v>3057.96</v>
      </c>
      <c r="V13115" s="278">
        <v>1528.98</v>
      </c>
      <c r="Z13115" s="420" t="s">
        <v>2953</v>
      </c>
    </row>
    <row r="13116" spans="1:26">
      <c r="A13116" s="499">
        <v>45938</v>
      </c>
      <c r="B13116" s="499">
        <v>45939</v>
      </c>
      <c r="C13116" s="420" t="s">
        <v>173</v>
      </c>
      <c r="D13116" s="500" t="s">
        <v>763</v>
      </c>
      <c r="E13116" s="501">
        <v>42021928.159999996</v>
      </c>
      <c r="F13116" s="95" t="s">
        <v>878</v>
      </c>
      <c r="G13116" s="420">
        <v>119501576</v>
      </c>
      <c r="H13116" s="420">
        <v>119501576</v>
      </c>
      <c r="I13116" s="523" t="s">
        <v>631</v>
      </c>
      <c r="J13116" s="530" t="s">
        <v>912</v>
      </c>
      <c r="N13116" s="420">
        <v>80220</v>
      </c>
      <c r="R13116" s="420">
        <v>523.61120000000005</v>
      </c>
      <c r="S13116" s="420">
        <v>523.83355971079504</v>
      </c>
      <c r="T13116" s="420">
        <v>15.500299999999999</v>
      </c>
      <c r="U13116" s="278">
        <v>63.01</v>
      </c>
      <c r="V13116" s="278">
        <v>39.32</v>
      </c>
      <c r="Z13116" s="420" t="s">
        <v>2953</v>
      </c>
    </row>
    <row r="13117" spans="1:26">
      <c r="A13117" s="499">
        <v>45938</v>
      </c>
      <c r="B13117" s="499">
        <v>45939</v>
      </c>
      <c r="C13117" s="420" t="s">
        <v>173</v>
      </c>
      <c r="D13117" s="500" t="s">
        <v>763</v>
      </c>
      <c r="E13117" s="501">
        <v>19009919.890000001</v>
      </c>
      <c r="F13117" s="95" t="s">
        <v>878</v>
      </c>
      <c r="G13117" s="420">
        <v>119501573</v>
      </c>
      <c r="H13117" s="420">
        <v>119501573</v>
      </c>
      <c r="I13117" s="523" t="s">
        <v>631</v>
      </c>
      <c r="J13117" s="530" t="s">
        <v>912</v>
      </c>
      <c r="N13117" s="420">
        <v>36290</v>
      </c>
      <c r="R13117" s="420">
        <v>523.61120000000005</v>
      </c>
      <c r="S13117" s="420">
        <v>523.83355993386601</v>
      </c>
      <c r="T13117" s="420">
        <v>15.500299999999999</v>
      </c>
      <c r="U13117" s="278">
        <v>39.32</v>
      </c>
      <c r="V13117" s="278">
        <v>39.32</v>
      </c>
      <c r="Z13117" s="420" t="s">
        <v>2953</v>
      </c>
    </row>
    <row r="13118" spans="1:26">
      <c r="A13118" s="499">
        <v>45938</v>
      </c>
      <c r="B13118" s="499">
        <v>45939</v>
      </c>
      <c r="C13118" s="420" t="s">
        <v>173</v>
      </c>
      <c r="D13118" s="500" t="s">
        <v>763</v>
      </c>
      <c r="E13118" s="501">
        <v>13010861.49</v>
      </c>
      <c r="F13118" s="95" t="s">
        <v>878</v>
      </c>
      <c r="G13118" s="420">
        <v>119501651</v>
      </c>
      <c r="H13118" s="420">
        <v>119501651</v>
      </c>
      <c r="I13118" s="523" t="s">
        <v>699</v>
      </c>
      <c r="J13118" s="530" t="s">
        <v>912</v>
      </c>
      <c r="N13118" s="420">
        <v>14131</v>
      </c>
      <c r="R13118" s="420">
        <v>920.34100000000001</v>
      </c>
      <c r="S13118" s="420">
        <v>920.73183001910695</v>
      </c>
      <c r="T13118" s="420">
        <v>15.5</v>
      </c>
      <c r="U13118" s="278">
        <v>39.32</v>
      </c>
      <c r="V13118" s="278">
        <v>39.32</v>
      </c>
      <c r="Z13118" s="420" t="s">
        <v>2953</v>
      </c>
    </row>
    <row r="13119" spans="1:26">
      <c r="A13119" s="499">
        <v>45939</v>
      </c>
      <c r="B13119" s="499">
        <v>45939</v>
      </c>
      <c r="C13119" s="420" t="s">
        <v>173</v>
      </c>
      <c r="D13119" s="500" t="s">
        <v>762</v>
      </c>
      <c r="E13119" s="501">
        <v>-421070036.72000003</v>
      </c>
      <c r="F13119" s="95" t="s">
        <v>878</v>
      </c>
      <c r="G13119" s="420">
        <v>119527895</v>
      </c>
      <c r="I13119" s="523" t="s">
        <v>692</v>
      </c>
      <c r="J13119" s="530" t="s">
        <v>906</v>
      </c>
      <c r="N13119" s="610">
        <v>567087</v>
      </c>
      <c r="R13119" s="539">
        <v>742.51400000000001</v>
      </c>
      <c r="S13119" s="539">
        <v>742.82955421302199</v>
      </c>
      <c r="T13119" s="567">
        <v>15.511799999999999</v>
      </c>
      <c r="U13119" s="538">
        <v>631.61</v>
      </c>
      <c r="V13119" s="538">
        <v>315.8</v>
      </c>
      <c r="Z13119" s="539" t="s">
        <v>2953</v>
      </c>
    </row>
    <row r="13120" spans="1:26">
      <c r="A13120" s="499">
        <v>45939</v>
      </c>
      <c r="B13120" s="499">
        <v>45939</v>
      </c>
      <c r="C13120" s="420" t="s">
        <v>173</v>
      </c>
      <c r="D13120" s="500" t="s">
        <v>762</v>
      </c>
      <c r="E13120" s="501">
        <v>-3690489519.0900002</v>
      </c>
      <c r="F13120" s="95" t="s">
        <v>878</v>
      </c>
      <c r="G13120" s="420">
        <v>119527898</v>
      </c>
      <c r="I13120" s="523" t="s">
        <v>716</v>
      </c>
      <c r="J13120" s="530" t="s">
        <v>906</v>
      </c>
      <c r="N13120" s="610">
        <v>5642010</v>
      </c>
      <c r="R13120" s="539">
        <v>654.10900000000004</v>
      </c>
      <c r="S13120" s="539">
        <v>654.38698378060303</v>
      </c>
      <c r="T13120" s="567">
        <v>15.511799999999999</v>
      </c>
      <c r="U13120" s="538">
        <v>5535.73</v>
      </c>
      <c r="V13120" s="538">
        <v>2767.87</v>
      </c>
      <c r="Z13120" s="539" t="s">
        <v>2953</v>
      </c>
    </row>
    <row r="13121" spans="1:26">
      <c r="A13121" s="499">
        <v>45939</v>
      </c>
      <c r="B13121" s="499">
        <v>45939</v>
      </c>
      <c r="C13121" s="420" t="s">
        <v>173</v>
      </c>
      <c r="D13121" s="500" t="s">
        <v>762</v>
      </c>
      <c r="E13121" s="501">
        <v>-26022384.960000001</v>
      </c>
      <c r="F13121" s="95" t="s">
        <v>878</v>
      </c>
      <c r="G13121" s="420">
        <v>119527909</v>
      </c>
      <c r="I13121" s="523" t="s">
        <v>678</v>
      </c>
      <c r="J13121" s="530" t="s">
        <v>906</v>
      </c>
      <c r="N13121" s="610">
        <v>27248</v>
      </c>
      <c r="R13121" s="539">
        <v>955.02</v>
      </c>
      <c r="S13121" s="539">
        <v>955.42586795361103</v>
      </c>
      <c r="T13121" s="567">
        <v>15.511900000000001</v>
      </c>
      <c r="U13121" s="538">
        <v>39.32</v>
      </c>
      <c r="V13121" s="538">
        <v>19.52</v>
      </c>
      <c r="Z13121" s="539" t="s">
        <v>2953</v>
      </c>
    </row>
    <row r="13122" spans="1:26">
      <c r="A13122" s="499">
        <v>45939</v>
      </c>
      <c r="B13122" s="499">
        <v>45940</v>
      </c>
      <c r="C13122" s="420" t="s">
        <v>173</v>
      </c>
      <c r="D13122" s="500" t="s">
        <v>762</v>
      </c>
      <c r="E13122" s="501">
        <v>421248983.41000003</v>
      </c>
      <c r="F13122" s="95" t="s">
        <v>878</v>
      </c>
      <c r="G13122" s="420">
        <v>119527895</v>
      </c>
      <c r="H13122" s="594">
        <v>119527895</v>
      </c>
      <c r="I13122" s="523" t="s">
        <v>692</v>
      </c>
      <c r="J13122" s="530" t="s">
        <v>912</v>
      </c>
      <c r="N13122" s="610">
        <v>567087</v>
      </c>
      <c r="R13122" s="539">
        <v>742.51400000000001</v>
      </c>
      <c r="S13122" s="539">
        <v>742.82955421302199</v>
      </c>
      <c r="T13122" s="567">
        <v>15.511799999999999</v>
      </c>
      <c r="U13122" s="538">
        <v>631.61</v>
      </c>
      <c r="V13122" s="538">
        <v>315.8</v>
      </c>
      <c r="Z13122" s="539" t="s">
        <v>2953</v>
      </c>
    </row>
    <row r="13123" spans="1:26">
      <c r="A13123" s="499">
        <v>45939</v>
      </c>
      <c r="B13123" s="499">
        <v>45940</v>
      </c>
      <c r="C13123" s="420" t="s">
        <v>173</v>
      </c>
      <c r="D13123" s="500" t="s">
        <v>762</v>
      </c>
      <c r="E13123" s="501">
        <v>3692057906.3600001</v>
      </c>
      <c r="F13123" s="95" t="s">
        <v>878</v>
      </c>
      <c r="G13123" s="420">
        <v>119527898</v>
      </c>
      <c r="H13123" s="594">
        <v>119527898</v>
      </c>
      <c r="I13123" s="523" t="s">
        <v>716</v>
      </c>
      <c r="J13123" s="530" t="s">
        <v>912</v>
      </c>
      <c r="N13123" s="610">
        <v>5642010</v>
      </c>
      <c r="R13123" s="539">
        <v>654.10900000000004</v>
      </c>
      <c r="S13123" s="539">
        <v>654.38698378060303</v>
      </c>
      <c r="T13123" s="567">
        <v>15.511799999999999</v>
      </c>
      <c r="U13123" s="538">
        <v>5535.73</v>
      </c>
      <c r="V13123" s="538">
        <v>2767.87</v>
      </c>
      <c r="Z13123" s="539" t="s">
        <v>2953</v>
      </c>
    </row>
    <row r="13124" spans="1:26">
      <c r="A13124" s="499">
        <v>45939</v>
      </c>
      <c r="B13124" s="499">
        <v>45940</v>
      </c>
      <c r="C13124" s="420" t="s">
        <v>173</v>
      </c>
      <c r="D13124" s="500" t="s">
        <v>762</v>
      </c>
      <c r="E13124" s="501">
        <v>26033444.050000001</v>
      </c>
      <c r="F13124" s="95" t="s">
        <v>878</v>
      </c>
      <c r="G13124" s="420">
        <v>119527909</v>
      </c>
      <c r="H13124" s="594">
        <v>119527909</v>
      </c>
      <c r="I13124" s="523" t="s">
        <v>678</v>
      </c>
      <c r="J13124" s="530" t="s">
        <v>912</v>
      </c>
      <c r="N13124" s="610">
        <v>27248</v>
      </c>
      <c r="R13124" s="539">
        <v>955.02</v>
      </c>
      <c r="S13124" s="539">
        <v>955.42586795361103</v>
      </c>
      <c r="T13124" s="567">
        <v>15.511900000000001</v>
      </c>
      <c r="U13124" s="538">
        <v>39.32</v>
      </c>
      <c r="V13124" s="538">
        <v>19.52</v>
      </c>
      <c r="Z13124" s="539" t="s">
        <v>2953</v>
      </c>
    </row>
    <row r="13125" spans="1:26">
      <c r="A13125" s="499">
        <v>45939</v>
      </c>
      <c r="B13125" s="499">
        <v>45939</v>
      </c>
      <c r="C13125" s="420" t="s">
        <v>173</v>
      </c>
      <c r="D13125" s="500" t="s">
        <v>761</v>
      </c>
      <c r="E13125" s="501">
        <v>-1416198223.01</v>
      </c>
      <c r="F13125" s="95" t="s">
        <v>878</v>
      </c>
      <c r="G13125" s="420">
        <v>119525529</v>
      </c>
      <c r="I13125" s="523" t="s">
        <v>723</v>
      </c>
      <c r="J13125" s="530" t="s">
        <v>906</v>
      </c>
      <c r="N13125" s="420">
        <v>2360472</v>
      </c>
      <c r="R13125" s="420">
        <v>599.96400000084725</v>
      </c>
      <c r="S13125" s="420">
        <v>600.21960110096597</v>
      </c>
      <c r="T13125" s="420">
        <v>15.55</v>
      </c>
      <c r="U13125" s="278">
        <v>2124.3000000000002</v>
      </c>
      <c r="V13125" s="278">
        <v>1062.1500000000001</v>
      </c>
      <c r="Z13125" s="420" t="s">
        <v>2953</v>
      </c>
    </row>
    <row r="13126" spans="1:26">
      <c r="A13126" s="499">
        <v>45939</v>
      </c>
      <c r="B13126" s="499">
        <v>45939</v>
      </c>
      <c r="C13126" s="420" t="s">
        <v>173</v>
      </c>
      <c r="D13126" s="500" t="s">
        <v>761</v>
      </c>
      <c r="E13126" s="501">
        <v>-9007566.1199999992</v>
      </c>
      <c r="F13126" s="95" t="s">
        <v>878</v>
      </c>
      <c r="G13126" s="420">
        <v>119526708</v>
      </c>
      <c r="I13126" s="523" t="s">
        <v>676</v>
      </c>
      <c r="J13126" s="530" t="s">
        <v>906</v>
      </c>
      <c r="N13126" s="420">
        <v>10584</v>
      </c>
      <c r="R13126" s="420">
        <v>851.05499999999995</v>
      </c>
      <c r="S13126" s="420">
        <v>851.41757275132295</v>
      </c>
      <c r="T13126" s="420">
        <v>15.55</v>
      </c>
      <c r="U13126" s="278">
        <v>39.32</v>
      </c>
      <c r="V13126" s="278">
        <v>6.76</v>
      </c>
      <c r="Z13126" s="420" t="s">
        <v>2953</v>
      </c>
    </row>
    <row r="13127" spans="1:26">
      <c r="A13127" s="499">
        <v>45939</v>
      </c>
      <c r="B13127" s="499">
        <v>45940</v>
      </c>
      <c r="C13127" s="420" t="s">
        <v>173</v>
      </c>
      <c r="D13127" s="500" t="s">
        <v>761</v>
      </c>
      <c r="E13127" s="501">
        <v>1416801562.25</v>
      </c>
      <c r="F13127" s="95" t="s">
        <v>878</v>
      </c>
      <c r="G13127" s="420">
        <v>119525529</v>
      </c>
      <c r="H13127" s="420">
        <v>119525529</v>
      </c>
      <c r="I13127" s="523" t="s">
        <v>723</v>
      </c>
      <c r="J13127" s="530" t="s">
        <v>912</v>
      </c>
      <c r="N13127" s="420">
        <v>2360472</v>
      </c>
      <c r="R13127" s="420">
        <v>599.96400000084725</v>
      </c>
      <c r="S13127" s="420">
        <v>600.21960110096597</v>
      </c>
      <c r="T13127" s="420">
        <v>15.55</v>
      </c>
      <c r="U13127" s="278">
        <v>2124.3000000000002</v>
      </c>
      <c r="V13127" s="278">
        <v>1062.1500000000001</v>
      </c>
      <c r="Z13127" s="420" t="s">
        <v>2953</v>
      </c>
    </row>
    <row r="13128" spans="1:26">
      <c r="A13128" s="499">
        <v>45939</v>
      </c>
      <c r="B13128" s="499">
        <v>45940</v>
      </c>
      <c r="C13128" s="420" t="s">
        <v>173</v>
      </c>
      <c r="D13128" s="500" t="s">
        <v>761</v>
      </c>
      <c r="E13128" s="501">
        <v>9011403.5899999999</v>
      </c>
      <c r="F13128" s="95" t="s">
        <v>878</v>
      </c>
      <c r="G13128" s="420">
        <v>119526708</v>
      </c>
      <c r="H13128" s="420">
        <v>119526708</v>
      </c>
      <c r="I13128" s="523" t="s">
        <v>676</v>
      </c>
      <c r="J13128" s="530" t="s">
        <v>912</v>
      </c>
      <c r="N13128" s="420">
        <v>10584</v>
      </c>
      <c r="R13128" s="420">
        <v>851.05499999999995</v>
      </c>
      <c r="S13128" s="420">
        <v>851.41757275132295</v>
      </c>
      <c r="T13128" s="420">
        <v>15.55</v>
      </c>
      <c r="U13128" s="278">
        <v>39.32</v>
      </c>
      <c r="V13128" s="278">
        <v>6.76</v>
      </c>
      <c r="Z13128" s="420" t="s">
        <v>2953</v>
      </c>
    </row>
    <row r="13129" spans="1:26">
      <c r="A13129" s="499">
        <v>45939</v>
      </c>
      <c r="B13129" s="499">
        <v>45939</v>
      </c>
      <c r="C13129" s="420" t="s">
        <v>173</v>
      </c>
      <c r="D13129" s="500" t="s">
        <v>759</v>
      </c>
      <c r="E13129" s="501">
        <v>-304124753.08999997</v>
      </c>
      <c r="F13129" s="95" t="s">
        <v>878</v>
      </c>
      <c r="G13129" s="420">
        <v>119524387</v>
      </c>
      <c r="I13129" s="523" t="s">
        <v>682</v>
      </c>
      <c r="J13129" s="530" t="s">
        <v>906</v>
      </c>
      <c r="N13129" s="420">
        <v>322848</v>
      </c>
      <c r="R13129" s="420">
        <v>942.00600000619477</v>
      </c>
      <c r="S13129" s="420">
        <v>942.40732037986902</v>
      </c>
      <c r="T13129" s="420">
        <v>15.55</v>
      </c>
      <c r="U13129" s="278">
        <v>456.19</v>
      </c>
      <c r="V13129" s="278">
        <v>228.09</v>
      </c>
      <c r="Z13129" s="420" t="s">
        <v>2953</v>
      </c>
    </row>
    <row r="13130" spans="1:26">
      <c r="A13130" s="499">
        <v>45939</v>
      </c>
      <c r="B13130" s="499">
        <v>45939</v>
      </c>
      <c r="C13130" s="420" t="s">
        <v>173</v>
      </c>
      <c r="D13130" s="500" t="s">
        <v>759</v>
      </c>
      <c r="E13130" s="501">
        <v>-595500204.60000002</v>
      </c>
      <c r="F13130" s="95" t="s">
        <v>878</v>
      </c>
      <c r="G13130" s="420">
        <v>119524390</v>
      </c>
      <c r="I13130" s="523" t="s">
        <v>676</v>
      </c>
      <c r="J13130" s="530" t="s">
        <v>906</v>
      </c>
      <c r="N13130" s="420">
        <v>699720</v>
      </c>
      <c r="R13130" s="420">
        <v>851.05500000000006</v>
      </c>
      <c r="S13130" s="420">
        <v>851.41757274338295</v>
      </c>
      <c r="T13130" s="420">
        <v>15.55</v>
      </c>
      <c r="U13130" s="278">
        <v>893.25</v>
      </c>
      <c r="V13130" s="278">
        <v>446.63</v>
      </c>
      <c r="Z13130" s="420" t="s">
        <v>2953</v>
      </c>
    </row>
    <row r="13131" spans="1:26">
      <c r="A13131" s="499">
        <v>45939</v>
      </c>
      <c r="B13131" s="499">
        <v>45939</v>
      </c>
      <c r="C13131" s="420" t="s">
        <v>173</v>
      </c>
      <c r="D13131" s="500" t="s">
        <v>759</v>
      </c>
      <c r="E13131" s="501">
        <v>-600024333.60000002</v>
      </c>
      <c r="F13131" s="95" t="s">
        <v>878</v>
      </c>
      <c r="G13131" s="420">
        <v>119524393</v>
      </c>
      <c r="I13131" s="523" t="s">
        <v>705</v>
      </c>
      <c r="J13131" s="530" t="s">
        <v>906</v>
      </c>
      <c r="N13131" s="420">
        <v>784800</v>
      </c>
      <c r="R13131" s="420">
        <v>764.55700000000002</v>
      </c>
      <c r="S13131" s="420">
        <v>764.88272223496404</v>
      </c>
      <c r="T13131" s="420">
        <v>15.55</v>
      </c>
      <c r="U13131" s="278">
        <v>900.04</v>
      </c>
      <c r="V13131" s="278">
        <v>450.02</v>
      </c>
      <c r="Z13131" s="420" t="s">
        <v>2953</v>
      </c>
    </row>
    <row r="13132" spans="1:26">
      <c r="A13132" s="499">
        <v>45939</v>
      </c>
      <c r="B13132" s="499">
        <v>45939</v>
      </c>
      <c r="C13132" s="420" t="s">
        <v>173</v>
      </c>
      <c r="D13132" s="500" t="s">
        <v>759</v>
      </c>
      <c r="E13132" s="501">
        <v>-490421870.39999998</v>
      </c>
      <c r="F13132" s="95" t="s">
        <v>878</v>
      </c>
      <c r="G13132" s="420">
        <v>119524396</v>
      </c>
      <c r="I13132" s="523" t="s">
        <v>678</v>
      </c>
      <c r="J13132" s="530" t="s">
        <v>906</v>
      </c>
      <c r="N13132" s="420">
        <v>513520</v>
      </c>
      <c r="R13132" s="420">
        <v>955.02</v>
      </c>
      <c r="S13132" s="420">
        <v>955.42686467907799</v>
      </c>
      <c r="T13132" s="420">
        <v>15.55</v>
      </c>
      <c r="U13132" s="278">
        <v>735.63</v>
      </c>
      <c r="V13132" s="278">
        <v>367.82</v>
      </c>
      <c r="Z13132" s="420" t="s">
        <v>2953</v>
      </c>
    </row>
    <row r="13133" spans="1:26">
      <c r="A13133" s="499">
        <v>45939</v>
      </c>
      <c r="B13133" s="499">
        <v>45939</v>
      </c>
      <c r="C13133" s="420" t="s">
        <v>173</v>
      </c>
      <c r="D13133" s="500" t="s">
        <v>759</v>
      </c>
      <c r="E13133" s="501">
        <v>-12001140.029999999</v>
      </c>
      <c r="F13133" s="95" t="s">
        <v>878</v>
      </c>
      <c r="G13133" s="420">
        <v>119524495</v>
      </c>
      <c r="I13133" s="523" t="s">
        <v>3046</v>
      </c>
      <c r="J13133" s="530" t="s">
        <v>906</v>
      </c>
      <c r="N13133" s="420">
        <v>120300</v>
      </c>
      <c r="R13133" s="420">
        <v>99.760099999999994</v>
      </c>
      <c r="S13133" s="420">
        <v>99.802464172901097</v>
      </c>
      <c r="T13133" s="420">
        <v>15.5001</v>
      </c>
      <c r="U13133" s="278">
        <v>39.32</v>
      </c>
      <c r="V13133" s="278">
        <v>9</v>
      </c>
      <c r="Z13133" s="420" t="s">
        <v>2953</v>
      </c>
    </row>
    <row r="13134" spans="1:26">
      <c r="A13134" s="499">
        <v>45939</v>
      </c>
      <c r="B13134" s="499">
        <v>45940</v>
      </c>
      <c r="C13134" s="420" t="s">
        <v>173</v>
      </c>
      <c r="D13134" s="500" t="s">
        <v>759</v>
      </c>
      <c r="E13134" s="501">
        <v>304254318.56999999</v>
      </c>
      <c r="F13134" s="95" t="s">
        <v>878</v>
      </c>
      <c r="G13134" s="420">
        <v>119524387</v>
      </c>
      <c r="H13134" s="420">
        <v>119524387</v>
      </c>
      <c r="I13134" s="523" t="s">
        <v>682</v>
      </c>
      <c r="J13134" s="530" t="s">
        <v>912</v>
      </c>
      <c r="N13134" s="420">
        <v>322848</v>
      </c>
      <c r="R13134" s="420">
        <v>942.00600000619477</v>
      </c>
      <c r="S13134" s="420">
        <v>942.40732037986902</v>
      </c>
      <c r="T13134" s="420">
        <v>15.55</v>
      </c>
      <c r="U13134" s="278">
        <v>456.19</v>
      </c>
      <c r="V13134" s="278">
        <v>228.09</v>
      </c>
      <c r="Z13134" s="420" t="s">
        <v>2953</v>
      </c>
    </row>
    <row r="13135" spans="1:26">
      <c r="A13135" s="499">
        <v>45939</v>
      </c>
      <c r="B13135" s="499">
        <v>45940</v>
      </c>
      <c r="C13135" s="420" t="s">
        <v>173</v>
      </c>
      <c r="D13135" s="500" t="s">
        <v>759</v>
      </c>
      <c r="E13135" s="501">
        <v>595753904</v>
      </c>
      <c r="F13135" s="95" t="s">
        <v>878</v>
      </c>
      <c r="G13135" s="420">
        <v>119524390</v>
      </c>
      <c r="H13135" s="420">
        <v>119524390</v>
      </c>
      <c r="I13135" s="523" t="s">
        <v>676</v>
      </c>
      <c r="J13135" s="530" t="s">
        <v>912</v>
      </c>
      <c r="N13135" s="420">
        <v>699720</v>
      </c>
      <c r="R13135" s="420">
        <v>851.05500000000006</v>
      </c>
      <c r="S13135" s="420">
        <v>851.41757274338295</v>
      </c>
      <c r="T13135" s="420">
        <v>15.55</v>
      </c>
      <c r="U13135" s="278">
        <v>893.25</v>
      </c>
      <c r="V13135" s="278">
        <v>446.63</v>
      </c>
      <c r="Z13135" s="420" t="s">
        <v>2953</v>
      </c>
    </row>
    <row r="13136" spans="1:26">
      <c r="A13136" s="499">
        <v>45939</v>
      </c>
      <c r="B13136" s="499">
        <v>45940</v>
      </c>
      <c r="C13136" s="420" t="s">
        <v>173</v>
      </c>
      <c r="D13136" s="500" t="s">
        <v>759</v>
      </c>
      <c r="E13136" s="501">
        <v>600279960.40999997</v>
      </c>
      <c r="F13136" s="95" t="s">
        <v>878</v>
      </c>
      <c r="G13136" s="420">
        <v>119524393</v>
      </c>
      <c r="H13136" s="420">
        <v>119524393</v>
      </c>
      <c r="I13136" s="523" t="s">
        <v>705</v>
      </c>
      <c r="J13136" s="530" t="s">
        <v>912</v>
      </c>
      <c r="N13136" s="420">
        <v>784800</v>
      </c>
      <c r="R13136" s="420">
        <v>764.55700000000002</v>
      </c>
      <c r="S13136" s="420">
        <v>764.88272223496404</v>
      </c>
      <c r="T13136" s="420">
        <v>15.55</v>
      </c>
      <c r="U13136" s="278">
        <v>900.04</v>
      </c>
      <c r="V13136" s="278">
        <v>450.02</v>
      </c>
      <c r="Z13136" s="420" t="s">
        <v>2953</v>
      </c>
    </row>
    <row r="13137" spans="1:26">
      <c r="A13137" s="499">
        <v>45939</v>
      </c>
      <c r="B13137" s="499">
        <v>45940</v>
      </c>
      <c r="C13137" s="420" t="s">
        <v>173</v>
      </c>
      <c r="D13137" s="500" t="s">
        <v>759</v>
      </c>
      <c r="E13137" s="501">
        <v>490630803.55000001</v>
      </c>
      <c r="F13137" s="95" t="s">
        <v>878</v>
      </c>
      <c r="G13137" s="420">
        <v>119524396</v>
      </c>
      <c r="H13137" s="420">
        <v>119524396</v>
      </c>
      <c r="I13137" s="523" t="s">
        <v>678</v>
      </c>
      <c r="J13137" s="530" t="s">
        <v>912</v>
      </c>
      <c r="N13137" s="420">
        <v>513520</v>
      </c>
      <c r="R13137" s="420">
        <v>955.02</v>
      </c>
      <c r="S13137" s="420">
        <v>955.42686467907799</v>
      </c>
      <c r="T13137" s="420">
        <v>15.55</v>
      </c>
      <c r="U13137" s="278">
        <v>735.63</v>
      </c>
      <c r="V13137" s="278">
        <v>367.82</v>
      </c>
      <c r="Z13137" s="420" t="s">
        <v>2953</v>
      </c>
    </row>
    <row r="13138" spans="1:26">
      <c r="A13138" s="499">
        <v>45939</v>
      </c>
      <c r="B13138" s="499">
        <v>45940</v>
      </c>
      <c r="C13138" s="420" t="s">
        <v>173</v>
      </c>
      <c r="D13138" s="500" t="s">
        <v>759</v>
      </c>
      <c r="E13138" s="501">
        <v>12006236.439999999</v>
      </c>
      <c r="F13138" s="95" t="s">
        <v>878</v>
      </c>
      <c r="G13138" s="420">
        <v>119524495</v>
      </c>
      <c r="H13138" s="420">
        <v>119524495</v>
      </c>
      <c r="I13138" s="523" t="s">
        <v>3046</v>
      </c>
      <c r="J13138" s="530" t="s">
        <v>912</v>
      </c>
      <c r="N13138" s="420">
        <v>120300</v>
      </c>
      <c r="R13138" s="420">
        <v>99.760099999999994</v>
      </c>
      <c r="S13138" s="420">
        <v>99.802464172901097</v>
      </c>
      <c r="T13138" s="420">
        <v>15.5001</v>
      </c>
      <c r="U13138" s="278">
        <v>39.32</v>
      </c>
      <c r="V13138" s="278">
        <v>9</v>
      </c>
      <c r="Z13138" s="420" t="s">
        <v>2953</v>
      </c>
    </row>
    <row r="13139" spans="1:26">
      <c r="A13139" s="499">
        <v>45939</v>
      </c>
      <c r="B13139" s="499">
        <v>45939</v>
      </c>
      <c r="C13139" s="420" t="s">
        <v>173</v>
      </c>
      <c r="D13139" s="500" t="s">
        <v>760</v>
      </c>
      <c r="E13139" s="501">
        <v>-1400056778.4000001</v>
      </c>
      <c r="F13139" s="95" t="s">
        <v>878</v>
      </c>
      <c r="G13139" s="420">
        <v>119524067</v>
      </c>
      <c r="I13139" s="523" t="s">
        <v>705</v>
      </c>
      <c r="J13139" s="530" t="s">
        <v>906</v>
      </c>
      <c r="N13139" s="420">
        <v>1831200</v>
      </c>
      <c r="R13139" s="420">
        <v>764.55700000000002</v>
      </c>
      <c r="S13139" s="420">
        <v>764.88188435998302</v>
      </c>
      <c r="T13139" s="420">
        <v>15.51</v>
      </c>
      <c r="U13139" s="278">
        <v>2100.09</v>
      </c>
      <c r="V13139" s="278">
        <v>1050.04</v>
      </c>
      <c r="Z13139" s="420" t="s">
        <v>2953</v>
      </c>
    </row>
    <row r="13140" spans="1:26">
      <c r="A13140" s="499">
        <v>45939</v>
      </c>
      <c r="B13140" s="499">
        <v>45939</v>
      </c>
      <c r="C13140" s="420" t="s">
        <v>173</v>
      </c>
      <c r="D13140" s="500" t="s">
        <v>760</v>
      </c>
      <c r="E13140" s="501">
        <v>-207016870.5</v>
      </c>
      <c r="F13140" s="95" t="s">
        <v>878</v>
      </c>
      <c r="G13140" s="420">
        <v>119524085</v>
      </c>
      <c r="I13140" s="523" t="s">
        <v>2556</v>
      </c>
      <c r="J13140" s="530" t="s">
        <v>906</v>
      </c>
      <c r="N13140" s="420">
        <v>2277000</v>
      </c>
      <c r="R13140" s="420">
        <v>90.916499999999999</v>
      </c>
      <c r="S13140" s="420">
        <v>90.955133285024203</v>
      </c>
      <c r="T13140" s="420">
        <v>15.51</v>
      </c>
      <c r="U13140" s="278">
        <v>310.52999999999997</v>
      </c>
      <c r="V13140" s="278">
        <v>155.26</v>
      </c>
      <c r="Z13140" s="420" t="s">
        <v>2953</v>
      </c>
    </row>
    <row r="13141" spans="1:26">
      <c r="A13141" s="499">
        <v>45939</v>
      </c>
      <c r="B13141" s="499">
        <v>45939</v>
      </c>
      <c r="C13141" s="420" t="s">
        <v>173</v>
      </c>
      <c r="D13141" s="500" t="s">
        <v>760</v>
      </c>
      <c r="E13141" s="501">
        <v>-10008454.67</v>
      </c>
      <c r="F13141" s="95" t="s">
        <v>878</v>
      </c>
      <c r="G13141" s="420">
        <v>119524513</v>
      </c>
      <c r="I13141" s="523" t="s">
        <v>699</v>
      </c>
      <c r="J13141" s="530" t="s">
        <v>906</v>
      </c>
      <c r="N13141" s="420">
        <v>10870</v>
      </c>
      <c r="R13141" s="420">
        <v>920.74099999999999</v>
      </c>
      <c r="S13141" s="420">
        <v>921.13225206991694</v>
      </c>
      <c r="T13141" s="420">
        <v>15.51</v>
      </c>
      <c r="U13141" s="278">
        <v>39.32</v>
      </c>
      <c r="V13141" s="278">
        <v>7.51</v>
      </c>
      <c r="Z13141" s="420" t="s">
        <v>2953</v>
      </c>
    </row>
    <row r="13142" spans="1:26">
      <c r="A13142" s="499">
        <v>45939</v>
      </c>
      <c r="B13142" s="499">
        <v>45940</v>
      </c>
      <c r="C13142" s="420" t="s">
        <v>173</v>
      </c>
      <c r="D13142" s="500" t="s">
        <v>760</v>
      </c>
      <c r="E13142" s="501">
        <v>1400651706.6400001</v>
      </c>
      <c r="F13142" s="95" t="s">
        <v>878</v>
      </c>
      <c r="G13142" s="420">
        <v>119524067</v>
      </c>
      <c r="H13142" s="420">
        <v>119524067</v>
      </c>
      <c r="I13142" s="523" t="s">
        <v>705</v>
      </c>
      <c r="J13142" s="530" t="s">
        <v>912</v>
      </c>
      <c r="N13142" s="420">
        <v>1831200</v>
      </c>
      <c r="R13142" s="420">
        <v>764.55700000000002</v>
      </c>
      <c r="S13142" s="420">
        <v>764.88188435998302</v>
      </c>
      <c r="T13142" s="420">
        <v>15.51</v>
      </c>
      <c r="U13142" s="278">
        <v>2100.09</v>
      </c>
      <c r="V13142" s="278">
        <v>1050.04</v>
      </c>
      <c r="Z13142" s="420" t="s">
        <v>2953</v>
      </c>
    </row>
    <row r="13143" spans="1:26">
      <c r="A13143" s="499">
        <v>45939</v>
      </c>
      <c r="B13143" s="499">
        <v>45940</v>
      </c>
      <c r="C13143" s="420" t="s">
        <v>173</v>
      </c>
      <c r="D13143" s="500" t="s">
        <v>760</v>
      </c>
      <c r="E13143" s="501">
        <v>207104838.49000001</v>
      </c>
      <c r="F13143" s="95" t="s">
        <v>878</v>
      </c>
      <c r="G13143" s="420">
        <v>119524085</v>
      </c>
      <c r="H13143" s="420">
        <v>119524085</v>
      </c>
      <c r="I13143" s="523" t="s">
        <v>2556</v>
      </c>
      <c r="J13143" s="530" t="s">
        <v>912</v>
      </c>
      <c r="N13143" s="420">
        <v>2277000</v>
      </c>
      <c r="R13143" s="420">
        <v>90.916499999999999</v>
      </c>
      <c r="S13143" s="420">
        <v>90.955133285024203</v>
      </c>
      <c r="T13143" s="420">
        <v>15.51</v>
      </c>
      <c r="U13143" s="278">
        <v>310.52999999999997</v>
      </c>
      <c r="V13143" s="278">
        <v>155.26</v>
      </c>
      <c r="Z13143" s="420" t="s">
        <v>2953</v>
      </c>
    </row>
    <row r="13144" spans="1:26">
      <c r="A13144" s="499">
        <v>45939</v>
      </c>
      <c r="B13144" s="499">
        <v>45940</v>
      </c>
      <c r="C13144" s="420" t="s">
        <v>173</v>
      </c>
      <c r="D13144" s="500" t="s">
        <v>760</v>
      </c>
      <c r="E13144" s="501">
        <v>10012707.58</v>
      </c>
      <c r="F13144" s="95" t="s">
        <v>878</v>
      </c>
      <c r="G13144" s="420">
        <v>119524513</v>
      </c>
      <c r="H13144" s="420">
        <v>119524513</v>
      </c>
      <c r="I13144" s="523" t="s">
        <v>699</v>
      </c>
      <c r="J13144" s="530" t="s">
        <v>912</v>
      </c>
      <c r="N13144" s="420">
        <v>10870</v>
      </c>
      <c r="R13144" s="420">
        <v>920.74099999999999</v>
      </c>
      <c r="S13144" s="420">
        <v>921.13225206991694</v>
      </c>
      <c r="T13144" s="420">
        <v>15.51</v>
      </c>
      <c r="U13144" s="278">
        <v>39.32</v>
      </c>
      <c r="V13144" s="278">
        <v>7.51</v>
      </c>
      <c r="Z13144" s="420" t="s">
        <v>2953</v>
      </c>
    </row>
    <row r="13145" spans="1:26">
      <c r="A13145" s="499">
        <v>45939</v>
      </c>
      <c r="B13145" s="499">
        <v>45939</v>
      </c>
      <c r="C13145" s="420" t="s">
        <v>173</v>
      </c>
      <c r="D13145" s="500" t="s">
        <v>764</v>
      </c>
      <c r="E13145" s="501">
        <v>-4003584080</v>
      </c>
      <c r="F13145" s="95" t="s">
        <v>878</v>
      </c>
      <c r="G13145" s="420">
        <v>119524561</v>
      </c>
      <c r="I13145" s="523" t="s">
        <v>816</v>
      </c>
      <c r="J13145" s="530" t="s">
        <v>906</v>
      </c>
      <c r="N13145" s="420">
        <v>3760000</v>
      </c>
      <c r="R13145" s="420">
        <v>1064.7829999999999</v>
      </c>
      <c r="S13145" s="420">
        <v>1065.2365975585101</v>
      </c>
      <c r="T13145" s="420">
        <v>15.548999999999999</v>
      </c>
      <c r="U13145" s="278">
        <v>6005.38</v>
      </c>
      <c r="V13145" s="278">
        <v>3002.69</v>
      </c>
      <c r="Z13145" s="420" t="s">
        <v>2953</v>
      </c>
    </row>
    <row r="13146" spans="1:26">
      <c r="A13146" s="499">
        <v>45939</v>
      </c>
      <c r="B13146" s="499">
        <v>45939</v>
      </c>
      <c r="C13146" s="420" t="s">
        <v>173</v>
      </c>
      <c r="D13146" s="500" t="s">
        <v>764</v>
      </c>
      <c r="E13146" s="501">
        <v>-912771065.89999998</v>
      </c>
      <c r="F13146" s="95" t="s">
        <v>878</v>
      </c>
      <c r="G13146" s="420">
        <v>119524582</v>
      </c>
      <c r="I13146" s="523" t="s">
        <v>699</v>
      </c>
      <c r="J13146" s="530" t="s">
        <v>906</v>
      </c>
      <c r="N13146" s="420">
        <v>991344</v>
      </c>
      <c r="R13146" s="420">
        <v>920.74099999596501</v>
      </c>
      <c r="S13146" s="420">
        <v>921.13323565785402</v>
      </c>
      <c r="T13146" s="420">
        <v>15.548999999999999</v>
      </c>
      <c r="U13146" s="278">
        <v>1369.16</v>
      </c>
      <c r="V13146" s="278">
        <v>684.58</v>
      </c>
      <c r="Z13146" s="420" t="s">
        <v>2953</v>
      </c>
    </row>
    <row r="13147" spans="1:26">
      <c r="A13147" s="499">
        <v>45939</v>
      </c>
      <c r="B13147" s="499">
        <v>45939</v>
      </c>
      <c r="C13147" s="420" t="s">
        <v>173</v>
      </c>
      <c r="D13147" s="500" t="s">
        <v>764</v>
      </c>
      <c r="E13147" s="501">
        <v>-26001353.66</v>
      </c>
      <c r="F13147" s="95" t="s">
        <v>878</v>
      </c>
      <c r="G13147" s="420">
        <v>119524676</v>
      </c>
      <c r="I13147" s="523" t="s">
        <v>704</v>
      </c>
      <c r="J13147" s="530" t="s">
        <v>906</v>
      </c>
      <c r="N13147" s="420">
        <v>31148</v>
      </c>
      <c r="R13147" s="420">
        <v>834.76799987158086</v>
      </c>
      <c r="S13147" s="420">
        <v>835.12361114678299</v>
      </c>
      <c r="T13147" s="420">
        <v>15.548999999999999</v>
      </c>
      <c r="U13147" s="278">
        <v>39.32</v>
      </c>
      <c r="V13147" s="278">
        <v>19.5</v>
      </c>
      <c r="Z13147" s="420" t="s">
        <v>2953</v>
      </c>
    </row>
    <row r="13148" spans="1:26">
      <c r="A13148" s="499">
        <v>45939</v>
      </c>
      <c r="B13148" s="499">
        <v>45940</v>
      </c>
      <c r="C13148" s="420" t="s">
        <v>173</v>
      </c>
      <c r="D13148" s="500" t="s">
        <v>764</v>
      </c>
      <c r="E13148" s="501">
        <v>4005289606.8200002</v>
      </c>
      <c r="F13148" s="95" t="s">
        <v>878</v>
      </c>
      <c r="G13148" s="420">
        <v>119524561</v>
      </c>
      <c r="H13148" s="420">
        <v>119524561</v>
      </c>
      <c r="I13148" s="523" t="s">
        <v>816</v>
      </c>
      <c r="J13148" s="530" t="s">
        <v>912</v>
      </c>
      <c r="N13148" s="420">
        <v>3760000</v>
      </c>
      <c r="R13148" s="420">
        <v>1064.7829999999999</v>
      </c>
      <c r="S13148" s="420">
        <v>1065.2365975585101</v>
      </c>
      <c r="T13148" s="420">
        <v>15.548999999999999</v>
      </c>
      <c r="U13148" s="278">
        <v>6005.38</v>
      </c>
      <c r="V13148" s="278">
        <v>3002.69</v>
      </c>
      <c r="Z13148" s="420" t="s">
        <v>2953</v>
      </c>
    </row>
    <row r="13149" spans="1:26">
      <c r="A13149" s="499">
        <v>45939</v>
      </c>
      <c r="B13149" s="499">
        <v>45940</v>
      </c>
      <c r="C13149" s="420" t="s">
        <v>173</v>
      </c>
      <c r="D13149" s="500" t="s">
        <v>764</v>
      </c>
      <c r="E13149" s="501">
        <v>913159906.37</v>
      </c>
      <c r="F13149" s="95" t="s">
        <v>878</v>
      </c>
      <c r="G13149" s="420">
        <v>119524582</v>
      </c>
      <c r="H13149" s="420">
        <v>119524582</v>
      </c>
      <c r="I13149" s="523" t="s">
        <v>699</v>
      </c>
      <c r="J13149" s="530" t="s">
        <v>912</v>
      </c>
      <c r="N13149" s="420">
        <v>991344</v>
      </c>
      <c r="R13149" s="420">
        <v>920.74099999596501</v>
      </c>
      <c r="S13149" s="420">
        <v>921.13323565785402</v>
      </c>
      <c r="T13149" s="420">
        <v>15.548999999999999</v>
      </c>
      <c r="U13149" s="278">
        <v>1369.16</v>
      </c>
      <c r="V13149" s="278">
        <v>684.58</v>
      </c>
      <c r="Z13149" s="420" t="s">
        <v>2953</v>
      </c>
    </row>
    <row r="13150" spans="1:26">
      <c r="A13150" s="499">
        <v>45939</v>
      </c>
      <c r="B13150" s="499">
        <v>45940</v>
      </c>
      <c r="C13150" s="420" t="s">
        <v>173</v>
      </c>
      <c r="D13150" s="500" t="s">
        <v>764</v>
      </c>
      <c r="E13150" s="501">
        <v>26012430.239999998</v>
      </c>
      <c r="F13150" s="95" t="s">
        <v>878</v>
      </c>
      <c r="G13150" s="420">
        <v>119524676</v>
      </c>
      <c r="H13150" s="420">
        <v>119524676</v>
      </c>
      <c r="I13150" s="523" t="s">
        <v>704</v>
      </c>
      <c r="J13150" s="530" t="s">
        <v>912</v>
      </c>
      <c r="N13150" s="420">
        <v>31148</v>
      </c>
      <c r="R13150" s="420">
        <v>834.76799987158086</v>
      </c>
      <c r="S13150" s="420">
        <v>835.12361114678299</v>
      </c>
      <c r="T13150" s="420">
        <v>15.548999999999999</v>
      </c>
      <c r="U13150" s="278">
        <v>39.32</v>
      </c>
      <c r="V13150" s="278">
        <v>19.5</v>
      </c>
      <c r="Z13150" s="420" t="s">
        <v>2953</v>
      </c>
    </row>
    <row r="13151" spans="1:26">
      <c r="A13151" s="499">
        <v>45939</v>
      </c>
      <c r="B13151" s="499">
        <v>45939</v>
      </c>
      <c r="C13151" s="420" t="s">
        <v>173</v>
      </c>
      <c r="D13151" s="500" t="s">
        <v>763</v>
      </c>
      <c r="E13151" s="501">
        <v>-1587443437.95</v>
      </c>
      <c r="F13151" s="95" t="s">
        <v>878</v>
      </c>
      <c r="G13151" s="420">
        <v>119526784</v>
      </c>
      <c r="I13151" s="523" t="s">
        <v>674</v>
      </c>
      <c r="J13151" s="530" t="s">
        <v>906</v>
      </c>
      <c r="N13151" s="420">
        <v>1747287</v>
      </c>
      <c r="R13151" s="420">
        <v>908.51900000000001</v>
      </c>
      <c r="S13151" s="420">
        <v>908.90506830303195</v>
      </c>
      <c r="T13151" s="420">
        <v>15.510400000000001</v>
      </c>
      <c r="U13151" s="278">
        <v>2381.17</v>
      </c>
      <c r="V13151" s="278">
        <v>1190.58</v>
      </c>
      <c r="Z13151" s="420" t="s">
        <v>2953</v>
      </c>
    </row>
    <row r="13152" spans="1:26">
      <c r="A13152" s="499">
        <v>45939</v>
      </c>
      <c r="B13152" s="499">
        <v>45939</v>
      </c>
      <c r="C13152" s="420" t="s">
        <v>173</v>
      </c>
      <c r="D13152" s="500" t="s">
        <v>763</v>
      </c>
      <c r="E13152" s="501">
        <v>-301115514.17000002</v>
      </c>
      <c r="F13152" s="95" t="s">
        <v>878</v>
      </c>
      <c r="G13152" s="420">
        <v>119526787</v>
      </c>
      <c r="I13152" s="523" t="s">
        <v>1741</v>
      </c>
      <c r="J13152" s="530" t="s">
        <v>906</v>
      </c>
      <c r="N13152" s="420">
        <v>296786</v>
      </c>
      <c r="R13152" s="420">
        <v>1014.588</v>
      </c>
      <c r="S13152" s="420">
        <v>1015.01914153633</v>
      </c>
      <c r="T13152" s="420">
        <v>15.510400000000001</v>
      </c>
      <c r="U13152" s="278">
        <v>451.67</v>
      </c>
      <c r="V13152" s="278">
        <v>225.84</v>
      </c>
      <c r="Z13152" s="420" t="s">
        <v>2953</v>
      </c>
    </row>
    <row r="13153" spans="1:26">
      <c r="A13153" s="499">
        <v>45939</v>
      </c>
      <c r="B13153" s="499">
        <v>45939</v>
      </c>
      <c r="C13153" s="420" t="s">
        <v>173</v>
      </c>
      <c r="D13153" s="500" t="s">
        <v>763</v>
      </c>
      <c r="E13153" s="501">
        <v>-115099010.40000001</v>
      </c>
      <c r="F13153" s="95" t="s">
        <v>878</v>
      </c>
      <c r="G13153" s="420">
        <v>119526793</v>
      </c>
      <c r="I13153" s="523" t="s">
        <v>678</v>
      </c>
      <c r="J13153" s="530" t="s">
        <v>906</v>
      </c>
      <c r="N13153" s="420">
        <v>120520</v>
      </c>
      <c r="R13153" s="420">
        <v>955.02</v>
      </c>
      <c r="S13153" s="420">
        <v>955.42582592100905</v>
      </c>
      <c r="T13153" s="420">
        <v>15.510300000000001</v>
      </c>
      <c r="U13153" s="278">
        <v>172.65</v>
      </c>
      <c r="V13153" s="278">
        <v>86.32</v>
      </c>
      <c r="Z13153" s="420" t="s">
        <v>2953</v>
      </c>
    </row>
    <row r="13154" spans="1:26">
      <c r="A13154" s="499">
        <v>45939</v>
      </c>
      <c r="B13154" s="499">
        <v>45939</v>
      </c>
      <c r="C13154" s="420" t="s">
        <v>173</v>
      </c>
      <c r="D13154" s="500" t="s">
        <v>763</v>
      </c>
      <c r="E13154" s="501">
        <v>-52020983.630000003</v>
      </c>
      <c r="F13154" s="95" t="s">
        <v>878</v>
      </c>
      <c r="G13154" s="420">
        <v>119526790</v>
      </c>
      <c r="I13154" s="523" t="s">
        <v>631</v>
      </c>
      <c r="J13154" s="530" t="s">
        <v>906</v>
      </c>
      <c r="N13154" s="420">
        <v>99372</v>
      </c>
      <c r="R13154" s="420">
        <v>523.49739999999997</v>
      </c>
      <c r="S13154" s="420">
        <v>523.71985629754897</v>
      </c>
      <c r="T13154" s="420">
        <v>15.510400000000001</v>
      </c>
      <c r="U13154" s="278">
        <v>78.03</v>
      </c>
      <c r="V13154" s="278">
        <v>39.32</v>
      </c>
      <c r="Z13154" s="420" t="s">
        <v>2953</v>
      </c>
    </row>
    <row r="13155" spans="1:26">
      <c r="A13155" s="499">
        <v>45939</v>
      </c>
      <c r="B13155" s="499">
        <v>45939</v>
      </c>
      <c r="C13155" s="420" t="s">
        <v>173</v>
      </c>
      <c r="D13155" s="500" t="s">
        <v>763</v>
      </c>
      <c r="E13155" s="501">
        <v>-35014123.600000001</v>
      </c>
      <c r="F13155" s="95" t="s">
        <v>878</v>
      </c>
      <c r="G13155" s="420">
        <v>119526781</v>
      </c>
      <c r="I13155" s="523" t="s">
        <v>631</v>
      </c>
      <c r="J13155" s="530" t="s">
        <v>906</v>
      </c>
      <c r="N13155" s="420">
        <v>66885</v>
      </c>
      <c r="R13155" s="420">
        <v>523.49739999999997</v>
      </c>
      <c r="S13155" s="420">
        <v>523.71985632054998</v>
      </c>
      <c r="T13155" s="420">
        <v>15.510400000000001</v>
      </c>
      <c r="U13155" s="278">
        <v>52.52</v>
      </c>
      <c r="V13155" s="278">
        <v>39.32</v>
      </c>
      <c r="Z13155" s="420" t="s">
        <v>2953</v>
      </c>
    </row>
    <row r="13156" spans="1:26">
      <c r="A13156" s="499">
        <v>45939</v>
      </c>
      <c r="B13156" s="499">
        <v>45939</v>
      </c>
      <c r="C13156" s="420" t="s">
        <v>173</v>
      </c>
      <c r="D13156" s="500" t="s">
        <v>763</v>
      </c>
      <c r="E13156" s="501">
        <v>-13001802.960000001</v>
      </c>
      <c r="F13156" s="95" t="s">
        <v>878</v>
      </c>
      <c r="G13156" s="420">
        <v>119526830</v>
      </c>
      <c r="I13156" s="523" t="s">
        <v>588</v>
      </c>
      <c r="J13156" s="530" t="s">
        <v>906</v>
      </c>
      <c r="N13156" s="420">
        <v>14157</v>
      </c>
      <c r="R13156" s="420">
        <v>918.40099999999995</v>
      </c>
      <c r="S13156" s="420">
        <v>918.79128558310401</v>
      </c>
      <c r="T13156" s="420">
        <v>15.511100000000001</v>
      </c>
      <c r="U13156" s="278">
        <v>39.32</v>
      </c>
      <c r="V13156" s="278">
        <v>39.32</v>
      </c>
      <c r="Z13156" s="420" t="s">
        <v>2953</v>
      </c>
    </row>
    <row r="13157" spans="1:26">
      <c r="A13157" s="499">
        <v>45939</v>
      </c>
      <c r="B13157" s="499">
        <v>45939</v>
      </c>
      <c r="C13157" s="420" t="s">
        <v>173</v>
      </c>
      <c r="D13157" s="500" t="s">
        <v>763</v>
      </c>
      <c r="E13157" s="501">
        <v>-10008960.199999999</v>
      </c>
      <c r="F13157" s="95" t="s">
        <v>878</v>
      </c>
      <c r="G13157" s="420">
        <v>119526796</v>
      </c>
      <c r="I13157" s="523" t="s">
        <v>816</v>
      </c>
      <c r="J13157" s="530" t="s">
        <v>906</v>
      </c>
      <c r="N13157" s="420">
        <v>9400</v>
      </c>
      <c r="R13157" s="420">
        <v>1064.7829999999999</v>
      </c>
      <c r="S13157" s="420">
        <v>1065.2354680851099</v>
      </c>
      <c r="T13157" s="420">
        <v>15.510300000000001</v>
      </c>
      <c r="U13157" s="278">
        <v>39.32</v>
      </c>
      <c r="V13157" s="278">
        <v>39.32</v>
      </c>
      <c r="Z13157" s="420" t="s">
        <v>2953</v>
      </c>
    </row>
    <row r="13158" spans="1:26">
      <c r="A13158" s="499">
        <v>45939</v>
      </c>
      <c r="B13158" s="499">
        <v>45940</v>
      </c>
      <c r="C13158" s="420" t="s">
        <v>173</v>
      </c>
      <c r="D13158" s="500" t="s">
        <v>763</v>
      </c>
      <c r="E13158" s="501">
        <v>1588118010.0799999</v>
      </c>
      <c r="F13158" s="95" t="s">
        <v>878</v>
      </c>
      <c r="G13158" s="420">
        <v>119526784</v>
      </c>
      <c r="H13158" s="420">
        <v>119526784</v>
      </c>
      <c r="I13158" s="523" t="s">
        <v>674</v>
      </c>
      <c r="J13158" s="530" t="s">
        <v>912</v>
      </c>
      <c r="N13158" s="420">
        <v>1747287</v>
      </c>
      <c r="R13158" s="420">
        <v>908.51900000000001</v>
      </c>
      <c r="S13158" s="420">
        <v>908.90506830303195</v>
      </c>
      <c r="T13158" s="420">
        <v>15.510400000000001</v>
      </c>
      <c r="U13158" s="278">
        <v>2381.17</v>
      </c>
      <c r="V13158" s="278">
        <v>1190.58</v>
      </c>
      <c r="Z13158" s="420" t="s">
        <v>2953</v>
      </c>
    </row>
    <row r="13159" spans="1:26">
      <c r="A13159" s="499">
        <v>45939</v>
      </c>
      <c r="B13159" s="499">
        <v>45940</v>
      </c>
      <c r="C13159" s="420" t="s">
        <v>173</v>
      </c>
      <c r="D13159" s="500" t="s">
        <v>763</v>
      </c>
      <c r="E13159" s="501">
        <v>301243470.94</v>
      </c>
      <c r="F13159" s="95" t="s">
        <v>878</v>
      </c>
      <c r="G13159" s="420">
        <v>119526787</v>
      </c>
      <c r="H13159" s="420">
        <v>119526787</v>
      </c>
      <c r="I13159" s="523" t="s">
        <v>1741</v>
      </c>
      <c r="J13159" s="530" t="s">
        <v>912</v>
      </c>
      <c r="N13159" s="420">
        <v>296786</v>
      </c>
      <c r="R13159" s="420">
        <v>1014.588</v>
      </c>
      <c r="S13159" s="420">
        <v>1015.01914153633</v>
      </c>
      <c r="T13159" s="420">
        <v>15.510400000000001</v>
      </c>
      <c r="U13159" s="278">
        <v>451.67</v>
      </c>
      <c r="V13159" s="278">
        <v>225.84</v>
      </c>
      <c r="Z13159" s="420" t="s">
        <v>2953</v>
      </c>
    </row>
    <row r="13160" spans="1:26">
      <c r="A13160" s="499">
        <v>45939</v>
      </c>
      <c r="B13160" s="499">
        <v>45940</v>
      </c>
      <c r="C13160" s="420" t="s">
        <v>173</v>
      </c>
      <c r="D13160" s="500" t="s">
        <v>763</v>
      </c>
      <c r="E13160" s="501">
        <v>115147920.54000001</v>
      </c>
      <c r="F13160" s="95" t="s">
        <v>878</v>
      </c>
      <c r="G13160" s="420">
        <v>119526793</v>
      </c>
      <c r="H13160" s="420">
        <v>119526793</v>
      </c>
      <c r="I13160" s="523" t="s">
        <v>678</v>
      </c>
      <c r="J13160" s="530" t="s">
        <v>912</v>
      </c>
      <c r="N13160" s="420">
        <v>120520</v>
      </c>
      <c r="R13160" s="420">
        <v>955.02</v>
      </c>
      <c r="S13160" s="420">
        <v>955.42582592100905</v>
      </c>
      <c r="T13160" s="420">
        <v>15.510300000000001</v>
      </c>
      <c r="U13160" s="278">
        <v>172.65</v>
      </c>
      <c r="V13160" s="278">
        <v>86.32</v>
      </c>
      <c r="Z13160" s="420" t="s">
        <v>2953</v>
      </c>
    </row>
    <row r="13161" spans="1:26">
      <c r="A13161" s="499">
        <v>45939</v>
      </c>
      <c r="B13161" s="499">
        <v>45940</v>
      </c>
      <c r="C13161" s="420" t="s">
        <v>173</v>
      </c>
      <c r="D13161" s="500" t="s">
        <v>763</v>
      </c>
      <c r="E13161" s="501">
        <v>52043089.560000002</v>
      </c>
      <c r="F13161" s="95" t="s">
        <v>878</v>
      </c>
      <c r="G13161" s="420">
        <v>119526790</v>
      </c>
      <c r="H13161" s="420">
        <v>119526790</v>
      </c>
      <c r="I13161" s="523" t="s">
        <v>631</v>
      </c>
      <c r="J13161" s="530" t="s">
        <v>912</v>
      </c>
      <c r="N13161" s="420">
        <v>99372</v>
      </c>
      <c r="R13161" s="420">
        <v>523.49739999999997</v>
      </c>
      <c r="S13161" s="420">
        <v>523.71985629754897</v>
      </c>
      <c r="T13161" s="420">
        <v>15.510400000000001</v>
      </c>
      <c r="U13161" s="278">
        <v>78.03</v>
      </c>
      <c r="V13161" s="278">
        <v>39.32</v>
      </c>
      <c r="Z13161" s="420" t="s">
        <v>2953</v>
      </c>
    </row>
    <row r="13162" spans="1:26">
      <c r="A13162" s="499">
        <v>45939</v>
      </c>
      <c r="B13162" s="499">
        <v>45940</v>
      </c>
      <c r="C13162" s="420" t="s">
        <v>173</v>
      </c>
      <c r="D13162" s="500" t="s">
        <v>763</v>
      </c>
      <c r="E13162" s="501">
        <v>35029002.590000004</v>
      </c>
      <c r="F13162" s="95" t="s">
        <v>878</v>
      </c>
      <c r="G13162" s="420">
        <v>119526781</v>
      </c>
      <c r="H13162" s="420">
        <v>119526781</v>
      </c>
      <c r="I13162" s="523" t="s">
        <v>631</v>
      </c>
      <c r="J13162" s="530" t="s">
        <v>912</v>
      </c>
      <c r="N13162" s="420">
        <v>66885</v>
      </c>
      <c r="R13162" s="420">
        <v>523.49739999999997</v>
      </c>
      <c r="S13162" s="420">
        <v>523.71985632054998</v>
      </c>
      <c r="T13162" s="420">
        <v>15.510400000000001</v>
      </c>
      <c r="U13162" s="278">
        <v>52.52</v>
      </c>
      <c r="V13162" s="278">
        <v>39.32</v>
      </c>
      <c r="Z13162" s="420" t="s">
        <v>2953</v>
      </c>
    </row>
    <row r="13163" spans="1:26">
      <c r="A13163" s="499">
        <v>45939</v>
      </c>
      <c r="B13163" s="499">
        <v>45940</v>
      </c>
      <c r="C13163" s="420" t="s">
        <v>173</v>
      </c>
      <c r="D13163" s="500" t="s">
        <v>763</v>
      </c>
      <c r="E13163" s="501">
        <v>13007328.23</v>
      </c>
      <c r="F13163" s="95" t="s">
        <v>878</v>
      </c>
      <c r="G13163" s="420">
        <v>119526830</v>
      </c>
      <c r="H13163" s="420">
        <v>119526830</v>
      </c>
      <c r="I13163" s="523" t="s">
        <v>588</v>
      </c>
      <c r="J13163" s="530" t="s">
        <v>912</v>
      </c>
      <c r="N13163" s="420">
        <v>14157</v>
      </c>
      <c r="R13163" s="420">
        <v>918.40099999999995</v>
      </c>
      <c r="S13163" s="420">
        <v>918.79128558310401</v>
      </c>
      <c r="T13163" s="420">
        <v>15.511100000000001</v>
      </c>
      <c r="U13163" s="278">
        <v>39.32</v>
      </c>
      <c r="V13163" s="278">
        <v>39.32</v>
      </c>
      <c r="Z13163" s="420" t="s">
        <v>2953</v>
      </c>
    </row>
    <row r="13164" spans="1:26">
      <c r="A13164" s="499">
        <v>45939</v>
      </c>
      <c r="B13164" s="499">
        <v>45940</v>
      </c>
      <c r="C13164" s="420" t="s">
        <v>173</v>
      </c>
      <c r="D13164" s="500" t="s">
        <v>763</v>
      </c>
      <c r="E13164" s="501">
        <v>10013213.4</v>
      </c>
      <c r="F13164" s="95" t="s">
        <v>878</v>
      </c>
      <c r="G13164" s="420">
        <v>119526796</v>
      </c>
      <c r="H13164" s="420">
        <v>119526796</v>
      </c>
      <c r="I13164" s="523" t="s">
        <v>816</v>
      </c>
      <c r="J13164" s="530" t="s">
        <v>912</v>
      </c>
      <c r="N13164" s="420">
        <v>9400</v>
      </c>
      <c r="R13164" s="420">
        <v>1064.7829999999999</v>
      </c>
      <c r="S13164" s="420">
        <v>1065.2354680851099</v>
      </c>
      <c r="T13164" s="420">
        <v>15.510300000000001</v>
      </c>
      <c r="U13164" s="278">
        <v>39.32</v>
      </c>
      <c r="V13164" s="278">
        <v>39.32</v>
      </c>
      <c r="Z13164" s="420" t="s">
        <v>2953</v>
      </c>
    </row>
    <row r="13165" spans="1:26">
      <c r="A13165" s="499">
        <v>45940</v>
      </c>
      <c r="B13165" s="499">
        <v>45940</v>
      </c>
      <c r="C13165" s="420" t="s">
        <v>173</v>
      </c>
      <c r="D13165" s="500" t="s">
        <v>762</v>
      </c>
      <c r="E13165" s="501">
        <v>-2829330141.4699998</v>
      </c>
      <c r="F13165" s="95" t="s">
        <v>878</v>
      </c>
      <c r="G13165" s="420">
        <v>119585934</v>
      </c>
      <c r="H13165" s="420"/>
      <c r="I13165" s="523" t="s">
        <v>2856</v>
      </c>
      <c r="J13165" s="530" t="s">
        <v>906</v>
      </c>
      <c r="N13165" s="420">
        <v>4998843</v>
      </c>
      <c r="R13165" s="558">
        <v>565.99699999999996</v>
      </c>
      <c r="S13165" s="558">
        <v>566.74132482256402</v>
      </c>
      <c r="T13165" s="567">
        <v>16</v>
      </c>
      <c r="U13165" s="538">
        <v>12731.99</v>
      </c>
      <c r="V13165" s="538">
        <v>6365.99</v>
      </c>
      <c r="Z13165" s="539" t="s">
        <v>2953</v>
      </c>
    </row>
    <row r="13166" spans="1:26">
      <c r="A13166" s="499">
        <v>45940</v>
      </c>
      <c r="B13166" s="499">
        <v>45940</v>
      </c>
      <c r="C13166" s="420" t="s">
        <v>173</v>
      </c>
      <c r="D13166" s="500" t="s">
        <v>762</v>
      </c>
      <c r="E13166" s="501">
        <v>-1282023397.78</v>
      </c>
      <c r="F13166" s="95" t="s">
        <v>878</v>
      </c>
      <c r="G13166" s="420">
        <v>119586871</v>
      </c>
      <c r="H13166" s="420"/>
      <c r="I13166" s="523" t="s">
        <v>707</v>
      </c>
      <c r="J13166" s="530" t="s">
        <v>906</v>
      </c>
      <c r="N13166" s="420">
        <v>1811466</v>
      </c>
      <c r="R13166" s="558">
        <v>707.72699999999998</v>
      </c>
      <c r="S13166" s="558">
        <v>708.65770947950398</v>
      </c>
      <c r="T13166" s="567">
        <v>16</v>
      </c>
      <c r="U13166" s="538">
        <v>5769.11</v>
      </c>
      <c r="V13166" s="538">
        <v>2884.55</v>
      </c>
      <c r="Z13166" s="539" t="s">
        <v>2953</v>
      </c>
    </row>
    <row r="13167" spans="1:26">
      <c r="A13167" s="499">
        <v>45940</v>
      </c>
      <c r="B13167" s="499">
        <v>45940</v>
      </c>
      <c r="C13167" s="420" t="s">
        <v>173</v>
      </c>
      <c r="D13167" s="500" t="s">
        <v>762</v>
      </c>
      <c r="E13167" s="501">
        <v>-26008661.02</v>
      </c>
      <c r="F13167" s="95" t="s">
        <v>878</v>
      </c>
      <c r="G13167" s="420">
        <v>119588692</v>
      </c>
      <c r="H13167" s="420"/>
      <c r="I13167" s="523" t="s">
        <v>678</v>
      </c>
      <c r="J13167" s="530" t="s">
        <v>906</v>
      </c>
      <c r="N13167" s="420">
        <v>27222</v>
      </c>
      <c r="R13167" s="558">
        <v>955.428</v>
      </c>
      <c r="S13167" s="558">
        <v>956.68445338329298</v>
      </c>
      <c r="T13167" s="567">
        <v>16</v>
      </c>
      <c r="U13167" s="538">
        <v>117.04</v>
      </c>
      <c r="V13167" s="538">
        <v>58.52</v>
      </c>
      <c r="Z13167" s="539" t="s">
        <v>2953</v>
      </c>
    </row>
    <row r="13168" spans="1:26">
      <c r="A13168" s="499">
        <v>45940</v>
      </c>
      <c r="B13168" s="499">
        <v>45943</v>
      </c>
      <c r="C13168" s="420" t="s">
        <v>173</v>
      </c>
      <c r="D13168" s="500" t="s">
        <v>762</v>
      </c>
      <c r="E13168" s="501">
        <v>2833050904.4000001</v>
      </c>
      <c r="F13168" s="95" t="s">
        <v>878</v>
      </c>
      <c r="G13168" s="420">
        <v>119585934</v>
      </c>
      <c r="H13168" s="420">
        <v>119585934</v>
      </c>
      <c r="I13168" s="523" t="s">
        <v>2856</v>
      </c>
      <c r="J13168" s="530" t="s">
        <v>912</v>
      </c>
      <c r="N13168" s="420">
        <v>4998843</v>
      </c>
      <c r="R13168" s="558">
        <v>565.99699999999996</v>
      </c>
      <c r="S13168" s="558">
        <v>566.74132482256402</v>
      </c>
      <c r="T13168" s="567">
        <v>16</v>
      </c>
      <c r="U13168" s="538">
        <v>12731.99</v>
      </c>
      <c r="V13168" s="538">
        <v>6365.99</v>
      </c>
      <c r="Z13168" s="539" t="s">
        <v>2953</v>
      </c>
    </row>
    <row r="13169" spans="1:26">
      <c r="A13169" s="499">
        <v>45940</v>
      </c>
      <c r="B13169" s="499">
        <v>45943</v>
      </c>
      <c r="C13169" s="420" t="s">
        <v>173</v>
      </c>
      <c r="D13169" s="500" t="s">
        <v>762</v>
      </c>
      <c r="E13169" s="501">
        <v>1283709346.3599999</v>
      </c>
      <c r="F13169" s="95" t="s">
        <v>878</v>
      </c>
      <c r="G13169" s="420">
        <v>119586871</v>
      </c>
      <c r="H13169" s="420">
        <v>119586871</v>
      </c>
      <c r="I13169" s="523" t="s">
        <v>707</v>
      </c>
      <c r="J13169" s="530" t="s">
        <v>912</v>
      </c>
      <c r="N13169" s="420">
        <v>1811466</v>
      </c>
      <c r="R13169" s="558">
        <v>707.72699999999998</v>
      </c>
      <c r="S13169" s="558">
        <v>708.65770947950398</v>
      </c>
      <c r="T13169" s="567">
        <v>16</v>
      </c>
      <c r="U13169" s="538">
        <v>5769.11</v>
      </c>
      <c r="V13169" s="538">
        <v>2884.55</v>
      </c>
      <c r="Z13169" s="539" t="s">
        <v>2953</v>
      </c>
    </row>
    <row r="13170" spans="1:26">
      <c r="A13170" s="499">
        <v>45940</v>
      </c>
      <c r="B13170" s="499">
        <v>45943</v>
      </c>
      <c r="C13170" s="420" t="s">
        <v>173</v>
      </c>
      <c r="D13170" s="500" t="s">
        <v>762</v>
      </c>
      <c r="E13170" s="501">
        <v>26042864.190000001</v>
      </c>
      <c r="F13170" s="95" t="s">
        <v>878</v>
      </c>
      <c r="G13170" s="420">
        <v>119588692</v>
      </c>
      <c r="H13170" s="420">
        <v>119588692</v>
      </c>
      <c r="I13170" s="523" t="s">
        <v>678</v>
      </c>
      <c r="J13170" s="530" t="s">
        <v>912</v>
      </c>
      <c r="N13170" s="420">
        <v>27222</v>
      </c>
      <c r="R13170" s="558">
        <v>955.428</v>
      </c>
      <c r="S13170" s="558">
        <v>956.68445338329298</v>
      </c>
      <c r="T13170" s="567">
        <v>16</v>
      </c>
      <c r="U13170" s="538">
        <v>117.04</v>
      </c>
      <c r="V13170" s="538">
        <v>58.52</v>
      </c>
      <c r="Z13170" s="539" t="s">
        <v>2953</v>
      </c>
    </row>
    <row r="13171" spans="1:26">
      <c r="A13171" s="499">
        <v>45940</v>
      </c>
      <c r="B13171" s="499">
        <v>45940</v>
      </c>
      <c r="C13171" s="420" t="s">
        <v>173</v>
      </c>
      <c r="D13171" s="500" t="s">
        <v>764</v>
      </c>
      <c r="E13171" s="501">
        <v>-2715986821.0500002</v>
      </c>
      <c r="F13171" s="95" t="s">
        <v>878</v>
      </c>
      <c r="G13171" s="420">
        <v>119565584</v>
      </c>
      <c r="I13171" s="523" t="s">
        <v>699</v>
      </c>
      <c r="J13171" s="530" t="s">
        <v>906</v>
      </c>
      <c r="N13171" s="420">
        <v>2948490</v>
      </c>
      <c r="R13171" s="420">
        <v>921.1450000000001</v>
      </c>
      <c r="S13171" s="420">
        <v>922.34122665839095</v>
      </c>
      <c r="T13171" s="420">
        <v>15.8</v>
      </c>
      <c r="U13171" s="278">
        <v>12221.94</v>
      </c>
      <c r="V13171" s="278">
        <v>6110.97</v>
      </c>
      <c r="Z13171" s="420" t="s">
        <v>2953</v>
      </c>
    </row>
    <row r="13172" spans="1:26">
      <c r="A13172" s="499">
        <v>45940</v>
      </c>
      <c r="B13172" s="499">
        <v>45940</v>
      </c>
      <c r="C13172" s="420" t="s">
        <v>173</v>
      </c>
      <c r="D13172" s="500" t="s">
        <v>764</v>
      </c>
      <c r="E13172" s="501">
        <v>-2199799270.5300002</v>
      </c>
      <c r="F13172" s="95" t="s">
        <v>878</v>
      </c>
      <c r="G13172" s="420">
        <v>119565595</v>
      </c>
      <c r="I13172" s="523" t="s">
        <v>699</v>
      </c>
      <c r="J13172" s="530" t="s">
        <v>906</v>
      </c>
      <c r="N13172" s="420">
        <v>2388114</v>
      </c>
      <c r="R13172" s="420">
        <v>921.1450000000001</v>
      </c>
      <c r="S13172" s="420">
        <v>922.34122665835901</v>
      </c>
      <c r="T13172" s="420">
        <v>15.8</v>
      </c>
      <c r="U13172" s="278">
        <v>9899.1</v>
      </c>
      <c r="V13172" s="278">
        <v>4949.55</v>
      </c>
      <c r="Z13172" s="420" t="s">
        <v>2953</v>
      </c>
    </row>
    <row r="13173" spans="1:26">
      <c r="A13173" s="499">
        <v>45940</v>
      </c>
      <c r="B13173" s="499">
        <v>45940</v>
      </c>
      <c r="C13173" s="420" t="s">
        <v>173</v>
      </c>
      <c r="D13173" s="500" t="s">
        <v>764</v>
      </c>
      <c r="E13173" s="501">
        <v>-29010540.629999999</v>
      </c>
      <c r="F13173" s="95" t="s">
        <v>878</v>
      </c>
      <c r="G13173" s="420">
        <v>119565641</v>
      </c>
      <c r="I13173" s="523" t="s">
        <v>699</v>
      </c>
      <c r="J13173" s="530" t="s">
        <v>906</v>
      </c>
      <c r="N13173" s="420">
        <v>31494</v>
      </c>
      <c r="R13173" s="420">
        <v>921.14499999999998</v>
      </c>
      <c r="S13173" s="420">
        <v>922.34122658284105</v>
      </c>
      <c r="T13173" s="420">
        <v>15.8</v>
      </c>
      <c r="U13173" s="278">
        <v>130.55000000000001</v>
      </c>
      <c r="V13173" s="278">
        <v>65.27</v>
      </c>
      <c r="Z13173" s="420" t="s">
        <v>2953</v>
      </c>
    </row>
    <row r="13174" spans="1:26">
      <c r="A13174" s="499">
        <v>45940</v>
      </c>
      <c r="B13174" s="499">
        <v>45943</v>
      </c>
      <c r="C13174" s="420" t="s">
        <v>173</v>
      </c>
      <c r="D13174" s="500" t="s">
        <v>764</v>
      </c>
      <c r="E13174" s="501">
        <v>2719513883.3899999</v>
      </c>
      <c r="F13174" s="95" t="s">
        <v>878</v>
      </c>
      <c r="G13174" s="420">
        <v>119565584</v>
      </c>
      <c r="H13174" s="420">
        <v>119565584</v>
      </c>
      <c r="I13174" s="523" t="s">
        <v>699</v>
      </c>
      <c r="J13174" s="530" t="s">
        <v>912</v>
      </c>
      <c r="N13174" s="420">
        <v>2948490</v>
      </c>
      <c r="R13174" s="420">
        <v>921.1450000000001</v>
      </c>
      <c r="S13174" s="420">
        <v>922.34122665839095</v>
      </c>
      <c r="T13174" s="420">
        <v>15.8</v>
      </c>
      <c r="U13174" s="278">
        <v>12221.94</v>
      </c>
      <c r="V13174" s="278">
        <v>6110.97</v>
      </c>
      <c r="Z13174" s="420" t="s">
        <v>2953</v>
      </c>
    </row>
    <row r="13175" spans="1:26">
      <c r="A13175" s="499">
        <v>45940</v>
      </c>
      <c r="B13175" s="499">
        <v>45943</v>
      </c>
      <c r="C13175" s="420" t="s">
        <v>173</v>
      </c>
      <c r="D13175" s="500" t="s">
        <v>764</v>
      </c>
      <c r="E13175" s="501">
        <v>2202655996.1599998</v>
      </c>
      <c r="F13175" s="95" t="s">
        <v>878</v>
      </c>
      <c r="G13175" s="420">
        <v>119565595</v>
      </c>
      <c r="H13175" s="420">
        <v>119565595</v>
      </c>
      <c r="I13175" s="523" t="s">
        <v>699</v>
      </c>
      <c r="J13175" s="530" t="s">
        <v>912</v>
      </c>
      <c r="N13175" s="420">
        <v>2388114</v>
      </c>
      <c r="R13175" s="420">
        <v>921.1450000000001</v>
      </c>
      <c r="S13175" s="420">
        <v>922.34122665835901</v>
      </c>
      <c r="T13175" s="420">
        <v>15.8</v>
      </c>
      <c r="U13175" s="278">
        <v>9899.1</v>
      </c>
      <c r="V13175" s="278">
        <v>4949.55</v>
      </c>
      <c r="Z13175" s="420" t="s">
        <v>2953</v>
      </c>
    </row>
    <row r="13176" spans="1:26">
      <c r="A13176" s="499">
        <v>45940</v>
      </c>
      <c r="B13176" s="499">
        <v>45943</v>
      </c>
      <c r="C13176" s="420" t="s">
        <v>173</v>
      </c>
      <c r="D13176" s="500" t="s">
        <v>764</v>
      </c>
      <c r="E13176" s="501">
        <v>29048214.59</v>
      </c>
      <c r="F13176" s="95" t="s">
        <v>878</v>
      </c>
      <c r="G13176" s="420">
        <v>119565641</v>
      </c>
      <c r="H13176" s="420">
        <v>119565641</v>
      </c>
      <c r="I13176" s="523" t="s">
        <v>699</v>
      </c>
      <c r="J13176" s="530" t="s">
        <v>912</v>
      </c>
      <c r="N13176" s="420">
        <v>31494</v>
      </c>
      <c r="R13176" s="420">
        <v>921.14499999999998</v>
      </c>
      <c r="S13176" s="420">
        <v>922.34122658284105</v>
      </c>
      <c r="T13176" s="420">
        <v>15.8</v>
      </c>
      <c r="U13176" s="278">
        <v>130.55000000000001</v>
      </c>
      <c r="V13176" s="278">
        <v>65.27</v>
      </c>
      <c r="Z13176" s="420" t="s">
        <v>2953</v>
      </c>
    </row>
    <row r="13177" spans="1:26">
      <c r="A13177" s="499">
        <v>45940</v>
      </c>
      <c r="B13177" s="499">
        <v>45940</v>
      </c>
      <c r="C13177" s="420" t="s">
        <v>173</v>
      </c>
      <c r="D13177" s="500" t="s">
        <v>763</v>
      </c>
      <c r="E13177" s="501">
        <v>-2101763650.47</v>
      </c>
      <c r="F13177" s="95" t="s">
        <v>878</v>
      </c>
      <c r="G13177" s="420">
        <v>119565009</v>
      </c>
      <c r="I13177" s="523" t="s">
        <v>699</v>
      </c>
      <c r="J13177" s="530" t="s">
        <v>906</v>
      </c>
      <c r="N13177" s="420">
        <v>2281686</v>
      </c>
      <c r="R13177" s="420">
        <v>921.14499999999998</v>
      </c>
      <c r="S13177" s="420">
        <v>922.33744112906004</v>
      </c>
      <c r="T13177" s="420">
        <v>15.75</v>
      </c>
      <c r="U13177" s="278">
        <v>9457.94</v>
      </c>
      <c r="V13177" s="278">
        <v>4728.97</v>
      </c>
      <c r="Z13177" s="420" t="s">
        <v>2953</v>
      </c>
    </row>
    <row r="13178" spans="1:26">
      <c r="A13178" s="499">
        <v>45940</v>
      </c>
      <c r="B13178" s="499">
        <v>45940</v>
      </c>
      <c r="C13178" s="420" t="s">
        <v>173</v>
      </c>
      <c r="D13178" s="500" t="s">
        <v>763</v>
      </c>
      <c r="E13178" s="501">
        <v>-13004725.109999999</v>
      </c>
      <c r="F13178" s="95" t="s">
        <v>878</v>
      </c>
      <c r="G13178" s="420">
        <v>119565076</v>
      </c>
      <c r="I13178" s="523" t="s">
        <v>699</v>
      </c>
      <c r="J13178" s="530" t="s">
        <v>906</v>
      </c>
      <c r="N13178" s="420">
        <v>14118</v>
      </c>
      <c r="R13178" s="420">
        <v>921.14499999999998</v>
      </c>
      <c r="S13178" s="420">
        <v>922.33744085564501</v>
      </c>
      <c r="T13178" s="420">
        <v>15.75</v>
      </c>
      <c r="U13178" s="278">
        <v>58.52</v>
      </c>
      <c r="V13178" s="278">
        <v>39.32</v>
      </c>
      <c r="Z13178" s="420" t="s">
        <v>2953</v>
      </c>
    </row>
    <row r="13179" spans="1:26">
      <c r="A13179" s="499">
        <v>45940</v>
      </c>
      <c r="B13179" s="499">
        <v>45943</v>
      </c>
      <c r="C13179" s="420" t="s">
        <v>173</v>
      </c>
      <c r="D13179" s="500" t="s">
        <v>763</v>
      </c>
      <c r="E13179" s="501">
        <v>2104484426.7</v>
      </c>
      <c r="F13179" s="95" t="s">
        <v>878</v>
      </c>
      <c r="G13179" s="420">
        <v>119565009</v>
      </c>
      <c r="H13179" s="420">
        <v>119565009</v>
      </c>
      <c r="I13179" s="523" t="s">
        <v>699</v>
      </c>
      <c r="J13179" s="530" t="s">
        <v>912</v>
      </c>
      <c r="N13179" s="420">
        <v>2281686</v>
      </c>
      <c r="R13179" s="420">
        <v>921.14499999999998</v>
      </c>
      <c r="S13179" s="420">
        <v>922.33744112906004</v>
      </c>
      <c r="T13179" s="420">
        <v>15.75</v>
      </c>
      <c r="U13179" s="278">
        <v>9457.94</v>
      </c>
      <c r="V13179" s="278">
        <v>4728.97</v>
      </c>
      <c r="Z13179" s="420" t="s">
        <v>2953</v>
      </c>
    </row>
    <row r="13180" spans="1:26">
      <c r="A13180" s="499">
        <v>45940</v>
      </c>
      <c r="B13180" s="499">
        <v>45943</v>
      </c>
      <c r="C13180" s="420" t="s">
        <v>173</v>
      </c>
      <c r="D13180" s="500" t="s">
        <v>763</v>
      </c>
      <c r="E13180" s="501">
        <v>13021559.99</v>
      </c>
      <c r="F13180" s="95" t="s">
        <v>878</v>
      </c>
      <c r="G13180" s="420">
        <v>119565076</v>
      </c>
      <c r="H13180" s="420">
        <v>119565076</v>
      </c>
      <c r="I13180" s="523" t="s">
        <v>699</v>
      </c>
      <c r="J13180" s="530" t="s">
        <v>912</v>
      </c>
      <c r="N13180" s="420">
        <v>14118</v>
      </c>
      <c r="R13180" s="420">
        <v>921.14499999999998</v>
      </c>
      <c r="S13180" s="420">
        <v>922.33744085564501</v>
      </c>
      <c r="T13180" s="420">
        <v>15.75</v>
      </c>
      <c r="U13180" s="278">
        <v>58.52</v>
      </c>
      <c r="V13180" s="278">
        <v>39.32</v>
      </c>
      <c r="Z13180" s="420" t="s">
        <v>2953</v>
      </c>
    </row>
    <row r="13181" spans="1:26">
      <c r="A13181" s="499">
        <v>45940</v>
      </c>
      <c r="B13181" s="499">
        <v>45940</v>
      </c>
      <c r="C13181" s="420" t="s">
        <v>173</v>
      </c>
      <c r="D13181" s="500" t="s">
        <v>760</v>
      </c>
      <c r="E13181" s="501">
        <v>-76008012.299999997</v>
      </c>
      <c r="F13181" s="95" t="s">
        <v>878</v>
      </c>
      <c r="G13181" s="420">
        <v>119564506</v>
      </c>
      <c r="I13181" s="529" t="s">
        <v>598</v>
      </c>
      <c r="J13181" s="530" t="s">
        <v>906</v>
      </c>
      <c r="N13181" s="420">
        <v>71364</v>
      </c>
      <c r="R13181" s="420">
        <v>1065.075</v>
      </c>
      <c r="S13181" s="420">
        <v>1066.45812972928</v>
      </c>
      <c r="T13181" s="420">
        <v>15.799899999999999</v>
      </c>
      <c r="U13181" s="278">
        <v>342.04</v>
      </c>
      <c r="V13181" s="278">
        <v>171.02</v>
      </c>
      <c r="Z13181" s="420" t="s">
        <v>2953</v>
      </c>
    </row>
    <row r="13182" spans="1:26">
      <c r="A13182" s="499">
        <v>45940</v>
      </c>
      <c r="B13182" s="499">
        <v>45940</v>
      </c>
      <c r="C13182" s="420" t="s">
        <v>173</v>
      </c>
      <c r="D13182" s="500" t="s">
        <v>760</v>
      </c>
      <c r="E13182" s="501">
        <v>-78036073.209999993</v>
      </c>
      <c r="F13182" s="95" t="s">
        <v>878</v>
      </c>
      <c r="G13182" s="420">
        <v>119564509</v>
      </c>
      <c r="I13182" s="529" t="s">
        <v>711</v>
      </c>
      <c r="J13182" s="530" t="s">
        <v>906</v>
      </c>
      <c r="N13182" s="420">
        <v>98826</v>
      </c>
      <c r="R13182" s="420">
        <v>789.63099999999997</v>
      </c>
      <c r="S13182" s="420">
        <v>790.65643221419498</v>
      </c>
      <c r="T13182" s="420">
        <v>15.799899999999999</v>
      </c>
      <c r="U13182" s="278">
        <v>351.16</v>
      </c>
      <c r="V13182" s="278">
        <v>175.58</v>
      </c>
      <c r="Z13182" s="420" t="s">
        <v>2953</v>
      </c>
    </row>
    <row r="13183" spans="1:26">
      <c r="A13183" s="499">
        <v>45940</v>
      </c>
      <c r="B13183" s="499">
        <v>45940</v>
      </c>
      <c r="C13183" s="420" t="s">
        <v>173</v>
      </c>
      <c r="D13183" s="500" t="s">
        <v>760</v>
      </c>
      <c r="E13183" s="501">
        <v>-78014768.829999998</v>
      </c>
      <c r="F13183" s="95" t="s">
        <v>878</v>
      </c>
      <c r="G13183" s="420">
        <v>119564512</v>
      </c>
      <c r="I13183" s="529" t="s">
        <v>2616</v>
      </c>
      <c r="J13183" s="530" t="s">
        <v>906</v>
      </c>
      <c r="N13183" s="420">
        <v>82368</v>
      </c>
      <c r="R13183" s="420">
        <v>947.149</v>
      </c>
      <c r="S13183" s="420">
        <v>948.37898844211304</v>
      </c>
      <c r="T13183" s="420">
        <v>15.799899999999999</v>
      </c>
      <c r="U13183" s="278">
        <v>351.07</v>
      </c>
      <c r="V13183" s="278">
        <v>175.53</v>
      </c>
      <c r="Z13183" s="420" t="s">
        <v>2953</v>
      </c>
    </row>
    <row r="13184" spans="1:26">
      <c r="A13184" s="499">
        <v>45940</v>
      </c>
      <c r="B13184" s="499">
        <v>45940</v>
      </c>
      <c r="C13184" s="420" t="s">
        <v>173</v>
      </c>
      <c r="D13184" s="500" t="s">
        <v>760</v>
      </c>
      <c r="E13184" s="501">
        <v>-87001940.969999999</v>
      </c>
      <c r="F13184" s="95" t="s">
        <v>878</v>
      </c>
      <c r="G13184" s="420">
        <v>119564515</v>
      </c>
      <c r="I13184" s="523" t="s">
        <v>550</v>
      </c>
      <c r="J13184" s="530" t="s">
        <v>906</v>
      </c>
      <c r="N13184" s="420">
        <v>160950</v>
      </c>
      <c r="R13184" s="420">
        <v>540.55259999999998</v>
      </c>
      <c r="S13184" s="420">
        <v>541.25457347002202</v>
      </c>
      <c r="T13184" s="420">
        <v>15.799899999999999</v>
      </c>
      <c r="U13184" s="278">
        <v>391.51</v>
      </c>
      <c r="V13184" s="278">
        <v>195.75</v>
      </c>
      <c r="Z13184" s="420" t="s">
        <v>2953</v>
      </c>
    </row>
    <row r="13185" spans="1:26">
      <c r="A13185" s="499">
        <v>45940</v>
      </c>
      <c r="B13185" s="499">
        <v>45940</v>
      </c>
      <c r="C13185" s="420" t="s">
        <v>173</v>
      </c>
      <c r="D13185" s="500" t="s">
        <v>760</v>
      </c>
      <c r="E13185" s="501">
        <v>-90002245.409999996</v>
      </c>
      <c r="F13185" s="95" t="s">
        <v>878</v>
      </c>
      <c r="G13185" s="420">
        <v>119564518</v>
      </c>
      <c r="I13185" s="529" t="s">
        <v>709</v>
      </c>
      <c r="J13185" s="530" t="s">
        <v>906</v>
      </c>
      <c r="N13185" s="420">
        <v>125370</v>
      </c>
      <c r="R13185" s="420">
        <v>717.89300000000003</v>
      </c>
      <c r="S13185" s="420">
        <v>718.82527159607605</v>
      </c>
      <c r="T13185" s="420">
        <v>15.799899999999999</v>
      </c>
      <c r="U13185" s="278">
        <v>405.01</v>
      </c>
      <c r="V13185" s="278">
        <v>202.51</v>
      </c>
      <c r="Z13185" s="420" t="s">
        <v>2953</v>
      </c>
    </row>
    <row r="13186" spans="1:26">
      <c r="A13186" s="499">
        <v>45940</v>
      </c>
      <c r="B13186" s="499">
        <v>45940</v>
      </c>
      <c r="C13186" s="420" t="s">
        <v>173</v>
      </c>
      <c r="D13186" s="500" t="s">
        <v>760</v>
      </c>
      <c r="E13186" s="501">
        <v>-97031680.200000003</v>
      </c>
      <c r="F13186" s="95" t="s">
        <v>878</v>
      </c>
      <c r="G13186" s="420">
        <v>119564521</v>
      </c>
      <c r="I13186" s="529" t="s">
        <v>715</v>
      </c>
      <c r="J13186" s="530" t="s">
        <v>906</v>
      </c>
      <c r="N13186" s="420">
        <v>158886</v>
      </c>
      <c r="R13186" s="420">
        <v>610.70000000000005</v>
      </c>
      <c r="S13186" s="420">
        <v>611.49306842641897</v>
      </c>
      <c r="T13186" s="420">
        <v>15.799899999999999</v>
      </c>
      <c r="U13186" s="278">
        <v>436.64</v>
      </c>
      <c r="V13186" s="278">
        <v>218.32</v>
      </c>
      <c r="Z13186" s="420" t="s">
        <v>2953</v>
      </c>
    </row>
    <row r="13187" spans="1:26">
      <c r="A13187" s="499">
        <v>45940</v>
      </c>
      <c r="B13187" s="499">
        <v>45940</v>
      </c>
      <c r="C13187" s="420" t="s">
        <v>173</v>
      </c>
      <c r="D13187" s="500" t="s">
        <v>760</v>
      </c>
      <c r="E13187" s="501">
        <v>-99033305.480000004</v>
      </c>
      <c r="F13187" s="95" t="s">
        <v>878</v>
      </c>
      <c r="G13187" s="420">
        <v>119564524</v>
      </c>
      <c r="I13187" s="529" t="s">
        <v>816</v>
      </c>
      <c r="J13187" s="530" t="s">
        <v>906</v>
      </c>
      <c r="N13187" s="420">
        <v>92961</v>
      </c>
      <c r="R13187" s="420">
        <v>1065.3209999999999</v>
      </c>
      <c r="S13187" s="420">
        <v>1066.7044491776101</v>
      </c>
      <c r="T13187" s="420">
        <v>15.799899999999999</v>
      </c>
      <c r="U13187" s="278">
        <v>445.65</v>
      </c>
      <c r="V13187" s="278">
        <v>222.82</v>
      </c>
      <c r="Z13187" s="420" t="s">
        <v>2953</v>
      </c>
    </row>
    <row r="13188" spans="1:26">
      <c r="A13188" s="499">
        <v>45940</v>
      </c>
      <c r="B13188" s="499">
        <v>45940</v>
      </c>
      <c r="C13188" s="420" t="s">
        <v>173</v>
      </c>
      <c r="D13188" s="500" t="s">
        <v>760</v>
      </c>
      <c r="E13188" s="501">
        <v>-110029209.95</v>
      </c>
      <c r="F13188" s="95" t="s">
        <v>878</v>
      </c>
      <c r="G13188" s="420">
        <v>119564527</v>
      </c>
      <c r="I13188" s="529" t="s">
        <v>600</v>
      </c>
      <c r="J13188" s="530" t="s">
        <v>906</v>
      </c>
      <c r="N13188" s="420">
        <v>116050</v>
      </c>
      <c r="R13188" s="420">
        <v>948.11900000000003</v>
      </c>
      <c r="S13188" s="420">
        <v>949.35024808272306</v>
      </c>
      <c r="T13188" s="420">
        <v>15.799899999999999</v>
      </c>
      <c r="U13188" s="278">
        <v>495.13</v>
      </c>
      <c r="V13188" s="278">
        <v>247.57</v>
      </c>
      <c r="Z13188" s="420" t="s">
        <v>2953</v>
      </c>
    </row>
    <row r="13189" spans="1:26">
      <c r="A13189" s="499">
        <v>45940</v>
      </c>
      <c r="B13189" s="499">
        <v>45940</v>
      </c>
      <c r="C13189" s="420" t="s">
        <v>173</v>
      </c>
      <c r="D13189" s="500" t="s">
        <v>760</v>
      </c>
      <c r="E13189" s="501">
        <v>-138083539.68000001</v>
      </c>
      <c r="F13189" s="95" t="s">
        <v>878</v>
      </c>
      <c r="G13189" s="420">
        <v>119564530</v>
      </c>
      <c r="I13189" s="529" t="s">
        <v>708</v>
      </c>
      <c r="J13189" s="530" t="s">
        <v>906</v>
      </c>
      <c r="N13189" s="420">
        <v>199272</v>
      </c>
      <c r="R13189" s="420">
        <v>692.94</v>
      </c>
      <c r="S13189" s="420">
        <v>693.83986706612097</v>
      </c>
      <c r="T13189" s="420">
        <v>15.799899999999999</v>
      </c>
      <c r="U13189" s="278">
        <v>621.38</v>
      </c>
      <c r="V13189" s="278">
        <v>310.69</v>
      </c>
      <c r="Z13189" s="420" t="s">
        <v>2953</v>
      </c>
    </row>
    <row r="13190" spans="1:26">
      <c r="A13190" s="499">
        <v>45940</v>
      </c>
      <c r="B13190" s="499">
        <v>45940</v>
      </c>
      <c r="C13190" s="420" t="s">
        <v>173</v>
      </c>
      <c r="D13190" s="500" t="s">
        <v>760</v>
      </c>
      <c r="E13190" s="501">
        <v>-160056268.80000001</v>
      </c>
      <c r="F13190" s="95" t="s">
        <v>878</v>
      </c>
      <c r="G13190" s="420">
        <v>119564533</v>
      </c>
      <c r="I13190" s="529" t="s">
        <v>823</v>
      </c>
      <c r="J13190" s="530" t="s">
        <v>906</v>
      </c>
      <c r="N13190" s="420">
        <v>153600</v>
      </c>
      <c r="R13190" s="420">
        <v>1042.0329999999999</v>
      </c>
      <c r="S13190" s="420">
        <v>1043.3862069010399</v>
      </c>
      <c r="T13190" s="420">
        <v>15.799899999999999</v>
      </c>
      <c r="U13190" s="278">
        <v>720.25</v>
      </c>
      <c r="V13190" s="278">
        <v>360.13</v>
      </c>
      <c r="Z13190" s="420" t="s">
        <v>2953</v>
      </c>
    </row>
    <row r="13191" spans="1:26">
      <c r="A13191" s="499">
        <v>45940</v>
      </c>
      <c r="B13191" s="499">
        <v>45940</v>
      </c>
      <c r="C13191" s="420" t="s">
        <v>173</v>
      </c>
      <c r="D13191" s="500" t="s">
        <v>760</v>
      </c>
      <c r="E13191" s="501">
        <v>-193138279.68000001</v>
      </c>
      <c r="F13191" s="95" t="s">
        <v>878</v>
      </c>
      <c r="G13191" s="420">
        <v>119564567</v>
      </c>
      <c r="I13191" s="529" t="s">
        <v>824</v>
      </c>
      <c r="J13191" s="530" t="s">
        <v>906</v>
      </c>
      <c r="N13191" s="420">
        <v>180455</v>
      </c>
      <c r="R13191" s="420">
        <v>1070.2850000000001</v>
      </c>
      <c r="S13191" s="420">
        <v>1071.67489556953</v>
      </c>
      <c r="T13191" s="420">
        <v>15.799899999999999</v>
      </c>
      <c r="U13191" s="278">
        <v>869.12</v>
      </c>
      <c r="V13191" s="278">
        <v>434.56</v>
      </c>
      <c r="Z13191" s="420" t="s">
        <v>2953</v>
      </c>
    </row>
    <row r="13192" spans="1:26">
      <c r="A13192" s="499">
        <v>45940</v>
      </c>
      <c r="B13192" s="499">
        <v>45940</v>
      </c>
      <c r="C13192" s="420" t="s">
        <v>173</v>
      </c>
      <c r="D13192" s="500" t="s">
        <v>760</v>
      </c>
      <c r="E13192" s="501">
        <v>-197091107.97</v>
      </c>
      <c r="F13192" s="95" t="s">
        <v>878</v>
      </c>
      <c r="G13192" s="420">
        <v>119564570</v>
      </c>
      <c r="I13192" s="529" t="s">
        <v>711</v>
      </c>
      <c r="J13192" s="530" t="s">
        <v>906</v>
      </c>
      <c r="N13192" s="420">
        <v>249599</v>
      </c>
      <c r="R13192" s="420">
        <v>789.63099999999997</v>
      </c>
      <c r="S13192" s="420">
        <v>790.65643211711597</v>
      </c>
      <c r="T13192" s="420">
        <v>15.799899999999999</v>
      </c>
      <c r="U13192" s="278">
        <v>886.91</v>
      </c>
      <c r="V13192" s="278">
        <v>443.45</v>
      </c>
      <c r="Z13192" s="420" t="s">
        <v>2953</v>
      </c>
    </row>
    <row r="13193" spans="1:26">
      <c r="A13193" s="499">
        <v>45940</v>
      </c>
      <c r="B13193" s="499">
        <v>45940</v>
      </c>
      <c r="C13193" s="420" t="s">
        <v>173</v>
      </c>
      <c r="D13193" s="500" t="s">
        <v>760</v>
      </c>
      <c r="E13193" s="501">
        <v>-204111749.16</v>
      </c>
      <c r="F13193" s="95" t="s">
        <v>878</v>
      </c>
      <c r="G13193" s="420">
        <v>119564573</v>
      </c>
      <c r="I13193" s="529" t="s">
        <v>654</v>
      </c>
      <c r="J13193" s="530" t="s">
        <v>906</v>
      </c>
      <c r="N13193" s="420">
        <v>199716</v>
      </c>
      <c r="R13193" s="420">
        <v>1022.01</v>
      </c>
      <c r="S13193" s="420">
        <v>1023.3372045805</v>
      </c>
      <c r="T13193" s="420">
        <v>15.799899999999999</v>
      </c>
      <c r="U13193" s="278">
        <v>918.5</v>
      </c>
      <c r="V13193" s="278">
        <v>459.25</v>
      </c>
      <c r="Z13193" s="420" t="s">
        <v>2953</v>
      </c>
    </row>
    <row r="13194" spans="1:26">
      <c r="A13194" s="499">
        <v>45940</v>
      </c>
      <c r="B13194" s="499">
        <v>45940</v>
      </c>
      <c r="C13194" s="420" t="s">
        <v>173</v>
      </c>
      <c r="D13194" s="500" t="s">
        <v>760</v>
      </c>
      <c r="E13194" s="501">
        <v>-10005477.9</v>
      </c>
      <c r="F13194" s="95" t="s">
        <v>878</v>
      </c>
      <c r="G13194" s="420">
        <v>119564853</v>
      </c>
      <c r="I13194" s="529" t="s">
        <v>654</v>
      </c>
      <c r="J13194" s="530" t="s">
        <v>906</v>
      </c>
      <c r="N13194" s="420">
        <v>9790</v>
      </c>
      <c r="R13194" s="420">
        <v>1022.01</v>
      </c>
      <c r="S13194" s="420">
        <v>1023.33720429009</v>
      </c>
      <c r="T13194" s="420">
        <v>15.799899999999999</v>
      </c>
      <c r="U13194" s="278">
        <v>45.02</v>
      </c>
      <c r="V13194" s="278">
        <v>22.51</v>
      </c>
      <c r="Z13194" s="420" t="s">
        <v>2953</v>
      </c>
    </row>
    <row r="13195" spans="1:26">
      <c r="A13195" s="499">
        <v>45940</v>
      </c>
      <c r="B13195" s="499">
        <v>45943</v>
      </c>
      <c r="C13195" s="420" t="s">
        <v>173</v>
      </c>
      <c r="D13195" s="500" t="s">
        <v>760</v>
      </c>
      <c r="E13195" s="501">
        <v>76106717.969999999</v>
      </c>
      <c r="F13195" s="95" t="s">
        <v>878</v>
      </c>
      <c r="G13195" s="420">
        <v>119564506</v>
      </c>
      <c r="H13195" s="420">
        <v>119564506</v>
      </c>
      <c r="I13195" s="529" t="s">
        <v>598</v>
      </c>
      <c r="J13195" s="530" t="s">
        <v>912</v>
      </c>
      <c r="N13195" s="420">
        <v>71364</v>
      </c>
      <c r="R13195" s="420">
        <v>1065.075</v>
      </c>
      <c r="S13195" s="420">
        <v>1066.45812972928</v>
      </c>
      <c r="T13195" s="420">
        <v>15.799899999999999</v>
      </c>
      <c r="U13195" s="278">
        <v>342.04</v>
      </c>
      <c r="V13195" s="278">
        <v>171.02</v>
      </c>
      <c r="Z13195" s="420" t="s">
        <v>2953</v>
      </c>
    </row>
    <row r="13196" spans="1:26">
      <c r="A13196" s="499">
        <v>45940</v>
      </c>
      <c r="B13196" s="499">
        <v>45943</v>
      </c>
      <c r="C13196" s="420" t="s">
        <v>173</v>
      </c>
      <c r="D13196" s="500" t="s">
        <v>760</v>
      </c>
      <c r="E13196" s="501">
        <v>78137412.569999993</v>
      </c>
      <c r="F13196" s="95" t="s">
        <v>878</v>
      </c>
      <c r="G13196" s="420">
        <v>119564509</v>
      </c>
      <c r="H13196" s="420">
        <v>119564509</v>
      </c>
      <c r="I13196" s="529" t="s">
        <v>711</v>
      </c>
      <c r="J13196" s="530" t="s">
        <v>912</v>
      </c>
      <c r="N13196" s="420">
        <v>98826</v>
      </c>
      <c r="R13196" s="420">
        <v>789.63099999999997</v>
      </c>
      <c r="S13196" s="420">
        <v>790.65643221419498</v>
      </c>
      <c r="T13196" s="420">
        <v>15.799899999999999</v>
      </c>
      <c r="U13196" s="278">
        <v>351.16</v>
      </c>
      <c r="V13196" s="278">
        <v>175.58</v>
      </c>
      <c r="Z13196" s="420" t="s">
        <v>2953</v>
      </c>
    </row>
    <row r="13197" spans="1:26">
      <c r="A13197" s="499">
        <v>45940</v>
      </c>
      <c r="B13197" s="499">
        <v>45943</v>
      </c>
      <c r="C13197" s="420" t="s">
        <v>173</v>
      </c>
      <c r="D13197" s="500" t="s">
        <v>760</v>
      </c>
      <c r="E13197" s="501">
        <v>78116080.519999996</v>
      </c>
      <c r="F13197" s="95" t="s">
        <v>878</v>
      </c>
      <c r="G13197" s="420">
        <v>119564512</v>
      </c>
      <c r="H13197" s="420">
        <v>119564512</v>
      </c>
      <c r="I13197" s="529" t="s">
        <v>2616</v>
      </c>
      <c r="J13197" s="530" t="s">
        <v>912</v>
      </c>
      <c r="N13197" s="420">
        <v>82368</v>
      </c>
      <c r="R13197" s="420">
        <v>947.149</v>
      </c>
      <c r="S13197" s="420">
        <v>948.37898844211304</v>
      </c>
      <c r="T13197" s="420">
        <v>15.799899999999999</v>
      </c>
      <c r="U13197" s="278">
        <v>351.07</v>
      </c>
      <c r="V13197" s="278">
        <v>175.53</v>
      </c>
      <c r="Z13197" s="420" t="s">
        <v>2953</v>
      </c>
    </row>
    <row r="13198" spans="1:26">
      <c r="A13198" s="499">
        <v>45940</v>
      </c>
      <c r="B13198" s="499">
        <v>45943</v>
      </c>
      <c r="C13198" s="420" t="s">
        <v>173</v>
      </c>
      <c r="D13198" s="500" t="s">
        <v>760</v>
      </c>
      <c r="E13198" s="501">
        <v>87114923.599999994</v>
      </c>
      <c r="F13198" s="95" t="s">
        <v>878</v>
      </c>
      <c r="G13198" s="420">
        <v>119564515</v>
      </c>
      <c r="H13198" s="420">
        <v>119564515</v>
      </c>
      <c r="I13198" s="529" t="s">
        <v>550</v>
      </c>
      <c r="J13198" s="530" t="s">
        <v>912</v>
      </c>
      <c r="N13198" s="420">
        <v>160950</v>
      </c>
      <c r="R13198" s="420">
        <v>540.55259999999998</v>
      </c>
      <c r="S13198" s="420">
        <v>541.25457347002202</v>
      </c>
      <c r="T13198" s="420">
        <v>15.799899999999999</v>
      </c>
      <c r="U13198" s="278">
        <v>391.51</v>
      </c>
      <c r="V13198" s="278">
        <v>195.75</v>
      </c>
      <c r="Z13198" s="420" t="s">
        <v>2953</v>
      </c>
    </row>
    <row r="13199" spans="1:26">
      <c r="A13199" s="499">
        <v>45940</v>
      </c>
      <c r="B13199" s="499">
        <v>45943</v>
      </c>
      <c r="C13199" s="420" t="s">
        <v>173</v>
      </c>
      <c r="D13199" s="500" t="s">
        <v>760</v>
      </c>
      <c r="E13199" s="501">
        <v>90119124.299999997</v>
      </c>
      <c r="F13199" s="95" t="s">
        <v>878</v>
      </c>
      <c r="G13199" s="420">
        <v>119564518</v>
      </c>
      <c r="H13199" s="420">
        <v>119564518</v>
      </c>
      <c r="I13199" s="529" t="s">
        <v>709</v>
      </c>
      <c r="J13199" s="530" t="s">
        <v>912</v>
      </c>
      <c r="N13199" s="420">
        <v>125370</v>
      </c>
      <c r="R13199" s="420">
        <v>717.89300000000003</v>
      </c>
      <c r="S13199" s="420">
        <v>718.82527159607605</v>
      </c>
      <c r="T13199" s="420">
        <v>15.799899999999999</v>
      </c>
      <c r="U13199" s="278">
        <v>405.01</v>
      </c>
      <c r="V13199" s="278">
        <v>202.51</v>
      </c>
      <c r="Z13199" s="420" t="s">
        <v>2953</v>
      </c>
    </row>
    <row r="13200" spans="1:26">
      <c r="A13200" s="499">
        <v>45940</v>
      </c>
      <c r="B13200" s="499">
        <v>45943</v>
      </c>
      <c r="C13200" s="420" t="s">
        <v>173</v>
      </c>
      <c r="D13200" s="500" t="s">
        <v>760</v>
      </c>
      <c r="E13200" s="501">
        <v>97157687.670000002</v>
      </c>
      <c r="F13200" s="95" t="s">
        <v>878</v>
      </c>
      <c r="G13200" s="420">
        <v>119564521</v>
      </c>
      <c r="H13200" s="420">
        <v>119564521</v>
      </c>
      <c r="I13200" s="529" t="s">
        <v>715</v>
      </c>
      <c r="J13200" s="530" t="s">
        <v>912</v>
      </c>
      <c r="N13200" s="420">
        <v>158886</v>
      </c>
      <c r="R13200" s="420">
        <v>610.70000000000005</v>
      </c>
      <c r="S13200" s="420">
        <v>611.49306842641897</v>
      </c>
      <c r="T13200" s="420">
        <v>15.799899999999999</v>
      </c>
      <c r="U13200" s="278">
        <v>436.64</v>
      </c>
      <c r="V13200" s="278">
        <v>218.32</v>
      </c>
      <c r="Z13200" s="420" t="s">
        <v>2953</v>
      </c>
    </row>
    <row r="13201" spans="1:26">
      <c r="A13201" s="499">
        <v>45940</v>
      </c>
      <c r="B13201" s="499">
        <v>45943</v>
      </c>
      <c r="C13201" s="420" t="s">
        <v>173</v>
      </c>
      <c r="D13201" s="500" t="s">
        <v>760</v>
      </c>
      <c r="E13201" s="501">
        <v>99161912.299999997</v>
      </c>
      <c r="F13201" s="95" t="s">
        <v>878</v>
      </c>
      <c r="G13201" s="420">
        <v>119564524</v>
      </c>
      <c r="H13201" s="420">
        <v>119564524</v>
      </c>
      <c r="I13201" s="529" t="s">
        <v>816</v>
      </c>
      <c r="J13201" s="530" t="s">
        <v>912</v>
      </c>
      <c r="N13201" s="420">
        <v>92961</v>
      </c>
      <c r="R13201" s="420">
        <v>1065.3209999999999</v>
      </c>
      <c r="S13201" s="420">
        <v>1066.7044491776101</v>
      </c>
      <c r="T13201" s="420">
        <v>15.799899999999999</v>
      </c>
      <c r="U13201" s="278">
        <v>445.65</v>
      </c>
      <c r="V13201" s="278">
        <v>222.82</v>
      </c>
      <c r="Z13201" s="420" t="s">
        <v>2953</v>
      </c>
    </row>
    <row r="13202" spans="1:26">
      <c r="A13202" s="499">
        <v>45940</v>
      </c>
      <c r="B13202" s="499">
        <v>45943</v>
      </c>
      <c r="C13202" s="420" t="s">
        <v>173</v>
      </c>
      <c r="D13202" s="500" t="s">
        <v>760</v>
      </c>
      <c r="E13202" s="501">
        <v>110172096.29000001</v>
      </c>
      <c r="F13202" s="95" t="s">
        <v>878</v>
      </c>
      <c r="G13202" s="420">
        <v>119564527</v>
      </c>
      <c r="H13202" s="420">
        <v>119564527</v>
      </c>
      <c r="I13202" s="529" t="s">
        <v>600</v>
      </c>
      <c r="J13202" s="530" t="s">
        <v>912</v>
      </c>
      <c r="N13202" s="420">
        <v>116050</v>
      </c>
      <c r="R13202" s="420">
        <v>948.11900000000003</v>
      </c>
      <c r="S13202" s="420">
        <v>949.35024808272306</v>
      </c>
      <c r="T13202" s="420">
        <v>15.799899999999999</v>
      </c>
      <c r="U13202" s="278">
        <v>495.13</v>
      </c>
      <c r="V13202" s="278">
        <v>247.57</v>
      </c>
      <c r="Z13202" s="420" t="s">
        <v>2953</v>
      </c>
    </row>
    <row r="13203" spans="1:26">
      <c r="A13203" s="499">
        <v>45940</v>
      </c>
      <c r="B13203" s="499">
        <v>45943</v>
      </c>
      <c r="C13203" s="420" t="s">
        <v>173</v>
      </c>
      <c r="D13203" s="500" t="s">
        <v>760</v>
      </c>
      <c r="E13203" s="501">
        <v>138262857.99000001</v>
      </c>
      <c r="F13203" s="95" t="s">
        <v>878</v>
      </c>
      <c r="G13203" s="420">
        <v>119564530</v>
      </c>
      <c r="H13203" s="420">
        <v>119564530</v>
      </c>
      <c r="I13203" s="529" t="s">
        <v>708</v>
      </c>
      <c r="J13203" s="530" t="s">
        <v>912</v>
      </c>
      <c r="N13203" s="420">
        <v>199272</v>
      </c>
      <c r="R13203" s="420">
        <v>692.94</v>
      </c>
      <c r="S13203" s="420">
        <v>693.83986706612097</v>
      </c>
      <c r="T13203" s="420">
        <v>15.799899999999999</v>
      </c>
      <c r="U13203" s="278">
        <v>621.38</v>
      </c>
      <c r="V13203" s="278">
        <v>310.69</v>
      </c>
      <c r="Z13203" s="420" t="s">
        <v>2953</v>
      </c>
    </row>
    <row r="13204" spans="1:26">
      <c r="A13204" s="499">
        <v>45940</v>
      </c>
      <c r="B13204" s="499">
        <v>45943</v>
      </c>
      <c r="C13204" s="420" t="s">
        <v>173</v>
      </c>
      <c r="D13204" s="500" t="s">
        <v>760</v>
      </c>
      <c r="E13204" s="501">
        <v>160264121.38</v>
      </c>
      <c r="F13204" s="95" t="s">
        <v>878</v>
      </c>
      <c r="G13204" s="420">
        <v>119564533</v>
      </c>
      <c r="H13204" s="420">
        <v>119564533</v>
      </c>
      <c r="I13204" s="529" t="s">
        <v>823</v>
      </c>
      <c r="J13204" s="530" t="s">
        <v>912</v>
      </c>
      <c r="N13204" s="420">
        <v>153600</v>
      </c>
      <c r="R13204" s="420">
        <v>1042.0329999999999</v>
      </c>
      <c r="S13204" s="420">
        <v>1043.3862069010399</v>
      </c>
      <c r="T13204" s="420">
        <v>15.799899999999999</v>
      </c>
      <c r="U13204" s="278">
        <v>720.25</v>
      </c>
      <c r="V13204" s="278">
        <v>360.13</v>
      </c>
      <c r="Z13204" s="420" t="s">
        <v>2953</v>
      </c>
    </row>
    <row r="13205" spans="1:26">
      <c r="A13205" s="499">
        <v>45940</v>
      </c>
      <c r="B13205" s="499">
        <v>45943</v>
      </c>
      <c r="C13205" s="420" t="s">
        <v>173</v>
      </c>
      <c r="D13205" s="500" t="s">
        <v>760</v>
      </c>
      <c r="E13205" s="501">
        <v>193389093.28</v>
      </c>
      <c r="F13205" s="95" t="s">
        <v>878</v>
      </c>
      <c r="G13205" s="420">
        <v>119564567</v>
      </c>
      <c r="H13205" s="420">
        <v>119564567</v>
      </c>
      <c r="I13205" s="529" t="s">
        <v>824</v>
      </c>
      <c r="J13205" s="530" t="s">
        <v>912</v>
      </c>
      <c r="N13205" s="420">
        <v>180455</v>
      </c>
      <c r="R13205" s="420">
        <v>1070.2850000000001</v>
      </c>
      <c r="S13205" s="420">
        <v>1071.67489556953</v>
      </c>
      <c r="T13205" s="420">
        <v>15.799899999999999</v>
      </c>
      <c r="U13205" s="278">
        <v>869.12</v>
      </c>
      <c r="V13205" s="278">
        <v>434.56</v>
      </c>
      <c r="Z13205" s="420" t="s">
        <v>2953</v>
      </c>
    </row>
    <row r="13206" spans="1:26">
      <c r="A13206" s="499">
        <v>45940</v>
      </c>
      <c r="B13206" s="499">
        <v>45943</v>
      </c>
      <c r="C13206" s="420" t="s">
        <v>173</v>
      </c>
      <c r="D13206" s="500" t="s">
        <v>760</v>
      </c>
      <c r="E13206" s="501">
        <v>197347054.80000001</v>
      </c>
      <c r="F13206" s="95" t="s">
        <v>878</v>
      </c>
      <c r="G13206" s="420">
        <v>119564570</v>
      </c>
      <c r="H13206" s="420">
        <v>119564570</v>
      </c>
      <c r="I13206" s="529" t="s">
        <v>711</v>
      </c>
      <c r="J13206" s="530" t="s">
        <v>912</v>
      </c>
      <c r="N13206" s="420">
        <v>249599</v>
      </c>
      <c r="R13206" s="420">
        <v>789.63099999999997</v>
      </c>
      <c r="S13206" s="420">
        <v>790.65643211711597</v>
      </c>
      <c r="T13206" s="420">
        <v>15.799899999999999</v>
      </c>
      <c r="U13206" s="278">
        <v>886.91</v>
      </c>
      <c r="V13206" s="278">
        <v>443.45</v>
      </c>
      <c r="Z13206" s="420" t="s">
        <v>2953</v>
      </c>
    </row>
    <row r="13207" spans="1:26">
      <c r="A13207" s="499">
        <v>45940</v>
      </c>
      <c r="B13207" s="499">
        <v>45943</v>
      </c>
      <c r="C13207" s="420" t="s">
        <v>173</v>
      </c>
      <c r="D13207" s="500" t="s">
        <v>760</v>
      </c>
      <c r="E13207" s="501">
        <v>204376813.15000001</v>
      </c>
      <c r="F13207" s="95" t="s">
        <v>878</v>
      </c>
      <c r="G13207" s="420">
        <v>119564573</v>
      </c>
      <c r="H13207" s="420">
        <v>119564573</v>
      </c>
      <c r="I13207" s="529" t="s">
        <v>654</v>
      </c>
      <c r="J13207" s="530" t="s">
        <v>912</v>
      </c>
      <c r="N13207" s="420">
        <v>199716</v>
      </c>
      <c r="R13207" s="420">
        <v>1022.01</v>
      </c>
      <c r="S13207" s="420">
        <v>1023.3372045805</v>
      </c>
      <c r="T13207" s="420">
        <v>15.799899999999999</v>
      </c>
      <c r="U13207" s="278">
        <v>918.5</v>
      </c>
      <c r="V13207" s="278">
        <v>459.25</v>
      </c>
      <c r="Z13207" s="420" t="s">
        <v>2953</v>
      </c>
    </row>
    <row r="13208" spans="1:26">
      <c r="A13208" s="499">
        <v>45940</v>
      </c>
      <c r="B13208" s="499">
        <v>45943</v>
      </c>
      <c r="C13208" s="420" t="s">
        <v>173</v>
      </c>
      <c r="D13208" s="500" t="s">
        <v>760</v>
      </c>
      <c r="E13208" s="501">
        <v>10018471.23</v>
      </c>
      <c r="F13208" s="95" t="s">
        <v>878</v>
      </c>
      <c r="G13208" s="420">
        <v>119564853</v>
      </c>
      <c r="H13208" s="420">
        <v>119564853</v>
      </c>
      <c r="I13208" s="529" t="s">
        <v>654</v>
      </c>
      <c r="J13208" s="530" t="s">
        <v>912</v>
      </c>
      <c r="N13208" s="420">
        <v>9790</v>
      </c>
      <c r="R13208" s="420">
        <v>1022.01</v>
      </c>
      <c r="S13208" s="420">
        <v>1023.33720429009</v>
      </c>
      <c r="T13208" s="420">
        <v>15.799899999999999</v>
      </c>
      <c r="U13208" s="278">
        <v>45.02</v>
      </c>
      <c r="V13208" s="278">
        <v>22.51</v>
      </c>
      <c r="Z13208" s="420" t="s">
        <v>2953</v>
      </c>
    </row>
    <row r="13209" spans="1:26">
      <c r="A13209" s="499">
        <v>45940</v>
      </c>
      <c r="B13209" s="499">
        <v>45940</v>
      </c>
      <c r="C13209" s="420" t="s">
        <v>173</v>
      </c>
      <c r="D13209" s="500" t="s">
        <v>761</v>
      </c>
      <c r="E13209" s="501">
        <v>-191113073.91</v>
      </c>
      <c r="F13209" s="95" t="s">
        <v>878</v>
      </c>
      <c r="G13209" s="420">
        <v>119564615</v>
      </c>
      <c r="I13209" s="529" t="s">
        <v>692</v>
      </c>
      <c r="J13209" s="530" t="s">
        <v>906</v>
      </c>
      <c r="N13209" s="420">
        <v>257277</v>
      </c>
      <c r="R13209" s="420">
        <v>742.83</v>
      </c>
      <c r="S13209" s="420">
        <v>743.79466143495199</v>
      </c>
      <c r="T13209" s="420">
        <v>15.8</v>
      </c>
      <c r="U13209" s="278">
        <v>860.01</v>
      </c>
      <c r="V13209" s="278">
        <v>430</v>
      </c>
      <c r="Z13209" s="420" t="s">
        <v>2953</v>
      </c>
    </row>
    <row r="13210" spans="1:26">
      <c r="A13210" s="499">
        <v>45940</v>
      </c>
      <c r="B13210" s="499">
        <v>45940</v>
      </c>
      <c r="C13210" s="420" t="s">
        <v>173</v>
      </c>
      <c r="D13210" s="500" t="s">
        <v>761</v>
      </c>
      <c r="E13210" s="501">
        <v>-334111260.74000001</v>
      </c>
      <c r="F13210" s="95" t="s">
        <v>878</v>
      </c>
      <c r="G13210" s="420">
        <v>119564618</v>
      </c>
      <c r="I13210" s="529" t="s">
        <v>678</v>
      </c>
      <c r="J13210" s="530" t="s">
        <v>906</v>
      </c>
      <c r="N13210" s="420">
        <v>349698</v>
      </c>
      <c r="R13210" s="420">
        <v>955.42799998856162</v>
      </c>
      <c r="S13210" s="420">
        <v>956.66874757647997</v>
      </c>
      <c r="T13210" s="420">
        <v>15.8</v>
      </c>
      <c r="U13210" s="278">
        <v>1503.5</v>
      </c>
      <c r="V13210" s="278">
        <v>751.75</v>
      </c>
      <c r="Z13210" s="420" t="s">
        <v>2953</v>
      </c>
    </row>
    <row r="13211" spans="1:26">
      <c r="A13211" s="499">
        <v>45940</v>
      </c>
      <c r="B13211" s="499">
        <v>45940</v>
      </c>
      <c r="C13211" s="420" t="s">
        <v>173</v>
      </c>
      <c r="D13211" s="500" t="s">
        <v>761</v>
      </c>
      <c r="E13211" s="501">
        <v>-352338702.85000002</v>
      </c>
      <c r="F13211" s="95" t="s">
        <v>878</v>
      </c>
      <c r="G13211" s="420">
        <v>119564621</v>
      </c>
      <c r="I13211" s="529" t="s">
        <v>821</v>
      </c>
      <c r="J13211" s="530" t="s">
        <v>906</v>
      </c>
      <c r="N13211" s="420">
        <v>338272</v>
      </c>
      <c r="R13211" s="420">
        <v>1041.5840000059125</v>
      </c>
      <c r="S13211" s="420">
        <v>1042.93663238459</v>
      </c>
      <c r="T13211" s="420">
        <v>15.8</v>
      </c>
      <c r="U13211" s="278">
        <v>1585.52</v>
      </c>
      <c r="V13211" s="278">
        <v>792.76</v>
      </c>
      <c r="Z13211" s="420" t="s">
        <v>2953</v>
      </c>
    </row>
    <row r="13212" spans="1:26">
      <c r="A13212" s="499">
        <v>45940</v>
      </c>
      <c r="B13212" s="499">
        <v>45940</v>
      </c>
      <c r="C13212" s="420" t="s">
        <v>173</v>
      </c>
      <c r="D13212" s="500" t="s">
        <v>761</v>
      </c>
      <c r="E13212" s="501">
        <v>-250000040.80000001</v>
      </c>
      <c r="F13212" s="95" t="s">
        <v>878</v>
      </c>
      <c r="G13212" s="420">
        <v>119564664</v>
      </c>
      <c r="I13212" s="529" t="s">
        <v>1048</v>
      </c>
      <c r="J13212" s="530" t="s">
        <v>906</v>
      </c>
      <c r="N13212" s="420">
        <v>245002000</v>
      </c>
      <c r="R13212" s="420">
        <v>1.0204</v>
      </c>
      <c r="S13212" s="420">
        <v>1.0217251222030801</v>
      </c>
      <c r="T13212" s="420">
        <v>15.8</v>
      </c>
      <c r="U13212" s="278">
        <v>1125</v>
      </c>
      <c r="V13212" s="278">
        <v>562.5</v>
      </c>
      <c r="Z13212" s="420" t="s">
        <v>2953</v>
      </c>
    </row>
    <row r="13213" spans="1:26">
      <c r="A13213" s="499">
        <v>45940</v>
      </c>
      <c r="B13213" s="499">
        <v>45940</v>
      </c>
      <c r="C13213" s="420" t="s">
        <v>173</v>
      </c>
      <c r="D13213" s="500" t="s">
        <v>761</v>
      </c>
      <c r="E13213" s="501">
        <v>-265145164.34999999</v>
      </c>
      <c r="F13213" s="95" t="s">
        <v>878</v>
      </c>
      <c r="G13213" s="420">
        <v>119564856</v>
      </c>
      <c r="I13213" s="529" t="s">
        <v>654</v>
      </c>
      <c r="J13213" s="530" t="s">
        <v>906</v>
      </c>
      <c r="N13213" s="420">
        <v>259435</v>
      </c>
      <c r="R13213" s="420">
        <v>1022.01</v>
      </c>
      <c r="S13213" s="420">
        <v>1023.33721298206</v>
      </c>
      <c r="T13213" s="420">
        <v>15.8</v>
      </c>
      <c r="U13213" s="278">
        <v>1193.1500000000001</v>
      </c>
      <c r="V13213" s="278">
        <v>596.58000000000004</v>
      </c>
      <c r="Z13213" s="420" t="s">
        <v>2953</v>
      </c>
    </row>
    <row r="13214" spans="1:26">
      <c r="A13214" s="499">
        <v>45940</v>
      </c>
      <c r="B13214" s="499">
        <v>45940</v>
      </c>
      <c r="C13214" s="420" t="s">
        <v>173</v>
      </c>
      <c r="D13214" s="500" t="s">
        <v>761</v>
      </c>
      <c r="E13214" s="501">
        <v>-32016176.640000001</v>
      </c>
      <c r="F13214" s="95" t="s">
        <v>878</v>
      </c>
      <c r="G13214" s="420">
        <v>119565140</v>
      </c>
      <c r="I13214" s="529" t="s">
        <v>604</v>
      </c>
      <c r="J13214" s="530" t="s">
        <v>906</v>
      </c>
      <c r="N13214" s="420">
        <v>30688</v>
      </c>
      <c r="R13214" s="420">
        <v>1043.28</v>
      </c>
      <c r="S13214" s="420">
        <v>1044.63483478884</v>
      </c>
      <c r="T13214" s="420">
        <v>15.8</v>
      </c>
      <c r="U13214" s="278">
        <v>144.07</v>
      </c>
      <c r="V13214" s="278">
        <v>72.040000000000006</v>
      </c>
      <c r="Z13214" s="420" t="s">
        <v>2953</v>
      </c>
    </row>
    <row r="13215" spans="1:26">
      <c r="A13215" s="499">
        <v>45940</v>
      </c>
      <c r="B13215" s="499">
        <v>45943</v>
      </c>
      <c r="C13215" s="420" t="s">
        <v>173</v>
      </c>
      <c r="D13215" s="500" t="s">
        <v>761</v>
      </c>
      <c r="E13215" s="501">
        <v>191361259.11000001</v>
      </c>
      <c r="F13215" s="95" t="s">
        <v>878</v>
      </c>
      <c r="G13215" s="420">
        <v>119564615</v>
      </c>
      <c r="H13215" s="420">
        <v>119564615</v>
      </c>
      <c r="I13215" s="529" t="s">
        <v>692</v>
      </c>
      <c r="J13215" s="530" t="s">
        <v>912</v>
      </c>
      <c r="N13215" s="420">
        <v>257277</v>
      </c>
      <c r="R13215" s="420">
        <v>742.83</v>
      </c>
      <c r="S13215" s="420">
        <v>743.79466143495199</v>
      </c>
      <c r="T13215" s="420">
        <v>15.8</v>
      </c>
      <c r="U13215" s="278">
        <v>860.01</v>
      </c>
      <c r="V13215" s="278">
        <v>430</v>
      </c>
      <c r="Z13215" s="420" t="s">
        <v>2953</v>
      </c>
    </row>
    <row r="13216" spans="1:26">
      <c r="A13216" s="499">
        <v>45940</v>
      </c>
      <c r="B13216" s="499">
        <v>45943</v>
      </c>
      <c r="C13216" s="420" t="s">
        <v>173</v>
      </c>
      <c r="D13216" s="500" t="s">
        <v>761</v>
      </c>
      <c r="E13216" s="501">
        <v>334545147.69</v>
      </c>
      <c r="F13216" s="95" t="s">
        <v>878</v>
      </c>
      <c r="G13216" s="420">
        <v>119564618</v>
      </c>
      <c r="H13216" s="420">
        <v>119564618</v>
      </c>
      <c r="I13216" s="529" t="s">
        <v>678</v>
      </c>
      <c r="J13216" s="530" t="s">
        <v>912</v>
      </c>
      <c r="N13216" s="420">
        <v>349698</v>
      </c>
      <c r="R13216" s="420">
        <v>955.42799998856162</v>
      </c>
      <c r="S13216" s="420">
        <v>956.66874757647997</v>
      </c>
      <c r="T13216" s="420">
        <v>15.8</v>
      </c>
      <c r="U13216" s="278">
        <v>1503.5</v>
      </c>
      <c r="V13216" s="278">
        <v>751.75</v>
      </c>
      <c r="Z13216" s="420" t="s">
        <v>2953</v>
      </c>
    </row>
    <row r="13217" spans="1:26">
      <c r="A13217" s="499">
        <v>45940</v>
      </c>
      <c r="B13217" s="499">
        <v>45943</v>
      </c>
      <c r="C13217" s="420" t="s">
        <v>173</v>
      </c>
      <c r="D13217" s="500" t="s">
        <v>761</v>
      </c>
      <c r="E13217" s="501">
        <v>352796260.50999999</v>
      </c>
      <c r="F13217" s="95" t="s">
        <v>878</v>
      </c>
      <c r="G13217" s="420">
        <v>119564621</v>
      </c>
      <c r="H13217" s="420">
        <v>119564621</v>
      </c>
      <c r="I13217" s="529" t="s">
        <v>821</v>
      </c>
      <c r="J13217" s="530" t="s">
        <v>912</v>
      </c>
      <c r="N13217" s="420">
        <v>338272</v>
      </c>
      <c r="R13217" s="420">
        <v>1041.5840000059125</v>
      </c>
      <c r="S13217" s="420">
        <v>1042.93663238459</v>
      </c>
      <c r="T13217" s="420">
        <v>15.8</v>
      </c>
      <c r="U13217" s="278">
        <v>1585.52</v>
      </c>
      <c r="V13217" s="278">
        <v>792.76</v>
      </c>
      <c r="Z13217" s="420" t="s">
        <v>2953</v>
      </c>
    </row>
    <row r="13218" spans="1:26">
      <c r="A13218" s="499">
        <v>45940</v>
      </c>
      <c r="B13218" s="499">
        <v>45943</v>
      </c>
      <c r="C13218" s="420" t="s">
        <v>173</v>
      </c>
      <c r="D13218" s="500" t="s">
        <v>761</v>
      </c>
      <c r="E13218" s="501">
        <v>250324698.38999999</v>
      </c>
      <c r="F13218" s="95" t="s">
        <v>878</v>
      </c>
      <c r="G13218" s="420">
        <v>119564664</v>
      </c>
      <c r="H13218" s="420">
        <v>119564664</v>
      </c>
      <c r="I13218" s="529" t="s">
        <v>1048</v>
      </c>
      <c r="J13218" s="530" t="s">
        <v>912</v>
      </c>
      <c r="N13218" s="420">
        <v>245002000</v>
      </c>
      <c r="R13218" s="420">
        <v>1.0204</v>
      </c>
      <c r="S13218" s="420">
        <v>1.0217251222030801</v>
      </c>
      <c r="T13218" s="420">
        <v>15.8</v>
      </c>
      <c r="U13218" s="278">
        <v>1125</v>
      </c>
      <c r="V13218" s="278">
        <v>562.5</v>
      </c>
      <c r="Z13218" s="420" t="s">
        <v>2953</v>
      </c>
    </row>
    <row r="13219" spans="1:26">
      <c r="A13219" s="499">
        <v>45940</v>
      </c>
      <c r="B13219" s="499">
        <v>45943</v>
      </c>
      <c r="C13219" s="420" t="s">
        <v>173</v>
      </c>
      <c r="D13219" s="500" t="s">
        <v>761</v>
      </c>
      <c r="E13219" s="501">
        <v>265489489.84999999</v>
      </c>
      <c r="F13219" s="95" t="s">
        <v>878</v>
      </c>
      <c r="G13219" s="420">
        <v>119564856</v>
      </c>
      <c r="H13219" s="420">
        <v>119564856</v>
      </c>
      <c r="I13219" s="529" t="s">
        <v>654</v>
      </c>
      <c r="J13219" s="530" t="s">
        <v>912</v>
      </c>
      <c r="N13219" s="420">
        <v>259435</v>
      </c>
      <c r="R13219" s="420">
        <v>1022.01</v>
      </c>
      <c r="S13219" s="420">
        <v>1023.33721298206</v>
      </c>
      <c r="T13219" s="420">
        <v>15.8</v>
      </c>
      <c r="U13219" s="278">
        <v>1193.1500000000001</v>
      </c>
      <c r="V13219" s="278">
        <v>596.58000000000004</v>
      </c>
      <c r="Z13219" s="420" t="s">
        <v>2953</v>
      </c>
    </row>
    <row r="13220" spans="1:26">
      <c r="A13220" s="499">
        <v>45940</v>
      </c>
      <c r="B13220" s="499">
        <v>45943</v>
      </c>
      <c r="C13220" s="420" t="s">
        <v>173</v>
      </c>
      <c r="D13220" s="500" t="s">
        <v>761</v>
      </c>
      <c r="E13220" s="501">
        <v>32057753.809999999</v>
      </c>
      <c r="F13220" s="95" t="s">
        <v>878</v>
      </c>
      <c r="G13220" s="420">
        <v>119565140</v>
      </c>
      <c r="H13220" s="420">
        <v>119565140</v>
      </c>
      <c r="I13220" s="529" t="s">
        <v>604</v>
      </c>
      <c r="J13220" s="530" t="s">
        <v>912</v>
      </c>
      <c r="N13220" s="420">
        <v>30688</v>
      </c>
      <c r="R13220" s="420">
        <v>1043.28</v>
      </c>
      <c r="S13220" s="420">
        <v>1044.63483478884</v>
      </c>
      <c r="T13220" s="420">
        <v>15.8</v>
      </c>
      <c r="U13220" s="278">
        <v>144.07</v>
      </c>
      <c r="V13220" s="278">
        <v>72.040000000000006</v>
      </c>
      <c r="Z13220" s="420" t="s">
        <v>2953</v>
      </c>
    </row>
    <row r="13221" spans="1:26">
      <c r="A13221" s="499">
        <v>45940</v>
      </c>
      <c r="B13221" s="499">
        <v>45940</v>
      </c>
      <c r="C13221" s="420" t="s">
        <v>173</v>
      </c>
      <c r="D13221" s="500" t="s">
        <v>759</v>
      </c>
      <c r="E13221" s="501">
        <v>-1990186654</v>
      </c>
      <c r="F13221" s="95" t="s">
        <v>878</v>
      </c>
      <c r="G13221" s="420">
        <v>119564214</v>
      </c>
      <c r="I13221" s="529" t="s">
        <v>3125</v>
      </c>
      <c r="J13221" s="530" t="s">
        <v>906</v>
      </c>
      <c r="N13221" s="420">
        <v>19941790</v>
      </c>
      <c r="R13221" s="420">
        <v>99.799800000000005</v>
      </c>
      <c r="S13221" s="420">
        <v>99.928582759999998</v>
      </c>
      <c r="T13221" s="420">
        <v>15.7</v>
      </c>
      <c r="U13221" s="278">
        <v>8955.84</v>
      </c>
      <c r="V13221" s="278">
        <v>4477.92</v>
      </c>
      <c r="Z13221" s="420" t="s">
        <v>2953</v>
      </c>
    </row>
    <row r="13222" spans="1:26">
      <c r="A13222" s="499">
        <v>45940</v>
      </c>
      <c r="B13222" s="499">
        <v>45940</v>
      </c>
      <c r="C13222" s="420" t="s">
        <v>173</v>
      </c>
      <c r="D13222" s="500" t="s">
        <v>759</v>
      </c>
      <c r="E13222" s="501">
        <v>-13001219.35</v>
      </c>
      <c r="F13222" s="95" t="s">
        <v>878</v>
      </c>
      <c r="G13222" s="420">
        <v>119564626</v>
      </c>
      <c r="I13222" s="529" t="s">
        <v>3125</v>
      </c>
      <c r="J13222" s="530" t="s">
        <v>906</v>
      </c>
      <c r="N13222" s="420">
        <v>130273</v>
      </c>
      <c r="R13222" s="420">
        <v>99.799800039999994</v>
      </c>
      <c r="S13222" s="420">
        <v>99.928582820000003</v>
      </c>
      <c r="T13222" s="420">
        <v>15.7</v>
      </c>
      <c r="U13222" s="278">
        <v>58.51</v>
      </c>
      <c r="V13222" s="278">
        <v>29.25</v>
      </c>
      <c r="Z13222" s="420" t="s">
        <v>2953</v>
      </c>
    </row>
    <row r="13223" spans="1:26">
      <c r="A13223" s="499">
        <v>45940</v>
      </c>
      <c r="B13223" s="499">
        <v>45943</v>
      </c>
      <c r="C13223" s="420" t="s">
        <v>173</v>
      </c>
      <c r="D13223" s="500" t="s">
        <v>759</v>
      </c>
      <c r="E13223" s="501">
        <v>1992754812</v>
      </c>
      <c r="F13223" s="95" t="s">
        <v>878</v>
      </c>
      <c r="G13223" s="420">
        <v>119564214</v>
      </c>
      <c r="H13223" s="420">
        <v>119564214</v>
      </c>
      <c r="I13223" s="529" t="s">
        <v>3125</v>
      </c>
      <c r="J13223" s="530" t="s">
        <v>912</v>
      </c>
      <c r="N13223" s="420">
        <v>19941790</v>
      </c>
      <c r="R13223" s="420">
        <v>99.799800000000005</v>
      </c>
      <c r="S13223" s="420">
        <v>99.928582759999998</v>
      </c>
      <c r="T13223" s="420">
        <v>15.7</v>
      </c>
      <c r="U13223" s="278">
        <v>8955.84</v>
      </c>
      <c r="V13223" s="278">
        <v>4477.92</v>
      </c>
      <c r="Z13223" s="420" t="s">
        <v>2953</v>
      </c>
    </row>
    <row r="13224" spans="1:26">
      <c r="A13224" s="499">
        <v>45940</v>
      </c>
      <c r="B13224" s="499">
        <v>45943</v>
      </c>
      <c r="C13224" s="420" t="s">
        <v>173</v>
      </c>
      <c r="D13224" s="500" t="s">
        <v>759</v>
      </c>
      <c r="E13224" s="501">
        <v>13017996.27</v>
      </c>
      <c r="F13224" s="95" t="s">
        <v>878</v>
      </c>
      <c r="G13224" s="420">
        <v>119564626</v>
      </c>
      <c r="H13224" s="420">
        <v>119564626</v>
      </c>
      <c r="I13224" s="529" t="s">
        <v>3125</v>
      </c>
      <c r="J13224" s="530" t="s">
        <v>912</v>
      </c>
      <c r="N13224" s="420">
        <v>130273</v>
      </c>
      <c r="R13224" s="420">
        <v>99.799800039999994</v>
      </c>
      <c r="S13224" s="420">
        <v>99.928582820000003</v>
      </c>
      <c r="T13224" s="420">
        <v>15.7</v>
      </c>
      <c r="U13224" s="278">
        <v>58.51</v>
      </c>
      <c r="V13224" s="278">
        <v>29.25</v>
      </c>
      <c r="Z13224" s="420" t="s">
        <v>2953</v>
      </c>
    </row>
    <row r="13225" spans="1:26">
      <c r="A13225" s="499">
        <v>45943</v>
      </c>
      <c r="B13225" s="499">
        <v>45943</v>
      </c>
      <c r="C13225" s="420" t="s">
        <v>173</v>
      </c>
      <c r="D13225" s="500" t="s">
        <v>762</v>
      </c>
      <c r="E13225" s="501">
        <v>-3807410172.48</v>
      </c>
      <c r="F13225" s="95" t="s">
        <v>878</v>
      </c>
      <c r="G13225" s="420">
        <v>119610023</v>
      </c>
      <c r="H13225" s="420"/>
      <c r="I13225" s="529" t="s">
        <v>800</v>
      </c>
      <c r="J13225" s="530" t="s">
        <v>906</v>
      </c>
      <c r="N13225" s="420">
        <v>3581446</v>
      </c>
      <c r="R13225" s="558">
        <v>1063.0930000000001</v>
      </c>
      <c r="S13225" s="558">
        <v>1063.5866858274601</v>
      </c>
      <c r="T13225" s="567">
        <v>16.950099999999999</v>
      </c>
      <c r="U13225" s="538">
        <v>5711.12</v>
      </c>
      <c r="V13225" s="538">
        <v>2855.56</v>
      </c>
      <c r="Z13225" s="539" t="s">
        <v>2953</v>
      </c>
    </row>
    <row r="13226" spans="1:26">
      <c r="A13226" s="499">
        <v>45943</v>
      </c>
      <c r="B13226" s="499">
        <v>45943</v>
      </c>
      <c r="C13226" s="420" t="s">
        <v>173</v>
      </c>
      <c r="D13226" s="500" t="s">
        <v>762</v>
      </c>
      <c r="E13226" s="501">
        <v>-52016800.100000001</v>
      </c>
      <c r="F13226" s="95" t="s">
        <v>878</v>
      </c>
      <c r="G13226" s="420">
        <v>119610026</v>
      </c>
      <c r="H13226" s="420"/>
      <c r="I13226" s="529" t="s">
        <v>631</v>
      </c>
      <c r="J13226" s="530" t="s">
        <v>906</v>
      </c>
      <c r="N13226" s="420">
        <v>99788</v>
      </c>
      <c r="R13226" s="558">
        <v>521.2731</v>
      </c>
      <c r="S13226" s="558">
        <v>521.51517206477695</v>
      </c>
      <c r="T13226" s="567">
        <v>16.950099999999999</v>
      </c>
      <c r="U13226" s="538">
        <v>78.03</v>
      </c>
      <c r="V13226" s="538">
        <v>39.01</v>
      </c>
      <c r="Z13226" s="539" t="s">
        <v>2953</v>
      </c>
    </row>
    <row r="13227" spans="1:26">
      <c r="A13227" s="499">
        <v>45943</v>
      </c>
      <c r="B13227" s="499">
        <v>45943</v>
      </c>
      <c r="C13227" s="420" t="s">
        <v>173</v>
      </c>
      <c r="D13227" s="500" t="s">
        <v>762</v>
      </c>
      <c r="E13227" s="501">
        <v>-43011403.380000003</v>
      </c>
      <c r="F13227" s="95" t="s">
        <v>878</v>
      </c>
      <c r="G13227" s="420">
        <v>119610029</v>
      </c>
      <c r="H13227" s="420"/>
      <c r="I13227" s="529" t="s">
        <v>1013</v>
      </c>
      <c r="J13227" s="530" t="s">
        <v>906</v>
      </c>
      <c r="N13227" s="420">
        <v>80238</v>
      </c>
      <c r="R13227" s="558">
        <v>536.04780000000005</v>
      </c>
      <c r="S13227" s="558">
        <v>536.29673334330403</v>
      </c>
      <c r="T13227" s="567">
        <v>16.950099999999999</v>
      </c>
      <c r="U13227" s="538">
        <v>64.52</v>
      </c>
      <c r="V13227" s="538">
        <v>32.26</v>
      </c>
      <c r="Z13227" s="539" t="s">
        <v>2953</v>
      </c>
    </row>
    <row r="13228" spans="1:26">
      <c r="A13228" s="499">
        <v>45943</v>
      </c>
      <c r="B13228" s="499">
        <v>45943</v>
      </c>
      <c r="C13228" s="420" t="s">
        <v>173</v>
      </c>
      <c r="D13228" s="500" t="s">
        <v>762</v>
      </c>
      <c r="E13228" s="501">
        <v>-214150491.65000001</v>
      </c>
      <c r="F13228" s="95" t="s">
        <v>878</v>
      </c>
      <c r="G13228" s="420">
        <v>119610032</v>
      </c>
      <c r="H13228" s="420"/>
      <c r="I13228" s="529" t="s">
        <v>590</v>
      </c>
      <c r="J13228" s="530" t="s">
        <v>906</v>
      </c>
      <c r="N13228" s="420">
        <v>223416</v>
      </c>
      <c r="R13228" s="558">
        <v>958.52800000000002</v>
      </c>
      <c r="S13228" s="558">
        <v>958.96130720270696</v>
      </c>
      <c r="T13228" s="567">
        <v>16.5</v>
      </c>
      <c r="U13228" s="538">
        <v>321.23</v>
      </c>
      <c r="V13228" s="538">
        <v>160.61000000000001</v>
      </c>
      <c r="Z13228" s="539" t="s">
        <v>2953</v>
      </c>
    </row>
    <row r="13229" spans="1:26">
      <c r="A13229" s="499">
        <v>45943</v>
      </c>
      <c r="B13229" s="499">
        <v>45943</v>
      </c>
      <c r="C13229" s="420" t="s">
        <v>173</v>
      </c>
      <c r="D13229" s="500" t="s">
        <v>762</v>
      </c>
      <c r="E13229" s="501">
        <v>-26000409.34</v>
      </c>
      <c r="F13229" s="95" t="s">
        <v>878</v>
      </c>
      <c r="G13229" s="420">
        <v>119610141</v>
      </c>
      <c r="H13229" s="420"/>
      <c r="I13229" s="529" t="s">
        <v>723</v>
      </c>
      <c r="J13229" s="530" t="s">
        <v>906</v>
      </c>
      <c r="N13229" s="420">
        <v>43264</v>
      </c>
      <c r="R13229" s="558">
        <v>600.971</v>
      </c>
      <c r="S13229" s="558">
        <v>601.24678970968898</v>
      </c>
      <c r="T13229" s="567">
        <v>16.7501</v>
      </c>
      <c r="U13229" s="538">
        <v>39.32</v>
      </c>
      <c r="V13229" s="538">
        <v>19.5</v>
      </c>
      <c r="Z13229" s="539" t="s">
        <v>2953</v>
      </c>
    </row>
    <row r="13230" spans="1:26">
      <c r="A13230" s="499">
        <v>45943</v>
      </c>
      <c r="B13230" s="499">
        <v>45944</v>
      </c>
      <c r="C13230" s="420" t="s">
        <v>173</v>
      </c>
      <c r="D13230" s="500" t="s">
        <v>762</v>
      </c>
      <c r="E13230" s="501">
        <v>3809178281.6100001</v>
      </c>
      <c r="F13230" s="95" t="s">
        <v>878</v>
      </c>
      <c r="G13230" s="420">
        <v>119610023</v>
      </c>
      <c r="H13230" s="420">
        <v>119610023</v>
      </c>
      <c r="I13230" s="529" t="s">
        <v>800</v>
      </c>
      <c r="J13230" s="530" t="s">
        <v>912</v>
      </c>
      <c r="N13230" s="420">
        <v>3581446</v>
      </c>
      <c r="R13230" s="558">
        <v>1063.0930000000001</v>
      </c>
      <c r="S13230" s="558">
        <v>1063.5866858274601</v>
      </c>
      <c r="T13230" s="567">
        <v>16.950099999999999</v>
      </c>
      <c r="U13230" s="538">
        <v>5711.12</v>
      </c>
      <c r="V13230" s="538">
        <v>2855.56</v>
      </c>
      <c r="Z13230" s="539" t="s">
        <v>2953</v>
      </c>
    </row>
    <row r="13231" spans="1:26">
      <c r="A13231" s="499">
        <v>45943</v>
      </c>
      <c r="B13231" s="499">
        <v>45944</v>
      </c>
      <c r="C13231" s="420" t="s">
        <v>173</v>
      </c>
      <c r="D13231" s="500" t="s">
        <v>762</v>
      </c>
      <c r="E13231" s="501">
        <v>52040955.990000002</v>
      </c>
      <c r="F13231" s="95" t="s">
        <v>878</v>
      </c>
      <c r="G13231" s="420">
        <v>119610026</v>
      </c>
      <c r="H13231" s="420">
        <v>119610026</v>
      </c>
      <c r="I13231" s="529" t="s">
        <v>631</v>
      </c>
      <c r="J13231" s="530" t="s">
        <v>912</v>
      </c>
      <c r="N13231" s="420">
        <v>99788</v>
      </c>
      <c r="R13231" s="558">
        <v>521.2731</v>
      </c>
      <c r="S13231" s="558">
        <v>521.51517206477695</v>
      </c>
      <c r="T13231" s="567">
        <v>16.950099999999999</v>
      </c>
      <c r="U13231" s="538">
        <v>78.03</v>
      </c>
      <c r="V13231" s="538">
        <v>39.01</v>
      </c>
      <c r="Z13231" s="539" t="s">
        <v>2953</v>
      </c>
    </row>
    <row r="13232" spans="1:26">
      <c r="A13232" s="499">
        <v>45943</v>
      </c>
      <c r="B13232" s="499">
        <v>45944</v>
      </c>
      <c r="C13232" s="420" t="s">
        <v>173</v>
      </c>
      <c r="D13232" s="500" t="s">
        <v>762</v>
      </c>
      <c r="E13232" s="501">
        <v>43031377.289999999</v>
      </c>
      <c r="F13232" s="95" t="s">
        <v>878</v>
      </c>
      <c r="G13232" s="420">
        <v>119610029</v>
      </c>
      <c r="H13232" s="420">
        <v>119610029</v>
      </c>
      <c r="I13232" s="529" t="s">
        <v>1013</v>
      </c>
      <c r="J13232" s="530" t="s">
        <v>912</v>
      </c>
      <c r="N13232" s="420">
        <v>80238</v>
      </c>
      <c r="R13232" s="558">
        <v>536.04780000000005</v>
      </c>
      <c r="S13232" s="558">
        <v>536.29673334330403</v>
      </c>
      <c r="T13232" s="567">
        <v>16.950099999999999</v>
      </c>
      <c r="U13232" s="538">
        <v>64.52</v>
      </c>
      <c r="V13232" s="538">
        <v>32.26</v>
      </c>
      <c r="Z13232" s="539" t="s">
        <v>2953</v>
      </c>
    </row>
    <row r="13233" spans="1:26">
      <c r="A13233" s="499">
        <v>45943</v>
      </c>
      <c r="B13233" s="499">
        <v>45944</v>
      </c>
      <c r="C13233" s="420" t="s">
        <v>173</v>
      </c>
      <c r="D13233" s="500" t="s">
        <v>762</v>
      </c>
      <c r="E13233" s="501">
        <v>214247299.41</v>
      </c>
      <c r="F13233" s="95" t="s">
        <v>878</v>
      </c>
      <c r="G13233" s="420">
        <v>119610032</v>
      </c>
      <c r="H13233" s="420">
        <v>119610032</v>
      </c>
      <c r="I13233" s="529" t="s">
        <v>590</v>
      </c>
      <c r="J13233" s="530" t="s">
        <v>912</v>
      </c>
      <c r="N13233" s="420">
        <v>223416</v>
      </c>
      <c r="R13233" s="558">
        <v>958.52800000000002</v>
      </c>
      <c r="S13233" s="558">
        <v>958.96130720270696</v>
      </c>
      <c r="T13233" s="567">
        <v>16.5</v>
      </c>
      <c r="U13233" s="538">
        <v>321.23</v>
      </c>
      <c r="V13233" s="538">
        <v>160.61000000000001</v>
      </c>
      <c r="Z13233" s="539" t="s">
        <v>2953</v>
      </c>
    </row>
    <row r="13234" spans="1:26">
      <c r="A13234" s="499">
        <v>45943</v>
      </c>
      <c r="B13234" s="499">
        <v>45944</v>
      </c>
      <c r="C13234" s="420" t="s">
        <v>173</v>
      </c>
      <c r="D13234" s="500" t="s">
        <v>762</v>
      </c>
      <c r="E13234" s="501">
        <v>26012341.109999999</v>
      </c>
      <c r="F13234" s="95" t="s">
        <v>878</v>
      </c>
      <c r="G13234" s="420">
        <v>119610141</v>
      </c>
      <c r="H13234" s="420">
        <v>119610141</v>
      </c>
      <c r="I13234" s="529" t="s">
        <v>723</v>
      </c>
      <c r="J13234" s="530" t="s">
        <v>912</v>
      </c>
      <c r="N13234" s="420">
        <v>43264</v>
      </c>
      <c r="R13234" s="558">
        <v>600.971</v>
      </c>
      <c r="S13234" s="558">
        <v>601.24678970968898</v>
      </c>
      <c r="T13234" s="567">
        <v>16.7501</v>
      </c>
      <c r="U13234" s="538">
        <v>39.32</v>
      </c>
      <c r="V13234" s="538">
        <v>19.5</v>
      </c>
      <c r="Z13234" s="539" t="s">
        <v>2953</v>
      </c>
    </row>
    <row r="13235" spans="1:26">
      <c r="A13235" s="499">
        <v>45943</v>
      </c>
      <c r="B13235" s="499">
        <v>45943</v>
      </c>
      <c r="C13235" s="420" t="s">
        <v>173</v>
      </c>
      <c r="D13235" s="500" t="s">
        <v>763</v>
      </c>
      <c r="E13235" s="501">
        <v>-2105591171.04</v>
      </c>
      <c r="F13235" s="95" t="s">
        <v>878</v>
      </c>
      <c r="G13235" s="420">
        <v>119605381</v>
      </c>
      <c r="I13235" s="529" t="s">
        <v>699</v>
      </c>
      <c r="J13235" s="530" t="s">
        <v>906</v>
      </c>
      <c r="N13235" s="420">
        <v>2282840</v>
      </c>
      <c r="R13235" s="420">
        <v>922.35599999999999</v>
      </c>
      <c r="S13235" s="420">
        <v>922.78561826496798</v>
      </c>
      <c r="T13235" s="420">
        <v>17.001100000000001</v>
      </c>
      <c r="U13235" s="278">
        <v>3158.39</v>
      </c>
      <c r="V13235" s="278">
        <v>1579.19</v>
      </c>
      <c r="Z13235" s="420" t="s">
        <v>2953</v>
      </c>
    </row>
    <row r="13236" spans="1:26">
      <c r="A13236" s="499">
        <v>45943</v>
      </c>
      <c r="B13236" s="499">
        <v>45943</v>
      </c>
      <c r="C13236" s="420" t="s">
        <v>173</v>
      </c>
      <c r="D13236" s="500" t="s">
        <v>763</v>
      </c>
      <c r="E13236" s="501">
        <v>-12007992.74</v>
      </c>
      <c r="F13236" s="95" t="s">
        <v>878</v>
      </c>
      <c r="G13236" s="420">
        <v>119605464</v>
      </c>
      <c r="I13236" s="529" t="s">
        <v>675</v>
      </c>
      <c r="J13236" s="530" t="s">
        <v>906</v>
      </c>
      <c r="N13236" s="420">
        <v>12564</v>
      </c>
      <c r="R13236" s="420">
        <v>955.74599999999998</v>
      </c>
      <c r="S13236" s="420">
        <v>956.19117319325096</v>
      </c>
      <c r="T13236" s="420">
        <v>17.001200000000001</v>
      </c>
      <c r="U13236" s="278">
        <v>39.32</v>
      </c>
      <c r="V13236" s="278">
        <v>39.32</v>
      </c>
      <c r="Z13236" s="420" t="s">
        <v>2953</v>
      </c>
    </row>
    <row r="13237" spans="1:26">
      <c r="A13237" s="499">
        <v>45943</v>
      </c>
      <c r="B13237" s="499">
        <v>45944</v>
      </c>
      <c r="C13237" s="420" t="s">
        <v>173</v>
      </c>
      <c r="D13237" s="500" t="s">
        <v>763</v>
      </c>
      <c r="E13237" s="501">
        <v>2106571920.8</v>
      </c>
      <c r="F13237" s="95" t="s">
        <v>878</v>
      </c>
      <c r="G13237" s="420">
        <v>119605381</v>
      </c>
      <c r="H13237" s="420">
        <v>119605381</v>
      </c>
      <c r="I13237" s="529" t="s">
        <v>699</v>
      </c>
      <c r="J13237" s="530" t="s">
        <v>912</v>
      </c>
      <c r="N13237" s="420">
        <v>2282840</v>
      </c>
      <c r="R13237" s="420">
        <v>922.35599999999999</v>
      </c>
      <c r="S13237" s="420">
        <v>922.78561826496798</v>
      </c>
      <c r="T13237" s="420">
        <v>17.001100000000001</v>
      </c>
      <c r="U13237" s="278">
        <v>3158.39</v>
      </c>
      <c r="V13237" s="278">
        <v>1579.19</v>
      </c>
      <c r="Z13237" s="420" t="s">
        <v>2953</v>
      </c>
    </row>
    <row r="13238" spans="1:26">
      <c r="A13238" s="499">
        <v>45943</v>
      </c>
      <c r="B13238" s="499">
        <v>45944</v>
      </c>
      <c r="C13238" s="420" t="s">
        <v>173</v>
      </c>
      <c r="D13238" s="500" t="s">
        <v>763</v>
      </c>
      <c r="E13238" s="501">
        <v>12013585.9</v>
      </c>
      <c r="F13238" s="95" t="s">
        <v>878</v>
      </c>
      <c r="G13238" s="420">
        <v>119605464</v>
      </c>
      <c r="H13238" s="420">
        <v>119605464</v>
      </c>
      <c r="I13238" s="529" t="s">
        <v>675</v>
      </c>
      <c r="J13238" s="530" t="s">
        <v>912</v>
      </c>
      <c r="N13238" s="420">
        <v>12564</v>
      </c>
      <c r="R13238" s="420">
        <v>955.74599999999998</v>
      </c>
      <c r="S13238" s="420">
        <v>956.19117319325096</v>
      </c>
      <c r="T13238" s="420">
        <v>17.001200000000001</v>
      </c>
      <c r="U13238" s="278">
        <v>39.32</v>
      </c>
      <c r="V13238" s="278">
        <v>39.32</v>
      </c>
      <c r="Z13238" s="420" t="s">
        <v>2953</v>
      </c>
    </row>
    <row r="13239" spans="1:26">
      <c r="A13239" s="499">
        <v>45943</v>
      </c>
      <c r="B13239" s="499">
        <v>45943</v>
      </c>
      <c r="C13239" s="420" t="s">
        <v>173</v>
      </c>
      <c r="D13239" s="500" t="s">
        <v>760</v>
      </c>
      <c r="E13239" s="501">
        <v>-3209189611.3200002</v>
      </c>
      <c r="F13239" s="95" t="s">
        <v>878</v>
      </c>
      <c r="G13239" s="420">
        <v>119605973</v>
      </c>
      <c r="I13239" s="529" t="s">
        <v>693</v>
      </c>
      <c r="J13239" s="530" t="s">
        <v>906</v>
      </c>
      <c r="N13239" s="420">
        <v>4153065</v>
      </c>
      <c r="R13239" s="420">
        <v>772.72799999999995</v>
      </c>
      <c r="S13239" s="420">
        <v>773.08832412447202</v>
      </c>
      <c r="T13239" s="420">
        <v>17.02</v>
      </c>
      <c r="U13239" s="278">
        <v>4813.78</v>
      </c>
      <c r="V13239" s="278">
        <v>2406.89</v>
      </c>
      <c r="Z13239" s="420" t="s">
        <v>2953</v>
      </c>
    </row>
    <row r="13240" spans="1:26">
      <c r="A13240" s="499">
        <v>45943</v>
      </c>
      <c r="B13240" s="499">
        <v>45943</v>
      </c>
      <c r="C13240" s="420" t="s">
        <v>173</v>
      </c>
      <c r="D13240" s="500" t="s">
        <v>760</v>
      </c>
      <c r="E13240" s="501">
        <v>-39021193.850000001</v>
      </c>
      <c r="F13240" s="95" t="s">
        <v>878</v>
      </c>
      <c r="G13240" s="420">
        <v>119606374</v>
      </c>
      <c r="I13240" s="529" t="s">
        <v>712</v>
      </c>
      <c r="J13240" s="530" t="s">
        <v>906</v>
      </c>
      <c r="N13240" s="420">
        <v>45084</v>
      </c>
      <c r="R13240" s="420">
        <v>865.52200000000005</v>
      </c>
      <c r="S13240" s="420">
        <v>865.92559644219705</v>
      </c>
      <c r="T13240" s="420">
        <v>17.020099999999999</v>
      </c>
      <c r="U13240" s="278">
        <v>58.53</v>
      </c>
      <c r="V13240" s="278">
        <v>29.27</v>
      </c>
      <c r="Z13240" s="420" t="s">
        <v>2953</v>
      </c>
    </row>
    <row r="13241" spans="1:26">
      <c r="A13241" s="499">
        <v>45943</v>
      </c>
      <c r="B13241" s="499">
        <v>45944</v>
      </c>
      <c r="C13241" s="420" t="s">
        <v>173</v>
      </c>
      <c r="D13241" s="500" t="s">
        <v>760</v>
      </c>
      <c r="E13241" s="501">
        <v>3210686060.8299999</v>
      </c>
      <c r="F13241" s="95" t="s">
        <v>878</v>
      </c>
      <c r="G13241" s="420">
        <v>119605973</v>
      </c>
      <c r="H13241" s="420">
        <v>119605973</v>
      </c>
      <c r="I13241" s="529" t="s">
        <v>693</v>
      </c>
      <c r="J13241" s="530" t="s">
        <v>912</v>
      </c>
      <c r="N13241" s="420">
        <v>4153065</v>
      </c>
      <c r="R13241" s="420">
        <v>772.72799999999995</v>
      </c>
      <c r="S13241" s="420">
        <v>773.08832412447202</v>
      </c>
      <c r="T13241" s="420">
        <v>17.02</v>
      </c>
      <c r="U13241" s="278">
        <v>4813.78</v>
      </c>
      <c r="V13241" s="278">
        <v>2406.89</v>
      </c>
      <c r="Z13241" s="420" t="s">
        <v>2953</v>
      </c>
    </row>
    <row r="13242" spans="1:26">
      <c r="A13242" s="499">
        <v>45943</v>
      </c>
      <c r="B13242" s="499">
        <v>45944</v>
      </c>
      <c r="C13242" s="420" t="s">
        <v>173</v>
      </c>
      <c r="D13242" s="500" t="s">
        <v>760</v>
      </c>
      <c r="E13242" s="501">
        <v>39039389.590000004</v>
      </c>
      <c r="F13242" s="95" t="s">
        <v>878</v>
      </c>
      <c r="G13242" s="420">
        <v>119606374</v>
      </c>
      <c r="H13242" s="420">
        <v>119606374</v>
      </c>
      <c r="I13242" s="529" t="s">
        <v>712</v>
      </c>
      <c r="J13242" s="530" t="s">
        <v>912</v>
      </c>
      <c r="N13242" s="420">
        <v>45084</v>
      </c>
      <c r="R13242" s="420">
        <v>865.52200000000005</v>
      </c>
      <c r="S13242" s="420">
        <v>865.92559644219705</v>
      </c>
      <c r="T13242" s="420">
        <v>17.020099999999999</v>
      </c>
      <c r="U13242" s="278">
        <v>58.53</v>
      </c>
      <c r="V13242" s="278">
        <v>29.27</v>
      </c>
      <c r="Z13242" s="420" t="s">
        <v>2953</v>
      </c>
    </row>
    <row r="13243" spans="1:26">
      <c r="A13243" s="499">
        <v>45943</v>
      </c>
      <c r="B13243" s="499">
        <v>45943</v>
      </c>
      <c r="C13243" s="420" t="s">
        <v>173</v>
      </c>
      <c r="D13243" s="500" t="s">
        <v>761</v>
      </c>
      <c r="E13243" s="501">
        <v>-1392414793.73</v>
      </c>
      <c r="F13243" s="95" t="s">
        <v>878</v>
      </c>
      <c r="G13243" s="420">
        <v>119605150</v>
      </c>
      <c r="I13243" s="529" t="s">
        <v>829</v>
      </c>
      <c r="J13243" s="530" t="s">
        <v>906</v>
      </c>
      <c r="N13243" s="420">
        <v>1383648</v>
      </c>
      <c r="R13243" s="420">
        <v>1006.3360000014454</v>
      </c>
      <c r="S13243" s="420">
        <v>1006.81159715477</v>
      </c>
      <c r="T13243" s="420">
        <v>17.25</v>
      </c>
      <c r="U13243" s="278">
        <v>2088.62</v>
      </c>
      <c r="V13243" s="278">
        <v>1044.31</v>
      </c>
      <c r="Z13243" s="420" t="s">
        <v>2953</v>
      </c>
    </row>
    <row r="13244" spans="1:26">
      <c r="A13244" s="499">
        <v>45943</v>
      </c>
      <c r="B13244" s="499">
        <v>45943</v>
      </c>
      <c r="C13244" s="420" t="s">
        <v>173</v>
      </c>
      <c r="D13244" s="500" t="s">
        <v>761</v>
      </c>
      <c r="E13244" s="501">
        <v>-35001232</v>
      </c>
      <c r="F13244" s="95" t="s">
        <v>878</v>
      </c>
      <c r="G13244" s="420">
        <v>119609126</v>
      </c>
      <c r="I13244" s="529" t="s">
        <v>588</v>
      </c>
      <c r="J13244" s="530" t="s">
        <v>906</v>
      </c>
      <c r="N13244" s="420">
        <v>38080</v>
      </c>
      <c r="R13244" s="420">
        <v>919.15</v>
      </c>
      <c r="S13244" s="420">
        <v>922.14668093487398</v>
      </c>
      <c r="T13244" s="420">
        <v>17</v>
      </c>
      <c r="U13244" s="278">
        <v>367.51</v>
      </c>
      <c r="V13244" s="278">
        <v>183.76</v>
      </c>
      <c r="Z13244" s="420" t="s">
        <v>2961</v>
      </c>
    </row>
    <row r="13245" spans="1:26">
      <c r="A13245" s="499">
        <v>45943</v>
      </c>
      <c r="B13245" s="499">
        <v>45944</v>
      </c>
      <c r="C13245" s="420" t="s">
        <v>173</v>
      </c>
      <c r="D13245" s="500" t="s">
        <v>761</v>
      </c>
      <c r="E13245" s="501">
        <v>1393072852.78</v>
      </c>
      <c r="F13245" s="95" t="s">
        <v>878</v>
      </c>
      <c r="G13245" s="420">
        <v>119605150</v>
      </c>
      <c r="H13245" s="420">
        <v>119605150</v>
      </c>
      <c r="I13245" s="529" t="s">
        <v>829</v>
      </c>
      <c r="J13245" s="530" t="s">
        <v>912</v>
      </c>
      <c r="N13245" s="420">
        <v>1383648</v>
      </c>
      <c r="R13245" s="420">
        <v>1006.3360000014454</v>
      </c>
      <c r="S13245" s="420">
        <v>1006.81159715477</v>
      </c>
      <c r="T13245" s="420">
        <v>17.25</v>
      </c>
      <c r="U13245" s="278">
        <v>2088.62</v>
      </c>
      <c r="V13245" s="278">
        <v>1044.31</v>
      </c>
      <c r="Z13245" s="420" t="s">
        <v>2953</v>
      </c>
    </row>
    <row r="13246" spans="1:26">
      <c r="A13246" s="499">
        <v>45943</v>
      </c>
      <c r="B13246" s="499">
        <v>45950</v>
      </c>
      <c r="C13246" s="420" t="s">
        <v>173</v>
      </c>
      <c r="D13246" s="500" t="s">
        <v>761</v>
      </c>
      <c r="E13246" s="501">
        <v>35115345.609999999</v>
      </c>
      <c r="F13246" s="95" t="s">
        <v>878</v>
      </c>
      <c r="G13246" s="420">
        <v>119609126</v>
      </c>
      <c r="H13246" s="420">
        <v>119609126</v>
      </c>
      <c r="I13246" s="529" t="s">
        <v>588</v>
      </c>
      <c r="J13246" s="530" t="s">
        <v>912</v>
      </c>
      <c r="N13246" s="420">
        <v>38080</v>
      </c>
      <c r="R13246" s="420">
        <v>919.15</v>
      </c>
      <c r="S13246" s="420">
        <v>922.14668093487398</v>
      </c>
      <c r="T13246" s="420">
        <v>17</v>
      </c>
      <c r="U13246" s="278">
        <v>367.51</v>
      </c>
      <c r="V13246" s="278">
        <v>183.76</v>
      </c>
      <c r="Z13246" s="420" t="s">
        <v>2961</v>
      </c>
    </row>
    <row r="13247" spans="1:26">
      <c r="A13247" s="499">
        <v>45943</v>
      </c>
      <c r="B13247" s="499">
        <v>45943</v>
      </c>
      <c r="C13247" s="420" t="s">
        <v>173</v>
      </c>
      <c r="D13247" s="500" t="s">
        <v>764</v>
      </c>
      <c r="E13247" s="501">
        <v>-474382035.47000003</v>
      </c>
      <c r="F13247" s="95" t="s">
        <v>878</v>
      </c>
      <c r="G13247" s="420">
        <v>119608518</v>
      </c>
      <c r="I13247" s="529" t="s">
        <v>654</v>
      </c>
      <c r="J13247" s="530" t="s">
        <v>906</v>
      </c>
      <c r="N13247" s="420">
        <v>463572</v>
      </c>
      <c r="R13247" s="420">
        <v>1023.3190000043144</v>
      </c>
      <c r="S13247" s="420">
        <v>1023.7956143382301</v>
      </c>
      <c r="T13247" s="420">
        <v>17</v>
      </c>
      <c r="U13247" s="278">
        <v>711.57</v>
      </c>
      <c r="V13247" s="278">
        <v>355.79</v>
      </c>
      <c r="Z13247" s="420" t="s">
        <v>2953</v>
      </c>
    </row>
    <row r="13248" spans="1:26">
      <c r="A13248" s="499">
        <v>45943</v>
      </c>
      <c r="B13248" s="499">
        <v>45943</v>
      </c>
      <c r="C13248" s="420" t="s">
        <v>173</v>
      </c>
      <c r="D13248" s="500" t="s">
        <v>764</v>
      </c>
      <c r="E13248" s="501">
        <v>-601150871.42999995</v>
      </c>
      <c r="F13248" s="95" t="s">
        <v>878</v>
      </c>
      <c r="G13248" s="420">
        <v>119608671</v>
      </c>
      <c r="I13248" s="529" t="s">
        <v>705</v>
      </c>
      <c r="J13248" s="530" t="s">
        <v>906</v>
      </c>
      <c r="N13248" s="420">
        <v>784906</v>
      </c>
      <c r="R13248" s="420">
        <v>765.88899999490377</v>
      </c>
      <c r="S13248" s="420">
        <v>766.24571542324804</v>
      </c>
      <c r="T13248" s="420">
        <v>17</v>
      </c>
      <c r="U13248" s="278">
        <v>901.73</v>
      </c>
      <c r="V13248" s="278">
        <v>450.86</v>
      </c>
      <c r="Z13248" s="420" t="s">
        <v>2953</v>
      </c>
    </row>
    <row r="13249" spans="1:26">
      <c r="A13249" s="499">
        <v>45943</v>
      </c>
      <c r="B13249" s="499">
        <v>45943</v>
      </c>
      <c r="C13249" s="420" t="s">
        <v>173</v>
      </c>
      <c r="D13249" s="500" t="s">
        <v>764</v>
      </c>
      <c r="E13249" s="501">
        <v>-693491392.44000006</v>
      </c>
      <c r="F13249" s="95" t="s">
        <v>878</v>
      </c>
      <c r="G13249" s="420">
        <v>119608681</v>
      </c>
      <c r="I13249" s="529" t="s">
        <v>671</v>
      </c>
      <c r="J13249" s="530" t="s">
        <v>906</v>
      </c>
      <c r="N13249" s="420">
        <v>659736</v>
      </c>
      <c r="R13249" s="420">
        <v>1051.1650000000002</v>
      </c>
      <c r="S13249" s="420">
        <v>1051.65458369712</v>
      </c>
      <c r="T13249" s="420">
        <v>17</v>
      </c>
      <c r="U13249" s="278">
        <v>1040.24</v>
      </c>
      <c r="V13249" s="278">
        <v>520.12</v>
      </c>
      <c r="Z13249" s="420" t="s">
        <v>2953</v>
      </c>
    </row>
    <row r="13250" spans="1:26">
      <c r="A13250" s="499">
        <v>45943</v>
      </c>
      <c r="B13250" s="499">
        <v>45943</v>
      </c>
      <c r="C13250" s="420" t="s">
        <v>173</v>
      </c>
      <c r="D13250" s="500" t="s">
        <v>764</v>
      </c>
      <c r="E13250" s="501">
        <v>-697526838.60000002</v>
      </c>
      <c r="F13250" s="95" t="s">
        <v>878</v>
      </c>
      <c r="G13250" s="420">
        <v>119608704</v>
      </c>
      <c r="I13250" s="529" t="s">
        <v>673</v>
      </c>
      <c r="J13250" s="530" t="s">
        <v>906</v>
      </c>
      <c r="N13250" s="420">
        <v>754154</v>
      </c>
      <c r="R13250" s="420">
        <v>924.91299999734804</v>
      </c>
      <c r="S13250" s="420">
        <v>925.34378138947795</v>
      </c>
      <c r="T13250" s="420">
        <v>17</v>
      </c>
      <c r="U13250" s="278">
        <v>1046.29</v>
      </c>
      <c r="V13250" s="278">
        <v>523.15</v>
      </c>
      <c r="Z13250" s="420" t="s">
        <v>2953</v>
      </c>
    </row>
    <row r="13251" spans="1:26">
      <c r="A13251" s="499">
        <v>45943</v>
      </c>
      <c r="B13251" s="499">
        <v>45943</v>
      </c>
      <c r="C13251" s="420" t="s">
        <v>173</v>
      </c>
      <c r="D13251" s="500" t="s">
        <v>764</v>
      </c>
      <c r="E13251" s="501">
        <v>-525349682.55000001</v>
      </c>
      <c r="F13251" s="95" t="s">
        <v>878</v>
      </c>
      <c r="G13251" s="420">
        <v>119608714</v>
      </c>
      <c r="I13251" s="529" t="s">
        <v>675</v>
      </c>
      <c r="J13251" s="530" t="s">
        <v>906</v>
      </c>
      <c r="N13251" s="420">
        <v>549675</v>
      </c>
      <c r="R13251" s="420">
        <v>955.74599999999998</v>
      </c>
      <c r="S13251" s="420">
        <v>956.19114196570695</v>
      </c>
      <c r="T13251" s="420">
        <v>17</v>
      </c>
      <c r="U13251" s="278">
        <v>788.02</v>
      </c>
      <c r="V13251" s="278">
        <v>394.01</v>
      </c>
      <c r="Z13251" s="420" t="s">
        <v>2953</v>
      </c>
    </row>
    <row r="13252" spans="1:26">
      <c r="A13252" s="499">
        <v>45943</v>
      </c>
      <c r="B13252" s="499">
        <v>45943</v>
      </c>
      <c r="C13252" s="420" t="s">
        <v>173</v>
      </c>
      <c r="D13252" s="500" t="s">
        <v>764</v>
      </c>
      <c r="E13252" s="501">
        <v>-535176839.44</v>
      </c>
      <c r="F13252" s="95" t="s">
        <v>878</v>
      </c>
      <c r="G13252" s="420">
        <v>119608721</v>
      </c>
      <c r="I13252" s="529" t="s">
        <v>721</v>
      </c>
      <c r="J13252" s="530" t="s">
        <v>906</v>
      </c>
      <c r="N13252" s="420">
        <v>936785</v>
      </c>
      <c r="R13252" s="420">
        <v>571.29100000533742</v>
      </c>
      <c r="S13252" s="420">
        <v>571.557080749585</v>
      </c>
      <c r="T13252" s="420">
        <v>17</v>
      </c>
      <c r="U13252" s="278">
        <v>802.77</v>
      </c>
      <c r="V13252" s="278">
        <v>401.38</v>
      </c>
      <c r="Z13252" s="420" t="s">
        <v>2953</v>
      </c>
    </row>
    <row r="13253" spans="1:26">
      <c r="A13253" s="499">
        <v>45943</v>
      </c>
      <c r="B13253" s="499">
        <v>45943</v>
      </c>
      <c r="C13253" s="420" t="s">
        <v>173</v>
      </c>
      <c r="D13253" s="500" t="s">
        <v>764</v>
      </c>
      <c r="E13253" s="501">
        <v>-579308905.19000006</v>
      </c>
      <c r="F13253" s="95" t="s">
        <v>878</v>
      </c>
      <c r="G13253" s="420">
        <v>119608730</v>
      </c>
      <c r="I13253" s="529" t="s">
        <v>2616</v>
      </c>
      <c r="J13253" s="530" t="s">
        <v>906</v>
      </c>
      <c r="N13253" s="420">
        <v>610845</v>
      </c>
      <c r="R13253" s="420">
        <v>948.3730000081855</v>
      </c>
      <c r="S13253" s="420">
        <v>948.81470798647797</v>
      </c>
      <c r="T13253" s="420">
        <v>17</v>
      </c>
      <c r="U13253" s="278">
        <v>868.96</v>
      </c>
      <c r="V13253" s="278">
        <v>434.48</v>
      </c>
      <c r="Z13253" s="420" t="s">
        <v>2953</v>
      </c>
    </row>
    <row r="13254" spans="1:26">
      <c r="A13254" s="499">
        <v>45943</v>
      </c>
      <c r="B13254" s="499">
        <v>45943</v>
      </c>
      <c r="C13254" s="420" t="s">
        <v>173</v>
      </c>
      <c r="D13254" s="500" t="s">
        <v>764</v>
      </c>
      <c r="E13254" s="501">
        <v>-519162417.94</v>
      </c>
      <c r="F13254" s="95" t="s">
        <v>878</v>
      </c>
      <c r="G13254" s="420">
        <v>119608737</v>
      </c>
      <c r="I13254" s="529" t="s">
        <v>668</v>
      </c>
      <c r="J13254" s="530" t="s">
        <v>906</v>
      </c>
      <c r="N13254" s="420">
        <v>497202</v>
      </c>
      <c r="R13254" s="420">
        <v>1044.1680000080451</v>
      </c>
      <c r="S13254" s="420">
        <v>1044.6543248216999</v>
      </c>
      <c r="T13254" s="420">
        <v>17</v>
      </c>
      <c r="U13254" s="278">
        <v>778.74</v>
      </c>
      <c r="V13254" s="278">
        <v>389.37</v>
      </c>
      <c r="Z13254" s="420" t="s">
        <v>2953</v>
      </c>
    </row>
    <row r="13255" spans="1:26">
      <c r="A13255" s="499">
        <v>45943</v>
      </c>
      <c r="B13255" s="499">
        <v>45943</v>
      </c>
      <c r="C13255" s="420" t="s">
        <v>173</v>
      </c>
      <c r="D13255" s="500" t="s">
        <v>764</v>
      </c>
      <c r="E13255" s="501">
        <v>-297227183.31999999</v>
      </c>
      <c r="F13255" s="95" t="s">
        <v>878</v>
      </c>
      <c r="G13255" s="420">
        <v>119608781</v>
      </c>
      <c r="I13255" s="529" t="s">
        <v>677</v>
      </c>
      <c r="J13255" s="530" t="s">
        <v>906</v>
      </c>
      <c r="N13255" s="420">
        <v>329373</v>
      </c>
      <c r="R13255" s="420">
        <v>902.40300000303603</v>
      </c>
      <c r="S13255" s="420">
        <v>902.82329729516402</v>
      </c>
      <c r="T13255" s="420">
        <v>17</v>
      </c>
      <c r="U13255" s="278">
        <v>445.84</v>
      </c>
      <c r="V13255" s="278">
        <v>222.92</v>
      </c>
      <c r="Z13255" s="420" t="s">
        <v>2953</v>
      </c>
    </row>
    <row r="13256" spans="1:26">
      <c r="A13256" s="499">
        <v>45943</v>
      </c>
      <c r="B13256" s="499">
        <v>45943</v>
      </c>
      <c r="C13256" s="420" t="s">
        <v>173</v>
      </c>
      <c r="D13256" s="500" t="s">
        <v>764</v>
      </c>
      <c r="E13256" s="501">
        <v>-29000111.59</v>
      </c>
      <c r="F13256" s="95" t="s">
        <v>878</v>
      </c>
      <c r="G13256" s="420">
        <v>119609324</v>
      </c>
      <c r="I13256" s="529" t="s">
        <v>1090</v>
      </c>
      <c r="J13256" s="530" t="s">
        <v>906</v>
      </c>
      <c r="N13256" s="420">
        <v>305080</v>
      </c>
      <c r="R13256" s="420">
        <v>95.057399993444335</v>
      </c>
      <c r="S13256" s="420">
        <v>95.101673298806901</v>
      </c>
      <c r="T13256" s="420">
        <v>17</v>
      </c>
      <c r="U13256" s="278">
        <v>43.5</v>
      </c>
      <c r="V13256" s="278">
        <v>21.75</v>
      </c>
      <c r="Z13256" s="420" t="s">
        <v>2953</v>
      </c>
    </row>
    <row r="13257" spans="1:26">
      <c r="A13257" s="499">
        <v>45943</v>
      </c>
      <c r="B13257" s="499">
        <v>45944</v>
      </c>
      <c r="C13257" s="420" t="s">
        <v>173</v>
      </c>
      <c r="D13257" s="500" t="s">
        <v>764</v>
      </c>
      <c r="E13257" s="501">
        <v>474602980.52999997</v>
      </c>
      <c r="F13257" s="95" t="s">
        <v>878</v>
      </c>
      <c r="G13257" s="420">
        <v>119608518</v>
      </c>
      <c r="H13257" s="420">
        <v>119608518</v>
      </c>
      <c r="I13257" s="529" t="s">
        <v>654</v>
      </c>
      <c r="J13257" s="530" t="s">
        <v>912</v>
      </c>
      <c r="N13257" s="420">
        <v>463572</v>
      </c>
      <c r="R13257" s="420">
        <v>1023.3190000043144</v>
      </c>
      <c r="S13257" s="420">
        <v>1023.7956143382301</v>
      </c>
      <c r="T13257" s="420">
        <v>17</v>
      </c>
      <c r="U13257" s="278">
        <v>711.57</v>
      </c>
      <c r="V13257" s="278">
        <v>355.79</v>
      </c>
      <c r="Z13257" s="420" t="s">
        <v>2953</v>
      </c>
    </row>
    <row r="13258" spans="1:26">
      <c r="A13258" s="499">
        <v>45943</v>
      </c>
      <c r="B13258" s="499">
        <v>45944</v>
      </c>
      <c r="C13258" s="420" t="s">
        <v>173</v>
      </c>
      <c r="D13258" s="500" t="s">
        <v>764</v>
      </c>
      <c r="E13258" s="501">
        <v>601430859.50999999</v>
      </c>
      <c r="F13258" s="95" t="s">
        <v>878</v>
      </c>
      <c r="G13258" s="420">
        <v>119608671</v>
      </c>
      <c r="H13258" s="420">
        <v>119608671</v>
      </c>
      <c r="I13258" s="529" t="s">
        <v>705</v>
      </c>
      <c r="J13258" s="530" t="s">
        <v>912</v>
      </c>
      <c r="N13258" s="420">
        <v>784906</v>
      </c>
      <c r="R13258" s="420">
        <v>765.88899999490377</v>
      </c>
      <c r="S13258" s="420">
        <v>766.24571542324804</v>
      </c>
      <c r="T13258" s="420">
        <v>17</v>
      </c>
      <c r="U13258" s="278">
        <v>901.73</v>
      </c>
      <c r="V13258" s="278">
        <v>450.86</v>
      </c>
      <c r="Z13258" s="420" t="s">
        <v>2953</v>
      </c>
    </row>
    <row r="13259" spans="1:26">
      <c r="A13259" s="499">
        <v>45943</v>
      </c>
      <c r="B13259" s="499">
        <v>45944</v>
      </c>
      <c r="C13259" s="420" t="s">
        <v>173</v>
      </c>
      <c r="D13259" s="500" t="s">
        <v>764</v>
      </c>
      <c r="E13259" s="501">
        <v>693814388.42999995</v>
      </c>
      <c r="F13259" s="95" t="s">
        <v>878</v>
      </c>
      <c r="G13259" s="420">
        <v>119608681</v>
      </c>
      <c r="H13259" s="420">
        <v>119608681</v>
      </c>
      <c r="I13259" s="529" t="s">
        <v>671</v>
      </c>
      <c r="J13259" s="530" t="s">
        <v>912</v>
      </c>
      <c r="N13259" s="420">
        <v>659736</v>
      </c>
      <c r="R13259" s="420">
        <v>1051.1650000000002</v>
      </c>
      <c r="S13259" s="420">
        <v>1051.65458369712</v>
      </c>
      <c r="T13259" s="420">
        <v>17</v>
      </c>
      <c r="U13259" s="278">
        <v>1040.24</v>
      </c>
      <c r="V13259" s="278">
        <v>520.12</v>
      </c>
      <c r="Z13259" s="420" t="s">
        <v>2953</v>
      </c>
    </row>
    <row r="13260" spans="1:26">
      <c r="A13260" s="499">
        <v>45943</v>
      </c>
      <c r="B13260" s="499">
        <v>45944</v>
      </c>
      <c r="C13260" s="420" t="s">
        <v>173</v>
      </c>
      <c r="D13260" s="500" t="s">
        <v>764</v>
      </c>
      <c r="E13260" s="501">
        <v>697851714.11000001</v>
      </c>
      <c r="F13260" s="95" t="s">
        <v>878</v>
      </c>
      <c r="G13260" s="420">
        <v>119608704</v>
      </c>
      <c r="H13260" s="420">
        <v>119608704</v>
      </c>
      <c r="I13260" s="529" t="s">
        <v>673</v>
      </c>
      <c r="J13260" s="530" t="s">
        <v>912</v>
      </c>
      <c r="N13260" s="420">
        <v>754154</v>
      </c>
      <c r="R13260" s="420">
        <v>924.91299999734804</v>
      </c>
      <c r="S13260" s="420">
        <v>925.34378138947795</v>
      </c>
      <c r="T13260" s="420">
        <v>17</v>
      </c>
      <c r="U13260" s="278">
        <v>1046.29</v>
      </c>
      <c r="V13260" s="278">
        <v>523.15</v>
      </c>
      <c r="Z13260" s="420" t="s">
        <v>2953</v>
      </c>
    </row>
    <row r="13261" spans="1:26">
      <c r="A13261" s="499">
        <v>45943</v>
      </c>
      <c r="B13261" s="499">
        <v>45944</v>
      </c>
      <c r="C13261" s="420" t="s">
        <v>173</v>
      </c>
      <c r="D13261" s="500" t="s">
        <v>764</v>
      </c>
      <c r="E13261" s="501">
        <v>525594365.95999998</v>
      </c>
      <c r="F13261" s="95" t="s">
        <v>878</v>
      </c>
      <c r="G13261" s="420">
        <v>119608714</v>
      </c>
      <c r="H13261" s="420">
        <v>119608714</v>
      </c>
      <c r="I13261" s="529" t="s">
        <v>675</v>
      </c>
      <c r="J13261" s="530" t="s">
        <v>912</v>
      </c>
      <c r="N13261" s="420">
        <v>549675</v>
      </c>
      <c r="R13261" s="420">
        <v>955.74599999999998</v>
      </c>
      <c r="S13261" s="420">
        <v>956.19114196570695</v>
      </c>
      <c r="T13261" s="420">
        <v>17</v>
      </c>
      <c r="U13261" s="278">
        <v>788.02</v>
      </c>
      <c r="V13261" s="278">
        <v>394.01</v>
      </c>
      <c r="Z13261" s="420" t="s">
        <v>2953</v>
      </c>
    </row>
    <row r="13262" spans="1:26">
      <c r="A13262" s="499">
        <v>45943</v>
      </c>
      <c r="B13262" s="499">
        <v>45944</v>
      </c>
      <c r="C13262" s="420" t="s">
        <v>173</v>
      </c>
      <c r="D13262" s="500" t="s">
        <v>764</v>
      </c>
      <c r="E13262" s="501">
        <v>535426099.88999999</v>
      </c>
      <c r="F13262" s="95" t="s">
        <v>878</v>
      </c>
      <c r="G13262" s="420">
        <v>119608721</v>
      </c>
      <c r="H13262" s="420">
        <v>119608721</v>
      </c>
      <c r="I13262" s="529" t="s">
        <v>721</v>
      </c>
      <c r="J13262" s="530" t="s">
        <v>912</v>
      </c>
      <c r="N13262" s="420">
        <v>936785</v>
      </c>
      <c r="R13262" s="420">
        <v>571.29100000533742</v>
      </c>
      <c r="S13262" s="420">
        <v>571.557080749585</v>
      </c>
      <c r="T13262" s="420">
        <v>17</v>
      </c>
      <c r="U13262" s="278">
        <v>802.77</v>
      </c>
      <c r="V13262" s="278">
        <v>401.38</v>
      </c>
      <c r="Z13262" s="420" t="s">
        <v>2953</v>
      </c>
    </row>
    <row r="13263" spans="1:26">
      <c r="A13263" s="499">
        <v>45943</v>
      </c>
      <c r="B13263" s="499">
        <v>45944</v>
      </c>
      <c r="C13263" s="420" t="s">
        <v>173</v>
      </c>
      <c r="D13263" s="500" t="s">
        <v>764</v>
      </c>
      <c r="E13263" s="501">
        <v>579578720.29999995</v>
      </c>
      <c r="F13263" s="95" t="s">
        <v>878</v>
      </c>
      <c r="G13263" s="420">
        <v>119608730</v>
      </c>
      <c r="H13263" s="420">
        <v>119608730</v>
      </c>
      <c r="I13263" s="529" t="s">
        <v>2616</v>
      </c>
      <c r="J13263" s="530" t="s">
        <v>912</v>
      </c>
      <c r="N13263" s="420">
        <v>610845</v>
      </c>
      <c r="R13263" s="420">
        <v>948.3730000081855</v>
      </c>
      <c r="S13263" s="420">
        <v>948.81470798647797</v>
      </c>
      <c r="T13263" s="420">
        <v>17</v>
      </c>
      <c r="U13263" s="278">
        <v>868.96</v>
      </c>
      <c r="V13263" s="278">
        <v>434.48</v>
      </c>
      <c r="Z13263" s="420" t="s">
        <v>2953</v>
      </c>
    </row>
    <row r="13264" spans="1:26">
      <c r="A13264" s="499">
        <v>45943</v>
      </c>
      <c r="B13264" s="499">
        <v>45944</v>
      </c>
      <c r="C13264" s="420" t="s">
        <v>173</v>
      </c>
      <c r="D13264" s="500" t="s">
        <v>764</v>
      </c>
      <c r="E13264" s="501">
        <v>519404219.61000001</v>
      </c>
      <c r="F13264" s="95" t="s">
        <v>878</v>
      </c>
      <c r="G13264" s="420">
        <v>119608737</v>
      </c>
      <c r="H13264" s="420">
        <v>119608737</v>
      </c>
      <c r="I13264" s="529" t="s">
        <v>668</v>
      </c>
      <c r="J13264" s="530" t="s">
        <v>912</v>
      </c>
      <c r="N13264" s="420">
        <v>497202</v>
      </c>
      <c r="R13264" s="420">
        <v>1044.1680000080451</v>
      </c>
      <c r="S13264" s="420">
        <v>1044.6543248216999</v>
      </c>
      <c r="T13264" s="420">
        <v>17</v>
      </c>
      <c r="U13264" s="278">
        <v>778.74</v>
      </c>
      <c r="V13264" s="278">
        <v>389.37</v>
      </c>
      <c r="Z13264" s="420" t="s">
        <v>2953</v>
      </c>
    </row>
    <row r="13265" spans="1:26">
      <c r="A13265" s="499">
        <v>45943</v>
      </c>
      <c r="B13265" s="499">
        <v>45944</v>
      </c>
      <c r="C13265" s="420" t="s">
        <v>173</v>
      </c>
      <c r="D13265" s="500" t="s">
        <v>764</v>
      </c>
      <c r="E13265" s="501">
        <v>297365617.89999998</v>
      </c>
      <c r="F13265" s="95" t="s">
        <v>878</v>
      </c>
      <c r="G13265" s="420">
        <v>119608781</v>
      </c>
      <c r="H13265" s="420">
        <v>119608781</v>
      </c>
      <c r="I13265" s="529" t="s">
        <v>677</v>
      </c>
      <c r="J13265" s="530" t="s">
        <v>912</v>
      </c>
      <c r="N13265" s="420">
        <v>329373</v>
      </c>
      <c r="R13265" s="420">
        <v>902.40300000303603</v>
      </c>
      <c r="S13265" s="420">
        <v>902.82329729516402</v>
      </c>
      <c r="T13265" s="420">
        <v>17</v>
      </c>
      <c r="U13265" s="278">
        <v>445.84</v>
      </c>
      <c r="V13265" s="278">
        <v>222.92</v>
      </c>
      <c r="Z13265" s="420" t="s">
        <v>2953</v>
      </c>
    </row>
    <row r="13266" spans="1:26">
      <c r="A13266" s="499">
        <v>45943</v>
      </c>
      <c r="B13266" s="499">
        <v>45944</v>
      </c>
      <c r="C13266" s="420" t="s">
        <v>173</v>
      </c>
      <c r="D13266" s="500" t="s">
        <v>764</v>
      </c>
      <c r="E13266" s="501">
        <v>29013618.489999998</v>
      </c>
      <c r="F13266" s="95" t="s">
        <v>878</v>
      </c>
      <c r="G13266" s="420">
        <v>119609324</v>
      </c>
      <c r="H13266" s="420">
        <v>119609324</v>
      </c>
      <c r="I13266" s="529" t="s">
        <v>1090</v>
      </c>
      <c r="J13266" s="530" t="s">
        <v>912</v>
      </c>
      <c r="N13266" s="420">
        <v>305080</v>
      </c>
      <c r="R13266" s="420">
        <v>95.057399993444335</v>
      </c>
      <c r="S13266" s="420">
        <v>95.101673298806901</v>
      </c>
      <c r="T13266" s="420">
        <v>17</v>
      </c>
      <c r="U13266" s="278">
        <v>43.5</v>
      </c>
      <c r="V13266" s="278">
        <v>21.75</v>
      </c>
      <c r="Z13266" s="420" t="s">
        <v>2953</v>
      </c>
    </row>
    <row r="13267" spans="1:26">
      <c r="A13267" s="499">
        <v>45943</v>
      </c>
      <c r="B13267" s="499">
        <v>45943</v>
      </c>
      <c r="C13267" s="420" t="s">
        <v>173</v>
      </c>
      <c r="D13267" s="500" t="s">
        <v>759</v>
      </c>
      <c r="E13267" s="501">
        <v>-499162050.25</v>
      </c>
      <c r="F13267" s="95" t="s">
        <v>878</v>
      </c>
      <c r="G13267" s="420">
        <v>119606840</v>
      </c>
      <c r="I13267" s="529" t="s">
        <v>2944</v>
      </c>
      <c r="J13267" s="530" t="s">
        <v>906</v>
      </c>
      <c r="N13267" s="420">
        <v>509479</v>
      </c>
      <c r="R13267" s="420">
        <v>979.75</v>
      </c>
      <c r="S13267" s="420">
        <v>980.20766404503399</v>
      </c>
      <c r="T13267" s="420">
        <v>17.05</v>
      </c>
      <c r="U13267" s="278">
        <v>748.74</v>
      </c>
      <c r="V13267" s="278">
        <v>374.37</v>
      </c>
      <c r="Z13267" s="420" t="s">
        <v>2953</v>
      </c>
    </row>
    <row r="13268" spans="1:26">
      <c r="A13268" s="499">
        <v>45943</v>
      </c>
      <c r="B13268" s="499">
        <v>45943</v>
      </c>
      <c r="C13268" s="420" t="s">
        <v>173</v>
      </c>
      <c r="D13268" s="500" t="s">
        <v>759</v>
      </c>
      <c r="E13268" s="501">
        <v>-276186224.93000001</v>
      </c>
      <c r="F13268" s="95" t="s">
        <v>878</v>
      </c>
      <c r="G13268" s="420">
        <v>119606843</v>
      </c>
      <c r="I13268" s="529" t="s">
        <v>678</v>
      </c>
      <c r="J13268" s="530" t="s">
        <v>906</v>
      </c>
      <c r="N13268" s="420">
        <v>288696</v>
      </c>
      <c r="R13268" s="420">
        <v>956.66800000692774</v>
      </c>
      <c r="S13268" s="420">
        <v>957.11488191731098</v>
      </c>
      <c r="T13268" s="420">
        <v>17.05</v>
      </c>
      <c r="U13268" s="278">
        <v>414.28</v>
      </c>
      <c r="V13268" s="278">
        <v>207.14</v>
      </c>
      <c r="Z13268" s="420" t="s">
        <v>2953</v>
      </c>
    </row>
    <row r="13269" spans="1:26">
      <c r="A13269" s="499">
        <v>45943</v>
      </c>
      <c r="B13269" s="499">
        <v>45943</v>
      </c>
      <c r="C13269" s="420" t="s">
        <v>173</v>
      </c>
      <c r="D13269" s="500" t="s">
        <v>759</v>
      </c>
      <c r="E13269" s="501">
        <v>-268192539.78</v>
      </c>
      <c r="F13269" s="95" t="s">
        <v>878</v>
      </c>
      <c r="G13269" s="420">
        <v>119606846</v>
      </c>
      <c r="I13269" s="529" t="s">
        <v>816</v>
      </c>
      <c r="J13269" s="530" t="s">
        <v>906</v>
      </c>
      <c r="N13269" s="420">
        <v>251384</v>
      </c>
      <c r="R13269" s="420">
        <v>1066.8640000159119</v>
      </c>
      <c r="S13269" s="420">
        <v>1067.3623570314701</v>
      </c>
      <c r="T13269" s="420">
        <v>17.05</v>
      </c>
      <c r="U13269" s="278">
        <v>402.29</v>
      </c>
      <c r="V13269" s="278">
        <v>201.14</v>
      </c>
      <c r="Z13269" s="420" t="s">
        <v>2953</v>
      </c>
    </row>
    <row r="13270" spans="1:26">
      <c r="A13270" s="499">
        <v>45943</v>
      </c>
      <c r="B13270" s="499">
        <v>45943</v>
      </c>
      <c r="C13270" s="420" t="s">
        <v>173</v>
      </c>
      <c r="D13270" s="500" t="s">
        <v>759</v>
      </c>
      <c r="E13270" s="501">
        <v>-108060076.08</v>
      </c>
      <c r="F13270" s="95" t="s">
        <v>878</v>
      </c>
      <c r="G13270" s="420">
        <v>119606849</v>
      </c>
      <c r="I13270" s="529" t="s">
        <v>700</v>
      </c>
      <c r="J13270" s="530" t="s">
        <v>906</v>
      </c>
      <c r="N13270" s="420">
        <v>116208</v>
      </c>
      <c r="R13270" s="420">
        <v>929.88499999999999</v>
      </c>
      <c r="S13270" s="420">
        <v>930.31937095552803</v>
      </c>
      <c r="T13270" s="420">
        <v>17.05</v>
      </c>
      <c r="U13270" s="278">
        <v>162.09</v>
      </c>
      <c r="V13270" s="278">
        <v>81.05</v>
      </c>
      <c r="Z13270" s="420" t="s">
        <v>2953</v>
      </c>
    </row>
    <row r="13271" spans="1:26">
      <c r="A13271" s="499">
        <v>45943</v>
      </c>
      <c r="B13271" s="499">
        <v>45943</v>
      </c>
      <c r="C13271" s="420" t="s">
        <v>173</v>
      </c>
      <c r="D13271" s="500" t="s">
        <v>759</v>
      </c>
      <c r="E13271" s="501">
        <v>-111017712.48999999</v>
      </c>
      <c r="F13271" s="95" t="s">
        <v>878</v>
      </c>
      <c r="G13271" s="420">
        <v>119606868</v>
      </c>
      <c r="I13271" s="529" t="s">
        <v>600</v>
      </c>
      <c r="J13271" s="530" t="s">
        <v>906</v>
      </c>
      <c r="N13271" s="420">
        <v>116994</v>
      </c>
      <c r="R13271" s="420">
        <v>948.91799998290503</v>
      </c>
      <c r="S13271" s="420">
        <v>949.36126168863404</v>
      </c>
      <c r="T13271" s="420">
        <v>17.05</v>
      </c>
      <c r="U13271" s="278">
        <v>166.53</v>
      </c>
      <c r="V13271" s="278">
        <v>83.26</v>
      </c>
      <c r="Z13271" s="420" t="s">
        <v>2953</v>
      </c>
    </row>
    <row r="13272" spans="1:26">
      <c r="A13272" s="499">
        <v>45943</v>
      </c>
      <c r="B13272" s="499">
        <v>45943</v>
      </c>
      <c r="C13272" s="420" t="s">
        <v>173</v>
      </c>
      <c r="D13272" s="500" t="s">
        <v>759</v>
      </c>
      <c r="E13272" s="501">
        <v>-194000296.63</v>
      </c>
      <c r="F13272" s="95" t="s">
        <v>878</v>
      </c>
      <c r="G13272" s="420">
        <v>119606871</v>
      </c>
      <c r="I13272" s="529" t="s">
        <v>824</v>
      </c>
      <c r="J13272" s="530" t="s">
        <v>906</v>
      </c>
      <c r="N13272" s="420">
        <v>181002</v>
      </c>
      <c r="R13272" s="420">
        <v>1071.8130000220992</v>
      </c>
      <c r="S13272" s="420">
        <v>1072.3136688544901</v>
      </c>
      <c r="T13272" s="420">
        <v>17.05</v>
      </c>
      <c r="U13272" s="278">
        <v>291</v>
      </c>
      <c r="V13272" s="278">
        <v>145.5</v>
      </c>
      <c r="Z13272" s="420" t="s">
        <v>2953</v>
      </c>
    </row>
    <row r="13273" spans="1:26">
      <c r="A13273" s="499">
        <v>45943</v>
      </c>
      <c r="B13273" s="499">
        <v>45943</v>
      </c>
      <c r="C13273" s="420" t="s">
        <v>173</v>
      </c>
      <c r="D13273" s="500" t="s">
        <v>759</v>
      </c>
      <c r="E13273" s="501">
        <v>-197028699.94999999</v>
      </c>
      <c r="F13273" s="95" t="s">
        <v>878</v>
      </c>
      <c r="G13273" s="420">
        <v>119606874</v>
      </c>
      <c r="I13273" s="529" t="s">
        <v>711</v>
      </c>
      <c r="J13273" s="530" t="s">
        <v>906</v>
      </c>
      <c r="N13273" s="420">
        <v>249205</v>
      </c>
      <c r="R13273" s="420">
        <v>790.6290000200637</v>
      </c>
      <c r="S13273" s="420">
        <v>790.99832122148405</v>
      </c>
      <c r="T13273" s="420">
        <v>17.05</v>
      </c>
      <c r="U13273" s="278">
        <v>295.54000000000002</v>
      </c>
      <c r="V13273" s="278">
        <v>147.77000000000001</v>
      </c>
      <c r="Z13273" s="420" t="s">
        <v>2953</v>
      </c>
    </row>
    <row r="13274" spans="1:26">
      <c r="A13274" s="499">
        <v>45943</v>
      </c>
      <c r="B13274" s="499">
        <v>45943</v>
      </c>
      <c r="C13274" s="420" t="s">
        <v>173</v>
      </c>
      <c r="D13274" s="500" t="s">
        <v>759</v>
      </c>
      <c r="E13274" s="501">
        <v>-234019615.75</v>
      </c>
      <c r="F13274" s="95" t="s">
        <v>878</v>
      </c>
      <c r="G13274" s="420">
        <v>119606877</v>
      </c>
      <c r="I13274" s="529" t="s">
        <v>598</v>
      </c>
      <c r="J13274" s="530" t="s">
        <v>906</v>
      </c>
      <c r="N13274" s="420">
        <v>219726</v>
      </c>
      <c r="R13274" s="420">
        <v>1065.0519999908977</v>
      </c>
      <c r="S13274" s="420">
        <v>1065.54951057226</v>
      </c>
      <c r="T13274" s="420">
        <v>17.05</v>
      </c>
      <c r="U13274" s="278">
        <v>351.03</v>
      </c>
      <c r="V13274" s="278">
        <v>175.51</v>
      </c>
      <c r="Z13274" s="420" t="s">
        <v>2953</v>
      </c>
    </row>
    <row r="13275" spans="1:26">
      <c r="A13275" s="499">
        <v>45943</v>
      </c>
      <c r="B13275" s="499">
        <v>45943</v>
      </c>
      <c r="C13275" s="420" t="s">
        <v>173</v>
      </c>
      <c r="D13275" s="500" t="s">
        <v>759</v>
      </c>
      <c r="E13275" s="501">
        <v>-105069936.51000001</v>
      </c>
      <c r="F13275" s="95" t="s">
        <v>878</v>
      </c>
      <c r="G13275" s="420">
        <v>119606880</v>
      </c>
      <c r="I13275" s="529" t="s">
        <v>675</v>
      </c>
      <c r="J13275" s="530" t="s">
        <v>906</v>
      </c>
      <c r="N13275" s="420">
        <v>109935</v>
      </c>
      <c r="R13275" s="420">
        <v>955.74600000000009</v>
      </c>
      <c r="S13275" s="420">
        <v>956.19245117569506</v>
      </c>
      <c r="T13275" s="420">
        <v>17.05</v>
      </c>
      <c r="U13275" s="278">
        <v>157.6</v>
      </c>
      <c r="V13275" s="278">
        <v>78.8</v>
      </c>
      <c r="Z13275" s="420" t="s">
        <v>2953</v>
      </c>
    </row>
    <row r="13276" spans="1:26">
      <c r="A13276" s="499">
        <v>45943</v>
      </c>
      <c r="B13276" s="499">
        <v>45943</v>
      </c>
      <c r="C13276" s="420" t="s">
        <v>173</v>
      </c>
      <c r="D13276" s="500" t="s">
        <v>759</v>
      </c>
      <c r="E13276" s="501">
        <v>-12008193.119999999</v>
      </c>
      <c r="F13276" s="95" t="s">
        <v>878</v>
      </c>
      <c r="G13276" s="420">
        <v>119607075</v>
      </c>
      <c r="I13276" s="529" t="s">
        <v>693</v>
      </c>
      <c r="J13276" s="530" t="s">
        <v>906</v>
      </c>
      <c r="N13276" s="420">
        <v>15540</v>
      </c>
      <c r="R13276" s="420">
        <v>772.72799999999995</v>
      </c>
      <c r="S13276" s="420">
        <v>773.08853603603598</v>
      </c>
      <c r="T13276" s="420">
        <v>17.03</v>
      </c>
      <c r="U13276" s="278">
        <v>39.32</v>
      </c>
      <c r="V13276" s="278">
        <v>9.01</v>
      </c>
      <c r="Z13276" s="420" t="s">
        <v>2953</v>
      </c>
    </row>
    <row r="13277" spans="1:26">
      <c r="A13277" s="499">
        <v>45943</v>
      </c>
      <c r="B13277" s="499">
        <v>45944</v>
      </c>
      <c r="C13277" s="420" t="s">
        <v>173</v>
      </c>
      <c r="D13277" s="500" t="s">
        <v>759</v>
      </c>
      <c r="E13277" s="278">
        <v>499395220.47000003</v>
      </c>
      <c r="F13277" s="95" t="s">
        <v>878</v>
      </c>
      <c r="G13277" s="420">
        <v>119606840</v>
      </c>
      <c r="H13277" s="420">
        <v>119606840</v>
      </c>
      <c r="I13277" s="529" t="s">
        <v>2944</v>
      </c>
      <c r="J13277" s="530" t="s">
        <v>912</v>
      </c>
      <c r="N13277" s="420">
        <v>509479</v>
      </c>
      <c r="R13277" s="420">
        <v>979.75</v>
      </c>
      <c r="S13277" s="420">
        <v>980.20766404503399</v>
      </c>
      <c r="T13277" s="420">
        <v>17.05</v>
      </c>
      <c r="U13277" s="278">
        <v>748.74</v>
      </c>
      <c r="V13277" s="278">
        <v>374.37</v>
      </c>
      <c r="Z13277" s="420" t="s">
        <v>2953</v>
      </c>
    </row>
    <row r="13278" spans="1:26">
      <c r="A13278" s="499">
        <v>45943</v>
      </c>
      <c r="B13278" s="499">
        <v>45944</v>
      </c>
      <c r="C13278" s="420" t="s">
        <v>173</v>
      </c>
      <c r="D13278" s="500" t="s">
        <v>759</v>
      </c>
      <c r="E13278" s="278">
        <v>276315237.94999999</v>
      </c>
      <c r="F13278" s="95" t="s">
        <v>878</v>
      </c>
      <c r="G13278" s="420">
        <v>119606843</v>
      </c>
      <c r="H13278" s="420">
        <v>119606843</v>
      </c>
      <c r="I13278" s="529" t="s">
        <v>678</v>
      </c>
      <c r="J13278" s="530" t="s">
        <v>912</v>
      </c>
      <c r="N13278" s="420">
        <v>288696</v>
      </c>
      <c r="R13278" s="420">
        <v>956.66800000692774</v>
      </c>
      <c r="S13278" s="420">
        <v>957.11488191731098</v>
      </c>
      <c r="T13278" s="420">
        <v>17.05</v>
      </c>
      <c r="U13278" s="278">
        <v>414.28</v>
      </c>
      <c r="V13278" s="278">
        <v>207.14</v>
      </c>
      <c r="Z13278" s="420" t="s">
        <v>2953</v>
      </c>
    </row>
    <row r="13279" spans="1:26">
      <c r="A13279" s="499">
        <v>45943</v>
      </c>
      <c r="B13279" s="499">
        <v>45944</v>
      </c>
      <c r="C13279" s="420" t="s">
        <v>173</v>
      </c>
      <c r="D13279" s="500" t="s">
        <v>759</v>
      </c>
      <c r="E13279" s="278">
        <v>268317818.75999999</v>
      </c>
      <c r="F13279" s="95" t="s">
        <v>878</v>
      </c>
      <c r="G13279" s="420">
        <v>119606846</v>
      </c>
      <c r="H13279" s="420">
        <v>119606846</v>
      </c>
      <c r="I13279" s="529" t="s">
        <v>816</v>
      </c>
      <c r="J13279" s="530" t="s">
        <v>912</v>
      </c>
      <c r="N13279" s="420">
        <v>251384</v>
      </c>
      <c r="R13279" s="420">
        <v>1066.8640000159119</v>
      </c>
      <c r="S13279" s="420">
        <v>1067.3623570314701</v>
      </c>
      <c r="T13279" s="420">
        <v>17.05</v>
      </c>
      <c r="U13279" s="278">
        <v>402.29</v>
      </c>
      <c r="V13279" s="278">
        <v>201.14</v>
      </c>
      <c r="Z13279" s="420" t="s">
        <v>2953</v>
      </c>
    </row>
    <row r="13280" spans="1:26">
      <c r="A13280" s="499">
        <v>45943</v>
      </c>
      <c r="B13280" s="499">
        <v>45944</v>
      </c>
      <c r="C13280" s="420" t="s">
        <v>173</v>
      </c>
      <c r="D13280" s="500" t="s">
        <v>759</v>
      </c>
      <c r="E13280" s="278">
        <v>108110553.45999999</v>
      </c>
      <c r="F13280" s="95" t="s">
        <v>878</v>
      </c>
      <c r="G13280" s="420">
        <v>119606849</v>
      </c>
      <c r="H13280" s="420">
        <v>119606849</v>
      </c>
      <c r="I13280" s="529" t="s">
        <v>700</v>
      </c>
      <c r="J13280" s="530" t="s">
        <v>912</v>
      </c>
      <c r="N13280" s="420">
        <v>116208</v>
      </c>
      <c r="R13280" s="420">
        <v>929.88499999999999</v>
      </c>
      <c r="S13280" s="420">
        <v>930.31937095552803</v>
      </c>
      <c r="T13280" s="420">
        <v>17.05</v>
      </c>
      <c r="U13280" s="278">
        <v>162.09</v>
      </c>
      <c r="V13280" s="278">
        <v>81.05</v>
      </c>
      <c r="Z13280" s="420" t="s">
        <v>2953</v>
      </c>
    </row>
    <row r="13281" spans="1:26">
      <c r="A13281" s="499">
        <v>45943</v>
      </c>
      <c r="B13281" s="499">
        <v>45944</v>
      </c>
      <c r="C13281" s="420" t="s">
        <v>173</v>
      </c>
      <c r="D13281" s="500" t="s">
        <v>759</v>
      </c>
      <c r="E13281" s="278">
        <v>111069571.45</v>
      </c>
      <c r="F13281" s="95" t="s">
        <v>878</v>
      </c>
      <c r="G13281" s="420">
        <v>119606868</v>
      </c>
      <c r="H13281" s="420">
        <v>119606868</v>
      </c>
      <c r="I13281" s="529" t="s">
        <v>600</v>
      </c>
      <c r="J13281" s="530" t="s">
        <v>912</v>
      </c>
      <c r="N13281" s="420">
        <v>116994</v>
      </c>
      <c r="R13281" s="420">
        <v>948.91799998290503</v>
      </c>
      <c r="S13281" s="420">
        <v>949.36126168863404</v>
      </c>
      <c r="T13281" s="420">
        <v>17.05</v>
      </c>
      <c r="U13281" s="278">
        <v>166.53</v>
      </c>
      <c r="V13281" s="278">
        <v>83.26</v>
      </c>
      <c r="Z13281" s="420" t="s">
        <v>2953</v>
      </c>
    </row>
    <row r="13282" spans="1:26">
      <c r="A13282" s="499">
        <v>45943</v>
      </c>
      <c r="B13282" s="499">
        <v>45944</v>
      </c>
      <c r="C13282" s="420" t="s">
        <v>173</v>
      </c>
      <c r="D13282" s="500" t="s">
        <v>759</v>
      </c>
      <c r="E13282" s="278">
        <v>194090918.69</v>
      </c>
      <c r="F13282" s="95" t="s">
        <v>878</v>
      </c>
      <c r="G13282" s="420">
        <v>119606871</v>
      </c>
      <c r="H13282" s="420">
        <v>119606871</v>
      </c>
      <c r="I13282" s="529" t="s">
        <v>824</v>
      </c>
      <c r="J13282" s="530" t="s">
        <v>912</v>
      </c>
      <c r="N13282" s="420">
        <v>181002</v>
      </c>
      <c r="R13282" s="420">
        <v>1071.8130000220992</v>
      </c>
      <c r="S13282" s="420">
        <v>1072.3136688544901</v>
      </c>
      <c r="T13282" s="420">
        <v>17.05</v>
      </c>
      <c r="U13282" s="278">
        <v>291</v>
      </c>
      <c r="V13282" s="278">
        <v>145.5</v>
      </c>
      <c r="Z13282" s="420" t="s">
        <v>2953</v>
      </c>
    </row>
    <row r="13283" spans="1:26">
      <c r="A13283" s="499">
        <v>45943</v>
      </c>
      <c r="B13283" s="499">
        <v>45944</v>
      </c>
      <c r="C13283" s="420" t="s">
        <v>173</v>
      </c>
      <c r="D13283" s="500" t="s">
        <v>759</v>
      </c>
      <c r="E13283" s="278">
        <v>197120736.63999999</v>
      </c>
      <c r="F13283" s="95" t="s">
        <v>878</v>
      </c>
      <c r="G13283" s="420">
        <v>119606874</v>
      </c>
      <c r="H13283" s="420">
        <v>119606874</v>
      </c>
      <c r="I13283" s="529" t="s">
        <v>711</v>
      </c>
      <c r="J13283" s="530" t="s">
        <v>912</v>
      </c>
      <c r="N13283" s="420">
        <v>249205</v>
      </c>
      <c r="R13283" s="420">
        <v>790.6290000200637</v>
      </c>
      <c r="S13283" s="420">
        <v>790.99832122148405</v>
      </c>
      <c r="T13283" s="420">
        <v>17.05</v>
      </c>
      <c r="U13283" s="278">
        <v>295.54000000000002</v>
      </c>
      <c r="V13283" s="278">
        <v>147.77000000000001</v>
      </c>
      <c r="Z13283" s="420" t="s">
        <v>2953</v>
      </c>
    </row>
    <row r="13284" spans="1:26">
      <c r="A13284" s="499">
        <v>45943</v>
      </c>
      <c r="B13284" s="499">
        <v>45944</v>
      </c>
      <c r="C13284" s="420" t="s">
        <v>173</v>
      </c>
      <c r="D13284" s="500" t="s">
        <v>759</v>
      </c>
      <c r="E13284" s="278">
        <v>234128931.75999999</v>
      </c>
      <c r="F13284" s="95" t="s">
        <v>878</v>
      </c>
      <c r="G13284" s="420">
        <v>119606877</v>
      </c>
      <c r="H13284" s="420">
        <v>119606877</v>
      </c>
      <c r="I13284" s="529" t="s">
        <v>598</v>
      </c>
      <c r="J13284" s="530" t="s">
        <v>912</v>
      </c>
      <c r="N13284" s="420">
        <v>219726</v>
      </c>
      <c r="R13284" s="420">
        <v>1065.0519999908977</v>
      </c>
      <c r="S13284" s="420">
        <v>1065.54951057226</v>
      </c>
      <c r="T13284" s="420">
        <v>17.05</v>
      </c>
      <c r="U13284" s="278">
        <v>351.03</v>
      </c>
      <c r="V13284" s="278">
        <v>175.51</v>
      </c>
      <c r="Z13284" s="420" t="s">
        <v>2953</v>
      </c>
    </row>
    <row r="13285" spans="1:26">
      <c r="A13285" s="499">
        <v>45943</v>
      </c>
      <c r="B13285" s="499">
        <v>45944</v>
      </c>
      <c r="C13285" s="420" t="s">
        <v>173</v>
      </c>
      <c r="D13285" s="500" t="s">
        <v>759</v>
      </c>
      <c r="E13285" s="278">
        <v>105119017.12</v>
      </c>
      <c r="F13285" s="95" t="s">
        <v>878</v>
      </c>
      <c r="G13285" s="420">
        <v>119606880</v>
      </c>
      <c r="H13285" s="420">
        <v>119606880</v>
      </c>
      <c r="I13285" s="529" t="s">
        <v>675</v>
      </c>
      <c r="J13285" s="530" t="s">
        <v>912</v>
      </c>
      <c r="N13285" s="420">
        <v>109935</v>
      </c>
      <c r="R13285" s="420">
        <v>955.74600000000009</v>
      </c>
      <c r="S13285" s="420">
        <v>956.19245117569506</v>
      </c>
      <c r="T13285" s="420">
        <v>17.05</v>
      </c>
      <c r="U13285" s="278">
        <v>157.6</v>
      </c>
      <c r="V13285" s="278">
        <v>78.8</v>
      </c>
      <c r="Z13285" s="420" t="s">
        <v>2953</v>
      </c>
    </row>
    <row r="13286" spans="1:26">
      <c r="A13286" s="499">
        <v>45943</v>
      </c>
      <c r="B13286" s="499">
        <v>45944</v>
      </c>
      <c r="C13286" s="420" t="s">
        <v>173</v>
      </c>
      <c r="D13286" s="500" t="s">
        <v>759</v>
      </c>
      <c r="E13286" s="278">
        <v>12013795.85</v>
      </c>
      <c r="F13286" s="95" t="s">
        <v>878</v>
      </c>
      <c r="G13286" s="420">
        <v>119607075</v>
      </c>
      <c r="H13286" s="420">
        <v>119607075</v>
      </c>
      <c r="I13286" s="529" t="s">
        <v>693</v>
      </c>
      <c r="J13286" s="530" t="s">
        <v>912</v>
      </c>
      <c r="N13286" s="420">
        <v>15540</v>
      </c>
      <c r="R13286" s="420">
        <v>772.72799999999995</v>
      </c>
      <c r="S13286" s="420">
        <v>773.08853603603598</v>
      </c>
      <c r="T13286" s="420">
        <v>17.03</v>
      </c>
      <c r="U13286" s="278">
        <v>39.32</v>
      </c>
      <c r="V13286" s="278">
        <v>9.01</v>
      </c>
      <c r="Z13286" s="420" t="s">
        <v>2953</v>
      </c>
    </row>
    <row r="13287" spans="1:26">
      <c r="A13287" s="499">
        <v>45944</v>
      </c>
      <c r="B13287" s="499">
        <v>45944</v>
      </c>
      <c r="C13287" s="420" t="s">
        <v>173</v>
      </c>
      <c r="D13287" s="500" t="s">
        <v>762</v>
      </c>
      <c r="E13287" s="501">
        <v>-158068065.93000001</v>
      </c>
      <c r="F13287" s="95" t="s">
        <v>878</v>
      </c>
      <c r="G13287" s="420">
        <v>119637638</v>
      </c>
      <c r="H13287" s="420"/>
      <c r="I13287" s="529" t="s">
        <v>550</v>
      </c>
      <c r="J13287" s="530" t="s">
        <v>906</v>
      </c>
      <c r="N13287" s="420">
        <v>294038</v>
      </c>
      <c r="R13287" s="558">
        <v>537.577</v>
      </c>
      <c r="S13287" s="558">
        <v>537.82004373584402</v>
      </c>
      <c r="T13287" s="567">
        <v>16.501999999999999</v>
      </c>
      <c r="U13287" s="538">
        <v>237.1</v>
      </c>
      <c r="V13287" s="538">
        <v>118.55</v>
      </c>
      <c r="Z13287" s="539" t="s">
        <v>2953</v>
      </c>
    </row>
    <row r="13288" spans="1:26">
      <c r="A13288" s="499">
        <v>45944</v>
      </c>
      <c r="B13288" s="499">
        <v>45944</v>
      </c>
      <c r="C13288" s="420" t="s">
        <v>173</v>
      </c>
      <c r="D13288" s="500" t="s">
        <v>762</v>
      </c>
      <c r="E13288" s="501">
        <v>-563270482.99000001</v>
      </c>
      <c r="F13288" s="95" t="s">
        <v>878</v>
      </c>
      <c r="G13288" s="420">
        <v>119637641</v>
      </c>
      <c r="H13288" s="420"/>
      <c r="I13288" s="529" t="s">
        <v>2854</v>
      </c>
      <c r="J13288" s="530" t="s">
        <v>906</v>
      </c>
      <c r="N13288" s="420">
        <v>1010022</v>
      </c>
      <c r="R13288" s="558">
        <v>557.68140000000005</v>
      </c>
      <c r="S13288" s="558">
        <v>557.93353311116005</v>
      </c>
      <c r="T13288" s="567">
        <v>16.501999999999999</v>
      </c>
      <c r="U13288" s="538">
        <v>844.91</v>
      </c>
      <c r="V13288" s="538">
        <v>422.45</v>
      </c>
      <c r="Z13288" s="539" t="s">
        <v>2953</v>
      </c>
    </row>
    <row r="13289" spans="1:26">
      <c r="A13289" s="499">
        <v>45944</v>
      </c>
      <c r="B13289" s="499">
        <v>45944</v>
      </c>
      <c r="C13289" s="420" t="s">
        <v>173</v>
      </c>
      <c r="D13289" s="500" t="s">
        <v>762</v>
      </c>
      <c r="E13289" s="501">
        <v>-3398086920.8400002</v>
      </c>
      <c r="F13289" s="95" t="s">
        <v>878</v>
      </c>
      <c r="G13289" s="420">
        <v>119637644</v>
      </c>
      <c r="H13289" s="420"/>
      <c r="I13289" s="529" t="s">
        <v>800</v>
      </c>
      <c r="J13289" s="530" t="s">
        <v>906</v>
      </c>
      <c r="N13289" s="420">
        <v>3194120</v>
      </c>
      <c r="R13289" s="558">
        <v>1063.857</v>
      </c>
      <c r="S13289" s="558">
        <v>1064.33797703593</v>
      </c>
      <c r="T13289" s="567">
        <v>16.501899999999999</v>
      </c>
      <c r="U13289" s="538">
        <v>5097.13</v>
      </c>
      <c r="V13289" s="538">
        <v>2548.5700000000002</v>
      </c>
      <c r="Z13289" s="539" t="s">
        <v>2953</v>
      </c>
    </row>
    <row r="13290" spans="1:26">
      <c r="A13290" s="499">
        <v>45944</v>
      </c>
      <c r="B13290" s="499">
        <v>45944</v>
      </c>
      <c r="C13290" s="420" t="s">
        <v>173</v>
      </c>
      <c r="D13290" s="500" t="s">
        <v>762</v>
      </c>
      <c r="E13290" s="501">
        <v>-27015759.899999999</v>
      </c>
      <c r="F13290" s="95" t="s">
        <v>878</v>
      </c>
      <c r="G13290" s="420">
        <v>119637723</v>
      </c>
      <c r="H13290" s="420"/>
      <c r="I13290" s="529" t="s">
        <v>699</v>
      </c>
      <c r="J13290" s="530" t="s">
        <v>906</v>
      </c>
      <c r="N13290" s="420">
        <v>29241</v>
      </c>
      <c r="R13290" s="558">
        <v>923.9</v>
      </c>
      <c r="S13290" s="558">
        <v>924.31770151499597</v>
      </c>
      <c r="T13290" s="567">
        <v>16.501899999999999</v>
      </c>
      <c r="U13290" s="538">
        <v>40.520000000000003</v>
      </c>
      <c r="V13290" s="538">
        <v>20.260000000000002</v>
      </c>
      <c r="Z13290" s="539" t="s">
        <v>2953</v>
      </c>
    </row>
    <row r="13291" spans="1:26">
      <c r="A13291" s="499">
        <v>45944</v>
      </c>
      <c r="B13291" s="499">
        <v>45945</v>
      </c>
      <c r="C13291" s="420" t="s">
        <v>173</v>
      </c>
      <c r="D13291" s="500" t="s">
        <v>762</v>
      </c>
      <c r="E13291" s="501">
        <v>158139530.02000001</v>
      </c>
      <c r="F13291" s="95" t="s">
        <v>878</v>
      </c>
      <c r="G13291" s="420">
        <v>119637638</v>
      </c>
      <c r="H13291" s="420">
        <v>119637638</v>
      </c>
      <c r="I13291" s="529" t="s">
        <v>550</v>
      </c>
      <c r="J13291" s="530" t="s">
        <v>912</v>
      </c>
      <c r="N13291" s="420">
        <v>294038</v>
      </c>
      <c r="R13291" s="558">
        <v>537.577</v>
      </c>
      <c r="S13291" s="558">
        <v>537.82004373584402</v>
      </c>
      <c r="T13291" s="567">
        <v>16.501999999999999</v>
      </c>
      <c r="U13291" s="538">
        <v>237.1</v>
      </c>
      <c r="V13291" s="538">
        <v>118.55</v>
      </c>
      <c r="Z13291" s="539" t="s">
        <v>2953</v>
      </c>
    </row>
    <row r="13292" spans="1:26">
      <c r="A13292" s="499">
        <v>45944</v>
      </c>
      <c r="B13292" s="499">
        <v>45945</v>
      </c>
      <c r="C13292" s="420" t="s">
        <v>173</v>
      </c>
      <c r="D13292" s="500" t="s">
        <v>762</v>
      </c>
      <c r="E13292" s="501">
        <v>563525142.98000002</v>
      </c>
      <c r="F13292" s="95" t="s">
        <v>878</v>
      </c>
      <c r="G13292" s="420">
        <v>119637641</v>
      </c>
      <c r="H13292" s="420">
        <v>119637641</v>
      </c>
      <c r="I13292" s="529" t="s">
        <v>2854</v>
      </c>
      <c r="J13292" s="530" t="s">
        <v>912</v>
      </c>
      <c r="N13292" s="420">
        <v>1010022</v>
      </c>
      <c r="R13292" s="558">
        <v>557.68140000000005</v>
      </c>
      <c r="S13292" s="558">
        <v>557.93353311116005</v>
      </c>
      <c r="T13292" s="567">
        <v>16.501999999999999</v>
      </c>
      <c r="U13292" s="538">
        <v>844.91</v>
      </c>
      <c r="V13292" s="538">
        <v>422.45</v>
      </c>
      <c r="Z13292" s="539" t="s">
        <v>2953</v>
      </c>
    </row>
    <row r="13293" spans="1:26">
      <c r="A13293" s="499">
        <v>45944</v>
      </c>
      <c r="B13293" s="499">
        <v>45945</v>
      </c>
      <c r="C13293" s="420" t="s">
        <v>173</v>
      </c>
      <c r="D13293" s="500" t="s">
        <v>762</v>
      </c>
      <c r="E13293" s="501">
        <v>3399623219.21</v>
      </c>
      <c r="F13293" s="95" t="s">
        <v>878</v>
      </c>
      <c r="G13293" s="420">
        <v>119637644</v>
      </c>
      <c r="H13293" s="420">
        <v>119637644</v>
      </c>
      <c r="I13293" s="529" t="s">
        <v>800</v>
      </c>
      <c r="J13293" s="530" t="s">
        <v>912</v>
      </c>
      <c r="N13293" s="420">
        <v>3194120</v>
      </c>
      <c r="R13293" s="558">
        <v>1063.857</v>
      </c>
      <c r="S13293" s="558">
        <v>1064.33797703593</v>
      </c>
      <c r="T13293" s="567">
        <v>16.501899999999999</v>
      </c>
      <c r="U13293" s="538">
        <v>5097.13</v>
      </c>
      <c r="V13293" s="538">
        <v>2548.5700000000002</v>
      </c>
      <c r="Z13293" s="539" t="s">
        <v>2953</v>
      </c>
    </row>
    <row r="13294" spans="1:26">
      <c r="A13294" s="499">
        <v>45944</v>
      </c>
      <c r="B13294" s="499">
        <v>45945</v>
      </c>
      <c r="C13294" s="420" t="s">
        <v>173</v>
      </c>
      <c r="D13294" s="500" t="s">
        <v>762</v>
      </c>
      <c r="E13294" s="501">
        <v>27027973.91</v>
      </c>
      <c r="F13294" s="95" t="s">
        <v>878</v>
      </c>
      <c r="G13294" s="420">
        <v>119637723</v>
      </c>
      <c r="H13294" s="420">
        <v>119637723</v>
      </c>
      <c r="I13294" s="529" t="s">
        <v>699</v>
      </c>
      <c r="J13294" s="530" t="s">
        <v>912</v>
      </c>
      <c r="N13294" s="420">
        <v>29241</v>
      </c>
      <c r="R13294" s="558">
        <v>923.9</v>
      </c>
      <c r="S13294" s="558">
        <v>924.31770151499597</v>
      </c>
      <c r="T13294" s="567">
        <v>16.501899999999999</v>
      </c>
      <c r="U13294" s="538">
        <v>40.520000000000003</v>
      </c>
      <c r="V13294" s="538">
        <v>20.260000000000002</v>
      </c>
      <c r="Z13294" s="539" t="s">
        <v>2953</v>
      </c>
    </row>
    <row r="13295" spans="1:26">
      <c r="A13295" s="499">
        <v>45944</v>
      </c>
      <c r="B13295" s="499">
        <v>45944</v>
      </c>
      <c r="C13295" s="420" t="s">
        <v>173</v>
      </c>
      <c r="D13295" s="500" t="s">
        <v>761</v>
      </c>
      <c r="E13295" s="501">
        <v>-1384738236.6700001</v>
      </c>
      <c r="F13295" s="95" t="s">
        <v>878</v>
      </c>
      <c r="G13295" s="420">
        <v>119637623</v>
      </c>
      <c r="I13295" s="529" t="s">
        <v>709</v>
      </c>
      <c r="J13295" s="530" t="s">
        <v>906</v>
      </c>
      <c r="N13295" s="420">
        <v>1926528</v>
      </c>
      <c r="R13295" s="420">
        <v>718.77399999896193</v>
      </c>
      <c r="S13295" s="420">
        <v>719.10384834271804</v>
      </c>
      <c r="T13295" s="420">
        <v>16.75</v>
      </c>
      <c r="U13295" s="278">
        <v>2077.11</v>
      </c>
      <c r="V13295" s="278">
        <v>1038.55</v>
      </c>
      <c r="Z13295" s="420" t="s">
        <v>2953</v>
      </c>
    </row>
    <row r="13296" spans="1:26">
      <c r="A13296" s="499">
        <v>45944</v>
      </c>
      <c r="B13296" s="499">
        <v>45944</v>
      </c>
      <c r="C13296" s="420" t="s">
        <v>173</v>
      </c>
      <c r="D13296" s="500" t="s">
        <v>761</v>
      </c>
      <c r="E13296" s="501">
        <v>-8000253.1100000003</v>
      </c>
      <c r="F13296" s="95" t="s">
        <v>878</v>
      </c>
      <c r="G13296" s="420">
        <v>119638993</v>
      </c>
      <c r="I13296" s="529" t="s">
        <v>1090</v>
      </c>
      <c r="J13296" s="530" t="s">
        <v>906</v>
      </c>
      <c r="N13296" s="420">
        <v>84128</v>
      </c>
      <c r="R13296" s="420">
        <v>95.096199957208071</v>
      </c>
      <c r="S13296" s="420">
        <v>95.139840005705594</v>
      </c>
      <c r="T13296" s="420">
        <v>16.75</v>
      </c>
      <c r="U13296" s="278">
        <v>39.32</v>
      </c>
      <c r="V13296" s="278">
        <v>6</v>
      </c>
      <c r="Z13296" s="420" t="s">
        <v>2953</v>
      </c>
    </row>
    <row r="13297" spans="1:26">
      <c r="A13297" s="499">
        <v>45944</v>
      </c>
      <c r="B13297" s="499">
        <v>45945</v>
      </c>
      <c r="C13297" s="420" t="s">
        <v>173</v>
      </c>
      <c r="D13297" s="500" t="s">
        <v>761</v>
      </c>
      <c r="E13297" s="501">
        <v>1385373698.74</v>
      </c>
      <c r="F13297" s="95" t="s">
        <v>878</v>
      </c>
      <c r="G13297" s="420">
        <v>119637623</v>
      </c>
      <c r="H13297" s="420">
        <v>119637623</v>
      </c>
      <c r="I13297" s="529" t="s">
        <v>709</v>
      </c>
      <c r="J13297" s="530" t="s">
        <v>912</v>
      </c>
      <c r="N13297" s="420">
        <v>1926528</v>
      </c>
      <c r="R13297" s="420">
        <v>718.77399999896193</v>
      </c>
      <c r="S13297" s="420">
        <v>719.10384834271804</v>
      </c>
      <c r="T13297" s="420">
        <v>16.75</v>
      </c>
      <c r="U13297" s="278">
        <v>2077.11</v>
      </c>
      <c r="V13297" s="278">
        <v>1038.55</v>
      </c>
      <c r="Z13297" s="420" t="s">
        <v>2953</v>
      </c>
    </row>
    <row r="13298" spans="1:26">
      <c r="A13298" s="499">
        <v>45944</v>
      </c>
      <c r="B13298" s="499">
        <v>45945</v>
      </c>
      <c r="C13298" s="420" t="s">
        <v>173</v>
      </c>
      <c r="D13298" s="500" t="s">
        <v>761</v>
      </c>
      <c r="E13298" s="501">
        <v>8003924.46</v>
      </c>
      <c r="F13298" s="95" t="s">
        <v>878</v>
      </c>
      <c r="G13298" s="420">
        <v>119638993</v>
      </c>
      <c r="H13298" s="420">
        <v>119638993</v>
      </c>
      <c r="I13298" s="529" t="s">
        <v>1090</v>
      </c>
      <c r="J13298" s="530" t="s">
        <v>912</v>
      </c>
      <c r="N13298" s="420">
        <v>84128</v>
      </c>
      <c r="R13298" s="420">
        <v>95.096199957208071</v>
      </c>
      <c r="S13298" s="420">
        <v>95.139840005705594</v>
      </c>
      <c r="T13298" s="420">
        <v>16.75</v>
      </c>
      <c r="U13298" s="278">
        <v>39.32</v>
      </c>
      <c r="V13298" s="278">
        <v>6</v>
      </c>
      <c r="Z13298" s="420" t="s">
        <v>2953</v>
      </c>
    </row>
    <row r="13299" spans="1:26">
      <c r="A13299" s="499">
        <v>45944</v>
      </c>
      <c r="B13299" s="499">
        <v>45944</v>
      </c>
      <c r="C13299" s="420" t="s">
        <v>173</v>
      </c>
      <c r="D13299" s="500" t="s">
        <v>763</v>
      </c>
      <c r="E13299" s="501">
        <v>-12009163.66</v>
      </c>
      <c r="F13299" s="95" t="s">
        <v>878</v>
      </c>
      <c r="G13299" s="420">
        <v>119635626</v>
      </c>
      <c r="I13299" s="529" t="s">
        <v>675</v>
      </c>
      <c r="J13299" s="530" t="s">
        <v>906</v>
      </c>
      <c r="N13299" s="420">
        <v>12552</v>
      </c>
      <c r="R13299" s="420">
        <v>956.75300000000004</v>
      </c>
      <c r="S13299" s="420">
        <v>957.19075047801198</v>
      </c>
      <c r="T13299" s="420">
        <v>16.700099999999999</v>
      </c>
      <c r="U13299" s="278">
        <v>39.32</v>
      </c>
      <c r="V13299" s="278">
        <v>39.32</v>
      </c>
      <c r="Z13299" s="420" t="s">
        <v>2953</v>
      </c>
    </row>
    <row r="13300" spans="1:26">
      <c r="A13300" s="499">
        <v>45944</v>
      </c>
      <c r="B13300" s="499">
        <v>45944</v>
      </c>
      <c r="C13300" s="420" t="s">
        <v>173</v>
      </c>
      <c r="D13300" s="500" t="s">
        <v>763</v>
      </c>
      <c r="E13300" s="501">
        <v>-159030856.18000001</v>
      </c>
      <c r="F13300" s="95" t="s">
        <v>878</v>
      </c>
      <c r="G13300" s="420">
        <v>119635547</v>
      </c>
      <c r="I13300" s="529" t="s">
        <v>654</v>
      </c>
      <c r="J13300" s="530" t="s">
        <v>906</v>
      </c>
      <c r="N13300" s="420">
        <v>155184</v>
      </c>
      <c r="R13300" s="420">
        <v>1024.789</v>
      </c>
      <c r="S13300" s="420">
        <v>1025.25815683318</v>
      </c>
      <c r="T13300" s="420">
        <v>16.71</v>
      </c>
      <c r="U13300" s="278">
        <v>238.55</v>
      </c>
      <c r="V13300" s="278">
        <v>119.27</v>
      </c>
      <c r="Z13300" s="420" t="s">
        <v>2953</v>
      </c>
    </row>
    <row r="13301" spans="1:26">
      <c r="A13301" s="499">
        <v>45944</v>
      </c>
      <c r="B13301" s="499">
        <v>45944</v>
      </c>
      <c r="C13301" s="420" t="s">
        <v>173</v>
      </c>
      <c r="D13301" s="500" t="s">
        <v>763</v>
      </c>
      <c r="E13301" s="501">
        <v>-694474066.53999996</v>
      </c>
      <c r="F13301" s="95" t="s">
        <v>878</v>
      </c>
      <c r="G13301" s="420">
        <v>119635550</v>
      </c>
      <c r="I13301" s="529" t="s">
        <v>671</v>
      </c>
      <c r="J13301" s="530" t="s">
        <v>906</v>
      </c>
      <c r="N13301" s="420">
        <v>659994</v>
      </c>
      <c r="R13301" s="420">
        <v>1052.2429999999999</v>
      </c>
      <c r="S13301" s="420">
        <v>1052.7247254975</v>
      </c>
      <c r="T13301" s="420">
        <v>16.71</v>
      </c>
      <c r="U13301" s="278">
        <v>1041.71</v>
      </c>
      <c r="V13301" s="278">
        <v>520.86</v>
      </c>
      <c r="Z13301" s="420" t="s">
        <v>2953</v>
      </c>
    </row>
    <row r="13302" spans="1:26">
      <c r="A13302" s="499">
        <v>45944</v>
      </c>
      <c r="B13302" s="499">
        <v>45944</v>
      </c>
      <c r="C13302" s="420" t="s">
        <v>173</v>
      </c>
      <c r="D13302" s="500" t="s">
        <v>763</v>
      </c>
      <c r="E13302" s="501">
        <v>-1252956074.78</v>
      </c>
      <c r="F13302" s="95" t="s">
        <v>878</v>
      </c>
      <c r="G13302" s="420">
        <v>119635553</v>
      </c>
      <c r="I13302" s="529" t="s">
        <v>675</v>
      </c>
      <c r="J13302" s="530" t="s">
        <v>906</v>
      </c>
      <c r="N13302" s="420">
        <v>1309592</v>
      </c>
      <c r="R13302" s="420">
        <v>956.75300000000004</v>
      </c>
      <c r="S13302" s="420">
        <v>957.19074989004196</v>
      </c>
      <c r="T13302" s="420">
        <v>16.700099999999999</v>
      </c>
      <c r="U13302" s="278">
        <v>1879.43</v>
      </c>
      <c r="V13302" s="278">
        <v>939.72</v>
      </c>
      <c r="Z13302" s="420" t="s">
        <v>2953</v>
      </c>
    </row>
    <row r="13303" spans="1:26">
      <c r="A13303" s="499">
        <v>45944</v>
      </c>
      <c r="B13303" s="499">
        <v>45945</v>
      </c>
      <c r="C13303" s="420" t="s">
        <v>173</v>
      </c>
      <c r="D13303" s="500" t="s">
        <v>763</v>
      </c>
      <c r="E13303" s="278">
        <v>12014658.300000001</v>
      </c>
      <c r="F13303" s="95" t="s">
        <v>878</v>
      </c>
      <c r="G13303" s="420">
        <v>119635626</v>
      </c>
      <c r="H13303" s="420">
        <v>119635626</v>
      </c>
      <c r="I13303" s="529" t="s">
        <v>675</v>
      </c>
      <c r="J13303" s="530" t="s">
        <v>912</v>
      </c>
      <c r="N13303" s="420">
        <v>12552</v>
      </c>
      <c r="R13303" s="420">
        <v>956.75300000000004</v>
      </c>
      <c r="S13303" s="420">
        <v>957.19075047801198</v>
      </c>
      <c r="T13303" s="420">
        <v>16.700099999999999</v>
      </c>
      <c r="U13303" s="278">
        <v>39.32</v>
      </c>
      <c r="V13303" s="278">
        <v>39.32</v>
      </c>
      <c r="Z13303" s="420" t="s">
        <v>2953</v>
      </c>
    </row>
    <row r="13304" spans="1:26">
      <c r="A13304" s="499">
        <v>45944</v>
      </c>
      <c r="B13304" s="499">
        <v>45945</v>
      </c>
      <c r="C13304" s="420" t="s">
        <v>173</v>
      </c>
      <c r="D13304" s="500" t="s">
        <v>763</v>
      </c>
      <c r="E13304" s="278">
        <v>159103661.81</v>
      </c>
      <c r="F13304" s="95" t="s">
        <v>878</v>
      </c>
      <c r="G13304" s="420">
        <v>119635547</v>
      </c>
      <c r="H13304" s="420">
        <v>119635547</v>
      </c>
      <c r="I13304" s="529" t="s">
        <v>654</v>
      </c>
      <c r="J13304" s="530" t="s">
        <v>912</v>
      </c>
      <c r="N13304" s="420">
        <v>155184</v>
      </c>
      <c r="R13304" s="420">
        <v>1024.789</v>
      </c>
      <c r="S13304" s="420">
        <v>1025.25815683318</v>
      </c>
      <c r="T13304" s="420">
        <v>16.71</v>
      </c>
      <c r="U13304" s="278">
        <v>238.55</v>
      </c>
      <c r="V13304" s="278">
        <v>119.27</v>
      </c>
      <c r="Z13304" s="420" t="s">
        <v>2953</v>
      </c>
    </row>
    <row r="13305" spans="1:26">
      <c r="A13305" s="499">
        <v>45944</v>
      </c>
      <c r="B13305" s="499">
        <v>45945</v>
      </c>
      <c r="C13305" s="420" t="s">
        <v>173</v>
      </c>
      <c r="D13305" s="500" t="s">
        <v>763</v>
      </c>
      <c r="E13305" s="278">
        <v>694792002.48000002</v>
      </c>
      <c r="F13305" s="95" t="s">
        <v>878</v>
      </c>
      <c r="G13305" s="420">
        <v>119635550</v>
      </c>
      <c r="H13305" s="420">
        <v>119635550</v>
      </c>
      <c r="I13305" s="529" t="s">
        <v>671</v>
      </c>
      <c r="J13305" s="530" t="s">
        <v>912</v>
      </c>
      <c r="N13305" s="420">
        <v>659994</v>
      </c>
      <c r="R13305" s="420">
        <v>1052.2429999999999</v>
      </c>
      <c r="S13305" s="420">
        <v>1052.7247254975</v>
      </c>
      <c r="T13305" s="420">
        <v>16.71</v>
      </c>
      <c r="U13305" s="278">
        <v>1041.71</v>
      </c>
      <c r="V13305" s="278">
        <v>520.86</v>
      </c>
      <c r="Z13305" s="420" t="s">
        <v>2953</v>
      </c>
    </row>
    <row r="13306" spans="1:26">
      <c r="A13306" s="499">
        <v>45944</v>
      </c>
      <c r="B13306" s="499">
        <v>45945</v>
      </c>
      <c r="C13306" s="420" t="s">
        <v>173</v>
      </c>
      <c r="D13306" s="500" t="s">
        <v>763</v>
      </c>
      <c r="E13306" s="278">
        <v>1253529348.53</v>
      </c>
      <c r="F13306" s="95" t="s">
        <v>878</v>
      </c>
      <c r="G13306" s="420">
        <v>119635553</v>
      </c>
      <c r="H13306" s="420">
        <v>119635553</v>
      </c>
      <c r="I13306" s="529" t="s">
        <v>675</v>
      </c>
      <c r="J13306" s="530" t="s">
        <v>912</v>
      </c>
      <c r="N13306" s="420">
        <v>1309592</v>
      </c>
      <c r="R13306" s="420">
        <v>956.75300000000004</v>
      </c>
      <c r="S13306" s="420">
        <v>957.19074989004196</v>
      </c>
      <c r="T13306" s="420">
        <v>16.700099999999999</v>
      </c>
      <c r="U13306" s="278">
        <v>1879.43</v>
      </c>
      <c r="V13306" s="278">
        <v>939.72</v>
      </c>
      <c r="Z13306" s="420" t="s">
        <v>2953</v>
      </c>
    </row>
    <row r="13307" spans="1:26">
      <c r="A13307" s="499">
        <v>45944</v>
      </c>
      <c r="B13307" s="499">
        <v>45944</v>
      </c>
      <c r="C13307" s="420" t="s">
        <v>173</v>
      </c>
      <c r="D13307" s="500" t="s">
        <v>760</v>
      </c>
      <c r="E13307" s="501">
        <v>-481458148.17000002</v>
      </c>
      <c r="F13307" s="95" t="s">
        <v>878</v>
      </c>
      <c r="G13307" s="420">
        <v>119635346</v>
      </c>
      <c r="I13307" s="529" t="s">
        <v>2944</v>
      </c>
      <c r="J13307" s="530" t="s">
        <v>906</v>
      </c>
      <c r="N13307" s="420">
        <v>490139</v>
      </c>
      <c r="R13307" s="420">
        <v>982.28899999999999</v>
      </c>
      <c r="S13307" s="420">
        <v>982.738699981026</v>
      </c>
      <c r="T13307" s="420">
        <v>16.71</v>
      </c>
      <c r="U13307" s="278">
        <v>722.19</v>
      </c>
      <c r="V13307" s="278">
        <v>361.09</v>
      </c>
      <c r="Z13307" s="420" t="s">
        <v>2953</v>
      </c>
    </row>
    <row r="13308" spans="1:26">
      <c r="A13308" s="499">
        <v>45944</v>
      </c>
      <c r="B13308" s="499">
        <v>45944</v>
      </c>
      <c r="C13308" s="420" t="s">
        <v>173</v>
      </c>
      <c r="D13308" s="500" t="s">
        <v>760</v>
      </c>
      <c r="E13308" s="501">
        <v>-276103312.31999999</v>
      </c>
      <c r="F13308" s="95" t="s">
        <v>878</v>
      </c>
      <c r="G13308" s="420">
        <v>119635349</v>
      </c>
      <c r="I13308" s="529" t="s">
        <v>678</v>
      </c>
      <c r="J13308" s="530" t="s">
        <v>906</v>
      </c>
      <c r="N13308" s="420">
        <v>288420</v>
      </c>
      <c r="R13308" s="420">
        <v>957.29600000000005</v>
      </c>
      <c r="S13308" s="420">
        <v>957.734257991817</v>
      </c>
      <c r="T13308" s="420">
        <v>16.71</v>
      </c>
      <c r="U13308" s="278">
        <v>414.15</v>
      </c>
      <c r="V13308" s="278">
        <v>207.08</v>
      </c>
      <c r="Z13308" s="420" t="s">
        <v>2953</v>
      </c>
    </row>
    <row r="13309" spans="1:26">
      <c r="A13309" s="499">
        <v>45944</v>
      </c>
      <c r="B13309" s="499">
        <v>45944</v>
      </c>
      <c r="C13309" s="420" t="s">
        <v>173</v>
      </c>
      <c r="D13309" s="500" t="s">
        <v>760</v>
      </c>
      <c r="E13309" s="501">
        <v>-225027647.78</v>
      </c>
      <c r="F13309" s="95" t="s">
        <v>878</v>
      </c>
      <c r="G13309" s="420">
        <v>119635352</v>
      </c>
      <c r="I13309" s="529" t="s">
        <v>816</v>
      </c>
      <c r="J13309" s="530" t="s">
        <v>906</v>
      </c>
      <c r="N13309" s="420">
        <v>210825</v>
      </c>
      <c r="R13309" s="420">
        <v>1067.367</v>
      </c>
      <c r="S13309" s="420">
        <v>1067.8556494248801</v>
      </c>
      <c r="T13309" s="420">
        <v>16.71</v>
      </c>
      <c r="U13309" s="278">
        <v>337.54</v>
      </c>
      <c r="V13309" s="278">
        <v>168.77</v>
      </c>
      <c r="Z13309" s="420" t="s">
        <v>2953</v>
      </c>
    </row>
    <row r="13310" spans="1:26">
      <c r="A13310" s="499">
        <v>45944</v>
      </c>
      <c r="B13310" s="499">
        <v>45944</v>
      </c>
      <c r="C13310" s="420" t="s">
        <v>173</v>
      </c>
      <c r="D13310" s="500" t="s">
        <v>760</v>
      </c>
      <c r="E13310" s="501">
        <v>-244000215.34999999</v>
      </c>
      <c r="F13310" s="95" t="s">
        <v>878</v>
      </c>
      <c r="G13310" s="420">
        <v>119635355</v>
      </c>
      <c r="I13310" s="529" t="s">
        <v>1048</v>
      </c>
      <c r="J13310" s="530" t="s">
        <v>906</v>
      </c>
      <c r="N13310" s="420">
        <v>238701052</v>
      </c>
      <c r="R13310" s="420">
        <v>1.0222</v>
      </c>
      <c r="S13310" s="420">
        <v>1.02266797152616</v>
      </c>
      <c r="T13310" s="420">
        <v>16.71</v>
      </c>
      <c r="U13310" s="278">
        <v>366</v>
      </c>
      <c r="V13310" s="278">
        <v>183</v>
      </c>
      <c r="Z13310" s="420" t="s">
        <v>2953</v>
      </c>
    </row>
    <row r="13311" spans="1:26">
      <c r="A13311" s="499">
        <v>45944</v>
      </c>
      <c r="B13311" s="499">
        <v>45944</v>
      </c>
      <c r="C13311" s="420" t="s">
        <v>173</v>
      </c>
      <c r="D13311" s="500" t="s">
        <v>760</v>
      </c>
      <c r="E13311" s="501">
        <v>-601248997.30999994</v>
      </c>
      <c r="F13311" s="95" t="s">
        <v>878</v>
      </c>
      <c r="G13311" s="420">
        <v>119635358</v>
      </c>
      <c r="I13311" s="529" t="s">
        <v>705</v>
      </c>
      <c r="J13311" s="530" t="s">
        <v>906</v>
      </c>
      <c r="N13311" s="420">
        <v>784305</v>
      </c>
      <c r="R13311" s="420">
        <v>766.601</v>
      </c>
      <c r="S13311" s="420">
        <v>766.95195624151302</v>
      </c>
      <c r="T13311" s="420">
        <v>16.71</v>
      </c>
      <c r="U13311" s="278">
        <v>901.87</v>
      </c>
      <c r="V13311" s="278">
        <v>450.94</v>
      </c>
      <c r="Z13311" s="420" t="s">
        <v>2953</v>
      </c>
    </row>
    <row r="13312" spans="1:26">
      <c r="A13312" s="499">
        <v>45944</v>
      </c>
      <c r="B13312" s="499">
        <v>45944</v>
      </c>
      <c r="C13312" s="420" t="s">
        <v>173</v>
      </c>
      <c r="D13312" s="500" t="s">
        <v>760</v>
      </c>
      <c r="E13312" s="501">
        <v>-618200232</v>
      </c>
      <c r="F13312" s="95" t="s">
        <v>878</v>
      </c>
      <c r="G13312" s="420">
        <v>119635361</v>
      </c>
      <c r="I13312" s="529" t="s">
        <v>1091</v>
      </c>
      <c r="J13312" s="530" t="s">
        <v>906</v>
      </c>
      <c r="N13312" s="420">
        <v>618000</v>
      </c>
      <c r="R13312" s="420">
        <v>1000.324</v>
      </c>
      <c r="S13312" s="420">
        <v>1000.7819565534001</v>
      </c>
      <c r="T13312" s="420">
        <v>16.71</v>
      </c>
      <c r="U13312" s="278">
        <v>927.3</v>
      </c>
      <c r="V13312" s="278">
        <v>463.65</v>
      </c>
      <c r="Z13312" s="420" t="s">
        <v>2953</v>
      </c>
    </row>
    <row r="13313" spans="1:26">
      <c r="A13313" s="499">
        <v>45944</v>
      </c>
      <c r="B13313" s="499">
        <v>45944</v>
      </c>
      <c r="C13313" s="420" t="s">
        <v>173</v>
      </c>
      <c r="D13313" s="500" t="s">
        <v>760</v>
      </c>
      <c r="E13313" s="501">
        <v>-619390197.78999996</v>
      </c>
      <c r="F13313" s="95" t="s">
        <v>878</v>
      </c>
      <c r="G13313" s="420">
        <v>119635364</v>
      </c>
      <c r="I13313" s="529" t="s">
        <v>677</v>
      </c>
      <c r="J13313" s="530" t="s">
        <v>906</v>
      </c>
      <c r="N13313" s="420">
        <v>685852</v>
      </c>
      <c r="R13313" s="420">
        <v>903.096</v>
      </c>
      <c r="S13313" s="420">
        <v>903.50944476359302</v>
      </c>
      <c r="T13313" s="420">
        <v>16.71</v>
      </c>
      <c r="U13313" s="278">
        <v>929.09</v>
      </c>
      <c r="V13313" s="278">
        <v>464.54</v>
      </c>
      <c r="Z13313" s="420" t="s">
        <v>2953</v>
      </c>
    </row>
    <row r="13314" spans="1:26">
      <c r="A13314" s="499">
        <v>45944</v>
      </c>
      <c r="B13314" s="499">
        <v>45944</v>
      </c>
      <c r="C13314" s="420" t="s">
        <v>173</v>
      </c>
      <c r="D13314" s="500" t="s">
        <v>760</v>
      </c>
      <c r="E13314" s="501">
        <v>-143027751.15000001</v>
      </c>
      <c r="F13314" s="95" t="s">
        <v>878</v>
      </c>
      <c r="G13314" s="420">
        <v>119635367</v>
      </c>
      <c r="I13314" s="529" t="s">
        <v>654</v>
      </c>
      <c r="J13314" s="530" t="s">
        <v>906</v>
      </c>
      <c r="N13314" s="420">
        <v>139568</v>
      </c>
      <c r="R13314" s="420">
        <v>1024.789</v>
      </c>
      <c r="S13314" s="420">
        <v>1025.2581568124499</v>
      </c>
      <c r="T13314" s="420">
        <v>16.71</v>
      </c>
      <c r="U13314" s="278">
        <v>214.54</v>
      </c>
      <c r="V13314" s="278">
        <v>107.27</v>
      </c>
      <c r="Z13314" s="420" t="s">
        <v>2953</v>
      </c>
    </row>
    <row r="13315" spans="1:26">
      <c r="A13315" s="499">
        <v>45944</v>
      </c>
      <c r="B13315" s="499">
        <v>45944</v>
      </c>
      <c r="C13315" s="420" t="s">
        <v>173</v>
      </c>
      <c r="D13315" s="500" t="s">
        <v>760</v>
      </c>
      <c r="E13315" s="501">
        <v>-41010725.810000002</v>
      </c>
      <c r="F13315" s="95" t="s">
        <v>878</v>
      </c>
      <c r="G13315" s="420">
        <v>119636152</v>
      </c>
      <c r="I13315" s="529" t="s">
        <v>704</v>
      </c>
      <c r="J13315" s="530" t="s">
        <v>906</v>
      </c>
      <c r="N13315" s="420">
        <v>48995</v>
      </c>
      <c r="R13315" s="420">
        <v>837.03899999999999</v>
      </c>
      <c r="S13315" s="420">
        <v>837.42312297173203</v>
      </c>
      <c r="T13315" s="420">
        <v>16.7501</v>
      </c>
      <c r="U13315" s="278">
        <v>61.52</v>
      </c>
      <c r="V13315" s="278">
        <v>30.76</v>
      </c>
      <c r="Z13315" s="420" t="s">
        <v>2953</v>
      </c>
    </row>
    <row r="13316" spans="1:26">
      <c r="A13316" s="499">
        <v>45944</v>
      </c>
      <c r="B13316" s="499">
        <v>45945</v>
      </c>
      <c r="C13316" s="420" t="s">
        <v>173</v>
      </c>
      <c r="D13316" s="500" t="s">
        <v>760</v>
      </c>
      <c r="E13316" s="501">
        <v>481678563.67000002</v>
      </c>
      <c r="F13316" s="95" t="s">
        <v>878</v>
      </c>
      <c r="G13316" s="420">
        <v>119635346</v>
      </c>
      <c r="H13316" s="420">
        <v>119635346</v>
      </c>
      <c r="I13316" s="529" t="s">
        <v>2944</v>
      </c>
      <c r="J13316" s="530" t="s">
        <v>912</v>
      </c>
      <c r="N13316" s="420">
        <v>490139</v>
      </c>
      <c r="R13316" s="420">
        <v>982.28899999999999</v>
      </c>
      <c r="S13316" s="420">
        <v>982.738699981026</v>
      </c>
      <c r="T13316" s="420">
        <v>16.71</v>
      </c>
      <c r="U13316" s="278">
        <v>722.19</v>
      </c>
      <c r="V13316" s="278">
        <v>361.09</v>
      </c>
      <c r="Z13316" s="420" t="s">
        <v>2953</v>
      </c>
    </row>
    <row r="13317" spans="1:26">
      <c r="A13317" s="499">
        <v>45944</v>
      </c>
      <c r="B13317" s="499">
        <v>45945</v>
      </c>
      <c r="C13317" s="420" t="s">
        <v>173</v>
      </c>
      <c r="D13317" s="500" t="s">
        <v>760</v>
      </c>
      <c r="E13317" s="501">
        <v>276229714.69</v>
      </c>
      <c r="F13317" s="95" t="s">
        <v>878</v>
      </c>
      <c r="G13317" s="420">
        <v>119635349</v>
      </c>
      <c r="H13317" s="420">
        <v>119635349</v>
      </c>
      <c r="I13317" s="529" t="s">
        <v>678</v>
      </c>
      <c r="J13317" s="530" t="s">
        <v>912</v>
      </c>
      <c r="N13317" s="420">
        <v>288420</v>
      </c>
      <c r="R13317" s="420">
        <v>957.29600000000005</v>
      </c>
      <c r="S13317" s="420">
        <v>957.734257991817</v>
      </c>
      <c r="T13317" s="420">
        <v>16.71</v>
      </c>
      <c r="U13317" s="278">
        <v>414.15</v>
      </c>
      <c r="V13317" s="278">
        <v>207.08</v>
      </c>
      <c r="Z13317" s="420" t="s">
        <v>2953</v>
      </c>
    </row>
    <row r="13318" spans="1:26">
      <c r="A13318" s="499">
        <v>45944</v>
      </c>
      <c r="B13318" s="499">
        <v>45945</v>
      </c>
      <c r="C13318" s="420" t="s">
        <v>173</v>
      </c>
      <c r="D13318" s="500" t="s">
        <v>760</v>
      </c>
      <c r="E13318" s="501">
        <v>225130667.28999999</v>
      </c>
      <c r="F13318" s="95" t="s">
        <v>878</v>
      </c>
      <c r="G13318" s="420">
        <v>119635352</v>
      </c>
      <c r="H13318" s="420">
        <v>119635352</v>
      </c>
      <c r="I13318" s="529" t="s">
        <v>816</v>
      </c>
      <c r="J13318" s="530" t="s">
        <v>912</v>
      </c>
      <c r="N13318" s="420">
        <v>210825</v>
      </c>
      <c r="R13318" s="420">
        <v>1067.367</v>
      </c>
      <c r="S13318" s="420">
        <v>1067.8556494248801</v>
      </c>
      <c r="T13318" s="420">
        <v>16.71</v>
      </c>
      <c r="U13318" s="278">
        <v>337.54</v>
      </c>
      <c r="V13318" s="278">
        <v>168.77</v>
      </c>
      <c r="Z13318" s="420" t="s">
        <v>2953</v>
      </c>
    </row>
    <row r="13319" spans="1:26">
      <c r="A13319" s="499">
        <v>45944</v>
      </c>
      <c r="B13319" s="499">
        <v>45945</v>
      </c>
      <c r="C13319" s="420" t="s">
        <v>173</v>
      </c>
      <c r="D13319" s="500" t="s">
        <v>760</v>
      </c>
      <c r="E13319" s="501">
        <v>244111920.65000001</v>
      </c>
      <c r="F13319" s="95" t="s">
        <v>878</v>
      </c>
      <c r="G13319" s="420">
        <v>119635355</v>
      </c>
      <c r="H13319" s="420">
        <v>119635355</v>
      </c>
      <c r="I13319" s="529" t="s">
        <v>1048</v>
      </c>
      <c r="J13319" s="530" t="s">
        <v>912</v>
      </c>
      <c r="N13319" s="420">
        <v>238701052</v>
      </c>
      <c r="R13319" s="420">
        <v>1.0222</v>
      </c>
      <c r="S13319" s="420">
        <v>1.02266797152616</v>
      </c>
      <c r="T13319" s="420">
        <v>16.71</v>
      </c>
      <c r="U13319" s="278">
        <v>366</v>
      </c>
      <c r="V13319" s="278">
        <v>183</v>
      </c>
      <c r="Z13319" s="420" t="s">
        <v>2953</v>
      </c>
    </row>
    <row r="13320" spans="1:26">
      <c r="A13320" s="499">
        <v>45944</v>
      </c>
      <c r="B13320" s="499">
        <v>45945</v>
      </c>
      <c r="C13320" s="420" t="s">
        <v>173</v>
      </c>
      <c r="D13320" s="500" t="s">
        <v>760</v>
      </c>
      <c r="E13320" s="501">
        <v>601524254.03999996</v>
      </c>
      <c r="F13320" s="95" t="s">
        <v>878</v>
      </c>
      <c r="G13320" s="420">
        <v>119635358</v>
      </c>
      <c r="H13320" s="420">
        <v>119635358</v>
      </c>
      <c r="I13320" s="529" t="s">
        <v>705</v>
      </c>
      <c r="J13320" s="530" t="s">
        <v>912</v>
      </c>
      <c r="N13320" s="420">
        <v>784305</v>
      </c>
      <c r="R13320" s="420">
        <v>766.601</v>
      </c>
      <c r="S13320" s="420">
        <v>766.95195624151302</v>
      </c>
      <c r="T13320" s="420">
        <v>16.71</v>
      </c>
      <c r="U13320" s="278">
        <v>901.87</v>
      </c>
      <c r="V13320" s="278">
        <v>450.94</v>
      </c>
      <c r="Z13320" s="420" t="s">
        <v>2953</v>
      </c>
    </row>
    <row r="13321" spans="1:26">
      <c r="A13321" s="499">
        <v>45944</v>
      </c>
      <c r="B13321" s="499">
        <v>45945</v>
      </c>
      <c r="C13321" s="420" t="s">
        <v>173</v>
      </c>
      <c r="D13321" s="500" t="s">
        <v>760</v>
      </c>
      <c r="E13321" s="501">
        <v>618483249.14999998</v>
      </c>
      <c r="F13321" s="95" t="s">
        <v>878</v>
      </c>
      <c r="G13321" s="420">
        <v>119635361</v>
      </c>
      <c r="H13321" s="420">
        <v>119635361</v>
      </c>
      <c r="I13321" s="529" t="s">
        <v>1091</v>
      </c>
      <c r="J13321" s="530" t="s">
        <v>912</v>
      </c>
      <c r="N13321" s="420">
        <v>618000</v>
      </c>
      <c r="R13321" s="420">
        <v>1000.324</v>
      </c>
      <c r="S13321" s="420">
        <v>1000.7819565534001</v>
      </c>
      <c r="T13321" s="420">
        <v>16.71</v>
      </c>
      <c r="U13321" s="278">
        <v>927.3</v>
      </c>
      <c r="V13321" s="278">
        <v>463.65</v>
      </c>
      <c r="Z13321" s="420" t="s">
        <v>2953</v>
      </c>
    </row>
    <row r="13322" spans="1:26">
      <c r="A13322" s="499">
        <v>45944</v>
      </c>
      <c r="B13322" s="499">
        <v>45945</v>
      </c>
      <c r="C13322" s="420" t="s">
        <v>173</v>
      </c>
      <c r="D13322" s="500" t="s">
        <v>760</v>
      </c>
      <c r="E13322" s="501">
        <v>619673759.71000004</v>
      </c>
      <c r="F13322" s="95" t="s">
        <v>878</v>
      </c>
      <c r="G13322" s="420">
        <v>119635364</v>
      </c>
      <c r="H13322" s="420">
        <v>119635364</v>
      </c>
      <c r="I13322" s="529" t="s">
        <v>677</v>
      </c>
      <c r="J13322" s="530" t="s">
        <v>912</v>
      </c>
      <c r="N13322" s="420">
        <v>685852</v>
      </c>
      <c r="R13322" s="420">
        <v>903.096</v>
      </c>
      <c r="S13322" s="420">
        <v>903.50944476359302</v>
      </c>
      <c r="T13322" s="420">
        <v>16.71</v>
      </c>
      <c r="U13322" s="278">
        <v>929.09</v>
      </c>
      <c r="V13322" s="278">
        <v>464.54</v>
      </c>
      <c r="Z13322" s="420" t="s">
        <v>2953</v>
      </c>
    </row>
    <row r="13323" spans="1:26">
      <c r="A13323" s="499">
        <v>45944</v>
      </c>
      <c r="B13323" s="499">
        <v>45945</v>
      </c>
      <c r="C13323" s="420" t="s">
        <v>173</v>
      </c>
      <c r="D13323" s="500" t="s">
        <v>760</v>
      </c>
      <c r="E13323" s="501">
        <v>143093230.43000001</v>
      </c>
      <c r="F13323" s="95" t="s">
        <v>878</v>
      </c>
      <c r="G13323" s="420">
        <v>119635367</v>
      </c>
      <c r="H13323" s="420">
        <v>119635367</v>
      </c>
      <c r="I13323" s="529" t="s">
        <v>654</v>
      </c>
      <c r="J13323" s="530" t="s">
        <v>912</v>
      </c>
      <c r="N13323" s="420">
        <v>139568</v>
      </c>
      <c r="R13323" s="420">
        <v>1024.789</v>
      </c>
      <c r="S13323" s="420">
        <v>1025.2581568124499</v>
      </c>
      <c r="T13323" s="420">
        <v>16.71</v>
      </c>
      <c r="U13323" s="278">
        <v>214.54</v>
      </c>
      <c r="V13323" s="278">
        <v>107.27</v>
      </c>
      <c r="Z13323" s="420" t="s">
        <v>2953</v>
      </c>
    </row>
    <row r="13324" spans="1:26">
      <c r="A13324" s="499">
        <v>45944</v>
      </c>
      <c r="B13324" s="499">
        <v>45945</v>
      </c>
      <c r="C13324" s="420" t="s">
        <v>173</v>
      </c>
      <c r="D13324" s="500" t="s">
        <v>760</v>
      </c>
      <c r="E13324" s="501">
        <v>41029545.909999996</v>
      </c>
      <c r="F13324" s="95" t="s">
        <v>878</v>
      </c>
      <c r="G13324" s="420">
        <v>119636152</v>
      </c>
      <c r="H13324" s="420">
        <v>119636152</v>
      </c>
      <c r="I13324" s="529" t="s">
        <v>704</v>
      </c>
      <c r="J13324" s="530" t="s">
        <v>912</v>
      </c>
      <c r="N13324" s="420">
        <v>48995</v>
      </c>
      <c r="R13324" s="420">
        <v>837.03899999999999</v>
      </c>
      <c r="S13324" s="420">
        <v>837.42312297173203</v>
      </c>
      <c r="T13324" s="420">
        <v>16.7501</v>
      </c>
      <c r="U13324" s="278">
        <v>61.52</v>
      </c>
      <c r="V13324" s="278">
        <v>30.76</v>
      </c>
      <c r="Z13324" s="420" t="s">
        <v>2953</v>
      </c>
    </row>
    <row r="13325" spans="1:26">
      <c r="A13325" s="499">
        <v>45944</v>
      </c>
      <c r="B13325" s="499">
        <v>45944</v>
      </c>
      <c r="C13325" s="420" t="s">
        <v>173</v>
      </c>
      <c r="D13325" s="500" t="s">
        <v>764</v>
      </c>
      <c r="E13325" s="501">
        <v>-197035759.44</v>
      </c>
      <c r="F13325" s="95" t="s">
        <v>878</v>
      </c>
      <c r="G13325" s="420">
        <v>119635054</v>
      </c>
      <c r="H13325" s="420"/>
      <c r="I13325" s="529" t="s">
        <v>673</v>
      </c>
      <c r="J13325" s="530" t="s">
        <v>906</v>
      </c>
      <c r="N13325" s="610">
        <v>212760</v>
      </c>
      <c r="R13325" s="539">
        <v>926.09399999999994</v>
      </c>
      <c r="S13325" s="539">
        <v>926.520256956195</v>
      </c>
      <c r="T13325" s="420">
        <v>16.8</v>
      </c>
      <c r="U13325" s="538">
        <v>295.55</v>
      </c>
      <c r="V13325" s="538">
        <v>147.78</v>
      </c>
      <c r="Z13325" s="539" t="s">
        <v>2953</v>
      </c>
    </row>
    <row r="13326" spans="1:26">
      <c r="A13326" s="499">
        <v>45944</v>
      </c>
      <c r="B13326" s="499">
        <v>45944</v>
      </c>
      <c r="C13326" s="420" t="s">
        <v>173</v>
      </c>
      <c r="D13326" s="500" t="s">
        <v>764</v>
      </c>
      <c r="E13326" s="501">
        <v>-2970773402.8499999</v>
      </c>
      <c r="F13326" s="95" t="s">
        <v>878</v>
      </c>
      <c r="G13326" s="420">
        <v>119635125</v>
      </c>
      <c r="H13326" s="420"/>
      <c r="I13326" s="529" t="s">
        <v>723</v>
      </c>
      <c r="J13326" s="530" t="s">
        <v>906</v>
      </c>
      <c r="N13326" s="610">
        <v>4945050</v>
      </c>
      <c r="R13326" s="539">
        <v>600.75699999999995</v>
      </c>
      <c r="S13326" s="539">
        <v>601.03351281180198</v>
      </c>
      <c r="T13326" s="420">
        <v>16.8</v>
      </c>
      <c r="U13326" s="538">
        <v>4456.16</v>
      </c>
      <c r="V13326" s="538">
        <v>2228.08</v>
      </c>
      <c r="Z13326" s="539" t="s">
        <v>2953</v>
      </c>
    </row>
    <row r="13327" spans="1:26">
      <c r="A13327" s="499">
        <v>45944</v>
      </c>
      <c r="B13327" s="499">
        <v>45944</v>
      </c>
      <c r="C13327" s="420" t="s">
        <v>173</v>
      </c>
      <c r="D13327" s="500" t="s">
        <v>764</v>
      </c>
      <c r="E13327" s="501">
        <v>-1755457010.78</v>
      </c>
      <c r="F13327" s="95" t="s">
        <v>878</v>
      </c>
      <c r="G13327" s="420">
        <v>119635215</v>
      </c>
      <c r="H13327" s="420"/>
      <c r="I13327" s="529" t="s">
        <v>723</v>
      </c>
      <c r="J13327" s="530" t="s">
        <v>906</v>
      </c>
      <c r="N13327" s="610">
        <v>2922075</v>
      </c>
      <c r="R13327" s="539">
        <v>600.75700000171105</v>
      </c>
      <c r="S13327" s="539">
        <v>601.03351281195705</v>
      </c>
      <c r="T13327" s="420">
        <v>16.8</v>
      </c>
      <c r="U13327" s="538">
        <v>2633.19</v>
      </c>
      <c r="V13327" s="538">
        <v>1316.59</v>
      </c>
      <c r="Z13327" s="539" t="s">
        <v>2953</v>
      </c>
    </row>
    <row r="13328" spans="1:26">
      <c r="A13328" s="499">
        <v>45944</v>
      </c>
      <c r="B13328" s="499">
        <v>45944</v>
      </c>
      <c r="C13328" s="420" t="s">
        <v>173</v>
      </c>
      <c r="D13328" s="500" t="s">
        <v>764</v>
      </c>
      <c r="E13328" s="501">
        <v>-31013837.629999999</v>
      </c>
      <c r="F13328" s="95" t="s">
        <v>878</v>
      </c>
      <c r="G13328" s="420">
        <v>119636387</v>
      </c>
      <c r="H13328" s="420"/>
      <c r="I13328" s="529" t="s">
        <v>805</v>
      </c>
      <c r="J13328" s="530" t="s">
        <v>906</v>
      </c>
      <c r="N13328" s="610">
        <v>56978</v>
      </c>
      <c r="R13328" s="539">
        <v>544.31250008775316</v>
      </c>
      <c r="S13328" s="539">
        <v>544.56303292498899</v>
      </c>
      <c r="T13328" s="420">
        <v>16.8</v>
      </c>
      <c r="U13328" s="538">
        <v>46.52</v>
      </c>
      <c r="V13328" s="538">
        <v>23.26</v>
      </c>
      <c r="Z13328" s="539" t="s">
        <v>2953</v>
      </c>
    </row>
    <row r="13329" spans="1:26">
      <c r="A13329" s="499">
        <v>45944</v>
      </c>
      <c r="B13329" s="499">
        <v>45945</v>
      </c>
      <c r="C13329" s="420" t="s">
        <v>173</v>
      </c>
      <c r="D13329" s="500" t="s">
        <v>764</v>
      </c>
      <c r="E13329" s="501">
        <v>197126449.87</v>
      </c>
      <c r="F13329" s="95" t="s">
        <v>878</v>
      </c>
      <c r="G13329" s="420">
        <v>119635054</v>
      </c>
      <c r="H13329" s="420">
        <v>119635054</v>
      </c>
      <c r="I13329" s="529" t="s">
        <v>673</v>
      </c>
      <c r="J13329" s="530" t="s">
        <v>912</v>
      </c>
      <c r="N13329" s="610">
        <v>212760</v>
      </c>
      <c r="R13329" s="539">
        <v>926.09399999999994</v>
      </c>
      <c r="S13329" s="539">
        <v>926.520256956195</v>
      </c>
      <c r="T13329" s="420">
        <v>16.8</v>
      </c>
      <c r="U13329" s="538">
        <v>295.55</v>
      </c>
      <c r="V13329" s="538">
        <v>147.78</v>
      </c>
      <c r="Z13329" s="539" t="s">
        <v>2953</v>
      </c>
    </row>
    <row r="13330" spans="1:26">
      <c r="A13330" s="499">
        <v>45944</v>
      </c>
      <c r="B13330" s="499">
        <v>45945</v>
      </c>
      <c r="C13330" s="420" t="s">
        <v>173</v>
      </c>
      <c r="D13330" s="500" t="s">
        <v>764</v>
      </c>
      <c r="E13330" s="501">
        <v>2972140772.5300002</v>
      </c>
      <c r="F13330" s="95" t="s">
        <v>878</v>
      </c>
      <c r="G13330" s="420">
        <v>119635125</v>
      </c>
      <c r="H13330" s="420">
        <v>119635125</v>
      </c>
      <c r="I13330" s="529" t="s">
        <v>723</v>
      </c>
      <c r="J13330" s="530" t="s">
        <v>912</v>
      </c>
      <c r="N13330" s="610">
        <v>4945050</v>
      </c>
      <c r="R13330" s="539">
        <v>600.75699999999995</v>
      </c>
      <c r="S13330" s="539">
        <v>601.03351281180198</v>
      </c>
      <c r="T13330" s="420">
        <v>16.8</v>
      </c>
      <c r="U13330" s="538">
        <v>4456.16</v>
      </c>
      <c r="V13330" s="538">
        <v>2228.08</v>
      </c>
      <c r="Z13330" s="539" t="s">
        <v>2953</v>
      </c>
    </row>
    <row r="13331" spans="1:26">
      <c r="A13331" s="499">
        <v>45944</v>
      </c>
      <c r="B13331" s="499">
        <v>45945</v>
      </c>
      <c r="C13331" s="420" t="s">
        <v>173</v>
      </c>
      <c r="D13331" s="500" t="s">
        <v>764</v>
      </c>
      <c r="E13331" s="501">
        <v>1756265001.95</v>
      </c>
      <c r="F13331" s="95" t="s">
        <v>878</v>
      </c>
      <c r="G13331" s="420">
        <v>119635215</v>
      </c>
      <c r="H13331" s="420">
        <v>119635215</v>
      </c>
      <c r="I13331" s="529" t="s">
        <v>723</v>
      </c>
      <c r="J13331" s="530" t="s">
        <v>912</v>
      </c>
      <c r="N13331" s="610">
        <v>2922075</v>
      </c>
      <c r="R13331" s="539">
        <v>600.75700000171105</v>
      </c>
      <c r="S13331" s="539">
        <v>601.03351281195705</v>
      </c>
      <c r="T13331" s="420">
        <v>16.8</v>
      </c>
      <c r="U13331" s="538">
        <v>2633.19</v>
      </c>
      <c r="V13331" s="538">
        <v>1316.59</v>
      </c>
      <c r="Z13331" s="539" t="s">
        <v>2953</v>
      </c>
    </row>
    <row r="13332" spans="1:26">
      <c r="A13332" s="499">
        <v>45944</v>
      </c>
      <c r="B13332" s="499">
        <v>45945</v>
      </c>
      <c r="C13332" s="420" t="s">
        <v>173</v>
      </c>
      <c r="D13332" s="500" t="s">
        <v>764</v>
      </c>
      <c r="E13332" s="501">
        <v>31028112.489999998</v>
      </c>
      <c r="F13332" s="95" t="s">
        <v>878</v>
      </c>
      <c r="G13332" s="420">
        <v>119636387</v>
      </c>
      <c r="H13332" s="420">
        <v>119636387</v>
      </c>
      <c r="I13332" s="529" t="s">
        <v>805</v>
      </c>
      <c r="J13332" s="530" t="s">
        <v>912</v>
      </c>
      <c r="N13332" s="610">
        <v>56978</v>
      </c>
      <c r="R13332" s="539">
        <v>544.31250008775316</v>
      </c>
      <c r="S13332" s="539">
        <v>544.56303292498899</v>
      </c>
      <c r="T13332" s="420">
        <v>16.8</v>
      </c>
      <c r="U13332" s="538">
        <v>46.52</v>
      </c>
      <c r="V13332" s="538">
        <v>23.26</v>
      </c>
      <c r="Z13332" s="539" t="s">
        <v>2953</v>
      </c>
    </row>
    <row r="13333" spans="1:26">
      <c r="A13333" s="499">
        <v>45944</v>
      </c>
      <c r="B13333" s="499">
        <v>45944</v>
      </c>
      <c r="C13333" s="420" t="s">
        <v>173</v>
      </c>
      <c r="D13333" s="500" t="s">
        <v>759</v>
      </c>
      <c r="E13333" s="501">
        <v>-1859695860.8800001</v>
      </c>
      <c r="F13333" s="95" t="s">
        <v>878</v>
      </c>
      <c r="G13333" s="420">
        <v>119636296</v>
      </c>
      <c r="I13333" s="529" t="s">
        <v>678</v>
      </c>
      <c r="J13333" s="530" t="s">
        <v>906</v>
      </c>
      <c r="N13333" s="420">
        <v>1942655</v>
      </c>
      <c r="R13333" s="420">
        <v>957.29600000000005</v>
      </c>
      <c r="S13333" s="420">
        <v>960.41704723175201</v>
      </c>
      <c r="T13333" s="420">
        <v>17</v>
      </c>
      <c r="U13333" s="278">
        <v>19526.810000000001</v>
      </c>
      <c r="V13333" s="278">
        <v>9763.4</v>
      </c>
      <c r="Z13333" s="420" t="s">
        <v>2961</v>
      </c>
    </row>
    <row r="13334" spans="1:26">
      <c r="A13334" s="499">
        <v>45944</v>
      </c>
      <c r="B13334" s="499">
        <v>45944</v>
      </c>
      <c r="C13334" s="420" t="s">
        <v>173</v>
      </c>
      <c r="D13334" s="500" t="s">
        <v>759</v>
      </c>
      <c r="E13334" s="501">
        <v>-6173992046.3800001</v>
      </c>
      <c r="F13334" s="95" t="s">
        <v>878</v>
      </c>
      <c r="G13334" s="420">
        <v>119636304</v>
      </c>
      <c r="I13334" s="529" t="s">
        <v>1047</v>
      </c>
      <c r="J13334" s="530" t="s">
        <v>906</v>
      </c>
      <c r="N13334" s="420">
        <v>6133974</v>
      </c>
      <c r="R13334" s="420">
        <v>1006.5240000006521</v>
      </c>
      <c r="S13334" s="420">
        <v>1009.80554400133</v>
      </c>
      <c r="T13334" s="420">
        <v>17</v>
      </c>
      <c r="U13334" s="278">
        <v>64826.92</v>
      </c>
      <c r="V13334" s="278">
        <v>32413.46</v>
      </c>
      <c r="Z13334" s="420" t="s">
        <v>2961</v>
      </c>
    </row>
    <row r="13335" spans="1:26">
      <c r="A13335" s="499">
        <v>45944</v>
      </c>
      <c r="B13335" s="499">
        <v>45944</v>
      </c>
      <c r="C13335" s="420" t="s">
        <v>173</v>
      </c>
      <c r="D13335" s="500" t="s">
        <v>759</v>
      </c>
      <c r="E13335" s="501">
        <v>-2000892750</v>
      </c>
      <c r="F13335" s="95" t="s">
        <v>878</v>
      </c>
      <c r="G13335" s="420">
        <v>119636390</v>
      </c>
      <c r="I13335" s="529" t="s">
        <v>805</v>
      </c>
      <c r="J13335" s="530" t="s">
        <v>906</v>
      </c>
      <c r="N13335" s="420">
        <v>3676000</v>
      </c>
      <c r="R13335" s="420">
        <v>544.3125</v>
      </c>
      <c r="S13335" s="420">
        <v>544.563032875408</v>
      </c>
      <c r="T13335" s="420">
        <v>16.8</v>
      </c>
      <c r="U13335" s="278">
        <v>3001.34</v>
      </c>
      <c r="V13335" s="278">
        <v>1500.67</v>
      </c>
      <c r="Z13335" s="420" t="s">
        <v>2953</v>
      </c>
    </row>
    <row r="13336" spans="1:26">
      <c r="A13336" s="499">
        <v>45944</v>
      </c>
      <c r="B13336" s="499">
        <v>45944</v>
      </c>
      <c r="C13336" s="420" t="s">
        <v>173</v>
      </c>
      <c r="D13336" s="500" t="s">
        <v>759</v>
      </c>
      <c r="E13336" s="501">
        <v>-1886210897.05</v>
      </c>
      <c r="F13336" s="95" t="s">
        <v>878</v>
      </c>
      <c r="G13336" s="420">
        <v>119636864</v>
      </c>
      <c r="I13336" s="529" t="s">
        <v>1013</v>
      </c>
      <c r="J13336" s="530" t="s">
        <v>906</v>
      </c>
      <c r="N13336" s="420">
        <v>3534364</v>
      </c>
      <c r="R13336" s="420">
        <v>533.6776000010185</v>
      </c>
      <c r="S13336" s="420">
        <v>535.41753518879204</v>
      </c>
      <c r="T13336" s="420">
        <v>17</v>
      </c>
      <c r="U13336" s="278">
        <v>19805.21</v>
      </c>
      <c r="V13336" s="278">
        <v>9902.61</v>
      </c>
      <c r="Z13336" s="420" t="s">
        <v>2961</v>
      </c>
    </row>
    <row r="13337" spans="1:26">
      <c r="A13337" s="499">
        <v>45944</v>
      </c>
      <c r="B13337" s="499">
        <v>45944</v>
      </c>
      <c r="C13337" s="420" t="s">
        <v>173</v>
      </c>
      <c r="D13337" s="500" t="s">
        <v>759</v>
      </c>
      <c r="E13337" s="501">
        <v>-71007939.390000001</v>
      </c>
      <c r="F13337" s="95" t="s">
        <v>878</v>
      </c>
      <c r="G13337" s="420">
        <v>119638802</v>
      </c>
      <c r="I13337" s="529" t="s">
        <v>1013</v>
      </c>
      <c r="J13337" s="530" t="s">
        <v>906</v>
      </c>
      <c r="N13337" s="420">
        <v>133054</v>
      </c>
      <c r="R13337" s="420">
        <v>533.67759999699376</v>
      </c>
      <c r="S13337" s="420">
        <v>535.40331887804905</v>
      </c>
      <c r="T13337" s="420">
        <v>16.8611</v>
      </c>
      <c r="U13337" s="278">
        <v>745.58</v>
      </c>
      <c r="V13337" s="278">
        <v>372.79</v>
      </c>
      <c r="Z13337" s="420" t="s">
        <v>2961</v>
      </c>
    </row>
    <row r="13338" spans="1:26">
      <c r="A13338" s="499">
        <v>45944</v>
      </c>
      <c r="B13338" s="499">
        <v>45951</v>
      </c>
      <c r="C13338" s="420" t="s">
        <v>173</v>
      </c>
      <c r="D13338" s="500" t="s">
        <v>759</v>
      </c>
      <c r="E13338" s="501">
        <v>1865758978.8900001</v>
      </c>
      <c r="F13338" s="95" t="s">
        <v>878</v>
      </c>
      <c r="G13338" s="420">
        <v>119636296</v>
      </c>
      <c r="H13338" s="420">
        <v>119636296</v>
      </c>
      <c r="I13338" s="529" t="s">
        <v>678</v>
      </c>
      <c r="J13338" s="530" t="s">
        <v>912</v>
      </c>
      <c r="N13338" s="420">
        <v>1942655</v>
      </c>
      <c r="R13338" s="420">
        <v>957.29600000000005</v>
      </c>
      <c r="S13338" s="420">
        <v>960.41704723175201</v>
      </c>
      <c r="T13338" s="420">
        <v>17</v>
      </c>
      <c r="U13338" s="278">
        <v>19526.810000000001</v>
      </c>
      <c r="V13338" s="278">
        <v>9763.4</v>
      </c>
      <c r="Z13338" s="420" t="s">
        <v>2961</v>
      </c>
    </row>
    <row r="13339" spans="1:26">
      <c r="A13339" s="499">
        <v>45944</v>
      </c>
      <c r="B13339" s="499">
        <v>45951</v>
      </c>
      <c r="C13339" s="420" t="s">
        <v>173</v>
      </c>
      <c r="D13339" s="500" t="s">
        <v>759</v>
      </c>
      <c r="E13339" s="501">
        <v>6194120951.96</v>
      </c>
      <c r="F13339" s="95" t="s">
        <v>878</v>
      </c>
      <c r="G13339" s="420">
        <v>119636304</v>
      </c>
      <c r="H13339" s="420">
        <v>119636304</v>
      </c>
      <c r="I13339" s="529" t="s">
        <v>1047</v>
      </c>
      <c r="J13339" s="530" t="s">
        <v>912</v>
      </c>
      <c r="N13339" s="420">
        <v>6133974</v>
      </c>
      <c r="R13339" s="420">
        <v>1006.5240000006521</v>
      </c>
      <c r="S13339" s="420">
        <v>1009.80554400133</v>
      </c>
      <c r="T13339" s="420">
        <v>17</v>
      </c>
      <c r="U13339" s="278">
        <v>64826.92</v>
      </c>
      <c r="V13339" s="278">
        <v>32413.46</v>
      </c>
      <c r="Z13339" s="420" t="s">
        <v>2961</v>
      </c>
    </row>
    <row r="13340" spans="1:26">
      <c r="A13340" s="499">
        <v>45944</v>
      </c>
      <c r="B13340" s="499">
        <v>45945</v>
      </c>
      <c r="C13340" s="420" t="s">
        <v>173</v>
      </c>
      <c r="D13340" s="500" t="s">
        <v>759</v>
      </c>
      <c r="E13340" s="501">
        <v>2001813708.8499999</v>
      </c>
      <c r="F13340" s="95" t="s">
        <v>878</v>
      </c>
      <c r="G13340" s="420">
        <v>119636390</v>
      </c>
      <c r="H13340" s="420">
        <v>119636390</v>
      </c>
      <c r="I13340" s="529" t="s">
        <v>805</v>
      </c>
      <c r="J13340" s="530" t="s">
        <v>912</v>
      </c>
      <c r="N13340" s="420">
        <v>3676000</v>
      </c>
      <c r="R13340" s="420">
        <v>544.3125</v>
      </c>
      <c r="S13340" s="420">
        <v>544.563032875408</v>
      </c>
      <c r="T13340" s="420">
        <v>16.8</v>
      </c>
      <c r="U13340" s="278">
        <v>3001.34</v>
      </c>
      <c r="V13340" s="278">
        <v>1500.67</v>
      </c>
      <c r="Z13340" s="420" t="s">
        <v>2953</v>
      </c>
    </row>
    <row r="13341" spans="1:26">
      <c r="A13341" s="499">
        <v>45944</v>
      </c>
      <c r="B13341" s="499">
        <v>45951</v>
      </c>
      <c r="C13341" s="420" t="s">
        <v>173</v>
      </c>
      <c r="D13341" s="500" t="s">
        <v>759</v>
      </c>
      <c r="E13341" s="501">
        <v>1892360461.3399999</v>
      </c>
      <c r="F13341" s="95" t="s">
        <v>878</v>
      </c>
      <c r="G13341" s="420">
        <v>119636864</v>
      </c>
      <c r="H13341" s="420">
        <v>119636864</v>
      </c>
      <c r="I13341" s="529" t="s">
        <v>1013</v>
      </c>
      <c r="J13341" s="530" t="s">
        <v>912</v>
      </c>
      <c r="N13341" s="420">
        <v>3534364</v>
      </c>
      <c r="R13341" s="420">
        <v>533.6776000010185</v>
      </c>
      <c r="S13341" s="420">
        <v>535.41753518879204</v>
      </c>
      <c r="T13341" s="420">
        <v>17</v>
      </c>
      <c r="U13341" s="278">
        <v>19805.21</v>
      </c>
      <c r="V13341" s="278">
        <v>9902.61</v>
      </c>
      <c r="Z13341" s="420" t="s">
        <v>2961</v>
      </c>
    </row>
    <row r="13342" spans="1:26">
      <c r="A13342" s="499">
        <v>45944</v>
      </c>
      <c r="B13342" s="499">
        <v>45951</v>
      </c>
      <c r="C13342" s="420" t="s">
        <v>173</v>
      </c>
      <c r="D13342" s="500" t="s">
        <v>759</v>
      </c>
      <c r="E13342" s="501">
        <v>71237553.189999998</v>
      </c>
      <c r="F13342" s="95" t="s">
        <v>878</v>
      </c>
      <c r="G13342" s="420">
        <v>119638802</v>
      </c>
      <c r="H13342" s="420">
        <v>119638802</v>
      </c>
      <c r="I13342" s="529" t="s">
        <v>1013</v>
      </c>
      <c r="J13342" s="530" t="s">
        <v>912</v>
      </c>
      <c r="N13342" s="420">
        <v>133054</v>
      </c>
      <c r="R13342" s="420">
        <v>533.67759999699376</v>
      </c>
      <c r="S13342" s="420">
        <v>535.40331887804905</v>
      </c>
      <c r="T13342" s="420">
        <v>16.8611</v>
      </c>
      <c r="U13342" s="278">
        <v>745.58</v>
      </c>
      <c r="V13342" s="278">
        <v>372.79</v>
      </c>
      <c r="Z13342" s="420" t="s">
        <v>2961</v>
      </c>
    </row>
    <row r="13343" spans="1:26">
      <c r="A13343" s="499">
        <v>45945</v>
      </c>
      <c r="B13343" s="499">
        <v>45945</v>
      </c>
      <c r="C13343" s="420" t="s">
        <v>173</v>
      </c>
      <c r="D13343" s="500" t="s">
        <v>762</v>
      </c>
      <c r="E13343" s="501">
        <v>-583382330.82000005</v>
      </c>
      <c r="F13343" s="95" t="s">
        <v>878</v>
      </c>
      <c r="G13343" s="420">
        <v>119671428</v>
      </c>
      <c r="H13343" s="420"/>
      <c r="I13343" s="529" t="s">
        <v>692</v>
      </c>
      <c r="J13343" s="530" t="s">
        <v>906</v>
      </c>
      <c r="N13343" s="420">
        <v>788799</v>
      </c>
      <c r="R13343" s="558">
        <v>739.58299999999997</v>
      </c>
      <c r="S13343" s="558">
        <v>739.92847847170196</v>
      </c>
      <c r="T13343" s="567">
        <v>17.0501</v>
      </c>
      <c r="U13343" s="538">
        <v>875.07</v>
      </c>
      <c r="V13343" s="538">
        <v>437.54</v>
      </c>
      <c r="Z13343" s="539" t="s">
        <v>2953</v>
      </c>
    </row>
    <row r="13344" spans="1:26">
      <c r="A13344" s="499">
        <v>45945</v>
      </c>
      <c r="B13344" s="499">
        <v>45945</v>
      </c>
      <c r="C13344" s="420" t="s">
        <v>173</v>
      </c>
      <c r="D13344" s="500" t="s">
        <v>762</v>
      </c>
      <c r="E13344" s="501">
        <v>-1050045066</v>
      </c>
      <c r="F13344" s="95" t="s">
        <v>878</v>
      </c>
      <c r="G13344" s="420">
        <v>119671431</v>
      </c>
      <c r="H13344" s="420"/>
      <c r="I13344" s="529" t="s">
        <v>721</v>
      </c>
      <c r="J13344" s="530" t="s">
        <v>906</v>
      </c>
      <c r="N13344" s="420">
        <v>1858500</v>
      </c>
      <c r="R13344" s="558">
        <v>564.99599999999998</v>
      </c>
      <c r="S13344" s="558">
        <v>565.259151918214</v>
      </c>
      <c r="T13344" s="567">
        <v>17.0002</v>
      </c>
      <c r="U13344" s="538">
        <v>1575.07</v>
      </c>
      <c r="V13344" s="538">
        <v>787.53</v>
      </c>
      <c r="Z13344" s="539" t="s">
        <v>2953</v>
      </c>
    </row>
    <row r="13345" spans="1:26">
      <c r="A13345" s="499">
        <v>45945</v>
      </c>
      <c r="B13345" s="499">
        <v>45945</v>
      </c>
      <c r="C13345" s="420" t="s">
        <v>173</v>
      </c>
      <c r="D13345" s="500" t="s">
        <v>762</v>
      </c>
      <c r="E13345" s="501">
        <v>-1413381880.21</v>
      </c>
      <c r="F13345" s="95" t="s">
        <v>878</v>
      </c>
      <c r="G13345" s="420">
        <v>119671434</v>
      </c>
      <c r="H13345" s="420"/>
      <c r="I13345" s="529" t="s">
        <v>723</v>
      </c>
      <c r="J13345" s="530" t="s">
        <v>906</v>
      </c>
      <c r="N13345" s="420">
        <v>2376666</v>
      </c>
      <c r="R13345" s="558">
        <v>594.69100000000003</v>
      </c>
      <c r="S13345" s="558">
        <v>594.96798099943396</v>
      </c>
      <c r="T13345" s="567">
        <v>17.0001</v>
      </c>
      <c r="U13345" s="538">
        <v>2120.0700000000002</v>
      </c>
      <c r="V13345" s="538">
        <v>1060.04</v>
      </c>
      <c r="Z13345" s="539" t="s">
        <v>2953</v>
      </c>
    </row>
    <row r="13346" spans="1:26">
      <c r="A13346" s="499">
        <v>45945</v>
      </c>
      <c r="B13346" s="499">
        <v>45945</v>
      </c>
      <c r="C13346" s="420" t="s">
        <v>173</v>
      </c>
      <c r="D13346" s="500" t="s">
        <v>762</v>
      </c>
      <c r="E13346" s="501">
        <v>-1075290531.6500001</v>
      </c>
      <c r="F13346" s="95" t="s">
        <v>878</v>
      </c>
      <c r="G13346" s="420">
        <v>119671437</v>
      </c>
      <c r="H13346" s="420"/>
      <c r="I13346" s="529" t="s">
        <v>723</v>
      </c>
      <c r="J13346" s="530" t="s">
        <v>906</v>
      </c>
      <c r="N13346" s="420">
        <v>1808150</v>
      </c>
      <c r="R13346" s="558">
        <v>594.69100000000003</v>
      </c>
      <c r="S13346" s="558">
        <v>594.96798099715204</v>
      </c>
      <c r="T13346" s="567">
        <v>17.0001</v>
      </c>
      <c r="U13346" s="538">
        <v>1612.94</v>
      </c>
      <c r="V13346" s="538">
        <v>806.47</v>
      </c>
      <c r="Z13346" s="539" t="s">
        <v>2953</v>
      </c>
    </row>
    <row r="13347" spans="1:26">
      <c r="A13347" s="499">
        <v>45945</v>
      </c>
      <c r="B13347" s="499">
        <v>45945</v>
      </c>
      <c r="C13347" s="420" t="s">
        <v>173</v>
      </c>
      <c r="D13347" s="500" t="s">
        <v>762</v>
      </c>
      <c r="E13347" s="501">
        <v>-26007026.809999999</v>
      </c>
      <c r="F13347" s="95" t="s">
        <v>878</v>
      </c>
      <c r="G13347" s="420">
        <v>119671449</v>
      </c>
      <c r="H13347" s="420"/>
      <c r="I13347" s="529" t="s">
        <v>723</v>
      </c>
      <c r="J13347" s="530" t="s">
        <v>906</v>
      </c>
      <c r="N13347" s="420">
        <v>43732</v>
      </c>
      <c r="R13347" s="558">
        <v>594.69100000000003</v>
      </c>
      <c r="S13347" s="558">
        <v>594.967980883564</v>
      </c>
      <c r="T13347" s="567">
        <v>17.0001</v>
      </c>
      <c r="U13347" s="538">
        <v>39.32</v>
      </c>
      <c r="V13347" s="538">
        <v>19.510000000000002</v>
      </c>
      <c r="Z13347" s="539" t="s">
        <v>2953</v>
      </c>
    </row>
    <row r="13348" spans="1:26">
      <c r="A13348" s="499">
        <v>45945</v>
      </c>
      <c r="B13348" s="499">
        <v>45946</v>
      </c>
      <c r="C13348" s="420" t="s">
        <v>173</v>
      </c>
      <c r="D13348" s="500" t="s">
        <v>762</v>
      </c>
      <c r="E13348" s="501">
        <v>583654843.88999999</v>
      </c>
      <c r="F13348" s="95" t="s">
        <v>878</v>
      </c>
      <c r="G13348" s="420">
        <v>119671428</v>
      </c>
      <c r="H13348" s="420">
        <v>119671428</v>
      </c>
      <c r="I13348" s="529" t="s">
        <v>692</v>
      </c>
      <c r="J13348" s="530" t="s">
        <v>912</v>
      </c>
      <c r="N13348" s="420">
        <v>788799</v>
      </c>
      <c r="R13348" s="558">
        <v>739.58299999999997</v>
      </c>
      <c r="S13348" s="558">
        <v>739.92847847170196</v>
      </c>
      <c r="T13348" s="567">
        <v>17.0501</v>
      </c>
      <c r="U13348" s="538">
        <v>875.07</v>
      </c>
      <c r="V13348" s="538">
        <v>437.54</v>
      </c>
      <c r="Z13348" s="539" t="s">
        <v>2953</v>
      </c>
    </row>
    <row r="13349" spans="1:26">
      <c r="A13349" s="499">
        <v>45945</v>
      </c>
      <c r="B13349" s="499">
        <v>45946</v>
      </c>
      <c r="C13349" s="420" t="s">
        <v>173</v>
      </c>
      <c r="D13349" s="500" t="s">
        <v>762</v>
      </c>
      <c r="E13349" s="501">
        <v>1050534133.84</v>
      </c>
      <c r="F13349" s="95" t="s">
        <v>878</v>
      </c>
      <c r="G13349" s="420">
        <v>119671431</v>
      </c>
      <c r="H13349" s="420">
        <v>119671431</v>
      </c>
      <c r="I13349" s="529" t="s">
        <v>721</v>
      </c>
      <c r="J13349" s="530" t="s">
        <v>912</v>
      </c>
      <c r="N13349" s="420">
        <v>1858500</v>
      </c>
      <c r="R13349" s="558">
        <v>564.99599999999998</v>
      </c>
      <c r="S13349" s="558">
        <v>565.259151918214</v>
      </c>
      <c r="T13349" s="567">
        <v>17.0002</v>
      </c>
      <c r="U13349" s="538">
        <v>1575.07</v>
      </c>
      <c r="V13349" s="538">
        <v>787.53</v>
      </c>
      <c r="Z13349" s="539" t="s">
        <v>2953</v>
      </c>
    </row>
    <row r="13350" spans="1:26">
      <c r="A13350" s="499">
        <v>45945</v>
      </c>
      <c r="B13350" s="499">
        <v>45946</v>
      </c>
      <c r="C13350" s="420" t="s">
        <v>173</v>
      </c>
      <c r="D13350" s="500" t="s">
        <v>762</v>
      </c>
      <c r="E13350" s="501">
        <v>1414040171.53</v>
      </c>
      <c r="F13350" s="95" t="s">
        <v>878</v>
      </c>
      <c r="G13350" s="420">
        <v>119671434</v>
      </c>
      <c r="H13350" s="420">
        <v>119671434</v>
      </c>
      <c r="I13350" s="529" t="s">
        <v>723</v>
      </c>
      <c r="J13350" s="530" t="s">
        <v>912</v>
      </c>
      <c r="N13350" s="420">
        <v>2376666</v>
      </c>
      <c r="R13350" s="558">
        <v>594.69100000000003</v>
      </c>
      <c r="S13350" s="558">
        <v>594.96798099943396</v>
      </c>
      <c r="T13350" s="567">
        <v>17.0001</v>
      </c>
      <c r="U13350" s="538">
        <v>2120.0700000000002</v>
      </c>
      <c r="V13350" s="538">
        <v>1060.04</v>
      </c>
      <c r="Z13350" s="539" t="s">
        <v>2953</v>
      </c>
    </row>
    <row r="13351" spans="1:26">
      <c r="A13351" s="499">
        <v>45945</v>
      </c>
      <c r="B13351" s="499">
        <v>45946</v>
      </c>
      <c r="C13351" s="420" t="s">
        <v>173</v>
      </c>
      <c r="D13351" s="500" t="s">
        <v>762</v>
      </c>
      <c r="E13351" s="501">
        <v>1075791354.8399999</v>
      </c>
      <c r="F13351" s="95" t="s">
        <v>878</v>
      </c>
      <c r="G13351" s="420">
        <v>119671437</v>
      </c>
      <c r="H13351" s="420">
        <v>119671437</v>
      </c>
      <c r="I13351" s="529" t="s">
        <v>723</v>
      </c>
      <c r="J13351" s="530" t="s">
        <v>912</v>
      </c>
      <c r="N13351" s="420">
        <v>1808150</v>
      </c>
      <c r="R13351" s="558">
        <v>594.69100000000003</v>
      </c>
      <c r="S13351" s="558">
        <v>594.96798099715204</v>
      </c>
      <c r="T13351" s="567">
        <v>17.0001</v>
      </c>
      <c r="U13351" s="538">
        <v>1612.94</v>
      </c>
      <c r="V13351" s="538">
        <v>806.47</v>
      </c>
      <c r="Z13351" s="539" t="s">
        <v>2953</v>
      </c>
    </row>
    <row r="13352" spans="1:26">
      <c r="A13352" s="499">
        <v>45945</v>
      </c>
      <c r="B13352" s="499">
        <v>45946</v>
      </c>
      <c r="C13352" s="420" t="s">
        <v>173</v>
      </c>
      <c r="D13352" s="500" t="s">
        <v>762</v>
      </c>
      <c r="E13352" s="501">
        <v>26019139.739999998</v>
      </c>
      <c r="F13352" s="95" t="s">
        <v>878</v>
      </c>
      <c r="G13352" s="420">
        <v>119671449</v>
      </c>
      <c r="H13352" s="420">
        <v>119671449</v>
      </c>
      <c r="I13352" s="529" t="s">
        <v>723</v>
      </c>
      <c r="J13352" s="530" t="s">
        <v>912</v>
      </c>
      <c r="N13352" s="420">
        <v>43732</v>
      </c>
      <c r="R13352" s="558">
        <v>594.69100000000003</v>
      </c>
      <c r="S13352" s="558">
        <v>594.967980883564</v>
      </c>
      <c r="T13352" s="567">
        <v>17.0001</v>
      </c>
      <c r="U13352" s="538">
        <v>39.32</v>
      </c>
      <c r="V13352" s="538">
        <v>19.510000000000002</v>
      </c>
      <c r="Z13352" s="539" t="s">
        <v>2953</v>
      </c>
    </row>
    <row r="13353" spans="1:26">
      <c r="A13353" s="499">
        <v>45945</v>
      </c>
      <c r="B13353" s="499">
        <v>45945</v>
      </c>
      <c r="C13353" s="420" t="s">
        <v>173</v>
      </c>
      <c r="D13353" s="500" t="s">
        <v>761</v>
      </c>
      <c r="E13353" s="501">
        <v>-1384420459.75</v>
      </c>
      <c r="F13353" s="95" t="s">
        <v>878</v>
      </c>
      <c r="G13353" s="420">
        <v>119666808</v>
      </c>
      <c r="I13353" s="529" t="s">
        <v>550</v>
      </c>
      <c r="J13353" s="530" t="s">
        <v>906</v>
      </c>
      <c r="N13353" s="420">
        <v>2552096</v>
      </c>
      <c r="R13353" s="420">
        <v>542.4640999985894</v>
      </c>
      <c r="S13353" s="420">
        <v>542.71675599585603</v>
      </c>
      <c r="T13353" s="420">
        <v>17.0001</v>
      </c>
      <c r="U13353" s="278">
        <v>2076.63</v>
      </c>
      <c r="V13353" s="278">
        <v>1038.32</v>
      </c>
      <c r="Z13353" s="420" t="s">
        <v>2953</v>
      </c>
    </row>
    <row r="13354" spans="1:26">
      <c r="A13354" s="499">
        <v>45945</v>
      </c>
      <c r="B13354" s="499">
        <v>45945</v>
      </c>
      <c r="C13354" s="420" t="s">
        <v>173</v>
      </c>
      <c r="D13354" s="500" t="s">
        <v>761</v>
      </c>
      <c r="E13354" s="501">
        <v>-9002734.1999999993</v>
      </c>
      <c r="F13354" s="95" t="s">
        <v>878</v>
      </c>
      <c r="G13354" s="420">
        <v>119667068</v>
      </c>
      <c r="I13354" s="529" t="s">
        <v>550</v>
      </c>
      <c r="J13354" s="530" t="s">
        <v>906</v>
      </c>
      <c r="N13354" s="420">
        <v>16596</v>
      </c>
      <c r="R13354" s="420">
        <v>542.4640997830802</v>
      </c>
      <c r="S13354" s="420">
        <v>542.71675584478203</v>
      </c>
      <c r="T13354" s="420">
        <v>17.0001</v>
      </c>
      <c r="U13354" s="278">
        <v>39.32</v>
      </c>
      <c r="V13354" s="278">
        <v>6.75</v>
      </c>
      <c r="Z13354" s="420" t="s">
        <v>2953</v>
      </c>
    </row>
    <row r="13355" spans="1:26">
      <c r="A13355" s="499">
        <v>45945</v>
      </c>
      <c r="B13355" s="499">
        <v>45946</v>
      </c>
      <c r="C13355" s="420" t="s">
        <v>173</v>
      </c>
      <c r="D13355" s="500" t="s">
        <v>761</v>
      </c>
      <c r="E13355" s="501">
        <v>1385065262.1099999</v>
      </c>
      <c r="F13355" s="95" t="s">
        <v>878</v>
      </c>
      <c r="G13355" s="420">
        <v>119666808</v>
      </c>
      <c r="H13355" s="420">
        <v>119666808</v>
      </c>
      <c r="I13355" s="529" t="s">
        <v>550</v>
      </c>
      <c r="J13355" s="530" t="s">
        <v>912</v>
      </c>
      <c r="N13355" s="420">
        <v>2552096</v>
      </c>
      <c r="R13355" s="420">
        <v>542.4640999985894</v>
      </c>
      <c r="S13355" s="420">
        <v>542.71675599585603</v>
      </c>
      <c r="T13355" s="420">
        <v>17.0001</v>
      </c>
      <c r="U13355" s="278">
        <v>2076.63</v>
      </c>
      <c r="V13355" s="278">
        <v>1038.32</v>
      </c>
      <c r="Z13355" s="420" t="s">
        <v>2953</v>
      </c>
    </row>
    <row r="13356" spans="1:26">
      <c r="A13356" s="499">
        <v>45945</v>
      </c>
      <c r="B13356" s="499">
        <v>45946</v>
      </c>
      <c r="C13356" s="420" t="s">
        <v>173</v>
      </c>
      <c r="D13356" s="500" t="s">
        <v>761</v>
      </c>
      <c r="E13356" s="501">
        <v>9006927.2799999993</v>
      </c>
      <c r="F13356" s="95" t="s">
        <v>878</v>
      </c>
      <c r="G13356" s="420">
        <v>119667068</v>
      </c>
      <c r="H13356" s="420">
        <v>119667068</v>
      </c>
      <c r="I13356" s="529" t="s">
        <v>550</v>
      </c>
      <c r="J13356" s="530" t="s">
        <v>912</v>
      </c>
      <c r="N13356" s="420">
        <v>16596</v>
      </c>
      <c r="R13356" s="420">
        <v>542.4640997830802</v>
      </c>
      <c r="S13356" s="420">
        <v>542.71675584478203</v>
      </c>
      <c r="T13356" s="420">
        <v>17.0001</v>
      </c>
      <c r="U13356" s="278">
        <v>39.32</v>
      </c>
      <c r="V13356" s="278">
        <v>6.75</v>
      </c>
      <c r="Z13356" s="420" t="s">
        <v>2953</v>
      </c>
    </row>
    <row r="13357" spans="1:26">
      <c r="A13357" s="499">
        <v>45945</v>
      </c>
      <c r="B13357" s="499">
        <v>45945</v>
      </c>
      <c r="C13357" s="420" t="s">
        <v>173</v>
      </c>
      <c r="D13357" s="500" t="s">
        <v>759</v>
      </c>
      <c r="E13357" s="501">
        <v>-1988690408.54</v>
      </c>
      <c r="F13357" s="95" t="s">
        <v>878</v>
      </c>
      <c r="G13357" s="420">
        <v>119669852</v>
      </c>
      <c r="J13357" s="530" t="s">
        <v>906</v>
      </c>
      <c r="N13357" s="420">
        <v>3705632</v>
      </c>
      <c r="R13357" s="420"/>
      <c r="S13357" s="420"/>
      <c r="T13357" s="420"/>
      <c r="U13357" s="278"/>
      <c r="V13357" s="278"/>
      <c r="Z13357" s="420"/>
    </row>
    <row r="13358" spans="1:26">
      <c r="A13358" s="499">
        <v>45945</v>
      </c>
      <c r="B13358" s="499">
        <v>45945</v>
      </c>
      <c r="C13358" s="420" t="s">
        <v>173</v>
      </c>
      <c r="D13358" s="500" t="s">
        <v>759</v>
      </c>
      <c r="E13358" s="501">
        <v>-13005951.640000001</v>
      </c>
      <c r="F13358" s="95" t="s">
        <v>878</v>
      </c>
      <c r="G13358" s="420">
        <v>119670203</v>
      </c>
      <c r="J13358" s="530" t="s">
        <v>906</v>
      </c>
      <c r="N13358" s="420">
        <v>23257</v>
      </c>
      <c r="R13358" s="420"/>
      <c r="S13358" s="420"/>
      <c r="T13358" s="420"/>
      <c r="U13358" s="278"/>
      <c r="V13358" s="278"/>
      <c r="Z13358" s="420"/>
    </row>
    <row r="13359" spans="1:26">
      <c r="A13359" s="499">
        <v>45945</v>
      </c>
      <c r="B13359" s="499">
        <v>45946</v>
      </c>
      <c r="C13359" s="420" t="s">
        <v>173</v>
      </c>
      <c r="D13359" s="500" t="s">
        <v>759</v>
      </c>
      <c r="E13359" s="501">
        <v>1989618827.3</v>
      </c>
      <c r="F13359" s="95" t="s">
        <v>878</v>
      </c>
      <c r="G13359" s="420">
        <v>119669852</v>
      </c>
      <c r="H13359" s="420">
        <v>119669852</v>
      </c>
      <c r="J13359" s="530" t="s">
        <v>912</v>
      </c>
      <c r="N13359" s="420">
        <v>3705632</v>
      </c>
      <c r="R13359" s="420"/>
      <c r="S13359" s="420"/>
      <c r="T13359" s="420"/>
      <c r="U13359" s="278"/>
      <c r="V13359" s="278"/>
      <c r="Z13359" s="420"/>
    </row>
    <row r="13360" spans="1:26">
      <c r="A13360" s="499">
        <v>45945</v>
      </c>
      <c r="B13360" s="499">
        <v>45946</v>
      </c>
      <c r="C13360" s="420" t="s">
        <v>173</v>
      </c>
      <c r="D13360" s="500" t="s">
        <v>759</v>
      </c>
      <c r="E13360" s="501">
        <v>13012027.02</v>
      </c>
      <c r="F13360" s="95" t="s">
        <v>878</v>
      </c>
      <c r="G13360" s="420">
        <v>119670203</v>
      </c>
      <c r="H13360" s="420">
        <v>119670203</v>
      </c>
      <c r="J13360" s="530" t="s">
        <v>912</v>
      </c>
      <c r="N13360" s="420">
        <v>23257</v>
      </c>
      <c r="R13360" s="420"/>
      <c r="S13360" s="420"/>
      <c r="T13360" s="420"/>
      <c r="U13360" s="278"/>
      <c r="V13360" s="278"/>
      <c r="Z13360" s="420"/>
    </row>
    <row r="13361" spans="1:26">
      <c r="A13361" s="499">
        <v>45945</v>
      </c>
      <c r="B13361" s="499">
        <v>45945</v>
      </c>
      <c r="C13361" s="420" t="s">
        <v>173</v>
      </c>
      <c r="D13361" s="500" t="s">
        <v>760</v>
      </c>
      <c r="E13361" s="501">
        <v>-1000375.09</v>
      </c>
      <c r="F13361" s="95" t="s">
        <v>878</v>
      </c>
      <c r="G13361" s="420">
        <v>119666811</v>
      </c>
      <c r="I13361" s="529" t="s">
        <v>592</v>
      </c>
      <c r="J13361" s="530" t="s">
        <v>906</v>
      </c>
      <c r="N13361" s="420">
        <v>1298</v>
      </c>
      <c r="R13361" s="420">
        <v>770.70500000000004</v>
      </c>
      <c r="S13361" s="420">
        <v>771.06607087827399</v>
      </c>
      <c r="T13361" s="420">
        <v>17.099900000000002</v>
      </c>
      <c r="U13361" s="420">
        <v>39.32</v>
      </c>
      <c r="V13361" s="420">
        <v>0.75</v>
      </c>
      <c r="Z13361" s="420" t="s">
        <v>2953</v>
      </c>
    </row>
    <row r="13362" spans="1:26">
      <c r="A13362" s="499">
        <v>45945</v>
      </c>
      <c r="B13362" s="499">
        <v>45945</v>
      </c>
      <c r="C13362" s="420" t="s">
        <v>173</v>
      </c>
      <c r="D13362" s="500" t="s">
        <v>760</v>
      </c>
      <c r="E13362" s="501">
        <v>-1000373.25</v>
      </c>
      <c r="F13362" s="95" t="s">
        <v>878</v>
      </c>
      <c r="G13362" s="420">
        <v>119666814</v>
      </c>
      <c r="I13362" s="529" t="s">
        <v>598</v>
      </c>
      <c r="J13362" s="530" t="s">
        <v>906</v>
      </c>
      <c r="N13362" s="420">
        <v>938</v>
      </c>
      <c r="R13362" s="420">
        <v>1066.4960000000001</v>
      </c>
      <c r="S13362" s="420">
        <v>1066.99565031983</v>
      </c>
      <c r="T13362" s="420">
        <v>17.099900000000002</v>
      </c>
      <c r="U13362" s="420">
        <v>39.32</v>
      </c>
      <c r="V13362" s="420">
        <v>0.75</v>
      </c>
      <c r="Z13362" s="420" t="s">
        <v>2953</v>
      </c>
    </row>
    <row r="13363" spans="1:26">
      <c r="A13363" s="499">
        <v>45945</v>
      </c>
      <c r="B13363" s="499">
        <v>45945</v>
      </c>
      <c r="C13363" s="420" t="s">
        <v>173</v>
      </c>
      <c r="D13363" s="500" t="s">
        <v>760</v>
      </c>
      <c r="E13363" s="501">
        <v>-4000251.98</v>
      </c>
      <c r="F13363" s="95" t="s">
        <v>878</v>
      </c>
      <c r="G13363" s="420">
        <v>119666817</v>
      </c>
      <c r="I13363" s="529" t="s">
        <v>604</v>
      </c>
      <c r="J13363" s="530" t="s">
        <v>906</v>
      </c>
      <c r="N13363" s="420">
        <v>3824</v>
      </c>
      <c r="R13363" s="420">
        <v>1046.0909999999999</v>
      </c>
      <c r="S13363" s="420">
        <v>1046.58108263598</v>
      </c>
      <c r="T13363" s="420">
        <v>17.099900000000002</v>
      </c>
      <c r="U13363" s="420">
        <v>39.32</v>
      </c>
      <c r="V13363" s="420">
        <v>3</v>
      </c>
      <c r="Z13363" s="420" t="s">
        <v>2953</v>
      </c>
    </row>
    <row r="13364" spans="1:26">
      <c r="A13364" s="499">
        <v>45945</v>
      </c>
      <c r="B13364" s="499">
        <v>45945</v>
      </c>
      <c r="C13364" s="420" t="s">
        <v>173</v>
      </c>
      <c r="D13364" s="500" t="s">
        <v>760</v>
      </c>
      <c r="E13364" s="501">
        <v>-5000571.6500000004</v>
      </c>
      <c r="F13364" s="95" t="s">
        <v>878</v>
      </c>
      <c r="G13364" s="420">
        <v>119666820</v>
      </c>
      <c r="I13364" s="529" t="s">
        <v>600</v>
      </c>
      <c r="J13364" s="530" t="s">
        <v>906</v>
      </c>
      <c r="N13364" s="420">
        <v>5365</v>
      </c>
      <c r="R13364" s="420">
        <v>932.07299999999998</v>
      </c>
      <c r="S13364" s="420">
        <v>932.50966821994405</v>
      </c>
      <c r="T13364" s="420">
        <v>17.099900000000002</v>
      </c>
      <c r="U13364" s="420">
        <v>39.32</v>
      </c>
      <c r="V13364" s="420">
        <v>3.75</v>
      </c>
      <c r="Z13364" s="420" t="s">
        <v>2953</v>
      </c>
    </row>
    <row r="13365" spans="1:26">
      <c r="A13365" s="499">
        <v>45945</v>
      </c>
      <c r="B13365" s="499">
        <v>45945</v>
      </c>
      <c r="C13365" s="420" t="s">
        <v>173</v>
      </c>
      <c r="D13365" s="500" t="s">
        <v>760</v>
      </c>
      <c r="E13365" s="501">
        <v>-6000089.9000000004</v>
      </c>
      <c r="F13365" s="95" t="s">
        <v>878</v>
      </c>
      <c r="G13365" s="420">
        <v>119666823</v>
      </c>
      <c r="I13365" s="529" t="s">
        <v>696</v>
      </c>
      <c r="J13365" s="530" t="s">
        <v>906</v>
      </c>
      <c r="N13365" s="420">
        <v>7992</v>
      </c>
      <c r="R13365" s="420">
        <v>750.76199999999994</v>
      </c>
      <c r="S13365" s="420">
        <v>751.11372372372398</v>
      </c>
      <c r="T13365" s="420">
        <v>17.099900000000002</v>
      </c>
      <c r="U13365" s="420">
        <v>39.32</v>
      </c>
      <c r="V13365" s="420">
        <v>4.5</v>
      </c>
      <c r="Z13365" s="420" t="s">
        <v>2953</v>
      </c>
    </row>
    <row r="13366" spans="1:26">
      <c r="A13366" s="499">
        <v>45945</v>
      </c>
      <c r="B13366" s="499">
        <v>45945</v>
      </c>
      <c r="C13366" s="420" t="s">
        <v>173</v>
      </c>
      <c r="D13366" s="500" t="s">
        <v>760</v>
      </c>
      <c r="E13366" s="501">
        <v>-7006084.54</v>
      </c>
      <c r="F13366" s="95" t="s">
        <v>878</v>
      </c>
      <c r="G13366" s="420">
        <v>119666826</v>
      </c>
      <c r="I13366" s="529" t="s">
        <v>674</v>
      </c>
      <c r="J13366" s="530" t="s">
        <v>906</v>
      </c>
      <c r="N13366" s="420">
        <v>7735</v>
      </c>
      <c r="R13366" s="420">
        <v>905.76400000000001</v>
      </c>
      <c r="S13366" s="420">
        <v>906.18834130575306</v>
      </c>
      <c r="T13366" s="420">
        <v>17.099900000000002</v>
      </c>
      <c r="U13366" s="420">
        <v>39.32</v>
      </c>
      <c r="V13366" s="420">
        <v>5.25</v>
      </c>
      <c r="Z13366" s="420" t="s">
        <v>2953</v>
      </c>
    </row>
    <row r="13367" spans="1:26">
      <c r="A13367" s="499">
        <v>45945</v>
      </c>
      <c r="B13367" s="499">
        <v>45945</v>
      </c>
      <c r="C13367" s="420" t="s">
        <v>173</v>
      </c>
      <c r="D13367" s="500" t="s">
        <v>760</v>
      </c>
      <c r="E13367" s="501">
        <v>-8004983.2599999998</v>
      </c>
      <c r="F13367" s="95" t="s">
        <v>878</v>
      </c>
      <c r="G13367" s="420">
        <v>119666829</v>
      </c>
      <c r="I13367" s="529" t="s">
        <v>819</v>
      </c>
      <c r="J13367" s="530" t="s">
        <v>906</v>
      </c>
      <c r="N13367" s="420">
        <v>7464</v>
      </c>
      <c r="R13367" s="420">
        <v>1072.479</v>
      </c>
      <c r="S13367" s="420">
        <v>1072.9814469453399</v>
      </c>
      <c r="T13367" s="420">
        <v>17.099900000000002</v>
      </c>
      <c r="U13367" s="420">
        <v>39.32</v>
      </c>
      <c r="V13367" s="420">
        <v>6</v>
      </c>
      <c r="Z13367" s="420" t="s">
        <v>2953</v>
      </c>
    </row>
    <row r="13368" spans="1:26">
      <c r="A13368" s="499">
        <v>45945</v>
      </c>
      <c r="B13368" s="499">
        <v>45945</v>
      </c>
      <c r="C13368" s="420" t="s">
        <v>173</v>
      </c>
      <c r="D13368" s="500" t="s">
        <v>760</v>
      </c>
      <c r="E13368" s="501">
        <v>-11006536.09</v>
      </c>
      <c r="F13368" s="95" t="s">
        <v>878</v>
      </c>
      <c r="G13368" s="420">
        <v>119666832</v>
      </c>
      <c r="I13368" s="529" t="s">
        <v>816</v>
      </c>
      <c r="J13368" s="530" t="s">
        <v>906</v>
      </c>
      <c r="N13368" s="420">
        <v>10307</v>
      </c>
      <c r="R13368" s="420">
        <v>1067.8699999999999</v>
      </c>
      <c r="S13368" s="420">
        <v>1068.3702871834701</v>
      </c>
      <c r="T13368" s="420">
        <v>17.099900000000002</v>
      </c>
      <c r="U13368" s="420">
        <v>39.32</v>
      </c>
      <c r="V13368" s="420">
        <v>8.25</v>
      </c>
      <c r="Z13368" s="420" t="s">
        <v>2953</v>
      </c>
    </row>
    <row r="13369" spans="1:26">
      <c r="A13369" s="499">
        <v>45945</v>
      </c>
      <c r="B13369" s="499">
        <v>45945</v>
      </c>
      <c r="C13369" s="420" t="s">
        <v>173</v>
      </c>
      <c r="D13369" s="500" t="s">
        <v>760</v>
      </c>
      <c r="E13369" s="501">
        <v>-12004399.439999999</v>
      </c>
      <c r="F13369" s="95" t="s">
        <v>878</v>
      </c>
      <c r="G13369" s="420">
        <v>119666835</v>
      </c>
      <c r="I13369" s="529" t="s">
        <v>695</v>
      </c>
      <c r="J13369" s="530" t="s">
        <v>906</v>
      </c>
      <c r="N13369" s="420">
        <v>16752</v>
      </c>
      <c r="R13369" s="420">
        <v>716.59500000000003</v>
      </c>
      <c r="S13369" s="420">
        <v>716.93071812320898</v>
      </c>
      <c r="T13369" s="420">
        <v>17.099900000000002</v>
      </c>
      <c r="U13369" s="420">
        <v>39.32</v>
      </c>
      <c r="V13369" s="420">
        <v>9</v>
      </c>
      <c r="Z13369" s="420" t="s">
        <v>2953</v>
      </c>
    </row>
    <row r="13370" spans="1:26">
      <c r="A13370" s="499">
        <v>45945</v>
      </c>
      <c r="B13370" s="499">
        <v>45945</v>
      </c>
      <c r="C13370" s="420" t="s">
        <v>173</v>
      </c>
      <c r="D13370" s="500" t="s">
        <v>760</v>
      </c>
      <c r="E13370" s="501">
        <v>-15008912.85</v>
      </c>
      <c r="F13370" s="95" t="s">
        <v>878</v>
      </c>
      <c r="G13370" s="420">
        <v>119666838</v>
      </c>
      <c r="I13370" s="529" t="s">
        <v>816</v>
      </c>
      <c r="J13370" s="530" t="s">
        <v>906</v>
      </c>
      <c r="N13370" s="420">
        <v>14055</v>
      </c>
      <c r="R13370" s="420">
        <v>1067.8699999999999</v>
      </c>
      <c r="S13370" s="420">
        <v>1068.3702867306999</v>
      </c>
      <c r="T13370" s="420">
        <v>17.099900000000002</v>
      </c>
      <c r="U13370" s="420">
        <v>39.32</v>
      </c>
      <c r="V13370" s="420">
        <v>11.26</v>
      </c>
      <c r="Z13370" s="420" t="s">
        <v>2953</v>
      </c>
    </row>
    <row r="13371" spans="1:26">
      <c r="A13371" s="499">
        <v>45945</v>
      </c>
      <c r="B13371" s="499">
        <v>45945</v>
      </c>
      <c r="C13371" s="420" t="s">
        <v>173</v>
      </c>
      <c r="D13371" s="500" t="s">
        <v>760</v>
      </c>
      <c r="E13371" s="501">
        <v>-16003565.42</v>
      </c>
      <c r="F13371" s="95" t="s">
        <v>878</v>
      </c>
      <c r="G13371" s="420">
        <v>119666841</v>
      </c>
      <c r="I13371" s="529" t="s">
        <v>676</v>
      </c>
      <c r="J13371" s="530" t="s">
        <v>906</v>
      </c>
      <c r="N13371" s="420">
        <v>18832</v>
      </c>
      <c r="R13371" s="420">
        <v>849.80700000000002</v>
      </c>
      <c r="S13371" s="420">
        <v>850.20512638062905</v>
      </c>
      <c r="T13371" s="420">
        <v>17.099900000000002</v>
      </c>
      <c r="U13371" s="420">
        <v>39.32</v>
      </c>
      <c r="V13371" s="420">
        <v>12</v>
      </c>
      <c r="Z13371" s="420" t="s">
        <v>2953</v>
      </c>
    </row>
    <row r="13372" spans="1:26">
      <c r="A13372" s="499">
        <v>45945</v>
      </c>
      <c r="B13372" s="499">
        <v>45945</v>
      </c>
      <c r="C13372" s="420" t="s">
        <v>173</v>
      </c>
      <c r="D13372" s="500" t="s">
        <v>760</v>
      </c>
      <c r="E13372" s="501">
        <v>-17000355.300000001</v>
      </c>
      <c r="F13372" s="95" t="s">
        <v>878</v>
      </c>
      <c r="G13372" s="420">
        <v>119666844</v>
      </c>
      <c r="I13372" s="529" t="s">
        <v>689</v>
      </c>
      <c r="J13372" s="530" t="s">
        <v>906</v>
      </c>
      <c r="N13372" s="420">
        <v>21930</v>
      </c>
      <c r="R13372" s="420">
        <v>775.21</v>
      </c>
      <c r="S13372" s="420">
        <v>775.57317829457395</v>
      </c>
      <c r="T13372" s="420">
        <v>17.099900000000002</v>
      </c>
      <c r="U13372" s="420">
        <v>39.32</v>
      </c>
      <c r="V13372" s="420">
        <v>12.75</v>
      </c>
      <c r="Z13372" s="420" t="s">
        <v>2953</v>
      </c>
    </row>
    <row r="13373" spans="1:26">
      <c r="A13373" s="499">
        <v>45945</v>
      </c>
      <c r="B13373" s="499">
        <v>45945</v>
      </c>
      <c r="C13373" s="420" t="s">
        <v>173</v>
      </c>
      <c r="D13373" s="500" t="s">
        <v>760</v>
      </c>
      <c r="E13373" s="501">
        <v>-17008696.809999999</v>
      </c>
      <c r="F13373" s="95" t="s">
        <v>878</v>
      </c>
      <c r="G13373" s="420">
        <v>119666847</v>
      </c>
      <c r="I13373" s="529" t="s">
        <v>602</v>
      </c>
      <c r="J13373" s="530" t="s">
        <v>906</v>
      </c>
      <c r="N13373" s="420">
        <v>21029</v>
      </c>
      <c r="R13373" s="420">
        <v>808.82100000000003</v>
      </c>
      <c r="S13373" s="420">
        <v>809.19992486566196</v>
      </c>
      <c r="T13373" s="420">
        <v>17.099900000000002</v>
      </c>
      <c r="U13373" s="420">
        <v>39.32</v>
      </c>
      <c r="V13373" s="420">
        <v>12.76</v>
      </c>
      <c r="Z13373" s="420" t="s">
        <v>2953</v>
      </c>
    </row>
    <row r="13374" spans="1:26">
      <c r="A13374" s="499">
        <v>45945</v>
      </c>
      <c r="B13374" s="499">
        <v>45945</v>
      </c>
      <c r="C13374" s="420" t="s">
        <v>173</v>
      </c>
      <c r="D13374" s="500" t="s">
        <v>760</v>
      </c>
      <c r="E13374" s="501">
        <v>-19016083.960000001</v>
      </c>
      <c r="F13374" s="95" t="s">
        <v>878</v>
      </c>
      <c r="G13374" s="420">
        <v>119666850</v>
      </c>
      <c r="I13374" s="529" t="s">
        <v>588</v>
      </c>
      <c r="J13374" s="530" t="s">
        <v>906</v>
      </c>
      <c r="N13374" s="420">
        <v>21603</v>
      </c>
      <c r="R13374" s="420">
        <v>880.25199999999995</v>
      </c>
      <c r="S13374" s="420">
        <v>880.66438966810199</v>
      </c>
      <c r="T13374" s="420">
        <v>17.099900000000002</v>
      </c>
      <c r="U13374" s="420">
        <v>39.32</v>
      </c>
      <c r="V13374" s="420">
        <v>14.26</v>
      </c>
      <c r="Z13374" s="420" t="s">
        <v>2953</v>
      </c>
    </row>
    <row r="13375" spans="1:26">
      <c r="A13375" s="499">
        <v>45945</v>
      </c>
      <c r="B13375" s="499">
        <v>45945</v>
      </c>
      <c r="C13375" s="420" t="s">
        <v>173</v>
      </c>
      <c r="D13375" s="500" t="s">
        <v>760</v>
      </c>
      <c r="E13375" s="501">
        <v>-20019077.120000001</v>
      </c>
      <c r="F13375" s="95" t="s">
        <v>878</v>
      </c>
      <c r="G13375" s="420">
        <v>119666853</v>
      </c>
      <c r="I13375" s="529" t="s">
        <v>657</v>
      </c>
      <c r="J13375" s="530" t="s">
        <v>906</v>
      </c>
      <c r="N13375" s="420">
        <v>20480</v>
      </c>
      <c r="R13375" s="420">
        <v>977.49400000000003</v>
      </c>
      <c r="S13375" s="420">
        <v>977.95194677734401</v>
      </c>
      <c r="T13375" s="420">
        <v>17.099900000000002</v>
      </c>
      <c r="U13375" s="420">
        <v>39.32</v>
      </c>
      <c r="V13375" s="420">
        <v>15.01</v>
      </c>
      <c r="Z13375" s="420" t="s">
        <v>2953</v>
      </c>
    </row>
    <row r="13376" spans="1:26">
      <c r="A13376" s="499">
        <v>45945</v>
      </c>
      <c r="B13376" s="499">
        <v>45945</v>
      </c>
      <c r="C13376" s="420" t="s">
        <v>173</v>
      </c>
      <c r="D13376" s="500" t="s">
        <v>760</v>
      </c>
      <c r="E13376" s="501">
        <v>-21000867.550000001</v>
      </c>
      <c r="F13376" s="95" t="s">
        <v>878</v>
      </c>
      <c r="G13376" s="420">
        <v>119666856</v>
      </c>
      <c r="I13376" s="529" t="s">
        <v>717</v>
      </c>
      <c r="J13376" s="530" t="s">
        <v>906</v>
      </c>
      <c r="N13376" s="420">
        <v>35616</v>
      </c>
      <c r="R13376" s="420">
        <v>589.64700000000005</v>
      </c>
      <c r="S13376" s="420">
        <v>589.92324404761905</v>
      </c>
      <c r="T13376" s="420">
        <v>17.099900000000002</v>
      </c>
      <c r="U13376" s="420">
        <v>39.32</v>
      </c>
      <c r="V13376" s="420">
        <v>15.75</v>
      </c>
      <c r="Z13376" s="420" t="s">
        <v>2953</v>
      </c>
    </row>
    <row r="13377" spans="1:26">
      <c r="A13377" s="499">
        <v>45945</v>
      </c>
      <c r="B13377" s="499">
        <v>45945</v>
      </c>
      <c r="C13377" s="420" t="s">
        <v>173</v>
      </c>
      <c r="D13377" s="500" t="s">
        <v>760</v>
      </c>
      <c r="E13377" s="501">
        <v>-22001131.149999999</v>
      </c>
      <c r="F13377" s="95" t="s">
        <v>878</v>
      </c>
      <c r="G13377" s="420">
        <v>119666859</v>
      </c>
      <c r="I13377" s="529" t="s">
        <v>715</v>
      </c>
      <c r="J13377" s="530" t="s">
        <v>906</v>
      </c>
      <c r="N13377" s="420">
        <v>36344</v>
      </c>
      <c r="R13377" s="420">
        <v>605.35799999999995</v>
      </c>
      <c r="S13377" s="420">
        <v>605.64160439137095</v>
      </c>
      <c r="T13377" s="420">
        <v>17.099900000000002</v>
      </c>
      <c r="U13377" s="420">
        <v>39.32</v>
      </c>
      <c r="V13377" s="420">
        <v>16.5</v>
      </c>
      <c r="Z13377" s="420" t="s">
        <v>2953</v>
      </c>
    </row>
    <row r="13378" spans="1:26">
      <c r="A13378" s="499">
        <v>45945</v>
      </c>
      <c r="B13378" s="499">
        <v>45945</v>
      </c>
      <c r="C13378" s="420" t="s">
        <v>173</v>
      </c>
      <c r="D13378" s="500" t="s">
        <v>760</v>
      </c>
      <c r="E13378" s="501">
        <v>-23008432.260000002</v>
      </c>
      <c r="F13378" s="95" t="s">
        <v>878</v>
      </c>
      <c r="G13378" s="420">
        <v>119666862</v>
      </c>
      <c r="I13378" s="529" t="s">
        <v>695</v>
      </c>
      <c r="J13378" s="530" t="s">
        <v>906</v>
      </c>
      <c r="N13378" s="420">
        <v>32108</v>
      </c>
      <c r="R13378" s="420">
        <v>716.59500000000003</v>
      </c>
      <c r="S13378" s="420">
        <v>716.93071788962197</v>
      </c>
      <c r="T13378" s="420">
        <v>17.099900000000002</v>
      </c>
      <c r="U13378" s="420">
        <v>39.32</v>
      </c>
      <c r="V13378" s="420">
        <v>17.260000000000002</v>
      </c>
      <c r="Z13378" s="420" t="s">
        <v>2953</v>
      </c>
    </row>
    <row r="13379" spans="1:26">
      <c r="A13379" s="499">
        <v>45945</v>
      </c>
      <c r="B13379" s="499">
        <v>45945</v>
      </c>
      <c r="C13379" s="420" t="s">
        <v>173</v>
      </c>
      <c r="D13379" s="500" t="s">
        <v>760</v>
      </c>
      <c r="E13379" s="501">
        <v>-24011581.25</v>
      </c>
      <c r="F13379" s="95" t="s">
        <v>878</v>
      </c>
      <c r="G13379" s="420">
        <v>119666865</v>
      </c>
      <c r="I13379" s="529" t="s">
        <v>590</v>
      </c>
      <c r="J13379" s="530" t="s">
        <v>906</v>
      </c>
      <c r="N13379" s="420">
        <v>25008</v>
      </c>
      <c r="R13379" s="420">
        <v>960.15599999999995</v>
      </c>
      <c r="S13379" s="420">
        <v>960.60582413627606</v>
      </c>
      <c r="T13379" s="420">
        <v>17.099900000000002</v>
      </c>
      <c r="U13379" s="420">
        <v>39.32</v>
      </c>
      <c r="V13379" s="420">
        <v>18.010000000000002</v>
      </c>
      <c r="Z13379" s="420" t="s">
        <v>2953</v>
      </c>
    </row>
    <row r="13380" spans="1:26">
      <c r="A13380" s="499">
        <v>45945</v>
      </c>
      <c r="B13380" s="499">
        <v>45945</v>
      </c>
      <c r="C13380" s="420" t="s">
        <v>173</v>
      </c>
      <c r="D13380" s="500" t="s">
        <v>760</v>
      </c>
      <c r="E13380" s="501">
        <v>-25006674</v>
      </c>
      <c r="F13380" s="95" t="s">
        <v>878</v>
      </c>
      <c r="G13380" s="420">
        <v>119666868</v>
      </c>
      <c r="I13380" s="529" t="s">
        <v>821</v>
      </c>
      <c r="J13380" s="530" t="s">
        <v>906</v>
      </c>
      <c r="N13380" s="420">
        <v>23950</v>
      </c>
      <c r="R13380" s="420">
        <v>1044.1199999999999</v>
      </c>
      <c r="S13380" s="420">
        <v>1044.6091603340301</v>
      </c>
      <c r="T13380" s="420">
        <v>17.099900000000002</v>
      </c>
      <c r="U13380" s="420">
        <v>39.32</v>
      </c>
      <c r="V13380" s="420">
        <v>18.760000000000002</v>
      </c>
      <c r="Z13380" s="420" t="s">
        <v>2953</v>
      </c>
    </row>
    <row r="13381" spans="1:26">
      <c r="A13381" s="499">
        <v>45945</v>
      </c>
      <c r="B13381" s="499">
        <v>45945</v>
      </c>
      <c r="C13381" s="420" t="s">
        <v>173</v>
      </c>
      <c r="D13381" s="500" t="s">
        <v>760</v>
      </c>
      <c r="E13381" s="501">
        <v>-28010450.940000001</v>
      </c>
      <c r="F13381" s="95" t="s">
        <v>878</v>
      </c>
      <c r="G13381" s="420">
        <v>119666871</v>
      </c>
      <c r="I13381" s="529" t="s">
        <v>598</v>
      </c>
      <c r="J13381" s="530" t="s">
        <v>906</v>
      </c>
      <c r="N13381" s="420">
        <v>26264</v>
      </c>
      <c r="R13381" s="420">
        <v>1066.4960000000001</v>
      </c>
      <c r="S13381" s="420">
        <v>1066.99564308559</v>
      </c>
      <c r="T13381" s="420">
        <v>17.099900000000002</v>
      </c>
      <c r="U13381" s="420">
        <v>42.02</v>
      </c>
      <c r="V13381" s="420">
        <v>21.01</v>
      </c>
      <c r="Z13381" s="420" t="s">
        <v>2953</v>
      </c>
    </row>
    <row r="13382" spans="1:26">
      <c r="A13382" s="499">
        <v>45945</v>
      </c>
      <c r="B13382" s="499">
        <v>45945</v>
      </c>
      <c r="C13382" s="420" t="s">
        <v>173</v>
      </c>
      <c r="D13382" s="500" t="s">
        <v>760</v>
      </c>
      <c r="E13382" s="501">
        <v>-28006918.039999999</v>
      </c>
      <c r="F13382" s="95" t="s">
        <v>878</v>
      </c>
      <c r="G13382" s="420">
        <v>119666874</v>
      </c>
      <c r="I13382" s="529" t="s">
        <v>706</v>
      </c>
      <c r="J13382" s="530" t="s">
        <v>906</v>
      </c>
      <c r="N13382" s="420">
        <v>35868</v>
      </c>
      <c r="R13382" s="420">
        <v>780.83299999999997</v>
      </c>
      <c r="S13382" s="420">
        <v>781.19881259061003</v>
      </c>
      <c r="T13382" s="420">
        <v>17.099900000000002</v>
      </c>
      <c r="U13382" s="420">
        <v>42.01</v>
      </c>
      <c r="V13382" s="420">
        <v>21.01</v>
      </c>
      <c r="Z13382" s="420" t="s">
        <v>2953</v>
      </c>
    </row>
    <row r="13383" spans="1:26">
      <c r="A13383" s="499">
        <v>45945</v>
      </c>
      <c r="B13383" s="499">
        <v>45945</v>
      </c>
      <c r="C13383" s="420" t="s">
        <v>173</v>
      </c>
      <c r="D13383" s="500" t="s">
        <v>760</v>
      </c>
      <c r="E13383" s="501">
        <v>-30026076.600000001</v>
      </c>
      <c r="F13383" s="95" t="s">
        <v>878</v>
      </c>
      <c r="G13383" s="420">
        <v>119666877</v>
      </c>
      <c r="I13383" s="529" t="s">
        <v>674</v>
      </c>
      <c r="J13383" s="530" t="s">
        <v>906</v>
      </c>
      <c r="N13383" s="420">
        <v>33150</v>
      </c>
      <c r="R13383" s="420">
        <v>905.76400000000001</v>
      </c>
      <c r="S13383" s="420">
        <v>906.18834177978897</v>
      </c>
      <c r="T13383" s="420">
        <v>17.099900000000002</v>
      </c>
      <c r="U13383" s="420">
        <v>45.04</v>
      </c>
      <c r="V13383" s="420">
        <v>22.52</v>
      </c>
      <c r="Z13383" s="420" t="s">
        <v>2953</v>
      </c>
    </row>
    <row r="13384" spans="1:26">
      <c r="A13384" s="499">
        <v>45945</v>
      </c>
      <c r="B13384" s="499">
        <v>45945</v>
      </c>
      <c r="C13384" s="420" t="s">
        <v>173</v>
      </c>
      <c r="D13384" s="500" t="s">
        <v>760</v>
      </c>
      <c r="E13384" s="501">
        <v>-36015625.299999997</v>
      </c>
      <c r="F13384" s="95" t="s">
        <v>878</v>
      </c>
      <c r="G13384" s="420">
        <v>119666880</v>
      </c>
      <c r="I13384" s="529" t="s">
        <v>694</v>
      </c>
      <c r="J13384" s="530" t="s">
        <v>906</v>
      </c>
      <c r="N13384" s="420">
        <v>34776</v>
      </c>
      <c r="R13384" s="420">
        <v>1035.646</v>
      </c>
      <c r="S13384" s="420">
        <v>1036.1311904761901</v>
      </c>
      <c r="T13384" s="420">
        <v>17.099900000000002</v>
      </c>
      <c r="U13384" s="420">
        <v>54.02</v>
      </c>
      <c r="V13384" s="420">
        <v>27.01</v>
      </c>
      <c r="Z13384" s="420" t="s">
        <v>2953</v>
      </c>
    </row>
    <row r="13385" spans="1:26">
      <c r="A13385" s="499">
        <v>45945</v>
      </c>
      <c r="B13385" s="499">
        <v>45945</v>
      </c>
      <c r="C13385" s="420" t="s">
        <v>173</v>
      </c>
      <c r="D13385" s="500" t="s">
        <v>760</v>
      </c>
      <c r="E13385" s="501">
        <v>-37026749.82</v>
      </c>
      <c r="F13385" s="95" t="s">
        <v>878</v>
      </c>
      <c r="G13385" s="420">
        <v>119666883</v>
      </c>
      <c r="I13385" s="529" t="s">
        <v>823</v>
      </c>
      <c r="J13385" s="530" t="s">
        <v>906</v>
      </c>
      <c r="N13385" s="420">
        <v>35446</v>
      </c>
      <c r="R13385" s="420">
        <v>1044.596</v>
      </c>
      <c r="S13385" s="420">
        <v>1045.0853834001</v>
      </c>
      <c r="T13385" s="420">
        <v>17.099900000000002</v>
      </c>
      <c r="U13385" s="420">
        <v>55.54</v>
      </c>
      <c r="V13385" s="420">
        <v>27.77</v>
      </c>
      <c r="Z13385" s="420" t="s">
        <v>2953</v>
      </c>
    </row>
    <row r="13386" spans="1:26">
      <c r="A13386" s="499">
        <v>45945</v>
      </c>
      <c r="B13386" s="499">
        <v>45945</v>
      </c>
      <c r="C13386" s="420" t="s">
        <v>173</v>
      </c>
      <c r="D13386" s="500" t="s">
        <v>760</v>
      </c>
      <c r="E13386" s="501">
        <v>-39024229.219999999</v>
      </c>
      <c r="F13386" s="95" t="s">
        <v>878</v>
      </c>
      <c r="G13386" s="420">
        <v>119666886</v>
      </c>
      <c r="I13386" s="529" t="s">
        <v>719</v>
      </c>
      <c r="J13386" s="530" t="s">
        <v>906</v>
      </c>
      <c r="N13386" s="420">
        <v>59982</v>
      </c>
      <c r="R13386" s="420">
        <v>650.59900000000005</v>
      </c>
      <c r="S13386" s="420">
        <v>650.90379947317501</v>
      </c>
      <c r="T13386" s="420">
        <v>17.099900000000002</v>
      </c>
      <c r="U13386" s="420">
        <v>58.54</v>
      </c>
      <c r="V13386" s="420">
        <v>29.27</v>
      </c>
      <c r="Z13386" s="420" t="s">
        <v>2953</v>
      </c>
    </row>
    <row r="13387" spans="1:26">
      <c r="A13387" s="499">
        <v>45945</v>
      </c>
      <c r="B13387" s="499">
        <v>45945</v>
      </c>
      <c r="C13387" s="420" t="s">
        <v>173</v>
      </c>
      <c r="D13387" s="500" t="s">
        <v>760</v>
      </c>
      <c r="E13387" s="501">
        <v>-40007950.200000003</v>
      </c>
      <c r="F13387" s="95" t="s">
        <v>878</v>
      </c>
      <c r="G13387" s="420">
        <v>119666889</v>
      </c>
      <c r="I13387" s="529" t="s">
        <v>714</v>
      </c>
      <c r="J13387" s="530" t="s">
        <v>906</v>
      </c>
      <c r="N13387" s="420">
        <v>53160</v>
      </c>
      <c r="R13387" s="420">
        <v>752.59500000000003</v>
      </c>
      <c r="S13387" s="420">
        <v>752.94758352144504</v>
      </c>
      <c r="T13387" s="420">
        <v>17.099900000000002</v>
      </c>
      <c r="U13387" s="420">
        <v>60.01</v>
      </c>
      <c r="V13387" s="420">
        <v>30.01</v>
      </c>
      <c r="Z13387" s="420" t="s">
        <v>2953</v>
      </c>
    </row>
    <row r="13388" spans="1:26">
      <c r="A13388" s="499">
        <v>45945</v>
      </c>
      <c r="B13388" s="499">
        <v>45945</v>
      </c>
      <c r="C13388" s="420" t="s">
        <v>173</v>
      </c>
      <c r="D13388" s="500" t="s">
        <v>760</v>
      </c>
      <c r="E13388" s="501">
        <v>-41009136.399999999</v>
      </c>
      <c r="F13388" s="95" t="s">
        <v>878</v>
      </c>
      <c r="G13388" s="420">
        <v>119666892</v>
      </c>
      <c r="I13388" s="529" t="s">
        <v>676</v>
      </c>
      <c r="J13388" s="530" t="s">
        <v>906</v>
      </c>
      <c r="N13388" s="420">
        <v>48257</v>
      </c>
      <c r="R13388" s="420">
        <v>849.80700000000002</v>
      </c>
      <c r="S13388" s="420">
        <v>850.20512651014405</v>
      </c>
      <c r="T13388" s="420">
        <v>17.099900000000002</v>
      </c>
      <c r="U13388" s="420">
        <v>61.51</v>
      </c>
      <c r="V13388" s="420">
        <v>30.76</v>
      </c>
      <c r="Z13388" s="420" t="s">
        <v>2953</v>
      </c>
    </row>
    <row r="13389" spans="1:26">
      <c r="A13389" s="499">
        <v>45945</v>
      </c>
      <c r="B13389" s="499">
        <v>45945</v>
      </c>
      <c r="C13389" s="420" t="s">
        <v>173</v>
      </c>
      <c r="D13389" s="500" t="s">
        <v>760</v>
      </c>
      <c r="E13389" s="501">
        <v>-44013367.219999999</v>
      </c>
      <c r="F13389" s="95" t="s">
        <v>878</v>
      </c>
      <c r="G13389" s="420">
        <v>119666895</v>
      </c>
      <c r="I13389" s="529" t="s">
        <v>550</v>
      </c>
      <c r="J13389" s="530" t="s">
        <v>906</v>
      </c>
      <c r="N13389" s="420">
        <v>81136</v>
      </c>
      <c r="R13389" s="420">
        <v>542.46410000000003</v>
      </c>
      <c r="S13389" s="420">
        <v>542.71823925261299</v>
      </c>
      <c r="T13389" s="420">
        <v>17.099900000000002</v>
      </c>
      <c r="U13389" s="420">
        <v>66.02</v>
      </c>
      <c r="V13389" s="420">
        <v>33.01</v>
      </c>
      <c r="Z13389" s="420" t="s">
        <v>2953</v>
      </c>
    </row>
    <row r="13390" spans="1:26">
      <c r="A13390" s="499">
        <v>45945</v>
      </c>
      <c r="B13390" s="499">
        <v>45945</v>
      </c>
      <c r="C13390" s="420" t="s">
        <v>173</v>
      </c>
      <c r="D13390" s="500" t="s">
        <v>760</v>
      </c>
      <c r="E13390" s="501">
        <v>-44037247.060000002</v>
      </c>
      <c r="F13390" s="95" t="s">
        <v>878</v>
      </c>
      <c r="G13390" s="420">
        <v>119666898</v>
      </c>
      <c r="I13390" s="529" t="s">
        <v>588</v>
      </c>
      <c r="J13390" s="530" t="s">
        <v>906</v>
      </c>
      <c r="N13390" s="420">
        <v>50028</v>
      </c>
      <c r="R13390" s="420">
        <v>880.25199999999995</v>
      </c>
      <c r="S13390" s="420">
        <v>880.66438974174503</v>
      </c>
      <c r="T13390" s="420">
        <v>17.099900000000002</v>
      </c>
      <c r="U13390" s="420">
        <v>66.06</v>
      </c>
      <c r="V13390" s="420">
        <v>33.03</v>
      </c>
      <c r="Z13390" s="420" t="s">
        <v>2953</v>
      </c>
    </row>
    <row r="13391" spans="1:26">
      <c r="A13391" s="499">
        <v>45945</v>
      </c>
      <c r="B13391" s="499">
        <v>45945</v>
      </c>
      <c r="C13391" s="420" t="s">
        <v>173</v>
      </c>
      <c r="D13391" s="500" t="s">
        <v>760</v>
      </c>
      <c r="E13391" s="501">
        <v>-47024044.119999997</v>
      </c>
      <c r="F13391" s="95" t="s">
        <v>878</v>
      </c>
      <c r="G13391" s="420">
        <v>119666901</v>
      </c>
      <c r="I13391" s="529" t="s">
        <v>602</v>
      </c>
      <c r="J13391" s="530" t="s">
        <v>906</v>
      </c>
      <c r="N13391" s="420">
        <v>58139</v>
      </c>
      <c r="R13391" s="420">
        <v>808.82100000000003</v>
      </c>
      <c r="S13391" s="420">
        <v>809.19992483530802</v>
      </c>
      <c r="T13391" s="420">
        <v>17.099900000000002</v>
      </c>
      <c r="U13391" s="420">
        <v>70.540000000000006</v>
      </c>
      <c r="V13391" s="420">
        <v>35.270000000000003</v>
      </c>
      <c r="Z13391" s="420" t="s">
        <v>2953</v>
      </c>
    </row>
    <row r="13392" spans="1:26">
      <c r="A13392" s="499">
        <v>45945</v>
      </c>
      <c r="B13392" s="499">
        <v>45945</v>
      </c>
      <c r="C13392" s="420" t="s">
        <v>173</v>
      </c>
      <c r="D13392" s="500" t="s">
        <v>760</v>
      </c>
      <c r="E13392" s="501">
        <v>-50010090.75</v>
      </c>
      <c r="F13392" s="95" t="s">
        <v>878</v>
      </c>
      <c r="G13392" s="420">
        <v>119666904</v>
      </c>
      <c r="I13392" s="529" t="s">
        <v>687</v>
      </c>
      <c r="J13392" s="530" t="s">
        <v>906</v>
      </c>
      <c r="N13392" s="420">
        <v>60250</v>
      </c>
      <c r="R13392" s="420">
        <v>830.04300000000001</v>
      </c>
      <c r="S13392" s="420">
        <v>830.43186721991697</v>
      </c>
      <c r="T13392" s="420">
        <v>17.099900000000002</v>
      </c>
      <c r="U13392" s="420">
        <v>75.02</v>
      </c>
      <c r="V13392" s="420">
        <v>37.51</v>
      </c>
      <c r="Z13392" s="420" t="s">
        <v>2953</v>
      </c>
    </row>
    <row r="13393" spans="1:26">
      <c r="A13393" s="499">
        <v>45945</v>
      </c>
      <c r="B13393" s="499">
        <v>45945</v>
      </c>
      <c r="C13393" s="420" t="s">
        <v>173</v>
      </c>
      <c r="D13393" s="500" t="s">
        <v>760</v>
      </c>
      <c r="E13393" s="501">
        <v>-52026602</v>
      </c>
      <c r="F13393" s="95" t="s">
        <v>878</v>
      </c>
      <c r="G13393" s="420">
        <v>119666907</v>
      </c>
      <c r="I13393" s="529" t="s">
        <v>602</v>
      </c>
      <c r="J13393" s="530" t="s">
        <v>906</v>
      </c>
      <c r="N13393" s="420">
        <v>64324</v>
      </c>
      <c r="R13393" s="420">
        <v>808.82100000000003</v>
      </c>
      <c r="S13393" s="420">
        <v>809.19992475592301</v>
      </c>
      <c r="T13393" s="420">
        <v>17.099900000000002</v>
      </c>
      <c r="U13393" s="420">
        <v>78.040000000000006</v>
      </c>
      <c r="V13393" s="420">
        <v>39.020000000000003</v>
      </c>
      <c r="Z13393" s="420" t="s">
        <v>2953</v>
      </c>
    </row>
    <row r="13394" spans="1:26">
      <c r="A13394" s="499">
        <v>45945</v>
      </c>
      <c r="B13394" s="499">
        <v>45945</v>
      </c>
      <c r="C13394" s="420" t="s">
        <v>173</v>
      </c>
      <c r="D13394" s="500" t="s">
        <v>760</v>
      </c>
      <c r="E13394" s="501">
        <v>-54045712.299999997</v>
      </c>
      <c r="F13394" s="95" t="s">
        <v>878</v>
      </c>
      <c r="G13394" s="420">
        <v>119666910</v>
      </c>
      <c r="I13394" s="529" t="s">
        <v>588</v>
      </c>
      <c r="J13394" s="530" t="s">
        <v>906</v>
      </c>
      <c r="N13394" s="420">
        <v>61398</v>
      </c>
      <c r="R13394" s="420">
        <v>880.25199999999995</v>
      </c>
      <c r="S13394" s="420">
        <v>880.66438971953505</v>
      </c>
      <c r="T13394" s="420">
        <v>17.099900000000002</v>
      </c>
      <c r="U13394" s="420">
        <v>81.069999999999993</v>
      </c>
      <c r="V13394" s="420">
        <v>40.53</v>
      </c>
      <c r="Z13394" s="420" t="s">
        <v>2953</v>
      </c>
    </row>
    <row r="13395" spans="1:26">
      <c r="A13395" s="499">
        <v>45945</v>
      </c>
      <c r="B13395" s="499">
        <v>45945</v>
      </c>
      <c r="C13395" s="420" t="s">
        <v>173</v>
      </c>
      <c r="D13395" s="500" t="s">
        <v>760</v>
      </c>
      <c r="E13395" s="501">
        <v>-57014130.700000003</v>
      </c>
      <c r="F13395" s="95" t="s">
        <v>878</v>
      </c>
      <c r="G13395" s="420">
        <v>119666913</v>
      </c>
      <c r="I13395" s="529" t="s">
        <v>829</v>
      </c>
      <c r="J13395" s="530" t="s">
        <v>906</v>
      </c>
      <c r="N13395" s="420">
        <v>56601</v>
      </c>
      <c r="R13395" s="420">
        <v>1007.299</v>
      </c>
      <c r="S13395" s="420">
        <v>1007.77090987792</v>
      </c>
      <c r="T13395" s="420">
        <v>17.099900000000002</v>
      </c>
      <c r="U13395" s="420">
        <v>85.52</v>
      </c>
      <c r="V13395" s="420">
        <v>42.76</v>
      </c>
      <c r="Z13395" s="420" t="s">
        <v>2953</v>
      </c>
    </row>
    <row r="13396" spans="1:26">
      <c r="A13396" s="499">
        <v>45945</v>
      </c>
      <c r="B13396" s="499">
        <v>45945</v>
      </c>
      <c r="C13396" s="420" t="s">
        <v>173</v>
      </c>
      <c r="D13396" s="500" t="s">
        <v>760</v>
      </c>
      <c r="E13396" s="501">
        <v>-58057341.289999999</v>
      </c>
      <c r="F13396" s="95" t="s">
        <v>878</v>
      </c>
      <c r="G13396" s="420">
        <v>119666916</v>
      </c>
      <c r="I13396" s="529" t="s">
        <v>824</v>
      </c>
      <c r="J13396" s="530" t="s">
        <v>906</v>
      </c>
      <c r="N13396" s="420">
        <v>54114</v>
      </c>
      <c r="R13396" s="420">
        <v>1072.8710000000001</v>
      </c>
      <c r="S13396" s="420">
        <v>1073.3736297446101</v>
      </c>
      <c r="T13396" s="420">
        <v>17.099900000000002</v>
      </c>
      <c r="U13396" s="420">
        <v>87.09</v>
      </c>
      <c r="V13396" s="420">
        <v>43.54</v>
      </c>
      <c r="Z13396" s="420" t="s">
        <v>2953</v>
      </c>
    </row>
    <row r="13397" spans="1:26">
      <c r="A13397" s="499">
        <v>45945</v>
      </c>
      <c r="B13397" s="499">
        <v>45945</v>
      </c>
      <c r="C13397" s="420" t="s">
        <v>173</v>
      </c>
      <c r="D13397" s="500" t="s">
        <v>760</v>
      </c>
      <c r="E13397" s="501">
        <v>-58040991.619999997</v>
      </c>
      <c r="F13397" s="95" t="s">
        <v>878</v>
      </c>
      <c r="G13397" s="420">
        <v>119666919</v>
      </c>
      <c r="I13397" s="529" t="s">
        <v>690</v>
      </c>
      <c r="J13397" s="530" t="s">
        <v>906</v>
      </c>
      <c r="N13397" s="420">
        <v>77488</v>
      </c>
      <c r="R13397" s="420">
        <v>749.03200000000004</v>
      </c>
      <c r="S13397" s="420">
        <v>749.38291438674401</v>
      </c>
      <c r="T13397" s="420">
        <v>17.099900000000002</v>
      </c>
      <c r="U13397" s="420">
        <v>87.06</v>
      </c>
      <c r="V13397" s="420">
        <v>43.53</v>
      </c>
      <c r="Z13397" s="420" t="s">
        <v>2953</v>
      </c>
    </row>
    <row r="13398" spans="1:26">
      <c r="A13398" s="499">
        <v>45945</v>
      </c>
      <c r="B13398" s="499">
        <v>45945</v>
      </c>
      <c r="C13398" s="420" t="s">
        <v>173</v>
      </c>
      <c r="D13398" s="500" t="s">
        <v>760</v>
      </c>
      <c r="E13398" s="501">
        <v>-64000958.979999997</v>
      </c>
      <c r="F13398" s="95" t="s">
        <v>878</v>
      </c>
      <c r="G13398" s="420">
        <v>119666922</v>
      </c>
      <c r="I13398" s="529" t="s">
        <v>696</v>
      </c>
      <c r="J13398" s="530" t="s">
        <v>906</v>
      </c>
      <c r="N13398" s="420">
        <v>85248</v>
      </c>
      <c r="R13398" s="420">
        <v>750.76199999999994</v>
      </c>
      <c r="S13398" s="420">
        <v>751.11372489677206</v>
      </c>
      <c r="T13398" s="420">
        <v>17.099900000000002</v>
      </c>
      <c r="U13398" s="420">
        <v>96</v>
      </c>
      <c r="V13398" s="420">
        <v>48</v>
      </c>
      <c r="Z13398" s="420" t="s">
        <v>2953</v>
      </c>
    </row>
    <row r="13399" spans="1:26">
      <c r="A13399" s="499">
        <v>45945</v>
      </c>
      <c r="B13399" s="499">
        <v>45945</v>
      </c>
      <c r="C13399" s="420" t="s">
        <v>173</v>
      </c>
      <c r="D13399" s="500" t="s">
        <v>760</v>
      </c>
      <c r="E13399" s="501">
        <v>-66007545.710000001</v>
      </c>
      <c r="F13399" s="95" t="s">
        <v>878</v>
      </c>
      <c r="G13399" s="420">
        <v>119666941</v>
      </c>
      <c r="I13399" s="529" t="s">
        <v>600</v>
      </c>
      <c r="J13399" s="530" t="s">
        <v>906</v>
      </c>
      <c r="N13399" s="420">
        <v>70818</v>
      </c>
      <c r="R13399" s="420">
        <v>932.07299999999998</v>
      </c>
      <c r="S13399" s="420">
        <v>932.50966717501205</v>
      </c>
      <c r="T13399" s="420">
        <v>17.099900000000002</v>
      </c>
      <c r="U13399" s="420">
        <v>99.01</v>
      </c>
      <c r="V13399" s="420">
        <v>49.51</v>
      </c>
      <c r="Z13399" s="420" t="s">
        <v>2953</v>
      </c>
    </row>
    <row r="13400" spans="1:26">
      <c r="A13400" s="499">
        <v>45945</v>
      </c>
      <c r="B13400" s="499">
        <v>45945</v>
      </c>
      <c r="C13400" s="420" t="s">
        <v>173</v>
      </c>
      <c r="D13400" s="500" t="s">
        <v>760</v>
      </c>
      <c r="E13400" s="501">
        <v>-69033296.090000004</v>
      </c>
      <c r="F13400" s="95" t="s">
        <v>878</v>
      </c>
      <c r="G13400" s="420">
        <v>119666944</v>
      </c>
      <c r="I13400" s="529" t="s">
        <v>590</v>
      </c>
      <c r="J13400" s="530" t="s">
        <v>906</v>
      </c>
      <c r="N13400" s="420">
        <v>71898</v>
      </c>
      <c r="R13400" s="420">
        <v>960.15599999999995</v>
      </c>
      <c r="S13400" s="420">
        <v>960.60582394503297</v>
      </c>
      <c r="T13400" s="420">
        <v>17.099900000000002</v>
      </c>
      <c r="U13400" s="420">
        <v>103.55</v>
      </c>
      <c r="V13400" s="420">
        <v>51.77</v>
      </c>
      <c r="Z13400" s="420" t="s">
        <v>2953</v>
      </c>
    </row>
    <row r="13401" spans="1:26">
      <c r="A13401" s="499">
        <v>45945</v>
      </c>
      <c r="B13401" s="499">
        <v>45945</v>
      </c>
      <c r="C13401" s="420" t="s">
        <v>173</v>
      </c>
      <c r="D13401" s="500" t="s">
        <v>760</v>
      </c>
      <c r="E13401" s="501">
        <v>-76028366.849999994</v>
      </c>
      <c r="F13401" s="95" t="s">
        <v>878</v>
      </c>
      <c r="G13401" s="420">
        <v>119666947</v>
      </c>
      <c r="I13401" s="529" t="s">
        <v>598</v>
      </c>
      <c r="J13401" s="530" t="s">
        <v>906</v>
      </c>
      <c r="N13401" s="420">
        <v>71288</v>
      </c>
      <c r="R13401" s="420">
        <v>1066.4960000000001</v>
      </c>
      <c r="S13401" s="420">
        <v>1066.9956431657499</v>
      </c>
      <c r="T13401" s="420">
        <v>17.099900000000002</v>
      </c>
      <c r="U13401" s="420">
        <v>114.04</v>
      </c>
      <c r="V13401" s="420">
        <v>57.02</v>
      </c>
      <c r="Z13401" s="420" t="s">
        <v>2953</v>
      </c>
    </row>
    <row r="13402" spans="1:26">
      <c r="A13402" s="499">
        <v>45945</v>
      </c>
      <c r="B13402" s="499">
        <v>45945</v>
      </c>
      <c r="C13402" s="420" t="s">
        <v>173</v>
      </c>
      <c r="D13402" s="500" t="s">
        <v>760</v>
      </c>
      <c r="E13402" s="501">
        <v>-77060142.310000002</v>
      </c>
      <c r="F13402" s="95" t="s">
        <v>878</v>
      </c>
      <c r="G13402" s="420">
        <v>119666950</v>
      </c>
      <c r="I13402" s="529" t="s">
        <v>711</v>
      </c>
      <c r="J13402" s="530" t="s">
        <v>906</v>
      </c>
      <c r="N13402" s="420">
        <v>98329</v>
      </c>
      <c r="R13402" s="420">
        <v>783.697</v>
      </c>
      <c r="S13402" s="420">
        <v>784.06415452206397</v>
      </c>
      <c r="T13402" s="420">
        <v>17.099900000000002</v>
      </c>
      <c r="U13402" s="420">
        <v>115.59</v>
      </c>
      <c r="V13402" s="420">
        <v>57.8</v>
      </c>
      <c r="Z13402" s="420" t="s">
        <v>2953</v>
      </c>
    </row>
    <row r="13403" spans="1:26">
      <c r="A13403" s="499">
        <v>45945</v>
      </c>
      <c r="B13403" s="499">
        <v>45945</v>
      </c>
      <c r="C13403" s="420" t="s">
        <v>173</v>
      </c>
      <c r="D13403" s="500" t="s">
        <v>760</v>
      </c>
      <c r="E13403" s="501">
        <v>-84025519.230000004</v>
      </c>
      <c r="F13403" s="95" t="s">
        <v>878</v>
      </c>
      <c r="G13403" s="420">
        <v>119666953</v>
      </c>
      <c r="I13403" s="529" t="s">
        <v>550</v>
      </c>
      <c r="J13403" s="530" t="s">
        <v>906</v>
      </c>
      <c r="N13403" s="420">
        <v>154896</v>
      </c>
      <c r="R13403" s="420">
        <v>542.46410000000003</v>
      </c>
      <c r="S13403" s="420">
        <v>542.71823920566101</v>
      </c>
      <c r="T13403" s="420">
        <v>17.099900000000002</v>
      </c>
      <c r="U13403" s="420">
        <v>126.04</v>
      </c>
      <c r="V13403" s="420">
        <v>63.02</v>
      </c>
      <c r="Z13403" s="420" t="s">
        <v>2953</v>
      </c>
    </row>
    <row r="13404" spans="1:26">
      <c r="A13404" s="499">
        <v>45945</v>
      </c>
      <c r="B13404" s="499">
        <v>45945</v>
      </c>
      <c r="C13404" s="420" t="s">
        <v>173</v>
      </c>
      <c r="D13404" s="500" t="s">
        <v>760</v>
      </c>
      <c r="E13404" s="501">
        <v>-89032540.180000007</v>
      </c>
      <c r="F13404" s="95" t="s">
        <v>878</v>
      </c>
      <c r="G13404" s="420">
        <v>119666956</v>
      </c>
      <c r="I13404" s="529" t="s">
        <v>709</v>
      </c>
      <c r="J13404" s="530" t="s">
        <v>906</v>
      </c>
      <c r="N13404" s="420">
        <v>125045</v>
      </c>
      <c r="R13404" s="420">
        <v>712.00400000000002</v>
      </c>
      <c r="S13404" s="420">
        <v>712.33756703586698</v>
      </c>
      <c r="T13404" s="420">
        <v>17.099900000000002</v>
      </c>
      <c r="U13404" s="420">
        <v>133.55000000000001</v>
      </c>
      <c r="V13404" s="420">
        <v>66.77</v>
      </c>
      <c r="Z13404" s="420" t="s">
        <v>2953</v>
      </c>
    </row>
    <row r="13405" spans="1:26">
      <c r="A13405" s="499">
        <v>45945</v>
      </c>
      <c r="B13405" s="499">
        <v>45945</v>
      </c>
      <c r="C13405" s="420" t="s">
        <v>173</v>
      </c>
      <c r="D13405" s="500" t="s">
        <v>760</v>
      </c>
      <c r="E13405" s="501">
        <v>-96004935.939999998</v>
      </c>
      <c r="F13405" s="95" t="s">
        <v>878</v>
      </c>
      <c r="G13405" s="420">
        <v>119666959</v>
      </c>
      <c r="I13405" s="529" t="s">
        <v>715</v>
      </c>
      <c r="J13405" s="530" t="s">
        <v>906</v>
      </c>
      <c r="N13405" s="420">
        <v>158592</v>
      </c>
      <c r="R13405" s="420">
        <v>605.35799999999995</v>
      </c>
      <c r="S13405" s="420">
        <v>605.64160443149694</v>
      </c>
      <c r="T13405" s="420">
        <v>17.099900000000002</v>
      </c>
      <c r="U13405" s="420">
        <v>144.01</v>
      </c>
      <c r="V13405" s="420">
        <v>72</v>
      </c>
      <c r="Z13405" s="420" t="s">
        <v>2953</v>
      </c>
    </row>
    <row r="13406" spans="1:26">
      <c r="A13406" s="499">
        <v>45945</v>
      </c>
      <c r="B13406" s="499">
        <v>45945</v>
      </c>
      <c r="C13406" s="420" t="s">
        <v>173</v>
      </c>
      <c r="D13406" s="500" t="s">
        <v>760</v>
      </c>
      <c r="E13406" s="501">
        <v>-99058824.810000002</v>
      </c>
      <c r="F13406" s="95" t="s">
        <v>878</v>
      </c>
      <c r="G13406" s="420">
        <v>119666962</v>
      </c>
      <c r="I13406" s="529" t="s">
        <v>816</v>
      </c>
      <c r="J13406" s="530" t="s">
        <v>906</v>
      </c>
      <c r="N13406" s="420">
        <v>92763</v>
      </c>
      <c r="R13406" s="420">
        <v>1067.8699999999999</v>
      </c>
      <c r="S13406" s="420">
        <v>1068.3702868600601</v>
      </c>
      <c r="T13406" s="420">
        <v>17.099900000000002</v>
      </c>
      <c r="U13406" s="420">
        <v>148.59</v>
      </c>
      <c r="V13406" s="420">
        <v>74.290000000000006</v>
      </c>
      <c r="Z13406" s="420" t="s">
        <v>2953</v>
      </c>
    </row>
    <row r="13407" spans="1:26">
      <c r="A13407" s="499">
        <v>45945</v>
      </c>
      <c r="B13407" s="499">
        <v>45945</v>
      </c>
      <c r="C13407" s="420" t="s">
        <v>173</v>
      </c>
      <c r="D13407" s="500" t="s">
        <v>760</v>
      </c>
      <c r="E13407" s="501">
        <v>-109012461.86</v>
      </c>
      <c r="F13407" s="95" t="s">
        <v>878</v>
      </c>
      <c r="G13407" s="420">
        <v>119666965</v>
      </c>
      <c r="I13407" s="529" t="s">
        <v>600</v>
      </c>
      <c r="J13407" s="530" t="s">
        <v>906</v>
      </c>
      <c r="N13407" s="420">
        <v>116957</v>
      </c>
      <c r="R13407" s="420">
        <v>932.07299999999998</v>
      </c>
      <c r="S13407" s="420">
        <v>932.509667228127</v>
      </c>
      <c r="T13407" s="420">
        <v>17.099900000000002</v>
      </c>
      <c r="U13407" s="420">
        <v>163.52000000000001</v>
      </c>
      <c r="V13407" s="420">
        <v>81.760000000000005</v>
      </c>
      <c r="Z13407" s="420" t="s">
        <v>2953</v>
      </c>
    </row>
    <row r="13408" spans="1:26">
      <c r="A13408" s="499">
        <v>45945</v>
      </c>
      <c r="B13408" s="499">
        <v>45945</v>
      </c>
      <c r="C13408" s="420" t="s">
        <v>173</v>
      </c>
      <c r="D13408" s="500" t="s">
        <v>760</v>
      </c>
      <c r="E13408" s="501">
        <v>-265127653.94999999</v>
      </c>
      <c r="F13408" s="95" t="s">
        <v>878</v>
      </c>
      <c r="G13408" s="420">
        <v>119667011</v>
      </c>
      <c r="I13408" s="529" t="s">
        <v>2944</v>
      </c>
      <c r="J13408" s="530" t="s">
        <v>906</v>
      </c>
      <c r="N13408" s="420">
        <v>270035</v>
      </c>
      <c r="R13408" s="420">
        <v>981.827</v>
      </c>
      <c r="S13408" s="420">
        <v>982.28697654007794</v>
      </c>
      <c r="T13408" s="420">
        <v>17.099900000000002</v>
      </c>
      <c r="U13408" s="420">
        <v>397.69</v>
      </c>
      <c r="V13408" s="420">
        <v>198.85</v>
      </c>
      <c r="Z13408" s="420" t="s">
        <v>2953</v>
      </c>
    </row>
    <row r="13409" spans="1:26">
      <c r="A13409" s="499">
        <v>45945</v>
      </c>
      <c r="B13409" s="499">
        <v>45945</v>
      </c>
      <c r="C13409" s="420" t="s">
        <v>173</v>
      </c>
      <c r="D13409" s="500" t="s">
        <v>760</v>
      </c>
      <c r="E13409" s="501">
        <v>-286137769.92000002</v>
      </c>
      <c r="F13409" s="95" t="s">
        <v>878</v>
      </c>
      <c r="G13409" s="420">
        <v>119667017</v>
      </c>
      <c r="I13409" s="529" t="s">
        <v>2944</v>
      </c>
      <c r="J13409" s="530" t="s">
        <v>906</v>
      </c>
      <c r="N13409" s="420">
        <v>291434</v>
      </c>
      <c r="R13409" s="420">
        <v>981.827</v>
      </c>
      <c r="S13409" s="420">
        <v>982.28697653671202</v>
      </c>
      <c r="T13409" s="420">
        <v>17.099900000000002</v>
      </c>
      <c r="U13409" s="420">
        <v>429.21</v>
      </c>
      <c r="V13409" s="420">
        <v>214.6</v>
      </c>
      <c r="Z13409" s="420" t="s">
        <v>2953</v>
      </c>
    </row>
    <row r="13410" spans="1:26">
      <c r="A13410" s="499">
        <v>45945</v>
      </c>
      <c r="B13410" s="499">
        <v>45945</v>
      </c>
      <c r="C13410" s="420" t="s">
        <v>173</v>
      </c>
      <c r="D13410" s="500" t="s">
        <v>760</v>
      </c>
      <c r="E13410" s="501">
        <v>-161116397.84999999</v>
      </c>
      <c r="F13410" s="95" t="s">
        <v>878</v>
      </c>
      <c r="G13410" s="420">
        <v>119667036</v>
      </c>
      <c r="I13410" s="529" t="s">
        <v>823</v>
      </c>
      <c r="J13410" s="530" t="s">
        <v>906</v>
      </c>
      <c r="N13410" s="420">
        <v>154238</v>
      </c>
      <c r="R13410" s="420">
        <v>1044.596</v>
      </c>
      <c r="S13410" s="420">
        <v>1045.08538323889</v>
      </c>
      <c r="T13410" s="420">
        <v>17.099900000000002</v>
      </c>
      <c r="U13410" s="420">
        <v>241.67</v>
      </c>
      <c r="V13410" s="420">
        <v>120.84</v>
      </c>
      <c r="Z13410" s="420" t="s">
        <v>2953</v>
      </c>
    </row>
    <row r="13411" spans="1:26">
      <c r="A13411" s="499">
        <v>45945</v>
      </c>
      <c r="B13411" s="499">
        <v>45945</v>
      </c>
      <c r="C13411" s="420" t="s">
        <v>173</v>
      </c>
      <c r="D13411" s="500" t="s">
        <v>760</v>
      </c>
      <c r="E13411" s="501">
        <v>-194191796.74000001</v>
      </c>
      <c r="F13411" s="95" t="s">
        <v>878</v>
      </c>
      <c r="G13411" s="420">
        <v>119667039</v>
      </c>
      <c r="I13411" s="529" t="s">
        <v>824</v>
      </c>
      <c r="J13411" s="530" t="s">
        <v>906</v>
      </c>
      <c r="N13411" s="420">
        <v>181002</v>
      </c>
      <c r="R13411" s="420">
        <v>1072.8710000000001</v>
      </c>
      <c r="S13411" s="420">
        <v>1073.3736297389</v>
      </c>
      <c r="T13411" s="420">
        <v>17.099900000000002</v>
      </c>
      <c r="U13411" s="420">
        <v>291.29000000000002</v>
      </c>
      <c r="V13411" s="420">
        <v>145.63999999999999</v>
      </c>
      <c r="Z13411" s="420" t="s">
        <v>2953</v>
      </c>
    </row>
    <row r="13412" spans="1:26">
      <c r="A13412" s="499">
        <v>45945</v>
      </c>
      <c r="B13412" s="499">
        <v>45945</v>
      </c>
      <c r="C13412" s="420" t="s">
        <v>173</v>
      </c>
      <c r="D13412" s="500" t="s">
        <v>760</v>
      </c>
      <c r="E13412" s="501">
        <v>-195152308.46000001</v>
      </c>
      <c r="F13412" s="95" t="s">
        <v>878</v>
      </c>
      <c r="G13412" s="420">
        <v>119667042</v>
      </c>
      <c r="I13412" s="529" t="s">
        <v>711</v>
      </c>
      <c r="J13412" s="530" t="s">
        <v>906</v>
      </c>
      <c r="N13412" s="420">
        <v>249015</v>
      </c>
      <c r="R13412" s="420">
        <v>783.697</v>
      </c>
      <c r="S13412" s="420">
        <v>784.06415456900197</v>
      </c>
      <c r="T13412" s="420">
        <v>17.099900000000002</v>
      </c>
      <c r="U13412" s="420">
        <v>292.73</v>
      </c>
      <c r="V13412" s="420">
        <v>146.36000000000001</v>
      </c>
      <c r="Z13412" s="420" t="s">
        <v>2953</v>
      </c>
    </row>
    <row r="13413" spans="1:26">
      <c r="A13413" s="499">
        <v>45945</v>
      </c>
      <c r="B13413" s="499">
        <v>45945</v>
      </c>
      <c r="C13413" s="420" t="s">
        <v>173</v>
      </c>
      <c r="D13413" s="500" t="s">
        <v>760</v>
      </c>
      <c r="E13413" s="501">
        <v>-234087340.03</v>
      </c>
      <c r="F13413" s="95" t="s">
        <v>878</v>
      </c>
      <c r="G13413" s="420">
        <v>119667045</v>
      </c>
      <c r="I13413" s="529" t="s">
        <v>598</v>
      </c>
      <c r="J13413" s="530" t="s">
        <v>906</v>
      </c>
      <c r="N13413" s="420">
        <v>219492</v>
      </c>
      <c r="R13413" s="420">
        <v>1066.4960000000001</v>
      </c>
      <c r="S13413" s="420">
        <v>1066.99564312139</v>
      </c>
      <c r="T13413" s="420">
        <v>17.099900000000002</v>
      </c>
      <c r="U13413" s="420">
        <v>351.13</v>
      </c>
      <c r="V13413" s="420">
        <v>175.57</v>
      </c>
      <c r="Z13413" s="420" t="s">
        <v>2953</v>
      </c>
    </row>
    <row r="13414" spans="1:26">
      <c r="A13414" s="499">
        <v>45945</v>
      </c>
      <c r="B13414" s="499">
        <v>45945</v>
      </c>
      <c r="C13414" s="420" t="s">
        <v>173</v>
      </c>
      <c r="D13414" s="500" t="s">
        <v>760</v>
      </c>
      <c r="E13414" s="501">
        <v>-26018414.140000001</v>
      </c>
      <c r="F13414" s="95" t="s">
        <v>878</v>
      </c>
      <c r="G13414" s="420">
        <v>119667048</v>
      </c>
      <c r="I13414" s="529" t="s">
        <v>675</v>
      </c>
      <c r="J13414" s="530" t="s">
        <v>906</v>
      </c>
      <c r="N13414" s="420">
        <v>27274</v>
      </c>
      <c r="R13414" s="420">
        <v>953.96400000000006</v>
      </c>
      <c r="S13414" s="420">
        <v>954.41092322358304</v>
      </c>
      <c r="T13414" s="420">
        <v>17.099900000000002</v>
      </c>
      <c r="U13414" s="420">
        <v>39.32</v>
      </c>
      <c r="V13414" s="420">
        <v>19.510000000000002</v>
      </c>
      <c r="Z13414" s="420" t="s">
        <v>2953</v>
      </c>
    </row>
    <row r="13415" spans="1:26">
      <c r="A13415" s="499">
        <v>45945</v>
      </c>
      <c r="B13415" s="499">
        <v>45945</v>
      </c>
      <c r="C13415" s="420" t="s">
        <v>173</v>
      </c>
      <c r="D13415" s="500" t="s">
        <v>760</v>
      </c>
      <c r="E13415" s="501">
        <v>-42023713.700000003</v>
      </c>
      <c r="F13415" s="95" t="s">
        <v>878</v>
      </c>
      <c r="G13415" s="420">
        <v>119668560</v>
      </c>
      <c r="I13415" s="529" t="s">
        <v>678</v>
      </c>
      <c r="J13415" s="530" t="s">
        <v>906</v>
      </c>
      <c r="N13415" s="420">
        <v>44142</v>
      </c>
      <c r="R13415" s="420">
        <v>952.01199999999994</v>
      </c>
      <c r="S13415" s="420">
        <v>952.45540528294998</v>
      </c>
      <c r="T13415" s="420">
        <v>17.0001</v>
      </c>
      <c r="U13415" s="420">
        <v>63.04</v>
      </c>
      <c r="V13415" s="420">
        <v>31.52</v>
      </c>
      <c r="Z13415" s="420" t="s">
        <v>2953</v>
      </c>
    </row>
    <row r="13416" spans="1:26">
      <c r="A13416" s="499">
        <v>45945</v>
      </c>
      <c r="B13416" s="499">
        <v>45946</v>
      </c>
      <c r="C13416" s="420" t="s">
        <v>173</v>
      </c>
      <c r="D13416" s="500" t="s">
        <v>760</v>
      </c>
      <c r="E13416" s="501">
        <v>1000843.76</v>
      </c>
      <c r="F13416" s="95" t="s">
        <v>878</v>
      </c>
      <c r="G13416" s="420">
        <v>119666811</v>
      </c>
      <c r="H13416" s="420">
        <v>119666811</v>
      </c>
      <c r="I13416" s="529" t="s">
        <v>592</v>
      </c>
      <c r="J13416" s="530" t="s">
        <v>912</v>
      </c>
      <c r="N13416" s="420">
        <v>1298</v>
      </c>
      <c r="R13416" s="420">
        <v>770.70500000000004</v>
      </c>
      <c r="S13416" s="420">
        <v>771.06607087827399</v>
      </c>
      <c r="T13416" s="420">
        <v>17.099900000000002</v>
      </c>
      <c r="U13416" s="420">
        <v>39.32</v>
      </c>
      <c r="V13416" s="420">
        <v>0.75</v>
      </c>
      <c r="Z13416" s="420" t="s">
        <v>2953</v>
      </c>
    </row>
    <row r="13417" spans="1:26">
      <c r="A13417" s="499">
        <v>45945</v>
      </c>
      <c r="B13417" s="499">
        <v>45946</v>
      </c>
      <c r="C13417" s="420" t="s">
        <v>173</v>
      </c>
      <c r="D13417" s="500" t="s">
        <v>760</v>
      </c>
      <c r="E13417" s="501">
        <v>1000841.92</v>
      </c>
      <c r="F13417" s="95" t="s">
        <v>878</v>
      </c>
      <c r="G13417" s="420">
        <v>119666814</v>
      </c>
      <c r="H13417" s="420">
        <v>119666814</v>
      </c>
      <c r="I13417" s="529" t="s">
        <v>598</v>
      </c>
      <c r="J13417" s="530" t="s">
        <v>912</v>
      </c>
      <c r="N13417" s="420">
        <v>938</v>
      </c>
      <c r="R13417" s="420">
        <v>1066.4960000000001</v>
      </c>
      <c r="S13417" s="420">
        <v>1066.99565031983</v>
      </c>
      <c r="T13417" s="420">
        <v>17.099900000000002</v>
      </c>
      <c r="U13417" s="420">
        <v>39.32</v>
      </c>
      <c r="V13417" s="420">
        <v>0.75</v>
      </c>
      <c r="Z13417" s="420" t="s">
        <v>2953</v>
      </c>
    </row>
    <row r="13418" spans="1:26">
      <c r="A13418" s="499">
        <v>45945</v>
      </c>
      <c r="B13418" s="499">
        <v>45946</v>
      </c>
      <c r="C13418" s="420" t="s">
        <v>173</v>
      </c>
      <c r="D13418" s="500" t="s">
        <v>760</v>
      </c>
      <c r="E13418" s="501">
        <v>4002126.06</v>
      </c>
      <c r="F13418" s="95" t="s">
        <v>878</v>
      </c>
      <c r="G13418" s="420">
        <v>119666817</v>
      </c>
      <c r="H13418" s="420">
        <v>119666817</v>
      </c>
      <c r="I13418" s="529" t="s">
        <v>604</v>
      </c>
      <c r="J13418" s="530" t="s">
        <v>912</v>
      </c>
      <c r="N13418" s="420">
        <v>3824</v>
      </c>
      <c r="R13418" s="420">
        <v>1046.0909999999999</v>
      </c>
      <c r="S13418" s="420">
        <v>1046.58108263598</v>
      </c>
      <c r="T13418" s="420">
        <v>17.099900000000002</v>
      </c>
      <c r="U13418" s="420">
        <v>39.32</v>
      </c>
      <c r="V13418" s="420">
        <v>3</v>
      </c>
      <c r="Z13418" s="420" t="s">
        <v>2953</v>
      </c>
    </row>
    <row r="13419" spans="1:26">
      <c r="A13419" s="499">
        <v>45945</v>
      </c>
      <c r="B13419" s="499">
        <v>45946</v>
      </c>
      <c r="C13419" s="420" t="s">
        <v>173</v>
      </c>
      <c r="D13419" s="500" t="s">
        <v>760</v>
      </c>
      <c r="E13419" s="501">
        <v>5002914.37</v>
      </c>
      <c r="F13419" s="95" t="s">
        <v>878</v>
      </c>
      <c r="G13419" s="420">
        <v>119666820</v>
      </c>
      <c r="H13419" s="420">
        <v>119666820</v>
      </c>
      <c r="I13419" s="529" t="s">
        <v>600</v>
      </c>
      <c r="J13419" s="530" t="s">
        <v>912</v>
      </c>
      <c r="N13419" s="420">
        <v>5365</v>
      </c>
      <c r="R13419" s="420">
        <v>932.07299999999998</v>
      </c>
      <c r="S13419" s="420">
        <v>932.50966821994405</v>
      </c>
      <c r="T13419" s="420">
        <v>17.099900000000002</v>
      </c>
      <c r="U13419" s="420">
        <v>39.32</v>
      </c>
      <c r="V13419" s="420">
        <v>3.75</v>
      </c>
      <c r="Z13419" s="420" t="s">
        <v>2953</v>
      </c>
    </row>
    <row r="13420" spans="1:26">
      <c r="A13420" s="499">
        <v>45945</v>
      </c>
      <c r="B13420" s="499">
        <v>45946</v>
      </c>
      <c r="C13420" s="420" t="s">
        <v>173</v>
      </c>
      <c r="D13420" s="500" t="s">
        <v>760</v>
      </c>
      <c r="E13420" s="501">
        <v>6002900.8799999999</v>
      </c>
      <c r="F13420" s="95" t="s">
        <v>878</v>
      </c>
      <c r="G13420" s="420">
        <v>119666823</v>
      </c>
      <c r="H13420" s="420">
        <v>119666823</v>
      </c>
      <c r="I13420" s="529" t="s">
        <v>696</v>
      </c>
      <c r="J13420" s="530" t="s">
        <v>912</v>
      </c>
      <c r="N13420" s="420">
        <v>7992</v>
      </c>
      <c r="R13420" s="420">
        <v>750.76199999999994</v>
      </c>
      <c r="S13420" s="420">
        <v>751.11372372372398</v>
      </c>
      <c r="T13420" s="420">
        <v>17.099900000000002</v>
      </c>
      <c r="U13420" s="420">
        <v>39.32</v>
      </c>
      <c r="V13420" s="420">
        <v>4.5</v>
      </c>
      <c r="Z13420" s="420" t="s">
        <v>2953</v>
      </c>
    </row>
    <row r="13421" spans="1:26">
      <c r="A13421" s="499">
        <v>45945</v>
      </c>
      <c r="B13421" s="499">
        <v>45946</v>
      </c>
      <c r="C13421" s="420" t="s">
        <v>173</v>
      </c>
      <c r="D13421" s="500" t="s">
        <v>760</v>
      </c>
      <c r="E13421" s="501">
        <v>7009366.8200000003</v>
      </c>
      <c r="F13421" s="95" t="s">
        <v>878</v>
      </c>
      <c r="G13421" s="420">
        <v>119666826</v>
      </c>
      <c r="H13421" s="420">
        <v>119666826</v>
      </c>
      <c r="I13421" s="529" t="s">
        <v>674</v>
      </c>
      <c r="J13421" s="530" t="s">
        <v>912</v>
      </c>
      <c r="N13421" s="420">
        <v>7735</v>
      </c>
      <c r="R13421" s="420">
        <v>905.76400000000001</v>
      </c>
      <c r="S13421" s="420">
        <v>906.18834130575306</v>
      </c>
      <c r="T13421" s="420">
        <v>17.099900000000002</v>
      </c>
      <c r="U13421" s="420">
        <v>39.32</v>
      </c>
      <c r="V13421" s="420">
        <v>5.25</v>
      </c>
      <c r="Z13421" s="420" t="s">
        <v>2953</v>
      </c>
    </row>
    <row r="13422" spans="1:26">
      <c r="A13422" s="499">
        <v>45945</v>
      </c>
      <c r="B13422" s="499">
        <v>45946</v>
      </c>
      <c r="C13422" s="420" t="s">
        <v>173</v>
      </c>
      <c r="D13422" s="500" t="s">
        <v>760</v>
      </c>
      <c r="E13422" s="501">
        <v>8008733.5199999996</v>
      </c>
      <c r="F13422" s="95" t="s">
        <v>878</v>
      </c>
      <c r="G13422" s="420">
        <v>119666829</v>
      </c>
      <c r="H13422" s="420">
        <v>119666829</v>
      </c>
      <c r="I13422" s="529" t="s">
        <v>819</v>
      </c>
      <c r="J13422" s="530" t="s">
        <v>912</v>
      </c>
      <c r="N13422" s="420">
        <v>7464</v>
      </c>
      <c r="R13422" s="420">
        <v>1072.479</v>
      </c>
      <c r="S13422" s="420">
        <v>1072.9814469453399</v>
      </c>
      <c r="T13422" s="420">
        <v>17.099900000000002</v>
      </c>
      <c r="U13422" s="420">
        <v>39.32</v>
      </c>
      <c r="V13422" s="420">
        <v>6</v>
      </c>
      <c r="Z13422" s="420" t="s">
        <v>2953</v>
      </c>
    </row>
    <row r="13423" spans="1:26">
      <c r="A13423" s="499">
        <v>45945</v>
      </c>
      <c r="B13423" s="499">
        <v>45946</v>
      </c>
      <c r="C13423" s="420" t="s">
        <v>173</v>
      </c>
      <c r="D13423" s="500" t="s">
        <v>760</v>
      </c>
      <c r="E13423" s="501">
        <v>11011692.550000001</v>
      </c>
      <c r="F13423" s="95" t="s">
        <v>878</v>
      </c>
      <c r="G13423" s="420">
        <v>119666832</v>
      </c>
      <c r="H13423" s="420">
        <v>119666832</v>
      </c>
      <c r="I13423" s="529" t="s">
        <v>816</v>
      </c>
      <c r="J13423" s="530" t="s">
        <v>912</v>
      </c>
      <c r="N13423" s="420">
        <v>10307</v>
      </c>
      <c r="R13423" s="420">
        <v>1067.8699999999999</v>
      </c>
      <c r="S13423" s="420">
        <v>1068.3702871834701</v>
      </c>
      <c r="T13423" s="420">
        <v>17.099900000000002</v>
      </c>
      <c r="U13423" s="420">
        <v>39.32</v>
      </c>
      <c r="V13423" s="420">
        <v>8.25</v>
      </c>
      <c r="Z13423" s="420" t="s">
        <v>2953</v>
      </c>
    </row>
    <row r="13424" spans="1:26">
      <c r="A13424" s="499">
        <v>45945</v>
      </c>
      <c r="B13424" s="499">
        <v>45946</v>
      </c>
      <c r="C13424" s="420" t="s">
        <v>173</v>
      </c>
      <c r="D13424" s="500" t="s">
        <v>760</v>
      </c>
      <c r="E13424" s="501">
        <v>12010023.390000001</v>
      </c>
      <c r="F13424" s="95" t="s">
        <v>878</v>
      </c>
      <c r="G13424" s="420">
        <v>119666835</v>
      </c>
      <c r="H13424" s="420">
        <v>119666835</v>
      </c>
      <c r="I13424" s="529" t="s">
        <v>695</v>
      </c>
      <c r="J13424" s="530" t="s">
        <v>912</v>
      </c>
      <c r="N13424" s="420">
        <v>16752</v>
      </c>
      <c r="R13424" s="420">
        <v>716.59500000000003</v>
      </c>
      <c r="S13424" s="420">
        <v>716.93071812320898</v>
      </c>
      <c r="T13424" s="420">
        <v>17.099900000000002</v>
      </c>
      <c r="U13424" s="420">
        <v>39.32</v>
      </c>
      <c r="V13424" s="420">
        <v>9</v>
      </c>
      <c r="Z13424" s="420" t="s">
        <v>2953</v>
      </c>
    </row>
    <row r="13425" spans="1:26">
      <c r="A13425" s="499">
        <v>45945</v>
      </c>
      <c r="B13425" s="499">
        <v>45946</v>
      </c>
      <c r="C13425" s="420" t="s">
        <v>173</v>
      </c>
      <c r="D13425" s="500" t="s">
        <v>760</v>
      </c>
      <c r="E13425" s="501">
        <v>15015944.380000001</v>
      </c>
      <c r="F13425" s="95" t="s">
        <v>878</v>
      </c>
      <c r="G13425" s="420">
        <v>119666838</v>
      </c>
      <c r="H13425" s="420">
        <v>119666838</v>
      </c>
      <c r="I13425" s="529" t="s">
        <v>816</v>
      </c>
      <c r="J13425" s="530" t="s">
        <v>912</v>
      </c>
      <c r="N13425" s="420">
        <v>14055</v>
      </c>
      <c r="R13425" s="420">
        <v>1067.8699999999999</v>
      </c>
      <c r="S13425" s="420">
        <v>1068.3702867306999</v>
      </c>
      <c r="T13425" s="420">
        <v>17.099900000000002</v>
      </c>
      <c r="U13425" s="420">
        <v>39.32</v>
      </c>
      <c r="V13425" s="420">
        <v>11.26</v>
      </c>
      <c r="Z13425" s="420" t="s">
        <v>2953</v>
      </c>
    </row>
    <row r="13426" spans="1:26">
      <c r="A13426" s="499">
        <v>45945</v>
      </c>
      <c r="B13426" s="499">
        <v>45946</v>
      </c>
      <c r="C13426" s="420" t="s">
        <v>173</v>
      </c>
      <c r="D13426" s="500" t="s">
        <v>760</v>
      </c>
      <c r="E13426" s="501">
        <v>16011062.939999999</v>
      </c>
      <c r="F13426" s="95" t="s">
        <v>878</v>
      </c>
      <c r="G13426" s="420">
        <v>119666841</v>
      </c>
      <c r="H13426" s="420">
        <v>119666841</v>
      </c>
      <c r="I13426" s="529" t="s">
        <v>676</v>
      </c>
      <c r="J13426" s="530" t="s">
        <v>912</v>
      </c>
      <c r="N13426" s="420">
        <v>18832</v>
      </c>
      <c r="R13426" s="420">
        <v>849.80700000000002</v>
      </c>
      <c r="S13426" s="420">
        <v>850.20512638062905</v>
      </c>
      <c r="T13426" s="420">
        <v>17.099900000000002</v>
      </c>
      <c r="U13426" s="420">
        <v>39.32</v>
      </c>
      <c r="V13426" s="420">
        <v>12</v>
      </c>
      <c r="Z13426" s="420" t="s">
        <v>2953</v>
      </c>
    </row>
    <row r="13427" spans="1:26">
      <c r="A13427" s="499">
        <v>45945</v>
      </c>
      <c r="B13427" s="499">
        <v>45946</v>
      </c>
      <c r="C13427" s="420" t="s">
        <v>173</v>
      </c>
      <c r="D13427" s="500" t="s">
        <v>760</v>
      </c>
      <c r="E13427" s="501">
        <v>17008319.800000001</v>
      </c>
      <c r="F13427" s="95" t="s">
        <v>878</v>
      </c>
      <c r="G13427" s="420">
        <v>119666844</v>
      </c>
      <c r="H13427" s="420">
        <v>119666844</v>
      </c>
      <c r="I13427" s="529" t="s">
        <v>689</v>
      </c>
      <c r="J13427" s="530" t="s">
        <v>912</v>
      </c>
      <c r="N13427" s="420">
        <v>21930</v>
      </c>
      <c r="R13427" s="420">
        <v>775.21</v>
      </c>
      <c r="S13427" s="420">
        <v>775.57317829457395</v>
      </c>
      <c r="T13427" s="420">
        <v>17.099900000000002</v>
      </c>
      <c r="U13427" s="420">
        <v>39.32</v>
      </c>
      <c r="V13427" s="420">
        <v>12.75</v>
      </c>
      <c r="Z13427" s="420" t="s">
        <v>2953</v>
      </c>
    </row>
    <row r="13428" spans="1:26">
      <c r="A13428" s="499">
        <v>45945</v>
      </c>
      <c r="B13428" s="499">
        <v>45946</v>
      </c>
      <c r="C13428" s="420" t="s">
        <v>173</v>
      </c>
      <c r="D13428" s="500" t="s">
        <v>760</v>
      </c>
      <c r="E13428" s="501">
        <v>17016665.219999999</v>
      </c>
      <c r="F13428" s="95" t="s">
        <v>878</v>
      </c>
      <c r="G13428" s="420">
        <v>119666847</v>
      </c>
      <c r="H13428" s="420">
        <v>119666847</v>
      </c>
      <c r="I13428" s="529" t="s">
        <v>602</v>
      </c>
      <c r="J13428" s="530" t="s">
        <v>912</v>
      </c>
      <c r="N13428" s="420">
        <v>21029</v>
      </c>
      <c r="R13428" s="420">
        <v>808.82100000000003</v>
      </c>
      <c r="S13428" s="420">
        <v>809.19992486566196</v>
      </c>
      <c r="T13428" s="420">
        <v>17.099900000000002</v>
      </c>
      <c r="U13428" s="420">
        <v>39.32</v>
      </c>
      <c r="V13428" s="420">
        <v>12.76</v>
      </c>
      <c r="Z13428" s="420" t="s">
        <v>2953</v>
      </c>
    </row>
    <row r="13429" spans="1:26">
      <c r="A13429" s="499">
        <v>45945</v>
      </c>
      <c r="B13429" s="499">
        <v>45946</v>
      </c>
      <c r="C13429" s="420" t="s">
        <v>173</v>
      </c>
      <c r="D13429" s="500" t="s">
        <v>760</v>
      </c>
      <c r="E13429" s="501">
        <v>19024992.809999999</v>
      </c>
      <c r="F13429" s="95" t="s">
        <v>878</v>
      </c>
      <c r="G13429" s="420">
        <v>119666850</v>
      </c>
      <c r="H13429" s="420">
        <v>119666850</v>
      </c>
      <c r="I13429" s="529" t="s">
        <v>588</v>
      </c>
      <c r="J13429" s="530" t="s">
        <v>912</v>
      </c>
      <c r="N13429" s="420">
        <v>21603</v>
      </c>
      <c r="R13429" s="420">
        <v>880.25199999999995</v>
      </c>
      <c r="S13429" s="420">
        <v>880.66438966810199</v>
      </c>
      <c r="T13429" s="420">
        <v>17.099900000000002</v>
      </c>
      <c r="U13429" s="420">
        <v>39.32</v>
      </c>
      <c r="V13429" s="420">
        <v>14.26</v>
      </c>
      <c r="Z13429" s="420" t="s">
        <v>2953</v>
      </c>
    </row>
    <row r="13430" spans="1:26">
      <c r="A13430" s="499">
        <v>45945</v>
      </c>
      <c r="B13430" s="499">
        <v>45946</v>
      </c>
      <c r="C13430" s="420" t="s">
        <v>173</v>
      </c>
      <c r="D13430" s="500" t="s">
        <v>760</v>
      </c>
      <c r="E13430" s="501">
        <v>20028455.870000001</v>
      </c>
      <c r="F13430" s="95" t="s">
        <v>878</v>
      </c>
      <c r="G13430" s="420">
        <v>119666853</v>
      </c>
      <c r="H13430" s="420">
        <v>119666853</v>
      </c>
      <c r="I13430" s="529" t="s">
        <v>657</v>
      </c>
      <c r="J13430" s="530" t="s">
        <v>912</v>
      </c>
      <c r="N13430" s="420">
        <v>20480</v>
      </c>
      <c r="R13430" s="420">
        <v>977.49400000000003</v>
      </c>
      <c r="S13430" s="420">
        <v>977.95194677734401</v>
      </c>
      <c r="T13430" s="420">
        <v>17.099900000000002</v>
      </c>
      <c r="U13430" s="420">
        <v>39.32</v>
      </c>
      <c r="V13430" s="420">
        <v>15.01</v>
      </c>
      <c r="Z13430" s="420" t="s">
        <v>2953</v>
      </c>
    </row>
    <row r="13431" spans="1:26">
      <c r="A13431" s="499">
        <v>45945</v>
      </c>
      <c r="B13431" s="499">
        <v>45946</v>
      </c>
      <c r="C13431" s="420" t="s">
        <v>173</v>
      </c>
      <c r="D13431" s="500" t="s">
        <v>760</v>
      </c>
      <c r="E13431" s="501">
        <v>21010706.260000002</v>
      </c>
      <c r="F13431" s="95" t="s">
        <v>878</v>
      </c>
      <c r="G13431" s="420">
        <v>119666856</v>
      </c>
      <c r="H13431" s="420">
        <v>119666856</v>
      </c>
      <c r="I13431" s="529" t="s">
        <v>717</v>
      </c>
      <c r="J13431" s="530" t="s">
        <v>912</v>
      </c>
      <c r="N13431" s="420">
        <v>35616</v>
      </c>
      <c r="R13431" s="420">
        <v>589.64700000000005</v>
      </c>
      <c r="S13431" s="420">
        <v>589.92324404761905</v>
      </c>
      <c r="T13431" s="420">
        <v>17.099900000000002</v>
      </c>
      <c r="U13431" s="420">
        <v>39.32</v>
      </c>
      <c r="V13431" s="420">
        <v>15.75</v>
      </c>
      <c r="Z13431" s="420" t="s">
        <v>2953</v>
      </c>
    </row>
    <row r="13432" spans="1:26">
      <c r="A13432" s="499">
        <v>45945</v>
      </c>
      <c r="B13432" s="499">
        <v>45946</v>
      </c>
      <c r="C13432" s="420" t="s">
        <v>173</v>
      </c>
      <c r="D13432" s="500" t="s">
        <v>760</v>
      </c>
      <c r="E13432" s="501">
        <v>22011438.469999999</v>
      </c>
      <c r="F13432" s="95" t="s">
        <v>878</v>
      </c>
      <c r="G13432" s="420">
        <v>119666859</v>
      </c>
      <c r="H13432" s="420">
        <v>119666859</v>
      </c>
      <c r="I13432" s="529" t="s">
        <v>715</v>
      </c>
      <c r="J13432" s="530" t="s">
        <v>912</v>
      </c>
      <c r="N13432" s="420">
        <v>36344</v>
      </c>
      <c r="R13432" s="420">
        <v>605.35799999999995</v>
      </c>
      <c r="S13432" s="420">
        <v>605.64160439137095</v>
      </c>
      <c r="T13432" s="420">
        <v>17.099900000000002</v>
      </c>
      <c r="U13432" s="420">
        <v>39.32</v>
      </c>
      <c r="V13432" s="420">
        <v>16.5</v>
      </c>
      <c r="Z13432" s="420" t="s">
        <v>2953</v>
      </c>
    </row>
    <row r="13433" spans="1:26">
      <c r="A13433" s="499">
        <v>45945</v>
      </c>
      <c r="B13433" s="499">
        <v>45946</v>
      </c>
      <c r="C13433" s="420" t="s">
        <v>173</v>
      </c>
      <c r="D13433" s="500" t="s">
        <v>760</v>
      </c>
      <c r="E13433" s="501">
        <v>23019211.489999998</v>
      </c>
      <c r="F13433" s="95" t="s">
        <v>878</v>
      </c>
      <c r="G13433" s="420">
        <v>119666862</v>
      </c>
      <c r="H13433" s="420">
        <v>119666862</v>
      </c>
      <c r="I13433" s="529" t="s">
        <v>695</v>
      </c>
      <c r="J13433" s="530" t="s">
        <v>912</v>
      </c>
      <c r="N13433" s="420">
        <v>32108</v>
      </c>
      <c r="R13433" s="420">
        <v>716.59500000000003</v>
      </c>
      <c r="S13433" s="420">
        <v>716.93071788962197</v>
      </c>
      <c r="T13433" s="420">
        <v>17.099900000000002</v>
      </c>
      <c r="U13433" s="420">
        <v>39.32</v>
      </c>
      <c r="V13433" s="420">
        <v>17.260000000000002</v>
      </c>
      <c r="Z13433" s="420" t="s">
        <v>2953</v>
      </c>
    </row>
    <row r="13434" spans="1:26">
      <c r="A13434" s="499">
        <v>45945</v>
      </c>
      <c r="B13434" s="499">
        <v>45946</v>
      </c>
      <c r="C13434" s="420" t="s">
        <v>173</v>
      </c>
      <c r="D13434" s="500" t="s">
        <v>760</v>
      </c>
      <c r="E13434" s="501">
        <v>24022830.449999999</v>
      </c>
      <c r="F13434" s="95" t="s">
        <v>878</v>
      </c>
      <c r="G13434" s="420">
        <v>119666865</v>
      </c>
      <c r="H13434" s="420">
        <v>119666865</v>
      </c>
      <c r="I13434" s="529" t="s">
        <v>590</v>
      </c>
      <c r="J13434" s="530" t="s">
        <v>912</v>
      </c>
      <c r="N13434" s="420">
        <v>25008</v>
      </c>
      <c r="R13434" s="420">
        <v>960.15599999999995</v>
      </c>
      <c r="S13434" s="420">
        <v>960.60582413627606</v>
      </c>
      <c r="T13434" s="420">
        <v>17.099900000000002</v>
      </c>
      <c r="U13434" s="420">
        <v>39.32</v>
      </c>
      <c r="V13434" s="420">
        <v>18.010000000000002</v>
      </c>
      <c r="Z13434" s="420" t="s">
        <v>2953</v>
      </c>
    </row>
    <row r="13435" spans="1:26">
      <c r="A13435" s="499">
        <v>45945</v>
      </c>
      <c r="B13435" s="499">
        <v>45946</v>
      </c>
      <c r="C13435" s="420" t="s">
        <v>173</v>
      </c>
      <c r="D13435" s="500" t="s">
        <v>760</v>
      </c>
      <c r="E13435" s="501">
        <v>25018389.390000001</v>
      </c>
      <c r="F13435" s="95" t="s">
        <v>878</v>
      </c>
      <c r="G13435" s="420">
        <v>119666868</v>
      </c>
      <c r="H13435" s="420">
        <v>119666868</v>
      </c>
      <c r="I13435" s="529" t="s">
        <v>821</v>
      </c>
      <c r="J13435" s="530" t="s">
        <v>912</v>
      </c>
      <c r="N13435" s="420">
        <v>23950</v>
      </c>
      <c r="R13435" s="420">
        <v>1044.1199999999999</v>
      </c>
      <c r="S13435" s="420">
        <v>1044.6091603340301</v>
      </c>
      <c r="T13435" s="420">
        <v>17.099900000000002</v>
      </c>
      <c r="U13435" s="420">
        <v>39.32</v>
      </c>
      <c r="V13435" s="420">
        <v>18.760000000000002</v>
      </c>
      <c r="Z13435" s="420" t="s">
        <v>2953</v>
      </c>
    </row>
    <row r="13436" spans="1:26">
      <c r="A13436" s="499">
        <v>45945</v>
      </c>
      <c r="B13436" s="499">
        <v>45946</v>
      </c>
      <c r="C13436" s="420" t="s">
        <v>173</v>
      </c>
      <c r="D13436" s="500" t="s">
        <v>760</v>
      </c>
      <c r="E13436" s="501">
        <v>28023573.57</v>
      </c>
      <c r="F13436" s="95" t="s">
        <v>878</v>
      </c>
      <c r="G13436" s="420">
        <v>119666871</v>
      </c>
      <c r="H13436" s="420">
        <v>119666871</v>
      </c>
      <c r="I13436" s="529" t="s">
        <v>598</v>
      </c>
      <c r="J13436" s="530" t="s">
        <v>912</v>
      </c>
      <c r="N13436" s="420">
        <v>26264</v>
      </c>
      <c r="R13436" s="420">
        <v>1066.4960000000001</v>
      </c>
      <c r="S13436" s="420">
        <v>1066.99564308559</v>
      </c>
      <c r="T13436" s="420">
        <v>17.099900000000002</v>
      </c>
      <c r="U13436" s="420">
        <v>42.02</v>
      </c>
      <c r="V13436" s="420">
        <v>21.01</v>
      </c>
      <c r="Z13436" s="420" t="s">
        <v>2953</v>
      </c>
    </row>
    <row r="13437" spans="1:26">
      <c r="A13437" s="499">
        <v>45945</v>
      </c>
      <c r="B13437" s="499">
        <v>45946</v>
      </c>
      <c r="C13437" s="420" t="s">
        <v>173</v>
      </c>
      <c r="D13437" s="500" t="s">
        <v>760</v>
      </c>
      <c r="E13437" s="501">
        <v>28020039.010000002</v>
      </c>
      <c r="F13437" s="95" t="s">
        <v>878</v>
      </c>
      <c r="G13437" s="420">
        <v>119666874</v>
      </c>
      <c r="H13437" s="420">
        <v>119666874</v>
      </c>
      <c r="I13437" s="529" t="s">
        <v>706</v>
      </c>
      <c r="J13437" s="530" t="s">
        <v>912</v>
      </c>
      <c r="N13437" s="420">
        <v>35868</v>
      </c>
      <c r="R13437" s="420">
        <v>780.83299999999997</v>
      </c>
      <c r="S13437" s="420">
        <v>781.19881259061003</v>
      </c>
      <c r="T13437" s="420">
        <v>17.099900000000002</v>
      </c>
      <c r="U13437" s="420">
        <v>42.01</v>
      </c>
      <c r="V13437" s="420">
        <v>21.01</v>
      </c>
      <c r="Z13437" s="420" t="s">
        <v>2953</v>
      </c>
    </row>
    <row r="13438" spans="1:26">
      <c r="A13438" s="499">
        <v>45945</v>
      </c>
      <c r="B13438" s="499">
        <v>45946</v>
      </c>
      <c r="C13438" s="420" t="s">
        <v>173</v>
      </c>
      <c r="D13438" s="500" t="s">
        <v>760</v>
      </c>
      <c r="E13438" s="501">
        <v>30040143.530000001</v>
      </c>
      <c r="F13438" s="95" t="s">
        <v>878</v>
      </c>
      <c r="G13438" s="420">
        <v>119666877</v>
      </c>
      <c r="H13438" s="420">
        <v>119666877</v>
      </c>
      <c r="I13438" s="529" t="s">
        <v>674</v>
      </c>
      <c r="J13438" s="530" t="s">
        <v>912</v>
      </c>
      <c r="N13438" s="420">
        <v>33150</v>
      </c>
      <c r="R13438" s="420">
        <v>905.76400000000001</v>
      </c>
      <c r="S13438" s="420">
        <v>906.18834177978897</v>
      </c>
      <c r="T13438" s="420">
        <v>17.099900000000002</v>
      </c>
      <c r="U13438" s="420">
        <v>45.04</v>
      </c>
      <c r="V13438" s="420">
        <v>22.52</v>
      </c>
      <c r="Z13438" s="420" t="s">
        <v>2953</v>
      </c>
    </row>
    <row r="13439" spans="1:26">
      <c r="A13439" s="499">
        <v>45945</v>
      </c>
      <c r="B13439" s="499">
        <v>45946</v>
      </c>
      <c r="C13439" s="420" t="s">
        <v>173</v>
      </c>
      <c r="D13439" s="500" t="s">
        <v>760</v>
      </c>
      <c r="E13439" s="501">
        <v>36032498.280000001</v>
      </c>
      <c r="F13439" s="95" t="s">
        <v>878</v>
      </c>
      <c r="G13439" s="420">
        <v>119666880</v>
      </c>
      <c r="H13439" s="420">
        <v>119666880</v>
      </c>
      <c r="I13439" s="529" t="s">
        <v>694</v>
      </c>
      <c r="J13439" s="530" t="s">
        <v>912</v>
      </c>
      <c r="N13439" s="420">
        <v>34776</v>
      </c>
      <c r="R13439" s="420">
        <v>1035.646</v>
      </c>
      <c r="S13439" s="420">
        <v>1036.1311904761901</v>
      </c>
      <c r="T13439" s="420">
        <v>17.099900000000002</v>
      </c>
      <c r="U13439" s="420">
        <v>54.02</v>
      </c>
      <c r="V13439" s="420">
        <v>27.01</v>
      </c>
      <c r="Z13439" s="420" t="s">
        <v>2953</v>
      </c>
    </row>
    <row r="13440" spans="1:26">
      <c r="A13440" s="499">
        <v>45945</v>
      </c>
      <c r="B13440" s="499">
        <v>45946</v>
      </c>
      <c r="C13440" s="420" t="s">
        <v>173</v>
      </c>
      <c r="D13440" s="500" t="s">
        <v>760</v>
      </c>
      <c r="E13440" s="501">
        <v>37044096.5</v>
      </c>
      <c r="F13440" s="95" t="s">
        <v>878</v>
      </c>
      <c r="G13440" s="420">
        <v>119666883</v>
      </c>
      <c r="H13440" s="420">
        <v>119666883</v>
      </c>
      <c r="I13440" s="529" t="s">
        <v>823</v>
      </c>
      <c r="J13440" s="530" t="s">
        <v>912</v>
      </c>
      <c r="N13440" s="420">
        <v>35446</v>
      </c>
      <c r="R13440" s="420">
        <v>1044.596</v>
      </c>
      <c r="S13440" s="420">
        <v>1045.0853834001</v>
      </c>
      <c r="T13440" s="420">
        <v>17.099900000000002</v>
      </c>
      <c r="U13440" s="420">
        <v>55.54</v>
      </c>
      <c r="V13440" s="420">
        <v>27.77</v>
      </c>
      <c r="Z13440" s="420" t="s">
        <v>2953</v>
      </c>
    </row>
    <row r="13441" spans="1:26">
      <c r="A13441" s="499">
        <v>45945</v>
      </c>
      <c r="B13441" s="499">
        <v>45946</v>
      </c>
      <c r="C13441" s="420" t="s">
        <v>173</v>
      </c>
      <c r="D13441" s="500" t="s">
        <v>760</v>
      </c>
      <c r="E13441" s="501">
        <v>39042511.700000003</v>
      </c>
      <c r="F13441" s="95" t="s">
        <v>878</v>
      </c>
      <c r="G13441" s="420">
        <v>119666886</v>
      </c>
      <c r="H13441" s="420">
        <v>119666886</v>
      </c>
      <c r="I13441" s="529" t="s">
        <v>719</v>
      </c>
      <c r="J13441" s="530" t="s">
        <v>912</v>
      </c>
      <c r="N13441" s="420">
        <v>59982</v>
      </c>
      <c r="R13441" s="420">
        <v>650.59900000000005</v>
      </c>
      <c r="S13441" s="420">
        <v>650.90379947317501</v>
      </c>
      <c r="T13441" s="420">
        <v>17.099900000000002</v>
      </c>
      <c r="U13441" s="420">
        <v>58.54</v>
      </c>
      <c r="V13441" s="420">
        <v>29.27</v>
      </c>
      <c r="Z13441" s="420" t="s">
        <v>2953</v>
      </c>
    </row>
    <row r="13442" spans="1:26">
      <c r="A13442" s="499">
        <v>45945</v>
      </c>
      <c r="B13442" s="499">
        <v>45946</v>
      </c>
      <c r="C13442" s="420" t="s">
        <v>173</v>
      </c>
      <c r="D13442" s="500" t="s">
        <v>760</v>
      </c>
      <c r="E13442" s="501">
        <v>40026693.539999999</v>
      </c>
      <c r="F13442" s="95" t="s">
        <v>878</v>
      </c>
      <c r="G13442" s="420">
        <v>119666889</v>
      </c>
      <c r="H13442" s="420">
        <v>119666889</v>
      </c>
      <c r="I13442" s="529" t="s">
        <v>714</v>
      </c>
      <c r="J13442" s="530" t="s">
        <v>912</v>
      </c>
      <c r="N13442" s="420">
        <v>53160</v>
      </c>
      <c r="R13442" s="420">
        <v>752.59500000000003</v>
      </c>
      <c r="S13442" s="420">
        <v>752.94758352144504</v>
      </c>
      <c r="T13442" s="420">
        <v>17.099900000000002</v>
      </c>
      <c r="U13442" s="420">
        <v>60.01</v>
      </c>
      <c r="V13442" s="420">
        <v>30.01</v>
      </c>
      <c r="Z13442" s="420" t="s">
        <v>2953</v>
      </c>
    </row>
    <row r="13443" spans="1:26">
      <c r="A13443" s="499">
        <v>45945</v>
      </c>
      <c r="B13443" s="499">
        <v>45946</v>
      </c>
      <c r="C13443" s="420" t="s">
        <v>173</v>
      </c>
      <c r="D13443" s="500" t="s">
        <v>760</v>
      </c>
      <c r="E13443" s="501">
        <v>41028348.789999999</v>
      </c>
      <c r="F13443" s="95" t="s">
        <v>878</v>
      </c>
      <c r="G13443" s="420">
        <v>119666892</v>
      </c>
      <c r="H13443" s="420">
        <v>119666892</v>
      </c>
      <c r="I13443" s="529" t="s">
        <v>676</v>
      </c>
      <c r="J13443" s="530" t="s">
        <v>912</v>
      </c>
      <c r="N13443" s="420">
        <v>48257</v>
      </c>
      <c r="R13443" s="420">
        <v>849.80700000000002</v>
      </c>
      <c r="S13443" s="420">
        <v>850.20512651014405</v>
      </c>
      <c r="T13443" s="420">
        <v>17.099900000000002</v>
      </c>
      <c r="U13443" s="420">
        <v>61.51</v>
      </c>
      <c r="V13443" s="420">
        <v>30.76</v>
      </c>
      <c r="Z13443" s="420" t="s">
        <v>2953</v>
      </c>
    </row>
    <row r="13444" spans="1:26">
      <c r="A13444" s="499">
        <v>45945</v>
      </c>
      <c r="B13444" s="499">
        <v>45946</v>
      </c>
      <c r="C13444" s="420" t="s">
        <v>173</v>
      </c>
      <c r="D13444" s="500" t="s">
        <v>760</v>
      </c>
      <c r="E13444" s="501">
        <v>44033987.060000002</v>
      </c>
      <c r="F13444" s="95" t="s">
        <v>878</v>
      </c>
      <c r="G13444" s="420">
        <v>119666895</v>
      </c>
      <c r="H13444" s="420">
        <v>119666895</v>
      </c>
      <c r="I13444" s="529" t="s">
        <v>550</v>
      </c>
      <c r="J13444" s="530" t="s">
        <v>912</v>
      </c>
      <c r="N13444" s="420">
        <v>81136</v>
      </c>
      <c r="R13444" s="420">
        <v>542.46410000000003</v>
      </c>
      <c r="S13444" s="420">
        <v>542.71823925261299</v>
      </c>
      <c r="T13444" s="420">
        <v>17.099900000000002</v>
      </c>
      <c r="U13444" s="420">
        <v>66.02</v>
      </c>
      <c r="V13444" s="420">
        <v>33.01</v>
      </c>
      <c r="Z13444" s="420" t="s">
        <v>2953</v>
      </c>
    </row>
    <row r="13445" spans="1:26">
      <c r="A13445" s="499">
        <v>45945</v>
      </c>
      <c r="B13445" s="499">
        <v>45946</v>
      </c>
      <c r="C13445" s="420" t="s">
        <v>173</v>
      </c>
      <c r="D13445" s="500" t="s">
        <v>760</v>
      </c>
      <c r="E13445" s="501">
        <v>44057878.090000004</v>
      </c>
      <c r="F13445" s="95" t="s">
        <v>878</v>
      </c>
      <c r="G13445" s="420">
        <v>119666898</v>
      </c>
      <c r="H13445" s="420">
        <v>119666898</v>
      </c>
      <c r="I13445" s="529" t="s">
        <v>588</v>
      </c>
      <c r="J13445" s="530" t="s">
        <v>912</v>
      </c>
      <c r="N13445" s="420">
        <v>50028</v>
      </c>
      <c r="R13445" s="420">
        <v>880.25199999999995</v>
      </c>
      <c r="S13445" s="420">
        <v>880.66438974174503</v>
      </c>
      <c r="T13445" s="420">
        <v>17.099900000000002</v>
      </c>
      <c r="U13445" s="420">
        <v>66.06</v>
      </c>
      <c r="V13445" s="420">
        <v>33.03</v>
      </c>
      <c r="Z13445" s="420" t="s">
        <v>2953</v>
      </c>
    </row>
    <row r="13446" spans="1:26">
      <c r="A13446" s="499">
        <v>45945</v>
      </c>
      <c r="B13446" s="499">
        <v>45946</v>
      </c>
      <c r="C13446" s="420" t="s">
        <v>173</v>
      </c>
      <c r="D13446" s="500" t="s">
        <v>760</v>
      </c>
      <c r="E13446" s="501">
        <v>47046074.43</v>
      </c>
      <c r="F13446" s="95" t="s">
        <v>878</v>
      </c>
      <c r="G13446" s="420">
        <v>119666901</v>
      </c>
      <c r="H13446" s="420">
        <v>119666901</v>
      </c>
      <c r="I13446" s="529" t="s">
        <v>602</v>
      </c>
      <c r="J13446" s="530" t="s">
        <v>912</v>
      </c>
      <c r="N13446" s="420">
        <v>58139</v>
      </c>
      <c r="R13446" s="420">
        <v>808.82100000000003</v>
      </c>
      <c r="S13446" s="420">
        <v>809.19992483530802</v>
      </c>
      <c r="T13446" s="420">
        <v>17.099900000000002</v>
      </c>
      <c r="U13446" s="420">
        <v>70.540000000000006</v>
      </c>
      <c r="V13446" s="420">
        <v>35.270000000000003</v>
      </c>
      <c r="Z13446" s="420" t="s">
        <v>2953</v>
      </c>
    </row>
    <row r="13447" spans="1:26">
      <c r="A13447" s="499">
        <v>45945</v>
      </c>
      <c r="B13447" s="499">
        <v>45946</v>
      </c>
      <c r="C13447" s="420" t="s">
        <v>173</v>
      </c>
      <c r="D13447" s="500" t="s">
        <v>760</v>
      </c>
      <c r="E13447" s="501">
        <v>50033520</v>
      </c>
      <c r="F13447" s="95" t="s">
        <v>878</v>
      </c>
      <c r="G13447" s="420">
        <v>119666904</v>
      </c>
      <c r="H13447" s="420">
        <v>119666904</v>
      </c>
      <c r="I13447" s="529" t="s">
        <v>687</v>
      </c>
      <c r="J13447" s="530" t="s">
        <v>912</v>
      </c>
      <c r="N13447" s="420">
        <v>60250</v>
      </c>
      <c r="R13447" s="420">
        <v>830.04300000000001</v>
      </c>
      <c r="S13447" s="420">
        <v>830.43186721991697</v>
      </c>
      <c r="T13447" s="420">
        <v>17.099900000000002</v>
      </c>
      <c r="U13447" s="420">
        <v>75.02</v>
      </c>
      <c r="V13447" s="420">
        <v>37.51</v>
      </c>
      <c r="Z13447" s="420" t="s">
        <v>2953</v>
      </c>
    </row>
    <row r="13448" spans="1:26">
      <c r="A13448" s="499">
        <v>45945</v>
      </c>
      <c r="B13448" s="499">
        <v>45946</v>
      </c>
      <c r="C13448" s="420" t="s">
        <v>173</v>
      </c>
      <c r="D13448" s="500" t="s">
        <v>760</v>
      </c>
      <c r="E13448" s="501">
        <v>52050975.960000001</v>
      </c>
      <c r="F13448" s="95" t="s">
        <v>878</v>
      </c>
      <c r="G13448" s="420">
        <v>119666907</v>
      </c>
      <c r="H13448" s="420">
        <v>119666907</v>
      </c>
      <c r="I13448" s="529" t="s">
        <v>602</v>
      </c>
      <c r="J13448" s="530" t="s">
        <v>912</v>
      </c>
      <c r="N13448" s="420">
        <v>64324</v>
      </c>
      <c r="R13448" s="420">
        <v>808.82100000000003</v>
      </c>
      <c r="S13448" s="420">
        <v>809.19992475592301</v>
      </c>
      <c r="T13448" s="420">
        <v>17.099900000000002</v>
      </c>
      <c r="U13448" s="420">
        <v>78.040000000000006</v>
      </c>
      <c r="V13448" s="420">
        <v>39.020000000000003</v>
      </c>
      <c r="Z13448" s="420" t="s">
        <v>2953</v>
      </c>
    </row>
    <row r="13449" spans="1:26">
      <c r="A13449" s="499">
        <v>45945</v>
      </c>
      <c r="B13449" s="499">
        <v>45946</v>
      </c>
      <c r="C13449" s="420" t="s">
        <v>173</v>
      </c>
      <c r="D13449" s="500" t="s">
        <v>760</v>
      </c>
      <c r="E13449" s="501">
        <v>54071032.200000003</v>
      </c>
      <c r="F13449" s="95" t="s">
        <v>878</v>
      </c>
      <c r="G13449" s="420">
        <v>119666910</v>
      </c>
      <c r="H13449" s="420">
        <v>119666910</v>
      </c>
      <c r="I13449" s="529" t="s">
        <v>588</v>
      </c>
      <c r="J13449" s="530" t="s">
        <v>912</v>
      </c>
      <c r="N13449" s="420">
        <v>61398</v>
      </c>
      <c r="R13449" s="420">
        <v>880.25199999999995</v>
      </c>
      <c r="S13449" s="420">
        <v>880.66438971953505</v>
      </c>
      <c r="T13449" s="420">
        <v>17.099900000000002</v>
      </c>
      <c r="U13449" s="420">
        <v>81.069999999999993</v>
      </c>
      <c r="V13449" s="420">
        <v>40.53</v>
      </c>
      <c r="Z13449" s="420" t="s">
        <v>2953</v>
      </c>
    </row>
    <row r="13450" spans="1:26">
      <c r="A13450" s="499">
        <v>45945</v>
      </c>
      <c r="B13450" s="499">
        <v>45946</v>
      </c>
      <c r="C13450" s="420" t="s">
        <v>173</v>
      </c>
      <c r="D13450" s="500" t="s">
        <v>760</v>
      </c>
      <c r="E13450" s="501">
        <v>57040841.270000003</v>
      </c>
      <c r="F13450" s="95" t="s">
        <v>878</v>
      </c>
      <c r="G13450" s="420">
        <v>119666913</v>
      </c>
      <c r="H13450" s="420">
        <v>119666913</v>
      </c>
      <c r="I13450" s="529" t="s">
        <v>829</v>
      </c>
      <c r="J13450" s="530" t="s">
        <v>912</v>
      </c>
      <c r="N13450" s="420">
        <v>56601</v>
      </c>
      <c r="R13450" s="420">
        <v>1007.299</v>
      </c>
      <c r="S13450" s="420">
        <v>1007.77090987792</v>
      </c>
      <c r="T13450" s="420">
        <v>17.099900000000002</v>
      </c>
      <c r="U13450" s="420">
        <v>85.52</v>
      </c>
      <c r="V13450" s="420">
        <v>42.76</v>
      </c>
      <c r="Z13450" s="420" t="s">
        <v>2953</v>
      </c>
    </row>
    <row r="13451" spans="1:26">
      <c r="A13451" s="499">
        <v>45945</v>
      </c>
      <c r="B13451" s="499">
        <v>45946</v>
      </c>
      <c r="C13451" s="420" t="s">
        <v>173</v>
      </c>
      <c r="D13451" s="500" t="s">
        <v>760</v>
      </c>
      <c r="E13451" s="501">
        <v>58084540.600000001</v>
      </c>
      <c r="F13451" s="95" t="s">
        <v>878</v>
      </c>
      <c r="G13451" s="420">
        <v>119666916</v>
      </c>
      <c r="H13451" s="420">
        <v>119666916</v>
      </c>
      <c r="I13451" s="529" t="s">
        <v>824</v>
      </c>
      <c r="J13451" s="530" t="s">
        <v>912</v>
      </c>
      <c r="N13451" s="420">
        <v>54114</v>
      </c>
      <c r="R13451" s="420">
        <v>1072.8710000000001</v>
      </c>
      <c r="S13451" s="420">
        <v>1073.3736297446101</v>
      </c>
      <c r="T13451" s="420">
        <v>17.099900000000002</v>
      </c>
      <c r="U13451" s="420">
        <v>87.09</v>
      </c>
      <c r="V13451" s="420">
        <v>43.54</v>
      </c>
      <c r="Z13451" s="420" t="s">
        <v>2953</v>
      </c>
    </row>
    <row r="13452" spans="1:26">
      <c r="A13452" s="499">
        <v>45945</v>
      </c>
      <c r="B13452" s="499">
        <v>45946</v>
      </c>
      <c r="C13452" s="420" t="s">
        <v>173</v>
      </c>
      <c r="D13452" s="500" t="s">
        <v>760</v>
      </c>
      <c r="E13452" s="501">
        <v>58068183.270000003</v>
      </c>
      <c r="F13452" s="95" t="s">
        <v>878</v>
      </c>
      <c r="G13452" s="420">
        <v>119666919</v>
      </c>
      <c r="H13452" s="420">
        <v>119666919</v>
      </c>
      <c r="I13452" s="529" t="s">
        <v>690</v>
      </c>
      <c r="J13452" s="530" t="s">
        <v>912</v>
      </c>
      <c r="N13452" s="420">
        <v>77488</v>
      </c>
      <c r="R13452" s="420">
        <v>749.03200000000004</v>
      </c>
      <c r="S13452" s="420">
        <v>749.38291438674401</v>
      </c>
      <c r="T13452" s="420">
        <v>17.099900000000002</v>
      </c>
      <c r="U13452" s="420">
        <v>87.06</v>
      </c>
      <c r="V13452" s="420">
        <v>43.53</v>
      </c>
      <c r="Z13452" s="420" t="s">
        <v>2953</v>
      </c>
    </row>
    <row r="13453" spans="1:26">
      <c r="A13453" s="499">
        <v>45945</v>
      </c>
      <c r="B13453" s="499">
        <v>45946</v>
      </c>
      <c r="C13453" s="420" t="s">
        <v>173</v>
      </c>
      <c r="D13453" s="500" t="s">
        <v>760</v>
      </c>
      <c r="E13453" s="501">
        <v>64030942.82</v>
      </c>
      <c r="F13453" s="95" t="s">
        <v>878</v>
      </c>
      <c r="G13453" s="420">
        <v>119666922</v>
      </c>
      <c r="H13453" s="420">
        <v>119666922</v>
      </c>
      <c r="I13453" s="529" t="s">
        <v>696</v>
      </c>
      <c r="J13453" s="530" t="s">
        <v>912</v>
      </c>
      <c r="N13453" s="420">
        <v>85248</v>
      </c>
      <c r="R13453" s="420">
        <v>750.76199999999994</v>
      </c>
      <c r="S13453" s="420">
        <v>751.11372489677206</v>
      </c>
      <c r="T13453" s="420">
        <v>17.099900000000002</v>
      </c>
      <c r="U13453" s="420">
        <v>96</v>
      </c>
      <c r="V13453" s="420">
        <v>48</v>
      </c>
      <c r="Z13453" s="420" t="s">
        <v>2953</v>
      </c>
    </row>
    <row r="13454" spans="1:26">
      <c r="A13454" s="499">
        <v>45945</v>
      </c>
      <c r="B13454" s="499">
        <v>45946</v>
      </c>
      <c r="C13454" s="420" t="s">
        <v>173</v>
      </c>
      <c r="D13454" s="500" t="s">
        <v>760</v>
      </c>
      <c r="E13454" s="501">
        <v>66038469.609999999</v>
      </c>
      <c r="F13454" s="95" t="s">
        <v>878</v>
      </c>
      <c r="G13454" s="420">
        <v>119666941</v>
      </c>
      <c r="H13454" s="420">
        <v>119666941</v>
      </c>
      <c r="I13454" s="529" t="s">
        <v>600</v>
      </c>
      <c r="J13454" s="530" t="s">
        <v>912</v>
      </c>
      <c r="N13454" s="420">
        <v>70818</v>
      </c>
      <c r="R13454" s="420">
        <v>932.07299999999998</v>
      </c>
      <c r="S13454" s="420">
        <v>932.50966717501205</v>
      </c>
      <c r="T13454" s="420">
        <v>17.099900000000002</v>
      </c>
      <c r="U13454" s="420">
        <v>99.01</v>
      </c>
      <c r="V13454" s="420">
        <v>49.51</v>
      </c>
      <c r="Z13454" s="420" t="s">
        <v>2953</v>
      </c>
    </row>
    <row r="13455" spans="1:26">
      <c r="A13455" s="499">
        <v>45945</v>
      </c>
      <c r="B13455" s="499">
        <v>45946</v>
      </c>
      <c r="C13455" s="420" t="s">
        <v>173</v>
      </c>
      <c r="D13455" s="500" t="s">
        <v>760</v>
      </c>
      <c r="E13455" s="501">
        <v>69065637.530000001</v>
      </c>
      <c r="F13455" s="95" t="s">
        <v>878</v>
      </c>
      <c r="G13455" s="420">
        <v>119666944</v>
      </c>
      <c r="H13455" s="420">
        <v>119666944</v>
      </c>
      <c r="I13455" s="529" t="s">
        <v>590</v>
      </c>
      <c r="J13455" s="530" t="s">
        <v>912</v>
      </c>
      <c r="N13455" s="420">
        <v>71898</v>
      </c>
      <c r="R13455" s="420">
        <v>960.15599999999995</v>
      </c>
      <c r="S13455" s="420">
        <v>960.60582394503297</v>
      </c>
      <c r="T13455" s="420">
        <v>17.099900000000002</v>
      </c>
      <c r="U13455" s="420">
        <v>103.55</v>
      </c>
      <c r="V13455" s="420">
        <v>51.77</v>
      </c>
      <c r="Z13455" s="420" t="s">
        <v>2953</v>
      </c>
    </row>
    <row r="13456" spans="1:26">
      <c r="A13456" s="499">
        <v>45945</v>
      </c>
      <c r="B13456" s="499">
        <v>45946</v>
      </c>
      <c r="C13456" s="420" t="s">
        <v>173</v>
      </c>
      <c r="D13456" s="500" t="s">
        <v>760</v>
      </c>
      <c r="E13456" s="501">
        <v>76063985.409999996</v>
      </c>
      <c r="F13456" s="95" t="s">
        <v>878</v>
      </c>
      <c r="G13456" s="420">
        <v>119666947</v>
      </c>
      <c r="H13456" s="420">
        <v>119666947</v>
      </c>
      <c r="I13456" s="529" t="s">
        <v>598</v>
      </c>
      <c r="J13456" s="530" t="s">
        <v>912</v>
      </c>
      <c r="N13456" s="420">
        <v>71288</v>
      </c>
      <c r="R13456" s="420">
        <v>1066.4960000000001</v>
      </c>
      <c r="S13456" s="420">
        <v>1066.9956431657499</v>
      </c>
      <c r="T13456" s="420">
        <v>17.099900000000002</v>
      </c>
      <c r="U13456" s="420">
        <v>114.04</v>
      </c>
      <c r="V13456" s="420">
        <v>57.02</v>
      </c>
      <c r="Z13456" s="420" t="s">
        <v>2953</v>
      </c>
    </row>
    <row r="13457" spans="1:26">
      <c r="A13457" s="499">
        <v>45945</v>
      </c>
      <c r="B13457" s="499">
        <v>45946</v>
      </c>
      <c r="C13457" s="420" t="s">
        <v>173</v>
      </c>
      <c r="D13457" s="500" t="s">
        <v>760</v>
      </c>
      <c r="E13457" s="501">
        <v>77096244.25</v>
      </c>
      <c r="F13457" s="95" t="s">
        <v>878</v>
      </c>
      <c r="G13457" s="420">
        <v>119666950</v>
      </c>
      <c r="H13457" s="420">
        <v>119666950</v>
      </c>
      <c r="I13457" s="529" t="s">
        <v>711</v>
      </c>
      <c r="J13457" s="530" t="s">
        <v>912</v>
      </c>
      <c r="N13457" s="420">
        <v>98329</v>
      </c>
      <c r="R13457" s="420">
        <v>783.697</v>
      </c>
      <c r="S13457" s="420">
        <v>784.06415452206397</v>
      </c>
      <c r="T13457" s="420">
        <v>17.099900000000002</v>
      </c>
      <c r="U13457" s="420">
        <v>115.59</v>
      </c>
      <c r="V13457" s="420">
        <v>57.8</v>
      </c>
      <c r="Z13457" s="420" t="s">
        <v>2953</v>
      </c>
    </row>
    <row r="13458" spans="1:26">
      <c r="A13458" s="499">
        <v>45945</v>
      </c>
      <c r="B13458" s="499">
        <v>45946</v>
      </c>
      <c r="C13458" s="420" t="s">
        <v>173</v>
      </c>
      <c r="D13458" s="500" t="s">
        <v>760</v>
      </c>
      <c r="E13458" s="501">
        <v>84064884.379999995</v>
      </c>
      <c r="F13458" s="95" t="s">
        <v>878</v>
      </c>
      <c r="G13458" s="420">
        <v>119666953</v>
      </c>
      <c r="H13458" s="420">
        <v>119666953</v>
      </c>
      <c r="I13458" s="529" t="s">
        <v>550</v>
      </c>
      <c r="J13458" s="530" t="s">
        <v>912</v>
      </c>
      <c r="N13458" s="420">
        <v>154896</v>
      </c>
      <c r="R13458" s="420">
        <v>542.46410000000003</v>
      </c>
      <c r="S13458" s="420">
        <v>542.71823920566101</v>
      </c>
      <c r="T13458" s="420">
        <v>17.099900000000002</v>
      </c>
      <c r="U13458" s="420">
        <v>126.04</v>
      </c>
      <c r="V13458" s="420">
        <v>63.02</v>
      </c>
      <c r="Z13458" s="420" t="s">
        <v>2953</v>
      </c>
    </row>
    <row r="13459" spans="1:26">
      <c r="A13459" s="499">
        <v>45945</v>
      </c>
      <c r="B13459" s="499">
        <v>45946</v>
      </c>
      <c r="C13459" s="420" t="s">
        <v>173</v>
      </c>
      <c r="D13459" s="500" t="s">
        <v>760</v>
      </c>
      <c r="E13459" s="501">
        <v>89074251.069999993</v>
      </c>
      <c r="F13459" s="95" t="s">
        <v>878</v>
      </c>
      <c r="G13459" s="420">
        <v>119666956</v>
      </c>
      <c r="H13459" s="420">
        <v>119666956</v>
      </c>
      <c r="I13459" s="529" t="s">
        <v>709</v>
      </c>
      <c r="J13459" s="530" t="s">
        <v>912</v>
      </c>
      <c r="N13459" s="420">
        <v>125045</v>
      </c>
      <c r="R13459" s="420">
        <v>712.00400000000002</v>
      </c>
      <c r="S13459" s="420">
        <v>712.33756703586698</v>
      </c>
      <c r="T13459" s="420">
        <v>17.099900000000002</v>
      </c>
      <c r="U13459" s="420">
        <v>133.55000000000001</v>
      </c>
      <c r="V13459" s="420">
        <v>66.77</v>
      </c>
      <c r="Z13459" s="420" t="s">
        <v>2953</v>
      </c>
    </row>
    <row r="13460" spans="1:26">
      <c r="A13460" s="499">
        <v>45945</v>
      </c>
      <c r="B13460" s="499">
        <v>45946</v>
      </c>
      <c r="C13460" s="420" t="s">
        <v>173</v>
      </c>
      <c r="D13460" s="500" t="s">
        <v>760</v>
      </c>
      <c r="E13460" s="501">
        <v>96049913.329999998</v>
      </c>
      <c r="F13460" s="95" t="s">
        <v>878</v>
      </c>
      <c r="G13460" s="420">
        <v>119666959</v>
      </c>
      <c r="H13460" s="420">
        <v>119666959</v>
      </c>
      <c r="I13460" s="529" t="s">
        <v>715</v>
      </c>
      <c r="J13460" s="530" t="s">
        <v>912</v>
      </c>
      <c r="N13460" s="420">
        <v>158592</v>
      </c>
      <c r="R13460" s="420">
        <v>605.35799999999995</v>
      </c>
      <c r="S13460" s="420">
        <v>605.64160443149694</v>
      </c>
      <c r="T13460" s="420">
        <v>17.099900000000002</v>
      </c>
      <c r="U13460" s="420">
        <v>144.01</v>
      </c>
      <c r="V13460" s="420">
        <v>72</v>
      </c>
      <c r="Z13460" s="420" t="s">
        <v>2953</v>
      </c>
    </row>
    <row r="13461" spans="1:26">
      <c r="A13461" s="499">
        <v>45945</v>
      </c>
      <c r="B13461" s="499">
        <v>45946</v>
      </c>
      <c r="C13461" s="420" t="s">
        <v>173</v>
      </c>
      <c r="D13461" s="500" t="s">
        <v>760</v>
      </c>
      <c r="E13461" s="501">
        <v>99105232.920000002</v>
      </c>
      <c r="F13461" s="95" t="s">
        <v>878</v>
      </c>
      <c r="G13461" s="420">
        <v>119666962</v>
      </c>
      <c r="H13461" s="420">
        <v>119666962</v>
      </c>
      <c r="I13461" s="529" t="s">
        <v>816</v>
      </c>
      <c r="J13461" s="530" t="s">
        <v>912</v>
      </c>
      <c r="N13461" s="420">
        <v>92763</v>
      </c>
      <c r="R13461" s="420">
        <v>1067.8699999999999</v>
      </c>
      <c r="S13461" s="420">
        <v>1068.3702868600601</v>
      </c>
      <c r="T13461" s="420">
        <v>17.099900000000002</v>
      </c>
      <c r="U13461" s="420">
        <v>148.59</v>
      </c>
      <c r="V13461" s="420">
        <v>74.290000000000006</v>
      </c>
      <c r="Z13461" s="420" t="s">
        <v>2953</v>
      </c>
    </row>
    <row r="13462" spans="1:26">
      <c r="A13462" s="499">
        <v>45945</v>
      </c>
      <c r="B13462" s="499">
        <v>45946</v>
      </c>
      <c r="C13462" s="420" t="s">
        <v>173</v>
      </c>
      <c r="D13462" s="500" t="s">
        <v>760</v>
      </c>
      <c r="E13462" s="501">
        <v>109063533.15000001</v>
      </c>
      <c r="F13462" s="95" t="s">
        <v>878</v>
      </c>
      <c r="G13462" s="420">
        <v>119666965</v>
      </c>
      <c r="H13462" s="420">
        <v>119666965</v>
      </c>
      <c r="I13462" s="529" t="s">
        <v>600</v>
      </c>
      <c r="J13462" s="530" t="s">
        <v>912</v>
      </c>
      <c r="N13462" s="420">
        <v>116957</v>
      </c>
      <c r="R13462" s="420">
        <v>932.07299999999998</v>
      </c>
      <c r="S13462" s="420">
        <v>932.509667228127</v>
      </c>
      <c r="T13462" s="420">
        <v>17.099900000000002</v>
      </c>
      <c r="U13462" s="420">
        <v>163.52000000000001</v>
      </c>
      <c r="V13462" s="420">
        <v>81.760000000000005</v>
      </c>
      <c r="Z13462" s="420" t="s">
        <v>2953</v>
      </c>
    </row>
    <row r="13463" spans="1:26">
      <c r="A13463" s="499">
        <v>45945</v>
      </c>
      <c r="B13463" s="499">
        <v>45946</v>
      </c>
      <c r="C13463" s="420" t="s">
        <v>173</v>
      </c>
      <c r="D13463" s="500" t="s">
        <v>760</v>
      </c>
      <c r="E13463" s="501">
        <v>265251863.71000001</v>
      </c>
      <c r="F13463" s="95" t="s">
        <v>878</v>
      </c>
      <c r="G13463" s="420">
        <v>119667011</v>
      </c>
      <c r="H13463" s="420">
        <v>119667011</v>
      </c>
      <c r="I13463" s="529" t="s">
        <v>2944</v>
      </c>
      <c r="J13463" s="530" t="s">
        <v>912</v>
      </c>
      <c r="N13463" s="420">
        <v>270035</v>
      </c>
      <c r="R13463" s="420">
        <v>981.827</v>
      </c>
      <c r="S13463" s="420">
        <v>982.28697654007794</v>
      </c>
      <c r="T13463" s="420">
        <v>17.099900000000002</v>
      </c>
      <c r="U13463" s="420">
        <v>397.69</v>
      </c>
      <c r="V13463" s="420">
        <v>198.85</v>
      </c>
      <c r="Z13463" s="420" t="s">
        <v>2953</v>
      </c>
    </row>
    <row r="13464" spans="1:26">
      <c r="A13464" s="499">
        <v>45945</v>
      </c>
      <c r="B13464" s="499">
        <v>45946</v>
      </c>
      <c r="C13464" s="420" t="s">
        <v>173</v>
      </c>
      <c r="D13464" s="500" t="s">
        <v>760</v>
      </c>
      <c r="E13464" s="501">
        <v>286271822.72000003</v>
      </c>
      <c r="F13464" s="95" t="s">
        <v>878</v>
      </c>
      <c r="G13464" s="420">
        <v>119667017</v>
      </c>
      <c r="H13464" s="420">
        <v>119667017</v>
      </c>
      <c r="I13464" s="529" t="s">
        <v>2944</v>
      </c>
      <c r="J13464" s="530" t="s">
        <v>912</v>
      </c>
      <c r="N13464" s="420">
        <v>291434</v>
      </c>
      <c r="R13464" s="420">
        <v>981.827</v>
      </c>
      <c r="S13464" s="420">
        <v>982.28697653671202</v>
      </c>
      <c r="T13464" s="420">
        <v>17.099900000000002</v>
      </c>
      <c r="U13464" s="420">
        <v>429.21</v>
      </c>
      <c r="V13464" s="420">
        <v>214.6</v>
      </c>
      <c r="Z13464" s="420" t="s">
        <v>2953</v>
      </c>
    </row>
    <row r="13465" spans="1:26">
      <c r="A13465" s="499">
        <v>45945</v>
      </c>
      <c r="B13465" s="499">
        <v>45946</v>
      </c>
      <c r="C13465" s="420" t="s">
        <v>173</v>
      </c>
      <c r="D13465" s="500" t="s">
        <v>760</v>
      </c>
      <c r="E13465" s="501">
        <v>161191879.34</v>
      </c>
      <c r="F13465" s="95" t="s">
        <v>878</v>
      </c>
      <c r="G13465" s="420">
        <v>119667036</v>
      </c>
      <c r="H13465" s="420">
        <v>119667036</v>
      </c>
      <c r="I13465" s="529" t="s">
        <v>823</v>
      </c>
      <c r="J13465" s="530" t="s">
        <v>912</v>
      </c>
      <c r="N13465" s="420">
        <v>154238</v>
      </c>
      <c r="R13465" s="420">
        <v>1044.596</v>
      </c>
      <c r="S13465" s="420">
        <v>1045.08538323889</v>
      </c>
      <c r="T13465" s="420">
        <v>17.099900000000002</v>
      </c>
      <c r="U13465" s="420">
        <v>241.67</v>
      </c>
      <c r="V13465" s="420">
        <v>120.84</v>
      </c>
      <c r="Z13465" s="420" t="s">
        <v>2953</v>
      </c>
    </row>
    <row r="13466" spans="1:26">
      <c r="A13466" s="499">
        <v>45945</v>
      </c>
      <c r="B13466" s="499">
        <v>45946</v>
      </c>
      <c r="C13466" s="420" t="s">
        <v>173</v>
      </c>
      <c r="D13466" s="500" t="s">
        <v>760</v>
      </c>
      <c r="E13466" s="501">
        <v>194282773.72999999</v>
      </c>
      <c r="F13466" s="95" t="s">
        <v>878</v>
      </c>
      <c r="G13466" s="420">
        <v>119667039</v>
      </c>
      <c r="H13466" s="420">
        <v>119667039</v>
      </c>
      <c r="I13466" s="529" t="s">
        <v>824</v>
      </c>
      <c r="J13466" s="530" t="s">
        <v>912</v>
      </c>
      <c r="N13466" s="420">
        <v>181002</v>
      </c>
      <c r="R13466" s="420">
        <v>1072.8710000000001</v>
      </c>
      <c r="S13466" s="420">
        <v>1073.3736297389</v>
      </c>
      <c r="T13466" s="420">
        <v>17.099900000000002</v>
      </c>
      <c r="U13466" s="420">
        <v>291.29000000000002</v>
      </c>
      <c r="V13466" s="420">
        <v>145.63999999999999</v>
      </c>
      <c r="Z13466" s="420" t="s">
        <v>2953</v>
      </c>
    </row>
    <row r="13467" spans="1:26">
      <c r="A13467" s="499">
        <v>45945</v>
      </c>
      <c r="B13467" s="499">
        <v>45946</v>
      </c>
      <c r="C13467" s="420" t="s">
        <v>173</v>
      </c>
      <c r="D13467" s="500" t="s">
        <v>760</v>
      </c>
      <c r="E13467" s="501">
        <v>195243735.44999999</v>
      </c>
      <c r="F13467" s="95" t="s">
        <v>878</v>
      </c>
      <c r="G13467" s="420">
        <v>119667042</v>
      </c>
      <c r="H13467" s="420">
        <v>119667042</v>
      </c>
      <c r="I13467" s="529" t="s">
        <v>711</v>
      </c>
      <c r="J13467" s="530" t="s">
        <v>912</v>
      </c>
      <c r="N13467" s="420">
        <v>249015</v>
      </c>
      <c r="R13467" s="420">
        <v>783.697</v>
      </c>
      <c r="S13467" s="420">
        <v>784.06415456900197</v>
      </c>
      <c r="T13467" s="420">
        <v>17.099900000000002</v>
      </c>
      <c r="U13467" s="420">
        <v>292.73</v>
      </c>
      <c r="V13467" s="420">
        <v>146.36000000000001</v>
      </c>
      <c r="Z13467" s="420" t="s">
        <v>2953</v>
      </c>
    </row>
    <row r="13468" spans="1:26">
      <c r="A13468" s="499">
        <v>45945</v>
      </c>
      <c r="B13468" s="499">
        <v>45946</v>
      </c>
      <c r="C13468" s="420" t="s">
        <v>173</v>
      </c>
      <c r="D13468" s="500" t="s">
        <v>760</v>
      </c>
      <c r="E13468" s="501">
        <v>234197007.69999999</v>
      </c>
      <c r="F13468" s="95" t="s">
        <v>878</v>
      </c>
      <c r="G13468" s="420">
        <v>119667045</v>
      </c>
      <c r="H13468" s="420">
        <v>119667045</v>
      </c>
      <c r="I13468" s="529" t="s">
        <v>598</v>
      </c>
      <c r="J13468" s="530" t="s">
        <v>912</v>
      </c>
      <c r="N13468" s="420">
        <v>219492</v>
      </c>
      <c r="R13468" s="420">
        <v>1066.4960000000001</v>
      </c>
      <c r="S13468" s="420">
        <v>1066.99564312139</v>
      </c>
      <c r="T13468" s="420">
        <v>17.099900000000002</v>
      </c>
      <c r="U13468" s="420">
        <v>351.13</v>
      </c>
      <c r="V13468" s="420">
        <v>175.57</v>
      </c>
      <c r="Z13468" s="420" t="s">
        <v>2953</v>
      </c>
    </row>
    <row r="13469" spans="1:26">
      <c r="A13469" s="499">
        <v>45945</v>
      </c>
      <c r="B13469" s="499">
        <v>45946</v>
      </c>
      <c r="C13469" s="420" t="s">
        <v>173</v>
      </c>
      <c r="D13469" s="500" t="s">
        <v>760</v>
      </c>
      <c r="E13469" s="501">
        <v>26030603.52</v>
      </c>
      <c r="F13469" s="95" t="s">
        <v>878</v>
      </c>
      <c r="G13469" s="420">
        <v>119667048</v>
      </c>
      <c r="H13469" s="420">
        <v>119667048</v>
      </c>
      <c r="I13469" s="529" t="s">
        <v>675</v>
      </c>
      <c r="J13469" s="530" t="s">
        <v>912</v>
      </c>
      <c r="N13469" s="420">
        <v>27274</v>
      </c>
      <c r="R13469" s="420">
        <v>953.96400000000006</v>
      </c>
      <c r="S13469" s="420">
        <v>954.41092322358304</v>
      </c>
      <c r="T13469" s="420">
        <v>17.099900000000002</v>
      </c>
      <c r="U13469" s="420">
        <v>39.32</v>
      </c>
      <c r="V13469" s="420">
        <v>19.510000000000002</v>
      </c>
      <c r="Z13469" s="420" t="s">
        <v>2953</v>
      </c>
    </row>
    <row r="13470" spans="1:26">
      <c r="A13470" s="499">
        <v>45945</v>
      </c>
      <c r="B13470" s="499">
        <v>45946</v>
      </c>
      <c r="C13470" s="420" t="s">
        <v>173</v>
      </c>
      <c r="D13470" s="500" t="s">
        <v>760</v>
      </c>
      <c r="E13470" s="501">
        <v>42043286.5</v>
      </c>
      <c r="F13470" s="95" t="s">
        <v>878</v>
      </c>
      <c r="G13470" s="420">
        <v>119668560</v>
      </c>
      <c r="H13470" s="420">
        <v>119668560</v>
      </c>
      <c r="I13470" s="529" t="s">
        <v>678</v>
      </c>
      <c r="J13470" s="530" t="s">
        <v>912</v>
      </c>
      <c r="N13470" s="420">
        <v>44142</v>
      </c>
      <c r="R13470" s="420">
        <v>952.01199999999994</v>
      </c>
      <c r="S13470" s="420">
        <v>952.45540528294998</v>
      </c>
      <c r="T13470" s="420">
        <v>17.0001</v>
      </c>
      <c r="U13470" s="420">
        <v>63.04</v>
      </c>
      <c r="V13470" s="420">
        <v>31.52</v>
      </c>
      <c r="Z13470" s="420" t="s">
        <v>2953</v>
      </c>
    </row>
    <row r="13471" spans="1:26">
      <c r="A13471" s="499">
        <v>45945</v>
      </c>
      <c r="B13471" s="499">
        <v>45945</v>
      </c>
      <c r="C13471" s="420" t="s">
        <v>173</v>
      </c>
      <c r="D13471" s="500" t="s">
        <v>764</v>
      </c>
      <c r="E13471" s="501">
        <v>-4925710046.1099997</v>
      </c>
      <c r="F13471" s="95" t="s">
        <v>878</v>
      </c>
      <c r="G13471" s="420">
        <v>119667530</v>
      </c>
      <c r="I13471" s="529" t="s">
        <v>1013</v>
      </c>
      <c r="J13471" s="530" t="s">
        <v>906</v>
      </c>
      <c r="N13471" s="610">
        <v>9178336</v>
      </c>
      <c r="R13471" s="539">
        <v>536.66699999978209</v>
      </c>
      <c r="S13471" s="539">
        <v>536.91695596347802</v>
      </c>
      <c r="T13471" s="567">
        <v>17.0001</v>
      </c>
      <c r="U13471" s="567">
        <v>7388.57</v>
      </c>
      <c r="V13471" s="567">
        <v>3694.28</v>
      </c>
      <c r="Z13471" s="539" t="s">
        <v>2953</v>
      </c>
    </row>
    <row r="13472" spans="1:26">
      <c r="A13472" s="499">
        <v>45945</v>
      </c>
      <c r="B13472" s="499">
        <v>45945</v>
      </c>
      <c r="C13472" s="420" t="s">
        <v>173</v>
      </c>
      <c r="D13472" s="500" t="s">
        <v>764</v>
      </c>
      <c r="E13472" s="501">
        <v>-31010765.93</v>
      </c>
      <c r="F13472" s="95" t="s">
        <v>878</v>
      </c>
      <c r="G13472" s="420">
        <v>119667555</v>
      </c>
      <c r="I13472" s="529" t="s">
        <v>1013</v>
      </c>
      <c r="J13472" s="530" t="s">
        <v>906</v>
      </c>
      <c r="N13472" s="610">
        <v>57784</v>
      </c>
      <c r="R13472" s="539">
        <v>536.66700003461165</v>
      </c>
      <c r="S13472" s="539">
        <v>536.91695607780696</v>
      </c>
      <c r="T13472" s="567">
        <v>17.0001</v>
      </c>
      <c r="U13472" s="567">
        <v>46.52</v>
      </c>
      <c r="V13472" s="567">
        <v>23.26</v>
      </c>
      <c r="Z13472" s="539" t="s">
        <v>2953</v>
      </c>
    </row>
    <row r="13473" spans="1:26">
      <c r="A13473" s="499">
        <v>45945</v>
      </c>
      <c r="B13473" s="499">
        <v>45946</v>
      </c>
      <c r="C13473" s="420" t="s">
        <v>173</v>
      </c>
      <c r="D13473" s="500" t="s">
        <v>764</v>
      </c>
      <c r="E13473" s="501">
        <v>4928004225.9300003</v>
      </c>
      <c r="F13473" s="95" t="s">
        <v>878</v>
      </c>
      <c r="G13473" s="420">
        <v>119667530</v>
      </c>
      <c r="H13473" s="420">
        <v>119667530</v>
      </c>
      <c r="I13473" s="529" t="s">
        <v>1013</v>
      </c>
      <c r="J13473" s="530" t="s">
        <v>912</v>
      </c>
      <c r="N13473" s="610">
        <v>9178336</v>
      </c>
      <c r="R13473" s="539">
        <v>536.66699999978209</v>
      </c>
      <c r="S13473" s="539">
        <v>536.91695596347802</v>
      </c>
      <c r="T13473" s="567">
        <v>17.0001</v>
      </c>
      <c r="U13473" s="567">
        <v>7388.57</v>
      </c>
      <c r="V13473" s="567">
        <v>3694.28</v>
      </c>
      <c r="Z13473" s="539" t="s">
        <v>2953</v>
      </c>
    </row>
    <row r="13474" spans="1:26">
      <c r="A13474" s="499">
        <v>45945</v>
      </c>
      <c r="B13474" s="499">
        <v>45946</v>
      </c>
      <c r="C13474" s="420" t="s">
        <v>173</v>
      </c>
      <c r="D13474" s="500" t="s">
        <v>764</v>
      </c>
      <c r="E13474" s="501">
        <v>31025209.390000001</v>
      </c>
      <c r="F13474" s="95" t="s">
        <v>878</v>
      </c>
      <c r="G13474" s="420">
        <v>119667555</v>
      </c>
      <c r="H13474" s="420">
        <v>119667555</v>
      </c>
      <c r="I13474" s="529" t="s">
        <v>1013</v>
      </c>
      <c r="J13474" s="530" t="s">
        <v>912</v>
      </c>
      <c r="N13474" s="610">
        <v>57784</v>
      </c>
      <c r="R13474" s="539">
        <v>536.66700003461165</v>
      </c>
      <c r="S13474" s="539">
        <v>536.91695607780696</v>
      </c>
      <c r="T13474" s="567">
        <v>17.0001</v>
      </c>
      <c r="U13474" s="567">
        <v>46.52</v>
      </c>
      <c r="V13474" s="567">
        <v>23.26</v>
      </c>
      <c r="Z13474" s="539" t="s">
        <v>2953</v>
      </c>
    </row>
    <row r="13475" spans="1:26">
      <c r="A13475" s="499">
        <v>45945</v>
      </c>
      <c r="B13475" s="499">
        <v>45945</v>
      </c>
      <c r="C13475" s="420" t="s">
        <v>173</v>
      </c>
      <c r="D13475" s="500" t="s">
        <v>763</v>
      </c>
      <c r="E13475" s="501">
        <v>-1000347.29</v>
      </c>
      <c r="F13475" s="95" t="s">
        <v>878</v>
      </c>
      <c r="G13475" s="420">
        <v>119667561</v>
      </c>
      <c r="I13475" s="529" t="s">
        <v>1013</v>
      </c>
      <c r="J13475" s="530" t="s">
        <v>906</v>
      </c>
      <c r="N13475" s="420">
        <v>1864</v>
      </c>
      <c r="R13475" s="420">
        <v>536.66700000000003</v>
      </c>
      <c r="S13475" s="420">
        <v>536.91695815450601</v>
      </c>
      <c r="T13475" s="420">
        <v>17.0001</v>
      </c>
      <c r="U13475" s="420">
        <v>39.32</v>
      </c>
      <c r="V13475" s="420">
        <v>39.32</v>
      </c>
      <c r="Z13475" s="420" t="s">
        <v>2953</v>
      </c>
    </row>
    <row r="13476" spans="1:26">
      <c r="A13476" s="499">
        <v>45945</v>
      </c>
      <c r="B13476" s="499">
        <v>45945</v>
      </c>
      <c r="C13476" s="420" t="s">
        <v>173</v>
      </c>
      <c r="D13476" s="500" t="s">
        <v>763</v>
      </c>
      <c r="E13476" s="501">
        <v>-13004514.74</v>
      </c>
      <c r="F13476" s="95" t="s">
        <v>878</v>
      </c>
      <c r="G13476" s="420">
        <v>119667533</v>
      </c>
      <c r="I13476" s="529" t="s">
        <v>1013</v>
      </c>
      <c r="J13476" s="530" t="s">
        <v>906</v>
      </c>
      <c r="N13476" s="420">
        <v>24232</v>
      </c>
      <c r="R13476" s="420">
        <v>536.66700000000003</v>
      </c>
      <c r="S13476" s="420">
        <v>536.91695567844204</v>
      </c>
      <c r="T13476" s="420">
        <v>17.0001</v>
      </c>
      <c r="U13476" s="420">
        <v>39.32</v>
      </c>
      <c r="V13476" s="420">
        <v>39.32</v>
      </c>
      <c r="Z13476" s="420" t="s">
        <v>2953</v>
      </c>
    </row>
    <row r="13477" spans="1:26">
      <c r="A13477" s="499">
        <v>45945</v>
      </c>
      <c r="B13477" s="499">
        <v>45945</v>
      </c>
      <c r="C13477" s="420" t="s">
        <v>173</v>
      </c>
      <c r="D13477" s="500" t="s">
        <v>763</v>
      </c>
      <c r="E13477" s="501">
        <v>-2105731041.24</v>
      </c>
      <c r="F13477" s="95" t="s">
        <v>878</v>
      </c>
      <c r="G13477" s="420">
        <v>119667496</v>
      </c>
      <c r="I13477" s="529" t="s">
        <v>1013</v>
      </c>
      <c r="J13477" s="530" t="s">
        <v>906</v>
      </c>
      <c r="N13477" s="420">
        <v>3923720</v>
      </c>
      <c r="R13477" s="420">
        <v>536.66700000000003</v>
      </c>
      <c r="S13477" s="420">
        <v>536.91695596270904</v>
      </c>
      <c r="T13477" s="420">
        <v>17.0001</v>
      </c>
      <c r="U13477" s="420">
        <v>3158.6</v>
      </c>
      <c r="V13477" s="420">
        <v>1579.3</v>
      </c>
      <c r="Z13477" s="420" t="s">
        <v>2953</v>
      </c>
    </row>
    <row r="13478" spans="1:26">
      <c r="A13478" s="499">
        <v>45945</v>
      </c>
      <c r="B13478" s="499">
        <v>45946</v>
      </c>
      <c r="C13478" s="420" t="s">
        <v>173</v>
      </c>
      <c r="D13478" s="500" t="s">
        <v>763</v>
      </c>
      <c r="E13478" s="501">
        <v>1000813.21</v>
      </c>
      <c r="F13478" s="95" t="s">
        <v>878</v>
      </c>
      <c r="G13478" s="420">
        <v>119667561</v>
      </c>
      <c r="H13478" s="420">
        <v>119667561</v>
      </c>
      <c r="I13478" s="529" t="s">
        <v>1013</v>
      </c>
      <c r="J13478" s="530" t="s">
        <v>912</v>
      </c>
      <c r="N13478" s="420">
        <v>1864</v>
      </c>
      <c r="R13478" s="420">
        <v>536.66700000000003</v>
      </c>
      <c r="S13478" s="420">
        <v>536.91695815450601</v>
      </c>
      <c r="T13478" s="420">
        <v>17.0001</v>
      </c>
      <c r="U13478" s="420">
        <v>39.32</v>
      </c>
      <c r="V13478" s="420">
        <v>39.32</v>
      </c>
      <c r="Z13478" s="420" t="s">
        <v>2953</v>
      </c>
    </row>
    <row r="13479" spans="1:26">
      <c r="A13479" s="499">
        <v>45945</v>
      </c>
      <c r="B13479" s="499">
        <v>45946</v>
      </c>
      <c r="C13479" s="420" t="s">
        <v>173</v>
      </c>
      <c r="D13479" s="500" t="s">
        <v>763</v>
      </c>
      <c r="E13479" s="501">
        <v>13010571.67</v>
      </c>
      <c r="F13479" s="95" t="s">
        <v>878</v>
      </c>
      <c r="G13479" s="420">
        <v>119667533</v>
      </c>
      <c r="H13479" s="420">
        <v>119667533</v>
      </c>
      <c r="I13479" s="529" t="s">
        <v>1013</v>
      </c>
      <c r="J13479" s="530" t="s">
        <v>912</v>
      </c>
      <c r="N13479" s="420">
        <v>24232</v>
      </c>
      <c r="R13479" s="420">
        <v>536.66700000000003</v>
      </c>
      <c r="S13479" s="420">
        <v>536.91695567844204</v>
      </c>
      <c r="T13479" s="420">
        <v>17.0001</v>
      </c>
      <c r="U13479" s="420">
        <v>39.32</v>
      </c>
      <c r="V13479" s="420">
        <v>39.32</v>
      </c>
      <c r="Z13479" s="420" t="s">
        <v>2953</v>
      </c>
    </row>
    <row r="13480" spans="1:26">
      <c r="A13480" s="499">
        <v>45945</v>
      </c>
      <c r="B13480" s="499">
        <v>45946</v>
      </c>
      <c r="C13480" s="420" t="s">
        <v>173</v>
      </c>
      <c r="D13480" s="500" t="s">
        <v>763</v>
      </c>
      <c r="E13480" s="501">
        <v>2106711798.45</v>
      </c>
      <c r="F13480" s="95" t="s">
        <v>878</v>
      </c>
      <c r="G13480" s="420">
        <v>119667496</v>
      </c>
      <c r="H13480" s="420">
        <v>119667496</v>
      </c>
      <c r="I13480" s="529" t="s">
        <v>1013</v>
      </c>
      <c r="J13480" s="530" t="s">
        <v>912</v>
      </c>
      <c r="N13480" s="420">
        <v>3923720</v>
      </c>
      <c r="R13480" s="420">
        <v>536.66700000000003</v>
      </c>
      <c r="S13480" s="420">
        <v>536.91695596270904</v>
      </c>
      <c r="T13480" s="420">
        <v>17.0001</v>
      </c>
      <c r="U13480" s="420">
        <v>3158.6</v>
      </c>
      <c r="V13480" s="420">
        <v>1579.3</v>
      </c>
      <c r="Z13480" s="420" t="s">
        <v>2953</v>
      </c>
    </row>
    <row r="13481" spans="1:26">
      <c r="A13481" s="499">
        <v>45946</v>
      </c>
      <c r="B13481" s="499">
        <v>45946</v>
      </c>
      <c r="C13481" s="420" t="s">
        <v>173</v>
      </c>
      <c r="D13481" s="500" t="s">
        <v>762</v>
      </c>
      <c r="E13481" s="501">
        <v>-27000284.5</v>
      </c>
      <c r="F13481" s="95" t="s">
        <v>878</v>
      </c>
      <c r="G13481" s="420">
        <v>119698332</v>
      </c>
      <c r="H13481" s="420"/>
      <c r="I13481" s="529" t="s">
        <v>604</v>
      </c>
      <c r="J13481" s="530" t="s">
        <v>906</v>
      </c>
      <c r="N13481" s="420">
        <v>25731</v>
      </c>
      <c r="R13481" s="558">
        <v>1049.329</v>
      </c>
      <c r="S13481" s="558">
        <v>1049.8177284209701</v>
      </c>
      <c r="T13481" s="567">
        <v>17</v>
      </c>
      <c r="U13481" s="420">
        <v>40.5</v>
      </c>
      <c r="V13481" s="420">
        <v>20.25</v>
      </c>
      <c r="Z13481" s="420" t="s">
        <v>2953</v>
      </c>
    </row>
    <row r="13482" spans="1:26">
      <c r="A13482" s="499">
        <v>45946</v>
      </c>
      <c r="B13482" s="499">
        <v>45946</v>
      </c>
      <c r="C13482" s="420" t="s">
        <v>173</v>
      </c>
      <c r="D13482" s="500" t="s">
        <v>762</v>
      </c>
      <c r="E13482" s="501">
        <v>-4122043433.5100002</v>
      </c>
      <c r="F13482" s="95" t="s">
        <v>878</v>
      </c>
      <c r="G13482" s="420">
        <v>119698325</v>
      </c>
      <c r="H13482" s="420"/>
      <c r="I13482" s="529" t="s">
        <v>604</v>
      </c>
      <c r="J13482" s="530" t="s">
        <v>906</v>
      </c>
      <c r="N13482" s="420">
        <v>3928266</v>
      </c>
      <c r="R13482" s="558">
        <v>1049.329</v>
      </c>
      <c r="S13482" s="558">
        <v>1049.81772857541</v>
      </c>
      <c r="T13482" s="567">
        <v>17</v>
      </c>
      <c r="U13482" s="420">
        <v>6183.07</v>
      </c>
      <c r="V13482" s="420">
        <v>3091.53</v>
      </c>
      <c r="Z13482" s="626" t="s">
        <v>2953</v>
      </c>
    </row>
    <row r="13483" spans="1:26">
      <c r="A13483" s="499">
        <v>45946</v>
      </c>
      <c r="B13483" s="499">
        <v>45947</v>
      </c>
      <c r="C13483" s="420" t="s">
        <v>173</v>
      </c>
      <c r="D13483" s="500" t="s">
        <v>762</v>
      </c>
      <c r="E13483" s="501">
        <v>27012859.969999999</v>
      </c>
      <c r="F13483" s="95" t="s">
        <v>878</v>
      </c>
      <c r="G13483" s="420">
        <v>119698332</v>
      </c>
      <c r="H13483" s="420">
        <v>119698332</v>
      </c>
      <c r="I13483" s="529" t="s">
        <v>604</v>
      </c>
      <c r="J13483" s="530" t="s">
        <v>912</v>
      </c>
      <c r="N13483" s="420">
        <v>25731</v>
      </c>
      <c r="R13483" s="558">
        <v>1049.329</v>
      </c>
      <c r="S13483" s="558">
        <v>1049.8177284209701</v>
      </c>
      <c r="T13483" s="567">
        <v>17</v>
      </c>
      <c r="U13483" s="420">
        <v>40.5</v>
      </c>
      <c r="V13483" s="420">
        <v>20.25</v>
      </c>
      <c r="Z13483" s="420" t="s">
        <v>2953</v>
      </c>
    </row>
    <row r="13484" spans="1:26">
      <c r="A13484" s="499">
        <v>45946</v>
      </c>
      <c r="B13484" s="499">
        <v>45947</v>
      </c>
      <c r="C13484" s="420" t="s">
        <v>173</v>
      </c>
      <c r="D13484" s="500" t="s">
        <v>762</v>
      </c>
      <c r="E13484" s="501">
        <v>4123963289.3600001</v>
      </c>
      <c r="F13484" s="95" t="s">
        <v>878</v>
      </c>
      <c r="G13484" s="420">
        <v>119698325</v>
      </c>
      <c r="H13484" s="420">
        <v>119698325</v>
      </c>
      <c r="I13484" s="529" t="s">
        <v>604</v>
      </c>
      <c r="J13484" s="530" t="s">
        <v>912</v>
      </c>
      <c r="N13484" s="420">
        <v>3928266</v>
      </c>
      <c r="R13484" s="558">
        <v>1049.329</v>
      </c>
      <c r="S13484" s="558">
        <v>1049.81772857541</v>
      </c>
      <c r="T13484" s="567">
        <v>17</v>
      </c>
      <c r="U13484" s="420">
        <v>6183.07</v>
      </c>
      <c r="V13484" s="420">
        <v>3091.53</v>
      </c>
      <c r="Z13484" s="626" t="s">
        <v>2953</v>
      </c>
    </row>
    <row r="13485" spans="1:26">
      <c r="A13485" s="499">
        <v>45946</v>
      </c>
      <c r="B13485" s="499">
        <v>45946</v>
      </c>
      <c r="C13485" s="420" t="s">
        <v>173</v>
      </c>
      <c r="D13485" s="500" t="s">
        <v>761</v>
      </c>
      <c r="E13485" s="501">
        <v>-1351005115.97</v>
      </c>
      <c r="F13485" s="95" t="s">
        <v>878</v>
      </c>
      <c r="G13485" s="420">
        <v>119695103</v>
      </c>
      <c r="I13485" s="529" t="s">
        <v>1090</v>
      </c>
      <c r="J13485" s="530" t="s">
        <v>906</v>
      </c>
      <c r="N13485" s="420">
        <v>14182798</v>
      </c>
      <c r="R13485" s="420">
        <v>95.256600000225632</v>
      </c>
      <c r="S13485" s="420">
        <v>95.301096576289098</v>
      </c>
      <c r="T13485" s="420">
        <v>17.05</v>
      </c>
      <c r="U13485" s="420">
        <v>2026.51</v>
      </c>
      <c r="V13485" s="420">
        <v>1013.25</v>
      </c>
      <c r="Z13485" s="420" t="s">
        <v>2953</v>
      </c>
    </row>
    <row r="13486" spans="1:26">
      <c r="A13486" s="499">
        <v>45946</v>
      </c>
      <c r="B13486" s="499">
        <v>45946</v>
      </c>
      <c r="C13486" s="420" t="s">
        <v>173</v>
      </c>
      <c r="D13486" s="500" t="s">
        <v>761</v>
      </c>
      <c r="E13486" s="501">
        <v>-34010456.880000003</v>
      </c>
      <c r="F13486" s="95" t="s">
        <v>878</v>
      </c>
      <c r="G13486" s="420">
        <v>119695832</v>
      </c>
      <c r="I13486" s="529" t="s">
        <v>805</v>
      </c>
      <c r="J13486" s="530" t="s">
        <v>906</v>
      </c>
      <c r="N13486" s="420">
        <v>58616</v>
      </c>
      <c r="R13486" s="420">
        <v>580.22480005459261</v>
      </c>
      <c r="S13486" s="420">
        <v>580.49583663163605</v>
      </c>
      <c r="T13486" s="420">
        <v>17.05</v>
      </c>
      <c r="U13486" s="420">
        <v>51.02</v>
      </c>
      <c r="V13486" s="420">
        <v>25.51</v>
      </c>
      <c r="Z13486" s="420" t="s">
        <v>2953</v>
      </c>
    </row>
    <row r="13487" spans="1:26">
      <c r="A13487" s="499">
        <v>45946</v>
      </c>
      <c r="B13487" s="499">
        <v>45946</v>
      </c>
      <c r="C13487" s="420" t="s">
        <v>173</v>
      </c>
      <c r="D13487" s="500" t="s">
        <v>761</v>
      </c>
      <c r="E13487" s="501">
        <v>-9004188.75</v>
      </c>
      <c r="F13487" s="95" t="s">
        <v>878</v>
      </c>
      <c r="G13487" s="420">
        <v>119696607</v>
      </c>
      <c r="I13487" s="529" t="s">
        <v>1013</v>
      </c>
      <c r="J13487" s="530" t="s">
        <v>906</v>
      </c>
      <c r="N13487" s="420">
        <v>16794</v>
      </c>
      <c r="R13487" s="420">
        <v>536.15510003572706</v>
      </c>
      <c r="S13487" s="420">
        <v>536.40481600571604</v>
      </c>
      <c r="T13487" s="420">
        <v>17</v>
      </c>
      <c r="U13487" s="420">
        <v>39.32</v>
      </c>
      <c r="V13487" s="420">
        <v>6.75</v>
      </c>
      <c r="Z13487" s="420" t="s">
        <v>2953</v>
      </c>
    </row>
    <row r="13488" spans="1:26">
      <c r="A13488" s="499">
        <v>45946</v>
      </c>
      <c r="B13488" s="499">
        <v>45947</v>
      </c>
      <c r="C13488" s="420" t="s">
        <v>173</v>
      </c>
      <c r="D13488" s="500" t="s">
        <v>761</v>
      </c>
      <c r="E13488" s="501">
        <v>1351636201.9200001</v>
      </c>
      <c r="F13488" s="95" t="s">
        <v>878</v>
      </c>
      <c r="G13488" s="420">
        <v>119695103</v>
      </c>
      <c r="H13488" s="420">
        <v>119695103</v>
      </c>
      <c r="I13488" s="529" t="s">
        <v>1090</v>
      </c>
      <c r="J13488" s="530" t="s">
        <v>912</v>
      </c>
      <c r="N13488" s="420">
        <v>14182798</v>
      </c>
      <c r="R13488" s="420">
        <v>95.256600000225632</v>
      </c>
      <c r="S13488" s="420">
        <v>95.301096576289098</v>
      </c>
      <c r="T13488" s="420">
        <v>17.05</v>
      </c>
      <c r="U13488" s="420">
        <v>2026.51</v>
      </c>
      <c r="V13488" s="420">
        <v>1013.25</v>
      </c>
      <c r="Z13488" s="420" t="s">
        <v>2953</v>
      </c>
    </row>
    <row r="13489" spans="1:26">
      <c r="A13489" s="499">
        <v>45946</v>
      </c>
      <c r="B13489" s="499">
        <v>45947</v>
      </c>
      <c r="C13489" s="420" t="s">
        <v>173</v>
      </c>
      <c r="D13489" s="500" t="s">
        <v>761</v>
      </c>
      <c r="E13489" s="501">
        <v>34026343.960000001</v>
      </c>
      <c r="F13489" s="95" t="s">
        <v>878</v>
      </c>
      <c r="G13489" s="420">
        <v>119695832</v>
      </c>
      <c r="H13489" s="420">
        <v>119695832</v>
      </c>
      <c r="I13489" s="529" t="s">
        <v>805</v>
      </c>
      <c r="J13489" s="530" t="s">
        <v>912</v>
      </c>
      <c r="N13489" s="420">
        <v>58616</v>
      </c>
      <c r="R13489" s="420">
        <v>580.22480005459261</v>
      </c>
      <c r="S13489" s="420">
        <v>580.49583663163605</v>
      </c>
      <c r="T13489" s="420">
        <v>17.05</v>
      </c>
      <c r="U13489" s="420">
        <v>51.02</v>
      </c>
      <c r="V13489" s="420">
        <v>25.51</v>
      </c>
      <c r="Z13489" s="420" t="s">
        <v>2953</v>
      </c>
    </row>
    <row r="13490" spans="1:26">
      <c r="A13490" s="499">
        <v>45946</v>
      </c>
      <c r="B13490" s="499">
        <v>45947</v>
      </c>
      <c r="C13490" s="420" t="s">
        <v>173</v>
      </c>
      <c r="D13490" s="500" t="s">
        <v>761</v>
      </c>
      <c r="E13490" s="501">
        <v>9008382.4800000004</v>
      </c>
      <c r="F13490" s="95" t="s">
        <v>878</v>
      </c>
      <c r="G13490" s="420">
        <v>119696607</v>
      </c>
      <c r="H13490" s="420">
        <v>119696607</v>
      </c>
      <c r="I13490" s="529" t="s">
        <v>1013</v>
      </c>
      <c r="J13490" s="530" t="s">
        <v>912</v>
      </c>
      <c r="N13490" s="420">
        <v>16794</v>
      </c>
      <c r="R13490" s="420">
        <v>536.15510003572706</v>
      </c>
      <c r="S13490" s="420">
        <v>536.40481600571604</v>
      </c>
      <c r="T13490" s="420">
        <v>17</v>
      </c>
      <c r="U13490" s="420">
        <v>39.32</v>
      </c>
      <c r="V13490" s="420">
        <v>6.75</v>
      </c>
      <c r="Z13490" s="420" t="s">
        <v>2953</v>
      </c>
    </row>
    <row r="13491" spans="1:26">
      <c r="A13491" s="499">
        <v>45946</v>
      </c>
      <c r="B13491" s="499">
        <v>45946</v>
      </c>
      <c r="C13491" s="420" t="s">
        <v>173</v>
      </c>
      <c r="D13491" s="500" t="s">
        <v>759</v>
      </c>
      <c r="E13491" s="501">
        <v>-766356509.12</v>
      </c>
      <c r="F13491" s="95" t="s">
        <v>878</v>
      </c>
      <c r="G13491" s="420">
        <v>119697678</v>
      </c>
      <c r="I13491" s="529" t="s">
        <v>1013</v>
      </c>
      <c r="J13491" s="530" t="s">
        <v>906</v>
      </c>
      <c r="N13491" s="420">
        <v>1429356</v>
      </c>
      <c r="R13491" s="420">
        <v>536.15510000307836</v>
      </c>
      <c r="S13491" s="420">
        <v>536.40599120862805</v>
      </c>
      <c r="T13491" s="420">
        <v>17.079999999999998</v>
      </c>
      <c r="U13491" s="420">
        <v>1149.53</v>
      </c>
      <c r="V13491" s="420">
        <v>574.77</v>
      </c>
      <c r="Z13491" s="420" t="s">
        <v>2953</v>
      </c>
    </row>
    <row r="13492" spans="1:26">
      <c r="A13492" s="499">
        <v>45946</v>
      </c>
      <c r="B13492" s="499">
        <v>45946</v>
      </c>
      <c r="C13492" s="420" t="s">
        <v>173</v>
      </c>
      <c r="D13492" s="500" t="s">
        <v>759</v>
      </c>
      <c r="E13492" s="501">
        <v>-1000758150</v>
      </c>
      <c r="F13492" s="95" t="s">
        <v>878</v>
      </c>
      <c r="G13492" s="420">
        <v>119697684</v>
      </c>
      <c r="I13492" s="529" t="s">
        <v>678</v>
      </c>
      <c r="J13492" s="530" t="s">
        <v>906</v>
      </c>
      <c r="N13492" s="420">
        <v>1050000</v>
      </c>
      <c r="R13492" s="420">
        <v>953.10299999999995</v>
      </c>
      <c r="S13492" s="420">
        <v>953.54899998095198</v>
      </c>
      <c r="T13492" s="420">
        <v>17.079999999999998</v>
      </c>
      <c r="U13492" s="420">
        <v>1501.14</v>
      </c>
      <c r="V13492" s="420">
        <v>750.57</v>
      </c>
      <c r="Z13492" s="420" t="s">
        <v>2953</v>
      </c>
    </row>
    <row r="13493" spans="1:26">
      <c r="A13493" s="499">
        <v>45946</v>
      </c>
      <c r="B13493" s="499">
        <v>45946</v>
      </c>
      <c r="C13493" s="420" t="s">
        <v>173</v>
      </c>
      <c r="D13493" s="500" t="s">
        <v>759</v>
      </c>
      <c r="E13493" s="501">
        <v>-224079308.53999999</v>
      </c>
      <c r="F13493" s="95" t="s">
        <v>878</v>
      </c>
      <c r="G13493" s="420">
        <v>119698091</v>
      </c>
      <c r="I13493" s="529" t="s">
        <v>675</v>
      </c>
      <c r="J13493" s="530" t="s">
        <v>906</v>
      </c>
      <c r="N13493" s="420">
        <v>234528</v>
      </c>
      <c r="R13493" s="420">
        <v>955.44799998294445</v>
      </c>
      <c r="S13493" s="420">
        <v>955.89509730181499</v>
      </c>
      <c r="T13493" s="420">
        <v>17.079999999999998</v>
      </c>
      <c r="U13493" s="420">
        <v>336.12</v>
      </c>
      <c r="V13493" s="420">
        <v>168.06</v>
      </c>
      <c r="Z13493" s="420" t="s">
        <v>2953</v>
      </c>
    </row>
    <row r="13494" spans="1:26">
      <c r="A13494" s="499">
        <v>45946</v>
      </c>
      <c r="B13494" s="499">
        <v>45946</v>
      </c>
      <c r="C13494" s="420" t="s">
        <v>173</v>
      </c>
      <c r="D13494" s="500" t="s">
        <v>759</v>
      </c>
      <c r="E13494" s="501">
        <v>-12009097.800000001</v>
      </c>
      <c r="F13494" s="95" t="s">
        <v>878</v>
      </c>
      <c r="G13494" s="420">
        <v>119700301</v>
      </c>
      <c r="I13494" s="529" t="s">
        <v>678</v>
      </c>
      <c r="J13494" s="530" t="s">
        <v>906</v>
      </c>
      <c r="N13494" s="420">
        <v>12600</v>
      </c>
      <c r="R13494" s="420">
        <v>953.10300000000007</v>
      </c>
      <c r="S13494" s="420">
        <v>953.54691587301602</v>
      </c>
      <c r="T13494" s="420">
        <v>17.0002</v>
      </c>
      <c r="U13494" s="420">
        <v>39.32</v>
      </c>
      <c r="V13494" s="420">
        <v>9.01</v>
      </c>
      <c r="Z13494" s="420" t="s">
        <v>2953</v>
      </c>
    </row>
    <row r="13495" spans="1:26">
      <c r="A13495" s="499">
        <v>45946</v>
      </c>
      <c r="B13495" s="499">
        <v>45947</v>
      </c>
      <c r="C13495" s="420" t="s">
        <v>173</v>
      </c>
      <c r="D13495" s="500" t="s">
        <v>759</v>
      </c>
      <c r="E13495" s="501">
        <v>766715121.97000003</v>
      </c>
      <c r="F13495" s="95" t="s">
        <v>878</v>
      </c>
      <c r="G13495" s="420">
        <v>119697678</v>
      </c>
      <c r="H13495" s="420">
        <v>119697678</v>
      </c>
      <c r="I13495" s="529" t="s">
        <v>1013</v>
      </c>
      <c r="J13495" s="530" t="s">
        <v>912</v>
      </c>
      <c r="N13495" s="420">
        <v>1429356</v>
      </c>
      <c r="R13495" s="420">
        <v>536.15510000307836</v>
      </c>
      <c r="S13495" s="420">
        <v>536.40599120862805</v>
      </c>
      <c r="T13495" s="420">
        <v>17.079999999999998</v>
      </c>
      <c r="U13495" s="420">
        <v>1149.53</v>
      </c>
      <c r="V13495" s="420">
        <v>574.77</v>
      </c>
      <c r="Z13495" s="420" t="s">
        <v>2953</v>
      </c>
    </row>
    <row r="13496" spans="1:26">
      <c r="A13496" s="499">
        <v>45946</v>
      </c>
      <c r="B13496" s="499">
        <v>45947</v>
      </c>
      <c r="C13496" s="420" t="s">
        <v>173</v>
      </c>
      <c r="D13496" s="500" t="s">
        <v>759</v>
      </c>
      <c r="E13496" s="501">
        <v>1001226449.98</v>
      </c>
      <c r="F13496" s="95" t="s">
        <v>878</v>
      </c>
      <c r="G13496" s="420">
        <v>119697684</v>
      </c>
      <c r="H13496" s="420">
        <v>119697684</v>
      </c>
      <c r="I13496" s="529" t="s">
        <v>678</v>
      </c>
      <c r="J13496" s="530" t="s">
        <v>912</v>
      </c>
      <c r="N13496" s="420">
        <v>1050000</v>
      </c>
      <c r="R13496" s="420">
        <v>953.10299999999995</v>
      </c>
      <c r="S13496" s="420">
        <v>953.54899998095198</v>
      </c>
      <c r="T13496" s="420">
        <v>17.079999999999998</v>
      </c>
      <c r="U13496" s="420">
        <v>1501.14</v>
      </c>
      <c r="V13496" s="420">
        <v>750.57</v>
      </c>
      <c r="Z13496" s="420" t="s">
        <v>2953</v>
      </c>
    </row>
    <row r="13497" spans="1:26">
      <c r="A13497" s="499">
        <v>45946</v>
      </c>
      <c r="B13497" s="499">
        <v>45947</v>
      </c>
      <c r="C13497" s="420" t="s">
        <v>173</v>
      </c>
      <c r="D13497" s="500" t="s">
        <v>759</v>
      </c>
      <c r="E13497" s="501">
        <v>224184165.38</v>
      </c>
      <c r="F13497" s="95" t="s">
        <v>878</v>
      </c>
      <c r="G13497" s="420">
        <v>119698091</v>
      </c>
      <c r="H13497" s="420">
        <v>119698091</v>
      </c>
      <c r="I13497" s="529" t="s">
        <v>675</v>
      </c>
      <c r="J13497" s="530" t="s">
        <v>912</v>
      </c>
      <c r="N13497" s="420">
        <v>234528</v>
      </c>
      <c r="R13497" s="420">
        <v>955.44799998294445</v>
      </c>
      <c r="S13497" s="420">
        <v>955.89509730181499</v>
      </c>
      <c r="T13497" s="420">
        <v>17.079999999999998</v>
      </c>
      <c r="U13497" s="420">
        <v>336.12</v>
      </c>
      <c r="V13497" s="420">
        <v>168.06</v>
      </c>
      <c r="Z13497" s="420" t="s">
        <v>2953</v>
      </c>
    </row>
    <row r="13498" spans="1:26">
      <c r="A13498" s="499">
        <v>45946</v>
      </c>
      <c r="B13498" s="499">
        <v>45947</v>
      </c>
      <c r="C13498" s="420" t="s">
        <v>173</v>
      </c>
      <c r="D13498" s="500" t="s">
        <v>759</v>
      </c>
      <c r="E13498" s="501">
        <v>12014691.140000001</v>
      </c>
      <c r="F13498" s="95" t="s">
        <v>878</v>
      </c>
      <c r="G13498" s="420">
        <v>119700301</v>
      </c>
      <c r="H13498" s="420">
        <v>119700301</v>
      </c>
      <c r="I13498" s="529" t="s">
        <v>678</v>
      </c>
      <c r="J13498" s="530" t="s">
        <v>912</v>
      </c>
      <c r="N13498" s="420">
        <v>12600</v>
      </c>
      <c r="R13498" s="420">
        <v>953.10300000000007</v>
      </c>
      <c r="S13498" s="420">
        <v>953.54691587301602</v>
      </c>
      <c r="T13498" s="420">
        <v>17.0002</v>
      </c>
      <c r="U13498" s="420">
        <v>39.32</v>
      </c>
      <c r="V13498" s="420">
        <v>9.01</v>
      </c>
      <c r="Z13498" s="420" t="s">
        <v>2953</v>
      </c>
    </row>
    <row r="13499" spans="1:26">
      <c r="A13499" s="499">
        <v>45946</v>
      </c>
      <c r="B13499" s="499">
        <v>45946</v>
      </c>
      <c r="C13499" s="420" t="s">
        <v>173</v>
      </c>
      <c r="D13499" s="500" t="s">
        <v>760</v>
      </c>
      <c r="E13499" s="501">
        <v>-3206986021.9699998</v>
      </c>
      <c r="F13499" s="95" t="s">
        <v>878</v>
      </c>
      <c r="G13499" s="420">
        <v>119695823</v>
      </c>
      <c r="I13499" s="529" t="s">
        <v>805</v>
      </c>
      <c r="J13499" s="530" t="s">
        <v>906</v>
      </c>
      <c r="N13499" s="420">
        <v>5527144</v>
      </c>
      <c r="R13499" s="420">
        <v>580.22479999999996</v>
      </c>
      <c r="S13499" s="420">
        <v>580.49583492668205</v>
      </c>
      <c r="T13499" s="420">
        <v>17.049900000000001</v>
      </c>
      <c r="U13499" s="420">
        <v>4810.4799999999996</v>
      </c>
      <c r="V13499" s="420">
        <v>2405.2399999999998</v>
      </c>
      <c r="Z13499" s="420" t="s">
        <v>2953</v>
      </c>
    </row>
    <row r="13500" spans="1:26">
      <c r="A13500" s="499">
        <v>45946</v>
      </c>
      <c r="B13500" s="499">
        <v>45946</v>
      </c>
      <c r="C13500" s="420" t="s">
        <v>173</v>
      </c>
      <c r="D13500" s="500" t="s">
        <v>760</v>
      </c>
      <c r="E13500" s="501">
        <v>-44020478.329999998</v>
      </c>
      <c r="F13500" s="95" t="s">
        <v>878</v>
      </c>
      <c r="G13500" s="420">
        <v>119697194</v>
      </c>
      <c r="I13500" s="529" t="s">
        <v>1013</v>
      </c>
      <c r="J13500" s="530" t="s">
        <v>906</v>
      </c>
      <c r="N13500" s="420">
        <v>82104</v>
      </c>
      <c r="R13500" s="420">
        <v>536.15509999999995</v>
      </c>
      <c r="S13500" s="420">
        <v>536.40481608691402</v>
      </c>
      <c r="T13500" s="420">
        <v>17</v>
      </c>
      <c r="U13500" s="420">
        <v>66.03</v>
      </c>
      <c r="V13500" s="420">
        <v>33.020000000000003</v>
      </c>
      <c r="Z13500" s="420" t="s">
        <v>2953</v>
      </c>
    </row>
    <row r="13501" spans="1:26">
      <c r="A13501" s="499">
        <v>45946</v>
      </c>
      <c r="B13501" s="499">
        <v>45947</v>
      </c>
      <c r="C13501" s="420" t="s">
        <v>173</v>
      </c>
      <c r="D13501" s="500" t="s">
        <v>760</v>
      </c>
      <c r="E13501" s="501">
        <v>3208484071.04</v>
      </c>
      <c r="F13501" s="95" t="s">
        <v>878</v>
      </c>
      <c r="G13501" s="420">
        <v>119695823</v>
      </c>
      <c r="H13501" s="420">
        <v>119695823</v>
      </c>
      <c r="I13501" s="529" t="s">
        <v>805</v>
      </c>
      <c r="J13501" s="530" t="s">
        <v>912</v>
      </c>
      <c r="N13501" s="420">
        <v>5527144</v>
      </c>
      <c r="R13501" s="420">
        <v>580.22479999999996</v>
      </c>
      <c r="S13501" s="420">
        <v>580.49583492668205</v>
      </c>
      <c r="T13501" s="420">
        <v>17.049900000000001</v>
      </c>
      <c r="U13501" s="420">
        <v>4810.4799999999996</v>
      </c>
      <c r="V13501" s="420">
        <v>2405.2399999999998</v>
      </c>
      <c r="Z13501" s="420" t="s">
        <v>2953</v>
      </c>
    </row>
    <row r="13502" spans="1:26">
      <c r="A13502" s="499">
        <v>45946</v>
      </c>
      <c r="B13502" s="499">
        <v>45947</v>
      </c>
      <c r="C13502" s="420" t="s">
        <v>173</v>
      </c>
      <c r="D13502" s="500" t="s">
        <v>760</v>
      </c>
      <c r="E13502" s="501">
        <v>44040981.020000003</v>
      </c>
      <c r="F13502" s="95" t="s">
        <v>878</v>
      </c>
      <c r="G13502" s="420">
        <v>119697194</v>
      </c>
      <c r="H13502" s="420">
        <v>119697194</v>
      </c>
      <c r="I13502" s="529" t="s">
        <v>1013</v>
      </c>
      <c r="J13502" s="530" t="s">
        <v>912</v>
      </c>
      <c r="N13502" s="420">
        <v>82104</v>
      </c>
      <c r="R13502" s="420">
        <v>536.15509999999995</v>
      </c>
      <c r="S13502" s="420">
        <v>536.40481608691402</v>
      </c>
      <c r="T13502" s="420">
        <v>17</v>
      </c>
      <c r="U13502" s="420">
        <v>66.03</v>
      </c>
      <c r="V13502" s="420">
        <v>33.020000000000003</v>
      </c>
      <c r="Z13502" s="420" t="s">
        <v>2953</v>
      </c>
    </row>
    <row r="13503" spans="1:26">
      <c r="A13503" s="499">
        <v>45946</v>
      </c>
      <c r="B13503" s="499">
        <v>45946</v>
      </c>
      <c r="C13503" s="420" t="s">
        <v>173</v>
      </c>
      <c r="D13503" s="500" t="s">
        <v>764</v>
      </c>
      <c r="E13503" s="501">
        <v>-401352130.93000001</v>
      </c>
      <c r="F13503" s="95" t="s">
        <v>878</v>
      </c>
      <c r="G13503" s="420">
        <v>119694564</v>
      </c>
      <c r="I13503" s="529" t="s">
        <v>699</v>
      </c>
      <c r="J13503" s="530" t="s">
        <v>906</v>
      </c>
      <c r="N13503" s="420">
        <v>433882</v>
      </c>
      <c r="R13503" s="420">
        <v>925.02599999539052</v>
      </c>
      <c r="S13503" s="420">
        <v>925.45708745695799</v>
      </c>
      <c r="T13503" s="420">
        <v>17.010000000000002</v>
      </c>
      <c r="U13503" s="420">
        <v>602.03</v>
      </c>
      <c r="V13503" s="420">
        <v>301.01</v>
      </c>
      <c r="Z13503" s="420" t="s">
        <v>2953</v>
      </c>
    </row>
    <row r="13504" spans="1:26">
      <c r="A13504" s="499">
        <v>45946</v>
      </c>
      <c r="B13504" s="499">
        <v>45946</v>
      </c>
      <c r="C13504" s="420" t="s">
        <v>173</v>
      </c>
      <c r="D13504" s="500" t="s">
        <v>764</v>
      </c>
      <c r="E13504" s="501">
        <v>-4526707228.1999998</v>
      </c>
      <c r="F13504" s="95" t="s">
        <v>878</v>
      </c>
      <c r="G13504" s="420">
        <v>119694567</v>
      </c>
      <c r="I13504" s="529" t="s">
        <v>696</v>
      </c>
      <c r="J13504" s="530" t="s">
        <v>906</v>
      </c>
      <c r="N13504" s="420">
        <v>6027300</v>
      </c>
      <c r="R13504" s="420">
        <v>751.03399999999999</v>
      </c>
      <c r="S13504" s="420">
        <v>751.383798715843</v>
      </c>
      <c r="T13504" s="420">
        <v>17.0001</v>
      </c>
      <c r="U13504" s="420">
        <v>6790.06</v>
      </c>
      <c r="V13504" s="420">
        <v>3395.03</v>
      </c>
      <c r="Z13504" s="420" t="s">
        <v>2953</v>
      </c>
    </row>
    <row r="13505" spans="1:26">
      <c r="A13505" s="499">
        <v>45946</v>
      </c>
      <c r="B13505" s="499">
        <v>45946</v>
      </c>
      <c r="C13505" s="420" t="s">
        <v>173</v>
      </c>
      <c r="D13505" s="500" t="s">
        <v>764</v>
      </c>
      <c r="E13505" s="501">
        <v>-31011695.93</v>
      </c>
      <c r="F13505" s="95" t="s">
        <v>878</v>
      </c>
      <c r="G13505" s="420">
        <v>119694600</v>
      </c>
      <c r="I13505" s="529" t="s">
        <v>696</v>
      </c>
      <c r="J13505" s="530" t="s">
        <v>906</v>
      </c>
      <c r="N13505" s="420">
        <v>41292</v>
      </c>
      <c r="R13505" s="420">
        <v>751.03400004843547</v>
      </c>
      <c r="S13505" s="420">
        <v>751.38379879879903</v>
      </c>
      <c r="T13505" s="420">
        <v>17.0001</v>
      </c>
      <c r="U13505" s="420">
        <v>46.52</v>
      </c>
      <c r="V13505" s="420">
        <v>23.26</v>
      </c>
      <c r="Z13505" s="420" t="s">
        <v>2953</v>
      </c>
    </row>
    <row r="13506" spans="1:26">
      <c r="A13506" s="499">
        <v>45946</v>
      </c>
      <c r="B13506" s="499">
        <v>45947</v>
      </c>
      <c r="C13506" s="420" t="s">
        <v>173</v>
      </c>
      <c r="D13506" s="500" t="s">
        <v>764</v>
      </c>
      <c r="E13506" s="501">
        <v>401539172.01999998</v>
      </c>
      <c r="F13506" s="95" t="s">
        <v>878</v>
      </c>
      <c r="G13506" s="420">
        <v>119694564</v>
      </c>
      <c r="H13506" s="420">
        <v>119694564</v>
      </c>
      <c r="I13506" s="529" t="s">
        <v>699</v>
      </c>
      <c r="J13506" s="530" t="s">
        <v>912</v>
      </c>
      <c r="N13506" s="420">
        <v>433882</v>
      </c>
      <c r="R13506" s="420">
        <v>925.02599999539052</v>
      </c>
      <c r="S13506" s="420">
        <v>925.45708745695799</v>
      </c>
      <c r="T13506" s="420">
        <v>17.010000000000002</v>
      </c>
      <c r="U13506" s="420">
        <v>602.03</v>
      </c>
      <c r="V13506" s="420">
        <v>301.01</v>
      </c>
      <c r="Z13506" s="420" t="s">
        <v>2953</v>
      </c>
    </row>
    <row r="13507" spans="1:26">
      <c r="A13507" s="499">
        <v>45946</v>
      </c>
      <c r="B13507" s="499">
        <v>45947</v>
      </c>
      <c r="C13507" s="420" t="s">
        <v>173</v>
      </c>
      <c r="D13507" s="500" t="s">
        <v>764</v>
      </c>
      <c r="E13507" s="501">
        <v>4528815570</v>
      </c>
      <c r="F13507" s="95" t="s">
        <v>878</v>
      </c>
      <c r="G13507" s="420">
        <v>119694567</v>
      </c>
      <c r="H13507" s="420">
        <v>119694567</v>
      </c>
      <c r="I13507" s="529" t="s">
        <v>696</v>
      </c>
      <c r="J13507" s="530" t="s">
        <v>912</v>
      </c>
      <c r="N13507" s="420">
        <v>6027300</v>
      </c>
      <c r="R13507" s="420">
        <v>751.03399999999999</v>
      </c>
      <c r="S13507" s="420">
        <v>751.383798715843</v>
      </c>
      <c r="T13507" s="420">
        <v>17.0001</v>
      </c>
      <c r="U13507" s="420">
        <v>6790.06</v>
      </c>
      <c r="V13507" s="420">
        <v>3395.03</v>
      </c>
      <c r="Z13507" s="420" t="s">
        <v>2953</v>
      </c>
    </row>
    <row r="13508" spans="1:26">
      <c r="A13508" s="499">
        <v>45946</v>
      </c>
      <c r="B13508" s="499">
        <v>45947</v>
      </c>
      <c r="C13508" s="420" t="s">
        <v>173</v>
      </c>
      <c r="D13508" s="500" t="s">
        <v>764</v>
      </c>
      <c r="E13508" s="501">
        <v>31026139.82</v>
      </c>
      <c r="F13508" s="95" t="s">
        <v>878</v>
      </c>
      <c r="G13508" s="420">
        <v>119694600</v>
      </c>
      <c r="H13508" s="420">
        <v>119694600</v>
      </c>
      <c r="I13508" s="529" t="s">
        <v>696</v>
      </c>
      <c r="J13508" s="530" t="s">
        <v>912</v>
      </c>
      <c r="N13508" s="420">
        <v>41292</v>
      </c>
      <c r="R13508" s="420">
        <v>751.03400004843547</v>
      </c>
      <c r="S13508" s="420">
        <v>751.38379879879903</v>
      </c>
      <c r="T13508" s="420">
        <v>17.0001</v>
      </c>
      <c r="U13508" s="420">
        <v>46.52</v>
      </c>
      <c r="V13508" s="420">
        <v>23.26</v>
      </c>
      <c r="Z13508" s="420" t="s">
        <v>2953</v>
      </c>
    </row>
    <row r="13509" spans="1:26">
      <c r="A13509" s="499">
        <v>45946</v>
      </c>
      <c r="B13509" s="499">
        <v>45946</v>
      </c>
      <c r="C13509" s="420" t="s">
        <v>173</v>
      </c>
      <c r="D13509" s="500" t="s">
        <v>763</v>
      </c>
      <c r="E13509" s="501">
        <v>-13008277.699999999</v>
      </c>
      <c r="F13509" s="95" t="s">
        <v>878</v>
      </c>
      <c r="G13509" s="420">
        <v>119695722</v>
      </c>
      <c r="I13509" s="529" t="s">
        <v>588</v>
      </c>
      <c r="J13509" s="530" t="s">
        <v>906</v>
      </c>
      <c r="N13509" s="420">
        <v>13611</v>
      </c>
      <c r="R13509" s="420">
        <v>955.71799999999996</v>
      </c>
      <c r="S13509" s="420">
        <v>956.16312908676798</v>
      </c>
      <c r="T13509" s="420">
        <v>17</v>
      </c>
      <c r="U13509" s="420">
        <v>39.32</v>
      </c>
      <c r="V13509" s="420">
        <v>39.32</v>
      </c>
      <c r="Z13509" s="420" t="s">
        <v>2953</v>
      </c>
    </row>
    <row r="13510" spans="1:26">
      <c r="A13510" s="499">
        <v>45946</v>
      </c>
      <c r="B13510" s="499">
        <v>45946</v>
      </c>
      <c r="C13510" s="420" t="s">
        <v>173</v>
      </c>
      <c r="D13510" s="500" t="s">
        <v>763</v>
      </c>
      <c r="E13510" s="501">
        <v>-2107340987.0799999</v>
      </c>
      <c r="F13510" s="95" t="s">
        <v>878</v>
      </c>
      <c r="G13510" s="420">
        <v>119695652</v>
      </c>
      <c r="I13510" s="529" t="s">
        <v>588</v>
      </c>
      <c r="J13510" s="530" t="s">
        <v>906</v>
      </c>
      <c r="N13510" s="420">
        <v>2204982</v>
      </c>
      <c r="R13510" s="420">
        <v>955.71799999999996</v>
      </c>
      <c r="S13510" s="420">
        <v>956.16312893257202</v>
      </c>
      <c r="T13510" s="420">
        <v>17</v>
      </c>
      <c r="U13510" s="420">
        <v>3161.01</v>
      </c>
      <c r="V13510" s="420">
        <v>1580.51</v>
      </c>
      <c r="Z13510" s="420" t="s">
        <v>2953</v>
      </c>
    </row>
    <row r="13511" spans="1:26">
      <c r="A13511" s="499">
        <v>45946</v>
      </c>
      <c r="B13511" s="499">
        <v>45947</v>
      </c>
      <c r="C13511" s="420" t="s">
        <v>173</v>
      </c>
      <c r="D13511" s="500" t="s">
        <v>763</v>
      </c>
      <c r="E13511" s="501">
        <v>13014336.35</v>
      </c>
      <c r="F13511" s="95" t="s">
        <v>878</v>
      </c>
      <c r="G13511" s="420">
        <v>119695722</v>
      </c>
      <c r="H13511" s="420">
        <v>119695722</v>
      </c>
      <c r="I13511" s="529" t="s">
        <v>588</v>
      </c>
      <c r="J13511" s="530" t="s">
        <v>912</v>
      </c>
      <c r="N13511" s="420">
        <v>13611</v>
      </c>
      <c r="R13511" s="420">
        <v>955.71799999999996</v>
      </c>
      <c r="S13511" s="420">
        <v>956.16312908676798</v>
      </c>
      <c r="T13511" s="420">
        <v>17</v>
      </c>
      <c r="U13511" s="420">
        <v>39.32</v>
      </c>
      <c r="V13511" s="420">
        <v>39.32</v>
      </c>
      <c r="Z13511" s="420" t="s">
        <v>2953</v>
      </c>
    </row>
    <row r="13512" spans="1:26">
      <c r="A13512" s="499">
        <v>45946</v>
      </c>
      <c r="B13512" s="499">
        <v>45947</v>
      </c>
      <c r="C13512" s="420" t="s">
        <v>173</v>
      </c>
      <c r="D13512" s="500" t="s">
        <v>763</v>
      </c>
      <c r="E13512" s="501">
        <v>2108322488.3599999</v>
      </c>
      <c r="F13512" s="95" t="s">
        <v>878</v>
      </c>
      <c r="G13512" s="420">
        <v>119695652</v>
      </c>
      <c r="H13512" s="420">
        <v>119695652</v>
      </c>
      <c r="I13512" s="529" t="s">
        <v>588</v>
      </c>
      <c r="J13512" s="530" t="s">
        <v>912</v>
      </c>
      <c r="N13512" s="420">
        <v>2204982</v>
      </c>
      <c r="R13512" s="420">
        <v>955.71799999999996</v>
      </c>
      <c r="S13512" s="420">
        <v>956.16312893257202</v>
      </c>
      <c r="T13512" s="420">
        <v>17</v>
      </c>
      <c r="U13512" s="420">
        <v>3161.01</v>
      </c>
      <c r="V13512" s="420">
        <v>1580.51</v>
      </c>
      <c r="Z13512" s="420" t="s">
        <v>2953</v>
      </c>
    </row>
    <row r="13513" spans="1:26">
      <c r="A13513" s="499">
        <v>45947</v>
      </c>
      <c r="B13513" s="499">
        <v>45947</v>
      </c>
      <c r="C13513" s="420" t="s">
        <v>173</v>
      </c>
      <c r="D13513" s="500" t="s">
        <v>759</v>
      </c>
      <c r="E13513" s="501">
        <v>-1991076651.9100001</v>
      </c>
      <c r="F13513" s="95" t="s">
        <v>878</v>
      </c>
      <c r="G13513" s="420">
        <v>119721142</v>
      </c>
      <c r="I13513" s="529" t="s">
        <v>1013</v>
      </c>
      <c r="J13513" s="530" t="s">
        <v>906</v>
      </c>
      <c r="N13513" s="420">
        <v>3727152</v>
      </c>
      <c r="R13513" s="420">
        <v>534.20860000075129</v>
      </c>
      <c r="S13513" s="420">
        <v>534.95504162695795</v>
      </c>
      <c r="T13513" s="567">
        <v>17.000299999999999</v>
      </c>
      <c r="U13513" s="420">
        <v>8959.84</v>
      </c>
      <c r="V13513" s="420">
        <v>4479.92</v>
      </c>
      <c r="Z13513" s="420" t="s">
        <v>2953</v>
      </c>
    </row>
    <row r="13514" spans="1:26">
      <c r="A13514" s="499">
        <v>45947</v>
      </c>
      <c r="B13514" s="499">
        <v>45947</v>
      </c>
      <c r="C13514" s="420" t="s">
        <v>173</v>
      </c>
      <c r="D13514" s="500" t="s">
        <v>759</v>
      </c>
      <c r="E13514" s="501">
        <v>-13007445.98</v>
      </c>
      <c r="F13514" s="95" t="s">
        <v>878</v>
      </c>
      <c r="G13514" s="420">
        <v>119721213</v>
      </c>
      <c r="I13514" s="529" t="s">
        <v>816</v>
      </c>
      <c r="J13514" s="530" t="s">
        <v>906</v>
      </c>
      <c r="N13514" s="420">
        <v>12168</v>
      </c>
      <c r="R13514" s="420">
        <v>1068.9879996712689</v>
      </c>
      <c r="S13514" s="420">
        <v>1070.4816806377401</v>
      </c>
      <c r="T13514" s="567">
        <v>17.000299999999999</v>
      </c>
      <c r="U13514" s="420">
        <v>58.53</v>
      </c>
      <c r="V13514" s="420">
        <v>29.27</v>
      </c>
      <c r="Z13514" s="420" t="s">
        <v>2953</v>
      </c>
    </row>
    <row r="13515" spans="1:26">
      <c r="A13515" s="499">
        <v>45947</v>
      </c>
      <c r="B13515" s="499">
        <v>45950</v>
      </c>
      <c r="C13515" s="420" t="s">
        <v>173</v>
      </c>
      <c r="D13515" s="500" t="s">
        <v>759</v>
      </c>
      <c r="E13515" s="501">
        <v>1993858753.3099999</v>
      </c>
      <c r="F13515" s="95" t="s">
        <v>878</v>
      </c>
      <c r="G13515" s="420">
        <v>119721142</v>
      </c>
      <c r="H13515" s="420">
        <v>119721142</v>
      </c>
      <c r="I13515" s="529" t="s">
        <v>1013</v>
      </c>
      <c r="J13515" s="530" t="s">
        <v>912</v>
      </c>
      <c r="N13515" s="420">
        <v>3727152</v>
      </c>
      <c r="R13515" s="420">
        <v>534.20860000075129</v>
      </c>
      <c r="S13515" s="420">
        <v>534.95504162695795</v>
      </c>
      <c r="T13515" s="567">
        <v>17.000299999999999</v>
      </c>
      <c r="U13515" s="420">
        <v>8959.84</v>
      </c>
      <c r="V13515" s="420">
        <v>4479.92</v>
      </c>
      <c r="Z13515" s="420" t="s">
        <v>2953</v>
      </c>
    </row>
    <row r="13516" spans="1:26">
      <c r="A13516" s="499">
        <v>45947</v>
      </c>
      <c r="B13516" s="499">
        <v>45950</v>
      </c>
      <c r="C13516" s="420" t="s">
        <v>173</v>
      </c>
      <c r="D13516" s="500" t="s">
        <v>759</v>
      </c>
      <c r="E13516" s="501">
        <v>13025621.09</v>
      </c>
      <c r="F13516" s="95" t="s">
        <v>878</v>
      </c>
      <c r="G13516" s="420">
        <v>119721213</v>
      </c>
      <c r="H13516" s="420">
        <v>119721213</v>
      </c>
      <c r="I13516" s="529" t="s">
        <v>816</v>
      </c>
      <c r="J13516" s="530" t="s">
        <v>912</v>
      </c>
      <c r="N13516" s="420">
        <v>12168</v>
      </c>
      <c r="R13516" s="420">
        <v>1068.9879996712689</v>
      </c>
      <c r="S13516" s="420">
        <v>1070.4816806377401</v>
      </c>
      <c r="T13516" s="567">
        <v>17.000299999999999</v>
      </c>
      <c r="U13516" s="420">
        <v>58.53</v>
      </c>
      <c r="V13516" s="420">
        <v>29.27</v>
      </c>
      <c r="Z13516" s="420" t="s">
        <v>2953</v>
      </c>
    </row>
    <row r="13517" spans="1:26">
      <c r="A13517" s="499">
        <v>45947</v>
      </c>
      <c r="B13517" s="499">
        <v>45947</v>
      </c>
      <c r="C13517" s="420" t="s">
        <v>173</v>
      </c>
      <c r="D13517" s="500" t="s">
        <v>762</v>
      </c>
      <c r="E13517" s="501">
        <v>-491123594.51999998</v>
      </c>
      <c r="F13517" s="95" t="s">
        <v>878</v>
      </c>
      <c r="G13517" s="420">
        <v>119722829</v>
      </c>
      <c r="H13517" s="420"/>
      <c r="I13517" s="529" t="s">
        <v>709</v>
      </c>
      <c r="J13517" s="530" t="s">
        <v>906</v>
      </c>
      <c r="N13517" s="610">
        <v>689364</v>
      </c>
      <c r="R13517" s="539">
        <v>712.43</v>
      </c>
      <c r="S13517" s="539">
        <v>713.42545013954896</v>
      </c>
      <c r="T13517" s="567">
        <v>17</v>
      </c>
      <c r="U13517" s="567">
        <v>2210.06</v>
      </c>
      <c r="V13517" s="567">
        <v>1105.03</v>
      </c>
      <c r="Z13517" s="539" t="s">
        <v>2953</v>
      </c>
    </row>
    <row r="13518" spans="1:26">
      <c r="A13518" s="499">
        <v>45947</v>
      </c>
      <c r="B13518" s="499">
        <v>45947</v>
      </c>
      <c r="C13518" s="420" t="s">
        <v>173</v>
      </c>
      <c r="D13518" s="500" t="s">
        <v>762</v>
      </c>
      <c r="E13518" s="501">
        <v>-3633267560.6399999</v>
      </c>
      <c r="F13518" s="95" t="s">
        <v>878</v>
      </c>
      <c r="G13518" s="420">
        <v>119722832</v>
      </c>
      <c r="H13518" s="420"/>
      <c r="I13518" s="529" t="s">
        <v>1018</v>
      </c>
      <c r="J13518" s="530" t="s">
        <v>906</v>
      </c>
      <c r="N13518" s="610">
        <v>36442623</v>
      </c>
      <c r="R13518" s="539">
        <v>99.698300000000003</v>
      </c>
      <c r="S13518" s="539">
        <v>99.837604474024801</v>
      </c>
      <c r="T13518" s="567">
        <v>17</v>
      </c>
      <c r="U13518" s="567">
        <v>16349.7</v>
      </c>
      <c r="V13518" s="567">
        <v>8174.85</v>
      </c>
      <c r="Z13518" s="539" t="s">
        <v>2953</v>
      </c>
    </row>
    <row r="13519" spans="1:26">
      <c r="A13519" s="499">
        <v>45947</v>
      </c>
      <c r="B13519" s="499">
        <v>45947</v>
      </c>
      <c r="C13519" s="420" t="s">
        <v>173</v>
      </c>
      <c r="D13519" s="500" t="s">
        <v>762</v>
      </c>
      <c r="E13519" s="501">
        <v>-25001841.18</v>
      </c>
      <c r="F13519" s="95" t="s">
        <v>878</v>
      </c>
      <c r="G13519" s="420">
        <v>119722853</v>
      </c>
      <c r="H13519" s="420"/>
      <c r="I13519" s="529" t="s">
        <v>1018</v>
      </c>
      <c r="J13519" s="530" t="s">
        <v>906</v>
      </c>
      <c r="N13519" s="610">
        <v>250775</v>
      </c>
      <c r="R13519" s="539">
        <v>99.698300000000003</v>
      </c>
      <c r="S13519" s="539">
        <v>99.8376044661549</v>
      </c>
      <c r="T13519" s="567">
        <v>17</v>
      </c>
      <c r="U13519" s="567">
        <v>112.51</v>
      </c>
      <c r="V13519" s="567">
        <v>56.25</v>
      </c>
      <c r="Z13519" s="539" t="s">
        <v>2953</v>
      </c>
    </row>
    <row r="13520" spans="1:26">
      <c r="A13520" s="499">
        <v>45947</v>
      </c>
      <c r="B13520" s="499">
        <v>45950</v>
      </c>
      <c r="C13520" s="420" t="s">
        <v>173</v>
      </c>
      <c r="D13520" s="500" t="s">
        <v>762</v>
      </c>
      <c r="E13520" s="501">
        <v>491809822.00999999</v>
      </c>
      <c r="F13520" s="95" t="s">
        <v>878</v>
      </c>
      <c r="G13520" s="420">
        <v>119722829</v>
      </c>
      <c r="H13520" s="420">
        <v>119722829</v>
      </c>
      <c r="I13520" s="529" t="s">
        <v>709</v>
      </c>
      <c r="J13520" s="530" t="s">
        <v>912</v>
      </c>
      <c r="N13520" s="610">
        <v>689364</v>
      </c>
      <c r="R13520" s="539">
        <v>712.43</v>
      </c>
      <c r="S13520" s="539">
        <v>713.42545013954896</v>
      </c>
      <c r="T13520" s="567">
        <v>17</v>
      </c>
      <c r="U13520" s="567">
        <v>2210.06</v>
      </c>
      <c r="V13520" s="567">
        <v>1105.03</v>
      </c>
      <c r="Z13520" s="539" t="s">
        <v>2953</v>
      </c>
    </row>
    <row r="13521" spans="1:26">
      <c r="A13521" s="499">
        <v>45947</v>
      </c>
      <c r="B13521" s="499">
        <v>45950</v>
      </c>
      <c r="C13521" s="420" t="s">
        <v>173</v>
      </c>
      <c r="D13521" s="500" t="s">
        <v>762</v>
      </c>
      <c r="E13521" s="501">
        <v>3638344181.0700002</v>
      </c>
      <c r="F13521" s="95" t="s">
        <v>878</v>
      </c>
      <c r="G13521" s="420">
        <v>119722832</v>
      </c>
      <c r="H13521" s="420">
        <v>119722832</v>
      </c>
      <c r="I13521" s="529" t="s">
        <v>1018</v>
      </c>
      <c r="J13521" s="530" t="s">
        <v>912</v>
      </c>
      <c r="N13521" s="610">
        <v>36442623</v>
      </c>
      <c r="R13521" s="539">
        <v>99.698300000000003</v>
      </c>
      <c r="S13521" s="539">
        <v>99.837604474024801</v>
      </c>
      <c r="T13521" s="567">
        <v>17</v>
      </c>
      <c r="U13521" s="567">
        <v>16349.7</v>
      </c>
      <c r="V13521" s="567">
        <v>8174.85</v>
      </c>
      <c r="Z13521" s="539" t="s">
        <v>2953</v>
      </c>
    </row>
    <row r="13522" spans="1:26">
      <c r="A13522" s="499">
        <v>45947</v>
      </c>
      <c r="B13522" s="499">
        <v>45950</v>
      </c>
      <c r="C13522" s="420" t="s">
        <v>173</v>
      </c>
      <c r="D13522" s="500" t="s">
        <v>762</v>
      </c>
      <c r="E13522" s="501">
        <v>25036775.260000002</v>
      </c>
      <c r="F13522" s="95" t="s">
        <v>878</v>
      </c>
      <c r="G13522" s="420">
        <v>119722853</v>
      </c>
      <c r="H13522" s="420">
        <v>119722853</v>
      </c>
      <c r="I13522" s="529" t="s">
        <v>1018</v>
      </c>
      <c r="J13522" s="530" t="s">
        <v>912</v>
      </c>
      <c r="N13522" s="610">
        <v>250775</v>
      </c>
      <c r="R13522" s="539">
        <v>99.698300000000003</v>
      </c>
      <c r="S13522" s="539">
        <v>99.8376044661549</v>
      </c>
      <c r="T13522" s="567">
        <v>17</v>
      </c>
      <c r="U13522" s="567">
        <v>112.51</v>
      </c>
      <c r="V13522" s="567">
        <v>56.25</v>
      </c>
      <c r="Z13522" s="539" t="s">
        <v>2953</v>
      </c>
    </row>
    <row r="13523" spans="1:26">
      <c r="A13523" s="499">
        <v>45947</v>
      </c>
      <c r="B13523" s="499">
        <v>45947</v>
      </c>
      <c r="C13523" s="420" t="s">
        <v>173</v>
      </c>
      <c r="D13523" s="500" t="s">
        <v>761</v>
      </c>
      <c r="E13523" s="501">
        <v>-1386046902.24</v>
      </c>
      <c r="F13523" s="95" t="s">
        <v>878</v>
      </c>
      <c r="G13523" s="420">
        <v>119720050</v>
      </c>
      <c r="I13523" s="529" t="s">
        <v>588</v>
      </c>
      <c r="J13523" s="530" t="s">
        <v>906</v>
      </c>
      <c r="N13523" s="420">
        <v>1586970</v>
      </c>
      <c r="R13523" s="420">
        <v>873.39200000000005</v>
      </c>
      <c r="S13523" s="420">
        <v>874.61594522895803</v>
      </c>
      <c r="T13523" s="420">
        <v>17.05</v>
      </c>
      <c r="U13523" s="420">
        <v>6237.21</v>
      </c>
      <c r="V13523" s="420">
        <v>3118.61</v>
      </c>
      <c r="Z13523" s="420" t="s">
        <v>2953</v>
      </c>
    </row>
    <row r="13524" spans="1:26">
      <c r="A13524" s="499">
        <v>45947</v>
      </c>
      <c r="B13524" s="499">
        <v>45947</v>
      </c>
      <c r="C13524" s="420" t="s">
        <v>173</v>
      </c>
      <c r="D13524" s="500" t="s">
        <v>761</v>
      </c>
      <c r="E13524" s="501">
        <v>-9000654.7300000004</v>
      </c>
      <c r="F13524" s="95" t="s">
        <v>878</v>
      </c>
      <c r="G13524" s="420">
        <v>119720444</v>
      </c>
      <c r="I13524" s="529" t="s">
        <v>1090</v>
      </c>
      <c r="J13524" s="530" t="s">
        <v>906</v>
      </c>
      <c r="N13524" s="420">
        <v>94455</v>
      </c>
      <c r="R13524" s="420">
        <v>95.290399978825903</v>
      </c>
      <c r="S13524" s="420">
        <v>95.423937112910906</v>
      </c>
      <c r="T13524" s="420">
        <v>17.05</v>
      </c>
      <c r="U13524" s="420">
        <v>40.5</v>
      </c>
      <c r="V13524" s="420">
        <v>20.25</v>
      </c>
      <c r="Z13524" s="420" t="s">
        <v>2953</v>
      </c>
    </row>
    <row r="13525" spans="1:26">
      <c r="A13525" s="499">
        <v>45947</v>
      </c>
      <c r="B13525" s="499">
        <v>45950</v>
      </c>
      <c r="C13525" s="420" t="s">
        <v>173</v>
      </c>
      <c r="D13525" s="500" t="s">
        <v>761</v>
      </c>
      <c r="E13525" s="501">
        <v>1387989266.5999999</v>
      </c>
      <c r="F13525" s="95" t="s">
        <v>878</v>
      </c>
      <c r="G13525" s="420">
        <v>119720050</v>
      </c>
      <c r="H13525" s="420">
        <v>119720050</v>
      </c>
      <c r="I13525" s="529" t="s">
        <v>588</v>
      </c>
      <c r="J13525" s="530" t="s">
        <v>912</v>
      </c>
      <c r="N13525" s="420">
        <v>1586970</v>
      </c>
      <c r="R13525" s="420">
        <v>873.39200000000005</v>
      </c>
      <c r="S13525" s="420">
        <v>874.61594522895803</v>
      </c>
      <c r="T13525" s="420">
        <v>17.05</v>
      </c>
      <c r="U13525" s="420">
        <v>6237.21</v>
      </c>
      <c r="V13525" s="420">
        <v>3118.61</v>
      </c>
      <c r="Z13525" s="420" t="s">
        <v>2953</v>
      </c>
    </row>
    <row r="13526" spans="1:26">
      <c r="A13526" s="499">
        <v>45947</v>
      </c>
      <c r="B13526" s="499">
        <v>45950</v>
      </c>
      <c r="C13526" s="420" t="s">
        <v>173</v>
      </c>
      <c r="D13526" s="500" t="s">
        <v>761</v>
      </c>
      <c r="E13526" s="501">
        <v>9013267.9800000004</v>
      </c>
      <c r="F13526" s="95" t="s">
        <v>878</v>
      </c>
      <c r="G13526" s="420">
        <v>119720444</v>
      </c>
      <c r="H13526" s="420">
        <v>119720444</v>
      </c>
      <c r="I13526" s="529" t="s">
        <v>1090</v>
      </c>
      <c r="J13526" s="530" t="s">
        <v>912</v>
      </c>
      <c r="N13526" s="420">
        <v>94455</v>
      </c>
      <c r="R13526" s="420">
        <v>95.290399978825903</v>
      </c>
      <c r="S13526" s="420">
        <v>95.423937112910906</v>
      </c>
      <c r="T13526" s="420">
        <v>17.05</v>
      </c>
      <c r="U13526" s="420">
        <v>40.5</v>
      </c>
      <c r="V13526" s="420">
        <v>20.25</v>
      </c>
      <c r="Z13526" s="420" t="s">
        <v>2953</v>
      </c>
    </row>
    <row r="13527" spans="1:26">
      <c r="A13527" s="499">
        <v>45947</v>
      </c>
      <c r="B13527" s="499">
        <v>45947</v>
      </c>
      <c r="C13527" s="420" t="s">
        <v>173</v>
      </c>
      <c r="D13527" s="500" t="s">
        <v>764</v>
      </c>
      <c r="E13527" s="501">
        <v>-4929189762.5600004</v>
      </c>
      <c r="F13527" s="95" t="s">
        <v>878</v>
      </c>
      <c r="G13527" s="420">
        <v>119720674</v>
      </c>
      <c r="I13527" s="529" t="s">
        <v>1013</v>
      </c>
      <c r="J13527" s="530" t="s">
        <v>906</v>
      </c>
      <c r="N13527" s="420">
        <v>9227088</v>
      </c>
      <c r="R13527" s="420">
        <v>534.20860000034691</v>
      </c>
      <c r="S13527" s="420">
        <v>534.95504162743396</v>
      </c>
      <c r="T13527" s="420">
        <v>17.000299999999999</v>
      </c>
      <c r="U13527" s="420">
        <v>22181.35</v>
      </c>
      <c r="V13527" s="420">
        <v>11090.68</v>
      </c>
      <c r="Z13527" s="420" t="s">
        <v>2953</v>
      </c>
    </row>
    <row r="13528" spans="1:26">
      <c r="A13528" s="499">
        <v>45947</v>
      </c>
      <c r="B13528" s="499">
        <v>45947</v>
      </c>
      <c r="C13528" s="420" t="s">
        <v>173</v>
      </c>
      <c r="D13528" s="500" t="s">
        <v>764</v>
      </c>
      <c r="E13528" s="501">
        <v>-32001231.969999999</v>
      </c>
      <c r="F13528" s="95" t="s">
        <v>878</v>
      </c>
      <c r="G13528" s="420">
        <v>119720692</v>
      </c>
      <c r="I13528" s="529" t="s">
        <v>1013</v>
      </c>
      <c r="J13528" s="530" t="s">
        <v>906</v>
      </c>
      <c r="N13528" s="420">
        <v>59904</v>
      </c>
      <c r="R13528" s="420">
        <v>534.20859992654914</v>
      </c>
      <c r="S13528" s="420">
        <v>534.955041566506</v>
      </c>
      <c r="T13528" s="420">
        <v>17.000299999999999</v>
      </c>
      <c r="U13528" s="420">
        <v>144.01</v>
      </c>
      <c r="V13528" s="420">
        <v>72</v>
      </c>
      <c r="Z13528" s="420" t="s">
        <v>2953</v>
      </c>
    </row>
    <row r="13529" spans="1:26">
      <c r="A13529" s="499">
        <v>45947</v>
      </c>
      <c r="B13529" s="499">
        <v>45950</v>
      </c>
      <c r="C13529" s="420" t="s">
        <v>173</v>
      </c>
      <c r="D13529" s="500" t="s">
        <v>764</v>
      </c>
      <c r="E13529" s="501">
        <v>4936077245.1400003</v>
      </c>
      <c r="F13529" s="95" t="s">
        <v>878</v>
      </c>
      <c r="G13529" s="420">
        <v>119720674</v>
      </c>
      <c r="H13529" s="420">
        <v>119720674</v>
      </c>
      <c r="I13529" s="529" t="s">
        <v>1013</v>
      </c>
      <c r="J13529" s="530" t="s">
        <v>912</v>
      </c>
      <c r="N13529" s="420">
        <v>9227088</v>
      </c>
      <c r="R13529" s="420">
        <v>534.20860000034691</v>
      </c>
      <c r="S13529" s="420">
        <v>534.95504162743396</v>
      </c>
      <c r="T13529" s="420">
        <v>17.000299999999999</v>
      </c>
      <c r="U13529" s="420">
        <v>22181.35</v>
      </c>
      <c r="V13529" s="420">
        <v>11090.68</v>
      </c>
      <c r="Z13529" s="420" t="s">
        <v>2953</v>
      </c>
    </row>
    <row r="13530" spans="1:26">
      <c r="A13530" s="499">
        <v>45947</v>
      </c>
      <c r="B13530" s="499">
        <v>45950</v>
      </c>
      <c r="C13530" s="420" t="s">
        <v>173</v>
      </c>
      <c r="D13530" s="500" t="s">
        <v>764</v>
      </c>
      <c r="E13530" s="501">
        <v>32045946.809999999</v>
      </c>
      <c r="F13530" s="95" t="s">
        <v>878</v>
      </c>
      <c r="G13530" s="420">
        <v>119720692</v>
      </c>
      <c r="H13530" s="420">
        <v>119720692</v>
      </c>
      <c r="I13530" s="529" t="s">
        <v>1013</v>
      </c>
      <c r="J13530" s="530" t="s">
        <v>912</v>
      </c>
      <c r="N13530" s="420">
        <v>59904</v>
      </c>
      <c r="R13530" s="420">
        <v>534.20859992654914</v>
      </c>
      <c r="S13530" s="420">
        <v>534.955041566506</v>
      </c>
      <c r="T13530" s="420">
        <v>17.000299999999999</v>
      </c>
      <c r="U13530" s="420">
        <v>144.01</v>
      </c>
      <c r="V13530" s="420">
        <v>72</v>
      </c>
      <c r="Z13530" s="420" t="s">
        <v>2953</v>
      </c>
    </row>
    <row r="13531" spans="1:26">
      <c r="A13531" s="499">
        <v>45947</v>
      </c>
      <c r="B13531" s="499">
        <v>45947</v>
      </c>
      <c r="C13531" s="420" t="s">
        <v>173</v>
      </c>
      <c r="D13531" s="500" t="s">
        <v>760</v>
      </c>
      <c r="E13531" s="501">
        <v>-3207108524.8800001</v>
      </c>
      <c r="F13531" s="95" t="s">
        <v>878</v>
      </c>
      <c r="G13531" s="420">
        <v>119720044</v>
      </c>
      <c r="I13531" s="529" t="s">
        <v>588</v>
      </c>
      <c r="J13531" s="530" t="s">
        <v>906</v>
      </c>
      <c r="N13531" s="420">
        <v>3672015</v>
      </c>
      <c r="R13531" s="420">
        <v>873.39200000000005</v>
      </c>
      <c r="S13531" s="420">
        <v>874.61593804763902</v>
      </c>
      <c r="T13531" s="420">
        <v>17.049900000000001</v>
      </c>
      <c r="U13531" s="420">
        <v>14431.99</v>
      </c>
      <c r="V13531" s="420">
        <v>7215.99</v>
      </c>
      <c r="Z13531" s="420" t="s">
        <v>2953</v>
      </c>
    </row>
    <row r="13532" spans="1:26">
      <c r="A13532" s="499">
        <v>45947</v>
      </c>
      <c r="B13532" s="499">
        <v>45947</v>
      </c>
      <c r="C13532" s="420" t="s">
        <v>173</v>
      </c>
      <c r="D13532" s="500" t="s">
        <v>760</v>
      </c>
      <c r="E13532" s="501">
        <v>-45003273.659999996</v>
      </c>
      <c r="F13532" s="95" t="s">
        <v>878</v>
      </c>
      <c r="G13532" s="420">
        <v>119720459</v>
      </c>
      <c r="I13532" s="529" t="s">
        <v>1090</v>
      </c>
      <c r="J13532" s="530" t="s">
        <v>906</v>
      </c>
      <c r="N13532" s="420">
        <v>472275</v>
      </c>
      <c r="R13532" s="420">
        <v>95.290400000000005</v>
      </c>
      <c r="S13532" s="420">
        <v>95.423937091736803</v>
      </c>
      <c r="T13532" s="420">
        <v>17.05</v>
      </c>
      <c r="U13532" s="420">
        <v>202.51</v>
      </c>
      <c r="V13532" s="420">
        <v>101.26</v>
      </c>
      <c r="Z13532" s="420" t="s">
        <v>2953</v>
      </c>
    </row>
    <row r="13533" spans="1:26">
      <c r="A13533" s="499">
        <v>45947</v>
      </c>
      <c r="B13533" s="499">
        <v>45950</v>
      </c>
      <c r="C13533" s="420" t="s">
        <v>173</v>
      </c>
      <c r="D13533" s="500" t="s">
        <v>760</v>
      </c>
      <c r="E13533" s="501">
        <v>3211602843.75</v>
      </c>
      <c r="F13533" s="95" t="s">
        <v>878</v>
      </c>
      <c r="G13533" s="420">
        <v>119720044</v>
      </c>
      <c r="H13533" s="420">
        <v>119720044</v>
      </c>
      <c r="I13533" s="529" t="s">
        <v>588</v>
      </c>
      <c r="J13533" s="530" t="s">
        <v>912</v>
      </c>
      <c r="N13533" s="420">
        <v>3672015</v>
      </c>
      <c r="R13533" s="420">
        <v>873.39200000000005</v>
      </c>
      <c r="S13533" s="420">
        <v>874.61593804763902</v>
      </c>
      <c r="T13533" s="420">
        <v>17.049900000000001</v>
      </c>
      <c r="U13533" s="420">
        <v>14431.99</v>
      </c>
      <c r="V13533" s="420">
        <v>7215.99</v>
      </c>
      <c r="Z13533" s="420" t="s">
        <v>2953</v>
      </c>
    </row>
    <row r="13534" spans="1:26">
      <c r="A13534" s="499">
        <v>45947</v>
      </c>
      <c r="B13534" s="499">
        <v>45950</v>
      </c>
      <c r="C13534" s="420" t="s">
        <v>173</v>
      </c>
      <c r="D13534" s="500" t="s">
        <v>760</v>
      </c>
      <c r="E13534" s="501">
        <v>45066339.890000001</v>
      </c>
      <c r="F13534" s="95" t="s">
        <v>878</v>
      </c>
      <c r="G13534" s="420">
        <v>119720459</v>
      </c>
      <c r="H13534" s="420">
        <v>119720459</v>
      </c>
      <c r="I13534" s="529" t="s">
        <v>1090</v>
      </c>
      <c r="J13534" s="530" t="s">
        <v>912</v>
      </c>
      <c r="N13534" s="420">
        <v>472275</v>
      </c>
      <c r="R13534" s="420">
        <v>95.290400000000005</v>
      </c>
      <c r="S13534" s="420">
        <v>95.423937091736803</v>
      </c>
      <c r="T13534" s="420">
        <v>17.05</v>
      </c>
      <c r="U13534" s="420">
        <v>202.51</v>
      </c>
      <c r="V13534" s="420">
        <v>101.26</v>
      </c>
      <c r="Z13534" s="420" t="s">
        <v>2953</v>
      </c>
    </row>
    <row r="13535" spans="1:26">
      <c r="A13535" s="499">
        <v>45947</v>
      </c>
      <c r="B13535" s="499">
        <v>45947</v>
      </c>
      <c r="C13535" s="420" t="s">
        <v>173</v>
      </c>
      <c r="D13535" s="500" t="s">
        <v>763</v>
      </c>
      <c r="E13535" s="501">
        <v>-14006375.960000001</v>
      </c>
      <c r="F13535" s="95" t="s">
        <v>878</v>
      </c>
      <c r="G13535" s="420">
        <v>119719856</v>
      </c>
      <c r="I13535" s="529" t="s">
        <v>2856</v>
      </c>
      <c r="J13535" s="530" t="s">
        <v>906</v>
      </c>
      <c r="N13535" s="420">
        <v>24976</v>
      </c>
      <c r="R13535" s="420">
        <v>560.79340000000002</v>
      </c>
      <c r="S13535" s="420">
        <v>561.57697909993601</v>
      </c>
      <c r="T13535" s="420">
        <v>17.0001</v>
      </c>
      <c r="U13535" s="420">
        <v>63.03</v>
      </c>
      <c r="V13535" s="420">
        <v>39.32</v>
      </c>
      <c r="Z13535" s="420" t="s">
        <v>2953</v>
      </c>
    </row>
    <row r="13536" spans="1:26">
      <c r="A13536" s="499">
        <v>45947</v>
      </c>
      <c r="B13536" s="499">
        <v>45947</v>
      </c>
      <c r="C13536" s="420" t="s">
        <v>173</v>
      </c>
      <c r="D13536" s="500" t="s">
        <v>763</v>
      </c>
      <c r="E13536" s="501">
        <v>-2107481744.48</v>
      </c>
      <c r="F13536" s="95" t="s">
        <v>878</v>
      </c>
      <c r="G13536" s="420">
        <v>119719807</v>
      </c>
      <c r="I13536" s="529" t="s">
        <v>829</v>
      </c>
      <c r="J13536" s="530" t="s">
        <v>906</v>
      </c>
      <c r="N13536" s="420">
        <v>2090144</v>
      </c>
      <c r="R13536" s="420">
        <v>1008.295</v>
      </c>
      <c r="S13536" s="420">
        <v>1009.70386712112</v>
      </c>
      <c r="T13536" s="420">
        <v>17.0002</v>
      </c>
      <c r="U13536" s="420">
        <v>9483.67</v>
      </c>
      <c r="V13536" s="420">
        <v>4741.83</v>
      </c>
      <c r="Z13536" s="420" t="s">
        <v>2953</v>
      </c>
    </row>
    <row r="13537" spans="1:26">
      <c r="A13537" s="499">
        <v>45947</v>
      </c>
      <c r="B13537" s="499">
        <v>45950</v>
      </c>
      <c r="C13537" s="420" t="s">
        <v>173</v>
      </c>
      <c r="D13537" s="500" t="s">
        <v>763</v>
      </c>
      <c r="E13537" s="501">
        <v>14025946.630000001</v>
      </c>
      <c r="F13537" s="95" t="s">
        <v>878</v>
      </c>
      <c r="G13537" s="420">
        <v>119719856</v>
      </c>
      <c r="H13537" s="420">
        <v>119719856</v>
      </c>
      <c r="I13537" s="529" t="s">
        <v>2856</v>
      </c>
      <c r="J13537" s="530" t="s">
        <v>912</v>
      </c>
      <c r="N13537" s="420">
        <v>24976</v>
      </c>
      <c r="R13537" s="420">
        <v>560.79340000000002</v>
      </c>
      <c r="S13537" s="420">
        <v>561.57697909993601</v>
      </c>
      <c r="T13537" s="420">
        <v>17.0001</v>
      </c>
      <c r="U13537" s="420">
        <v>63.03</v>
      </c>
      <c r="V13537" s="420">
        <v>39.32</v>
      </c>
      <c r="Z13537" s="420" t="s">
        <v>2953</v>
      </c>
    </row>
    <row r="13538" spans="1:26">
      <c r="A13538" s="499">
        <v>45947</v>
      </c>
      <c r="B13538" s="499">
        <v>45950</v>
      </c>
      <c r="C13538" s="420" t="s">
        <v>173</v>
      </c>
      <c r="D13538" s="500" t="s">
        <v>763</v>
      </c>
      <c r="E13538" s="501">
        <v>2110426479.6400001</v>
      </c>
      <c r="F13538" s="95" t="s">
        <v>878</v>
      </c>
      <c r="G13538" s="420">
        <v>119719807</v>
      </c>
      <c r="H13538" s="420">
        <v>119719807</v>
      </c>
      <c r="I13538" s="529" t="s">
        <v>829</v>
      </c>
      <c r="J13538" s="530" t="s">
        <v>912</v>
      </c>
      <c r="N13538" s="420">
        <v>2090144</v>
      </c>
      <c r="R13538" s="420">
        <v>1008.295</v>
      </c>
      <c r="S13538" s="420">
        <v>1009.70386712112</v>
      </c>
      <c r="T13538" s="420">
        <v>17.0002</v>
      </c>
      <c r="U13538" s="420">
        <v>9483.67</v>
      </c>
      <c r="V13538" s="420">
        <v>4741.83</v>
      </c>
      <c r="Z13538" s="420" t="s">
        <v>2953</v>
      </c>
    </row>
    <row r="13539" spans="1:26">
      <c r="A13539" s="499">
        <v>45949</v>
      </c>
      <c r="B13539" s="499">
        <v>45950</v>
      </c>
      <c r="C13539" s="420" t="s">
        <v>173</v>
      </c>
      <c r="D13539" s="500" t="s">
        <v>761</v>
      </c>
      <c r="E13539" s="501">
        <v>26500000</v>
      </c>
      <c r="F13539" s="502" t="s">
        <v>381</v>
      </c>
      <c r="G13539" s="484" t="s">
        <v>53</v>
      </c>
      <c r="I13539" s="523" t="str">
        <f>VLOOKUP(G13539,Справочник!A:I,9,0)</f>
        <v>MUM192_0001</v>
      </c>
    </row>
    <row r="13540" spans="1:26">
      <c r="A13540" s="499">
        <v>45949</v>
      </c>
      <c r="B13540" s="499">
        <v>45950</v>
      </c>
      <c r="C13540" s="420" t="s">
        <v>173</v>
      </c>
      <c r="D13540" s="500" t="s">
        <v>763</v>
      </c>
      <c r="E13540" s="501">
        <v>126749500</v>
      </c>
      <c r="F13540" s="502" t="s">
        <v>381</v>
      </c>
      <c r="G13540" s="484" t="s">
        <v>53</v>
      </c>
      <c r="I13540" s="523" t="str">
        <f>VLOOKUP(G13540,Справочник!A:I,9,0)</f>
        <v>MUM192_0001</v>
      </c>
    </row>
    <row r="13541" spans="1:26">
      <c r="A13541" s="499">
        <v>45950</v>
      </c>
      <c r="B13541" s="499">
        <v>45950</v>
      </c>
      <c r="C13541" s="420" t="s">
        <v>173</v>
      </c>
      <c r="D13541" s="500" t="s">
        <v>762</v>
      </c>
      <c r="E13541" s="501">
        <v>-25008069.850000001</v>
      </c>
      <c r="F13541" s="95" t="s">
        <v>878</v>
      </c>
      <c r="G13541" s="420">
        <v>119746875</v>
      </c>
      <c r="H13541" s="420"/>
      <c r="I13541" s="529" t="s">
        <v>709</v>
      </c>
      <c r="J13541" s="530" t="s">
        <v>906</v>
      </c>
      <c r="N13541" s="420">
        <v>35050</v>
      </c>
      <c r="R13541" s="420">
        <v>713.49699999999996</v>
      </c>
      <c r="S13541" s="420">
        <v>713.82931554921504</v>
      </c>
      <c r="T13541" s="567">
        <v>17.0001</v>
      </c>
      <c r="U13541" s="420">
        <v>39.32</v>
      </c>
      <c r="V13541" s="420">
        <v>18.760000000000002</v>
      </c>
      <c r="Z13541" s="420" t="s">
        <v>2953</v>
      </c>
    </row>
    <row r="13542" spans="1:26">
      <c r="A13542" s="499">
        <v>45950</v>
      </c>
      <c r="B13542" s="499">
        <v>45950</v>
      </c>
      <c r="C13542" s="420" t="s">
        <v>173</v>
      </c>
      <c r="D13542" s="500" t="s">
        <v>762</v>
      </c>
      <c r="E13542" s="501">
        <v>-4133333784.8099999</v>
      </c>
      <c r="F13542" s="95" t="s">
        <v>878</v>
      </c>
      <c r="G13542" s="420">
        <v>119746824</v>
      </c>
      <c r="H13542" s="420"/>
      <c r="I13542" s="529" t="s">
        <v>709</v>
      </c>
      <c r="J13542" s="530" t="s">
        <v>906</v>
      </c>
      <c r="N13542" s="626">
        <v>5793064</v>
      </c>
      <c r="R13542" s="420">
        <v>713.49699999999996</v>
      </c>
      <c r="S13542" s="420">
        <v>713.82931562641102</v>
      </c>
      <c r="T13542" s="567">
        <v>17.0001</v>
      </c>
      <c r="U13542" s="567">
        <v>6200</v>
      </c>
      <c r="V13542" s="567">
        <v>3100</v>
      </c>
      <c r="Z13542" s="626" t="s">
        <v>2953</v>
      </c>
    </row>
    <row r="13543" spans="1:26">
      <c r="A13543" s="499">
        <v>45950</v>
      </c>
      <c r="B13543" s="499">
        <v>45951</v>
      </c>
      <c r="C13543" s="420" t="s">
        <v>173</v>
      </c>
      <c r="D13543" s="500" t="s">
        <v>762</v>
      </c>
      <c r="E13543" s="501">
        <v>25019717.510000002</v>
      </c>
      <c r="F13543" s="95" t="s">
        <v>878</v>
      </c>
      <c r="G13543" s="420">
        <v>119746875</v>
      </c>
      <c r="H13543" s="420">
        <v>119746875</v>
      </c>
      <c r="I13543" s="529" t="s">
        <v>709</v>
      </c>
      <c r="J13543" s="530" t="s">
        <v>912</v>
      </c>
      <c r="N13543" s="420">
        <v>35050</v>
      </c>
      <c r="R13543" s="420">
        <v>713.49699999999996</v>
      </c>
      <c r="S13543" s="420">
        <v>713.82931554921504</v>
      </c>
      <c r="T13543" s="567">
        <v>17.0001</v>
      </c>
      <c r="U13543" s="420">
        <v>39.32</v>
      </c>
      <c r="V13543" s="420">
        <v>18.760000000000002</v>
      </c>
      <c r="Z13543" s="539" t="s">
        <v>2953</v>
      </c>
    </row>
    <row r="13544" spans="1:26">
      <c r="A13544" s="499">
        <v>45950</v>
      </c>
      <c r="B13544" s="499">
        <v>45951</v>
      </c>
      <c r="C13544" s="420" t="s">
        <v>173</v>
      </c>
      <c r="D13544" s="500" t="s">
        <v>762</v>
      </c>
      <c r="E13544" s="501">
        <v>4135258910.5</v>
      </c>
      <c r="F13544" s="95" t="s">
        <v>878</v>
      </c>
      <c r="G13544" s="420">
        <v>119746824</v>
      </c>
      <c r="H13544" s="420">
        <v>119746824</v>
      </c>
      <c r="I13544" s="529" t="s">
        <v>709</v>
      </c>
      <c r="J13544" s="530" t="s">
        <v>912</v>
      </c>
      <c r="N13544" s="626">
        <v>5793064</v>
      </c>
      <c r="R13544" s="420">
        <v>713.49699999999996</v>
      </c>
      <c r="S13544" s="420">
        <v>713.82931562641102</v>
      </c>
      <c r="T13544" s="567">
        <v>17.0001</v>
      </c>
      <c r="U13544" s="567">
        <v>6200</v>
      </c>
      <c r="V13544" s="567">
        <v>3100</v>
      </c>
      <c r="Z13544" s="539" t="s">
        <v>2953</v>
      </c>
    </row>
    <row r="13545" spans="1:26">
      <c r="A13545" s="499">
        <v>45950</v>
      </c>
      <c r="B13545" s="499">
        <v>45950</v>
      </c>
      <c r="C13545" s="420" t="s">
        <v>173</v>
      </c>
      <c r="D13545" s="500" t="s">
        <v>763</v>
      </c>
      <c r="E13545" s="501">
        <v>-1000322.79</v>
      </c>
      <c r="F13545" s="95" t="s">
        <v>878</v>
      </c>
      <c r="G13545" s="420">
        <v>119750536</v>
      </c>
      <c r="H13545" s="420"/>
      <c r="I13545" s="529" t="s">
        <v>709</v>
      </c>
      <c r="J13545" s="530" t="s">
        <v>906</v>
      </c>
      <c r="N13545" s="420">
        <v>1402</v>
      </c>
      <c r="R13545" s="420">
        <v>713.49699999999996</v>
      </c>
      <c r="S13545" s="420">
        <v>713.82931526390905</v>
      </c>
      <c r="T13545" s="420">
        <v>17.0001</v>
      </c>
      <c r="U13545" s="420">
        <v>39.32</v>
      </c>
      <c r="V13545" s="420">
        <v>39.32</v>
      </c>
      <c r="Z13545" s="539" t="s">
        <v>2953</v>
      </c>
    </row>
    <row r="13546" spans="1:26">
      <c r="A13546" s="499">
        <v>45950</v>
      </c>
      <c r="B13546" s="499">
        <v>45950</v>
      </c>
      <c r="C13546" s="420" t="s">
        <v>173</v>
      </c>
      <c r="D13546" s="500" t="s">
        <v>763</v>
      </c>
      <c r="E13546" s="501">
        <v>-125040349.25</v>
      </c>
      <c r="F13546" s="95" t="s">
        <v>878</v>
      </c>
      <c r="G13546" s="420">
        <v>119750499</v>
      </c>
      <c r="I13546" s="529" t="s">
        <v>709</v>
      </c>
      <c r="J13546" s="530" t="s">
        <v>906</v>
      </c>
      <c r="N13546" s="420">
        <v>175250</v>
      </c>
      <c r="R13546" s="420">
        <v>713.49699999999996</v>
      </c>
      <c r="S13546" s="420">
        <v>713.82931560627696</v>
      </c>
      <c r="T13546" s="420">
        <v>17.0001</v>
      </c>
      <c r="U13546" s="420">
        <v>187.56</v>
      </c>
      <c r="V13546" s="420">
        <v>93.78</v>
      </c>
      <c r="Z13546" s="539" t="s">
        <v>2953</v>
      </c>
    </row>
    <row r="13547" spans="1:26">
      <c r="A13547" s="499">
        <v>45950</v>
      </c>
      <c r="B13547" s="499">
        <v>45950</v>
      </c>
      <c r="C13547" s="420" t="s">
        <v>173</v>
      </c>
      <c r="D13547" s="500" t="s">
        <v>763</v>
      </c>
      <c r="E13547" s="501">
        <v>-1000554.73</v>
      </c>
      <c r="F13547" s="95" t="s">
        <v>878</v>
      </c>
      <c r="G13547" s="420">
        <v>119746117</v>
      </c>
      <c r="I13547" s="529" t="s">
        <v>723</v>
      </c>
      <c r="J13547" s="530" t="s">
        <v>906</v>
      </c>
      <c r="N13547" s="420">
        <v>1681</v>
      </c>
      <c r="R13547" s="420">
        <v>595.21400000000006</v>
      </c>
      <c r="S13547" s="420">
        <v>595.49121951219502</v>
      </c>
      <c r="T13547" s="420">
        <v>17.0001</v>
      </c>
      <c r="U13547" s="420">
        <v>39.32</v>
      </c>
      <c r="V13547" s="420">
        <v>39.32</v>
      </c>
      <c r="Z13547" s="539" t="s">
        <v>2953</v>
      </c>
    </row>
    <row r="13548" spans="1:26">
      <c r="A13548" s="499">
        <v>45950</v>
      </c>
      <c r="B13548" s="499">
        <v>45950</v>
      </c>
      <c r="C13548" s="420" t="s">
        <v>173</v>
      </c>
      <c r="D13548" s="500" t="s">
        <v>763</v>
      </c>
      <c r="E13548" s="501">
        <v>-11006102.07</v>
      </c>
      <c r="F13548" s="95" t="s">
        <v>878</v>
      </c>
      <c r="G13548" s="420">
        <v>119746092</v>
      </c>
      <c r="I13548" s="529" t="s">
        <v>723</v>
      </c>
      <c r="J13548" s="530" t="s">
        <v>906</v>
      </c>
      <c r="N13548" s="420">
        <v>18491</v>
      </c>
      <c r="R13548" s="420">
        <v>595.21400000000006</v>
      </c>
      <c r="S13548" s="420">
        <v>595.49122437942799</v>
      </c>
      <c r="T13548" s="420">
        <v>17.0001</v>
      </c>
      <c r="U13548" s="420">
        <v>39.32</v>
      </c>
      <c r="V13548" s="420">
        <v>39.32</v>
      </c>
      <c r="Z13548" s="539" t="s">
        <v>2953</v>
      </c>
    </row>
    <row r="13549" spans="1:26">
      <c r="A13549" s="499">
        <v>45950</v>
      </c>
      <c r="B13549" s="499">
        <v>45950</v>
      </c>
      <c r="C13549" s="420" t="s">
        <v>173</v>
      </c>
      <c r="D13549" s="500" t="s">
        <v>763</v>
      </c>
      <c r="E13549" s="501">
        <v>-2066626592.24</v>
      </c>
      <c r="F13549" s="95" t="s">
        <v>878</v>
      </c>
      <c r="G13549" s="420">
        <v>119746042</v>
      </c>
      <c r="I13549" s="529" t="s">
        <v>678</v>
      </c>
      <c r="J13549" s="530" t="s">
        <v>906</v>
      </c>
      <c r="N13549" s="420">
        <v>2159990</v>
      </c>
      <c r="R13549" s="420">
        <v>956.77599999999995</v>
      </c>
      <c r="S13549" s="420">
        <v>957.22162431770505</v>
      </c>
      <c r="T13549" s="420">
        <v>17.0001</v>
      </c>
      <c r="U13549" s="420">
        <v>3099.94</v>
      </c>
      <c r="V13549" s="420">
        <v>1549.97</v>
      </c>
      <c r="Z13549" s="539" t="s">
        <v>2953</v>
      </c>
    </row>
    <row r="13550" spans="1:26">
      <c r="A13550" s="499">
        <v>45950</v>
      </c>
      <c r="B13550" s="499">
        <v>45950</v>
      </c>
      <c r="C13550" s="420" t="s">
        <v>173</v>
      </c>
      <c r="D13550" s="500" t="s">
        <v>763</v>
      </c>
      <c r="E13550" s="501">
        <v>-46025517.759999998</v>
      </c>
      <c r="F13550" s="95" t="s">
        <v>878</v>
      </c>
      <c r="G13550" s="420">
        <v>119746045</v>
      </c>
      <c r="I13550" s="529" t="s">
        <v>723</v>
      </c>
      <c r="J13550" s="530" t="s">
        <v>906</v>
      </c>
      <c r="N13550" s="420">
        <v>77326</v>
      </c>
      <c r="R13550" s="420">
        <v>595.21400000000006</v>
      </c>
      <c r="S13550" s="420">
        <v>595.49122455577697</v>
      </c>
      <c r="T13550" s="420">
        <v>17.0001</v>
      </c>
      <c r="U13550" s="420">
        <v>69.040000000000006</v>
      </c>
      <c r="V13550" s="420">
        <v>39.32</v>
      </c>
      <c r="Z13550" s="539" t="s">
        <v>2953</v>
      </c>
    </row>
    <row r="13551" spans="1:26">
      <c r="A13551" s="499">
        <v>45950</v>
      </c>
      <c r="B13551" s="499">
        <v>45951</v>
      </c>
      <c r="C13551" s="420" t="s">
        <v>173</v>
      </c>
      <c r="D13551" s="500" t="s">
        <v>763</v>
      </c>
      <c r="E13551" s="501">
        <v>1000788.7</v>
      </c>
      <c r="F13551" s="95" t="s">
        <v>878</v>
      </c>
      <c r="G13551" s="420">
        <v>119750536</v>
      </c>
      <c r="H13551" s="420">
        <v>119750536</v>
      </c>
      <c r="I13551" s="529" t="s">
        <v>709</v>
      </c>
      <c r="J13551" s="530" t="s">
        <v>912</v>
      </c>
      <c r="N13551" s="420">
        <v>1402</v>
      </c>
      <c r="R13551" s="420">
        <v>713.49699999999996</v>
      </c>
      <c r="S13551" s="420">
        <v>713.82931526390905</v>
      </c>
      <c r="T13551" s="420">
        <v>17.0001</v>
      </c>
      <c r="U13551" s="420">
        <v>39.32</v>
      </c>
      <c r="V13551" s="420">
        <v>39.32</v>
      </c>
      <c r="Z13551" s="539" t="s">
        <v>2953</v>
      </c>
    </row>
    <row r="13552" spans="1:26">
      <c r="A13552" s="499">
        <v>45950</v>
      </c>
      <c r="B13552" s="499">
        <v>45951</v>
      </c>
      <c r="C13552" s="420" t="s">
        <v>173</v>
      </c>
      <c r="D13552" s="500" t="s">
        <v>763</v>
      </c>
      <c r="E13552" s="501">
        <v>125098587.56</v>
      </c>
      <c r="F13552" s="95" t="s">
        <v>878</v>
      </c>
      <c r="G13552" s="420">
        <v>119750499</v>
      </c>
      <c r="H13552" s="420">
        <v>119750499</v>
      </c>
      <c r="I13552" s="529" t="s">
        <v>709</v>
      </c>
      <c r="J13552" s="530" t="s">
        <v>912</v>
      </c>
      <c r="N13552" s="420">
        <v>175250</v>
      </c>
      <c r="R13552" s="420">
        <v>713.49699999999996</v>
      </c>
      <c r="S13552" s="420">
        <v>713.82931560627696</v>
      </c>
      <c r="T13552" s="420">
        <v>17.0001</v>
      </c>
      <c r="U13552" s="420">
        <v>187.56</v>
      </c>
      <c r="V13552" s="420">
        <v>93.78</v>
      </c>
      <c r="Z13552" s="539" t="s">
        <v>2953</v>
      </c>
    </row>
    <row r="13553" spans="1:26">
      <c r="A13553" s="499">
        <v>45950</v>
      </c>
      <c r="B13553" s="499">
        <v>45951</v>
      </c>
      <c r="C13553" s="420" t="s">
        <v>173</v>
      </c>
      <c r="D13553" s="500" t="s">
        <v>763</v>
      </c>
      <c r="E13553" s="501">
        <v>1001020.74</v>
      </c>
      <c r="F13553" s="95" t="s">
        <v>878</v>
      </c>
      <c r="G13553" s="420">
        <v>119746117</v>
      </c>
      <c r="H13553" s="420">
        <v>119746117</v>
      </c>
      <c r="I13553" s="529" t="s">
        <v>723</v>
      </c>
      <c r="J13553" s="530" t="s">
        <v>912</v>
      </c>
      <c r="N13553" s="420">
        <v>1681</v>
      </c>
      <c r="R13553" s="420">
        <v>595.21400000000006</v>
      </c>
      <c r="S13553" s="420">
        <v>595.49121951219502</v>
      </c>
      <c r="T13553" s="420">
        <v>17.0001</v>
      </c>
      <c r="U13553" s="420">
        <v>39.32</v>
      </c>
      <c r="V13553" s="420">
        <v>39.32</v>
      </c>
      <c r="Z13553" s="539" t="s">
        <v>2953</v>
      </c>
    </row>
    <row r="13554" spans="1:26">
      <c r="A13554" s="499">
        <v>45950</v>
      </c>
      <c r="B13554" s="499">
        <v>45951</v>
      </c>
      <c r="C13554" s="420" t="s">
        <v>173</v>
      </c>
      <c r="D13554" s="500" t="s">
        <v>763</v>
      </c>
      <c r="E13554" s="501">
        <v>11011228.23</v>
      </c>
      <c r="F13554" s="95" t="s">
        <v>878</v>
      </c>
      <c r="G13554" s="420">
        <v>119746092</v>
      </c>
      <c r="H13554" s="420">
        <v>119746092</v>
      </c>
      <c r="I13554" s="529" t="s">
        <v>723</v>
      </c>
      <c r="J13554" s="530" t="s">
        <v>912</v>
      </c>
      <c r="N13554" s="420">
        <v>18491</v>
      </c>
      <c r="R13554" s="420">
        <v>595.21400000000006</v>
      </c>
      <c r="S13554" s="420">
        <v>595.49122437942799</v>
      </c>
      <c r="T13554" s="420">
        <v>17.0001</v>
      </c>
      <c r="U13554" s="420">
        <v>39.32</v>
      </c>
      <c r="V13554" s="420">
        <v>39.32</v>
      </c>
      <c r="Z13554" s="539" t="s">
        <v>2953</v>
      </c>
    </row>
    <row r="13555" spans="1:26">
      <c r="A13555" s="499">
        <v>45950</v>
      </c>
      <c r="B13555" s="499">
        <v>45951</v>
      </c>
      <c r="C13555" s="420" t="s">
        <v>173</v>
      </c>
      <c r="D13555" s="500" t="s">
        <v>763</v>
      </c>
      <c r="E13555" s="501">
        <v>2067589136.3099999</v>
      </c>
      <c r="F13555" s="95" t="s">
        <v>878</v>
      </c>
      <c r="G13555" s="420">
        <v>119746042</v>
      </c>
      <c r="H13555" s="420">
        <v>119746042</v>
      </c>
      <c r="I13555" s="529" t="s">
        <v>678</v>
      </c>
      <c r="J13555" s="530" t="s">
        <v>912</v>
      </c>
      <c r="N13555" s="420">
        <v>2159990</v>
      </c>
      <c r="R13555" s="420">
        <v>956.77599999999995</v>
      </c>
      <c r="S13555" s="420">
        <v>957.22162431770505</v>
      </c>
      <c r="T13555" s="420">
        <v>17.0001</v>
      </c>
      <c r="U13555" s="420">
        <v>3099.94</v>
      </c>
      <c r="V13555" s="420">
        <v>1549.97</v>
      </c>
      <c r="Z13555" s="539" t="s">
        <v>2953</v>
      </c>
    </row>
    <row r="13556" spans="1:26">
      <c r="A13556" s="499">
        <v>45950</v>
      </c>
      <c r="B13556" s="499">
        <v>45951</v>
      </c>
      <c r="C13556" s="420" t="s">
        <v>173</v>
      </c>
      <c r="D13556" s="500" t="s">
        <v>763</v>
      </c>
      <c r="E13556" s="501">
        <v>46046954.43</v>
      </c>
      <c r="F13556" s="95" t="s">
        <v>878</v>
      </c>
      <c r="G13556" s="420">
        <v>119746045</v>
      </c>
      <c r="H13556" s="420">
        <v>119746045</v>
      </c>
      <c r="I13556" s="529" t="s">
        <v>723</v>
      </c>
      <c r="J13556" s="530" t="s">
        <v>912</v>
      </c>
      <c r="N13556" s="420">
        <v>77326</v>
      </c>
      <c r="R13556" s="420">
        <v>595.21400000000006</v>
      </c>
      <c r="S13556" s="420">
        <v>595.49122455577697</v>
      </c>
      <c r="T13556" s="420">
        <v>17.0001</v>
      </c>
      <c r="U13556" s="420">
        <v>69.040000000000006</v>
      </c>
      <c r="V13556" s="420">
        <v>39.32</v>
      </c>
      <c r="Z13556" s="539" t="s">
        <v>2953</v>
      </c>
    </row>
    <row r="13557" spans="1:26">
      <c r="A13557" s="499">
        <v>45950</v>
      </c>
      <c r="B13557" s="499">
        <v>45950</v>
      </c>
      <c r="C13557" s="420" t="s">
        <v>173</v>
      </c>
      <c r="D13557" s="500" t="s">
        <v>761</v>
      </c>
      <c r="E13557" s="501">
        <v>-8000632.8399999999</v>
      </c>
      <c r="F13557" s="95" t="s">
        <v>878</v>
      </c>
      <c r="G13557" s="420">
        <v>119745638</v>
      </c>
      <c r="I13557" s="529" t="s">
        <v>550</v>
      </c>
      <c r="J13557" s="530" t="s">
        <v>906</v>
      </c>
      <c r="N13557" s="420">
        <v>14800</v>
      </c>
      <c r="R13557" s="420">
        <v>540.58330000000001</v>
      </c>
      <c r="S13557" s="420">
        <v>540.83507972972996</v>
      </c>
      <c r="T13557" s="420">
        <v>17.0001</v>
      </c>
      <c r="U13557" s="420">
        <v>39.32</v>
      </c>
      <c r="V13557" s="420">
        <v>6</v>
      </c>
      <c r="Z13557" s="420" t="s">
        <v>2953</v>
      </c>
    </row>
    <row r="13558" spans="1:26">
      <c r="A13558" s="499">
        <v>45950</v>
      </c>
      <c r="B13558" s="499">
        <v>45950</v>
      </c>
      <c r="C13558" s="420" t="s">
        <v>173</v>
      </c>
      <c r="D13558" s="500" t="s">
        <v>761</v>
      </c>
      <c r="E13558" s="501">
        <v>-521282900.39999998</v>
      </c>
      <c r="F13558" s="95" t="s">
        <v>878</v>
      </c>
      <c r="G13558" s="420">
        <v>119745641</v>
      </c>
      <c r="I13558" s="529" t="s">
        <v>668</v>
      </c>
      <c r="J13558" s="530" t="s">
        <v>906</v>
      </c>
      <c r="N13558" s="420">
        <v>497555</v>
      </c>
      <c r="R13558" s="420">
        <v>1047.6890000100491</v>
      </c>
      <c r="S13558" s="420">
        <v>1048.1769676116201</v>
      </c>
      <c r="T13558" s="420">
        <v>17.0001</v>
      </c>
      <c r="U13558" s="420">
        <v>781.92</v>
      </c>
      <c r="V13558" s="420">
        <v>390.96</v>
      </c>
      <c r="Z13558" s="420" t="s">
        <v>2953</v>
      </c>
    </row>
    <row r="13559" spans="1:26">
      <c r="A13559" s="499">
        <v>45950</v>
      </c>
      <c r="B13559" s="499">
        <v>45950</v>
      </c>
      <c r="C13559" s="420" t="s">
        <v>173</v>
      </c>
      <c r="D13559" s="500" t="s">
        <v>761</v>
      </c>
      <c r="E13559" s="501">
        <v>-527415115.79000002</v>
      </c>
      <c r="F13559" s="95" t="s">
        <v>878</v>
      </c>
      <c r="G13559" s="420">
        <v>119745644</v>
      </c>
      <c r="I13559" s="529" t="s">
        <v>678</v>
      </c>
      <c r="J13559" s="530" t="s">
        <v>906</v>
      </c>
      <c r="N13559" s="420">
        <v>551242</v>
      </c>
      <c r="R13559" s="420">
        <v>956.77599999637187</v>
      </c>
      <c r="S13559" s="420">
        <v>957.22162431382196</v>
      </c>
      <c r="T13559" s="420">
        <v>17.0001</v>
      </c>
      <c r="U13559" s="420">
        <v>791.12</v>
      </c>
      <c r="V13559" s="420">
        <v>395.56</v>
      </c>
      <c r="Z13559" s="420" t="s">
        <v>2953</v>
      </c>
    </row>
    <row r="13560" spans="1:26">
      <c r="A13560" s="499">
        <v>45950</v>
      </c>
      <c r="B13560" s="499">
        <v>45950</v>
      </c>
      <c r="C13560" s="420" t="s">
        <v>173</v>
      </c>
      <c r="D13560" s="500" t="s">
        <v>761</v>
      </c>
      <c r="E13560" s="501">
        <v>-367053194.44999999</v>
      </c>
      <c r="F13560" s="95" t="s">
        <v>878</v>
      </c>
      <c r="G13560" s="420">
        <v>119745647</v>
      </c>
      <c r="I13560" s="529" t="s">
        <v>675</v>
      </c>
      <c r="J13560" s="530" t="s">
        <v>906</v>
      </c>
      <c r="N13560" s="420">
        <v>382414</v>
      </c>
      <c r="R13560" s="420">
        <v>959.83200000522993</v>
      </c>
      <c r="S13560" s="420">
        <v>960.27904768130895</v>
      </c>
      <c r="T13560" s="420">
        <v>17.0001</v>
      </c>
      <c r="U13560" s="420">
        <v>550.58000000000004</v>
      </c>
      <c r="V13560" s="420">
        <v>275.29000000000002</v>
      </c>
      <c r="Z13560" s="420" t="s">
        <v>2953</v>
      </c>
    </row>
    <row r="13561" spans="1:26">
      <c r="A13561" s="499">
        <v>45950</v>
      </c>
      <c r="B13561" s="499">
        <v>45950</v>
      </c>
      <c r="C13561" s="420" t="s">
        <v>173</v>
      </c>
      <c r="D13561" s="500" t="s">
        <v>761</v>
      </c>
      <c r="E13561" s="501">
        <v>-8001159.5499999998</v>
      </c>
      <c r="F13561" s="95" t="s">
        <v>878</v>
      </c>
      <c r="G13561" s="420">
        <v>119745672</v>
      </c>
      <c r="I13561" s="529" t="s">
        <v>675</v>
      </c>
      <c r="J13561" s="530" t="s">
        <v>906</v>
      </c>
      <c r="N13561" s="420">
        <v>8336</v>
      </c>
      <c r="R13561" s="420">
        <v>959.83199976007677</v>
      </c>
      <c r="S13561" s="420">
        <v>960.27904750479797</v>
      </c>
      <c r="T13561" s="420">
        <v>17.0001</v>
      </c>
      <c r="U13561" s="420">
        <v>39.32</v>
      </c>
      <c r="V13561" s="420">
        <v>6</v>
      </c>
      <c r="Z13561" s="420" t="s">
        <v>2953</v>
      </c>
    </row>
    <row r="13562" spans="1:26">
      <c r="A13562" s="499">
        <v>45950</v>
      </c>
      <c r="B13562" s="499">
        <v>45950</v>
      </c>
      <c r="C13562" s="420" t="s">
        <v>173</v>
      </c>
      <c r="D13562" s="500" t="s">
        <v>761</v>
      </c>
      <c r="E13562" s="501">
        <v>-27008715.440000001</v>
      </c>
      <c r="F13562" s="95" t="s">
        <v>878</v>
      </c>
      <c r="G13562" s="420">
        <v>119749776</v>
      </c>
      <c r="I13562" s="529" t="s">
        <v>709</v>
      </c>
      <c r="J13562" s="530" t="s">
        <v>906</v>
      </c>
      <c r="N13562" s="420">
        <v>37854</v>
      </c>
      <c r="R13562" s="420">
        <v>713.49700005283466</v>
      </c>
      <c r="S13562" s="420">
        <v>713.82931579225499</v>
      </c>
      <c r="T13562" s="420">
        <v>17.0001</v>
      </c>
      <c r="U13562" s="420">
        <v>40.51</v>
      </c>
      <c r="V13562" s="420">
        <v>20.260000000000002</v>
      </c>
      <c r="Z13562" s="420" t="s">
        <v>2953</v>
      </c>
    </row>
    <row r="13563" spans="1:26">
      <c r="A13563" s="499">
        <v>45950</v>
      </c>
      <c r="B13563" s="499">
        <v>45951</v>
      </c>
      <c r="C13563" s="420" t="s">
        <v>173</v>
      </c>
      <c r="D13563" s="500" t="s">
        <v>761</v>
      </c>
      <c r="E13563" s="501">
        <v>8004359.1799999997</v>
      </c>
      <c r="F13563" s="95" t="s">
        <v>878</v>
      </c>
      <c r="G13563" s="420">
        <v>119745638</v>
      </c>
      <c r="H13563" s="420">
        <v>119745638</v>
      </c>
      <c r="I13563" s="529" t="s">
        <v>550</v>
      </c>
      <c r="J13563" s="530" t="s">
        <v>912</v>
      </c>
      <c r="N13563" s="420">
        <v>14800</v>
      </c>
      <c r="R13563" s="420">
        <v>540.58330000000001</v>
      </c>
      <c r="S13563" s="420">
        <v>540.83507972972996</v>
      </c>
      <c r="T13563" s="420">
        <v>17.0001</v>
      </c>
      <c r="U13563" s="420">
        <v>39.32</v>
      </c>
      <c r="V13563" s="420">
        <v>6</v>
      </c>
      <c r="Z13563" s="420" t="s">
        <v>2953</v>
      </c>
    </row>
    <row r="13564" spans="1:26">
      <c r="A13564" s="499">
        <v>45950</v>
      </c>
      <c r="B13564" s="499">
        <v>45951</v>
      </c>
      <c r="C13564" s="420" t="s">
        <v>173</v>
      </c>
      <c r="D13564" s="500" t="s">
        <v>761</v>
      </c>
      <c r="E13564" s="501">
        <v>521525691.12</v>
      </c>
      <c r="F13564" s="95" t="s">
        <v>878</v>
      </c>
      <c r="G13564" s="420">
        <v>119745641</v>
      </c>
      <c r="H13564" s="420">
        <v>119745641</v>
      </c>
      <c r="I13564" s="529" t="s">
        <v>668</v>
      </c>
      <c r="J13564" s="530" t="s">
        <v>912</v>
      </c>
      <c r="N13564" s="420">
        <v>497555</v>
      </c>
      <c r="R13564" s="420">
        <v>1047.6890000100491</v>
      </c>
      <c r="S13564" s="420">
        <v>1048.1769676116201</v>
      </c>
      <c r="T13564" s="420">
        <v>17.0001</v>
      </c>
      <c r="U13564" s="420">
        <v>781.92</v>
      </c>
      <c r="V13564" s="420">
        <v>390.96</v>
      </c>
      <c r="Z13564" s="420" t="s">
        <v>2953</v>
      </c>
    </row>
    <row r="13565" spans="1:26">
      <c r="A13565" s="499">
        <v>45950</v>
      </c>
      <c r="B13565" s="499">
        <v>45951</v>
      </c>
      <c r="C13565" s="420" t="s">
        <v>173</v>
      </c>
      <c r="D13565" s="500" t="s">
        <v>761</v>
      </c>
      <c r="E13565" s="501">
        <v>527660762.63</v>
      </c>
      <c r="F13565" s="95" t="s">
        <v>878</v>
      </c>
      <c r="G13565" s="420">
        <v>119745644</v>
      </c>
      <c r="H13565" s="420">
        <v>119745644</v>
      </c>
      <c r="I13565" s="529" t="s">
        <v>678</v>
      </c>
      <c r="J13565" s="530" t="s">
        <v>912</v>
      </c>
      <c r="N13565" s="420">
        <v>551242</v>
      </c>
      <c r="R13565" s="420">
        <v>956.77599999637187</v>
      </c>
      <c r="S13565" s="420">
        <v>957.22162431382196</v>
      </c>
      <c r="T13565" s="420">
        <v>17.0001</v>
      </c>
      <c r="U13565" s="420">
        <v>791.12</v>
      </c>
      <c r="V13565" s="420">
        <v>395.56</v>
      </c>
      <c r="Z13565" s="420" t="s">
        <v>2953</v>
      </c>
    </row>
    <row r="13566" spans="1:26">
      <c r="A13566" s="499">
        <v>45950</v>
      </c>
      <c r="B13566" s="499">
        <v>45951</v>
      </c>
      <c r="C13566" s="420" t="s">
        <v>173</v>
      </c>
      <c r="D13566" s="500" t="s">
        <v>761</v>
      </c>
      <c r="E13566" s="501">
        <v>367224151.74000001</v>
      </c>
      <c r="F13566" s="95" t="s">
        <v>878</v>
      </c>
      <c r="G13566" s="420">
        <v>119745647</v>
      </c>
      <c r="H13566" s="420">
        <v>119745647</v>
      </c>
      <c r="I13566" s="529" t="s">
        <v>675</v>
      </c>
      <c r="J13566" s="530" t="s">
        <v>912</v>
      </c>
      <c r="N13566" s="420">
        <v>382414</v>
      </c>
      <c r="R13566" s="420">
        <v>959.83200000522993</v>
      </c>
      <c r="S13566" s="420">
        <v>960.27904768130895</v>
      </c>
      <c r="T13566" s="420">
        <v>17.0001</v>
      </c>
      <c r="U13566" s="420">
        <v>550.58000000000004</v>
      </c>
      <c r="V13566" s="420">
        <v>275.29000000000002</v>
      </c>
      <c r="Z13566" s="420" t="s">
        <v>2953</v>
      </c>
    </row>
    <row r="13567" spans="1:26">
      <c r="A13567" s="499">
        <v>45950</v>
      </c>
      <c r="B13567" s="499">
        <v>45951</v>
      </c>
      <c r="C13567" s="420" t="s">
        <v>173</v>
      </c>
      <c r="D13567" s="500" t="s">
        <v>761</v>
      </c>
      <c r="E13567" s="501">
        <v>8004886.1399999997</v>
      </c>
      <c r="F13567" s="95" t="s">
        <v>878</v>
      </c>
      <c r="G13567" s="420">
        <v>119745672</v>
      </c>
      <c r="H13567" s="420">
        <v>119745672</v>
      </c>
      <c r="I13567" s="529" t="s">
        <v>675</v>
      </c>
      <c r="J13567" s="530" t="s">
        <v>912</v>
      </c>
      <c r="N13567" s="420">
        <v>8336</v>
      </c>
      <c r="R13567" s="420">
        <v>959.83199976007677</v>
      </c>
      <c r="S13567" s="420">
        <v>960.27904750479797</v>
      </c>
      <c r="T13567" s="420">
        <v>17.0001</v>
      </c>
      <c r="U13567" s="420">
        <v>39.32</v>
      </c>
      <c r="V13567" s="420">
        <v>6</v>
      </c>
      <c r="Z13567" s="420" t="s">
        <v>2953</v>
      </c>
    </row>
    <row r="13568" spans="1:26">
      <c r="A13568" s="499">
        <v>45950</v>
      </c>
      <c r="B13568" s="499">
        <v>45951</v>
      </c>
      <c r="C13568" s="420" t="s">
        <v>173</v>
      </c>
      <c r="D13568" s="500" t="s">
        <v>761</v>
      </c>
      <c r="E13568" s="501">
        <v>27021294.920000002</v>
      </c>
      <c r="F13568" s="95" t="s">
        <v>878</v>
      </c>
      <c r="G13568" s="420">
        <v>119749776</v>
      </c>
      <c r="H13568" s="420">
        <v>119749776</v>
      </c>
      <c r="I13568" s="529" t="s">
        <v>709</v>
      </c>
      <c r="J13568" s="530" t="s">
        <v>912</v>
      </c>
      <c r="N13568" s="420">
        <v>37854</v>
      </c>
      <c r="R13568" s="420">
        <v>713.49700005283466</v>
      </c>
      <c r="S13568" s="420">
        <v>713.82931579225499</v>
      </c>
      <c r="T13568" s="420">
        <v>17.0001</v>
      </c>
      <c r="U13568" s="420">
        <v>40.51</v>
      </c>
      <c r="V13568" s="420">
        <v>20.260000000000002</v>
      </c>
      <c r="Z13568" s="420" t="s">
        <v>2953</v>
      </c>
    </row>
    <row r="13569" spans="1:26">
      <c r="A13569" s="499">
        <v>45950</v>
      </c>
      <c r="B13569" s="499">
        <v>45950</v>
      </c>
      <c r="C13569" s="420" t="s">
        <v>173</v>
      </c>
      <c r="D13569" s="500" t="s">
        <v>760</v>
      </c>
      <c r="E13569" s="501">
        <v>-611481282.25999999</v>
      </c>
      <c r="F13569" s="95" t="s">
        <v>878</v>
      </c>
      <c r="G13569" s="420">
        <v>119744068</v>
      </c>
      <c r="I13569" s="529" t="s">
        <v>678</v>
      </c>
      <c r="J13569" s="530" t="s">
        <v>906</v>
      </c>
      <c r="N13569" s="420">
        <v>639106</v>
      </c>
      <c r="R13569" s="420">
        <v>956.77599999999995</v>
      </c>
      <c r="S13569" s="420">
        <v>957.22424039204805</v>
      </c>
      <c r="T13569" s="420">
        <v>17.099900000000002</v>
      </c>
      <c r="U13569" s="420">
        <v>917.22</v>
      </c>
      <c r="V13569" s="420">
        <v>458.61</v>
      </c>
      <c r="Z13569" s="420" t="s">
        <v>2953</v>
      </c>
    </row>
    <row r="13570" spans="1:26">
      <c r="A13570" s="499">
        <v>45950</v>
      </c>
      <c r="B13570" s="499">
        <v>45950</v>
      </c>
      <c r="C13570" s="420" t="s">
        <v>173</v>
      </c>
      <c r="D13570" s="500" t="s">
        <v>760</v>
      </c>
      <c r="E13570" s="501">
        <v>-915015489.12</v>
      </c>
      <c r="F13570" s="95" t="s">
        <v>878</v>
      </c>
      <c r="G13570" s="420">
        <v>119744116</v>
      </c>
      <c r="I13570" s="529" t="s">
        <v>654</v>
      </c>
      <c r="J13570" s="530" t="s">
        <v>906</v>
      </c>
      <c r="N13570" s="420">
        <v>889380</v>
      </c>
      <c r="R13570" s="420">
        <v>1028.8240000000001</v>
      </c>
      <c r="S13570" s="420">
        <v>1029.3059941757199</v>
      </c>
      <c r="T13570" s="420">
        <v>17.099900000000002</v>
      </c>
      <c r="U13570" s="420">
        <v>1372.52</v>
      </c>
      <c r="V13570" s="420">
        <v>686.26</v>
      </c>
      <c r="Z13570" s="420" t="s">
        <v>2953</v>
      </c>
    </row>
    <row r="13571" spans="1:26">
      <c r="A13571" s="499">
        <v>45950</v>
      </c>
      <c r="B13571" s="499">
        <v>45950</v>
      </c>
      <c r="C13571" s="420" t="s">
        <v>173</v>
      </c>
      <c r="D13571" s="500" t="s">
        <v>760</v>
      </c>
      <c r="E13571" s="501">
        <v>-503000434.99000001</v>
      </c>
      <c r="F13571" s="95" t="s">
        <v>878</v>
      </c>
      <c r="G13571" s="420">
        <v>119744254</v>
      </c>
      <c r="I13571" s="529" t="s">
        <v>1048</v>
      </c>
      <c r="J13571" s="530" t="s">
        <v>906</v>
      </c>
      <c r="N13571" s="420">
        <v>490827903</v>
      </c>
      <c r="R13571" s="420">
        <v>1.0247999999999999</v>
      </c>
      <c r="S13571" s="420">
        <v>1.02528010896316</v>
      </c>
      <c r="T13571" s="420">
        <v>17.099900000000002</v>
      </c>
      <c r="U13571" s="420">
        <v>754.5</v>
      </c>
      <c r="V13571" s="420">
        <v>377.25</v>
      </c>
      <c r="Z13571" s="420" t="s">
        <v>2953</v>
      </c>
    </row>
    <row r="13572" spans="1:26">
      <c r="A13572" s="499">
        <v>45950</v>
      </c>
      <c r="B13572" s="499">
        <v>45950</v>
      </c>
      <c r="C13572" s="420" t="s">
        <v>173</v>
      </c>
      <c r="D13572" s="500" t="s">
        <v>760</v>
      </c>
      <c r="E13572" s="501">
        <v>-541426143.53999996</v>
      </c>
      <c r="F13572" s="95" t="s">
        <v>878</v>
      </c>
      <c r="G13572" s="420">
        <v>119746630</v>
      </c>
      <c r="I13572" s="529" t="s">
        <v>678</v>
      </c>
      <c r="J13572" s="530" t="s">
        <v>906</v>
      </c>
      <c r="N13572" s="420">
        <v>565886</v>
      </c>
      <c r="R13572" s="420">
        <v>956.77599999999995</v>
      </c>
      <c r="S13572" s="420">
        <v>957.22162432009304</v>
      </c>
      <c r="T13572" s="420">
        <v>17.0001</v>
      </c>
      <c r="U13572" s="420">
        <v>812.14</v>
      </c>
      <c r="V13572" s="420">
        <v>406.07</v>
      </c>
      <c r="Z13572" s="420" t="s">
        <v>2953</v>
      </c>
    </row>
    <row r="13573" spans="1:26">
      <c r="A13573" s="499">
        <v>45950</v>
      </c>
      <c r="B13573" s="499">
        <v>45950</v>
      </c>
      <c r="C13573" s="420" t="s">
        <v>173</v>
      </c>
      <c r="D13573" s="500" t="s">
        <v>760</v>
      </c>
      <c r="E13573" s="501">
        <v>-678218854.33000004</v>
      </c>
      <c r="F13573" s="95" t="s">
        <v>878</v>
      </c>
      <c r="G13573" s="420">
        <v>119746633</v>
      </c>
      <c r="I13573" s="529" t="s">
        <v>709</v>
      </c>
      <c r="J13573" s="530" t="s">
        <v>906</v>
      </c>
      <c r="N13573" s="420">
        <v>950556</v>
      </c>
      <c r="R13573" s="420">
        <v>713.49699999999996</v>
      </c>
      <c r="S13573" s="420">
        <v>713.82931562159399</v>
      </c>
      <c r="T13573" s="420">
        <v>17.0001</v>
      </c>
      <c r="U13573" s="420">
        <v>1017.33</v>
      </c>
      <c r="V13573" s="420">
        <v>508.66</v>
      </c>
      <c r="Z13573" s="420" t="s">
        <v>2953</v>
      </c>
    </row>
    <row r="13574" spans="1:26">
      <c r="A13574" s="499">
        <v>45950</v>
      </c>
      <c r="B13574" s="499">
        <v>45950</v>
      </c>
      <c r="C13574" s="420" t="s">
        <v>173</v>
      </c>
      <c r="D13574" s="500" t="s">
        <v>760</v>
      </c>
      <c r="E13574" s="501">
        <v>-7002259.5599999996</v>
      </c>
      <c r="F13574" s="95" t="s">
        <v>878</v>
      </c>
      <c r="G13574" s="420">
        <v>119746640</v>
      </c>
      <c r="I13574" s="529" t="s">
        <v>709</v>
      </c>
      <c r="J13574" s="530" t="s">
        <v>906</v>
      </c>
      <c r="N13574" s="420">
        <v>9814</v>
      </c>
      <c r="R13574" s="420">
        <v>713.49699999999996</v>
      </c>
      <c r="S13574" s="420">
        <v>713.82931628286099</v>
      </c>
      <c r="T13574" s="420">
        <v>17.0001</v>
      </c>
      <c r="U13574" s="420">
        <v>39.32</v>
      </c>
      <c r="V13574" s="420">
        <v>5.25</v>
      </c>
      <c r="Z13574" s="420" t="s">
        <v>2953</v>
      </c>
    </row>
    <row r="13575" spans="1:26">
      <c r="A13575" s="499">
        <v>45950</v>
      </c>
      <c r="B13575" s="499">
        <v>45951</v>
      </c>
      <c r="C13575" s="420" t="s">
        <v>173</v>
      </c>
      <c r="D13575" s="500" t="s">
        <v>760</v>
      </c>
      <c r="E13575" s="501">
        <v>611767755.38</v>
      </c>
      <c r="F13575" s="95" t="s">
        <v>878</v>
      </c>
      <c r="G13575" s="420">
        <v>119744068</v>
      </c>
      <c r="H13575" s="420">
        <v>119744068</v>
      </c>
      <c r="I13575" s="529" t="s">
        <v>678</v>
      </c>
      <c r="J13575" s="530" t="s">
        <v>912</v>
      </c>
      <c r="N13575" s="420">
        <v>639106</v>
      </c>
      <c r="R13575" s="420">
        <v>956.77599999999995</v>
      </c>
      <c r="S13575" s="420">
        <v>957.22424039204805</v>
      </c>
      <c r="T13575" s="420">
        <v>17.099900000000002</v>
      </c>
      <c r="U13575" s="420">
        <v>917.22</v>
      </c>
      <c r="V13575" s="420">
        <v>458.61</v>
      </c>
      <c r="Z13575" s="420" t="s">
        <v>2953</v>
      </c>
    </row>
    <row r="13576" spans="1:26">
      <c r="A13576" s="499">
        <v>45950</v>
      </c>
      <c r="B13576" s="499">
        <v>45951</v>
      </c>
      <c r="C13576" s="420" t="s">
        <v>173</v>
      </c>
      <c r="D13576" s="500" t="s">
        <v>760</v>
      </c>
      <c r="E13576" s="501">
        <v>915444165.10000002</v>
      </c>
      <c r="F13576" s="95" t="s">
        <v>878</v>
      </c>
      <c r="G13576" s="420">
        <v>119744116</v>
      </c>
      <c r="H13576" s="420">
        <v>119744116</v>
      </c>
      <c r="I13576" s="529" t="s">
        <v>654</v>
      </c>
      <c r="J13576" s="530" t="s">
        <v>912</v>
      </c>
      <c r="N13576" s="420">
        <v>889380</v>
      </c>
      <c r="R13576" s="420">
        <v>1028.8240000000001</v>
      </c>
      <c r="S13576" s="420">
        <v>1029.3059941757199</v>
      </c>
      <c r="T13576" s="420">
        <v>17.099900000000002</v>
      </c>
      <c r="U13576" s="420">
        <v>1372.52</v>
      </c>
      <c r="V13576" s="420">
        <v>686.26</v>
      </c>
      <c r="Z13576" s="420" t="s">
        <v>2953</v>
      </c>
    </row>
    <row r="13577" spans="1:26">
      <c r="A13577" s="499">
        <v>45950</v>
      </c>
      <c r="B13577" s="499">
        <v>45951</v>
      </c>
      <c r="C13577" s="420" t="s">
        <v>173</v>
      </c>
      <c r="D13577" s="500" t="s">
        <v>760</v>
      </c>
      <c r="E13577" s="501">
        <v>503236085.87</v>
      </c>
      <c r="F13577" s="95" t="s">
        <v>878</v>
      </c>
      <c r="G13577" s="420">
        <v>119744254</v>
      </c>
      <c r="H13577" s="420">
        <v>119744254</v>
      </c>
      <c r="I13577" s="529" t="s">
        <v>1048</v>
      </c>
      <c r="J13577" s="530" t="s">
        <v>912</v>
      </c>
      <c r="N13577" s="420">
        <v>490827903</v>
      </c>
      <c r="R13577" s="420">
        <v>1.0247999999999999</v>
      </c>
      <c r="S13577" s="420">
        <v>1.02528010896316</v>
      </c>
      <c r="T13577" s="420">
        <v>17.099900000000002</v>
      </c>
      <c r="U13577" s="420">
        <v>754.5</v>
      </c>
      <c r="V13577" s="420">
        <v>377.25</v>
      </c>
      <c r="Z13577" s="420" t="s">
        <v>2953</v>
      </c>
    </row>
    <row r="13578" spans="1:26">
      <c r="A13578" s="499">
        <v>45950</v>
      </c>
      <c r="B13578" s="499">
        <v>45951</v>
      </c>
      <c r="C13578" s="420" t="s">
        <v>173</v>
      </c>
      <c r="D13578" s="500" t="s">
        <v>760</v>
      </c>
      <c r="E13578" s="501">
        <v>541678316.10000002</v>
      </c>
      <c r="F13578" s="95" t="s">
        <v>878</v>
      </c>
      <c r="G13578" s="420">
        <v>119746630</v>
      </c>
      <c r="H13578" s="420">
        <v>119746630</v>
      </c>
      <c r="I13578" s="529" t="s">
        <v>678</v>
      </c>
      <c r="J13578" s="530" t="s">
        <v>912</v>
      </c>
      <c r="N13578" s="420">
        <v>565886</v>
      </c>
      <c r="R13578" s="420">
        <v>956.77599999999995</v>
      </c>
      <c r="S13578" s="420">
        <v>957.22162432009304</v>
      </c>
      <c r="T13578" s="420">
        <v>17.0001</v>
      </c>
      <c r="U13578" s="420">
        <v>812.14</v>
      </c>
      <c r="V13578" s="420">
        <v>406.07</v>
      </c>
      <c r="Z13578" s="420" t="s">
        <v>2953</v>
      </c>
    </row>
    <row r="13579" spans="1:26">
      <c r="A13579" s="499">
        <v>45950</v>
      </c>
      <c r="B13579" s="499">
        <v>45951</v>
      </c>
      <c r="C13579" s="420" t="s">
        <v>173</v>
      </c>
      <c r="D13579" s="500" t="s">
        <v>760</v>
      </c>
      <c r="E13579" s="501">
        <v>678534738.94000006</v>
      </c>
      <c r="F13579" s="95" t="s">
        <v>878</v>
      </c>
      <c r="G13579" s="420">
        <v>119746633</v>
      </c>
      <c r="H13579" s="420">
        <v>119746633</v>
      </c>
      <c r="I13579" s="529" t="s">
        <v>709</v>
      </c>
      <c r="J13579" s="530" t="s">
        <v>912</v>
      </c>
      <c r="N13579" s="420">
        <v>950556</v>
      </c>
      <c r="R13579" s="420">
        <v>713.49699999999996</v>
      </c>
      <c r="S13579" s="420">
        <v>713.82931562159399</v>
      </c>
      <c r="T13579" s="420">
        <v>17.0001</v>
      </c>
      <c r="U13579" s="420">
        <v>1017.33</v>
      </c>
      <c r="V13579" s="420">
        <v>508.66</v>
      </c>
      <c r="Z13579" s="420" t="s">
        <v>2953</v>
      </c>
    </row>
    <row r="13580" spans="1:26">
      <c r="A13580" s="499">
        <v>45950</v>
      </c>
      <c r="B13580" s="499">
        <v>45951</v>
      </c>
      <c r="C13580" s="420" t="s">
        <v>173</v>
      </c>
      <c r="D13580" s="500" t="s">
        <v>760</v>
      </c>
      <c r="E13580" s="501">
        <v>7005520.9100000001</v>
      </c>
      <c r="F13580" s="95" t="s">
        <v>878</v>
      </c>
      <c r="G13580" s="420">
        <v>119746640</v>
      </c>
      <c r="H13580" s="420">
        <v>119746640</v>
      </c>
      <c r="I13580" s="529" t="s">
        <v>709</v>
      </c>
      <c r="J13580" s="530" t="s">
        <v>912</v>
      </c>
      <c r="N13580" s="420">
        <v>9814</v>
      </c>
      <c r="R13580" s="420">
        <v>713.49699999999996</v>
      </c>
      <c r="S13580" s="420">
        <v>713.82931628286099</v>
      </c>
      <c r="T13580" s="420">
        <v>17.0001</v>
      </c>
      <c r="U13580" s="420">
        <v>39.32</v>
      </c>
      <c r="V13580" s="420">
        <v>5.25</v>
      </c>
      <c r="Z13580" s="420" t="s">
        <v>2953</v>
      </c>
    </row>
    <row r="13581" spans="1:26">
      <c r="A13581" s="499">
        <v>45950</v>
      </c>
      <c r="B13581" s="499">
        <v>45950</v>
      </c>
      <c r="C13581" s="420" t="s">
        <v>173</v>
      </c>
      <c r="D13581" s="500" t="s">
        <v>759</v>
      </c>
      <c r="E13581" s="501">
        <v>-1995672355.8399999</v>
      </c>
      <c r="F13581" s="95" t="s">
        <v>878</v>
      </c>
      <c r="G13581" s="420">
        <v>119746451</v>
      </c>
      <c r="I13581" s="529" t="s">
        <v>604</v>
      </c>
      <c r="J13581" s="530" t="s">
        <v>906</v>
      </c>
      <c r="N13581" s="420">
        <v>1900282</v>
      </c>
      <c r="R13581" s="420">
        <v>1050.1980000021049</v>
      </c>
      <c r="S13581" s="420">
        <v>1050.68713331495</v>
      </c>
      <c r="T13581" s="420">
        <v>17</v>
      </c>
      <c r="U13581" s="420">
        <v>2993.51</v>
      </c>
      <c r="V13581" s="420">
        <v>1496.75</v>
      </c>
      <c r="Z13581" s="420" t="s">
        <v>2953</v>
      </c>
    </row>
    <row r="13582" spans="1:26">
      <c r="A13582" s="499">
        <v>45950</v>
      </c>
      <c r="B13582" s="499">
        <v>45950</v>
      </c>
      <c r="C13582" s="420" t="s">
        <v>173</v>
      </c>
      <c r="D13582" s="500" t="s">
        <v>759</v>
      </c>
      <c r="E13582" s="501">
        <v>-12004320.109999999</v>
      </c>
      <c r="F13582" s="95" t="s">
        <v>878</v>
      </c>
      <c r="G13582" s="420">
        <v>119747154</v>
      </c>
      <c r="I13582" s="529" t="s">
        <v>1013</v>
      </c>
      <c r="J13582" s="530" t="s">
        <v>906</v>
      </c>
      <c r="N13582" s="420">
        <v>22428</v>
      </c>
      <c r="R13582" s="420">
        <v>535.23810014267872</v>
      </c>
      <c r="S13582" s="420">
        <v>535.487390761548</v>
      </c>
      <c r="T13582" s="420">
        <v>17.0001</v>
      </c>
      <c r="U13582" s="420">
        <v>39.32</v>
      </c>
      <c r="V13582" s="420">
        <v>9</v>
      </c>
      <c r="Z13582" s="420" t="s">
        <v>2953</v>
      </c>
    </row>
    <row r="13583" spans="1:26">
      <c r="A13583" s="499">
        <v>45950</v>
      </c>
      <c r="B13583" s="499">
        <v>45951</v>
      </c>
      <c r="C13583" s="420" t="s">
        <v>173</v>
      </c>
      <c r="D13583" s="500" t="s">
        <v>759</v>
      </c>
      <c r="E13583" s="501">
        <v>1996601847.0699999</v>
      </c>
      <c r="F13583" s="95" t="s">
        <v>878</v>
      </c>
      <c r="G13583" s="420">
        <v>119746451</v>
      </c>
      <c r="H13583" s="420">
        <v>119746451</v>
      </c>
      <c r="I13583" s="529" t="s">
        <v>604</v>
      </c>
      <c r="J13583" s="530" t="s">
        <v>912</v>
      </c>
      <c r="N13583" s="420">
        <v>1900282</v>
      </c>
      <c r="R13583" s="420">
        <v>1050.1980000021049</v>
      </c>
      <c r="S13583" s="420">
        <v>1050.68713331495</v>
      </c>
      <c r="T13583" s="420">
        <v>17</v>
      </c>
      <c r="U13583" s="420">
        <v>2993.51</v>
      </c>
      <c r="V13583" s="420">
        <v>1496.75</v>
      </c>
      <c r="Z13583" s="420" t="s">
        <v>2953</v>
      </c>
    </row>
    <row r="13584" spans="1:26">
      <c r="A13584" s="499">
        <v>45950</v>
      </c>
      <c r="B13584" s="499">
        <v>45951</v>
      </c>
      <c r="C13584" s="420" t="s">
        <v>173</v>
      </c>
      <c r="D13584" s="500" t="s">
        <v>759</v>
      </c>
      <c r="E13584" s="501">
        <v>12009911.199999999</v>
      </c>
      <c r="F13584" s="95" t="s">
        <v>878</v>
      </c>
      <c r="G13584" s="420">
        <v>119747154</v>
      </c>
      <c r="H13584" s="420">
        <v>119747154</v>
      </c>
      <c r="I13584" s="529" t="s">
        <v>1013</v>
      </c>
      <c r="J13584" s="530" t="s">
        <v>912</v>
      </c>
      <c r="N13584" s="420">
        <v>22428</v>
      </c>
      <c r="R13584" s="420">
        <v>535.23810014267872</v>
      </c>
      <c r="S13584" s="420">
        <v>535.487390761548</v>
      </c>
      <c r="T13584" s="420">
        <v>17.0001</v>
      </c>
      <c r="U13584" s="420">
        <v>39.32</v>
      </c>
      <c r="V13584" s="420">
        <v>9</v>
      </c>
      <c r="Z13584" s="420" t="s">
        <v>2953</v>
      </c>
    </row>
    <row r="13585" spans="1:26">
      <c r="A13585" s="499">
        <v>45950</v>
      </c>
      <c r="B13585" s="499">
        <v>45950</v>
      </c>
      <c r="C13585" s="420" t="s">
        <v>173</v>
      </c>
      <c r="D13585" s="500" t="s">
        <v>764</v>
      </c>
      <c r="E13585" s="501">
        <v>-13001373.619999999</v>
      </c>
      <c r="F13585" s="95" t="s">
        <v>878</v>
      </c>
      <c r="G13585" s="420">
        <v>119744713</v>
      </c>
      <c r="H13585" s="420"/>
      <c r="I13585" s="529" t="s">
        <v>602</v>
      </c>
      <c r="J13585" s="530" t="s">
        <v>906</v>
      </c>
      <c r="N13585" s="610">
        <v>15431</v>
      </c>
      <c r="R13585" s="539">
        <v>842.54900006480455</v>
      </c>
      <c r="S13585" s="539">
        <v>845.70682781413996</v>
      </c>
      <c r="T13585" s="567">
        <v>17.100000000000001</v>
      </c>
      <c r="U13585" s="567">
        <v>156.02000000000001</v>
      </c>
      <c r="V13585" s="567">
        <v>78.010000000000005</v>
      </c>
      <c r="Z13585" s="539" t="s">
        <v>2953</v>
      </c>
    </row>
    <row r="13586" spans="1:26">
      <c r="A13586" s="499">
        <v>45950</v>
      </c>
      <c r="B13586" s="499">
        <v>45950</v>
      </c>
      <c r="C13586" s="420" t="s">
        <v>173</v>
      </c>
      <c r="D13586" s="500" t="s">
        <v>764</v>
      </c>
      <c r="E13586" s="501">
        <v>-70036047.900000006</v>
      </c>
      <c r="F13586" s="95" t="s">
        <v>878</v>
      </c>
      <c r="G13586" s="420">
        <v>119744716</v>
      </c>
      <c r="H13586" s="420"/>
      <c r="I13586" s="529" t="s">
        <v>676</v>
      </c>
      <c r="J13586" s="530" t="s">
        <v>906</v>
      </c>
      <c r="N13586" s="610">
        <v>81900</v>
      </c>
      <c r="R13586" s="539">
        <v>855.14100000000008</v>
      </c>
      <c r="S13586" s="539">
        <v>858.34602161172199</v>
      </c>
      <c r="T13586" s="567">
        <v>17.100000000000001</v>
      </c>
      <c r="U13586" s="567">
        <v>840.43</v>
      </c>
      <c r="V13586" s="567">
        <v>420.22</v>
      </c>
      <c r="Z13586" s="539" t="s">
        <v>2953</v>
      </c>
    </row>
    <row r="13587" spans="1:26">
      <c r="A13587" s="499">
        <v>45950</v>
      </c>
      <c r="B13587" s="499">
        <v>45950</v>
      </c>
      <c r="C13587" s="420" t="s">
        <v>173</v>
      </c>
      <c r="D13587" s="500" t="s">
        <v>764</v>
      </c>
      <c r="E13587" s="501">
        <v>-90085561.650000006</v>
      </c>
      <c r="F13587" s="95" t="s">
        <v>878</v>
      </c>
      <c r="G13587" s="420">
        <v>119744719</v>
      </c>
      <c r="H13587" s="420"/>
      <c r="I13587" s="529" t="s">
        <v>819</v>
      </c>
      <c r="J13587" s="530" t="s">
        <v>906</v>
      </c>
      <c r="N13587" s="610">
        <v>83790</v>
      </c>
      <c r="R13587" s="539">
        <v>1075.135</v>
      </c>
      <c r="S13587" s="539">
        <v>1079.1645470819899</v>
      </c>
      <c r="T13587" s="567">
        <v>17.100000000000001</v>
      </c>
      <c r="U13587" s="567">
        <v>1081.03</v>
      </c>
      <c r="V13587" s="567">
        <v>540.51</v>
      </c>
      <c r="Z13587" s="539" t="s">
        <v>2953</v>
      </c>
    </row>
    <row r="13588" spans="1:26">
      <c r="A13588" s="499">
        <v>45950</v>
      </c>
      <c r="B13588" s="499">
        <v>45950</v>
      </c>
      <c r="C13588" s="420" t="s">
        <v>173</v>
      </c>
      <c r="D13588" s="500" t="s">
        <v>764</v>
      </c>
      <c r="E13588" s="501">
        <v>-128056464.38</v>
      </c>
      <c r="F13588" s="95" t="s">
        <v>878</v>
      </c>
      <c r="G13588" s="420">
        <v>119744722</v>
      </c>
      <c r="H13588" s="420"/>
      <c r="I13588" s="529" t="s">
        <v>673</v>
      </c>
      <c r="J13588" s="530" t="s">
        <v>906</v>
      </c>
      <c r="N13588" s="610">
        <v>137728</v>
      </c>
      <c r="R13588" s="539">
        <v>929.77799997095724</v>
      </c>
      <c r="S13588" s="539">
        <v>933.26275695573895</v>
      </c>
      <c r="T13588" s="567">
        <v>17.100000000000001</v>
      </c>
      <c r="U13588" s="567">
        <v>1536.68</v>
      </c>
      <c r="V13588" s="567">
        <v>768.34</v>
      </c>
      <c r="Z13588" s="539" t="s">
        <v>2953</v>
      </c>
    </row>
    <row r="13589" spans="1:26">
      <c r="A13589" s="499">
        <v>45950</v>
      </c>
      <c r="B13589" s="499">
        <v>45950</v>
      </c>
      <c r="C13589" s="420" t="s">
        <v>173</v>
      </c>
      <c r="D13589" s="500" t="s">
        <v>764</v>
      </c>
      <c r="E13589" s="501">
        <v>-480439448.63999999</v>
      </c>
      <c r="F13589" s="95" t="s">
        <v>878</v>
      </c>
      <c r="G13589" s="420">
        <v>119744725</v>
      </c>
      <c r="H13589" s="420"/>
      <c r="I13589" s="529" t="s">
        <v>1051</v>
      </c>
      <c r="J13589" s="530" t="s">
        <v>906</v>
      </c>
      <c r="N13589" s="610">
        <v>469440</v>
      </c>
      <c r="R13589" s="539">
        <v>1023.4309999999999</v>
      </c>
      <c r="S13589" s="539">
        <v>1027.2667633137401</v>
      </c>
      <c r="T13589" s="567">
        <v>17.100000000000001</v>
      </c>
      <c r="U13589" s="567">
        <v>5765.27</v>
      </c>
      <c r="V13589" s="567">
        <v>2882.64</v>
      </c>
      <c r="Z13589" s="539" t="s">
        <v>2953</v>
      </c>
    </row>
    <row r="13590" spans="1:26">
      <c r="A13590" s="499">
        <v>45950</v>
      </c>
      <c r="B13590" s="499">
        <v>45950</v>
      </c>
      <c r="C13590" s="420" t="s">
        <v>173</v>
      </c>
      <c r="D13590" s="500" t="s">
        <v>764</v>
      </c>
      <c r="E13590" s="501">
        <v>-1983501956.79</v>
      </c>
      <c r="F13590" s="95" t="s">
        <v>878</v>
      </c>
      <c r="G13590" s="420">
        <v>119744728</v>
      </c>
      <c r="H13590" s="420"/>
      <c r="I13590" s="529" t="s">
        <v>824</v>
      </c>
      <c r="J13590" s="530" t="s">
        <v>906</v>
      </c>
      <c r="N13590" s="610">
        <v>1844190</v>
      </c>
      <c r="R13590" s="539">
        <v>1075.5409999999999</v>
      </c>
      <c r="S13590" s="539">
        <v>1079.57206873478</v>
      </c>
      <c r="T13590" s="567">
        <v>17.100000000000001</v>
      </c>
      <c r="U13590" s="567">
        <v>23802.02</v>
      </c>
      <c r="V13590" s="567">
        <v>11901.01</v>
      </c>
      <c r="Z13590" s="539" t="s">
        <v>2953</v>
      </c>
    </row>
    <row r="13591" spans="1:26">
      <c r="A13591" s="499">
        <v>45950</v>
      </c>
      <c r="B13591" s="499">
        <v>45950</v>
      </c>
      <c r="C13591" s="420" t="s">
        <v>173</v>
      </c>
      <c r="D13591" s="500" t="s">
        <v>764</v>
      </c>
      <c r="E13591" s="501">
        <v>-2172752172.29</v>
      </c>
      <c r="F13591" s="95" t="s">
        <v>878</v>
      </c>
      <c r="G13591" s="420">
        <v>119744741</v>
      </c>
      <c r="H13591" s="420"/>
      <c r="I13591" s="529" t="s">
        <v>703</v>
      </c>
      <c r="J13591" s="530" t="s">
        <v>906</v>
      </c>
      <c r="N13591" s="610">
        <v>2415264</v>
      </c>
      <c r="R13591" s="539">
        <v>899.59200000082808</v>
      </c>
      <c r="S13591" s="539">
        <v>902.96362152543202</v>
      </c>
      <c r="T13591" s="567">
        <v>17.100000000000001</v>
      </c>
      <c r="U13591" s="567">
        <v>26073.03</v>
      </c>
      <c r="V13591" s="567">
        <v>13036.51</v>
      </c>
      <c r="Z13591" s="539" t="s">
        <v>2953</v>
      </c>
    </row>
    <row r="13592" spans="1:26">
      <c r="A13592" s="499">
        <v>45950</v>
      </c>
      <c r="B13592" s="499">
        <v>45950</v>
      </c>
      <c r="C13592" s="420" t="s">
        <v>173</v>
      </c>
      <c r="D13592" s="500" t="s">
        <v>764</v>
      </c>
      <c r="E13592" s="501">
        <v>-30018389.940000001</v>
      </c>
      <c r="F13592" s="95" t="s">
        <v>878</v>
      </c>
      <c r="G13592" s="420">
        <v>119744819</v>
      </c>
      <c r="H13592" s="420"/>
      <c r="I13592" s="529" t="s">
        <v>713</v>
      </c>
      <c r="J13592" s="530" t="s">
        <v>906</v>
      </c>
      <c r="N13592" s="610">
        <v>37620</v>
      </c>
      <c r="R13592" s="539">
        <v>797.93700000000001</v>
      </c>
      <c r="S13592" s="539">
        <v>800.92762413609796</v>
      </c>
      <c r="T13592" s="567">
        <v>17.100000000000001</v>
      </c>
      <c r="U13592" s="567">
        <v>360.22</v>
      </c>
      <c r="V13592" s="567">
        <v>180.11</v>
      </c>
      <c r="Z13592" s="539" t="s">
        <v>2953</v>
      </c>
    </row>
    <row r="13593" spans="1:26">
      <c r="A13593" s="499">
        <v>45950</v>
      </c>
      <c r="B13593" s="499">
        <v>45958</v>
      </c>
      <c r="C13593" s="420" t="s">
        <v>173</v>
      </c>
      <c r="D13593" s="500" t="s">
        <v>764</v>
      </c>
      <c r="E13593" s="501">
        <v>13050102.060000001</v>
      </c>
      <c r="F13593" s="95" t="s">
        <v>878</v>
      </c>
      <c r="G13593" s="420">
        <v>119744713</v>
      </c>
      <c r="H13593" s="420">
        <v>119744713</v>
      </c>
      <c r="I13593" s="529" t="s">
        <v>602</v>
      </c>
      <c r="J13593" s="530" t="s">
        <v>912</v>
      </c>
      <c r="N13593" s="610">
        <v>15431</v>
      </c>
      <c r="R13593" s="539">
        <v>842.54900006480455</v>
      </c>
      <c r="S13593" s="539">
        <v>845.70682781413996</v>
      </c>
      <c r="T13593" s="567">
        <v>17.100000000000001</v>
      </c>
      <c r="U13593" s="567">
        <v>156.02000000000001</v>
      </c>
      <c r="V13593" s="567">
        <v>78.010000000000005</v>
      </c>
      <c r="Z13593" s="539" t="s">
        <v>2953</v>
      </c>
    </row>
    <row r="13594" spans="1:26">
      <c r="A13594" s="499">
        <v>45950</v>
      </c>
      <c r="B13594" s="499">
        <v>45958</v>
      </c>
      <c r="C13594" s="420" t="s">
        <v>173</v>
      </c>
      <c r="D13594" s="500" t="s">
        <v>764</v>
      </c>
      <c r="E13594" s="501">
        <v>70298539.170000002</v>
      </c>
      <c r="F13594" s="95" t="s">
        <v>878</v>
      </c>
      <c r="G13594" s="420">
        <v>119744716</v>
      </c>
      <c r="H13594" s="420">
        <v>119744716</v>
      </c>
      <c r="I13594" s="529" t="s">
        <v>676</v>
      </c>
      <c r="J13594" s="530" t="s">
        <v>912</v>
      </c>
      <c r="N13594" s="610">
        <v>81900</v>
      </c>
      <c r="R13594" s="539">
        <v>855.14100000000008</v>
      </c>
      <c r="S13594" s="539">
        <v>858.34602161172199</v>
      </c>
      <c r="T13594" s="567">
        <v>17.100000000000001</v>
      </c>
      <c r="U13594" s="567">
        <v>840.43</v>
      </c>
      <c r="V13594" s="567">
        <v>420.22</v>
      </c>
      <c r="Z13594" s="539" t="s">
        <v>2953</v>
      </c>
    </row>
    <row r="13595" spans="1:26">
      <c r="A13595" s="499">
        <v>45950</v>
      </c>
      <c r="B13595" s="499">
        <v>45958</v>
      </c>
      <c r="C13595" s="420" t="s">
        <v>173</v>
      </c>
      <c r="D13595" s="500" t="s">
        <v>764</v>
      </c>
      <c r="E13595" s="501">
        <v>90423197.400000006</v>
      </c>
      <c r="F13595" s="95" t="s">
        <v>878</v>
      </c>
      <c r="G13595" s="420">
        <v>119744719</v>
      </c>
      <c r="H13595" s="420">
        <v>119744719</v>
      </c>
      <c r="I13595" s="529" t="s">
        <v>819</v>
      </c>
      <c r="J13595" s="530" t="s">
        <v>912</v>
      </c>
      <c r="N13595" s="610">
        <v>83790</v>
      </c>
      <c r="R13595" s="539">
        <v>1075.135</v>
      </c>
      <c r="S13595" s="539">
        <v>1079.1645470819899</v>
      </c>
      <c r="T13595" s="567">
        <v>17.100000000000001</v>
      </c>
      <c r="U13595" s="567">
        <v>1081.03</v>
      </c>
      <c r="V13595" s="567">
        <v>540.51</v>
      </c>
      <c r="Z13595" s="539" t="s">
        <v>2953</v>
      </c>
    </row>
    <row r="13596" spans="1:26">
      <c r="A13596" s="499">
        <v>45950</v>
      </c>
      <c r="B13596" s="499">
        <v>45958</v>
      </c>
      <c r="C13596" s="420" t="s">
        <v>173</v>
      </c>
      <c r="D13596" s="500" t="s">
        <v>764</v>
      </c>
      <c r="E13596" s="501">
        <v>128536412.98999999</v>
      </c>
      <c r="F13596" s="95" t="s">
        <v>878</v>
      </c>
      <c r="G13596" s="420">
        <v>119744722</v>
      </c>
      <c r="H13596" s="420">
        <v>119744722</v>
      </c>
      <c r="I13596" s="529" t="s">
        <v>673</v>
      </c>
      <c r="J13596" s="530" t="s">
        <v>912</v>
      </c>
      <c r="N13596" s="610">
        <v>137728</v>
      </c>
      <c r="R13596" s="539">
        <v>929.77799997095724</v>
      </c>
      <c r="S13596" s="539">
        <v>933.26275695573895</v>
      </c>
      <c r="T13596" s="567">
        <v>17.100000000000001</v>
      </c>
      <c r="U13596" s="567">
        <v>1536.68</v>
      </c>
      <c r="V13596" s="567">
        <v>768.34</v>
      </c>
      <c r="Z13596" s="539" t="s">
        <v>2953</v>
      </c>
    </row>
    <row r="13597" spans="1:26">
      <c r="A13597" s="499">
        <v>45950</v>
      </c>
      <c r="B13597" s="499">
        <v>45958</v>
      </c>
      <c r="C13597" s="420" t="s">
        <v>173</v>
      </c>
      <c r="D13597" s="500" t="s">
        <v>764</v>
      </c>
      <c r="E13597" s="501">
        <v>482240109.37</v>
      </c>
      <c r="F13597" s="95" t="s">
        <v>878</v>
      </c>
      <c r="G13597" s="420">
        <v>119744725</v>
      </c>
      <c r="H13597" s="420">
        <v>119744725</v>
      </c>
      <c r="I13597" s="529" t="s">
        <v>1051</v>
      </c>
      <c r="J13597" s="530" t="s">
        <v>912</v>
      </c>
      <c r="N13597" s="610">
        <v>469440</v>
      </c>
      <c r="R13597" s="539">
        <v>1023.4309999999999</v>
      </c>
      <c r="S13597" s="539">
        <v>1027.2667633137401</v>
      </c>
      <c r="T13597" s="567">
        <v>17.100000000000001</v>
      </c>
      <c r="U13597" s="567">
        <v>5765.27</v>
      </c>
      <c r="V13597" s="567">
        <v>2882.64</v>
      </c>
      <c r="Z13597" s="539" t="s">
        <v>2953</v>
      </c>
    </row>
    <row r="13598" spans="1:26">
      <c r="A13598" s="499">
        <v>45950</v>
      </c>
      <c r="B13598" s="499">
        <v>45958</v>
      </c>
      <c r="C13598" s="420" t="s">
        <v>173</v>
      </c>
      <c r="D13598" s="500" t="s">
        <v>764</v>
      </c>
      <c r="E13598" s="501">
        <v>1990936013.4400001</v>
      </c>
      <c r="F13598" s="95" t="s">
        <v>878</v>
      </c>
      <c r="G13598" s="420">
        <v>119744728</v>
      </c>
      <c r="H13598" s="420">
        <v>119744728</v>
      </c>
      <c r="I13598" s="529" t="s">
        <v>824</v>
      </c>
      <c r="J13598" s="530" t="s">
        <v>912</v>
      </c>
      <c r="N13598" s="610">
        <v>1844190</v>
      </c>
      <c r="R13598" s="539">
        <v>1075.5409999999999</v>
      </c>
      <c r="S13598" s="539">
        <v>1079.57206873478</v>
      </c>
      <c r="T13598" s="567">
        <v>17.100000000000001</v>
      </c>
      <c r="U13598" s="567">
        <v>23802.02</v>
      </c>
      <c r="V13598" s="567">
        <v>11901.01</v>
      </c>
      <c r="Z13598" s="539" t="s">
        <v>2953</v>
      </c>
    </row>
    <row r="13599" spans="1:26">
      <c r="A13599" s="499">
        <v>45950</v>
      </c>
      <c r="B13599" s="499">
        <v>45958</v>
      </c>
      <c r="C13599" s="420" t="s">
        <v>173</v>
      </c>
      <c r="D13599" s="500" t="s">
        <v>764</v>
      </c>
      <c r="E13599" s="501">
        <v>2180895528.3800001</v>
      </c>
      <c r="F13599" s="95" t="s">
        <v>878</v>
      </c>
      <c r="G13599" s="420">
        <v>119744741</v>
      </c>
      <c r="H13599" s="420">
        <v>119744741</v>
      </c>
      <c r="I13599" s="529" t="s">
        <v>703</v>
      </c>
      <c r="J13599" s="530" t="s">
        <v>912</v>
      </c>
      <c r="N13599" s="610">
        <v>2415264</v>
      </c>
      <c r="R13599" s="539">
        <v>899.59200000082808</v>
      </c>
      <c r="S13599" s="539">
        <v>902.96362152543202</v>
      </c>
      <c r="T13599" s="567">
        <v>17.100000000000001</v>
      </c>
      <c r="U13599" s="567">
        <v>26073.03</v>
      </c>
      <c r="V13599" s="567">
        <v>13036.51</v>
      </c>
      <c r="Z13599" s="539" t="s">
        <v>2953</v>
      </c>
    </row>
    <row r="13600" spans="1:26">
      <c r="A13600" s="499">
        <v>45950</v>
      </c>
      <c r="B13600" s="499">
        <v>45958</v>
      </c>
      <c r="C13600" s="420" t="s">
        <v>173</v>
      </c>
      <c r="D13600" s="500" t="s">
        <v>764</v>
      </c>
      <c r="E13600" s="501">
        <v>30130897.219999999</v>
      </c>
      <c r="F13600" s="95" t="s">
        <v>878</v>
      </c>
      <c r="G13600" s="420">
        <v>119744819</v>
      </c>
      <c r="H13600" s="420">
        <v>119744819</v>
      </c>
      <c r="I13600" s="529" t="s">
        <v>713</v>
      </c>
      <c r="J13600" s="530" t="s">
        <v>912</v>
      </c>
      <c r="N13600" s="610">
        <v>37620</v>
      </c>
      <c r="R13600" s="539">
        <v>797.93700000000001</v>
      </c>
      <c r="S13600" s="539">
        <v>800.92762413609796</v>
      </c>
      <c r="T13600" s="567">
        <v>17.100000000000001</v>
      </c>
      <c r="U13600" s="567">
        <v>360.22</v>
      </c>
      <c r="V13600" s="567">
        <v>180.11</v>
      </c>
      <c r="Z13600" s="539" t="s">
        <v>2953</v>
      </c>
    </row>
  </sheetData>
  <autoFilter ref="A2:X13540" xr:uid="{00000000-0001-0000-0E00-000000000000}"/>
  <phoneticPr fontId="115" type="noConversion"/>
  <conditionalFormatting sqref="E20:E30 E40:E48 E56:E62 E68:E72 E76:E78 E1 E84 E165:E214 E222:E228 E240:E250 E259:E264 E270:E278 E283:E286 E292:E294 E300:E302 E333:E341 E344:E346 E351:E355 E363:E369 E375:E378 E387:E399 E306:E325 E405:E409 E411 E416:E419 E450:E479 E483:E485 E494:E501 E508:E513 E518:E520 E524:E526 E530:E532 E536:E539 E543:E545 E548:E549 E552:E553 E559:E563 E568:E571 E576:E580 E584:E586 E591:E594 E602:E608 E611:E612 E614:E615 E619:E621 E5:E14 E625:E629 E633:E635 E638:E639 E655:E669 E674:E679 E682:E683 E692:E699 E705:E709 E712:E713 E792:E869 E878:E884 E888:E890 E893:E894 E918:E940 E943:E944 E948:E950 E962:E972 E977:E980 E988:E994 E1000:E1004 E1008:E1010 E1014:E1016 E1021:E1029 E1032:E1033 E1035:E1041 E1045:E1047 E1050:E1053 E1057:E1070 E1074:E1076 E1079:E1084 E1088:E1090 E1096:E1100 E1104:E1106 E1109:E1114 E1118 E1148:E1176 E1181:E1184 E1188:E1190 E1196:E1200 E1287:E1373 E1377 E1381:E1384 E1388:E1390 E1394:E1396 E1400 E1409:E1416 E1420:E1422 E1426:E1428 E1431:E1432 E1436:E1438 E1441:E1442 E1445:E1446 E1449:E1450 E1453:E1462 E1466:E1468 E1472:E1475 E1478:E1479 E1483:E1485 E1488:E1489 E1493:E1495 E1499:E1502 E1511:E1518 E1522:E1525 E1729:E1731 E1746:E1760 E1765:E1768 E1772:E1774 E1777:E1779 E1785:E1789 E1792:E1793 E1797:E1799 E1803:E1805 E1808:E1809 E1812:E1813 E1817:E1819 E1823:E1825 E1829:E1831 E1836:E1839 E1842:E1843 E1847:E1851 E1857:E1861 E1864:E1865 E1870:E1873 E1878:E1881 E1887:E1891 E1894:E1895 E1898:E1899 E1903:E1905 E1912:E1916 E1922:E1925 E1929:E1931 E1938:E1943 E1949:E1953 E1957:E1959 E1966:E1971 E1985:E1993 E1975:E1976 E1998:E2001 E2008:E2013 E2017:E2019 E2023:E2025 E2028:E2029 E2033:E2035 E2040:E2047 E2050:E2052 E2055:E2057 E2063:E2067 E2070:E2071 E2080:E2087 E2090:E2091 E2094:E2095 E2100:E2103 E2106:E2107 E2113:E2117 E2120:E2121 E2124:E2128 E2131:E2132 E2134 E2137:E2138 E2141:E2142 E2145:E2146 E2149:E2150 E2153:E2154 E2158:E2160 E2167:E2172 E2176:E2178 E2182:E2184 E2189:E2193 E2196:E2197 E2200:E2206 E2210:E2212 E2216:E2218 E2223:E2226 E2230 E2233:E2236 E2239:E2240 E2244:E2245 E2249:E2259 E2263:E2265 E2270:E2273 E2275 E2278:E2279 E2283:E2287 E2290:E2291 E2295:E2297 E2302:E2309 E2312:E2313 E2321:E2327 E2331:E2333 E2338:E2341 E2347:E2351 E2356:E2359 E2366:E2367 E2383:E2391 E2395:E2397 E2401:E2403 E2406:E2407 E2436:E2441 E2445:E2451 E2455:E2457 E2496:E2501 E2508:E2509 E2512:E2513 E2504:E2505 E2516:E2517 E2520:E2524 E2527:E2528 E2532:E2534 E2539:E2540 E2544:E2546 E2550:E2552 E2556:E2559 E2588:E2590 E2593:E2595 E2600:E2602 E2606:E2608 E2611:E2612 E2615:E2616 E2624:E2630 E2634:E2636 E2639:E2640 E2643:E2644 E2648:E2650 E2653:E2654 E2659:E2662 E2666:E2668 E2671:E2672 E2675:E2676 E2679:E2680 E2684:E2686 E2689:E2690 E2693:E2694 E2697:E2698 E2701:E2702 E2732:E2738 E2741:E2742 E2747:E2750 E2754:E2756 E2761:E2762 E2767:E2770 E2775:E2778 E2781:E2782 E2785:E2786 E2791:E2794 E2797:E2798 E2802:E2804 E2807:E2808 E2811:E2812 E2815:E2816 E2819:E2820 E2824:E2826 E2830:E2833 E2836:E2837 E2840:E2841 E2844:E2845 E2855:E2863 E2911:E2957 E2961:E2963 E2966:E2967 E2970:E2971 E2996:E2999 E3002:E3019 E3024:E3027 E3030:E3039 E3042:E3043 E3048:E3051 E3056:E3059 E3062:E3063 E3066:E3077 E3084:E3089 E3096:E3106 E3111:E3112 E3116:E3126 E3133:E3138 E3142 E3145:E3146 E3150:E3156 E3161:E3164 E3167:E3168 E3172:E3174 E3178:E3180 E3183:E3188 E3191:E3192 E3198:E3203 E3207:E3209 E3278 E3281:E3284 E3299:E3305 E3309:E3311 E3316:E3323 E3329:E3337 E3340:E3369 E3435:E3503 E3508:E3515 E3521:E3524 E3528:E3529 E3532:E3533 E3536:E3537 E3541:E3547 E3552:E3555 E3561:E3569 E3576:E3579 E3584:E3587 E3590:E3599 E3605:E3609 E3614:E3617 E3623:E3627 E3631:E3633 E3637:E3647 E3651:E3661 E3665:E3666 E3681:E3731 E3846:E3857 E3903:E3979 E4005:E4009 E4307 E4299:E4300 E4349:E4452 E4458:E4468 E4479:E4510 E4518:E4568 E4574:E4578 E4582:E4584 E4588:E4590 E4594:E4596 E4632:E4672 E4676:E4678 E4683:E4692 E4720:E4754 E4764:E4766 E4696:E4710 E4771:E4795 E4800:E4804 E4807:E4809 E4818:E4825 E4828:E4829 E4905:E4979 E4985:E5000 E5006:E5010 E5012:E5017 E5022:E5033 E5039:E5073 E5094:E5171 E5180:E5191 E5201:E5209 E5214:E5239 E5257:E5284 E5291:E5330 E5337:E5343 E5348:E5373 E5386:E5398 E5403:E5427 E5433:E5441 E5447:E5459 E5464:E5506 E5515:E5584 E5613:E5684 E5689:E5693 E5701:E5719 E5788:E5859 E5871:E5893 E5899:E5910 E5913:E5914 E5923:E5944 E5952:E5958 E5968:E6004 E6013:E6022 E6027:E6042 E6051:E6063 E6068:E6074 E6078:E6080 E6084:E6090 E6094:E6096 E6102:E6118 E6124:E6132 E6138:E6148 E6155:E6221 E6242:E6300 E6308:E6314 E6317:E6350 E6368:E6398 E6413:E6458 E6464:E6479 E6489:E6500 E6504:E6515 E6519:E6530 E6538:E6551 E6555:E6562 E6567:E6590 E6629:E6638 E6599:E6618 E6665:E6708 E6722:E6746 E6757:E6762 E6767:E6774 E6778:E6793 E6798:E6860 E6867:E6872 E6877:E6880 E6885:E6902 E6909:E6914 E6931:E6946 E6950:E6958 E6964:E6982 E6992:E7000 E7006:E7010 E7012:E7039 E7112:E7183 E7191:E7255 E7264:E7269 E7273:E7281 E7286:E7290 E7296:E7300 E7307:E7318 E7323:E7352 E7358:E7362 E7367:E7370 E7374:E7382 E7387:E7411 E7416:E7431 E7450:E7467 E7475:E7491 E7495:E7497 E7504:E7509 E7519:E7527 E7536:E7543 E7552:E7612 E7623:E7683 E7702:E7751 E7760:E7840 E7848:E7854 E7860:E7864 E7871:E7894 E7911:E7965 E7971:E8026 E8036:E8147 E8156:E8183 E8192:E8207 E8238:E8339 E8397:E8409 E8412:E8413 E8427:E8439 E8452:E8459 E8540:E8545 E8587:E8632 E8672:E8678 E8688:E8700 E8732:E8897 E8903:E8907 E8997:E9095 E9106:E9183 E9260:E9529 E9539:E9646 E9671:E9766 E9769:E10365 E10398:E11971 E11994:E12055 E12185:E12217 E12244:E12273 E12311:E12327 E12329:E12427 E12435:E12441 E12449:E12464 E12467:E12468 E12474:E12476 E12495:E12498 E12609:E12610 E12641:E12666 E12674:E12685 E12690:E12694 E12701:E1048576">
    <cfRule type="cellIs" dxfId="1110" priority="1752" operator="lessThan">
      <formula>0</formula>
    </cfRule>
  </conditionalFormatting>
  <conditionalFormatting sqref="E20:E30 E40:E48 E56:E62 E68:E72 E76:E78 E1 E84 E165:E214 E222:E228 E240:E250 E259:E264 E270:E278 E283:E286 E292:E294 E300:E302 E333:E341 E344:E346 E351:E355 E363:E369 E375:E378 E387:E399 E306:E325 E405:E409 E411 E416:E419 E450:E479 E483:E485 E494:E501 E508:E513 E518:E520 E524:E526 E530:E532 E536:E539 E543:E545 E548:E549 E552:E553 E559:E563 E568:E571 E576:E580 E584:E586 E591:E594 E602:E608 E611:E612 E614:E615 E619:E621 E5:E14 E625:E629 E633:E635 E638:E639 E655:E669 E674:E679 E682:E683 E692:E699 E705:E709 E712:E713 E792:E869 E878:E884 E888:E890 E893:E894 E918:E940 E943:E944 E948:E950 E962:E972 E977:E980 E988:E994 E1000:E1004 E1008:E1010 E1014:E1016 E1021:E1029 E1032:E1033 E1035:E1041 E1045:E1047 E1050:E1053 E1057:E1070 E1074:E1076 E1079:E1084 E1088:E1090 E1096:E1100 E1104:E1106 E1109:E1114 E1118 E1148:E1176 E1181:E1184 E1188:E1190 E1196:E1200 E1287:E1373 E1377 E1381:E1384 E1388:E1390 E1394:E1396 E1400 E1409:E1416 E1420:E1422 E1426:E1428 E1431:E1432 E1436:E1438 E1441:E1442 E1445:E1446 E1449:E1450 E1453:E1462 E1466:E1468 E1472:E1475 E1478:E1479 E1483:E1485 E1488:E1489 E1493:E1495 E1499:E1502 E1511:E1518 E1522:E1525 E1729:E1731 E1746:E1760 E1765:E1768 E1772:E1774 E1777:E1779 E1785:E1789 E1792:E1793 E1797:E1799 E1803:E1805 E1808:E1809 E1812:E1813 E1817:E1819 E1823:E1825 E1829:E1831 E1836:E1839 E1842:E1843 E1847:E1851 E1857:E1861 E1864:E1865 E1870:E1873 E1878:E1881 E1887:E1891 E1894:E1895 E1898:E1899 E1903:E1905 E1912:E1916 E1922:E1925 E1929:E1931 E1938:E1943 E1949:E1953 E1957:E1959 E1966:E1971 E1985:E1993 E1975:E1976 E1998:E2001 E2008:E2013 E2017:E2019 E2023:E2025 E2028:E2029 E2033:E2035 E2040:E2047 E2050:E2052 E2055:E2057 E2063:E2067 E2070:E2071 E2080:E2087 E2090:E2091 E2094:E2095 E2100:E2103 E2106:E2107 E2113:E2117 E2120:E2121 E2124:E2128 E2131:E2132 E2134 E2137:E2138 E2141:E2142 E2145:E2146 E2149:E2150 E2153:E2154 E2158:E2160 E2167:E2172 E2176:E2178 E2182:E2184 E2189:E2193 E2196:E2197 E2200:E2206 E2210:E2212 E2216:E2218 E2223:E2226 E2230 E2233:E2236 E2239:E2240 E2244:E2245 E2249:E2259 E2263:E2265 E2270:E2273 E2275 E2278:E2279 E2283:E2287 E2290:E2291 E2295:E2297 E2302:E2309 E2312:E2313 E2321:E2327 E2331:E2333 E2338:E2341 E2347:E2351 E2356:E2359 E2366:E2367 E2383:E2391 E2395:E2397 E2401:E2403 E2406:E2407 E2436:E2441 E2445:E2451 E2455:E2457 E2496:E2501 E2508:E2509 E2512:E2513 E2504:E2505 E2516:E2517 E2520:E2524 E2527:E2528 E2532:E2534 E2539:E2540 E2544:E2546 E2550:E2552 E2556:E2559 E2588:E2590 E2593:E2595 E2600:E2602 E2606:E2608 E2611:E2612 E2615:E2616 E2624:E2630 E2634:E2636 E2639:E2640 E2643:E2644 E2648:E2650 E2653:E2654 E2659:E2662 E2666:E2668 E2671:E2672 E2675:E2676 E2679:E2680 E2684:E2686 E2689:E2690 E2693:E2694 E2697:E2698 E2701:E2702 E2732:E2738 E2741:E2742 E2747:E2750 E2754:E2756 E2761:E2762 E2767:E2770 E2775:E2778 E2781:E2782 E2785:E2786 E2791:E2794 E2797:E2798 E2802:E2804 E2807:E2808 E2811:E2812 E2815:E2816 E2819:E2820 E2824:E2826 E2830:E2833 E2836:E2837 E2840:E2841 E2844:E2845 E2855:E2863 E2911:E2957 E2961:E2963 E2966:E2967 E2970:E2971 E2996:E2999 E3002:E3019 E3024:E3027 E3030:E3039 E3042:E3043 E3048:E3051 E3056:E3059 E3062:E3063 E3066:E3077 E3084:E3089 E3096:E3106 E3111:E3112 E3116:E3126 E3133:E3138 E3142 E3145:E3146 E3150:E3156 E3161:E3164 E3167:E3168 E3172:E3174 E3178:E3180 E3183:E3188 E3191:E3192 E3198:E3203 E3207:E3209 E3278 E3281:E3284 E3299:E3305 E3309:E3311 E3316:E3323 E3329:E3337 E3340:E3369 E3435:E3503 E3508:E3515 E3521:E3524 E3528:E3529 E3532:E3533 E3536:E3537 E3541:E3547 E3552:E3555 E3561:E3569 E3576:E3579 E3584:E3587 E3590:E3599 E3605:E3609 E3614:E3617 E3623:E3627 E3631:E3633 E3637:E3647 E3651:E3661 E3665:E3666 E3681:E3731 E3846:E3857 E3903:E3979 E4005:E4009 E4307 E4299:E4300 E4349:E4452 E4458:E4468 E4479:E4510 E4518:E4568 E4574:E4578 E4582:E4584 E4588:E4590 E4594:E4596 E4632:E4672 E4676:E4678 E4683:E4692 E4720:E4754 E4764:E4766 E4696:E4710 E4771:E4795 E4800:E4804 E4807:E4809 E4818:E4825 E4828:E4829 E4905:E4979 E4985:E5000 E5006:E5010 E5012:E5017 E5022:E5033 E5039:E5073 E5094:E5171 E5180:E5191 E5201:E5209 E5214:E5239 E5257:E5284 E5291:E5330 E5337:E5343 E5348:E5373 E5386:E5398 E5403:E5427 E5433:E5441 E5447:E5459 E5464:E5506 E5515:E5584 E5613:E5684 E5689:E5693 E5701:E5719 E5788:E5859 E5871:E5893 E5899:E5910 E5913:E5914 E5923:E5944 E5952:E5958 E5968:E6004 E6013:E6022 E6027:E6042 E6051:E6063 E6068:E6074 E6078:E6080 E6084:E6090 E6094:E6096 E6102:E6118 E6124:E6132 E6138:E6148 E6155:E6221 E6242:E6300 E6308:E6314 E6317:E6350 E6368:E6398 E6413:E6458 E6464:E6479 E6489:E6500 E6504:E6515 E6519:E6530 E6538:E6551 E6555:E6562 E6567:E6590 E6629:E6638 E6599:E6618 E6665:E6708 E6722:E6746 E6757:E6762 E6767:E6774 E6778:E6793 E6798:E6860 E6867:E6872 E6877:E6880 E6885:E6902 E6909:E6914 E6931:E6946 E6950:E6958 E6964:E6982 E6992:E7000 E7006:E7010 E7012:E7039 E7112:E7183 E7191:E7255 E7264:E7269 E7273:E7281 E7286:E7290 E7296:E7300 E7307:E7318 E7323:E7352 E7358:E7362 E7367:E7370 E7374:E7382 E7387:E7411 E7416:E7431 E7450:E7467 E7475:E7491 E7495:E7497 E7504:E7509 E7519:E7527 E7536:E7543 E7552:E7612 E7623:E7683 E7702:E7751 E7760:E7840 E7848:E7854 E7860:E7864 E7871:E7894 E7911:E7965 E7971:E8026 E8036:E8147 E8156:E8183 E8192:E8207 E8238:E8339 E8397:E8409 E8412:E8413 E8427:E8439 E8452:E8459 E8540:E8545 E8587:E8632 E8672:E8678 E8688:E8700 E8732:E8897 E8903:E8907 E8997:E9095 E9106:E9183 E9260:E9529 E9539:E9646 E9671:E9766 E9769:E10365 E10398:E11971 E11994:E12055 E12185:E12217 E12244:E12273 E12311:E12327 E12329:E12427 E12435:E12441 E12449:E12464 E12467:E12468 E12474:E12476 E12495:E12498 E12609:E12610 E12641:E12666 E12674:E12685 E12690:E12694 E12701:E1048576">
    <cfRule type="cellIs" dxfId="1109" priority="1739" operator="lessThan">
      <formula>0</formula>
    </cfRule>
  </conditionalFormatting>
  <conditionalFormatting sqref="E15:E19">
    <cfRule type="cellIs" dxfId="1108" priority="1721" operator="lessThan">
      <formula>0</formula>
    </cfRule>
  </conditionalFormatting>
  <conditionalFormatting sqref="E5:E78 E84">
    <cfRule type="cellIs" dxfId="1107" priority="1719" operator="lessThan">
      <formula>0</formula>
    </cfRule>
  </conditionalFormatting>
  <conditionalFormatting sqref="E49:E55">
    <cfRule type="cellIs" dxfId="1106" priority="1717" operator="lessThan">
      <formula>0</formula>
    </cfRule>
  </conditionalFormatting>
  <conditionalFormatting sqref="E79:E83">
    <cfRule type="cellIs" dxfId="1105" priority="1715" operator="lessThan">
      <formula>0</formula>
    </cfRule>
  </conditionalFormatting>
  <conditionalFormatting sqref="E85:E90 E95:E98 E105:E117">
    <cfRule type="cellIs" dxfId="1104" priority="1713" operator="lessThan">
      <formula>0</formula>
    </cfRule>
  </conditionalFormatting>
  <conditionalFormatting sqref="E91:E94">
    <cfRule type="cellIs" dxfId="1103" priority="1711" operator="lessThan">
      <formula>0</formula>
    </cfRule>
  </conditionalFormatting>
  <conditionalFormatting sqref="E99:E104">
    <cfRule type="cellIs" dxfId="1102" priority="1709" operator="lessThan">
      <formula>0</formula>
    </cfRule>
  </conditionalFormatting>
  <conditionalFormatting sqref="E118:E164">
    <cfRule type="cellIs" dxfId="1101" priority="1707" operator="lessThan">
      <formula>0</formula>
    </cfRule>
  </conditionalFormatting>
  <conditionalFormatting sqref="E215:E221">
    <cfRule type="cellIs" dxfId="1100" priority="1703" operator="lessThan">
      <formula>0</formula>
    </cfRule>
  </conditionalFormatting>
  <conditionalFormatting sqref="E229:E239">
    <cfRule type="cellIs" dxfId="1099" priority="1701" operator="lessThan">
      <formula>0</formula>
    </cfRule>
  </conditionalFormatting>
  <conditionalFormatting sqref="E251:E258">
    <cfRule type="cellIs" dxfId="1098" priority="1699" operator="lessThan">
      <formula>0</formula>
    </cfRule>
  </conditionalFormatting>
  <conditionalFormatting sqref="E265:E269">
    <cfRule type="cellIs" dxfId="1097" priority="1697" operator="lessThan">
      <formula>0</formula>
    </cfRule>
  </conditionalFormatting>
  <conditionalFormatting sqref="E279:E282">
    <cfRule type="cellIs" dxfId="1096" priority="1695" operator="lessThan">
      <formula>0</formula>
    </cfRule>
  </conditionalFormatting>
  <conditionalFormatting sqref="E287:E291">
    <cfRule type="cellIs" dxfId="1095" priority="1693" operator="lessThan">
      <formula>0</formula>
    </cfRule>
  </conditionalFormatting>
  <conditionalFormatting sqref="E295:E296">
    <cfRule type="cellIs" dxfId="1094" priority="1691" operator="lessThan">
      <formula>0</formula>
    </cfRule>
  </conditionalFormatting>
  <conditionalFormatting sqref="E297:E298">
    <cfRule type="cellIs" dxfId="1093" priority="1689" operator="lessThan">
      <formula>0</formula>
    </cfRule>
  </conditionalFormatting>
  <conditionalFormatting sqref="E299">
    <cfRule type="cellIs" dxfId="1092" priority="1687" operator="lessThan">
      <formula>0</formula>
    </cfRule>
  </conditionalFormatting>
  <conditionalFormatting sqref="E303:E305">
    <cfRule type="cellIs" dxfId="1091" priority="1685" operator="lessThan">
      <formula>0</formula>
    </cfRule>
  </conditionalFormatting>
  <conditionalFormatting sqref="E326:E332">
    <cfRule type="cellIs" dxfId="1090" priority="1683" operator="lessThan">
      <formula>0</formula>
    </cfRule>
  </conditionalFormatting>
  <conditionalFormatting sqref="E342:E343">
    <cfRule type="cellIs" dxfId="1089" priority="1681" operator="lessThan">
      <formula>0</formula>
    </cfRule>
  </conditionalFormatting>
  <conditionalFormatting sqref="E347:E350">
    <cfRule type="cellIs" dxfId="1088" priority="1679" operator="lessThan">
      <formula>0</formula>
    </cfRule>
  </conditionalFormatting>
  <conditionalFormatting sqref="E356:E362">
    <cfRule type="cellIs" dxfId="1087" priority="1677" operator="lessThan">
      <formula>0</formula>
    </cfRule>
  </conditionalFormatting>
  <conditionalFormatting sqref="E370:E374">
    <cfRule type="cellIs" dxfId="1086" priority="1675" operator="lessThan">
      <formula>0</formula>
    </cfRule>
  </conditionalFormatting>
  <conditionalFormatting sqref="E379">
    <cfRule type="cellIs" dxfId="1085" priority="1673" operator="lessThan">
      <formula>0</formula>
    </cfRule>
  </conditionalFormatting>
  <conditionalFormatting sqref="E380:E386">
    <cfRule type="cellIs" dxfId="1084" priority="1671" operator="lessThan">
      <formula>0</formula>
    </cfRule>
  </conditionalFormatting>
  <conditionalFormatting sqref="E400:E404">
    <cfRule type="cellIs" dxfId="1083" priority="1669" operator="lessThan">
      <formula>0</formula>
    </cfRule>
  </conditionalFormatting>
  <conditionalFormatting sqref="E410">
    <cfRule type="cellIs" dxfId="1082" priority="1667" operator="lessThan">
      <formula>0</formula>
    </cfRule>
  </conditionalFormatting>
  <conditionalFormatting sqref="E412:E415">
    <cfRule type="cellIs" dxfId="1081" priority="1665" operator="lessThan">
      <formula>0</formula>
    </cfRule>
  </conditionalFormatting>
  <conditionalFormatting sqref="E420:E449">
    <cfRule type="cellIs" dxfId="1080" priority="1663" operator="lessThan">
      <formula>0</formula>
    </cfRule>
  </conditionalFormatting>
  <conditionalFormatting sqref="E480:E482">
    <cfRule type="cellIs" dxfId="1079" priority="1661" operator="lessThan">
      <formula>0</formula>
    </cfRule>
  </conditionalFormatting>
  <conditionalFormatting sqref="E486:E493">
    <cfRule type="cellIs" dxfId="1078" priority="1657" operator="lessThan">
      <formula>0</formula>
    </cfRule>
  </conditionalFormatting>
  <conditionalFormatting sqref="E502:E507">
    <cfRule type="cellIs" dxfId="1077" priority="1653" operator="lessThan">
      <formula>0</formula>
    </cfRule>
  </conditionalFormatting>
  <conditionalFormatting sqref="E514">
    <cfRule type="cellIs" dxfId="1076" priority="1649" operator="lessThan">
      <formula>0</formula>
    </cfRule>
  </conditionalFormatting>
  <conditionalFormatting sqref="E515:E517">
    <cfRule type="cellIs" dxfId="1075" priority="1647" operator="lessThan">
      <formula>0</formula>
    </cfRule>
  </conditionalFormatting>
  <conditionalFormatting sqref="E521:E523">
    <cfRule type="cellIs" dxfId="1074" priority="1645" operator="lessThan">
      <formula>0</formula>
    </cfRule>
  </conditionalFormatting>
  <conditionalFormatting sqref="E527:E529">
    <cfRule type="cellIs" dxfId="1073" priority="1643" operator="lessThan">
      <formula>0</formula>
    </cfRule>
  </conditionalFormatting>
  <conditionalFormatting sqref="E533:E535">
    <cfRule type="cellIs" dxfId="1072" priority="1641" operator="lessThan">
      <formula>0</formula>
    </cfRule>
  </conditionalFormatting>
  <conditionalFormatting sqref="E540:E542">
    <cfRule type="cellIs" dxfId="1071" priority="1639" operator="lessThan">
      <formula>0</formula>
    </cfRule>
  </conditionalFormatting>
  <conditionalFormatting sqref="E546:E547">
    <cfRule type="cellIs" dxfId="1070" priority="1637" operator="lessThan">
      <formula>0</formula>
    </cfRule>
  </conditionalFormatting>
  <conditionalFormatting sqref="E554:E558">
    <cfRule type="cellIs" dxfId="1069" priority="1631" operator="lessThan">
      <formula>0</formula>
    </cfRule>
  </conditionalFormatting>
  <conditionalFormatting sqref="E550:E551">
    <cfRule type="cellIs" dxfId="1068" priority="1633" operator="lessThan">
      <formula>0</formula>
    </cfRule>
  </conditionalFormatting>
  <conditionalFormatting sqref="E581:E583">
    <cfRule type="cellIs" dxfId="1067" priority="1625" operator="lessThan">
      <formula>0</formula>
    </cfRule>
  </conditionalFormatting>
  <conditionalFormatting sqref="E564:E567">
    <cfRule type="cellIs" dxfId="1066" priority="1629" operator="lessThan">
      <formula>0</formula>
    </cfRule>
  </conditionalFormatting>
  <conditionalFormatting sqref="E572:E575">
    <cfRule type="cellIs" dxfId="1065" priority="1627" operator="lessThan">
      <formula>0</formula>
    </cfRule>
  </conditionalFormatting>
  <conditionalFormatting sqref="E587:E590">
    <cfRule type="cellIs" dxfId="1064" priority="1623" operator="lessThan">
      <formula>0</formula>
    </cfRule>
  </conditionalFormatting>
  <conditionalFormatting sqref="E595:E601">
    <cfRule type="cellIs" dxfId="1063" priority="1621" operator="lessThan">
      <formula>0</formula>
    </cfRule>
  </conditionalFormatting>
  <conditionalFormatting sqref="E609:E610">
    <cfRule type="cellIs" dxfId="1062" priority="1619" operator="lessThan">
      <formula>0</formula>
    </cfRule>
  </conditionalFormatting>
  <conditionalFormatting sqref="E613">
    <cfRule type="cellIs" dxfId="1061" priority="1617" operator="lessThan">
      <formula>0</formula>
    </cfRule>
  </conditionalFormatting>
  <conditionalFormatting sqref="E616:E618">
    <cfRule type="cellIs" dxfId="1060" priority="1615" operator="lessThan">
      <formula>0</formula>
    </cfRule>
  </conditionalFormatting>
  <conditionalFormatting sqref="E622:E624">
    <cfRule type="cellIs" dxfId="1059" priority="1613" operator="lessThan">
      <formula>0</formula>
    </cfRule>
  </conditionalFormatting>
  <conditionalFormatting sqref="E631:E632">
    <cfRule type="cellIs" dxfId="1058" priority="1611" operator="lessThan">
      <formula>0</formula>
    </cfRule>
  </conditionalFormatting>
  <conditionalFormatting sqref="E630">
    <cfRule type="cellIs" dxfId="1057" priority="1609" operator="lessThan">
      <formula>0</formula>
    </cfRule>
  </conditionalFormatting>
  <conditionalFormatting sqref="E636:E637">
    <cfRule type="cellIs" dxfId="1056" priority="1607" operator="lessThan">
      <formula>0</formula>
    </cfRule>
  </conditionalFormatting>
  <conditionalFormatting sqref="E640:E654">
    <cfRule type="cellIs" dxfId="1055" priority="1605" operator="lessThan">
      <formula>0</formula>
    </cfRule>
  </conditionalFormatting>
  <conditionalFormatting sqref="E670:E673">
    <cfRule type="cellIs" dxfId="1054" priority="1603" operator="lessThan">
      <formula>0</formula>
    </cfRule>
  </conditionalFormatting>
  <conditionalFormatting sqref="E680:E681">
    <cfRule type="cellIs" dxfId="1053" priority="1601" operator="lessThan">
      <formula>0</formula>
    </cfRule>
  </conditionalFormatting>
  <conditionalFormatting sqref="E684:E691">
    <cfRule type="cellIs" dxfId="1052" priority="1599" operator="lessThan">
      <formula>0</formula>
    </cfRule>
  </conditionalFormatting>
  <conditionalFormatting sqref="E700:E704">
    <cfRule type="cellIs" dxfId="1051" priority="1597" operator="lessThan">
      <formula>0</formula>
    </cfRule>
  </conditionalFormatting>
  <conditionalFormatting sqref="E710:E711">
    <cfRule type="cellIs" dxfId="1050" priority="1595" operator="lessThan">
      <formula>0</formula>
    </cfRule>
  </conditionalFormatting>
  <conditionalFormatting sqref="E714:E791">
    <cfRule type="cellIs" dxfId="1049" priority="1593" operator="lessThan">
      <formula>0</formula>
    </cfRule>
  </conditionalFormatting>
  <conditionalFormatting sqref="E870:E877">
    <cfRule type="cellIs" dxfId="1048" priority="1591" operator="lessThan">
      <formula>0</formula>
    </cfRule>
  </conditionalFormatting>
  <conditionalFormatting sqref="E885">
    <cfRule type="cellIs" dxfId="1047" priority="1589" operator="lessThan">
      <formula>0</formula>
    </cfRule>
  </conditionalFormatting>
  <conditionalFormatting sqref="E886:E887">
    <cfRule type="cellIs" dxfId="1046" priority="1587" operator="lessThan">
      <formula>0</formula>
    </cfRule>
  </conditionalFormatting>
  <conditionalFormatting sqref="E891:E892">
    <cfRule type="cellIs" dxfId="1045" priority="1585" operator="lessThan">
      <formula>0</formula>
    </cfRule>
  </conditionalFormatting>
  <conditionalFormatting sqref="E895:E917">
    <cfRule type="cellIs" dxfId="1044" priority="1583" operator="lessThan">
      <formula>0</formula>
    </cfRule>
  </conditionalFormatting>
  <conditionalFormatting sqref="E941:E942">
    <cfRule type="cellIs" dxfId="1043" priority="1581" operator="lessThan">
      <formula>0</formula>
    </cfRule>
  </conditionalFormatting>
  <conditionalFormatting sqref="E945:E947">
    <cfRule type="cellIs" dxfId="1042" priority="1579" operator="lessThan">
      <formula>0</formula>
    </cfRule>
  </conditionalFormatting>
  <conditionalFormatting sqref="E951:E961">
    <cfRule type="cellIs" dxfId="1041" priority="1577" operator="lessThan">
      <formula>0</formula>
    </cfRule>
  </conditionalFormatting>
  <conditionalFormatting sqref="E973:E976">
    <cfRule type="cellIs" dxfId="1040" priority="1575" operator="lessThan">
      <formula>0</formula>
    </cfRule>
  </conditionalFormatting>
  <conditionalFormatting sqref="E982:E987">
    <cfRule type="cellIs" dxfId="1039" priority="1573" operator="lessThan">
      <formula>0</formula>
    </cfRule>
  </conditionalFormatting>
  <conditionalFormatting sqref="E981">
    <cfRule type="cellIs" dxfId="1038" priority="1571" operator="lessThan">
      <formula>0</formula>
    </cfRule>
  </conditionalFormatting>
  <conditionalFormatting sqref="E995:E998">
    <cfRule type="cellIs" dxfId="1037" priority="1569" operator="lessThan">
      <formula>0</formula>
    </cfRule>
  </conditionalFormatting>
  <conditionalFormatting sqref="E999">
    <cfRule type="cellIs" dxfId="1036" priority="1567" operator="lessThan">
      <formula>0</formula>
    </cfRule>
  </conditionalFormatting>
  <conditionalFormatting sqref="E1005:E1007">
    <cfRule type="cellIs" dxfId="1035" priority="1565" operator="lessThan">
      <formula>0</formula>
    </cfRule>
  </conditionalFormatting>
  <conditionalFormatting sqref="E1011:E1013">
    <cfRule type="cellIs" dxfId="1034" priority="1563" operator="lessThan">
      <formula>0</formula>
    </cfRule>
  </conditionalFormatting>
  <conditionalFormatting sqref="E1017:E1020">
    <cfRule type="cellIs" dxfId="1033" priority="1561" operator="lessThan">
      <formula>0</formula>
    </cfRule>
  </conditionalFormatting>
  <conditionalFormatting sqref="E1030:E1031">
    <cfRule type="cellIs" dxfId="1032" priority="1559" operator="lessThan">
      <formula>0</formula>
    </cfRule>
  </conditionalFormatting>
  <conditionalFormatting sqref="E1034">
    <cfRule type="cellIs" dxfId="1031" priority="1557" operator="lessThan">
      <formula>0</formula>
    </cfRule>
  </conditionalFormatting>
  <conditionalFormatting sqref="E1042:E1044">
    <cfRule type="cellIs" dxfId="1030" priority="1555" operator="lessThan">
      <formula>0</formula>
    </cfRule>
  </conditionalFormatting>
  <conditionalFormatting sqref="E1048:E1049">
    <cfRule type="cellIs" dxfId="1029" priority="1553" operator="lessThan">
      <formula>0</formula>
    </cfRule>
  </conditionalFormatting>
  <conditionalFormatting sqref="E1054:E1056">
    <cfRule type="cellIs" dxfId="1028" priority="1551" operator="lessThan">
      <formula>0</formula>
    </cfRule>
  </conditionalFormatting>
  <conditionalFormatting sqref="E1071:E1073">
    <cfRule type="cellIs" dxfId="1027" priority="1549" operator="lessThan">
      <formula>0</formula>
    </cfRule>
  </conditionalFormatting>
  <conditionalFormatting sqref="E1077:E1078">
    <cfRule type="cellIs" dxfId="1026" priority="1547" operator="lessThan">
      <formula>0</formula>
    </cfRule>
  </conditionalFormatting>
  <conditionalFormatting sqref="E1085:E1086">
    <cfRule type="cellIs" dxfId="1025" priority="1545" operator="lessThan">
      <formula>0</formula>
    </cfRule>
  </conditionalFormatting>
  <conditionalFormatting sqref="E1087">
    <cfRule type="cellIs" dxfId="1024" priority="1543" operator="lessThan">
      <formula>0</formula>
    </cfRule>
  </conditionalFormatting>
  <conditionalFormatting sqref="E1091:E1095">
    <cfRule type="cellIs" dxfId="1023" priority="1541" operator="lessThan">
      <formula>0</formula>
    </cfRule>
  </conditionalFormatting>
  <conditionalFormatting sqref="E1101:E1103">
    <cfRule type="cellIs" dxfId="1022" priority="1539" operator="lessThan">
      <formula>0</formula>
    </cfRule>
  </conditionalFormatting>
  <conditionalFormatting sqref="E1107:E1108">
    <cfRule type="cellIs" dxfId="1021" priority="1537" operator="lessThan">
      <formula>0</formula>
    </cfRule>
  </conditionalFormatting>
  <conditionalFormatting sqref="E1115:E1116">
    <cfRule type="cellIs" dxfId="1020" priority="1535" operator="lessThan">
      <formula>0</formula>
    </cfRule>
  </conditionalFormatting>
  <conditionalFormatting sqref="E1119:E1146">
    <cfRule type="cellIs" dxfId="1019" priority="1533" operator="lessThan">
      <formula>0</formula>
    </cfRule>
  </conditionalFormatting>
  <conditionalFormatting sqref="E1147">
    <cfRule type="cellIs" dxfId="1018" priority="1531" operator="lessThan">
      <formula>0</formula>
    </cfRule>
  </conditionalFormatting>
  <conditionalFormatting sqref="E1177:E1180">
    <cfRule type="cellIs" dxfId="1017" priority="1529" operator="lessThan">
      <formula>0</formula>
    </cfRule>
  </conditionalFormatting>
  <conditionalFormatting sqref="E1185:E1187">
    <cfRule type="cellIs" dxfId="1016" priority="1527" operator="lessThan">
      <formula>0</formula>
    </cfRule>
  </conditionalFormatting>
  <conditionalFormatting sqref="E1191:E1195">
    <cfRule type="cellIs" dxfId="1015" priority="1525" operator="lessThan">
      <formula>0</formula>
    </cfRule>
  </conditionalFormatting>
  <conditionalFormatting sqref="E1201:E1286">
    <cfRule type="cellIs" dxfId="1014" priority="1523" operator="lessThan">
      <formula>0</formula>
    </cfRule>
  </conditionalFormatting>
  <conditionalFormatting sqref="E1374:E1376">
    <cfRule type="cellIs" dxfId="1013" priority="1521" operator="lessThan">
      <formula>0</formula>
    </cfRule>
  </conditionalFormatting>
  <conditionalFormatting sqref="E1378:E1380">
    <cfRule type="cellIs" dxfId="1012" priority="1519" operator="lessThan">
      <formula>0</formula>
    </cfRule>
  </conditionalFormatting>
  <conditionalFormatting sqref="E1385:E1387">
    <cfRule type="cellIs" dxfId="1011" priority="1517" operator="lessThan">
      <formula>0</formula>
    </cfRule>
  </conditionalFormatting>
  <conditionalFormatting sqref="E1391:E1393">
    <cfRule type="cellIs" dxfId="1010" priority="1515" operator="lessThan">
      <formula>0</formula>
    </cfRule>
  </conditionalFormatting>
  <conditionalFormatting sqref="E1397:E1399">
    <cfRule type="cellIs" dxfId="1009" priority="1513" operator="lessThan">
      <formula>0</formula>
    </cfRule>
  </conditionalFormatting>
  <conditionalFormatting sqref="E1401:E1408">
    <cfRule type="cellIs" dxfId="1008" priority="1511" operator="lessThan">
      <formula>0</formula>
    </cfRule>
  </conditionalFormatting>
  <conditionalFormatting sqref="E1417:E1419">
    <cfRule type="cellIs" dxfId="1007" priority="1509" operator="lessThan">
      <formula>0</formula>
    </cfRule>
  </conditionalFormatting>
  <conditionalFormatting sqref="E1423:E1425">
    <cfRule type="cellIs" dxfId="1006" priority="1507" operator="lessThan">
      <formula>0</formula>
    </cfRule>
  </conditionalFormatting>
  <conditionalFormatting sqref="E1429:E1430">
    <cfRule type="cellIs" dxfId="1005" priority="1505" operator="lessThan">
      <formula>0</formula>
    </cfRule>
  </conditionalFormatting>
  <conditionalFormatting sqref="E1433:E1435">
    <cfRule type="cellIs" dxfId="1004" priority="1503" operator="lessThan">
      <formula>0</formula>
    </cfRule>
  </conditionalFormatting>
  <conditionalFormatting sqref="E1439:E1440">
    <cfRule type="cellIs" dxfId="1003" priority="1501" operator="lessThan">
      <formula>0</formula>
    </cfRule>
  </conditionalFormatting>
  <conditionalFormatting sqref="E1443:E1444">
    <cfRule type="cellIs" dxfId="1002" priority="1499" operator="lessThan">
      <formula>0</formula>
    </cfRule>
  </conditionalFormatting>
  <conditionalFormatting sqref="E1447:E1448">
    <cfRule type="cellIs" dxfId="1001" priority="1497" operator="lessThan">
      <formula>0</formula>
    </cfRule>
  </conditionalFormatting>
  <conditionalFormatting sqref="E1451:E1452">
    <cfRule type="cellIs" dxfId="1000" priority="1495" operator="lessThan">
      <formula>0</formula>
    </cfRule>
  </conditionalFormatting>
  <conditionalFormatting sqref="E1463:E1465">
    <cfRule type="cellIs" dxfId="999" priority="1493" operator="lessThan">
      <formula>0</formula>
    </cfRule>
  </conditionalFormatting>
  <conditionalFormatting sqref="E1469:E1471">
    <cfRule type="cellIs" dxfId="998" priority="1491" operator="lessThan">
      <formula>0</formula>
    </cfRule>
  </conditionalFormatting>
  <conditionalFormatting sqref="E1476:E1477">
    <cfRule type="cellIs" dxfId="997" priority="1489" operator="lessThan">
      <formula>0</formula>
    </cfRule>
  </conditionalFormatting>
  <conditionalFormatting sqref="E1480:E1482">
    <cfRule type="cellIs" dxfId="996" priority="1487" operator="lessThan">
      <formula>0</formula>
    </cfRule>
  </conditionalFormatting>
  <conditionalFormatting sqref="E1486:E1487">
    <cfRule type="cellIs" dxfId="995" priority="1485" operator="lessThan">
      <formula>0</formula>
    </cfRule>
  </conditionalFormatting>
  <conditionalFormatting sqref="E1490:E1492">
    <cfRule type="cellIs" dxfId="994" priority="1483" operator="lessThan">
      <formula>0</formula>
    </cfRule>
  </conditionalFormatting>
  <conditionalFormatting sqref="E1496:E1498">
    <cfRule type="cellIs" dxfId="993" priority="1481" operator="lessThan">
      <formula>0</formula>
    </cfRule>
  </conditionalFormatting>
  <conditionalFormatting sqref="E1503:E1510">
    <cfRule type="cellIs" dxfId="992" priority="1479" operator="lessThan">
      <formula>0</formula>
    </cfRule>
  </conditionalFormatting>
  <conditionalFormatting sqref="E1519:E1521">
    <cfRule type="cellIs" dxfId="991" priority="1477" operator="lessThan">
      <formula>0</formula>
    </cfRule>
  </conditionalFormatting>
  <conditionalFormatting sqref="E1526:E1625">
    <cfRule type="cellIs" dxfId="990" priority="1475" operator="lessThan">
      <formula>0</formula>
    </cfRule>
  </conditionalFormatting>
  <conditionalFormatting sqref="E1626:E1725">
    <cfRule type="cellIs" dxfId="989" priority="1473" operator="lessThan">
      <formula>0</formula>
    </cfRule>
  </conditionalFormatting>
  <conditionalFormatting sqref="E1726:E1728">
    <cfRule type="cellIs" dxfId="988" priority="1471" operator="lessThan">
      <formula>0</formula>
    </cfRule>
  </conditionalFormatting>
  <conditionalFormatting sqref="E1732:E1745">
    <cfRule type="cellIs" dxfId="987" priority="1469" operator="lessThan">
      <formula>0</formula>
    </cfRule>
  </conditionalFormatting>
  <conditionalFormatting sqref="E1761:E1763">
    <cfRule type="cellIs" dxfId="986" priority="1467" operator="lessThan">
      <formula>0</formula>
    </cfRule>
  </conditionalFormatting>
  <conditionalFormatting sqref="E1764">
    <cfRule type="cellIs" dxfId="985" priority="1465" operator="lessThan">
      <formula>0</formula>
    </cfRule>
  </conditionalFormatting>
  <conditionalFormatting sqref="E1769:E1771">
    <cfRule type="cellIs" dxfId="984" priority="1463" operator="lessThan">
      <formula>0</formula>
    </cfRule>
  </conditionalFormatting>
  <conditionalFormatting sqref="E1775:E1776">
    <cfRule type="cellIs" dxfId="983" priority="1461" operator="lessThan">
      <formula>0</formula>
    </cfRule>
  </conditionalFormatting>
  <conditionalFormatting sqref="E1780:E1784">
    <cfRule type="cellIs" dxfId="982" priority="1457" operator="lessThan">
      <formula>0</formula>
    </cfRule>
  </conditionalFormatting>
  <conditionalFormatting sqref="E1790:E1791">
    <cfRule type="cellIs" dxfId="981" priority="1455" operator="lessThan">
      <formula>0</formula>
    </cfRule>
  </conditionalFormatting>
  <conditionalFormatting sqref="E1794:E1796">
    <cfRule type="cellIs" dxfId="980" priority="1449" operator="lessThan">
      <formula>0</formula>
    </cfRule>
  </conditionalFormatting>
  <conditionalFormatting sqref="E1800:E1802">
    <cfRule type="cellIs" dxfId="979" priority="1447" operator="lessThan">
      <formula>0</formula>
    </cfRule>
  </conditionalFormatting>
  <conditionalFormatting sqref="E1806:E1807">
    <cfRule type="cellIs" dxfId="978" priority="1445" operator="lessThan">
      <formula>0</formula>
    </cfRule>
  </conditionalFormatting>
  <conditionalFormatting sqref="E1810:E1811">
    <cfRule type="cellIs" dxfId="977" priority="1443" operator="lessThan">
      <formula>0</formula>
    </cfRule>
  </conditionalFormatting>
  <conditionalFormatting sqref="E1814:E1816">
    <cfRule type="cellIs" dxfId="976" priority="1441" operator="lessThan">
      <formula>0</formula>
    </cfRule>
  </conditionalFormatting>
  <conditionalFormatting sqref="E1820:E1822">
    <cfRule type="cellIs" dxfId="975" priority="1439" operator="lessThan">
      <formula>0</formula>
    </cfRule>
  </conditionalFormatting>
  <conditionalFormatting sqref="E1826:E1828">
    <cfRule type="cellIs" dxfId="974" priority="1437" operator="lessThan">
      <formula>0</formula>
    </cfRule>
  </conditionalFormatting>
  <conditionalFormatting sqref="E1832:E1835">
    <cfRule type="cellIs" dxfId="973" priority="1435" operator="lessThan">
      <formula>0</formula>
    </cfRule>
  </conditionalFormatting>
  <conditionalFormatting sqref="E1840:E1841">
    <cfRule type="cellIs" dxfId="972" priority="1433" operator="lessThan">
      <formula>0</formula>
    </cfRule>
  </conditionalFormatting>
  <conditionalFormatting sqref="E1844:E1846">
    <cfRule type="cellIs" dxfId="971" priority="1431" operator="lessThan">
      <formula>0</formula>
    </cfRule>
  </conditionalFormatting>
  <conditionalFormatting sqref="E1852:E1856">
    <cfRule type="cellIs" dxfId="970" priority="1429" operator="lessThan">
      <formula>0</formula>
    </cfRule>
  </conditionalFormatting>
  <conditionalFormatting sqref="E1862:E1863">
    <cfRule type="cellIs" dxfId="969" priority="1427" operator="lessThan">
      <formula>0</formula>
    </cfRule>
  </conditionalFormatting>
  <conditionalFormatting sqref="E1866:E1869">
    <cfRule type="cellIs" dxfId="968" priority="1425" operator="lessThan">
      <formula>0</formula>
    </cfRule>
  </conditionalFormatting>
  <conditionalFormatting sqref="E1874:E1877">
    <cfRule type="cellIs" dxfId="967" priority="1423" operator="lessThan">
      <formula>0</formula>
    </cfRule>
  </conditionalFormatting>
  <conditionalFormatting sqref="E1882:E1886">
    <cfRule type="cellIs" dxfId="966" priority="1421" operator="lessThan">
      <formula>0</formula>
    </cfRule>
  </conditionalFormatting>
  <conditionalFormatting sqref="E1892:E1893">
    <cfRule type="cellIs" dxfId="965" priority="1419" operator="lessThan">
      <formula>0</formula>
    </cfRule>
  </conditionalFormatting>
  <conditionalFormatting sqref="E1896:E1897">
    <cfRule type="cellIs" dxfId="964" priority="1417" operator="lessThan">
      <formula>0</formula>
    </cfRule>
  </conditionalFormatting>
  <conditionalFormatting sqref="E1900:E1902">
    <cfRule type="cellIs" dxfId="963" priority="1415" operator="lessThan">
      <formula>0</formula>
    </cfRule>
  </conditionalFormatting>
  <conditionalFormatting sqref="E1906:E1911">
    <cfRule type="cellIs" dxfId="962" priority="1413" operator="lessThan">
      <formula>0</formula>
    </cfRule>
  </conditionalFormatting>
  <conditionalFormatting sqref="E1917">
    <cfRule type="cellIs" dxfId="961" priority="1411" operator="lessThan">
      <formula>0</formula>
    </cfRule>
  </conditionalFormatting>
  <conditionalFormatting sqref="E1918:E1921">
    <cfRule type="cellIs" dxfId="960" priority="1409" operator="lessThan">
      <formula>0</formula>
    </cfRule>
  </conditionalFormatting>
  <conditionalFormatting sqref="E1926:E1928">
    <cfRule type="cellIs" dxfId="959" priority="1407" operator="lessThan">
      <formula>0</formula>
    </cfRule>
  </conditionalFormatting>
  <conditionalFormatting sqref="E1932:E1937">
    <cfRule type="cellIs" dxfId="958" priority="1405" operator="lessThan">
      <formula>0</formula>
    </cfRule>
  </conditionalFormatting>
  <conditionalFormatting sqref="E1944:E1948">
    <cfRule type="cellIs" dxfId="957" priority="1403" operator="lessThan">
      <formula>0</formula>
    </cfRule>
  </conditionalFormatting>
  <conditionalFormatting sqref="E1960:E1965">
    <cfRule type="cellIs" dxfId="956" priority="1397" operator="lessThan">
      <formula>0</formula>
    </cfRule>
  </conditionalFormatting>
  <conditionalFormatting sqref="E1954:E1956">
    <cfRule type="cellIs" dxfId="955" priority="1399" operator="lessThan">
      <formula>0</formula>
    </cfRule>
  </conditionalFormatting>
  <conditionalFormatting sqref="E1972">
    <cfRule type="cellIs" dxfId="954" priority="1395" operator="lessThan">
      <formula>0</formula>
    </cfRule>
  </conditionalFormatting>
  <conditionalFormatting sqref="E1973:E1974">
    <cfRule type="cellIs" dxfId="953" priority="1393" operator="lessThan">
      <formula>0</formula>
    </cfRule>
  </conditionalFormatting>
  <conditionalFormatting sqref="E1977:E1984">
    <cfRule type="cellIs" dxfId="952" priority="1391" operator="lessThan">
      <formula>0</formula>
    </cfRule>
  </conditionalFormatting>
  <conditionalFormatting sqref="E1994:E1997">
    <cfRule type="cellIs" dxfId="951" priority="1389" operator="lessThan">
      <formula>0</formula>
    </cfRule>
  </conditionalFormatting>
  <conditionalFormatting sqref="E2002:E2007">
    <cfRule type="cellIs" dxfId="950" priority="1387" operator="lessThan">
      <formula>0</formula>
    </cfRule>
  </conditionalFormatting>
  <conditionalFormatting sqref="E2014:E2016">
    <cfRule type="cellIs" dxfId="949" priority="1385" operator="lessThan">
      <formula>0</formula>
    </cfRule>
  </conditionalFormatting>
  <conditionalFormatting sqref="E2020:E2022">
    <cfRule type="cellIs" dxfId="948" priority="1383" operator="lessThan">
      <formula>0</formula>
    </cfRule>
  </conditionalFormatting>
  <conditionalFormatting sqref="E2026:E2027">
    <cfRule type="cellIs" dxfId="947" priority="1379" operator="lessThan">
      <formula>0</formula>
    </cfRule>
  </conditionalFormatting>
  <conditionalFormatting sqref="E2030:E2032">
    <cfRule type="cellIs" dxfId="946" priority="1377" operator="lessThan">
      <formula>0</formula>
    </cfRule>
  </conditionalFormatting>
  <conditionalFormatting sqref="E2036:E2039">
    <cfRule type="cellIs" dxfId="945" priority="1375" operator="lessThan">
      <formula>0</formula>
    </cfRule>
  </conditionalFormatting>
  <conditionalFormatting sqref="E2048:E2049">
    <cfRule type="cellIs" dxfId="944" priority="1373" operator="lessThan">
      <formula>0</formula>
    </cfRule>
  </conditionalFormatting>
  <conditionalFormatting sqref="E2053:E2054">
    <cfRule type="cellIs" dxfId="943" priority="1371" operator="lessThan">
      <formula>0</formula>
    </cfRule>
  </conditionalFormatting>
  <conditionalFormatting sqref="E2058:E2062">
    <cfRule type="cellIs" dxfId="942" priority="1369" operator="lessThan">
      <formula>0</formula>
    </cfRule>
  </conditionalFormatting>
  <conditionalFormatting sqref="E2068:E2069">
    <cfRule type="cellIs" dxfId="941" priority="1367" operator="lessThan">
      <formula>0</formula>
    </cfRule>
  </conditionalFormatting>
  <conditionalFormatting sqref="E2072:E2079">
    <cfRule type="cellIs" dxfId="940" priority="1365" operator="lessThan">
      <formula>0</formula>
    </cfRule>
  </conditionalFormatting>
  <conditionalFormatting sqref="E2088:E2089">
    <cfRule type="cellIs" dxfId="939" priority="1363" operator="lessThan">
      <formula>0</formula>
    </cfRule>
  </conditionalFormatting>
  <conditionalFormatting sqref="E2092:E2093">
    <cfRule type="cellIs" dxfId="938" priority="1361" operator="lessThan">
      <formula>0</formula>
    </cfRule>
  </conditionalFormatting>
  <conditionalFormatting sqref="E2096:E2099">
    <cfRule type="cellIs" dxfId="937" priority="1359" operator="lessThan">
      <formula>0</formula>
    </cfRule>
  </conditionalFormatting>
  <conditionalFormatting sqref="E2104:E2105">
    <cfRule type="cellIs" dxfId="936" priority="1357" operator="lessThan">
      <formula>0</formula>
    </cfRule>
  </conditionalFormatting>
  <conditionalFormatting sqref="E2108:E2112">
    <cfRule type="cellIs" dxfId="935" priority="1355" operator="lessThan">
      <formula>0</formula>
    </cfRule>
  </conditionalFormatting>
  <conditionalFormatting sqref="E2118:E2119">
    <cfRule type="cellIs" dxfId="934" priority="1353" operator="lessThan">
      <formula>0</formula>
    </cfRule>
  </conditionalFormatting>
  <conditionalFormatting sqref="E2122:E2123">
    <cfRule type="cellIs" dxfId="933" priority="1351" operator="lessThan">
      <formula>0</formula>
    </cfRule>
  </conditionalFormatting>
  <conditionalFormatting sqref="E2129:E2130">
    <cfRule type="cellIs" dxfId="932" priority="1349" operator="lessThan">
      <formula>0</formula>
    </cfRule>
  </conditionalFormatting>
  <conditionalFormatting sqref="E2133">
    <cfRule type="cellIs" dxfId="931" priority="1347" operator="lessThan">
      <formula>0</formula>
    </cfRule>
  </conditionalFormatting>
  <conditionalFormatting sqref="E2135:E2136">
    <cfRule type="cellIs" dxfId="930" priority="1345" operator="lessThan">
      <formula>0</formula>
    </cfRule>
  </conditionalFormatting>
  <conditionalFormatting sqref="E2139:E2140">
    <cfRule type="cellIs" dxfId="929" priority="1343" operator="lessThan">
      <formula>0</formula>
    </cfRule>
  </conditionalFormatting>
  <conditionalFormatting sqref="E2143:E2144">
    <cfRule type="cellIs" dxfId="928" priority="1341" operator="lessThan">
      <formula>0</formula>
    </cfRule>
  </conditionalFormatting>
  <conditionalFormatting sqref="E2147:E2148">
    <cfRule type="cellIs" dxfId="927" priority="1339" operator="lessThan">
      <formula>0</formula>
    </cfRule>
  </conditionalFormatting>
  <conditionalFormatting sqref="E2151:E2152">
    <cfRule type="cellIs" dxfId="926" priority="1337" operator="lessThan">
      <formula>0</formula>
    </cfRule>
  </conditionalFormatting>
  <conditionalFormatting sqref="E2155:E2157">
    <cfRule type="cellIs" dxfId="925" priority="1335" operator="lessThan">
      <formula>0</formula>
    </cfRule>
  </conditionalFormatting>
  <conditionalFormatting sqref="E2161:E2166">
    <cfRule type="cellIs" dxfId="924" priority="1331" operator="lessThan">
      <formula>0</formula>
    </cfRule>
  </conditionalFormatting>
  <conditionalFormatting sqref="E2179:E2181">
    <cfRule type="cellIs" dxfId="923" priority="1327" operator="lessThan">
      <formula>0</formula>
    </cfRule>
  </conditionalFormatting>
  <conditionalFormatting sqref="E2173:E2175">
    <cfRule type="cellIs" dxfId="922" priority="1329" operator="lessThan">
      <formula>0</formula>
    </cfRule>
  </conditionalFormatting>
  <conditionalFormatting sqref="E2185:E2188">
    <cfRule type="cellIs" dxfId="921" priority="1325" operator="lessThan">
      <formula>0</formula>
    </cfRule>
  </conditionalFormatting>
  <conditionalFormatting sqref="E2194:E2195">
    <cfRule type="cellIs" dxfId="920" priority="1323" operator="lessThan">
      <formula>0</formula>
    </cfRule>
  </conditionalFormatting>
  <conditionalFormatting sqref="E2198:E2199">
    <cfRule type="cellIs" dxfId="919" priority="1321" operator="lessThan">
      <formula>0</formula>
    </cfRule>
  </conditionalFormatting>
  <conditionalFormatting sqref="E2207:E2209">
    <cfRule type="cellIs" dxfId="918" priority="1319" operator="lessThan">
      <formula>0</formula>
    </cfRule>
  </conditionalFormatting>
  <conditionalFormatting sqref="E2213:E2215">
    <cfRule type="cellIs" dxfId="917" priority="1317" operator="lessThan">
      <formula>0</formula>
    </cfRule>
  </conditionalFormatting>
  <conditionalFormatting sqref="E2219:E2222">
    <cfRule type="cellIs" dxfId="916" priority="1315" operator="lessThan">
      <formula>0</formula>
    </cfRule>
  </conditionalFormatting>
  <conditionalFormatting sqref="E2227:E2229">
    <cfRule type="cellIs" dxfId="915" priority="1313" operator="lessThan">
      <formula>0</formula>
    </cfRule>
  </conditionalFormatting>
  <conditionalFormatting sqref="E2231:E2232">
    <cfRule type="cellIs" dxfId="914" priority="1311" operator="lessThan">
      <formula>0</formula>
    </cfRule>
  </conditionalFormatting>
  <conditionalFormatting sqref="E2237:E2238">
    <cfRule type="cellIs" dxfId="913" priority="1309" operator="lessThan">
      <formula>0</formula>
    </cfRule>
  </conditionalFormatting>
  <conditionalFormatting sqref="E2241:E2243">
    <cfRule type="cellIs" dxfId="912" priority="1307" operator="lessThan">
      <formula>0</formula>
    </cfRule>
  </conditionalFormatting>
  <conditionalFormatting sqref="E2246:E2248">
    <cfRule type="cellIs" dxfId="911" priority="1305" operator="lessThan">
      <formula>0</formula>
    </cfRule>
  </conditionalFormatting>
  <conditionalFormatting sqref="E2260:E2262">
    <cfRule type="cellIs" dxfId="910" priority="1303" operator="lessThan">
      <formula>0</formula>
    </cfRule>
  </conditionalFormatting>
  <conditionalFormatting sqref="E2266:E2269">
    <cfRule type="cellIs" dxfId="909" priority="1301" operator="lessThan">
      <formula>0</formula>
    </cfRule>
  </conditionalFormatting>
  <conditionalFormatting sqref="E2274">
    <cfRule type="cellIs" dxfId="908" priority="1299" operator="lessThan">
      <formula>0</formula>
    </cfRule>
  </conditionalFormatting>
  <conditionalFormatting sqref="E2276:E2277">
    <cfRule type="cellIs" dxfId="907" priority="1297" operator="lessThan">
      <formula>0</formula>
    </cfRule>
  </conditionalFormatting>
  <conditionalFormatting sqref="E2280:E2282">
    <cfRule type="cellIs" dxfId="906" priority="1295" operator="lessThan">
      <formula>0</formula>
    </cfRule>
  </conditionalFormatting>
  <conditionalFormatting sqref="E2288:E2289">
    <cfRule type="cellIs" dxfId="905" priority="1293" operator="lessThan">
      <formula>0</formula>
    </cfRule>
  </conditionalFormatting>
  <conditionalFormatting sqref="E2292:E2294">
    <cfRule type="cellIs" dxfId="904" priority="1291" operator="lessThan">
      <formula>0</formula>
    </cfRule>
  </conditionalFormatting>
  <conditionalFormatting sqref="E2298:E2301">
    <cfRule type="cellIs" dxfId="903" priority="1289" operator="lessThan">
      <formula>0</formula>
    </cfRule>
  </conditionalFormatting>
  <conditionalFormatting sqref="E2310:E2311">
    <cfRule type="cellIs" dxfId="902" priority="1287" operator="lessThan">
      <formula>0</formula>
    </cfRule>
  </conditionalFormatting>
  <conditionalFormatting sqref="E2314:E2320">
    <cfRule type="cellIs" dxfId="901" priority="1285" operator="lessThan">
      <formula>0</formula>
    </cfRule>
  </conditionalFormatting>
  <conditionalFormatting sqref="E2328:E2330">
    <cfRule type="cellIs" dxfId="900" priority="1283" operator="lessThan">
      <formula>0</formula>
    </cfRule>
  </conditionalFormatting>
  <conditionalFormatting sqref="E2334:E2337">
    <cfRule type="cellIs" dxfId="899" priority="1281" operator="lessThan">
      <formula>0</formula>
    </cfRule>
  </conditionalFormatting>
  <conditionalFormatting sqref="E2342:E2346">
    <cfRule type="cellIs" dxfId="898" priority="1279" operator="lessThan">
      <formula>0</formula>
    </cfRule>
  </conditionalFormatting>
  <conditionalFormatting sqref="E2352:E2355">
    <cfRule type="cellIs" dxfId="897" priority="1277" operator="lessThan">
      <formula>0</formula>
    </cfRule>
  </conditionalFormatting>
  <conditionalFormatting sqref="E2360:E2361">
    <cfRule type="cellIs" dxfId="896" priority="1275" operator="lessThan">
      <formula>0</formula>
    </cfRule>
  </conditionalFormatting>
  <conditionalFormatting sqref="E2362:E2363">
    <cfRule type="cellIs" dxfId="895" priority="1273" operator="lessThan">
      <formula>0</formula>
    </cfRule>
  </conditionalFormatting>
  <conditionalFormatting sqref="E2364:E2365">
    <cfRule type="cellIs" dxfId="894" priority="1271" operator="lessThan">
      <formula>0</formula>
    </cfRule>
  </conditionalFormatting>
  <conditionalFormatting sqref="E2368:E2370">
    <cfRule type="cellIs" dxfId="893" priority="1269" operator="lessThan">
      <formula>0</formula>
    </cfRule>
  </conditionalFormatting>
  <conditionalFormatting sqref="E2371:E2373">
    <cfRule type="cellIs" dxfId="892" priority="1267" operator="lessThan">
      <formula>0</formula>
    </cfRule>
  </conditionalFormatting>
  <conditionalFormatting sqref="E2374:E2382">
    <cfRule type="cellIs" dxfId="891" priority="1263" operator="lessThan">
      <formula>0</formula>
    </cfRule>
  </conditionalFormatting>
  <conditionalFormatting sqref="E2392">
    <cfRule type="cellIs" dxfId="890" priority="1259" operator="lessThan">
      <formula>0</formula>
    </cfRule>
  </conditionalFormatting>
  <conditionalFormatting sqref="E2393:E2394">
    <cfRule type="cellIs" dxfId="889" priority="1261" operator="lessThan">
      <formula>0</formula>
    </cfRule>
  </conditionalFormatting>
  <conditionalFormatting sqref="E2398:E2400">
    <cfRule type="cellIs" dxfId="888" priority="1257" operator="lessThan">
      <formula>0</formula>
    </cfRule>
  </conditionalFormatting>
  <conditionalFormatting sqref="E2404:E2405">
    <cfRule type="cellIs" dxfId="887" priority="1255" operator="lessThan">
      <formula>0</formula>
    </cfRule>
  </conditionalFormatting>
  <conditionalFormatting sqref="E2410:E2411 E2417:E2421 E2425 E2431:E2435">
    <cfRule type="cellIs" dxfId="886" priority="1253" operator="lessThan">
      <formula>0</formula>
    </cfRule>
  </conditionalFormatting>
  <conditionalFormatting sqref="E2408:E2409">
    <cfRule type="cellIs" dxfId="885" priority="1251" operator="lessThan">
      <formula>0</formula>
    </cfRule>
  </conditionalFormatting>
  <conditionalFormatting sqref="E2412:E2416">
    <cfRule type="cellIs" dxfId="884" priority="1249" operator="lessThan">
      <formula>0</formula>
    </cfRule>
  </conditionalFormatting>
  <conditionalFormatting sqref="E2422:E2424">
    <cfRule type="cellIs" dxfId="883" priority="1247" operator="lessThan">
      <formula>0</formula>
    </cfRule>
  </conditionalFormatting>
  <conditionalFormatting sqref="E2426:E2430">
    <cfRule type="cellIs" dxfId="882" priority="1245" operator="lessThan">
      <formula>0</formula>
    </cfRule>
  </conditionalFormatting>
  <conditionalFormatting sqref="E2442:E2444">
    <cfRule type="cellIs" dxfId="881" priority="1243" operator="lessThan">
      <formula>0</formula>
    </cfRule>
  </conditionalFormatting>
  <conditionalFormatting sqref="E2452:E2454">
    <cfRule type="cellIs" dxfId="880" priority="1241" operator="lessThan">
      <formula>0</formula>
    </cfRule>
  </conditionalFormatting>
  <conditionalFormatting sqref="E2458:E2471">
    <cfRule type="cellIs" dxfId="879" priority="1239" operator="lessThan">
      <formula>0</formula>
    </cfRule>
  </conditionalFormatting>
  <conditionalFormatting sqref="E2472:E2476">
    <cfRule type="cellIs" dxfId="878" priority="1237" operator="lessThan">
      <formula>0</formula>
    </cfRule>
  </conditionalFormatting>
  <conditionalFormatting sqref="E2477:E2489">
    <cfRule type="cellIs" dxfId="877" priority="1235" operator="lessThan">
      <formula>0</formula>
    </cfRule>
  </conditionalFormatting>
  <conditionalFormatting sqref="E2490:E2495">
    <cfRule type="cellIs" dxfId="876" priority="1233" operator="lessThan">
      <formula>0</formula>
    </cfRule>
  </conditionalFormatting>
  <conditionalFormatting sqref="E2502:E2503">
    <cfRule type="cellIs" dxfId="875" priority="1231" operator="lessThan">
      <formula>0</formula>
    </cfRule>
  </conditionalFormatting>
  <conditionalFormatting sqref="E2506:E2507">
    <cfRule type="cellIs" dxfId="874" priority="1227" operator="lessThan">
      <formula>0</formula>
    </cfRule>
  </conditionalFormatting>
  <conditionalFormatting sqref="E2510:E2511">
    <cfRule type="cellIs" dxfId="873" priority="1225" operator="lessThan">
      <formula>0</formula>
    </cfRule>
  </conditionalFormatting>
  <conditionalFormatting sqref="E2514:E2515">
    <cfRule type="cellIs" dxfId="872" priority="1223" operator="lessThan">
      <formula>0</formula>
    </cfRule>
  </conditionalFormatting>
  <conditionalFormatting sqref="E2518:E2519">
    <cfRule type="cellIs" dxfId="871" priority="1221" operator="lessThan">
      <formula>0</formula>
    </cfRule>
  </conditionalFormatting>
  <conditionalFormatting sqref="E2525:E2526">
    <cfRule type="cellIs" dxfId="870" priority="1219" operator="lessThan">
      <formula>0</formula>
    </cfRule>
  </conditionalFormatting>
  <conditionalFormatting sqref="E2553">
    <cfRule type="cellIs" dxfId="869" priority="1204" operator="lessThan">
      <formula>0</formula>
    </cfRule>
  </conditionalFormatting>
  <conditionalFormatting sqref="E2529:E2531">
    <cfRule type="cellIs" dxfId="868" priority="1215" operator="lessThan">
      <formula>0</formula>
    </cfRule>
  </conditionalFormatting>
  <conditionalFormatting sqref="E2535:E2538">
    <cfRule type="cellIs" dxfId="867" priority="1212" operator="lessThan">
      <formula>0</formula>
    </cfRule>
  </conditionalFormatting>
  <conditionalFormatting sqref="E2541:E2543">
    <cfRule type="cellIs" dxfId="866" priority="1210" operator="lessThan">
      <formula>0</formula>
    </cfRule>
  </conditionalFormatting>
  <conditionalFormatting sqref="E2547:E2549">
    <cfRule type="cellIs" dxfId="865" priority="1208" operator="lessThan">
      <formula>0</formula>
    </cfRule>
  </conditionalFormatting>
  <conditionalFormatting sqref="E2554:E2555">
    <cfRule type="cellIs" dxfId="864" priority="1206" operator="lessThan">
      <formula>0</formula>
    </cfRule>
  </conditionalFormatting>
  <conditionalFormatting sqref="E2561:E2562 E2565:E2566 E2570:E2572 E2575:E2576 E2579:E2580 E2583:E2584">
    <cfRule type="cellIs" dxfId="863" priority="1202" operator="lessThan">
      <formula>0</formula>
    </cfRule>
  </conditionalFormatting>
  <conditionalFormatting sqref="E2560">
    <cfRule type="cellIs" dxfId="862" priority="1200" operator="lessThan">
      <formula>0</formula>
    </cfRule>
  </conditionalFormatting>
  <conditionalFormatting sqref="E2563:E2564">
    <cfRule type="cellIs" dxfId="861" priority="1198" operator="lessThan">
      <formula>0</formula>
    </cfRule>
  </conditionalFormatting>
  <conditionalFormatting sqref="E2567:E2569">
    <cfRule type="cellIs" dxfId="860" priority="1196" operator="lessThan">
      <formula>0</formula>
    </cfRule>
  </conditionalFormatting>
  <conditionalFormatting sqref="E2573:E2574">
    <cfRule type="cellIs" dxfId="859" priority="1194" operator="lessThan">
      <formula>0</formula>
    </cfRule>
  </conditionalFormatting>
  <conditionalFormatting sqref="E2577:E2578">
    <cfRule type="cellIs" dxfId="858" priority="1192" operator="lessThan">
      <formula>0</formula>
    </cfRule>
  </conditionalFormatting>
  <conditionalFormatting sqref="E2581:E2582">
    <cfRule type="cellIs" dxfId="857" priority="1190" operator="lessThan">
      <formula>0</formula>
    </cfRule>
  </conditionalFormatting>
  <conditionalFormatting sqref="E2585:E2587">
    <cfRule type="cellIs" dxfId="856" priority="1188" operator="lessThan">
      <formula>0</formula>
    </cfRule>
  </conditionalFormatting>
  <conditionalFormatting sqref="E2591:E2592">
    <cfRule type="cellIs" dxfId="855" priority="1186" operator="lessThan">
      <formula>0</formula>
    </cfRule>
  </conditionalFormatting>
  <conditionalFormatting sqref="E2596">
    <cfRule type="cellIs" dxfId="854" priority="1184" operator="lessThan">
      <formula>0</formula>
    </cfRule>
  </conditionalFormatting>
  <conditionalFormatting sqref="E2597:E2599">
    <cfRule type="cellIs" dxfId="853" priority="1182" operator="lessThan">
      <formula>0</formula>
    </cfRule>
  </conditionalFormatting>
  <conditionalFormatting sqref="E2603:E2605">
    <cfRule type="cellIs" dxfId="852" priority="1180" operator="lessThan">
      <formula>0</formula>
    </cfRule>
  </conditionalFormatting>
  <conditionalFormatting sqref="E2609:E2610">
    <cfRule type="cellIs" dxfId="851" priority="1178" operator="lessThan">
      <formula>0</formula>
    </cfRule>
  </conditionalFormatting>
  <conditionalFormatting sqref="E2613:E2614">
    <cfRule type="cellIs" dxfId="850" priority="1176" operator="lessThan">
      <formula>0</formula>
    </cfRule>
  </conditionalFormatting>
  <conditionalFormatting sqref="E2617:E2623">
    <cfRule type="cellIs" dxfId="849" priority="1174" operator="lessThan">
      <formula>0</formula>
    </cfRule>
  </conditionalFormatting>
  <conditionalFormatting sqref="E2631:E2633">
    <cfRule type="cellIs" dxfId="848" priority="1172" operator="lessThan">
      <formula>0</formula>
    </cfRule>
  </conditionalFormatting>
  <conditionalFormatting sqref="E2637:E2638">
    <cfRule type="cellIs" dxfId="847" priority="1170" operator="lessThan">
      <formula>0</formula>
    </cfRule>
  </conditionalFormatting>
  <conditionalFormatting sqref="E2641:E2642">
    <cfRule type="cellIs" dxfId="846" priority="1168" operator="lessThan">
      <formula>0</formula>
    </cfRule>
  </conditionalFormatting>
  <conditionalFormatting sqref="E2645:E2647">
    <cfRule type="cellIs" dxfId="845" priority="1166" operator="lessThan">
      <formula>0</formula>
    </cfRule>
  </conditionalFormatting>
  <conditionalFormatting sqref="E2651:E2652">
    <cfRule type="cellIs" dxfId="844" priority="1164" operator="lessThan">
      <formula>0</formula>
    </cfRule>
  </conditionalFormatting>
  <conditionalFormatting sqref="E2655:E2658">
    <cfRule type="cellIs" dxfId="843" priority="1162" operator="lessThan">
      <formula>0</formula>
    </cfRule>
  </conditionalFormatting>
  <conditionalFormatting sqref="E2663:E2665">
    <cfRule type="cellIs" dxfId="842" priority="1160" operator="lessThan">
      <formula>0</formula>
    </cfRule>
  </conditionalFormatting>
  <conditionalFormatting sqref="E2669:E2670">
    <cfRule type="cellIs" dxfId="841" priority="1158" operator="lessThan">
      <formula>0</formula>
    </cfRule>
  </conditionalFormatting>
  <conditionalFormatting sqref="E2673:E2674">
    <cfRule type="cellIs" dxfId="840" priority="1156" operator="lessThan">
      <formula>0</formula>
    </cfRule>
  </conditionalFormatting>
  <conditionalFormatting sqref="E2677:E2678">
    <cfRule type="cellIs" dxfId="839" priority="1154" operator="lessThan">
      <formula>0</formula>
    </cfRule>
  </conditionalFormatting>
  <conditionalFormatting sqref="E2681:E2683">
    <cfRule type="cellIs" dxfId="838" priority="1152" operator="lessThan">
      <formula>0</formula>
    </cfRule>
  </conditionalFormatting>
  <conditionalFormatting sqref="E2687:E2688">
    <cfRule type="cellIs" dxfId="837" priority="1150" operator="lessThan">
      <formula>0</formula>
    </cfRule>
  </conditionalFormatting>
  <conditionalFormatting sqref="E2691:E2692">
    <cfRule type="cellIs" dxfId="836" priority="1148" operator="lessThan">
      <formula>0</formula>
    </cfRule>
  </conditionalFormatting>
  <conditionalFormatting sqref="E2695:E2696">
    <cfRule type="cellIs" dxfId="835" priority="1146" operator="lessThan">
      <formula>0</formula>
    </cfRule>
  </conditionalFormatting>
  <conditionalFormatting sqref="E2699:E2700">
    <cfRule type="cellIs" dxfId="834" priority="1144" operator="lessThan">
      <formula>0</formula>
    </cfRule>
  </conditionalFormatting>
  <conditionalFormatting sqref="E2706:E2708 E2711:E2712 E2716 E2719:E2720 E2723:E2724">
    <cfRule type="cellIs" dxfId="833" priority="1142" operator="lessThan">
      <formula>0</formula>
    </cfRule>
  </conditionalFormatting>
  <conditionalFormatting sqref="E2703:E2705">
    <cfRule type="cellIs" dxfId="832" priority="1140" operator="lessThan">
      <formula>0</formula>
    </cfRule>
  </conditionalFormatting>
  <conditionalFormatting sqref="E2709:E2710">
    <cfRule type="cellIs" dxfId="831" priority="1138" operator="lessThan">
      <formula>0</formula>
    </cfRule>
  </conditionalFormatting>
  <conditionalFormatting sqref="E2713:E2715">
    <cfRule type="cellIs" dxfId="830" priority="1136" operator="lessThan">
      <formula>0</formula>
    </cfRule>
  </conditionalFormatting>
  <conditionalFormatting sqref="E2717:E2718">
    <cfRule type="cellIs" dxfId="829" priority="1134" operator="lessThan">
      <formula>0</formula>
    </cfRule>
  </conditionalFormatting>
  <conditionalFormatting sqref="E2721:E2722">
    <cfRule type="cellIs" dxfId="828" priority="1132" operator="lessThan">
      <formula>0</formula>
    </cfRule>
  </conditionalFormatting>
  <conditionalFormatting sqref="E2725:E2731">
    <cfRule type="cellIs" dxfId="827" priority="1130" operator="lessThan">
      <formula>0</formula>
    </cfRule>
  </conditionalFormatting>
  <conditionalFormatting sqref="E2739:E2740">
    <cfRule type="cellIs" dxfId="826" priority="1128" operator="lessThan">
      <formula>0</formula>
    </cfRule>
  </conditionalFormatting>
  <conditionalFormatting sqref="E2743:E2746">
    <cfRule type="cellIs" dxfId="825" priority="1126" operator="lessThan">
      <formula>0</formula>
    </cfRule>
  </conditionalFormatting>
  <conditionalFormatting sqref="E2751:E2753">
    <cfRule type="cellIs" dxfId="824" priority="1124" operator="lessThan">
      <formula>0</formula>
    </cfRule>
  </conditionalFormatting>
  <conditionalFormatting sqref="E2757:E2760">
    <cfRule type="cellIs" dxfId="823" priority="1122" operator="lessThan">
      <formula>0</formula>
    </cfRule>
  </conditionalFormatting>
  <conditionalFormatting sqref="E2764:E2766">
    <cfRule type="cellIs" dxfId="822" priority="1120" operator="lessThan">
      <formula>0</formula>
    </cfRule>
  </conditionalFormatting>
  <conditionalFormatting sqref="E2763">
    <cfRule type="cellIs" dxfId="821" priority="1118" operator="lessThan">
      <formula>0</formula>
    </cfRule>
  </conditionalFormatting>
  <conditionalFormatting sqref="E2795:E2796">
    <cfRule type="cellIs" dxfId="820" priority="1106" operator="lessThan">
      <formula>0</formula>
    </cfRule>
  </conditionalFormatting>
  <conditionalFormatting sqref="E2771:E2774">
    <cfRule type="cellIs" dxfId="819" priority="1114" operator="lessThan">
      <formula>0</formula>
    </cfRule>
  </conditionalFormatting>
  <conditionalFormatting sqref="E2779:E2780">
    <cfRule type="cellIs" dxfId="818" priority="1112" operator="lessThan">
      <formula>0</formula>
    </cfRule>
  </conditionalFormatting>
  <conditionalFormatting sqref="E2783:E2784">
    <cfRule type="cellIs" dxfId="817" priority="1110" operator="lessThan">
      <formula>0</formula>
    </cfRule>
  </conditionalFormatting>
  <conditionalFormatting sqref="E2787:E2790">
    <cfRule type="cellIs" dxfId="816" priority="1108" operator="lessThan">
      <formula>0</formula>
    </cfRule>
  </conditionalFormatting>
  <conditionalFormatting sqref="E2799:E2801">
    <cfRule type="cellIs" dxfId="815" priority="1104" operator="lessThan">
      <formula>0</formula>
    </cfRule>
  </conditionalFormatting>
  <conditionalFormatting sqref="E2805:E2806">
    <cfRule type="cellIs" dxfId="814" priority="1102" operator="lessThan">
      <formula>0</formula>
    </cfRule>
  </conditionalFormatting>
  <conditionalFormatting sqref="E2809:E2810">
    <cfRule type="cellIs" dxfId="813" priority="1100" operator="lessThan">
      <formula>0</formula>
    </cfRule>
  </conditionalFormatting>
  <conditionalFormatting sqref="E2813:E2814">
    <cfRule type="cellIs" dxfId="812" priority="1098" operator="lessThan">
      <formula>0</formula>
    </cfRule>
  </conditionalFormatting>
  <conditionalFormatting sqref="E2817:E2818">
    <cfRule type="cellIs" dxfId="811" priority="1096" operator="lessThan">
      <formula>0</formula>
    </cfRule>
  </conditionalFormatting>
  <conditionalFormatting sqref="E2821:E2822">
    <cfRule type="cellIs" dxfId="810" priority="1094" operator="lessThan">
      <formula>0</formula>
    </cfRule>
  </conditionalFormatting>
  <conditionalFormatting sqref="E2823">
    <cfRule type="cellIs" dxfId="809" priority="1092" operator="lessThan">
      <formula>0</formula>
    </cfRule>
  </conditionalFormatting>
  <conditionalFormatting sqref="E2827:E2829">
    <cfRule type="cellIs" dxfId="808" priority="1090" operator="lessThan">
      <formula>0</formula>
    </cfRule>
  </conditionalFormatting>
  <conditionalFormatting sqref="E2834:E2835">
    <cfRule type="cellIs" dxfId="807" priority="1088" operator="lessThan">
      <formula>0</formula>
    </cfRule>
  </conditionalFormatting>
  <conditionalFormatting sqref="E2838:E2839">
    <cfRule type="cellIs" dxfId="806" priority="1086" operator="lessThan">
      <formula>0</formula>
    </cfRule>
  </conditionalFormatting>
  <conditionalFormatting sqref="E2842:E2843">
    <cfRule type="cellIs" dxfId="805" priority="1084" operator="lessThan">
      <formula>0</formula>
    </cfRule>
  </conditionalFormatting>
  <conditionalFormatting sqref="E2846:E2854">
    <cfRule type="cellIs" dxfId="804" priority="1082" operator="lessThan">
      <formula>0</formula>
    </cfRule>
  </conditionalFormatting>
  <conditionalFormatting sqref="E2864:E2910">
    <cfRule type="cellIs" dxfId="803" priority="1080" operator="lessThan">
      <formula>0</formula>
    </cfRule>
  </conditionalFormatting>
  <conditionalFormatting sqref="E2958:E2960">
    <cfRule type="cellIs" dxfId="802" priority="1078" operator="lessThan">
      <formula>0</formula>
    </cfRule>
  </conditionalFormatting>
  <conditionalFormatting sqref="E2964:E2965">
    <cfRule type="cellIs" dxfId="801" priority="1076" operator="lessThan">
      <formula>0</formula>
    </cfRule>
  </conditionalFormatting>
  <conditionalFormatting sqref="E2968:E2969">
    <cfRule type="cellIs" dxfId="800" priority="1074" operator="lessThan">
      <formula>0</formula>
    </cfRule>
  </conditionalFormatting>
  <conditionalFormatting sqref="E2975:E2981 E2985:E2991 E2994:E2995">
    <cfRule type="cellIs" dxfId="799" priority="1072" operator="lessThan">
      <formula>0</formula>
    </cfRule>
  </conditionalFormatting>
  <conditionalFormatting sqref="E2972:E2974">
    <cfRule type="cellIs" dxfId="798" priority="1070" operator="lessThan">
      <formula>0</formula>
    </cfRule>
  </conditionalFormatting>
  <conditionalFormatting sqref="E2982:E2984">
    <cfRule type="cellIs" dxfId="797" priority="1068" operator="lessThan">
      <formula>0</formula>
    </cfRule>
  </conditionalFormatting>
  <conditionalFormatting sqref="E2992:E2993">
    <cfRule type="cellIs" dxfId="796" priority="1066" operator="lessThan">
      <formula>0</formula>
    </cfRule>
  </conditionalFormatting>
  <conditionalFormatting sqref="E3000:E3001">
    <cfRule type="cellIs" dxfId="795" priority="1064" operator="lessThan">
      <formula>0</formula>
    </cfRule>
  </conditionalFormatting>
  <conditionalFormatting sqref="E3020:E3023">
    <cfRule type="cellIs" dxfId="794" priority="1062" operator="lessThan">
      <formula>0</formula>
    </cfRule>
  </conditionalFormatting>
  <conditionalFormatting sqref="E3028:E3029">
    <cfRule type="cellIs" dxfId="793" priority="1060" operator="lessThan">
      <formula>0</formula>
    </cfRule>
  </conditionalFormatting>
  <conditionalFormatting sqref="E3040:E3041">
    <cfRule type="cellIs" dxfId="792" priority="1058" operator="lessThan">
      <formula>0</formula>
    </cfRule>
  </conditionalFormatting>
  <conditionalFormatting sqref="E3044:E3047">
    <cfRule type="cellIs" dxfId="791" priority="1056" operator="lessThan">
      <formula>0</formula>
    </cfRule>
  </conditionalFormatting>
  <conditionalFormatting sqref="E3052:E3055">
    <cfRule type="cellIs" dxfId="790" priority="1054" operator="lessThan">
      <formula>0</formula>
    </cfRule>
  </conditionalFormatting>
  <conditionalFormatting sqref="E3060:E3061">
    <cfRule type="cellIs" dxfId="789" priority="1052" operator="lessThan">
      <formula>0</formula>
    </cfRule>
  </conditionalFormatting>
  <conditionalFormatting sqref="E3064:E3065">
    <cfRule type="cellIs" dxfId="788" priority="1050" operator="lessThan">
      <formula>0</formula>
    </cfRule>
  </conditionalFormatting>
  <conditionalFormatting sqref="E3078:E3083">
    <cfRule type="cellIs" dxfId="787" priority="1048" operator="lessThan">
      <formula>0</formula>
    </cfRule>
  </conditionalFormatting>
  <conditionalFormatting sqref="E3090:E3094">
    <cfRule type="cellIs" dxfId="786" priority="1046" operator="lessThan">
      <formula>0</formula>
    </cfRule>
  </conditionalFormatting>
  <conditionalFormatting sqref="E3095">
    <cfRule type="cellIs" dxfId="785" priority="1044" operator="lessThan">
      <formula>0</formula>
    </cfRule>
  </conditionalFormatting>
  <conditionalFormatting sqref="E3107:E3110">
    <cfRule type="cellIs" dxfId="784" priority="1042" operator="lessThan">
      <formula>0</formula>
    </cfRule>
  </conditionalFormatting>
  <conditionalFormatting sqref="E3113:E3115">
    <cfRule type="cellIs" dxfId="783" priority="1040" operator="lessThan">
      <formula>0</formula>
    </cfRule>
  </conditionalFormatting>
  <conditionalFormatting sqref="E3127:E3132">
    <cfRule type="cellIs" dxfId="782" priority="1038" operator="lessThan">
      <formula>0</formula>
    </cfRule>
  </conditionalFormatting>
  <conditionalFormatting sqref="E3139:E3141">
    <cfRule type="cellIs" dxfId="781" priority="1036" operator="lessThan">
      <formula>0</formula>
    </cfRule>
  </conditionalFormatting>
  <conditionalFormatting sqref="E3143:E3144">
    <cfRule type="cellIs" dxfId="780" priority="1034" operator="lessThan">
      <formula>0</formula>
    </cfRule>
  </conditionalFormatting>
  <conditionalFormatting sqref="E3147:E3149">
    <cfRule type="cellIs" dxfId="779" priority="1032" operator="lessThan">
      <formula>0</formula>
    </cfRule>
  </conditionalFormatting>
  <conditionalFormatting sqref="E3157:E3160">
    <cfRule type="cellIs" dxfId="778" priority="1030" operator="lessThan">
      <formula>0</formula>
    </cfRule>
  </conditionalFormatting>
  <conditionalFormatting sqref="E3165:E3166">
    <cfRule type="cellIs" dxfId="777" priority="1028" operator="lessThan">
      <formula>0</formula>
    </cfRule>
  </conditionalFormatting>
  <conditionalFormatting sqref="E3169:E3171">
    <cfRule type="cellIs" dxfId="776" priority="1026" operator="lessThan">
      <formula>0</formula>
    </cfRule>
  </conditionalFormatting>
  <conditionalFormatting sqref="E3175:E3177">
    <cfRule type="cellIs" dxfId="775" priority="1024" operator="lessThan">
      <formula>0</formula>
    </cfRule>
  </conditionalFormatting>
  <conditionalFormatting sqref="E3181:E3182">
    <cfRule type="cellIs" dxfId="774" priority="1022" operator="lessThan">
      <formula>0</formula>
    </cfRule>
  </conditionalFormatting>
  <conditionalFormatting sqref="E3189:E3190">
    <cfRule type="cellIs" dxfId="773" priority="1020" operator="lessThan">
      <formula>0</formula>
    </cfRule>
  </conditionalFormatting>
  <conditionalFormatting sqref="E3193:E3197">
    <cfRule type="cellIs" dxfId="772" priority="1018" operator="lessThan">
      <formula>0</formula>
    </cfRule>
  </conditionalFormatting>
  <conditionalFormatting sqref="E3204:E3206">
    <cfRule type="cellIs" dxfId="771" priority="1016" operator="lessThan">
      <formula>0</formula>
    </cfRule>
  </conditionalFormatting>
  <conditionalFormatting sqref="E3214:E3221 E3224:E3225 E3247:E3277">
    <cfRule type="cellIs" dxfId="770" priority="1014" operator="lessThan">
      <formula>0</formula>
    </cfRule>
  </conditionalFormatting>
  <conditionalFormatting sqref="E3210:E3213">
    <cfRule type="cellIs" dxfId="769" priority="1012" operator="lessThan">
      <formula>0</formula>
    </cfRule>
  </conditionalFormatting>
  <conditionalFormatting sqref="E3222:E3223">
    <cfRule type="cellIs" dxfId="768" priority="1010" operator="lessThan">
      <formula>0</formula>
    </cfRule>
  </conditionalFormatting>
  <conditionalFormatting sqref="E3226:E3246">
    <cfRule type="cellIs" dxfId="767" priority="1008" operator="lessThan">
      <formula>0</formula>
    </cfRule>
  </conditionalFormatting>
  <conditionalFormatting sqref="E3279:E3280">
    <cfRule type="cellIs" dxfId="766" priority="1006" operator="lessThan">
      <formula>0</formula>
    </cfRule>
  </conditionalFormatting>
  <conditionalFormatting sqref="E3285:E3289">
    <cfRule type="cellIs" dxfId="765" priority="1004" operator="lessThan">
      <formula>0</formula>
    </cfRule>
  </conditionalFormatting>
  <conditionalFormatting sqref="E3290:E3295">
    <cfRule type="cellIs" dxfId="764" priority="1002" operator="lessThan">
      <formula>0</formula>
    </cfRule>
  </conditionalFormatting>
  <conditionalFormatting sqref="E3296:E3298">
    <cfRule type="cellIs" dxfId="763" priority="1000" operator="lessThan">
      <formula>0</formula>
    </cfRule>
  </conditionalFormatting>
  <conditionalFormatting sqref="E3306:E3308">
    <cfRule type="cellIs" dxfId="762" priority="998" operator="lessThan">
      <formula>0</formula>
    </cfRule>
  </conditionalFormatting>
  <conditionalFormatting sqref="E3312:E3315">
    <cfRule type="cellIs" dxfId="761" priority="996" operator="lessThan">
      <formula>0</formula>
    </cfRule>
  </conditionalFormatting>
  <conditionalFormatting sqref="E3324:E3328">
    <cfRule type="cellIs" dxfId="760" priority="994" operator="lessThan">
      <formula>0</formula>
    </cfRule>
  </conditionalFormatting>
  <conditionalFormatting sqref="E3338:E3339">
    <cfRule type="cellIs" dxfId="759" priority="992" operator="lessThan">
      <formula>0</formula>
    </cfRule>
  </conditionalFormatting>
  <conditionalFormatting sqref="E3370:E3434">
    <cfRule type="cellIs" dxfId="758" priority="990" operator="lessThan">
      <formula>0</formula>
    </cfRule>
  </conditionalFormatting>
  <conditionalFormatting sqref="E3504:E3507">
    <cfRule type="cellIs" dxfId="757" priority="988" operator="lessThan">
      <formula>0</formula>
    </cfRule>
  </conditionalFormatting>
  <conditionalFormatting sqref="E3516:E3519">
    <cfRule type="cellIs" dxfId="756" priority="986" operator="lessThan">
      <formula>0</formula>
    </cfRule>
  </conditionalFormatting>
  <conditionalFormatting sqref="E3525:E3527">
    <cfRule type="cellIs" dxfId="755" priority="984" operator="lessThan">
      <formula>0</formula>
    </cfRule>
  </conditionalFormatting>
  <conditionalFormatting sqref="E3530:E3531">
    <cfRule type="cellIs" dxfId="754" priority="982" operator="lessThan">
      <formula>0</formula>
    </cfRule>
  </conditionalFormatting>
  <conditionalFormatting sqref="E3534:E3535">
    <cfRule type="cellIs" dxfId="753" priority="980" operator="lessThan">
      <formula>0</formula>
    </cfRule>
  </conditionalFormatting>
  <conditionalFormatting sqref="E3539:E3540">
    <cfRule type="cellIs" dxfId="752" priority="978" operator="lessThan">
      <formula>0</formula>
    </cfRule>
  </conditionalFormatting>
  <conditionalFormatting sqref="E3538">
    <cfRule type="cellIs" dxfId="751" priority="976" operator="lessThan">
      <formula>0</formula>
    </cfRule>
  </conditionalFormatting>
  <conditionalFormatting sqref="E3548:E3551">
    <cfRule type="cellIs" dxfId="750" priority="974" operator="lessThan">
      <formula>0</formula>
    </cfRule>
  </conditionalFormatting>
  <conditionalFormatting sqref="E3556:E3560">
    <cfRule type="cellIs" dxfId="749" priority="972" operator="lessThan">
      <formula>0</formula>
    </cfRule>
  </conditionalFormatting>
  <conditionalFormatting sqref="E3570:E3571">
    <cfRule type="cellIs" dxfId="748" priority="970" operator="lessThan">
      <formula>0</formula>
    </cfRule>
  </conditionalFormatting>
  <conditionalFormatting sqref="E3573:E3575">
    <cfRule type="cellIs" dxfId="747" priority="964" operator="lessThan">
      <formula>0</formula>
    </cfRule>
  </conditionalFormatting>
  <conditionalFormatting sqref="E3572">
    <cfRule type="cellIs" dxfId="746" priority="966" operator="lessThan">
      <formula>0</formula>
    </cfRule>
  </conditionalFormatting>
  <conditionalFormatting sqref="E3580:E3583">
    <cfRule type="cellIs" dxfId="745" priority="962" operator="lessThan">
      <formula>0</formula>
    </cfRule>
  </conditionalFormatting>
  <conditionalFormatting sqref="E3588:E3589">
    <cfRule type="cellIs" dxfId="744" priority="960" operator="lessThan">
      <formula>0</formula>
    </cfRule>
  </conditionalFormatting>
  <conditionalFormatting sqref="E3600:E3604">
    <cfRule type="cellIs" dxfId="743" priority="958" operator="lessThan">
      <formula>0</formula>
    </cfRule>
  </conditionalFormatting>
  <conditionalFormatting sqref="E3610:E3613">
    <cfRule type="cellIs" dxfId="742" priority="956" operator="lessThan">
      <formula>0</formula>
    </cfRule>
  </conditionalFormatting>
  <conditionalFormatting sqref="E3618:E3622">
    <cfRule type="cellIs" dxfId="741" priority="954" operator="lessThan">
      <formula>0</formula>
    </cfRule>
  </conditionalFormatting>
  <conditionalFormatting sqref="E3628:E3630">
    <cfRule type="cellIs" dxfId="740" priority="952" operator="lessThan">
      <formula>0</formula>
    </cfRule>
  </conditionalFormatting>
  <conditionalFormatting sqref="E3634:E3636">
    <cfRule type="cellIs" dxfId="739" priority="950" operator="lessThan">
      <formula>0</formula>
    </cfRule>
  </conditionalFormatting>
  <conditionalFormatting sqref="E3648:E3650">
    <cfRule type="cellIs" dxfId="738" priority="948" operator="lessThan">
      <formula>0</formula>
    </cfRule>
  </conditionalFormatting>
  <conditionalFormatting sqref="E3662:E3664">
    <cfRule type="cellIs" dxfId="737" priority="946" operator="lessThan">
      <formula>0</formula>
    </cfRule>
  </conditionalFormatting>
  <conditionalFormatting sqref="E3667:E3680">
    <cfRule type="cellIs" dxfId="736" priority="944" operator="lessThan">
      <formula>0</formula>
    </cfRule>
  </conditionalFormatting>
  <conditionalFormatting sqref="E3732:E3740">
    <cfRule type="cellIs" dxfId="735" priority="940" operator="lessThan">
      <formula>0</formula>
    </cfRule>
  </conditionalFormatting>
  <conditionalFormatting sqref="E3741:E3845">
    <cfRule type="cellIs" dxfId="734" priority="942" operator="lessThan">
      <formula>0</formula>
    </cfRule>
  </conditionalFormatting>
  <conditionalFormatting sqref="E3858:E3860">
    <cfRule type="cellIs" dxfId="733" priority="936" operator="lessThan">
      <formula>0</formula>
    </cfRule>
  </conditionalFormatting>
  <conditionalFormatting sqref="E3861:E3863">
    <cfRule type="cellIs" dxfId="732" priority="930" operator="lessThan">
      <formula>0</formula>
    </cfRule>
  </conditionalFormatting>
  <conditionalFormatting sqref="E3864:E3867">
    <cfRule type="cellIs" dxfId="731" priority="928" operator="lessThan">
      <formula>0</formula>
    </cfRule>
  </conditionalFormatting>
  <conditionalFormatting sqref="E3868:E3869">
    <cfRule type="cellIs" dxfId="730" priority="926" operator="lessThan">
      <formula>0</formula>
    </cfRule>
  </conditionalFormatting>
  <conditionalFormatting sqref="E3870:E3873">
    <cfRule type="cellIs" dxfId="729" priority="924" operator="lessThan">
      <formula>0</formula>
    </cfRule>
  </conditionalFormatting>
  <conditionalFormatting sqref="E3874:E3881 E3901:E3902">
    <cfRule type="cellIs" dxfId="728" priority="922" operator="lessThan">
      <formula>0</formula>
    </cfRule>
  </conditionalFormatting>
  <conditionalFormatting sqref="E3882:E3889">
    <cfRule type="cellIs" dxfId="727" priority="920" operator="lessThan">
      <formula>0</formula>
    </cfRule>
  </conditionalFormatting>
  <conditionalFormatting sqref="E3890:E3893">
    <cfRule type="cellIs" dxfId="726" priority="918" operator="lessThan">
      <formula>0</formula>
    </cfRule>
  </conditionalFormatting>
  <conditionalFormatting sqref="E3894:E3900">
    <cfRule type="cellIs" dxfId="725" priority="916" operator="lessThan">
      <formula>0</formula>
    </cfRule>
  </conditionalFormatting>
  <conditionalFormatting sqref="E3980:E3986">
    <cfRule type="cellIs" dxfId="724" priority="914" operator="lessThan">
      <formula>0</formula>
    </cfRule>
  </conditionalFormatting>
  <conditionalFormatting sqref="E3987:E3999">
    <cfRule type="cellIs" dxfId="723" priority="912" operator="lessThan">
      <formula>0</formula>
    </cfRule>
  </conditionalFormatting>
  <conditionalFormatting sqref="E4000:E4004">
    <cfRule type="cellIs" dxfId="722" priority="910" operator="lessThan">
      <formula>0</formula>
    </cfRule>
  </conditionalFormatting>
  <conditionalFormatting sqref="E4010:E4040">
    <cfRule type="cellIs" dxfId="721" priority="904" operator="lessThan">
      <formula>0</formula>
    </cfRule>
  </conditionalFormatting>
  <conditionalFormatting sqref="E4041:E4054">
    <cfRule type="cellIs" dxfId="720" priority="902" operator="lessThan">
      <formula>0</formula>
    </cfRule>
  </conditionalFormatting>
  <conditionalFormatting sqref="E4055:E4060">
    <cfRule type="cellIs" dxfId="719" priority="900" operator="lessThan">
      <formula>0</formula>
    </cfRule>
  </conditionalFormatting>
  <conditionalFormatting sqref="E4061:E4067">
    <cfRule type="cellIs" dxfId="718" priority="898" operator="lessThan">
      <formula>0</formula>
    </cfRule>
  </conditionalFormatting>
  <conditionalFormatting sqref="E4068:E4072">
    <cfRule type="cellIs" dxfId="717" priority="896" operator="lessThan">
      <formula>0</formula>
    </cfRule>
  </conditionalFormatting>
  <conditionalFormatting sqref="E4073:E4078">
    <cfRule type="cellIs" dxfId="716" priority="894" operator="lessThan">
      <formula>0</formula>
    </cfRule>
  </conditionalFormatting>
  <conditionalFormatting sqref="E4079:E4188">
    <cfRule type="cellIs" dxfId="715" priority="892" operator="lessThan">
      <formula>0</formula>
    </cfRule>
  </conditionalFormatting>
  <conditionalFormatting sqref="E4189:E4196">
    <cfRule type="cellIs" dxfId="714" priority="890" operator="lessThan">
      <formula>0</formula>
    </cfRule>
  </conditionalFormatting>
  <conditionalFormatting sqref="E4197:E4211">
    <cfRule type="cellIs" dxfId="713" priority="888" operator="lessThan">
      <formula>0</formula>
    </cfRule>
  </conditionalFormatting>
  <conditionalFormatting sqref="E4212:E4222">
    <cfRule type="cellIs" dxfId="712" priority="884" operator="lessThan">
      <formula>0</formula>
    </cfRule>
  </conditionalFormatting>
  <conditionalFormatting sqref="E4223:E4227">
    <cfRule type="cellIs" dxfId="711" priority="882" operator="lessThan">
      <formula>0</formula>
    </cfRule>
  </conditionalFormatting>
  <conditionalFormatting sqref="E4228:E4235">
    <cfRule type="cellIs" dxfId="710" priority="880" operator="lessThan">
      <formula>0</formula>
    </cfRule>
  </conditionalFormatting>
  <conditionalFormatting sqref="E4236:E4241">
    <cfRule type="cellIs" dxfId="709" priority="878" operator="lessThan">
      <formula>0</formula>
    </cfRule>
  </conditionalFormatting>
  <conditionalFormatting sqref="E4249:E4251">
    <cfRule type="cellIs" dxfId="708" priority="872" operator="lessThan">
      <formula>0</formula>
    </cfRule>
  </conditionalFormatting>
  <conditionalFormatting sqref="E4242:E4248">
    <cfRule type="cellIs" dxfId="707" priority="868" operator="lessThan">
      <formula>0</formula>
    </cfRule>
  </conditionalFormatting>
  <conditionalFormatting sqref="E4252:E4261">
    <cfRule type="cellIs" dxfId="706" priority="866" operator="lessThan">
      <formula>0</formula>
    </cfRule>
  </conditionalFormatting>
  <conditionalFormatting sqref="E4262:E4271">
    <cfRule type="cellIs" dxfId="705" priority="864" operator="lessThan">
      <formula>0</formula>
    </cfRule>
  </conditionalFormatting>
  <conditionalFormatting sqref="E4272:E4278">
    <cfRule type="cellIs" dxfId="704" priority="862" operator="lessThan">
      <formula>0</formula>
    </cfRule>
  </conditionalFormatting>
  <conditionalFormatting sqref="E4279:E4284">
    <cfRule type="cellIs" dxfId="703" priority="860" operator="lessThan">
      <formula>0</formula>
    </cfRule>
  </conditionalFormatting>
  <conditionalFormatting sqref="E4285:E4298">
    <cfRule type="cellIs" dxfId="702" priority="854" operator="lessThan">
      <formula>0</formula>
    </cfRule>
  </conditionalFormatting>
  <conditionalFormatting sqref="E4301:E4306">
    <cfRule type="cellIs" dxfId="701" priority="852" operator="lessThan">
      <formula>0</formula>
    </cfRule>
  </conditionalFormatting>
  <conditionalFormatting sqref="E4308:E4314">
    <cfRule type="cellIs" dxfId="700" priority="850" operator="lessThan">
      <formula>0</formula>
    </cfRule>
  </conditionalFormatting>
  <conditionalFormatting sqref="E4315:E4322">
    <cfRule type="cellIs" dxfId="699" priority="848" operator="lessThan">
      <formula>0</formula>
    </cfRule>
  </conditionalFormatting>
  <conditionalFormatting sqref="E4323:E4324">
    <cfRule type="cellIs" dxfId="698" priority="846" operator="lessThan">
      <formula>0</formula>
    </cfRule>
  </conditionalFormatting>
  <conditionalFormatting sqref="E4325:E4337">
    <cfRule type="cellIs" dxfId="697" priority="844" operator="lessThan">
      <formula>0</formula>
    </cfRule>
  </conditionalFormatting>
  <conditionalFormatting sqref="E4338:E4345">
    <cfRule type="cellIs" dxfId="696" priority="842" operator="lessThan">
      <formula>0</formula>
    </cfRule>
  </conditionalFormatting>
  <conditionalFormatting sqref="E4346:E4348">
    <cfRule type="cellIs" dxfId="695" priority="840" operator="lessThan">
      <formula>0</formula>
    </cfRule>
  </conditionalFormatting>
  <conditionalFormatting sqref="E4453:E4457">
    <cfRule type="cellIs" dxfId="694" priority="838" operator="lessThan">
      <formula>0</formula>
    </cfRule>
  </conditionalFormatting>
  <conditionalFormatting sqref="E4469:E4478">
    <cfRule type="cellIs" dxfId="693" priority="836" operator="lessThan">
      <formula>0</formula>
    </cfRule>
  </conditionalFormatting>
  <conditionalFormatting sqref="E4511:E4517">
    <cfRule type="cellIs" dxfId="692" priority="834" operator="lessThan">
      <formula>0</formula>
    </cfRule>
  </conditionalFormatting>
  <conditionalFormatting sqref="E4569:E4573">
    <cfRule type="cellIs" dxfId="691" priority="832" operator="lessThan">
      <formula>0</formula>
    </cfRule>
  </conditionalFormatting>
  <conditionalFormatting sqref="E4579:E4581">
    <cfRule type="cellIs" dxfId="690" priority="830" operator="lessThan">
      <formula>0</formula>
    </cfRule>
  </conditionalFormatting>
  <conditionalFormatting sqref="E4585:E4587">
    <cfRule type="cellIs" dxfId="689" priority="828" operator="lessThan">
      <formula>0</formula>
    </cfRule>
  </conditionalFormatting>
  <conditionalFormatting sqref="E4591:E4593">
    <cfRule type="cellIs" dxfId="688" priority="826" operator="lessThan">
      <formula>0</formula>
    </cfRule>
  </conditionalFormatting>
  <conditionalFormatting sqref="E4597:E4631">
    <cfRule type="cellIs" dxfId="687" priority="824" operator="lessThan">
      <formula>0</formula>
    </cfRule>
  </conditionalFormatting>
  <conditionalFormatting sqref="E4673:E4675">
    <cfRule type="cellIs" dxfId="686" priority="822" operator="lessThan">
      <formula>0</formula>
    </cfRule>
  </conditionalFormatting>
  <conditionalFormatting sqref="E4679:E4682">
    <cfRule type="cellIs" dxfId="685" priority="820" operator="lessThan">
      <formula>0</formula>
    </cfRule>
  </conditionalFormatting>
  <conditionalFormatting sqref="E4693:E4695">
    <cfRule type="cellIs" dxfId="684" priority="818" operator="lessThan">
      <formula>0</formula>
    </cfRule>
  </conditionalFormatting>
  <conditionalFormatting sqref="E4712:E4719">
    <cfRule type="cellIs" dxfId="683" priority="816" operator="lessThan">
      <formula>0</formula>
    </cfRule>
  </conditionalFormatting>
  <conditionalFormatting sqref="E4711">
    <cfRule type="cellIs" dxfId="682" priority="814" operator="lessThan">
      <formula>0</formula>
    </cfRule>
  </conditionalFormatting>
  <conditionalFormatting sqref="E4756:E4763">
    <cfRule type="cellIs" dxfId="681" priority="812" operator="lessThan">
      <formula>0</formula>
    </cfRule>
  </conditionalFormatting>
  <conditionalFormatting sqref="E4755">
    <cfRule type="cellIs" dxfId="680" priority="810" operator="lessThan">
      <formula>0</formula>
    </cfRule>
  </conditionalFormatting>
  <conditionalFormatting sqref="E4767:E4770">
    <cfRule type="cellIs" dxfId="679" priority="808" operator="lessThan">
      <formula>0</formula>
    </cfRule>
  </conditionalFormatting>
  <conditionalFormatting sqref="E4796:E4799">
    <cfRule type="cellIs" dxfId="678" priority="806" operator="lessThan">
      <formula>0</formula>
    </cfRule>
  </conditionalFormatting>
  <conditionalFormatting sqref="E4805:E4806">
    <cfRule type="cellIs" dxfId="677" priority="804" operator="lessThan">
      <formula>0</formula>
    </cfRule>
  </conditionalFormatting>
  <conditionalFormatting sqref="E4810:E4817">
    <cfRule type="cellIs" dxfId="676" priority="802" operator="lessThan">
      <formula>0</formula>
    </cfRule>
  </conditionalFormatting>
  <conditionalFormatting sqref="E4826:E4827">
    <cfRule type="cellIs" dxfId="675" priority="800" operator="lessThan">
      <formula>0</formula>
    </cfRule>
  </conditionalFormatting>
  <conditionalFormatting sqref="E4830:E4904">
    <cfRule type="cellIs" dxfId="674" priority="798" operator="lessThan">
      <formula>0</formula>
    </cfRule>
  </conditionalFormatting>
  <conditionalFormatting sqref="E4980:E4984">
    <cfRule type="cellIs" dxfId="673" priority="796" operator="lessThan">
      <formula>0</formula>
    </cfRule>
  </conditionalFormatting>
  <conditionalFormatting sqref="E5001:E5005">
    <cfRule type="cellIs" dxfId="672" priority="794" operator="lessThan">
      <formula>0</formula>
    </cfRule>
  </conditionalFormatting>
  <conditionalFormatting sqref="E5011">
    <cfRule type="cellIs" dxfId="671" priority="792" operator="lessThan">
      <formula>0</formula>
    </cfRule>
  </conditionalFormatting>
  <conditionalFormatting sqref="E5018:E5021">
    <cfRule type="cellIs" dxfId="670" priority="790" operator="lessThan">
      <formula>0</formula>
    </cfRule>
  </conditionalFormatting>
  <conditionalFormatting sqref="E5034:E5038">
    <cfRule type="cellIs" dxfId="669" priority="788" operator="lessThan">
      <formula>0</formula>
    </cfRule>
  </conditionalFormatting>
  <conditionalFormatting sqref="E5074:E5093">
    <cfRule type="cellIs" dxfId="668" priority="786" operator="lessThan">
      <formula>0</formula>
    </cfRule>
  </conditionalFormatting>
  <conditionalFormatting sqref="E5172:E5179">
    <cfRule type="cellIs" dxfId="667" priority="784" operator="lessThan">
      <formula>0</formula>
    </cfRule>
  </conditionalFormatting>
  <conditionalFormatting sqref="E5192:E5200">
    <cfRule type="cellIs" dxfId="666" priority="782" operator="lessThan">
      <formula>0</formula>
    </cfRule>
  </conditionalFormatting>
  <conditionalFormatting sqref="E5210:E5213">
    <cfRule type="cellIs" dxfId="665" priority="780" operator="lessThan">
      <formula>0</formula>
    </cfRule>
  </conditionalFormatting>
  <conditionalFormatting sqref="E5240:E5256">
    <cfRule type="cellIs" dxfId="664" priority="778" operator="lessThan">
      <formula>0</formula>
    </cfRule>
  </conditionalFormatting>
  <conditionalFormatting sqref="E5285:E5290">
    <cfRule type="cellIs" dxfId="663" priority="776" operator="lessThan">
      <formula>0</formula>
    </cfRule>
  </conditionalFormatting>
  <conditionalFormatting sqref="E5331:E5336">
    <cfRule type="cellIs" dxfId="662" priority="774" operator="lessThan">
      <formula>0</formula>
    </cfRule>
  </conditionalFormatting>
  <conditionalFormatting sqref="E5344:E5347">
    <cfRule type="cellIs" dxfId="661" priority="772" operator="lessThan">
      <formula>0</formula>
    </cfRule>
  </conditionalFormatting>
  <conditionalFormatting sqref="E5374:E5385">
    <cfRule type="cellIs" dxfId="660" priority="770" operator="lessThan">
      <formula>0</formula>
    </cfRule>
  </conditionalFormatting>
  <conditionalFormatting sqref="E5399:E5402">
    <cfRule type="cellIs" dxfId="659" priority="768" operator="lessThan">
      <formula>0</formula>
    </cfRule>
  </conditionalFormatting>
  <conditionalFormatting sqref="E5428:E5432">
    <cfRule type="cellIs" dxfId="658" priority="766" operator="lessThan">
      <formula>0</formula>
    </cfRule>
  </conditionalFormatting>
  <conditionalFormatting sqref="E5442:E5446">
    <cfRule type="cellIs" dxfId="657" priority="764" operator="lessThan">
      <formula>0</formula>
    </cfRule>
  </conditionalFormatting>
  <conditionalFormatting sqref="E5460:E5463">
    <cfRule type="cellIs" dxfId="656" priority="762" operator="lessThan">
      <formula>0</formula>
    </cfRule>
  </conditionalFormatting>
  <conditionalFormatting sqref="E5507:E5514">
    <cfRule type="cellIs" dxfId="655" priority="760" operator="lessThan">
      <formula>0</formula>
    </cfRule>
  </conditionalFormatting>
  <conditionalFormatting sqref="E5585:E5612">
    <cfRule type="cellIs" dxfId="654" priority="758" operator="lessThan">
      <formula>0</formula>
    </cfRule>
  </conditionalFormatting>
  <conditionalFormatting sqref="E5685:E5688">
    <cfRule type="cellIs" dxfId="653" priority="756" operator="lessThan">
      <formula>0</formula>
    </cfRule>
  </conditionalFormatting>
  <conditionalFormatting sqref="E5694:E5700">
    <cfRule type="cellIs" dxfId="652" priority="754" operator="lessThan">
      <formula>0</formula>
    </cfRule>
  </conditionalFormatting>
  <conditionalFormatting sqref="E5720:E5787">
    <cfRule type="cellIs" dxfId="651" priority="752" operator="lessThan">
      <formula>0</formula>
    </cfRule>
  </conditionalFormatting>
  <conditionalFormatting sqref="E5860:E5870">
    <cfRule type="cellIs" dxfId="650" priority="750" operator="lessThan">
      <formula>0</formula>
    </cfRule>
  </conditionalFormatting>
  <conditionalFormatting sqref="E5894:E5898">
    <cfRule type="cellIs" dxfId="649" priority="748" operator="lessThan">
      <formula>0</formula>
    </cfRule>
  </conditionalFormatting>
  <conditionalFormatting sqref="E5911:E5912">
    <cfRule type="cellIs" dxfId="648" priority="746" operator="lessThan">
      <formula>0</formula>
    </cfRule>
  </conditionalFormatting>
  <conditionalFormatting sqref="E5915:E5922">
    <cfRule type="cellIs" dxfId="647" priority="744" operator="lessThan">
      <formula>0</formula>
    </cfRule>
  </conditionalFormatting>
  <conditionalFormatting sqref="E5945:E5951">
    <cfRule type="cellIs" dxfId="646" priority="742" operator="lessThan">
      <formula>0</formula>
    </cfRule>
  </conditionalFormatting>
  <conditionalFormatting sqref="E5959:E5967">
    <cfRule type="cellIs" dxfId="645" priority="740" operator="lessThan">
      <formula>0</formula>
    </cfRule>
  </conditionalFormatting>
  <conditionalFormatting sqref="E6005:E6012">
    <cfRule type="cellIs" dxfId="644" priority="738" operator="lessThan">
      <formula>0</formula>
    </cfRule>
  </conditionalFormatting>
  <conditionalFormatting sqref="E6023:E6026">
    <cfRule type="cellIs" dxfId="643" priority="736" operator="lessThan">
      <formula>0</formula>
    </cfRule>
  </conditionalFormatting>
  <conditionalFormatting sqref="E6043:E6050">
    <cfRule type="cellIs" dxfId="642" priority="734" operator="lessThan">
      <formula>0</formula>
    </cfRule>
  </conditionalFormatting>
  <conditionalFormatting sqref="E6064:E6067">
    <cfRule type="cellIs" dxfId="641" priority="732" operator="lessThan">
      <formula>0</formula>
    </cfRule>
  </conditionalFormatting>
  <conditionalFormatting sqref="E6075:E6077">
    <cfRule type="cellIs" dxfId="640" priority="730" operator="lessThan">
      <formula>0</formula>
    </cfRule>
  </conditionalFormatting>
  <conditionalFormatting sqref="E6081:E6083">
    <cfRule type="cellIs" dxfId="639" priority="728" operator="lessThan">
      <formula>0</formula>
    </cfRule>
  </conditionalFormatting>
  <conditionalFormatting sqref="E6091:E6093">
    <cfRule type="cellIs" dxfId="638" priority="726" operator="lessThan">
      <formula>0</formula>
    </cfRule>
  </conditionalFormatting>
  <conditionalFormatting sqref="E6097:E6101">
    <cfRule type="cellIs" dxfId="637" priority="724" operator="lessThan">
      <formula>0</formula>
    </cfRule>
  </conditionalFormatting>
  <conditionalFormatting sqref="E6119:E6123">
    <cfRule type="cellIs" dxfId="636" priority="722" operator="lessThan">
      <formula>0</formula>
    </cfRule>
  </conditionalFormatting>
  <conditionalFormatting sqref="E6133:E6137">
    <cfRule type="cellIs" dxfId="635" priority="720" operator="lessThan">
      <formula>0</formula>
    </cfRule>
  </conditionalFormatting>
  <conditionalFormatting sqref="E6150:E6154">
    <cfRule type="cellIs" dxfId="634" priority="718" operator="lessThan">
      <formula>0</formula>
    </cfRule>
  </conditionalFormatting>
  <conditionalFormatting sqref="E6149">
    <cfRule type="cellIs" dxfId="633" priority="716" operator="lessThan">
      <formula>0</formula>
    </cfRule>
  </conditionalFormatting>
  <conditionalFormatting sqref="E6222:E6241">
    <cfRule type="cellIs" dxfId="632" priority="714" operator="lessThan">
      <formula>0</formula>
    </cfRule>
  </conditionalFormatting>
  <conditionalFormatting sqref="E6301:E6307">
    <cfRule type="cellIs" dxfId="631" priority="712" operator="lessThan">
      <formula>0</formula>
    </cfRule>
  </conditionalFormatting>
  <conditionalFormatting sqref="E6315:E6316">
    <cfRule type="cellIs" dxfId="630" priority="710" operator="lessThan">
      <formula>0</formula>
    </cfRule>
  </conditionalFormatting>
  <conditionalFormatting sqref="E6351:E6367">
    <cfRule type="cellIs" dxfId="629" priority="708" operator="lessThan">
      <formula>0</formula>
    </cfRule>
  </conditionalFormatting>
  <conditionalFormatting sqref="E6399:E6412">
    <cfRule type="cellIs" dxfId="628" priority="706" operator="lessThan">
      <formula>0</formula>
    </cfRule>
  </conditionalFormatting>
  <conditionalFormatting sqref="E6459:E6463">
    <cfRule type="cellIs" dxfId="627" priority="704" operator="lessThan">
      <formula>0</formula>
    </cfRule>
  </conditionalFormatting>
  <conditionalFormatting sqref="E6480:E6488">
    <cfRule type="cellIs" dxfId="626" priority="702" operator="lessThan">
      <formula>0</formula>
    </cfRule>
  </conditionalFormatting>
  <conditionalFormatting sqref="E6501:E6503">
    <cfRule type="cellIs" dxfId="625" priority="700" operator="lessThan">
      <formula>0</formula>
    </cfRule>
  </conditionalFormatting>
  <conditionalFormatting sqref="E6516:E6518">
    <cfRule type="cellIs" dxfId="624" priority="698" operator="lessThan">
      <formula>0</formula>
    </cfRule>
  </conditionalFormatting>
  <conditionalFormatting sqref="E6531:E6537">
    <cfRule type="cellIs" dxfId="623" priority="696" operator="lessThan">
      <formula>0</formula>
    </cfRule>
  </conditionalFormatting>
  <conditionalFormatting sqref="E6552:E6554">
    <cfRule type="cellIs" dxfId="622" priority="694" operator="lessThan">
      <formula>0</formula>
    </cfRule>
  </conditionalFormatting>
  <conditionalFormatting sqref="E6563:E6566">
    <cfRule type="cellIs" dxfId="621" priority="692" operator="lessThan">
      <formula>0</formula>
    </cfRule>
  </conditionalFormatting>
  <conditionalFormatting sqref="E6591:E6598">
    <cfRule type="cellIs" dxfId="620" priority="690" operator="lessThan">
      <formula>0</formula>
    </cfRule>
  </conditionalFormatting>
  <conditionalFormatting sqref="E6619:E6628">
    <cfRule type="cellIs" dxfId="619" priority="688" operator="lessThan">
      <formula>0</formula>
    </cfRule>
  </conditionalFormatting>
  <conditionalFormatting sqref="E6639:E6664">
    <cfRule type="cellIs" dxfId="618" priority="686" operator="lessThan">
      <formula>0</formula>
    </cfRule>
  </conditionalFormatting>
  <conditionalFormatting sqref="E6709:E6721">
    <cfRule type="cellIs" dxfId="617" priority="684" operator="lessThan">
      <formula>0</formula>
    </cfRule>
  </conditionalFormatting>
  <conditionalFormatting sqref="E6747:E6750">
    <cfRule type="cellIs" dxfId="616" priority="682" operator="lessThan">
      <formula>0</formula>
    </cfRule>
  </conditionalFormatting>
  <conditionalFormatting sqref="E6751:E6754">
    <cfRule type="cellIs" dxfId="615" priority="679" operator="lessThan">
      <formula>0</formula>
    </cfRule>
  </conditionalFormatting>
  <conditionalFormatting sqref="E6755:E6756">
    <cfRule type="cellIs" dxfId="614" priority="677" operator="lessThan">
      <formula>0</formula>
    </cfRule>
  </conditionalFormatting>
  <conditionalFormatting sqref="E6763:E6766">
    <cfRule type="cellIs" dxfId="613" priority="675" operator="lessThan">
      <formula>0</formula>
    </cfRule>
  </conditionalFormatting>
  <conditionalFormatting sqref="E6775:E6777">
    <cfRule type="cellIs" dxfId="612" priority="673" operator="lessThan">
      <formula>0</formula>
    </cfRule>
  </conditionalFormatting>
  <conditionalFormatting sqref="E6794:E6797">
    <cfRule type="cellIs" dxfId="611" priority="671" operator="lessThan">
      <formula>0</formula>
    </cfRule>
  </conditionalFormatting>
  <conditionalFormatting sqref="E6861:E6866">
    <cfRule type="cellIs" dxfId="610" priority="669" operator="lessThan">
      <formula>0</formula>
    </cfRule>
  </conditionalFormatting>
  <conditionalFormatting sqref="E6873:E6876">
    <cfRule type="cellIs" dxfId="609" priority="667" operator="lessThan">
      <formula>0</formula>
    </cfRule>
  </conditionalFormatting>
  <conditionalFormatting sqref="E6881:E6884">
    <cfRule type="cellIs" dxfId="608" priority="665" operator="lessThan">
      <formula>0</formula>
    </cfRule>
  </conditionalFormatting>
  <conditionalFormatting sqref="E6903:E6908">
    <cfRule type="cellIs" dxfId="607" priority="663" operator="lessThan">
      <formula>0</formula>
    </cfRule>
  </conditionalFormatting>
  <conditionalFormatting sqref="E6915:E6930">
    <cfRule type="cellIs" dxfId="606" priority="661" operator="lessThan">
      <formula>0</formula>
    </cfRule>
  </conditionalFormatting>
  <conditionalFormatting sqref="E6947:E6949">
    <cfRule type="cellIs" dxfId="605" priority="659" operator="lessThan">
      <formula>0</formula>
    </cfRule>
  </conditionalFormatting>
  <conditionalFormatting sqref="E6959:E6963">
    <cfRule type="cellIs" dxfId="604" priority="657" operator="lessThan">
      <formula>0</formula>
    </cfRule>
  </conditionalFormatting>
  <conditionalFormatting sqref="E6983:E6991">
    <cfRule type="cellIs" dxfId="603" priority="655" operator="lessThan">
      <formula>0</formula>
    </cfRule>
  </conditionalFormatting>
  <conditionalFormatting sqref="E7011">
    <cfRule type="cellIs" dxfId="602" priority="649" operator="lessThan">
      <formula>0</formula>
    </cfRule>
  </conditionalFormatting>
  <conditionalFormatting sqref="E7001:E7005">
    <cfRule type="cellIs" dxfId="601" priority="651" operator="lessThan">
      <formula>0</formula>
    </cfRule>
  </conditionalFormatting>
  <conditionalFormatting sqref="E7040:E7111">
    <cfRule type="cellIs" dxfId="600" priority="647" operator="lessThan">
      <formula>0</formula>
    </cfRule>
  </conditionalFormatting>
  <conditionalFormatting sqref="E7184:E7190">
    <cfRule type="cellIs" dxfId="599" priority="645" operator="lessThan">
      <formula>0</formula>
    </cfRule>
  </conditionalFormatting>
  <conditionalFormatting sqref="E7256:E7263">
    <cfRule type="cellIs" dxfId="598" priority="643" operator="lessThan">
      <formula>0</formula>
    </cfRule>
  </conditionalFormatting>
  <conditionalFormatting sqref="E7270:E7272">
    <cfRule type="cellIs" dxfId="597" priority="641" operator="lessThan">
      <formula>0</formula>
    </cfRule>
  </conditionalFormatting>
  <conditionalFormatting sqref="E7282:E7285">
    <cfRule type="cellIs" dxfId="596" priority="639" operator="lessThan">
      <formula>0</formula>
    </cfRule>
  </conditionalFormatting>
  <conditionalFormatting sqref="E7291:E7295">
    <cfRule type="cellIs" dxfId="595" priority="637" operator="lessThan">
      <formula>0</formula>
    </cfRule>
  </conditionalFormatting>
  <conditionalFormatting sqref="E7301:E7306">
    <cfRule type="cellIs" dxfId="594" priority="635" operator="lessThan">
      <formula>0</formula>
    </cfRule>
  </conditionalFormatting>
  <conditionalFormatting sqref="E7319:E7322">
    <cfRule type="cellIs" dxfId="593" priority="633" operator="lessThan">
      <formula>0</formula>
    </cfRule>
  </conditionalFormatting>
  <conditionalFormatting sqref="E7353:E7357">
    <cfRule type="cellIs" dxfId="592" priority="631" operator="lessThan">
      <formula>0</formula>
    </cfRule>
  </conditionalFormatting>
  <conditionalFormatting sqref="E7363:E7366">
    <cfRule type="cellIs" dxfId="591" priority="629" operator="lessThan">
      <formula>0</formula>
    </cfRule>
  </conditionalFormatting>
  <conditionalFormatting sqref="E7371:E7373">
    <cfRule type="cellIs" dxfId="590" priority="627" operator="lessThan">
      <formula>0</formula>
    </cfRule>
  </conditionalFormatting>
  <conditionalFormatting sqref="E7383:E7386">
    <cfRule type="cellIs" dxfId="589" priority="625" operator="lessThan">
      <formula>0</formula>
    </cfRule>
  </conditionalFormatting>
  <conditionalFormatting sqref="E7412:E7415">
    <cfRule type="cellIs" dxfId="588" priority="623" operator="lessThan">
      <formula>0</formula>
    </cfRule>
  </conditionalFormatting>
  <conditionalFormatting sqref="E7432:E7449">
    <cfRule type="cellIs" dxfId="587" priority="621" operator="lessThan">
      <formula>0</formula>
    </cfRule>
  </conditionalFormatting>
  <conditionalFormatting sqref="E7468:E7474">
    <cfRule type="cellIs" dxfId="586" priority="619" operator="lessThan">
      <formula>0</formula>
    </cfRule>
  </conditionalFormatting>
  <conditionalFormatting sqref="E7492:E7494">
    <cfRule type="cellIs" dxfId="585" priority="617" operator="lessThan">
      <formula>0</formula>
    </cfRule>
  </conditionalFormatting>
  <conditionalFormatting sqref="E7498:E7503">
    <cfRule type="cellIs" dxfId="584" priority="615" operator="lessThan">
      <formula>0</formula>
    </cfRule>
  </conditionalFormatting>
  <conditionalFormatting sqref="E7510:E7518">
    <cfRule type="cellIs" dxfId="583" priority="613" operator="lessThan">
      <formula>0</formula>
    </cfRule>
  </conditionalFormatting>
  <conditionalFormatting sqref="E7528:E7535">
    <cfRule type="cellIs" dxfId="582" priority="611" operator="lessThan">
      <formula>0</formula>
    </cfRule>
  </conditionalFormatting>
  <conditionalFormatting sqref="E7544:E7551">
    <cfRule type="cellIs" dxfId="581" priority="609" operator="lessThan">
      <formula>0</formula>
    </cfRule>
  </conditionalFormatting>
  <conditionalFormatting sqref="E7613:E7622">
    <cfRule type="cellIs" dxfId="580" priority="607" operator="lessThan">
      <formula>0</formula>
    </cfRule>
  </conditionalFormatting>
  <conditionalFormatting sqref="E7684:E7701">
    <cfRule type="cellIs" dxfId="579" priority="605" operator="lessThan">
      <formula>0</formula>
    </cfRule>
  </conditionalFormatting>
  <conditionalFormatting sqref="E7752:E7759">
    <cfRule type="cellIs" dxfId="578" priority="603" operator="lessThan">
      <formula>0</formula>
    </cfRule>
  </conditionalFormatting>
  <conditionalFormatting sqref="E7841:E7847">
    <cfRule type="cellIs" dxfId="577" priority="601" operator="lessThan">
      <formula>0</formula>
    </cfRule>
  </conditionalFormatting>
  <conditionalFormatting sqref="E7855:E7859">
    <cfRule type="cellIs" dxfId="576" priority="599" operator="lessThan">
      <formula>0</formula>
    </cfRule>
  </conditionalFormatting>
  <conditionalFormatting sqref="E7865:E7870">
    <cfRule type="cellIs" dxfId="575" priority="597" operator="lessThan">
      <formula>0</formula>
    </cfRule>
  </conditionalFormatting>
  <conditionalFormatting sqref="E7895:E7910">
    <cfRule type="cellIs" dxfId="574" priority="595" operator="lessThan">
      <formula>0</formula>
    </cfRule>
  </conditionalFormatting>
  <conditionalFormatting sqref="E7966:E7970">
    <cfRule type="cellIs" dxfId="573" priority="593" operator="lessThan">
      <formula>0</formula>
    </cfRule>
  </conditionalFormatting>
  <conditionalFormatting sqref="E8027:E8035">
    <cfRule type="cellIs" dxfId="572" priority="591" operator="lessThan">
      <formula>0</formula>
    </cfRule>
  </conditionalFormatting>
  <conditionalFormatting sqref="E8148:E8155">
    <cfRule type="cellIs" dxfId="571" priority="587" operator="lessThan">
      <formula>0</formula>
    </cfRule>
  </conditionalFormatting>
  <conditionalFormatting sqref="E8184:E8191">
    <cfRule type="cellIs" dxfId="570" priority="585" operator="lessThan">
      <formula>0</formula>
    </cfRule>
  </conditionalFormatting>
  <conditionalFormatting sqref="E8208:E8237">
    <cfRule type="cellIs" dxfId="569" priority="583" operator="lessThan">
      <formula>0</formula>
    </cfRule>
  </conditionalFormatting>
  <conditionalFormatting sqref="E8340:E8385">
    <cfRule type="cellIs" dxfId="568" priority="581" operator="lessThan">
      <formula>0</formula>
    </cfRule>
  </conditionalFormatting>
  <conditionalFormatting sqref="E8386:E8387">
    <cfRule type="cellIs" dxfId="567" priority="579" operator="lessThan">
      <formula>0</formula>
    </cfRule>
  </conditionalFormatting>
  <conditionalFormatting sqref="E8388:E8396">
    <cfRule type="cellIs" dxfId="566" priority="577" operator="lessThan">
      <formula>0</formula>
    </cfRule>
  </conditionalFormatting>
  <conditionalFormatting sqref="E8414:E8429">
    <cfRule type="cellIs" dxfId="565" priority="573" operator="lessThan">
      <formula>0</formula>
    </cfRule>
  </conditionalFormatting>
  <conditionalFormatting sqref="E8440:E8451">
    <cfRule type="cellIs" dxfId="564" priority="571" operator="lessThan">
      <formula>0</formula>
    </cfRule>
  </conditionalFormatting>
  <conditionalFormatting sqref="E8460:E8494">
    <cfRule type="cellIs" dxfId="563" priority="569" operator="lessThan">
      <formula>0</formula>
    </cfRule>
  </conditionalFormatting>
  <conditionalFormatting sqref="E8495:E8498">
    <cfRule type="cellIs" dxfId="562" priority="567" operator="lessThan">
      <formula>0</formula>
    </cfRule>
  </conditionalFormatting>
  <conditionalFormatting sqref="E8499:E8509">
    <cfRule type="cellIs" dxfId="561" priority="565" operator="lessThan">
      <formula>0</formula>
    </cfRule>
  </conditionalFormatting>
  <conditionalFormatting sqref="E8510:E8517">
    <cfRule type="cellIs" dxfId="560" priority="562" operator="lessThan">
      <formula>0</formula>
    </cfRule>
  </conditionalFormatting>
  <conditionalFormatting sqref="E8518:E8539">
    <cfRule type="cellIs" dxfId="559" priority="560" operator="lessThan">
      <formula>0</formula>
    </cfRule>
  </conditionalFormatting>
  <conditionalFormatting sqref="E8546">
    <cfRule type="cellIs" dxfId="558" priority="558" operator="lessThan">
      <formula>0</formula>
    </cfRule>
  </conditionalFormatting>
  <conditionalFormatting sqref="E8547:E8555">
    <cfRule type="cellIs" dxfId="557" priority="556" operator="lessThan">
      <formula>0</formula>
    </cfRule>
  </conditionalFormatting>
  <conditionalFormatting sqref="E8556:E8573">
    <cfRule type="cellIs" dxfId="556" priority="554" operator="lessThan">
      <formula>0</formula>
    </cfRule>
  </conditionalFormatting>
  <conditionalFormatting sqref="E8574:E8577">
    <cfRule type="cellIs" dxfId="555" priority="552" operator="lessThan">
      <formula>0</formula>
    </cfRule>
  </conditionalFormatting>
  <conditionalFormatting sqref="E8578:E8586">
    <cfRule type="cellIs" dxfId="554" priority="550" operator="lessThan">
      <formula>0</formula>
    </cfRule>
  </conditionalFormatting>
  <conditionalFormatting sqref="E8633:E8671">
    <cfRule type="cellIs" dxfId="553" priority="548" operator="lessThan">
      <formula>0</formula>
    </cfRule>
  </conditionalFormatting>
  <conditionalFormatting sqref="E8679:E8687">
    <cfRule type="cellIs" dxfId="552" priority="546" operator="lessThan">
      <formula>0</formula>
    </cfRule>
  </conditionalFormatting>
  <conditionalFormatting sqref="E8701:E8731">
    <cfRule type="cellIs" dxfId="551" priority="544" operator="lessThan">
      <formula>0</formula>
    </cfRule>
  </conditionalFormatting>
  <conditionalFormatting sqref="E8898:E8902">
    <cfRule type="cellIs" dxfId="550" priority="541" operator="lessThan">
      <formula>0</formula>
    </cfRule>
  </conditionalFormatting>
  <conditionalFormatting sqref="E8908:E8996">
    <cfRule type="cellIs" dxfId="549" priority="539" operator="lessThan">
      <formula>0</formula>
    </cfRule>
  </conditionalFormatting>
  <conditionalFormatting sqref="E9096:E9105">
    <cfRule type="cellIs" dxfId="548" priority="537" operator="lessThan">
      <formula>0</formula>
    </cfRule>
  </conditionalFormatting>
  <conditionalFormatting sqref="E9184:E9259">
    <cfRule type="cellIs" dxfId="547" priority="535" operator="lessThan">
      <formula>0</formula>
    </cfRule>
  </conditionalFormatting>
  <conditionalFormatting sqref="E9370:E9376">
    <cfRule type="cellIs" dxfId="546" priority="533" operator="lessThan">
      <formula>0</formula>
    </cfRule>
  </conditionalFormatting>
  <conditionalFormatting sqref="E9416:E9429">
    <cfRule type="cellIs" dxfId="545" priority="531" operator="lessThan">
      <formula>0</formula>
    </cfRule>
  </conditionalFormatting>
  <conditionalFormatting sqref="E9530:E9538">
    <cfRule type="cellIs" dxfId="544" priority="529" operator="lessThan">
      <formula>0</formula>
    </cfRule>
  </conditionalFormatting>
  <conditionalFormatting sqref="E9647:E9670">
    <cfRule type="cellIs" dxfId="543" priority="527" operator="lessThan">
      <formula>0</formula>
    </cfRule>
  </conditionalFormatting>
  <conditionalFormatting sqref="E10366:E10397">
    <cfRule type="cellIs" dxfId="542" priority="525" operator="lessThan">
      <formula>0</formula>
    </cfRule>
  </conditionalFormatting>
  <conditionalFormatting sqref="E11211:E11244">
    <cfRule type="cellIs" dxfId="541" priority="524" operator="lessThan">
      <formula>0</formula>
    </cfRule>
  </conditionalFormatting>
  <conditionalFormatting sqref="E11211:E11244">
    <cfRule type="cellIs" dxfId="540" priority="523" operator="lessThan">
      <formula>0</formula>
    </cfRule>
  </conditionalFormatting>
  <conditionalFormatting sqref="E11379">
    <cfRule type="cellIs" dxfId="539" priority="522" operator="lessThan">
      <formula>0</formula>
    </cfRule>
  </conditionalFormatting>
  <conditionalFormatting sqref="E11379">
    <cfRule type="cellIs" dxfId="538" priority="521" operator="lessThan">
      <formula>0</formula>
    </cfRule>
  </conditionalFormatting>
  <conditionalFormatting sqref="K11459">
    <cfRule type="cellIs" dxfId="537" priority="520" operator="lessThan">
      <formula>0</formula>
    </cfRule>
  </conditionalFormatting>
  <conditionalFormatting sqref="K11459">
    <cfRule type="cellIs" dxfId="536" priority="519" operator="lessThan">
      <formula>0</formula>
    </cfRule>
  </conditionalFormatting>
  <conditionalFormatting sqref="E11453:E11455">
    <cfRule type="cellIs" dxfId="535" priority="514" operator="lessThan">
      <formula>0</formula>
    </cfRule>
  </conditionalFormatting>
  <conditionalFormatting sqref="E11453:E11455">
    <cfRule type="cellIs" dxfId="534" priority="513" operator="lessThan">
      <formula>0</formula>
    </cfRule>
  </conditionalFormatting>
  <conditionalFormatting sqref="E11478:E11480">
    <cfRule type="cellIs" dxfId="533" priority="512" operator="lessThan">
      <formula>0</formula>
    </cfRule>
  </conditionalFormatting>
  <conditionalFormatting sqref="E11478:E11480">
    <cfRule type="cellIs" dxfId="532" priority="511" operator="lessThan">
      <formula>0</formula>
    </cfRule>
  </conditionalFormatting>
  <conditionalFormatting sqref="E11483:E11484">
    <cfRule type="cellIs" dxfId="531" priority="510" operator="lessThan">
      <formula>0</formula>
    </cfRule>
  </conditionalFormatting>
  <conditionalFormatting sqref="E11483:E11484">
    <cfRule type="cellIs" dxfId="530" priority="509" operator="lessThan">
      <formula>0</formula>
    </cfRule>
  </conditionalFormatting>
  <conditionalFormatting sqref="E11498:E11499">
    <cfRule type="cellIs" dxfId="529" priority="496" operator="lessThan">
      <formula>0</formula>
    </cfRule>
  </conditionalFormatting>
  <conditionalFormatting sqref="E11498:E11499">
    <cfRule type="cellIs" dxfId="528" priority="495" operator="lessThan">
      <formula>0</formula>
    </cfRule>
  </conditionalFormatting>
  <conditionalFormatting sqref="K11494">
    <cfRule type="cellIs" dxfId="527" priority="506" operator="lessThan">
      <formula>0</formula>
    </cfRule>
  </conditionalFormatting>
  <conditionalFormatting sqref="K11494">
    <cfRule type="cellIs" dxfId="526" priority="505" operator="lessThan">
      <formula>0</formula>
    </cfRule>
  </conditionalFormatting>
  <conditionalFormatting sqref="E11486:E11488">
    <cfRule type="cellIs" dxfId="525" priority="504" operator="lessThan">
      <formula>0</formula>
    </cfRule>
  </conditionalFormatting>
  <conditionalFormatting sqref="E11486:E11488">
    <cfRule type="cellIs" dxfId="524" priority="503" operator="lessThan">
      <formula>0</formula>
    </cfRule>
  </conditionalFormatting>
  <conditionalFormatting sqref="E11489:E11491">
    <cfRule type="cellIs" dxfId="523" priority="502" operator="lessThan">
      <formula>0</formula>
    </cfRule>
  </conditionalFormatting>
  <conditionalFormatting sqref="E11489:E11491">
    <cfRule type="cellIs" dxfId="522" priority="501" operator="lessThan">
      <formula>0</formula>
    </cfRule>
  </conditionalFormatting>
  <conditionalFormatting sqref="E11492:E11494">
    <cfRule type="cellIs" dxfId="521" priority="500" operator="lessThan">
      <formula>0</formula>
    </cfRule>
  </conditionalFormatting>
  <conditionalFormatting sqref="E11492:E11494">
    <cfRule type="cellIs" dxfId="520" priority="499" operator="lessThan">
      <formula>0</formula>
    </cfRule>
  </conditionalFormatting>
  <conditionalFormatting sqref="E11495:E11497">
    <cfRule type="cellIs" dxfId="519" priority="498" operator="lessThan">
      <formula>0</formula>
    </cfRule>
  </conditionalFormatting>
  <conditionalFormatting sqref="E11495:E11497">
    <cfRule type="cellIs" dxfId="518" priority="497" operator="lessThan">
      <formula>0</formula>
    </cfRule>
  </conditionalFormatting>
  <conditionalFormatting sqref="E11500:E11501">
    <cfRule type="cellIs" dxfId="517" priority="494" operator="lessThan">
      <formula>0</formula>
    </cfRule>
  </conditionalFormatting>
  <conditionalFormatting sqref="E11500:E11501">
    <cfRule type="cellIs" dxfId="516" priority="493" operator="lessThan">
      <formula>0</formula>
    </cfRule>
  </conditionalFormatting>
  <conditionalFormatting sqref="E11502:E11504">
    <cfRule type="cellIs" dxfId="515" priority="492" operator="lessThan">
      <formula>0</formula>
    </cfRule>
  </conditionalFormatting>
  <conditionalFormatting sqref="E11502:E11504">
    <cfRule type="cellIs" dxfId="514" priority="491" operator="lessThan">
      <formula>0</formula>
    </cfRule>
  </conditionalFormatting>
  <conditionalFormatting sqref="E11505:E11507">
    <cfRule type="cellIs" dxfId="513" priority="490" operator="lessThan">
      <formula>0</formula>
    </cfRule>
  </conditionalFormatting>
  <conditionalFormatting sqref="E11505:E11507">
    <cfRule type="cellIs" dxfId="512" priority="489" operator="lessThan">
      <formula>0</formula>
    </cfRule>
  </conditionalFormatting>
  <conditionalFormatting sqref="E11508:E11509">
    <cfRule type="cellIs" dxfId="511" priority="488" operator="lessThan">
      <formula>0</formula>
    </cfRule>
  </conditionalFormatting>
  <conditionalFormatting sqref="E11508:E11509">
    <cfRule type="cellIs" dxfId="510" priority="487" operator="lessThan">
      <formula>0</formula>
    </cfRule>
  </conditionalFormatting>
  <conditionalFormatting sqref="E11510:E11511">
    <cfRule type="cellIs" dxfId="509" priority="486" operator="lessThan">
      <formula>0</formula>
    </cfRule>
  </conditionalFormatting>
  <conditionalFormatting sqref="E11510:E11511">
    <cfRule type="cellIs" dxfId="508" priority="485" operator="lessThan">
      <formula>0</formula>
    </cfRule>
  </conditionalFormatting>
  <conditionalFormatting sqref="E11512:E11515">
    <cfRule type="cellIs" dxfId="507" priority="484" operator="lessThan">
      <formula>0</formula>
    </cfRule>
  </conditionalFormatting>
  <conditionalFormatting sqref="E11512:E11515">
    <cfRule type="cellIs" dxfId="506" priority="483" operator="lessThan">
      <formula>0</formula>
    </cfRule>
  </conditionalFormatting>
  <conditionalFormatting sqref="E11516:E11519">
    <cfRule type="cellIs" dxfId="505" priority="482" operator="lessThan">
      <formula>0</formula>
    </cfRule>
  </conditionalFormatting>
  <conditionalFormatting sqref="E11516:E11519">
    <cfRule type="cellIs" dxfId="504" priority="481" operator="lessThan">
      <formula>0</formula>
    </cfRule>
  </conditionalFormatting>
  <conditionalFormatting sqref="K11524">
    <cfRule type="cellIs" dxfId="503" priority="480" operator="lessThan">
      <formula>0</formula>
    </cfRule>
  </conditionalFormatting>
  <conditionalFormatting sqref="K11524">
    <cfRule type="cellIs" dxfId="502" priority="479" operator="lessThan">
      <formula>0</formula>
    </cfRule>
  </conditionalFormatting>
  <conditionalFormatting sqref="E11520:E11521">
    <cfRule type="cellIs" dxfId="501" priority="478" operator="lessThan">
      <formula>0</formula>
    </cfRule>
  </conditionalFormatting>
  <conditionalFormatting sqref="E11520:E11521">
    <cfRule type="cellIs" dxfId="500" priority="477" operator="lessThan">
      <formula>0</formula>
    </cfRule>
  </conditionalFormatting>
  <conditionalFormatting sqref="E11522:E11523">
    <cfRule type="cellIs" dxfId="499" priority="476" operator="lessThan">
      <formula>0</formula>
    </cfRule>
  </conditionalFormatting>
  <conditionalFormatting sqref="E11522:E11523">
    <cfRule type="cellIs" dxfId="498" priority="475" operator="lessThan">
      <formula>0</formula>
    </cfRule>
  </conditionalFormatting>
  <conditionalFormatting sqref="E11524:E11525">
    <cfRule type="cellIs" dxfId="497" priority="474" operator="lessThan">
      <formula>0</formula>
    </cfRule>
  </conditionalFormatting>
  <conditionalFormatting sqref="E11524:E11525">
    <cfRule type="cellIs" dxfId="496" priority="473" operator="lessThan">
      <formula>0</formula>
    </cfRule>
  </conditionalFormatting>
  <conditionalFormatting sqref="E11526:E11527">
    <cfRule type="cellIs" dxfId="495" priority="472" operator="lessThan">
      <formula>0</formula>
    </cfRule>
  </conditionalFormatting>
  <conditionalFormatting sqref="E11526:E11527">
    <cfRule type="cellIs" dxfId="494" priority="471" operator="lessThan">
      <formula>0</formula>
    </cfRule>
  </conditionalFormatting>
  <conditionalFormatting sqref="E11528:E11529">
    <cfRule type="cellIs" dxfId="493" priority="470" operator="lessThan">
      <formula>0</formula>
    </cfRule>
  </conditionalFormatting>
  <conditionalFormatting sqref="E11528:E11529">
    <cfRule type="cellIs" dxfId="492" priority="469" operator="lessThan">
      <formula>0</formula>
    </cfRule>
  </conditionalFormatting>
  <conditionalFormatting sqref="E11530:E11531">
    <cfRule type="cellIs" dxfId="491" priority="468" operator="lessThan">
      <formula>0</formula>
    </cfRule>
  </conditionalFormatting>
  <conditionalFormatting sqref="E11530:E11531">
    <cfRule type="cellIs" dxfId="490" priority="467" operator="lessThan">
      <formula>0</formula>
    </cfRule>
  </conditionalFormatting>
  <conditionalFormatting sqref="E11532:E11534">
    <cfRule type="cellIs" dxfId="489" priority="466" operator="lessThan">
      <formula>0</formula>
    </cfRule>
  </conditionalFormatting>
  <conditionalFormatting sqref="E11532:E11534">
    <cfRule type="cellIs" dxfId="488" priority="465" operator="lessThan">
      <formula>0</formula>
    </cfRule>
  </conditionalFormatting>
  <conditionalFormatting sqref="E11535:E11537">
    <cfRule type="cellIs" dxfId="487" priority="464" operator="lessThan">
      <formula>0</formula>
    </cfRule>
  </conditionalFormatting>
  <conditionalFormatting sqref="E11535:E11537">
    <cfRule type="cellIs" dxfId="486" priority="463" operator="lessThan">
      <formula>0</formula>
    </cfRule>
  </conditionalFormatting>
  <conditionalFormatting sqref="E11538:E11540">
    <cfRule type="cellIs" dxfId="485" priority="462" operator="lessThan">
      <formula>0</formula>
    </cfRule>
  </conditionalFormatting>
  <conditionalFormatting sqref="E11538:E11540">
    <cfRule type="cellIs" dxfId="484" priority="461" operator="lessThan">
      <formula>0</formula>
    </cfRule>
  </conditionalFormatting>
  <conditionalFormatting sqref="E11541:E11543">
    <cfRule type="cellIs" dxfId="483" priority="460" operator="lessThan">
      <formula>0</formula>
    </cfRule>
  </conditionalFormatting>
  <conditionalFormatting sqref="E11541:E11543">
    <cfRule type="cellIs" dxfId="482" priority="459" operator="lessThan">
      <formula>0</formula>
    </cfRule>
  </conditionalFormatting>
  <conditionalFormatting sqref="E11544:E11548">
    <cfRule type="cellIs" dxfId="481" priority="458" operator="lessThan">
      <formula>0</formula>
    </cfRule>
  </conditionalFormatting>
  <conditionalFormatting sqref="E11544:E11548">
    <cfRule type="cellIs" dxfId="480" priority="457" operator="lessThan">
      <formula>0</formula>
    </cfRule>
  </conditionalFormatting>
  <conditionalFormatting sqref="E11549:E11553">
    <cfRule type="cellIs" dxfId="479" priority="456" operator="lessThan">
      <formula>0</formula>
    </cfRule>
  </conditionalFormatting>
  <conditionalFormatting sqref="E11549:E11553">
    <cfRule type="cellIs" dxfId="478" priority="455" operator="lessThan">
      <formula>0</formula>
    </cfRule>
  </conditionalFormatting>
  <conditionalFormatting sqref="E11485">
    <cfRule type="cellIs" dxfId="477" priority="448" operator="lessThan">
      <formula>0</formula>
    </cfRule>
  </conditionalFormatting>
  <conditionalFormatting sqref="E11485">
    <cfRule type="cellIs" dxfId="476" priority="447" operator="lessThan">
      <formula>0</formula>
    </cfRule>
  </conditionalFormatting>
  <conditionalFormatting sqref="E11485">
    <cfRule type="cellIs" dxfId="475" priority="446" operator="lessThan">
      <formula>0</formula>
    </cfRule>
  </conditionalFormatting>
  <conditionalFormatting sqref="E11485">
    <cfRule type="cellIs" dxfId="474" priority="445" operator="lessThan">
      <formula>0</formula>
    </cfRule>
  </conditionalFormatting>
  <conditionalFormatting sqref="E11485">
    <cfRule type="cellIs" dxfId="473" priority="444" operator="lessThan">
      <formula>0</formula>
    </cfRule>
  </conditionalFormatting>
  <conditionalFormatting sqref="E11485">
    <cfRule type="cellIs" dxfId="472" priority="443" operator="lessThan">
      <formula>0</formula>
    </cfRule>
  </conditionalFormatting>
  <conditionalFormatting sqref="E11485">
    <cfRule type="cellIs" dxfId="471" priority="454" operator="lessThan">
      <formula>0</formula>
    </cfRule>
  </conditionalFormatting>
  <conditionalFormatting sqref="E11485">
    <cfRule type="cellIs" dxfId="470" priority="453" operator="lessThan">
      <formula>0</formula>
    </cfRule>
  </conditionalFormatting>
  <conditionalFormatting sqref="E11485">
    <cfRule type="cellIs" dxfId="469" priority="452" operator="lessThan">
      <formula>0</formula>
    </cfRule>
  </conditionalFormatting>
  <conditionalFormatting sqref="E11485">
    <cfRule type="cellIs" dxfId="468" priority="451" operator="lessThan">
      <formula>0</formula>
    </cfRule>
  </conditionalFormatting>
  <conditionalFormatting sqref="E11485">
    <cfRule type="cellIs" dxfId="467" priority="450" operator="lessThan">
      <formula>0</formula>
    </cfRule>
  </conditionalFormatting>
  <conditionalFormatting sqref="E11485">
    <cfRule type="cellIs" dxfId="466" priority="449" operator="lessThan">
      <formula>0</formula>
    </cfRule>
  </conditionalFormatting>
  <conditionalFormatting sqref="E11556:E11557">
    <cfRule type="cellIs" dxfId="465" priority="442" operator="lessThan">
      <formula>0</formula>
    </cfRule>
  </conditionalFormatting>
  <conditionalFormatting sqref="E11556:E11557">
    <cfRule type="cellIs" dxfId="464" priority="441" operator="lessThan">
      <formula>0</formula>
    </cfRule>
  </conditionalFormatting>
  <conditionalFormatting sqref="L11560">
    <cfRule type="cellIs" dxfId="463" priority="440" operator="lessThan">
      <formula>0</formula>
    </cfRule>
  </conditionalFormatting>
  <conditionalFormatting sqref="L11560">
    <cfRule type="cellIs" dxfId="462" priority="439" operator="lessThan">
      <formula>0</formula>
    </cfRule>
  </conditionalFormatting>
  <conditionalFormatting sqref="E11558:E11561">
    <cfRule type="cellIs" dxfId="461" priority="438" operator="lessThan">
      <formula>0</formula>
    </cfRule>
  </conditionalFormatting>
  <conditionalFormatting sqref="E11558:E11561">
    <cfRule type="cellIs" dxfId="460" priority="437" operator="lessThan">
      <formula>0</formula>
    </cfRule>
  </conditionalFormatting>
  <conditionalFormatting sqref="E11562:E11565">
    <cfRule type="cellIs" dxfId="459" priority="436" operator="lessThan">
      <formula>0</formula>
    </cfRule>
  </conditionalFormatting>
  <conditionalFormatting sqref="E11562:E11565">
    <cfRule type="cellIs" dxfId="458" priority="435" operator="lessThan">
      <formula>0</formula>
    </cfRule>
  </conditionalFormatting>
  <conditionalFormatting sqref="E11566:E11582">
    <cfRule type="cellIs" dxfId="457" priority="434" operator="lessThan">
      <formula>0</formula>
    </cfRule>
  </conditionalFormatting>
  <conditionalFormatting sqref="E11566:E11582">
    <cfRule type="cellIs" dxfId="456" priority="433" operator="lessThan">
      <formula>0</formula>
    </cfRule>
  </conditionalFormatting>
  <conditionalFormatting sqref="E11583:E11599">
    <cfRule type="cellIs" dxfId="455" priority="432" operator="lessThan">
      <formula>0</formula>
    </cfRule>
  </conditionalFormatting>
  <conditionalFormatting sqref="E11583:E11599">
    <cfRule type="cellIs" dxfId="454" priority="431" operator="lessThan">
      <formula>0</formula>
    </cfRule>
  </conditionalFormatting>
  <conditionalFormatting sqref="E11600:E11602">
    <cfRule type="cellIs" dxfId="453" priority="430" operator="lessThan">
      <formula>0</formula>
    </cfRule>
  </conditionalFormatting>
  <conditionalFormatting sqref="E11600:E11602">
    <cfRule type="cellIs" dxfId="452" priority="429" operator="lessThan">
      <formula>0</formula>
    </cfRule>
  </conditionalFormatting>
  <conditionalFormatting sqref="E11603:E11605">
    <cfRule type="cellIs" dxfId="451" priority="428" operator="lessThan">
      <formula>0</formula>
    </cfRule>
  </conditionalFormatting>
  <conditionalFormatting sqref="E11603:E11605">
    <cfRule type="cellIs" dxfId="450" priority="427" operator="lessThan">
      <formula>0</formula>
    </cfRule>
  </conditionalFormatting>
  <conditionalFormatting sqref="E11606:E11607">
    <cfRule type="cellIs" dxfId="449" priority="426" operator="lessThan">
      <formula>0</formula>
    </cfRule>
  </conditionalFormatting>
  <conditionalFormatting sqref="E11606:E11607">
    <cfRule type="cellIs" dxfId="448" priority="425" operator="lessThan">
      <formula>0</formula>
    </cfRule>
  </conditionalFormatting>
  <conditionalFormatting sqref="E11608:E11609">
    <cfRule type="cellIs" dxfId="447" priority="424" operator="lessThan">
      <formula>0</formula>
    </cfRule>
  </conditionalFormatting>
  <conditionalFormatting sqref="E11608:E11609">
    <cfRule type="cellIs" dxfId="446" priority="423" operator="lessThan">
      <formula>0</formula>
    </cfRule>
  </conditionalFormatting>
  <conditionalFormatting sqref="E11610:E11611">
    <cfRule type="cellIs" dxfId="445" priority="422" operator="lessThan">
      <formula>0</formula>
    </cfRule>
  </conditionalFormatting>
  <conditionalFormatting sqref="E11610:E11611">
    <cfRule type="cellIs" dxfId="444" priority="421" operator="lessThan">
      <formula>0</formula>
    </cfRule>
  </conditionalFormatting>
  <conditionalFormatting sqref="E11612:E11613">
    <cfRule type="cellIs" dxfId="443" priority="420" operator="lessThan">
      <formula>0</formula>
    </cfRule>
  </conditionalFormatting>
  <conditionalFormatting sqref="E11612:E11613">
    <cfRule type="cellIs" dxfId="442" priority="419" operator="lessThan">
      <formula>0</formula>
    </cfRule>
  </conditionalFormatting>
  <conditionalFormatting sqref="K11623">
    <cfRule type="cellIs" dxfId="441" priority="418" operator="lessThan">
      <formula>0</formula>
    </cfRule>
  </conditionalFormatting>
  <conditionalFormatting sqref="K11623">
    <cfRule type="cellIs" dxfId="440" priority="417" operator="lessThan">
      <formula>0</formula>
    </cfRule>
  </conditionalFormatting>
  <conditionalFormatting sqref="E11630:E11632">
    <cfRule type="cellIs" dxfId="439" priority="400" operator="lessThan">
      <formula>0</formula>
    </cfRule>
  </conditionalFormatting>
  <conditionalFormatting sqref="E11630:E11632">
    <cfRule type="cellIs" dxfId="438" priority="399" operator="lessThan">
      <formula>0</formula>
    </cfRule>
  </conditionalFormatting>
  <conditionalFormatting sqref="E11618:E11621">
    <cfRule type="cellIs" dxfId="437" priority="414" operator="lessThan">
      <formula>0</formula>
    </cfRule>
  </conditionalFormatting>
  <conditionalFormatting sqref="E11618:E11621">
    <cfRule type="cellIs" dxfId="436" priority="413" operator="lessThan">
      <formula>0</formula>
    </cfRule>
  </conditionalFormatting>
  <conditionalFormatting sqref="E11614:E11617">
    <cfRule type="cellIs" dxfId="435" priority="412" operator="lessThan">
      <formula>0</formula>
    </cfRule>
  </conditionalFormatting>
  <conditionalFormatting sqref="E11614:E11617">
    <cfRule type="cellIs" dxfId="434" priority="411" operator="lessThan">
      <formula>0</formula>
    </cfRule>
  </conditionalFormatting>
  <conditionalFormatting sqref="E11622:E11623">
    <cfRule type="cellIs" dxfId="433" priority="410" operator="lessThan">
      <formula>0</formula>
    </cfRule>
  </conditionalFormatting>
  <conditionalFormatting sqref="E11622:E11623">
    <cfRule type="cellIs" dxfId="432" priority="409" operator="lessThan">
      <formula>0</formula>
    </cfRule>
  </conditionalFormatting>
  <conditionalFormatting sqref="E11624:E11625">
    <cfRule type="cellIs" dxfId="431" priority="408" operator="lessThan">
      <formula>0</formula>
    </cfRule>
  </conditionalFormatting>
  <conditionalFormatting sqref="E11624:E11625">
    <cfRule type="cellIs" dxfId="430" priority="407" operator="lessThan">
      <formula>0</formula>
    </cfRule>
  </conditionalFormatting>
  <conditionalFormatting sqref="E11633:E11635">
    <cfRule type="cellIs" dxfId="429" priority="398" operator="lessThan">
      <formula>0</formula>
    </cfRule>
  </conditionalFormatting>
  <conditionalFormatting sqref="E11633:E11635">
    <cfRule type="cellIs" dxfId="428" priority="397" operator="lessThan">
      <formula>0</formula>
    </cfRule>
  </conditionalFormatting>
  <conditionalFormatting sqref="E11626:E11627">
    <cfRule type="cellIs" dxfId="427" priority="404" operator="lessThan">
      <formula>0</formula>
    </cfRule>
  </conditionalFormatting>
  <conditionalFormatting sqref="E11626:E11627">
    <cfRule type="cellIs" dxfId="426" priority="403" operator="lessThan">
      <formula>0</formula>
    </cfRule>
  </conditionalFormatting>
  <conditionalFormatting sqref="E11628:E11629">
    <cfRule type="cellIs" dxfId="425" priority="402" operator="lessThan">
      <formula>0</formula>
    </cfRule>
  </conditionalFormatting>
  <conditionalFormatting sqref="E11628:E11629">
    <cfRule type="cellIs" dxfId="424" priority="401" operator="lessThan">
      <formula>0</formula>
    </cfRule>
  </conditionalFormatting>
  <conditionalFormatting sqref="E11972:E11993">
    <cfRule type="cellIs" dxfId="423" priority="396" operator="lessThan">
      <formula>0</formula>
    </cfRule>
  </conditionalFormatting>
  <conditionalFormatting sqref="E11972:E11993">
    <cfRule type="cellIs" dxfId="422" priority="395" operator="lessThan">
      <formula>0</formula>
    </cfRule>
  </conditionalFormatting>
  <conditionalFormatting sqref="E12056:E12091">
    <cfRule type="cellIs" dxfId="421" priority="394" operator="lessThan">
      <formula>0</formula>
    </cfRule>
  </conditionalFormatting>
  <conditionalFormatting sqref="E12056:E12091">
    <cfRule type="cellIs" dxfId="420" priority="393" operator="lessThan">
      <formula>0</formula>
    </cfRule>
  </conditionalFormatting>
  <conditionalFormatting sqref="E12092:E12114 E12128:E12163">
    <cfRule type="cellIs" dxfId="419" priority="392" operator="lessThan">
      <formula>0</formula>
    </cfRule>
  </conditionalFormatting>
  <conditionalFormatting sqref="E12092:E12114 E12128:E12163">
    <cfRule type="cellIs" dxfId="418" priority="391" operator="lessThan">
      <formula>0</formula>
    </cfRule>
  </conditionalFormatting>
  <conditionalFormatting sqref="E12115:E12127">
    <cfRule type="cellIs" dxfId="417" priority="390" operator="lessThan">
      <formula>0</formula>
    </cfRule>
  </conditionalFormatting>
  <conditionalFormatting sqref="E12115:E12127">
    <cfRule type="cellIs" dxfId="416" priority="389" operator="lessThan">
      <formula>0</formula>
    </cfRule>
  </conditionalFormatting>
  <conditionalFormatting sqref="E12171:E12217">
    <cfRule type="cellIs" dxfId="415" priority="378" operator="lessThan">
      <formula>0</formula>
    </cfRule>
  </conditionalFormatting>
  <conditionalFormatting sqref="E12171:E12217">
    <cfRule type="cellIs" dxfId="414" priority="377" operator="lessThan">
      <formula>0</formula>
    </cfRule>
  </conditionalFormatting>
  <conditionalFormatting sqref="E12157:E12175">
    <cfRule type="cellIs" dxfId="413" priority="384" operator="lessThan">
      <formula>0</formula>
    </cfRule>
  </conditionalFormatting>
  <conditionalFormatting sqref="E12157:E12175">
    <cfRule type="cellIs" dxfId="412" priority="383" operator="lessThan">
      <formula>0</formula>
    </cfRule>
  </conditionalFormatting>
  <conditionalFormatting sqref="K12302">
    <cfRule type="cellIs" dxfId="411" priority="382" operator="lessThan">
      <formula>0</formula>
    </cfRule>
  </conditionalFormatting>
  <conditionalFormatting sqref="K12302">
    <cfRule type="cellIs" dxfId="410" priority="381" operator="lessThan">
      <formula>0</formula>
    </cfRule>
  </conditionalFormatting>
  <conditionalFormatting sqref="E12186:E12187">
    <cfRule type="cellIs" dxfId="409" priority="376" operator="lessThan">
      <formula>0</formula>
    </cfRule>
  </conditionalFormatting>
  <conditionalFormatting sqref="E12186:E12187">
    <cfRule type="cellIs" dxfId="408" priority="375" operator="lessThan">
      <formula>0</formula>
    </cfRule>
  </conditionalFormatting>
  <conditionalFormatting sqref="E12190:E12192">
    <cfRule type="cellIs" dxfId="407" priority="374" operator="lessThan">
      <formula>0</formula>
    </cfRule>
  </conditionalFormatting>
  <conditionalFormatting sqref="E12190:E12192">
    <cfRule type="cellIs" dxfId="406" priority="373" operator="lessThan">
      <formula>0</formula>
    </cfRule>
  </conditionalFormatting>
  <conditionalFormatting sqref="E12200:E12208">
    <cfRule type="cellIs" dxfId="405" priority="372" operator="lessThan">
      <formula>0</formula>
    </cfRule>
  </conditionalFormatting>
  <conditionalFormatting sqref="E12200:E12208">
    <cfRule type="cellIs" dxfId="404" priority="371" operator="lessThan">
      <formula>0</formula>
    </cfRule>
  </conditionalFormatting>
  <conditionalFormatting sqref="E12218:E12273">
    <cfRule type="cellIs" dxfId="403" priority="370" operator="lessThan">
      <formula>0</formula>
    </cfRule>
  </conditionalFormatting>
  <conditionalFormatting sqref="E12218:E12273">
    <cfRule type="cellIs" dxfId="402" priority="369" operator="lessThan">
      <formula>0</formula>
    </cfRule>
  </conditionalFormatting>
  <conditionalFormatting sqref="E12283:E12296">
    <cfRule type="cellIs" dxfId="401" priority="368" operator="lessThan">
      <formula>0</formula>
    </cfRule>
  </conditionalFormatting>
  <conditionalFormatting sqref="E12283:E12296">
    <cfRule type="cellIs" dxfId="400" priority="367" operator="lessThan">
      <formula>0</formula>
    </cfRule>
  </conditionalFormatting>
  <conditionalFormatting sqref="E12286">
    <cfRule type="cellIs" dxfId="399" priority="366" operator="lessThan">
      <formula>0</formula>
    </cfRule>
  </conditionalFormatting>
  <conditionalFormatting sqref="E12286">
    <cfRule type="cellIs" dxfId="398" priority="365" operator="lessThan">
      <formula>0</formula>
    </cfRule>
  </conditionalFormatting>
  <conditionalFormatting sqref="E12274:E12296">
    <cfRule type="cellIs" dxfId="397" priority="364" operator="lessThan">
      <formula>0</formula>
    </cfRule>
  </conditionalFormatting>
  <conditionalFormatting sqref="E12274:E12296">
    <cfRule type="cellIs" dxfId="396" priority="363" operator="lessThan">
      <formula>0</formula>
    </cfRule>
  </conditionalFormatting>
  <conditionalFormatting sqref="E12282:E12285">
    <cfRule type="cellIs" dxfId="395" priority="362" operator="lessThan">
      <formula>0</formula>
    </cfRule>
  </conditionalFormatting>
  <conditionalFormatting sqref="E12282:E12285">
    <cfRule type="cellIs" dxfId="394" priority="361" operator="lessThan">
      <formula>0</formula>
    </cfRule>
  </conditionalFormatting>
  <conditionalFormatting sqref="E12286:E12296">
    <cfRule type="cellIs" dxfId="393" priority="360" operator="lessThan">
      <formula>0</formula>
    </cfRule>
  </conditionalFormatting>
  <conditionalFormatting sqref="E12286:E12296">
    <cfRule type="cellIs" dxfId="392" priority="359" operator="lessThan">
      <formula>0</formula>
    </cfRule>
  </conditionalFormatting>
  <conditionalFormatting sqref="E12297:E12327 E12329:E12359 E12362">
    <cfRule type="cellIs" dxfId="391" priority="356" operator="lessThan">
      <formula>0</formula>
    </cfRule>
  </conditionalFormatting>
  <conditionalFormatting sqref="E12297:E12327 E12329:E12359 E12362">
    <cfRule type="cellIs" dxfId="390" priority="355" operator="lessThan">
      <formula>0</formula>
    </cfRule>
  </conditionalFormatting>
  <conditionalFormatting sqref="E12297:E12327 E12329:E12359 E12362">
    <cfRule type="cellIs" dxfId="389" priority="354" operator="lessThan">
      <formula>0</formula>
    </cfRule>
  </conditionalFormatting>
  <conditionalFormatting sqref="E12297:E12327 E12329:E12359 E12362">
    <cfRule type="cellIs" dxfId="388" priority="353" operator="lessThan">
      <formula>0</formula>
    </cfRule>
  </conditionalFormatting>
  <conditionalFormatting sqref="E12297:E12327 E12329:E12359 E12362">
    <cfRule type="cellIs" dxfId="387" priority="352" operator="lessThan">
      <formula>0</formula>
    </cfRule>
  </conditionalFormatting>
  <conditionalFormatting sqref="E12297:E12327 E12329:E12359 E12362">
    <cfRule type="cellIs" dxfId="386" priority="351" operator="lessThan">
      <formula>0</formula>
    </cfRule>
  </conditionalFormatting>
  <conditionalFormatting sqref="E12304:E12327 E12329:E12359 E12362">
    <cfRule type="cellIs" dxfId="385" priority="342" operator="lessThan">
      <formula>0</formula>
    </cfRule>
  </conditionalFormatting>
  <conditionalFormatting sqref="E12304:E12327 E12329:E12359 E12362">
    <cfRule type="cellIs" dxfId="384" priority="341" operator="lessThan">
      <formula>0</formula>
    </cfRule>
  </conditionalFormatting>
  <conditionalFormatting sqref="K12645">
    <cfRule type="cellIs" dxfId="383" priority="340" operator="lessThan">
      <formula>0</formula>
    </cfRule>
  </conditionalFormatting>
  <conditionalFormatting sqref="K12645">
    <cfRule type="cellIs" dxfId="382" priority="339" operator="lessThan">
      <formula>0</formula>
    </cfRule>
  </conditionalFormatting>
  <conditionalFormatting sqref="K12645">
    <cfRule type="cellIs" dxfId="381" priority="338" operator="lessThan">
      <formula>0</formula>
    </cfRule>
  </conditionalFormatting>
  <conditionalFormatting sqref="K12645">
    <cfRule type="cellIs" dxfId="380" priority="337" operator="lessThan">
      <formula>0</formula>
    </cfRule>
  </conditionalFormatting>
  <conditionalFormatting sqref="K12645">
    <cfRule type="cellIs" dxfId="379" priority="336" operator="lessThan">
      <formula>0</formula>
    </cfRule>
  </conditionalFormatting>
  <conditionalFormatting sqref="K12645">
    <cfRule type="cellIs" dxfId="378" priority="335" operator="lessThan">
      <formula>0</formula>
    </cfRule>
  </conditionalFormatting>
  <conditionalFormatting sqref="K12645">
    <cfRule type="cellIs" dxfId="377" priority="334" operator="lessThan">
      <formula>0</formula>
    </cfRule>
  </conditionalFormatting>
  <conditionalFormatting sqref="K12645">
    <cfRule type="cellIs" dxfId="376" priority="333" operator="lessThan">
      <formula>0</formula>
    </cfRule>
  </conditionalFormatting>
  <conditionalFormatting sqref="K12645">
    <cfRule type="cellIs" dxfId="375" priority="332" operator="lessThan">
      <formula>0</formula>
    </cfRule>
  </conditionalFormatting>
  <conditionalFormatting sqref="K12645">
    <cfRule type="cellIs" dxfId="374" priority="331" operator="lessThan">
      <formula>0</formula>
    </cfRule>
  </conditionalFormatting>
  <conditionalFormatting sqref="E12326:E12359 E12362">
    <cfRule type="cellIs" dxfId="373" priority="330" operator="lessThan">
      <formula>0</formula>
    </cfRule>
  </conditionalFormatting>
  <conditionalFormatting sqref="E12326:E12359 E12362">
    <cfRule type="cellIs" dxfId="372" priority="329" operator="lessThan">
      <formula>0</formula>
    </cfRule>
  </conditionalFormatting>
  <conditionalFormatting sqref="E12326:E12359 E12362">
    <cfRule type="cellIs" dxfId="371" priority="328" operator="lessThan">
      <formula>0</formula>
    </cfRule>
  </conditionalFormatting>
  <conditionalFormatting sqref="E12326:E12359 E12362">
    <cfRule type="cellIs" dxfId="370" priority="327" operator="lessThan">
      <formula>0</formula>
    </cfRule>
  </conditionalFormatting>
  <conditionalFormatting sqref="E12326:E12359 E12362">
    <cfRule type="cellIs" dxfId="369" priority="326" operator="lessThan">
      <formula>0</formula>
    </cfRule>
  </conditionalFormatting>
  <conditionalFormatting sqref="E12326:E12359 E12362">
    <cfRule type="cellIs" dxfId="368" priority="325" operator="lessThan">
      <formula>0</formula>
    </cfRule>
  </conditionalFormatting>
  <conditionalFormatting sqref="E12326:E12359 E12362">
    <cfRule type="cellIs" dxfId="367" priority="324" operator="lessThan">
      <formula>0</formula>
    </cfRule>
  </conditionalFormatting>
  <conditionalFormatting sqref="E12326:E12359 E12362">
    <cfRule type="cellIs" dxfId="366" priority="323" operator="lessThan">
      <formula>0</formula>
    </cfRule>
  </conditionalFormatting>
  <conditionalFormatting sqref="E12326:E12359 E12362">
    <cfRule type="cellIs" dxfId="365" priority="322" operator="lessThan">
      <formula>0</formula>
    </cfRule>
  </conditionalFormatting>
  <conditionalFormatting sqref="E12326:E12359 E12362">
    <cfRule type="cellIs" dxfId="364" priority="321" operator="lessThan">
      <formula>0</formula>
    </cfRule>
  </conditionalFormatting>
  <conditionalFormatting sqref="E12334:E12341">
    <cfRule type="cellIs" dxfId="363" priority="320" operator="lessThan">
      <formula>0</formula>
    </cfRule>
  </conditionalFormatting>
  <conditionalFormatting sqref="E12334:E12341">
    <cfRule type="cellIs" dxfId="362" priority="319" operator="lessThan">
      <formula>0</formula>
    </cfRule>
  </conditionalFormatting>
  <conditionalFormatting sqref="E12334:E12341">
    <cfRule type="cellIs" dxfId="361" priority="318" operator="lessThan">
      <formula>0</formula>
    </cfRule>
  </conditionalFormatting>
  <conditionalFormatting sqref="E12334:E12341">
    <cfRule type="cellIs" dxfId="360" priority="317" operator="lessThan">
      <formula>0</formula>
    </cfRule>
  </conditionalFormatting>
  <conditionalFormatting sqref="E12334:E12341">
    <cfRule type="cellIs" dxfId="359" priority="316" operator="lessThan">
      <formula>0</formula>
    </cfRule>
  </conditionalFormatting>
  <conditionalFormatting sqref="E12334:E12341">
    <cfRule type="cellIs" dxfId="358" priority="315" operator="lessThan">
      <formula>0</formula>
    </cfRule>
  </conditionalFormatting>
  <conditionalFormatting sqref="E12334:E12341">
    <cfRule type="cellIs" dxfId="357" priority="314" operator="lessThan">
      <formula>0</formula>
    </cfRule>
  </conditionalFormatting>
  <conditionalFormatting sqref="E12334:E12341">
    <cfRule type="cellIs" dxfId="356" priority="313" operator="lessThan">
      <formula>0</formula>
    </cfRule>
  </conditionalFormatting>
  <conditionalFormatting sqref="E12334:E12341">
    <cfRule type="cellIs" dxfId="355" priority="312" operator="lessThan">
      <formula>0</formula>
    </cfRule>
  </conditionalFormatting>
  <conditionalFormatting sqref="E12334:E12341">
    <cfRule type="cellIs" dxfId="354" priority="311" operator="lessThan">
      <formula>0</formula>
    </cfRule>
  </conditionalFormatting>
  <conditionalFormatting sqref="E12342:E12348">
    <cfRule type="cellIs" dxfId="353" priority="300" operator="lessThan">
      <formula>0</formula>
    </cfRule>
  </conditionalFormatting>
  <conditionalFormatting sqref="E12342:E12348">
    <cfRule type="cellIs" dxfId="352" priority="299" operator="lessThan">
      <formula>0</formula>
    </cfRule>
  </conditionalFormatting>
  <conditionalFormatting sqref="E12342:E12348">
    <cfRule type="cellIs" dxfId="351" priority="298" operator="lessThan">
      <formula>0</formula>
    </cfRule>
  </conditionalFormatting>
  <conditionalFormatting sqref="E12342:E12348">
    <cfRule type="cellIs" dxfId="350" priority="297" operator="lessThan">
      <formula>0</formula>
    </cfRule>
  </conditionalFormatting>
  <conditionalFormatting sqref="E12342:E12348">
    <cfRule type="cellIs" dxfId="349" priority="296" operator="lessThan">
      <formula>0</formula>
    </cfRule>
  </conditionalFormatting>
  <conditionalFormatting sqref="E12342:E12348">
    <cfRule type="cellIs" dxfId="348" priority="295" operator="lessThan">
      <formula>0</formula>
    </cfRule>
  </conditionalFormatting>
  <conditionalFormatting sqref="E12342:E12348">
    <cfRule type="cellIs" dxfId="347" priority="294" operator="lessThan">
      <formula>0</formula>
    </cfRule>
  </conditionalFormatting>
  <conditionalFormatting sqref="E12342:E12348">
    <cfRule type="cellIs" dxfId="346" priority="293" operator="lessThan">
      <formula>0</formula>
    </cfRule>
  </conditionalFormatting>
  <conditionalFormatting sqref="E12342:E12348">
    <cfRule type="cellIs" dxfId="345" priority="292" operator="lessThan">
      <formula>0</formula>
    </cfRule>
  </conditionalFormatting>
  <conditionalFormatting sqref="E12342:E12348">
    <cfRule type="cellIs" dxfId="344" priority="291" operator="lessThan">
      <formula>0</formula>
    </cfRule>
  </conditionalFormatting>
  <conditionalFormatting sqref="E12356:E12371">
    <cfRule type="cellIs" dxfId="343" priority="280" operator="lessThan">
      <formula>0</formula>
    </cfRule>
  </conditionalFormatting>
  <conditionalFormatting sqref="E12356:E12371">
    <cfRule type="cellIs" dxfId="342" priority="279" operator="lessThan">
      <formula>0</formula>
    </cfRule>
  </conditionalFormatting>
  <conditionalFormatting sqref="E12356:E12371">
    <cfRule type="cellIs" dxfId="341" priority="278" operator="lessThan">
      <formula>0</formula>
    </cfRule>
  </conditionalFormatting>
  <conditionalFormatting sqref="E12356:E12371">
    <cfRule type="cellIs" dxfId="340" priority="277" operator="lessThan">
      <formula>0</formula>
    </cfRule>
  </conditionalFormatting>
  <conditionalFormatting sqref="E12356:E12371">
    <cfRule type="cellIs" dxfId="339" priority="276" operator="lessThan">
      <formula>0</formula>
    </cfRule>
  </conditionalFormatting>
  <conditionalFormatting sqref="E12356:E12371">
    <cfRule type="cellIs" dxfId="338" priority="275" operator="lessThan">
      <formula>0</formula>
    </cfRule>
  </conditionalFormatting>
  <conditionalFormatting sqref="E12356:E12371">
    <cfRule type="cellIs" dxfId="337" priority="274" operator="lessThan">
      <formula>0</formula>
    </cfRule>
  </conditionalFormatting>
  <conditionalFormatting sqref="E12356:E12371">
    <cfRule type="cellIs" dxfId="336" priority="273" operator="lessThan">
      <formula>0</formula>
    </cfRule>
  </conditionalFormatting>
  <conditionalFormatting sqref="E12356:E12371">
    <cfRule type="cellIs" dxfId="335" priority="272" operator="lessThan">
      <formula>0</formula>
    </cfRule>
  </conditionalFormatting>
  <conditionalFormatting sqref="E12356:E12371">
    <cfRule type="cellIs" dxfId="334" priority="271" operator="lessThan">
      <formula>0</formula>
    </cfRule>
  </conditionalFormatting>
  <conditionalFormatting sqref="E12356:E12357">
    <cfRule type="cellIs" dxfId="333" priority="290" operator="lessThan">
      <formula>0</formula>
    </cfRule>
  </conditionalFormatting>
  <conditionalFormatting sqref="E12356:E12357">
    <cfRule type="cellIs" dxfId="332" priority="289" operator="lessThan">
      <formula>0</formula>
    </cfRule>
  </conditionalFormatting>
  <conditionalFormatting sqref="E12356:E12357">
    <cfRule type="cellIs" dxfId="331" priority="288" operator="lessThan">
      <formula>0</formula>
    </cfRule>
  </conditionalFormatting>
  <conditionalFormatting sqref="E12356:E12357">
    <cfRule type="cellIs" dxfId="330" priority="287" operator="lessThan">
      <formula>0</formula>
    </cfRule>
  </conditionalFormatting>
  <conditionalFormatting sqref="E12356:E12357">
    <cfRule type="cellIs" dxfId="329" priority="286" operator="lessThan">
      <formula>0</formula>
    </cfRule>
  </conditionalFormatting>
  <conditionalFormatting sqref="E12356:E12357">
    <cfRule type="cellIs" dxfId="328" priority="285" operator="lessThan">
      <formula>0</formula>
    </cfRule>
  </conditionalFormatting>
  <conditionalFormatting sqref="E12356:E12357">
    <cfRule type="cellIs" dxfId="327" priority="284" operator="lessThan">
      <formula>0</formula>
    </cfRule>
  </conditionalFormatting>
  <conditionalFormatting sqref="E12356:E12357">
    <cfRule type="cellIs" dxfId="326" priority="283" operator="lessThan">
      <formula>0</formula>
    </cfRule>
  </conditionalFormatting>
  <conditionalFormatting sqref="E12356:E12357">
    <cfRule type="cellIs" dxfId="325" priority="282" operator="lessThan">
      <formula>0</formula>
    </cfRule>
  </conditionalFormatting>
  <conditionalFormatting sqref="E12356:E12357">
    <cfRule type="cellIs" dxfId="324" priority="281" operator="lessThan">
      <formula>0</formula>
    </cfRule>
  </conditionalFormatting>
  <conditionalFormatting sqref="E12360:E12371">
    <cfRule type="cellIs" dxfId="323" priority="270" operator="lessThan">
      <formula>0</formula>
    </cfRule>
  </conditionalFormatting>
  <conditionalFormatting sqref="E12360:E12371">
    <cfRule type="cellIs" dxfId="322" priority="269" operator="lessThan">
      <formula>0</formula>
    </cfRule>
  </conditionalFormatting>
  <conditionalFormatting sqref="E12360:E12371">
    <cfRule type="cellIs" dxfId="321" priority="268" operator="lessThan">
      <formula>0</formula>
    </cfRule>
  </conditionalFormatting>
  <conditionalFormatting sqref="E12360:E12371">
    <cfRule type="cellIs" dxfId="320" priority="267" operator="lessThan">
      <formula>0</formula>
    </cfRule>
  </conditionalFormatting>
  <conditionalFormatting sqref="E12360:E12371">
    <cfRule type="cellIs" dxfId="319" priority="266" operator="lessThan">
      <formula>0</formula>
    </cfRule>
  </conditionalFormatting>
  <conditionalFormatting sqref="E12360:E12371">
    <cfRule type="cellIs" dxfId="318" priority="265" operator="lessThan">
      <formula>0</formula>
    </cfRule>
  </conditionalFormatting>
  <conditionalFormatting sqref="E12360:E12371">
    <cfRule type="cellIs" dxfId="317" priority="264" operator="lessThan">
      <formula>0</formula>
    </cfRule>
  </conditionalFormatting>
  <conditionalFormatting sqref="E12360:E12371">
    <cfRule type="cellIs" dxfId="316" priority="263" operator="lessThan">
      <formula>0</formula>
    </cfRule>
  </conditionalFormatting>
  <conditionalFormatting sqref="E12360:E12371">
    <cfRule type="cellIs" dxfId="315" priority="262" operator="lessThan">
      <formula>0</formula>
    </cfRule>
  </conditionalFormatting>
  <conditionalFormatting sqref="E12360:E12371">
    <cfRule type="cellIs" dxfId="314" priority="261" operator="lessThan">
      <formula>0</formula>
    </cfRule>
  </conditionalFormatting>
  <conditionalFormatting sqref="E12372:E12388">
    <cfRule type="cellIs" dxfId="313" priority="260" operator="lessThan">
      <formula>0</formula>
    </cfRule>
  </conditionalFormatting>
  <conditionalFormatting sqref="E12372:E12388">
    <cfRule type="cellIs" dxfId="312" priority="259" operator="lessThan">
      <formula>0</formula>
    </cfRule>
  </conditionalFormatting>
  <conditionalFormatting sqref="E12372:E12388">
    <cfRule type="cellIs" dxfId="311" priority="258" operator="lessThan">
      <formula>0</formula>
    </cfRule>
  </conditionalFormatting>
  <conditionalFormatting sqref="E12372:E12388">
    <cfRule type="cellIs" dxfId="310" priority="257" operator="lessThan">
      <formula>0</formula>
    </cfRule>
  </conditionalFormatting>
  <conditionalFormatting sqref="E12372:E12388">
    <cfRule type="cellIs" dxfId="309" priority="256" operator="lessThan">
      <formula>0</formula>
    </cfRule>
  </conditionalFormatting>
  <conditionalFormatting sqref="E12372:E12388">
    <cfRule type="cellIs" dxfId="308" priority="255" operator="lessThan">
      <formula>0</formula>
    </cfRule>
  </conditionalFormatting>
  <conditionalFormatting sqref="E12372:E12388">
    <cfRule type="cellIs" dxfId="307" priority="254" operator="lessThan">
      <formula>0</formula>
    </cfRule>
  </conditionalFormatting>
  <conditionalFormatting sqref="E12372:E12388">
    <cfRule type="cellIs" dxfId="306" priority="253" operator="lessThan">
      <formula>0</formula>
    </cfRule>
  </conditionalFormatting>
  <conditionalFormatting sqref="E12372:E12388">
    <cfRule type="cellIs" dxfId="305" priority="252" operator="lessThan">
      <formula>0</formula>
    </cfRule>
  </conditionalFormatting>
  <conditionalFormatting sqref="E12372:E12388">
    <cfRule type="cellIs" dxfId="304" priority="251" operator="lessThan">
      <formula>0</formula>
    </cfRule>
  </conditionalFormatting>
  <conditionalFormatting sqref="E12330:E12427">
    <cfRule type="cellIs" dxfId="303" priority="250" operator="lessThan">
      <formula>0</formula>
    </cfRule>
  </conditionalFormatting>
  <conditionalFormatting sqref="E12330:E12427">
    <cfRule type="cellIs" dxfId="302" priority="249" operator="lessThan">
      <formula>0</formula>
    </cfRule>
  </conditionalFormatting>
  <conditionalFormatting sqref="E12330:E12427">
    <cfRule type="cellIs" dxfId="301" priority="248" operator="lessThan">
      <formula>0</formula>
    </cfRule>
  </conditionalFormatting>
  <conditionalFormatting sqref="E12330:E12427">
    <cfRule type="cellIs" dxfId="300" priority="247" operator="lessThan">
      <formula>0</formula>
    </cfRule>
  </conditionalFormatting>
  <conditionalFormatting sqref="E12330:E12427">
    <cfRule type="cellIs" dxfId="299" priority="246" operator="lessThan">
      <formula>0</formula>
    </cfRule>
  </conditionalFormatting>
  <conditionalFormatting sqref="E12330:E12427">
    <cfRule type="cellIs" dxfId="298" priority="245" operator="lessThan">
      <formula>0</formula>
    </cfRule>
  </conditionalFormatting>
  <conditionalFormatting sqref="E12330:E12427">
    <cfRule type="cellIs" dxfId="297" priority="244" operator="lessThan">
      <formula>0</formula>
    </cfRule>
  </conditionalFormatting>
  <conditionalFormatting sqref="E12330:E12427">
    <cfRule type="cellIs" dxfId="296" priority="243" operator="lessThan">
      <formula>0</formula>
    </cfRule>
  </conditionalFormatting>
  <conditionalFormatting sqref="E12330:E12427">
    <cfRule type="cellIs" dxfId="295" priority="242" operator="lessThan">
      <formula>0</formula>
    </cfRule>
  </conditionalFormatting>
  <conditionalFormatting sqref="E12330:E12427">
    <cfRule type="cellIs" dxfId="294" priority="241" operator="lessThan">
      <formula>0</formula>
    </cfRule>
  </conditionalFormatting>
  <conditionalFormatting sqref="E12406:E12407">
    <cfRule type="cellIs" dxfId="293" priority="240" operator="lessThan">
      <formula>0</formula>
    </cfRule>
  </conditionalFormatting>
  <conditionalFormatting sqref="E12406:E12407">
    <cfRule type="cellIs" dxfId="292" priority="239" operator="lessThan">
      <formula>0</formula>
    </cfRule>
  </conditionalFormatting>
  <conditionalFormatting sqref="E12406:E12407">
    <cfRule type="cellIs" dxfId="291" priority="238" operator="lessThan">
      <formula>0</formula>
    </cfRule>
  </conditionalFormatting>
  <conditionalFormatting sqref="E12406:E12407">
    <cfRule type="cellIs" dxfId="290" priority="237" operator="lessThan">
      <formula>0</formula>
    </cfRule>
  </conditionalFormatting>
  <conditionalFormatting sqref="E12406:E12407">
    <cfRule type="cellIs" dxfId="289" priority="236" operator="lessThan">
      <formula>0</formula>
    </cfRule>
  </conditionalFormatting>
  <conditionalFormatting sqref="E12406:E12407">
    <cfRule type="cellIs" dxfId="288" priority="235" operator="lessThan">
      <formula>0</formula>
    </cfRule>
  </conditionalFormatting>
  <conditionalFormatting sqref="E12406:E12407">
    <cfRule type="cellIs" dxfId="287" priority="234" operator="lessThan">
      <formula>0</formula>
    </cfRule>
  </conditionalFormatting>
  <conditionalFormatting sqref="E12406:E12407">
    <cfRule type="cellIs" dxfId="286" priority="233" operator="lessThan">
      <formula>0</formula>
    </cfRule>
  </conditionalFormatting>
  <conditionalFormatting sqref="E12406:E12407">
    <cfRule type="cellIs" dxfId="285" priority="232" operator="lessThan">
      <formula>0</formula>
    </cfRule>
  </conditionalFormatting>
  <conditionalFormatting sqref="E12406:E12407">
    <cfRule type="cellIs" dxfId="284" priority="231" operator="lessThan">
      <formula>0</formula>
    </cfRule>
  </conditionalFormatting>
  <conditionalFormatting sqref="E12416:E12417">
    <cfRule type="cellIs" dxfId="283" priority="211" operator="lessThan">
      <formula>0</formula>
    </cfRule>
  </conditionalFormatting>
  <conditionalFormatting sqref="E12410:E12412">
    <cfRule type="cellIs" dxfId="282" priority="230" operator="lessThan">
      <formula>0</formula>
    </cfRule>
  </conditionalFormatting>
  <conditionalFormatting sqref="E12410:E12412">
    <cfRule type="cellIs" dxfId="281" priority="229" operator="lessThan">
      <formula>0</formula>
    </cfRule>
  </conditionalFormatting>
  <conditionalFormatting sqref="E12410:E12412">
    <cfRule type="cellIs" dxfId="280" priority="228" operator="lessThan">
      <formula>0</formula>
    </cfRule>
  </conditionalFormatting>
  <conditionalFormatting sqref="E12410:E12412">
    <cfRule type="cellIs" dxfId="279" priority="227" operator="lessThan">
      <formula>0</formula>
    </cfRule>
  </conditionalFormatting>
  <conditionalFormatting sqref="E12410:E12412">
    <cfRule type="cellIs" dxfId="278" priority="226" operator="lessThan">
      <formula>0</formula>
    </cfRule>
  </conditionalFormatting>
  <conditionalFormatting sqref="E12410:E12412">
    <cfRule type="cellIs" dxfId="277" priority="225" operator="lessThan">
      <formula>0</formula>
    </cfRule>
  </conditionalFormatting>
  <conditionalFormatting sqref="E12410:E12412">
    <cfRule type="cellIs" dxfId="276" priority="224" operator="lessThan">
      <formula>0</formula>
    </cfRule>
  </conditionalFormatting>
  <conditionalFormatting sqref="E12410:E12412">
    <cfRule type="cellIs" dxfId="275" priority="223" operator="lessThan">
      <formula>0</formula>
    </cfRule>
  </conditionalFormatting>
  <conditionalFormatting sqref="E12410:E12412">
    <cfRule type="cellIs" dxfId="274" priority="222" operator="lessThan">
      <formula>0</formula>
    </cfRule>
  </conditionalFormatting>
  <conditionalFormatting sqref="E12410:E12412">
    <cfRule type="cellIs" dxfId="273" priority="221" operator="lessThan">
      <formula>0</formula>
    </cfRule>
  </conditionalFormatting>
  <conditionalFormatting sqref="E12416:E12417">
    <cfRule type="cellIs" dxfId="272" priority="220" operator="lessThan">
      <formula>0</formula>
    </cfRule>
  </conditionalFormatting>
  <conditionalFormatting sqref="E12416:E12417">
    <cfRule type="cellIs" dxfId="271" priority="219" operator="lessThan">
      <formula>0</formula>
    </cfRule>
  </conditionalFormatting>
  <conditionalFormatting sqref="E12416:E12417">
    <cfRule type="cellIs" dxfId="270" priority="218" operator="lessThan">
      <formula>0</formula>
    </cfRule>
  </conditionalFormatting>
  <conditionalFormatting sqref="E12416:E12417">
    <cfRule type="cellIs" dxfId="269" priority="217" operator="lessThan">
      <formula>0</formula>
    </cfRule>
  </conditionalFormatting>
  <conditionalFormatting sqref="E12416:E12417">
    <cfRule type="cellIs" dxfId="268" priority="216" operator="lessThan">
      <formula>0</formula>
    </cfRule>
  </conditionalFormatting>
  <conditionalFormatting sqref="E12416:E12417">
    <cfRule type="cellIs" dxfId="267" priority="215" operator="lessThan">
      <formula>0</formula>
    </cfRule>
  </conditionalFormatting>
  <conditionalFormatting sqref="E12416:E12417">
    <cfRule type="cellIs" dxfId="266" priority="214" operator="lessThan">
      <formula>0</formula>
    </cfRule>
  </conditionalFormatting>
  <conditionalFormatting sqref="E12416:E12417">
    <cfRule type="cellIs" dxfId="265" priority="213" operator="lessThan">
      <formula>0</formula>
    </cfRule>
  </conditionalFormatting>
  <conditionalFormatting sqref="E12416:E12417">
    <cfRule type="cellIs" dxfId="264" priority="212" operator="lessThan">
      <formula>0</formula>
    </cfRule>
  </conditionalFormatting>
  <conditionalFormatting sqref="E12420:E12421">
    <cfRule type="cellIs" dxfId="263" priority="210" operator="lessThan">
      <formula>0</formula>
    </cfRule>
  </conditionalFormatting>
  <conditionalFormatting sqref="E12420:E12421">
    <cfRule type="cellIs" dxfId="262" priority="209" operator="lessThan">
      <formula>0</formula>
    </cfRule>
  </conditionalFormatting>
  <conditionalFormatting sqref="E12420:E12421">
    <cfRule type="cellIs" dxfId="261" priority="208" operator="lessThan">
      <formula>0</formula>
    </cfRule>
  </conditionalFormatting>
  <conditionalFormatting sqref="E12420:E12421">
    <cfRule type="cellIs" dxfId="260" priority="207" operator="lessThan">
      <formula>0</formula>
    </cfRule>
  </conditionalFormatting>
  <conditionalFormatting sqref="E12420:E12421">
    <cfRule type="cellIs" dxfId="259" priority="206" operator="lessThan">
      <formula>0</formula>
    </cfRule>
  </conditionalFormatting>
  <conditionalFormatting sqref="E12420:E12421">
    <cfRule type="cellIs" dxfId="258" priority="205" operator="lessThan">
      <formula>0</formula>
    </cfRule>
  </conditionalFormatting>
  <conditionalFormatting sqref="E12420:E12421">
    <cfRule type="cellIs" dxfId="257" priority="204" operator="lessThan">
      <formula>0</formula>
    </cfRule>
  </conditionalFormatting>
  <conditionalFormatting sqref="E12420:E12421">
    <cfRule type="cellIs" dxfId="256" priority="203" operator="lessThan">
      <formula>0</formula>
    </cfRule>
  </conditionalFormatting>
  <conditionalFormatting sqref="E12420:E12421">
    <cfRule type="cellIs" dxfId="255" priority="202" operator="lessThan">
      <formula>0</formula>
    </cfRule>
  </conditionalFormatting>
  <conditionalFormatting sqref="E12420:E12421">
    <cfRule type="cellIs" dxfId="254" priority="201" operator="lessThan">
      <formula>0</formula>
    </cfRule>
  </conditionalFormatting>
  <conditionalFormatting sqref="E12428:E12441">
    <cfRule type="cellIs" dxfId="253" priority="200" operator="lessThan">
      <formula>0</formula>
    </cfRule>
  </conditionalFormatting>
  <conditionalFormatting sqref="E12428:E12441">
    <cfRule type="cellIs" dxfId="252" priority="199" operator="lessThan">
      <formula>0</formula>
    </cfRule>
  </conditionalFormatting>
  <conditionalFormatting sqref="E12428:E12441">
    <cfRule type="cellIs" dxfId="251" priority="198" operator="lessThan">
      <formula>0</formula>
    </cfRule>
  </conditionalFormatting>
  <conditionalFormatting sqref="E12428:E12441">
    <cfRule type="cellIs" dxfId="250" priority="197" operator="lessThan">
      <formula>0</formula>
    </cfRule>
  </conditionalFormatting>
  <conditionalFormatting sqref="E12428:E12441">
    <cfRule type="cellIs" dxfId="249" priority="196" operator="lessThan">
      <formula>0</formula>
    </cfRule>
  </conditionalFormatting>
  <conditionalFormatting sqref="E12428:E12441">
    <cfRule type="cellIs" dxfId="248" priority="195" operator="lessThan">
      <formula>0</formula>
    </cfRule>
  </conditionalFormatting>
  <conditionalFormatting sqref="E12428:E12441">
    <cfRule type="cellIs" dxfId="247" priority="194" operator="lessThan">
      <formula>0</formula>
    </cfRule>
  </conditionalFormatting>
  <conditionalFormatting sqref="E12428:E12441">
    <cfRule type="cellIs" dxfId="246" priority="193" operator="lessThan">
      <formula>0</formula>
    </cfRule>
  </conditionalFormatting>
  <conditionalFormatting sqref="E12428:E12441">
    <cfRule type="cellIs" dxfId="245" priority="192" operator="lessThan">
      <formula>0</formula>
    </cfRule>
  </conditionalFormatting>
  <conditionalFormatting sqref="E12428:E12441">
    <cfRule type="cellIs" dxfId="244" priority="191" operator="lessThan">
      <formula>0</formula>
    </cfRule>
  </conditionalFormatting>
  <conditionalFormatting sqref="E12442">
    <cfRule type="cellIs" dxfId="243" priority="190" operator="lessThan">
      <formula>0</formula>
    </cfRule>
  </conditionalFormatting>
  <conditionalFormatting sqref="E12442">
    <cfRule type="cellIs" dxfId="242" priority="189" operator="lessThan">
      <formula>0</formula>
    </cfRule>
  </conditionalFormatting>
  <conditionalFormatting sqref="E12442">
    <cfRule type="cellIs" dxfId="241" priority="188" operator="lessThan">
      <formula>0</formula>
    </cfRule>
  </conditionalFormatting>
  <conditionalFormatting sqref="E12442">
    <cfRule type="cellIs" dxfId="240" priority="187" operator="lessThan">
      <formula>0</formula>
    </cfRule>
  </conditionalFormatting>
  <conditionalFormatting sqref="E12442">
    <cfRule type="cellIs" dxfId="239" priority="186" operator="lessThan">
      <formula>0</formula>
    </cfRule>
  </conditionalFormatting>
  <conditionalFormatting sqref="E12442">
    <cfRule type="cellIs" dxfId="238" priority="185" operator="lessThan">
      <formula>0</formula>
    </cfRule>
  </conditionalFormatting>
  <conditionalFormatting sqref="E12442">
    <cfRule type="cellIs" dxfId="237" priority="184" operator="lessThan">
      <formula>0</formula>
    </cfRule>
  </conditionalFormatting>
  <conditionalFormatting sqref="E12442">
    <cfRule type="cellIs" dxfId="236" priority="183" operator="lessThan">
      <formula>0</formula>
    </cfRule>
  </conditionalFormatting>
  <conditionalFormatting sqref="E12442">
    <cfRule type="cellIs" dxfId="235" priority="182" operator="lessThan">
      <formula>0</formula>
    </cfRule>
  </conditionalFormatting>
  <conditionalFormatting sqref="E12442">
    <cfRule type="cellIs" dxfId="234" priority="181" operator="lessThan">
      <formula>0</formula>
    </cfRule>
  </conditionalFormatting>
  <conditionalFormatting sqref="E12443:E12464">
    <cfRule type="cellIs" dxfId="233" priority="180" operator="lessThan">
      <formula>0</formula>
    </cfRule>
  </conditionalFormatting>
  <conditionalFormatting sqref="E12443:E12464">
    <cfRule type="cellIs" dxfId="232" priority="179" operator="lessThan">
      <formula>0</formula>
    </cfRule>
  </conditionalFormatting>
  <conditionalFormatting sqref="E12443:E12464">
    <cfRule type="cellIs" dxfId="231" priority="178" operator="lessThan">
      <formula>0</formula>
    </cfRule>
  </conditionalFormatting>
  <conditionalFormatting sqref="E12443:E12464">
    <cfRule type="cellIs" dxfId="230" priority="177" operator="lessThan">
      <formula>0</formula>
    </cfRule>
  </conditionalFormatting>
  <conditionalFormatting sqref="E12443:E12464">
    <cfRule type="cellIs" dxfId="229" priority="176" operator="lessThan">
      <formula>0</formula>
    </cfRule>
  </conditionalFormatting>
  <conditionalFormatting sqref="E12443:E12464">
    <cfRule type="cellIs" dxfId="228" priority="175" operator="lessThan">
      <formula>0</formula>
    </cfRule>
  </conditionalFormatting>
  <conditionalFormatting sqref="E12443:E12464">
    <cfRule type="cellIs" dxfId="227" priority="174" operator="lessThan">
      <formula>0</formula>
    </cfRule>
  </conditionalFormatting>
  <conditionalFormatting sqref="E12443:E12464">
    <cfRule type="cellIs" dxfId="226" priority="173" operator="lessThan">
      <formula>0</formula>
    </cfRule>
  </conditionalFormatting>
  <conditionalFormatting sqref="E12443:E12464">
    <cfRule type="cellIs" dxfId="225" priority="172" operator="lessThan">
      <formula>0</formula>
    </cfRule>
  </conditionalFormatting>
  <conditionalFormatting sqref="E12443:E12464">
    <cfRule type="cellIs" dxfId="224" priority="171" operator="lessThan">
      <formula>0</formula>
    </cfRule>
  </conditionalFormatting>
  <conditionalFormatting sqref="E12443:E12464">
    <cfRule type="cellIs" dxfId="223" priority="170" operator="lessThan">
      <formula>0</formula>
    </cfRule>
  </conditionalFormatting>
  <conditionalFormatting sqref="E12443:E12464">
    <cfRule type="cellIs" dxfId="222" priority="169" operator="lessThan">
      <formula>0</formula>
    </cfRule>
  </conditionalFormatting>
  <conditionalFormatting sqref="E12452:E12453">
    <cfRule type="cellIs" dxfId="221" priority="168" operator="lessThan">
      <formula>0</formula>
    </cfRule>
  </conditionalFormatting>
  <conditionalFormatting sqref="E12452:E12453">
    <cfRule type="cellIs" dxfId="220" priority="167" operator="lessThan">
      <formula>0</formula>
    </cfRule>
  </conditionalFormatting>
  <conditionalFormatting sqref="E12452:E12453">
    <cfRule type="cellIs" dxfId="219" priority="166" operator="lessThan">
      <formula>0</formula>
    </cfRule>
  </conditionalFormatting>
  <conditionalFormatting sqref="E12452:E12453">
    <cfRule type="cellIs" dxfId="218" priority="165" operator="lessThan">
      <formula>0</formula>
    </cfRule>
  </conditionalFormatting>
  <conditionalFormatting sqref="E12452:E12453">
    <cfRule type="cellIs" dxfId="217" priority="164" operator="lessThan">
      <formula>0</formula>
    </cfRule>
  </conditionalFormatting>
  <conditionalFormatting sqref="E12452:E12453">
    <cfRule type="cellIs" dxfId="216" priority="163" operator="lessThan">
      <formula>0</formula>
    </cfRule>
  </conditionalFormatting>
  <conditionalFormatting sqref="E12452:E12453">
    <cfRule type="cellIs" dxfId="215" priority="162" operator="lessThan">
      <formula>0</formula>
    </cfRule>
  </conditionalFormatting>
  <conditionalFormatting sqref="E12452:E12453">
    <cfRule type="cellIs" dxfId="214" priority="161" operator="lessThan">
      <formula>0</formula>
    </cfRule>
  </conditionalFormatting>
  <conditionalFormatting sqref="E12452:E12453">
    <cfRule type="cellIs" dxfId="213" priority="160" operator="lessThan">
      <formula>0</formula>
    </cfRule>
  </conditionalFormatting>
  <conditionalFormatting sqref="E12452:E12453">
    <cfRule type="cellIs" dxfId="212" priority="159" operator="lessThan">
      <formula>0</formula>
    </cfRule>
  </conditionalFormatting>
  <conditionalFormatting sqref="E12457:E12458">
    <cfRule type="cellIs" dxfId="211" priority="158" operator="lessThan">
      <formula>0</formula>
    </cfRule>
  </conditionalFormatting>
  <conditionalFormatting sqref="E12457:E12458">
    <cfRule type="cellIs" dxfId="210" priority="157" operator="lessThan">
      <formula>0</formula>
    </cfRule>
  </conditionalFormatting>
  <conditionalFormatting sqref="E12457:E12458">
    <cfRule type="cellIs" dxfId="209" priority="156" operator="lessThan">
      <formula>0</formula>
    </cfRule>
  </conditionalFormatting>
  <conditionalFormatting sqref="E12457:E12458">
    <cfRule type="cellIs" dxfId="208" priority="155" operator="lessThan">
      <formula>0</formula>
    </cfRule>
  </conditionalFormatting>
  <conditionalFormatting sqref="E12457:E12458">
    <cfRule type="cellIs" dxfId="207" priority="154" operator="lessThan">
      <formula>0</formula>
    </cfRule>
  </conditionalFormatting>
  <conditionalFormatting sqref="E12457:E12458">
    <cfRule type="cellIs" dxfId="206" priority="153" operator="lessThan">
      <formula>0</formula>
    </cfRule>
  </conditionalFormatting>
  <conditionalFormatting sqref="E12457:E12458">
    <cfRule type="cellIs" dxfId="205" priority="152" operator="lessThan">
      <formula>0</formula>
    </cfRule>
  </conditionalFormatting>
  <conditionalFormatting sqref="E12457:E12458">
    <cfRule type="cellIs" dxfId="204" priority="151" operator="lessThan">
      <formula>0</formula>
    </cfRule>
  </conditionalFormatting>
  <conditionalFormatting sqref="E12457:E12458">
    <cfRule type="cellIs" dxfId="203" priority="150" operator="lessThan">
      <formula>0</formula>
    </cfRule>
  </conditionalFormatting>
  <conditionalFormatting sqref="E12457:E12458">
    <cfRule type="cellIs" dxfId="202" priority="149" operator="lessThan">
      <formula>0</formula>
    </cfRule>
  </conditionalFormatting>
  <conditionalFormatting sqref="E12461:E12462">
    <cfRule type="cellIs" dxfId="201" priority="148" operator="lessThan">
      <formula>0</formula>
    </cfRule>
  </conditionalFormatting>
  <conditionalFormatting sqref="E12461:E12462">
    <cfRule type="cellIs" dxfId="200" priority="147" operator="lessThan">
      <formula>0</formula>
    </cfRule>
  </conditionalFormatting>
  <conditionalFormatting sqref="E12461:E12462">
    <cfRule type="cellIs" dxfId="199" priority="146" operator="lessThan">
      <formula>0</formula>
    </cfRule>
  </conditionalFormatting>
  <conditionalFormatting sqref="E12461:E12462">
    <cfRule type="cellIs" dxfId="198" priority="145" operator="lessThan">
      <formula>0</formula>
    </cfRule>
  </conditionalFormatting>
  <conditionalFormatting sqref="E12461:E12462">
    <cfRule type="cellIs" dxfId="197" priority="144" operator="lessThan">
      <formula>0</formula>
    </cfRule>
  </conditionalFormatting>
  <conditionalFormatting sqref="E12461:E12462">
    <cfRule type="cellIs" dxfId="196" priority="143" operator="lessThan">
      <formula>0</formula>
    </cfRule>
  </conditionalFormatting>
  <conditionalFormatting sqref="E12461:E12462">
    <cfRule type="cellIs" dxfId="195" priority="142" operator="lessThan">
      <formula>0</formula>
    </cfRule>
  </conditionalFormatting>
  <conditionalFormatting sqref="E12461:E12462">
    <cfRule type="cellIs" dxfId="194" priority="141" operator="lessThan">
      <formula>0</formula>
    </cfRule>
  </conditionalFormatting>
  <conditionalFormatting sqref="E12461:E12462">
    <cfRule type="cellIs" dxfId="193" priority="140" operator="lessThan">
      <formula>0</formula>
    </cfRule>
  </conditionalFormatting>
  <conditionalFormatting sqref="E12461:E12462">
    <cfRule type="cellIs" dxfId="192" priority="139" operator="lessThan">
      <formula>0</formula>
    </cfRule>
  </conditionalFormatting>
  <conditionalFormatting sqref="E12460:E12468">
    <cfRule type="cellIs" dxfId="191" priority="138" operator="lessThan">
      <formula>0</formula>
    </cfRule>
  </conditionalFormatting>
  <conditionalFormatting sqref="E12460:E12468">
    <cfRule type="cellIs" dxfId="190" priority="137" operator="lessThan">
      <formula>0</formula>
    </cfRule>
  </conditionalFormatting>
  <conditionalFormatting sqref="E12460:E12468">
    <cfRule type="cellIs" dxfId="189" priority="136" operator="lessThan">
      <formula>0</formula>
    </cfRule>
  </conditionalFormatting>
  <conditionalFormatting sqref="E12460:E12468">
    <cfRule type="cellIs" dxfId="188" priority="135" operator="lessThan">
      <formula>0</formula>
    </cfRule>
  </conditionalFormatting>
  <conditionalFormatting sqref="E12460:E12468">
    <cfRule type="cellIs" dxfId="187" priority="134" operator="lessThan">
      <formula>0</formula>
    </cfRule>
  </conditionalFormatting>
  <conditionalFormatting sqref="E12460:E12468">
    <cfRule type="cellIs" dxfId="186" priority="133" operator="lessThan">
      <formula>0</formula>
    </cfRule>
  </conditionalFormatting>
  <conditionalFormatting sqref="E12460:E12468">
    <cfRule type="cellIs" dxfId="185" priority="132" operator="lessThan">
      <formula>0</formula>
    </cfRule>
  </conditionalFormatting>
  <conditionalFormatting sqref="E12460:E12468">
    <cfRule type="cellIs" dxfId="184" priority="131" operator="lessThan">
      <formula>0</formula>
    </cfRule>
  </conditionalFormatting>
  <conditionalFormatting sqref="E12460:E12468">
    <cfRule type="cellIs" dxfId="183" priority="130" operator="lessThan">
      <formula>0</formula>
    </cfRule>
  </conditionalFormatting>
  <conditionalFormatting sqref="E12460:E12468">
    <cfRule type="cellIs" dxfId="182" priority="129" operator="lessThan">
      <formula>0</formula>
    </cfRule>
  </conditionalFormatting>
  <conditionalFormatting sqref="E12473">
    <cfRule type="cellIs" dxfId="181" priority="128" operator="lessThan">
      <formula>0</formula>
    </cfRule>
  </conditionalFormatting>
  <conditionalFormatting sqref="E12473">
    <cfRule type="cellIs" dxfId="180" priority="127" operator="lessThan">
      <formula>0</formula>
    </cfRule>
  </conditionalFormatting>
  <conditionalFormatting sqref="E12473">
    <cfRule type="cellIs" dxfId="179" priority="126" operator="lessThan">
      <formula>0</formula>
    </cfRule>
  </conditionalFormatting>
  <conditionalFormatting sqref="E12473">
    <cfRule type="cellIs" dxfId="178" priority="125" operator="lessThan">
      <formula>0</formula>
    </cfRule>
  </conditionalFormatting>
  <conditionalFormatting sqref="E12473">
    <cfRule type="cellIs" dxfId="177" priority="124" operator="lessThan">
      <formula>0</formula>
    </cfRule>
  </conditionalFormatting>
  <conditionalFormatting sqref="E12473">
    <cfRule type="cellIs" dxfId="176" priority="123" operator="lessThan">
      <formula>0</formula>
    </cfRule>
  </conditionalFormatting>
  <conditionalFormatting sqref="E12473">
    <cfRule type="cellIs" dxfId="175" priority="122" operator="lessThan">
      <formula>0</formula>
    </cfRule>
  </conditionalFormatting>
  <conditionalFormatting sqref="E12473">
    <cfRule type="cellIs" dxfId="174" priority="121" operator="lessThan">
      <formula>0</formula>
    </cfRule>
  </conditionalFormatting>
  <conditionalFormatting sqref="E12473">
    <cfRule type="cellIs" dxfId="173" priority="120" operator="lessThan">
      <formula>0</formula>
    </cfRule>
  </conditionalFormatting>
  <conditionalFormatting sqref="E12473">
    <cfRule type="cellIs" dxfId="172" priority="119" operator="lessThan">
      <formula>0</formula>
    </cfRule>
  </conditionalFormatting>
  <conditionalFormatting sqref="E12469:E12498">
    <cfRule type="cellIs" dxfId="171" priority="118" operator="lessThan">
      <formula>0</formula>
    </cfRule>
  </conditionalFormatting>
  <conditionalFormatting sqref="E12469:E12498">
    <cfRule type="cellIs" dxfId="170" priority="117" operator="lessThan">
      <formula>0</formula>
    </cfRule>
  </conditionalFormatting>
  <conditionalFormatting sqref="E12469:E12498">
    <cfRule type="cellIs" dxfId="169" priority="116" operator="lessThan">
      <formula>0</formula>
    </cfRule>
  </conditionalFormatting>
  <conditionalFormatting sqref="E12469:E12498">
    <cfRule type="cellIs" dxfId="168" priority="115" operator="lessThan">
      <formula>0</formula>
    </cfRule>
  </conditionalFormatting>
  <conditionalFormatting sqref="E12469:E12498">
    <cfRule type="cellIs" dxfId="167" priority="114" operator="lessThan">
      <formula>0</formula>
    </cfRule>
  </conditionalFormatting>
  <conditionalFormatting sqref="E12469:E12498">
    <cfRule type="cellIs" dxfId="166" priority="113" operator="lessThan">
      <formula>0</formula>
    </cfRule>
  </conditionalFormatting>
  <conditionalFormatting sqref="E12469:E12498">
    <cfRule type="cellIs" dxfId="165" priority="112" operator="lessThan">
      <formula>0</formula>
    </cfRule>
  </conditionalFormatting>
  <conditionalFormatting sqref="E12469:E12498">
    <cfRule type="cellIs" dxfId="164" priority="111" operator="lessThan">
      <formula>0</formula>
    </cfRule>
  </conditionalFormatting>
  <conditionalFormatting sqref="E12469:E12498">
    <cfRule type="cellIs" dxfId="163" priority="110" operator="lessThan">
      <formula>0</formula>
    </cfRule>
  </conditionalFormatting>
  <conditionalFormatting sqref="E12469:E12498">
    <cfRule type="cellIs" dxfId="162" priority="109" operator="lessThan">
      <formula>0</formula>
    </cfRule>
  </conditionalFormatting>
  <conditionalFormatting sqref="E12477:E12478">
    <cfRule type="cellIs" dxfId="161" priority="108" operator="lessThan">
      <formula>0</formula>
    </cfRule>
  </conditionalFormatting>
  <conditionalFormatting sqref="E12477:E12478">
    <cfRule type="cellIs" dxfId="160" priority="107" operator="lessThan">
      <formula>0</formula>
    </cfRule>
  </conditionalFormatting>
  <conditionalFormatting sqref="E12477:E12478">
    <cfRule type="cellIs" dxfId="159" priority="106" operator="lessThan">
      <formula>0</formula>
    </cfRule>
  </conditionalFormatting>
  <conditionalFormatting sqref="E12477:E12478">
    <cfRule type="cellIs" dxfId="158" priority="105" operator="lessThan">
      <formula>0</formula>
    </cfRule>
  </conditionalFormatting>
  <conditionalFormatting sqref="E12477:E12478">
    <cfRule type="cellIs" dxfId="157" priority="104" operator="lessThan">
      <formula>0</formula>
    </cfRule>
  </conditionalFormatting>
  <conditionalFormatting sqref="E12477:E12478">
    <cfRule type="cellIs" dxfId="156" priority="103" operator="lessThan">
      <formula>0</formula>
    </cfRule>
  </conditionalFormatting>
  <conditionalFormatting sqref="E12477:E12478">
    <cfRule type="cellIs" dxfId="155" priority="102" operator="lessThan">
      <formula>0</formula>
    </cfRule>
  </conditionalFormatting>
  <conditionalFormatting sqref="E12477:E12478">
    <cfRule type="cellIs" dxfId="154" priority="101" operator="lessThan">
      <formula>0</formula>
    </cfRule>
  </conditionalFormatting>
  <conditionalFormatting sqref="E12477:E12478">
    <cfRule type="cellIs" dxfId="153" priority="100" operator="lessThan">
      <formula>0</formula>
    </cfRule>
  </conditionalFormatting>
  <conditionalFormatting sqref="E12477:E12478">
    <cfRule type="cellIs" dxfId="152" priority="99" operator="lessThan">
      <formula>0</formula>
    </cfRule>
  </conditionalFormatting>
  <conditionalFormatting sqref="E12479:E12482">
    <cfRule type="cellIs" dxfId="151" priority="98" operator="lessThan">
      <formula>0</formula>
    </cfRule>
  </conditionalFormatting>
  <conditionalFormatting sqref="E12479:E12482">
    <cfRule type="cellIs" dxfId="150" priority="97" operator="lessThan">
      <formula>0</formula>
    </cfRule>
  </conditionalFormatting>
  <conditionalFormatting sqref="E12485:E12498">
    <cfRule type="cellIs" dxfId="149" priority="84" operator="lessThan">
      <formula>0</formula>
    </cfRule>
  </conditionalFormatting>
  <conditionalFormatting sqref="E12485:E12498">
    <cfRule type="cellIs" dxfId="148" priority="83" operator="lessThan">
      <formula>0</formula>
    </cfRule>
  </conditionalFormatting>
  <conditionalFormatting sqref="E12485:E12498">
    <cfRule type="cellIs" dxfId="147" priority="82" operator="lessThan">
      <formula>0</formula>
    </cfRule>
  </conditionalFormatting>
  <conditionalFormatting sqref="E12485:E12498">
    <cfRule type="cellIs" dxfId="146" priority="81" operator="lessThan">
      <formula>0</formula>
    </cfRule>
  </conditionalFormatting>
  <conditionalFormatting sqref="E12485:E12498">
    <cfRule type="cellIs" dxfId="145" priority="80" operator="lessThan">
      <formula>0</formula>
    </cfRule>
  </conditionalFormatting>
  <conditionalFormatting sqref="E12485:E12498">
    <cfRule type="cellIs" dxfId="144" priority="79" operator="lessThan">
      <formula>0</formula>
    </cfRule>
  </conditionalFormatting>
  <conditionalFormatting sqref="E12485:E12498">
    <cfRule type="cellIs" dxfId="143" priority="78" operator="lessThan">
      <formula>0</formula>
    </cfRule>
  </conditionalFormatting>
  <conditionalFormatting sqref="E12485:E12498">
    <cfRule type="cellIs" dxfId="142" priority="77" operator="lessThan">
      <formula>0</formula>
    </cfRule>
  </conditionalFormatting>
  <conditionalFormatting sqref="E12485:E12498">
    <cfRule type="cellIs" dxfId="141" priority="76" operator="lessThan">
      <formula>0</formula>
    </cfRule>
  </conditionalFormatting>
  <conditionalFormatting sqref="E12485:E12498">
    <cfRule type="cellIs" dxfId="140" priority="75" operator="lessThan">
      <formula>0</formula>
    </cfRule>
  </conditionalFormatting>
  <conditionalFormatting sqref="D12483:E12484 E12485:E12490">
    <cfRule type="cellIs" dxfId="139" priority="86" operator="lessThan">
      <formula>0</formula>
    </cfRule>
  </conditionalFormatting>
  <conditionalFormatting sqref="D12483:E12484 E12485:E12490">
    <cfRule type="cellIs" dxfId="138" priority="85" operator="lessThan">
      <formula>0</formula>
    </cfRule>
  </conditionalFormatting>
  <conditionalFormatting sqref="E12553:E12610">
    <cfRule type="cellIs" dxfId="137" priority="62" operator="lessThan">
      <formula>0</formula>
    </cfRule>
  </conditionalFormatting>
  <conditionalFormatting sqref="E12553:E12610">
    <cfRule type="cellIs" dxfId="136" priority="61" operator="lessThan">
      <formula>0</formula>
    </cfRule>
  </conditionalFormatting>
  <conditionalFormatting sqref="E12553:E12610">
    <cfRule type="cellIs" dxfId="135" priority="60" operator="lessThan">
      <formula>0</formula>
    </cfRule>
  </conditionalFormatting>
  <conditionalFormatting sqref="E12553:E12610">
    <cfRule type="cellIs" dxfId="134" priority="59" operator="lessThan">
      <formula>0</formula>
    </cfRule>
  </conditionalFormatting>
  <conditionalFormatting sqref="E12553:E12610">
    <cfRule type="cellIs" dxfId="133" priority="58" operator="lessThan">
      <formula>0</formula>
    </cfRule>
  </conditionalFormatting>
  <conditionalFormatting sqref="E12553:E12610">
    <cfRule type="cellIs" dxfId="132" priority="57" operator="lessThan">
      <formula>0</formula>
    </cfRule>
  </conditionalFormatting>
  <conditionalFormatting sqref="E12553:E12610">
    <cfRule type="cellIs" dxfId="131" priority="56" operator="lessThan">
      <formula>0</formula>
    </cfRule>
  </conditionalFormatting>
  <conditionalFormatting sqref="E12553:E12610">
    <cfRule type="cellIs" dxfId="130" priority="55" operator="lessThan">
      <formula>0</formula>
    </cfRule>
  </conditionalFormatting>
  <conditionalFormatting sqref="E12553:E12610">
    <cfRule type="cellIs" dxfId="129" priority="54" operator="lessThan">
      <formula>0</formula>
    </cfRule>
  </conditionalFormatting>
  <conditionalFormatting sqref="E12553:E12610">
    <cfRule type="cellIs" dxfId="128" priority="53" operator="lessThan">
      <formula>0</formula>
    </cfRule>
  </conditionalFormatting>
  <conditionalFormatting sqref="E12499:E12552">
    <cfRule type="cellIs" dxfId="127" priority="74" operator="lessThan">
      <formula>0</formula>
    </cfRule>
  </conditionalFormatting>
  <conditionalFormatting sqref="E12499:E12552">
    <cfRule type="cellIs" dxfId="126" priority="73" operator="lessThan">
      <formula>0</formula>
    </cfRule>
  </conditionalFormatting>
  <conditionalFormatting sqref="E12499:E12552">
    <cfRule type="cellIs" dxfId="125" priority="72" operator="lessThan">
      <formula>0</formula>
    </cfRule>
  </conditionalFormatting>
  <conditionalFormatting sqref="E12499:E12552">
    <cfRule type="cellIs" dxfId="124" priority="71" operator="lessThan">
      <formula>0</formula>
    </cfRule>
  </conditionalFormatting>
  <conditionalFormatting sqref="E12499:E12552">
    <cfRule type="cellIs" dxfId="123" priority="70" operator="lessThan">
      <formula>0</formula>
    </cfRule>
  </conditionalFormatting>
  <conditionalFormatting sqref="E12499:E12552">
    <cfRule type="cellIs" dxfId="122" priority="69" operator="lessThan">
      <formula>0</formula>
    </cfRule>
  </conditionalFormatting>
  <conditionalFormatting sqref="E12499:E12552">
    <cfRule type="cellIs" dxfId="121" priority="68" operator="lessThan">
      <formula>0</formula>
    </cfRule>
  </conditionalFormatting>
  <conditionalFormatting sqref="E12499:E12552">
    <cfRule type="cellIs" dxfId="120" priority="67" operator="lessThan">
      <formula>0</formula>
    </cfRule>
  </conditionalFormatting>
  <conditionalFormatting sqref="E12499:E12552">
    <cfRule type="cellIs" dxfId="119" priority="66" operator="lessThan">
      <formula>0</formula>
    </cfRule>
  </conditionalFormatting>
  <conditionalFormatting sqref="E12499:E12552">
    <cfRule type="cellIs" dxfId="118" priority="65" operator="lessThan">
      <formula>0</formula>
    </cfRule>
  </conditionalFormatting>
  <conditionalFormatting sqref="D12499:D12639">
    <cfRule type="cellIs" dxfId="117" priority="64" operator="lessThan">
      <formula>0</formula>
    </cfRule>
  </conditionalFormatting>
  <conditionalFormatting sqref="D12499:D12639">
    <cfRule type="cellIs" dxfId="116" priority="63" operator="lessThan">
      <formula>0</formula>
    </cfRule>
  </conditionalFormatting>
  <conditionalFormatting sqref="E12616:E12640">
    <cfRule type="cellIs" dxfId="115" priority="30" operator="lessThan">
      <formula>0</formula>
    </cfRule>
  </conditionalFormatting>
  <conditionalFormatting sqref="E12616:E12640">
    <cfRule type="cellIs" dxfId="114" priority="29" operator="lessThan">
      <formula>0</formula>
    </cfRule>
  </conditionalFormatting>
  <conditionalFormatting sqref="E12616:E12640">
    <cfRule type="cellIs" dxfId="113" priority="28" operator="lessThan">
      <formula>0</formula>
    </cfRule>
  </conditionalFormatting>
  <conditionalFormatting sqref="E12616:E12640">
    <cfRule type="cellIs" dxfId="112" priority="27" operator="lessThan">
      <formula>0</formula>
    </cfRule>
  </conditionalFormatting>
  <conditionalFormatting sqref="E12616:E12640">
    <cfRule type="cellIs" dxfId="111" priority="26" operator="lessThan">
      <formula>0</formula>
    </cfRule>
  </conditionalFormatting>
  <conditionalFormatting sqref="E12616:E12640">
    <cfRule type="cellIs" dxfId="110" priority="25" operator="lessThan">
      <formula>0</formula>
    </cfRule>
  </conditionalFormatting>
  <conditionalFormatting sqref="E12616:E12640">
    <cfRule type="cellIs" dxfId="109" priority="24" operator="lessThan">
      <formula>0</formula>
    </cfRule>
  </conditionalFormatting>
  <conditionalFormatting sqref="E12616:E12640">
    <cfRule type="cellIs" dxfId="108" priority="23" operator="lessThan">
      <formula>0</formula>
    </cfRule>
  </conditionalFormatting>
  <conditionalFormatting sqref="E12616:E12640">
    <cfRule type="cellIs" dxfId="107" priority="22" operator="lessThan">
      <formula>0</formula>
    </cfRule>
  </conditionalFormatting>
  <conditionalFormatting sqref="E12616:E12640">
    <cfRule type="cellIs" dxfId="106" priority="21" operator="lessThan">
      <formula>0</formula>
    </cfRule>
  </conditionalFormatting>
  <conditionalFormatting sqref="E12607:E12608">
    <cfRule type="cellIs" dxfId="105" priority="52" operator="lessThan">
      <formula>0</formula>
    </cfRule>
  </conditionalFormatting>
  <conditionalFormatting sqref="E12607:E12608">
    <cfRule type="cellIs" dxfId="104" priority="51" operator="lessThan">
      <formula>0</formula>
    </cfRule>
  </conditionalFormatting>
  <conditionalFormatting sqref="E12607:E12608">
    <cfRule type="cellIs" dxfId="103" priority="50" operator="lessThan">
      <formula>0</formula>
    </cfRule>
  </conditionalFormatting>
  <conditionalFormatting sqref="E12607:E12608">
    <cfRule type="cellIs" dxfId="102" priority="49" operator="lessThan">
      <formula>0</formula>
    </cfRule>
  </conditionalFormatting>
  <conditionalFormatting sqref="E12607:E12608">
    <cfRule type="cellIs" dxfId="101" priority="48" operator="lessThan">
      <formula>0</formula>
    </cfRule>
  </conditionalFormatting>
  <conditionalFormatting sqref="E12607:E12608">
    <cfRule type="cellIs" dxfId="100" priority="47" operator="lessThan">
      <formula>0</formula>
    </cfRule>
  </conditionalFormatting>
  <conditionalFormatting sqref="E12607:E12608">
    <cfRule type="cellIs" dxfId="99" priority="46" operator="lessThan">
      <formula>0</formula>
    </cfRule>
  </conditionalFormatting>
  <conditionalFormatting sqref="E12607:E12608">
    <cfRule type="cellIs" dxfId="98" priority="45" operator="lessThan">
      <formula>0</formula>
    </cfRule>
  </conditionalFormatting>
  <conditionalFormatting sqref="E12607:E12608">
    <cfRule type="cellIs" dxfId="97" priority="44" operator="lessThan">
      <formula>0</formula>
    </cfRule>
  </conditionalFormatting>
  <conditionalFormatting sqref="E12607:E12608">
    <cfRule type="cellIs" dxfId="96" priority="43" operator="lessThan">
      <formula>0</formula>
    </cfRule>
  </conditionalFormatting>
  <conditionalFormatting sqref="E12611:E12615">
    <cfRule type="cellIs" dxfId="95" priority="42" operator="lessThan">
      <formula>0</formula>
    </cfRule>
  </conditionalFormatting>
  <conditionalFormatting sqref="E12611:E12615">
    <cfRule type="cellIs" dxfId="94" priority="41" operator="lessThan">
      <formula>0</formula>
    </cfRule>
  </conditionalFormatting>
  <conditionalFormatting sqref="E12611:E12615">
    <cfRule type="cellIs" dxfId="93" priority="40" operator="lessThan">
      <formula>0</formula>
    </cfRule>
  </conditionalFormatting>
  <conditionalFormatting sqref="E12611:E12615">
    <cfRule type="cellIs" dxfId="92" priority="39" operator="lessThan">
      <formula>0</formula>
    </cfRule>
  </conditionalFormatting>
  <conditionalFormatting sqref="E12611:E12615">
    <cfRule type="cellIs" dxfId="91" priority="38" operator="lessThan">
      <formula>0</formula>
    </cfRule>
  </conditionalFormatting>
  <conditionalFormatting sqref="E12611:E12615">
    <cfRule type="cellIs" dxfId="90" priority="37" operator="lessThan">
      <formula>0</formula>
    </cfRule>
  </conditionalFormatting>
  <conditionalFormatting sqref="E12611:E12615">
    <cfRule type="cellIs" dxfId="89" priority="36" operator="lessThan">
      <formula>0</formula>
    </cfRule>
  </conditionalFormatting>
  <conditionalFormatting sqref="E12611:E12615">
    <cfRule type="cellIs" dxfId="88" priority="35" operator="lessThan">
      <formula>0</formula>
    </cfRule>
  </conditionalFormatting>
  <conditionalFormatting sqref="E12611:E12615">
    <cfRule type="cellIs" dxfId="87" priority="34" operator="lessThan">
      <formula>0</formula>
    </cfRule>
  </conditionalFormatting>
  <conditionalFormatting sqref="E12611:E12615">
    <cfRule type="cellIs" dxfId="86" priority="33" operator="lessThan">
      <formula>0</formula>
    </cfRule>
  </conditionalFormatting>
  <conditionalFormatting sqref="E12616:E12640">
    <cfRule type="cellIs" dxfId="85" priority="32" operator="lessThan">
      <formula>0</formula>
    </cfRule>
  </conditionalFormatting>
  <conditionalFormatting sqref="E12616:E12640">
    <cfRule type="cellIs" dxfId="84" priority="31" operator="lessThan">
      <formula>0</formula>
    </cfRule>
  </conditionalFormatting>
  <conditionalFormatting sqref="D12640">
    <cfRule type="cellIs" dxfId="83" priority="20" operator="lessThan">
      <formula>0</formula>
    </cfRule>
  </conditionalFormatting>
  <conditionalFormatting sqref="D12640">
    <cfRule type="cellIs" dxfId="82" priority="19" operator="lessThan">
      <formula>0</formula>
    </cfRule>
  </conditionalFormatting>
  <conditionalFormatting sqref="D12641">
    <cfRule type="cellIs" dxfId="81" priority="18" operator="lessThan">
      <formula>0</formula>
    </cfRule>
  </conditionalFormatting>
  <conditionalFormatting sqref="D12641">
    <cfRule type="cellIs" dxfId="80" priority="17" operator="lessThan">
      <formula>0</formula>
    </cfRule>
  </conditionalFormatting>
  <conditionalFormatting sqref="D12642">
    <cfRule type="cellIs" dxfId="79" priority="16" operator="lessThan">
      <formula>0</formula>
    </cfRule>
  </conditionalFormatting>
  <conditionalFormatting sqref="D12642">
    <cfRule type="cellIs" dxfId="78" priority="15" operator="lessThan">
      <formula>0</formula>
    </cfRule>
  </conditionalFormatting>
  <conditionalFormatting sqref="D12643">
    <cfRule type="cellIs" dxfId="77" priority="14" operator="lessThan">
      <formula>0</formula>
    </cfRule>
  </conditionalFormatting>
  <conditionalFormatting sqref="D12643">
    <cfRule type="cellIs" dxfId="76" priority="13" operator="lessThan">
      <formula>0</formula>
    </cfRule>
  </conditionalFormatting>
  <conditionalFormatting sqref="D12644">
    <cfRule type="cellIs" dxfId="75" priority="12" operator="lessThan">
      <formula>0</formula>
    </cfRule>
  </conditionalFormatting>
  <conditionalFormatting sqref="D12644">
    <cfRule type="cellIs" dxfId="74" priority="11" operator="lessThan">
      <formula>0</formula>
    </cfRule>
  </conditionalFormatting>
  <conditionalFormatting sqref="D12645">
    <cfRule type="cellIs" dxfId="73" priority="10" operator="lessThan">
      <formula>0</formula>
    </cfRule>
  </conditionalFormatting>
  <conditionalFormatting sqref="D12645">
    <cfRule type="cellIs" dxfId="72" priority="9" operator="lessThan">
      <formula>0</formula>
    </cfRule>
  </conditionalFormatting>
  <conditionalFormatting sqref="D12646">
    <cfRule type="cellIs" dxfId="71" priority="8" operator="lessThan">
      <formula>0</formula>
    </cfRule>
  </conditionalFormatting>
  <conditionalFormatting sqref="D12646">
    <cfRule type="cellIs" dxfId="70" priority="7" operator="lessThan">
      <formula>0</formula>
    </cfRule>
  </conditionalFormatting>
  <conditionalFormatting sqref="E12667:E12673">
    <cfRule type="cellIs" dxfId="69" priority="6" operator="lessThan">
      <formula>0</formula>
    </cfRule>
  </conditionalFormatting>
  <conditionalFormatting sqref="E12667:E12673">
    <cfRule type="cellIs" dxfId="68" priority="5" operator="lessThan">
      <formula>0</formula>
    </cfRule>
  </conditionalFormatting>
  <conditionalFormatting sqref="E12686:E12689">
    <cfRule type="cellIs" dxfId="67" priority="4" operator="lessThan">
      <formula>0</formula>
    </cfRule>
  </conditionalFormatting>
  <conditionalFormatting sqref="E12686:E12689">
    <cfRule type="cellIs" dxfId="66" priority="3" operator="lessThan">
      <formula>0</formula>
    </cfRule>
  </conditionalFormatting>
  <conditionalFormatting sqref="E12695:E12700">
    <cfRule type="cellIs" dxfId="65" priority="2" operator="lessThan">
      <formula>0</formula>
    </cfRule>
  </conditionalFormatting>
  <conditionalFormatting sqref="E12695:E12700">
    <cfRule type="cellIs" dxfId="6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0">
    <tabColor rgb="FFC00000"/>
  </sheetPr>
  <dimension ref="A1:J1242"/>
  <sheetViews>
    <sheetView zoomScaleNormal="100" workbookViewId="0">
      <selection activeCell="A181" sqref="A181:J1241"/>
    </sheetView>
  </sheetViews>
  <sheetFormatPr defaultRowHeight="12.75"/>
  <cols>
    <col min="1" max="1" width="5" style="420" customWidth="1"/>
    <col min="2" max="2" width="14.140625" style="420" bestFit="1" customWidth="1"/>
    <col min="3" max="3" width="18" style="420" bestFit="1" customWidth="1"/>
    <col min="4" max="4" width="30.42578125" style="420" customWidth="1"/>
    <col min="5" max="5" width="35.42578125" style="420" customWidth="1"/>
    <col min="6" max="6" width="16.28515625" style="420" bestFit="1" customWidth="1"/>
    <col min="7" max="7" width="14.5703125" style="420" customWidth="1"/>
    <col min="8" max="8" width="17" style="420" customWidth="1"/>
    <col min="9" max="9" width="14.5703125" style="420" customWidth="1"/>
    <col min="10" max="10" width="23.28515625" style="420" bestFit="1" customWidth="1"/>
    <col min="11" max="256" width="9.140625" style="420"/>
    <col min="257" max="257" width="5" style="420" customWidth="1"/>
    <col min="258" max="258" width="14.140625" style="420" bestFit="1" customWidth="1"/>
    <col min="259" max="259" width="15.140625" style="420" bestFit="1" customWidth="1"/>
    <col min="260" max="260" width="30.42578125" style="420" customWidth="1"/>
    <col min="261" max="261" width="35.42578125" style="420" customWidth="1"/>
    <col min="262" max="262" width="13.140625" style="420" customWidth="1"/>
    <col min="263" max="263" width="14.5703125" style="420" customWidth="1"/>
    <col min="264" max="264" width="17" style="420" customWidth="1"/>
    <col min="265" max="265" width="14.5703125" style="420" customWidth="1"/>
    <col min="266" max="266" width="15.85546875" style="420" customWidth="1"/>
    <col min="267" max="512" width="9.140625" style="420"/>
    <col min="513" max="513" width="5" style="420" customWidth="1"/>
    <col min="514" max="514" width="14.140625" style="420" bestFit="1" customWidth="1"/>
    <col min="515" max="515" width="15.140625" style="420" bestFit="1" customWidth="1"/>
    <col min="516" max="516" width="30.42578125" style="420" customWidth="1"/>
    <col min="517" max="517" width="35.42578125" style="420" customWidth="1"/>
    <col min="518" max="518" width="13.140625" style="420" customWidth="1"/>
    <col min="519" max="519" width="14.5703125" style="420" customWidth="1"/>
    <col min="520" max="520" width="17" style="420" customWidth="1"/>
    <col min="521" max="521" width="14.5703125" style="420" customWidth="1"/>
    <col min="522" max="522" width="15.85546875" style="420" customWidth="1"/>
    <col min="523" max="768" width="9.140625" style="420"/>
    <col min="769" max="769" width="5" style="420" customWidth="1"/>
    <col min="770" max="770" width="14.140625" style="420" bestFit="1" customWidth="1"/>
    <col min="771" max="771" width="15.140625" style="420" bestFit="1" customWidth="1"/>
    <col min="772" max="772" width="30.42578125" style="420" customWidth="1"/>
    <col min="773" max="773" width="35.42578125" style="420" customWidth="1"/>
    <col min="774" max="774" width="13.140625" style="420" customWidth="1"/>
    <col min="775" max="775" width="14.5703125" style="420" customWidth="1"/>
    <col min="776" max="776" width="17" style="420" customWidth="1"/>
    <col min="777" max="777" width="14.5703125" style="420" customWidth="1"/>
    <col min="778" max="778" width="15.85546875" style="420" customWidth="1"/>
    <col min="779" max="1024" width="9.140625" style="420"/>
    <col min="1025" max="1025" width="5" style="420" customWidth="1"/>
    <col min="1026" max="1026" width="14.140625" style="420" bestFit="1" customWidth="1"/>
    <col min="1027" max="1027" width="15.140625" style="420" bestFit="1" customWidth="1"/>
    <col min="1028" max="1028" width="30.42578125" style="420" customWidth="1"/>
    <col min="1029" max="1029" width="35.42578125" style="420" customWidth="1"/>
    <col min="1030" max="1030" width="13.140625" style="420" customWidth="1"/>
    <col min="1031" max="1031" width="14.5703125" style="420" customWidth="1"/>
    <col min="1032" max="1032" width="17" style="420" customWidth="1"/>
    <col min="1033" max="1033" width="14.5703125" style="420" customWidth="1"/>
    <col min="1034" max="1034" width="15.85546875" style="420" customWidth="1"/>
    <col min="1035" max="1280" width="9.140625" style="420"/>
    <col min="1281" max="1281" width="5" style="420" customWidth="1"/>
    <col min="1282" max="1282" width="14.140625" style="420" bestFit="1" customWidth="1"/>
    <col min="1283" max="1283" width="15.140625" style="420" bestFit="1" customWidth="1"/>
    <col min="1284" max="1284" width="30.42578125" style="420" customWidth="1"/>
    <col min="1285" max="1285" width="35.42578125" style="420" customWidth="1"/>
    <col min="1286" max="1286" width="13.140625" style="420" customWidth="1"/>
    <col min="1287" max="1287" width="14.5703125" style="420" customWidth="1"/>
    <col min="1288" max="1288" width="17" style="420" customWidth="1"/>
    <col min="1289" max="1289" width="14.5703125" style="420" customWidth="1"/>
    <col min="1290" max="1290" width="15.85546875" style="420" customWidth="1"/>
    <col min="1291" max="1536" width="9.140625" style="420"/>
    <col min="1537" max="1537" width="5" style="420" customWidth="1"/>
    <col min="1538" max="1538" width="14.140625" style="420" bestFit="1" customWidth="1"/>
    <col min="1539" max="1539" width="15.140625" style="420" bestFit="1" customWidth="1"/>
    <col min="1540" max="1540" width="30.42578125" style="420" customWidth="1"/>
    <col min="1541" max="1541" width="35.42578125" style="420" customWidth="1"/>
    <col min="1542" max="1542" width="13.140625" style="420" customWidth="1"/>
    <col min="1543" max="1543" width="14.5703125" style="420" customWidth="1"/>
    <col min="1544" max="1544" width="17" style="420" customWidth="1"/>
    <col min="1545" max="1545" width="14.5703125" style="420" customWidth="1"/>
    <col min="1546" max="1546" width="15.85546875" style="420" customWidth="1"/>
    <col min="1547" max="1792" width="9.140625" style="420"/>
    <col min="1793" max="1793" width="5" style="420" customWidth="1"/>
    <col min="1794" max="1794" width="14.140625" style="420" bestFit="1" customWidth="1"/>
    <col min="1795" max="1795" width="15.140625" style="420" bestFit="1" customWidth="1"/>
    <col min="1796" max="1796" width="30.42578125" style="420" customWidth="1"/>
    <col min="1797" max="1797" width="35.42578125" style="420" customWidth="1"/>
    <col min="1798" max="1798" width="13.140625" style="420" customWidth="1"/>
    <col min="1799" max="1799" width="14.5703125" style="420" customWidth="1"/>
    <col min="1800" max="1800" width="17" style="420" customWidth="1"/>
    <col min="1801" max="1801" width="14.5703125" style="420" customWidth="1"/>
    <col min="1802" max="1802" width="15.85546875" style="420" customWidth="1"/>
    <col min="1803" max="2048" width="9.140625" style="420"/>
    <col min="2049" max="2049" width="5" style="420" customWidth="1"/>
    <col min="2050" max="2050" width="14.140625" style="420" bestFit="1" customWidth="1"/>
    <col min="2051" max="2051" width="15.140625" style="420" bestFit="1" customWidth="1"/>
    <col min="2052" max="2052" width="30.42578125" style="420" customWidth="1"/>
    <col min="2053" max="2053" width="35.42578125" style="420" customWidth="1"/>
    <col min="2054" max="2054" width="13.140625" style="420" customWidth="1"/>
    <col min="2055" max="2055" width="14.5703125" style="420" customWidth="1"/>
    <col min="2056" max="2056" width="17" style="420" customWidth="1"/>
    <col min="2057" max="2057" width="14.5703125" style="420" customWidth="1"/>
    <col min="2058" max="2058" width="15.85546875" style="420" customWidth="1"/>
    <col min="2059" max="2304" width="9.140625" style="420"/>
    <col min="2305" max="2305" width="5" style="420" customWidth="1"/>
    <col min="2306" max="2306" width="14.140625" style="420" bestFit="1" customWidth="1"/>
    <col min="2307" max="2307" width="15.140625" style="420" bestFit="1" customWidth="1"/>
    <col min="2308" max="2308" width="30.42578125" style="420" customWidth="1"/>
    <col min="2309" max="2309" width="35.42578125" style="420" customWidth="1"/>
    <col min="2310" max="2310" width="13.140625" style="420" customWidth="1"/>
    <col min="2311" max="2311" width="14.5703125" style="420" customWidth="1"/>
    <col min="2312" max="2312" width="17" style="420" customWidth="1"/>
    <col min="2313" max="2313" width="14.5703125" style="420" customWidth="1"/>
    <col min="2314" max="2314" width="15.85546875" style="420" customWidth="1"/>
    <col min="2315" max="2560" width="9.140625" style="420"/>
    <col min="2561" max="2561" width="5" style="420" customWidth="1"/>
    <col min="2562" max="2562" width="14.140625" style="420" bestFit="1" customWidth="1"/>
    <col min="2563" max="2563" width="15.140625" style="420" bestFit="1" customWidth="1"/>
    <col min="2564" max="2564" width="30.42578125" style="420" customWidth="1"/>
    <col min="2565" max="2565" width="35.42578125" style="420" customWidth="1"/>
    <col min="2566" max="2566" width="13.140625" style="420" customWidth="1"/>
    <col min="2567" max="2567" width="14.5703125" style="420" customWidth="1"/>
    <col min="2568" max="2568" width="17" style="420" customWidth="1"/>
    <col min="2569" max="2569" width="14.5703125" style="420" customWidth="1"/>
    <col min="2570" max="2570" width="15.85546875" style="420" customWidth="1"/>
    <col min="2571" max="2816" width="9.140625" style="420"/>
    <col min="2817" max="2817" width="5" style="420" customWidth="1"/>
    <col min="2818" max="2818" width="14.140625" style="420" bestFit="1" customWidth="1"/>
    <col min="2819" max="2819" width="15.140625" style="420" bestFit="1" customWidth="1"/>
    <col min="2820" max="2820" width="30.42578125" style="420" customWidth="1"/>
    <col min="2821" max="2821" width="35.42578125" style="420" customWidth="1"/>
    <col min="2822" max="2822" width="13.140625" style="420" customWidth="1"/>
    <col min="2823" max="2823" width="14.5703125" style="420" customWidth="1"/>
    <col min="2824" max="2824" width="17" style="420" customWidth="1"/>
    <col min="2825" max="2825" width="14.5703125" style="420" customWidth="1"/>
    <col min="2826" max="2826" width="15.85546875" style="420" customWidth="1"/>
    <col min="2827" max="3072" width="9.140625" style="420"/>
    <col min="3073" max="3073" width="5" style="420" customWidth="1"/>
    <col min="3074" max="3074" width="14.140625" style="420" bestFit="1" customWidth="1"/>
    <col min="3075" max="3075" width="15.140625" style="420" bestFit="1" customWidth="1"/>
    <col min="3076" max="3076" width="30.42578125" style="420" customWidth="1"/>
    <col min="3077" max="3077" width="35.42578125" style="420" customWidth="1"/>
    <col min="3078" max="3078" width="13.140625" style="420" customWidth="1"/>
    <col min="3079" max="3079" width="14.5703125" style="420" customWidth="1"/>
    <col min="3080" max="3080" width="17" style="420" customWidth="1"/>
    <col min="3081" max="3081" width="14.5703125" style="420" customWidth="1"/>
    <col min="3082" max="3082" width="15.85546875" style="420" customWidth="1"/>
    <col min="3083" max="3328" width="9.140625" style="420"/>
    <col min="3329" max="3329" width="5" style="420" customWidth="1"/>
    <col min="3330" max="3330" width="14.140625" style="420" bestFit="1" customWidth="1"/>
    <col min="3331" max="3331" width="15.140625" style="420" bestFit="1" customWidth="1"/>
    <col min="3332" max="3332" width="30.42578125" style="420" customWidth="1"/>
    <col min="3333" max="3333" width="35.42578125" style="420" customWidth="1"/>
    <col min="3334" max="3334" width="13.140625" style="420" customWidth="1"/>
    <col min="3335" max="3335" width="14.5703125" style="420" customWidth="1"/>
    <col min="3336" max="3336" width="17" style="420" customWidth="1"/>
    <col min="3337" max="3337" width="14.5703125" style="420" customWidth="1"/>
    <col min="3338" max="3338" width="15.85546875" style="420" customWidth="1"/>
    <col min="3339" max="3584" width="9.140625" style="420"/>
    <col min="3585" max="3585" width="5" style="420" customWidth="1"/>
    <col min="3586" max="3586" width="14.140625" style="420" bestFit="1" customWidth="1"/>
    <col min="3587" max="3587" width="15.140625" style="420" bestFit="1" customWidth="1"/>
    <col min="3588" max="3588" width="30.42578125" style="420" customWidth="1"/>
    <col min="3589" max="3589" width="35.42578125" style="420" customWidth="1"/>
    <col min="3590" max="3590" width="13.140625" style="420" customWidth="1"/>
    <col min="3591" max="3591" width="14.5703125" style="420" customWidth="1"/>
    <col min="3592" max="3592" width="17" style="420" customWidth="1"/>
    <col min="3593" max="3593" width="14.5703125" style="420" customWidth="1"/>
    <col min="3594" max="3594" width="15.85546875" style="420" customWidth="1"/>
    <col min="3595" max="3840" width="9.140625" style="420"/>
    <col min="3841" max="3841" width="5" style="420" customWidth="1"/>
    <col min="3842" max="3842" width="14.140625" style="420" bestFit="1" customWidth="1"/>
    <col min="3843" max="3843" width="15.140625" style="420" bestFit="1" customWidth="1"/>
    <col min="3844" max="3844" width="30.42578125" style="420" customWidth="1"/>
    <col min="3845" max="3845" width="35.42578125" style="420" customWidth="1"/>
    <col min="3846" max="3846" width="13.140625" style="420" customWidth="1"/>
    <col min="3847" max="3847" width="14.5703125" style="420" customWidth="1"/>
    <col min="3848" max="3848" width="17" style="420" customWidth="1"/>
    <col min="3849" max="3849" width="14.5703125" style="420" customWidth="1"/>
    <col min="3850" max="3850" width="15.85546875" style="420" customWidth="1"/>
    <col min="3851" max="4096" width="9.140625" style="420"/>
    <col min="4097" max="4097" width="5" style="420" customWidth="1"/>
    <col min="4098" max="4098" width="14.140625" style="420" bestFit="1" customWidth="1"/>
    <col min="4099" max="4099" width="15.140625" style="420" bestFit="1" customWidth="1"/>
    <col min="4100" max="4100" width="30.42578125" style="420" customWidth="1"/>
    <col min="4101" max="4101" width="35.42578125" style="420" customWidth="1"/>
    <col min="4102" max="4102" width="13.140625" style="420" customWidth="1"/>
    <col min="4103" max="4103" width="14.5703125" style="420" customWidth="1"/>
    <col min="4104" max="4104" width="17" style="420" customWidth="1"/>
    <col min="4105" max="4105" width="14.5703125" style="420" customWidth="1"/>
    <col min="4106" max="4106" width="15.85546875" style="420" customWidth="1"/>
    <col min="4107" max="4352" width="9.140625" style="420"/>
    <col min="4353" max="4353" width="5" style="420" customWidth="1"/>
    <col min="4354" max="4354" width="14.140625" style="420" bestFit="1" customWidth="1"/>
    <col min="4355" max="4355" width="15.140625" style="420" bestFit="1" customWidth="1"/>
    <col min="4356" max="4356" width="30.42578125" style="420" customWidth="1"/>
    <col min="4357" max="4357" width="35.42578125" style="420" customWidth="1"/>
    <col min="4358" max="4358" width="13.140625" style="420" customWidth="1"/>
    <col min="4359" max="4359" width="14.5703125" style="420" customWidth="1"/>
    <col min="4360" max="4360" width="17" style="420" customWidth="1"/>
    <col min="4361" max="4361" width="14.5703125" style="420" customWidth="1"/>
    <col min="4362" max="4362" width="15.85546875" style="420" customWidth="1"/>
    <col min="4363" max="4608" width="9.140625" style="420"/>
    <col min="4609" max="4609" width="5" style="420" customWidth="1"/>
    <col min="4610" max="4610" width="14.140625" style="420" bestFit="1" customWidth="1"/>
    <col min="4611" max="4611" width="15.140625" style="420" bestFit="1" customWidth="1"/>
    <col min="4612" max="4612" width="30.42578125" style="420" customWidth="1"/>
    <col min="4613" max="4613" width="35.42578125" style="420" customWidth="1"/>
    <col min="4614" max="4614" width="13.140625" style="420" customWidth="1"/>
    <col min="4615" max="4615" width="14.5703125" style="420" customWidth="1"/>
    <col min="4616" max="4616" width="17" style="420" customWidth="1"/>
    <col min="4617" max="4617" width="14.5703125" style="420" customWidth="1"/>
    <col min="4618" max="4618" width="15.85546875" style="420" customWidth="1"/>
    <col min="4619" max="4864" width="9.140625" style="420"/>
    <col min="4865" max="4865" width="5" style="420" customWidth="1"/>
    <col min="4866" max="4866" width="14.140625" style="420" bestFit="1" customWidth="1"/>
    <col min="4867" max="4867" width="15.140625" style="420" bestFit="1" customWidth="1"/>
    <col min="4868" max="4868" width="30.42578125" style="420" customWidth="1"/>
    <col min="4869" max="4869" width="35.42578125" style="420" customWidth="1"/>
    <col min="4870" max="4870" width="13.140625" style="420" customWidth="1"/>
    <col min="4871" max="4871" width="14.5703125" style="420" customWidth="1"/>
    <col min="4872" max="4872" width="17" style="420" customWidth="1"/>
    <col min="4873" max="4873" width="14.5703125" style="420" customWidth="1"/>
    <col min="4874" max="4874" width="15.85546875" style="420" customWidth="1"/>
    <col min="4875" max="5120" width="9.140625" style="420"/>
    <col min="5121" max="5121" width="5" style="420" customWidth="1"/>
    <col min="5122" max="5122" width="14.140625" style="420" bestFit="1" customWidth="1"/>
    <col min="5123" max="5123" width="15.140625" style="420" bestFit="1" customWidth="1"/>
    <col min="5124" max="5124" width="30.42578125" style="420" customWidth="1"/>
    <col min="5125" max="5125" width="35.42578125" style="420" customWidth="1"/>
    <col min="5126" max="5126" width="13.140625" style="420" customWidth="1"/>
    <col min="5127" max="5127" width="14.5703125" style="420" customWidth="1"/>
    <col min="5128" max="5128" width="17" style="420" customWidth="1"/>
    <col min="5129" max="5129" width="14.5703125" style="420" customWidth="1"/>
    <col min="5130" max="5130" width="15.85546875" style="420" customWidth="1"/>
    <col min="5131" max="5376" width="9.140625" style="420"/>
    <col min="5377" max="5377" width="5" style="420" customWidth="1"/>
    <col min="5378" max="5378" width="14.140625" style="420" bestFit="1" customWidth="1"/>
    <col min="5379" max="5379" width="15.140625" style="420" bestFit="1" customWidth="1"/>
    <col min="5380" max="5380" width="30.42578125" style="420" customWidth="1"/>
    <col min="5381" max="5381" width="35.42578125" style="420" customWidth="1"/>
    <col min="5382" max="5382" width="13.140625" style="420" customWidth="1"/>
    <col min="5383" max="5383" width="14.5703125" style="420" customWidth="1"/>
    <col min="5384" max="5384" width="17" style="420" customWidth="1"/>
    <col min="5385" max="5385" width="14.5703125" style="420" customWidth="1"/>
    <col min="5386" max="5386" width="15.85546875" style="420" customWidth="1"/>
    <col min="5387" max="5632" width="9.140625" style="420"/>
    <col min="5633" max="5633" width="5" style="420" customWidth="1"/>
    <col min="5634" max="5634" width="14.140625" style="420" bestFit="1" customWidth="1"/>
    <col min="5635" max="5635" width="15.140625" style="420" bestFit="1" customWidth="1"/>
    <col min="5636" max="5636" width="30.42578125" style="420" customWidth="1"/>
    <col min="5637" max="5637" width="35.42578125" style="420" customWidth="1"/>
    <col min="5638" max="5638" width="13.140625" style="420" customWidth="1"/>
    <col min="5639" max="5639" width="14.5703125" style="420" customWidth="1"/>
    <col min="5640" max="5640" width="17" style="420" customWidth="1"/>
    <col min="5641" max="5641" width="14.5703125" style="420" customWidth="1"/>
    <col min="5642" max="5642" width="15.85546875" style="420" customWidth="1"/>
    <col min="5643" max="5888" width="9.140625" style="420"/>
    <col min="5889" max="5889" width="5" style="420" customWidth="1"/>
    <col min="5890" max="5890" width="14.140625" style="420" bestFit="1" customWidth="1"/>
    <col min="5891" max="5891" width="15.140625" style="420" bestFit="1" customWidth="1"/>
    <col min="5892" max="5892" width="30.42578125" style="420" customWidth="1"/>
    <col min="5893" max="5893" width="35.42578125" style="420" customWidth="1"/>
    <col min="5894" max="5894" width="13.140625" style="420" customWidth="1"/>
    <col min="5895" max="5895" width="14.5703125" style="420" customWidth="1"/>
    <col min="5896" max="5896" width="17" style="420" customWidth="1"/>
    <col min="5897" max="5897" width="14.5703125" style="420" customWidth="1"/>
    <col min="5898" max="5898" width="15.85546875" style="420" customWidth="1"/>
    <col min="5899" max="6144" width="9.140625" style="420"/>
    <col min="6145" max="6145" width="5" style="420" customWidth="1"/>
    <col min="6146" max="6146" width="14.140625" style="420" bestFit="1" customWidth="1"/>
    <col min="6147" max="6147" width="15.140625" style="420" bestFit="1" customWidth="1"/>
    <col min="6148" max="6148" width="30.42578125" style="420" customWidth="1"/>
    <col min="6149" max="6149" width="35.42578125" style="420" customWidth="1"/>
    <col min="6150" max="6150" width="13.140625" style="420" customWidth="1"/>
    <col min="6151" max="6151" width="14.5703125" style="420" customWidth="1"/>
    <col min="6152" max="6152" width="17" style="420" customWidth="1"/>
    <col min="6153" max="6153" width="14.5703125" style="420" customWidth="1"/>
    <col min="6154" max="6154" width="15.85546875" style="420" customWidth="1"/>
    <col min="6155" max="6400" width="9.140625" style="420"/>
    <col min="6401" max="6401" width="5" style="420" customWidth="1"/>
    <col min="6402" max="6402" width="14.140625" style="420" bestFit="1" customWidth="1"/>
    <col min="6403" max="6403" width="15.140625" style="420" bestFit="1" customWidth="1"/>
    <col min="6404" max="6404" width="30.42578125" style="420" customWidth="1"/>
    <col min="6405" max="6405" width="35.42578125" style="420" customWidth="1"/>
    <col min="6406" max="6406" width="13.140625" style="420" customWidth="1"/>
    <col min="6407" max="6407" width="14.5703125" style="420" customWidth="1"/>
    <col min="6408" max="6408" width="17" style="420" customWidth="1"/>
    <col min="6409" max="6409" width="14.5703125" style="420" customWidth="1"/>
    <col min="6410" max="6410" width="15.85546875" style="420" customWidth="1"/>
    <col min="6411" max="6656" width="9.140625" style="420"/>
    <col min="6657" max="6657" width="5" style="420" customWidth="1"/>
    <col min="6658" max="6658" width="14.140625" style="420" bestFit="1" customWidth="1"/>
    <col min="6659" max="6659" width="15.140625" style="420" bestFit="1" customWidth="1"/>
    <col min="6660" max="6660" width="30.42578125" style="420" customWidth="1"/>
    <col min="6661" max="6661" width="35.42578125" style="420" customWidth="1"/>
    <col min="6662" max="6662" width="13.140625" style="420" customWidth="1"/>
    <col min="6663" max="6663" width="14.5703125" style="420" customWidth="1"/>
    <col min="6664" max="6664" width="17" style="420" customWidth="1"/>
    <col min="6665" max="6665" width="14.5703125" style="420" customWidth="1"/>
    <col min="6666" max="6666" width="15.85546875" style="420" customWidth="1"/>
    <col min="6667" max="6912" width="9.140625" style="420"/>
    <col min="6913" max="6913" width="5" style="420" customWidth="1"/>
    <col min="6914" max="6914" width="14.140625" style="420" bestFit="1" customWidth="1"/>
    <col min="6915" max="6915" width="15.140625" style="420" bestFit="1" customWidth="1"/>
    <col min="6916" max="6916" width="30.42578125" style="420" customWidth="1"/>
    <col min="6917" max="6917" width="35.42578125" style="420" customWidth="1"/>
    <col min="6918" max="6918" width="13.140625" style="420" customWidth="1"/>
    <col min="6919" max="6919" width="14.5703125" style="420" customWidth="1"/>
    <col min="6920" max="6920" width="17" style="420" customWidth="1"/>
    <col min="6921" max="6921" width="14.5703125" style="420" customWidth="1"/>
    <col min="6922" max="6922" width="15.85546875" style="420" customWidth="1"/>
    <col min="6923" max="7168" width="9.140625" style="420"/>
    <col min="7169" max="7169" width="5" style="420" customWidth="1"/>
    <col min="7170" max="7170" width="14.140625" style="420" bestFit="1" customWidth="1"/>
    <col min="7171" max="7171" width="15.140625" style="420" bestFit="1" customWidth="1"/>
    <col min="7172" max="7172" width="30.42578125" style="420" customWidth="1"/>
    <col min="7173" max="7173" width="35.42578125" style="420" customWidth="1"/>
    <col min="7174" max="7174" width="13.140625" style="420" customWidth="1"/>
    <col min="7175" max="7175" width="14.5703125" style="420" customWidth="1"/>
    <col min="7176" max="7176" width="17" style="420" customWidth="1"/>
    <col min="7177" max="7177" width="14.5703125" style="420" customWidth="1"/>
    <col min="7178" max="7178" width="15.85546875" style="420" customWidth="1"/>
    <col min="7179" max="7424" width="9.140625" style="420"/>
    <col min="7425" max="7425" width="5" style="420" customWidth="1"/>
    <col min="7426" max="7426" width="14.140625" style="420" bestFit="1" customWidth="1"/>
    <col min="7427" max="7427" width="15.140625" style="420" bestFit="1" customWidth="1"/>
    <col min="7428" max="7428" width="30.42578125" style="420" customWidth="1"/>
    <col min="7429" max="7429" width="35.42578125" style="420" customWidth="1"/>
    <col min="7430" max="7430" width="13.140625" style="420" customWidth="1"/>
    <col min="7431" max="7431" width="14.5703125" style="420" customWidth="1"/>
    <col min="7432" max="7432" width="17" style="420" customWidth="1"/>
    <col min="7433" max="7433" width="14.5703125" style="420" customWidth="1"/>
    <col min="7434" max="7434" width="15.85546875" style="420" customWidth="1"/>
    <col min="7435" max="7680" width="9.140625" style="420"/>
    <col min="7681" max="7681" width="5" style="420" customWidth="1"/>
    <col min="7682" max="7682" width="14.140625" style="420" bestFit="1" customWidth="1"/>
    <col min="7683" max="7683" width="15.140625" style="420" bestFit="1" customWidth="1"/>
    <col min="7684" max="7684" width="30.42578125" style="420" customWidth="1"/>
    <col min="7685" max="7685" width="35.42578125" style="420" customWidth="1"/>
    <col min="7686" max="7686" width="13.140625" style="420" customWidth="1"/>
    <col min="7687" max="7687" width="14.5703125" style="420" customWidth="1"/>
    <col min="7688" max="7688" width="17" style="420" customWidth="1"/>
    <col min="7689" max="7689" width="14.5703125" style="420" customWidth="1"/>
    <col min="7690" max="7690" width="15.85546875" style="420" customWidth="1"/>
    <col min="7691" max="7936" width="9.140625" style="420"/>
    <col min="7937" max="7937" width="5" style="420" customWidth="1"/>
    <col min="7938" max="7938" width="14.140625" style="420" bestFit="1" customWidth="1"/>
    <col min="7939" max="7939" width="15.140625" style="420" bestFit="1" customWidth="1"/>
    <col min="7940" max="7940" width="30.42578125" style="420" customWidth="1"/>
    <col min="7941" max="7941" width="35.42578125" style="420" customWidth="1"/>
    <col min="7942" max="7942" width="13.140625" style="420" customWidth="1"/>
    <col min="7943" max="7943" width="14.5703125" style="420" customWidth="1"/>
    <col min="7944" max="7944" width="17" style="420" customWidth="1"/>
    <col min="7945" max="7945" width="14.5703125" style="420" customWidth="1"/>
    <col min="7946" max="7946" width="15.85546875" style="420" customWidth="1"/>
    <col min="7947" max="8192" width="9.140625" style="420"/>
    <col min="8193" max="8193" width="5" style="420" customWidth="1"/>
    <col min="8194" max="8194" width="14.140625" style="420" bestFit="1" customWidth="1"/>
    <col min="8195" max="8195" width="15.140625" style="420" bestFit="1" customWidth="1"/>
    <col min="8196" max="8196" width="30.42578125" style="420" customWidth="1"/>
    <col min="8197" max="8197" width="35.42578125" style="420" customWidth="1"/>
    <col min="8198" max="8198" width="13.140625" style="420" customWidth="1"/>
    <col min="8199" max="8199" width="14.5703125" style="420" customWidth="1"/>
    <col min="8200" max="8200" width="17" style="420" customWidth="1"/>
    <col min="8201" max="8201" width="14.5703125" style="420" customWidth="1"/>
    <col min="8202" max="8202" width="15.85546875" style="420" customWidth="1"/>
    <col min="8203" max="8448" width="9.140625" style="420"/>
    <col min="8449" max="8449" width="5" style="420" customWidth="1"/>
    <col min="8450" max="8450" width="14.140625" style="420" bestFit="1" customWidth="1"/>
    <col min="8451" max="8451" width="15.140625" style="420" bestFit="1" customWidth="1"/>
    <col min="8452" max="8452" width="30.42578125" style="420" customWidth="1"/>
    <col min="8453" max="8453" width="35.42578125" style="420" customWidth="1"/>
    <col min="8454" max="8454" width="13.140625" style="420" customWidth="1"/>
    <col min="8455" max="8455" width="14.5703125" style="420" customWidth="1"/>
    <col min="8456" max="8456" width="17" style="420" customWidth="1"/>
    <col min="8457" max="8457" width="14.5703125" style="420" customWidth="1"/>
    <col min="8458" max="8458" width="15.85546875" style="420" customWidth="1"/>
    <col min="8459" max="8704" width="9.140625" style="420"/>
    <col min="8705" max="8705" width="5" style="420" customWidth="1"/>
    <col min="8706" max="8706" width="14.140625" style="420" bestFit="1" customWidth="1"/>
    <col min="8707" max="8707" width="15.140625" style="420" bestFit="1" customWidth="1"/>
    <col min="8708" max="8708" width="30.42578125" style="420" customWidth="1"/>
    <col min="8709" max="8709" width="35.42578125" style="420" customWidth="1"/>
    <col min="8710" max="8710" width="13.140625" style="420" customWidth="1"/>
    <col min="8711" max="8711" width="14.5703125" style="420" customWidth="1"/>
    <col min="8712" max="8712" width="17" style="420" customWidth="1"/>
    <col min="8713" max="8713" width="14.5703125" style="420" customWidth="1"/>
    <col min="8714" max="8714" width="15.85546875" style="420" customWidth="1"/>
    <col min="8715" max="8960" width="9.140625" style="420"/>
    <col min="8961" max="8961" width="5" style="420" customWidth="1"/>
    <col min="8962" max="8962" width="14.140625" style="420" bestFit="1" customWidth="1"/>
    <col min="8963" max="8963" width="15.140625" style="420" bestFit="1" customWidth="1"/>
    <col min="8964" max="8964" width="30.42578125" style="420" customWidth="1"/>
    <col min="8965" max="8965" width="35.42578125" style="420" customWidth="1"/>
    <col min="8966" max="8966" width="13.140625" style="420" customWidth="1"/>
    <col min="8967" max="8967" width="14.5703125" style="420" customWidth="1"/>
    <col min="8968" max="8968" width="17" style="420" customWidth="1"/>
    <col min="8969" max="8969" width="14.5703125" style="420" customWidth="1"/>
    <col min="8970" max="8970" width="15.85546875" style="420" customWidth="1"/>
    <col min="8971" max="9216" width="9.140625" style="420"/>
    <col min="9217" max="9217" width="5" style="420" customWidth="1"/>
    <col min="9218" max="9218" width="14.140625" style="420" bestFit="1" customWidth="1"/>
    <col min="9219" max="9219" width="15.140625" style="420" bestFit="1" customWidth="1"/>
    <col min="9220" max="9220" width="30.42578125" style="420" customWidth="1"/>
    <col min="9221" max="9221" width="35.42578125" style="420" customWidth="1"/>
    <col min="9222" max="9222" width="13.140625" style="420" customWidth="1"/>
    <col min="9223" max="9223" width="14.5703125" style="420" customWidth="1"/>
    <col min="9224" max="9224" width="17" style="420" customWidth="1"/>
    <col min="9225" max="9225" width="14.5703125" style="420" customWidth="1"/>
    <col min="9226" max="9226" width="15.85546875" style="420" customWidth="1"/>
    <col min="9227" max="9472" width="9.140625" style="420"/>
    <col min="9473" max="9473" width="5" style="420" customWidth="1"/>
    <col min="9474" max="9474" width="14.140625" style="420" bestFit="1" customWidth="1"/>
    <col min="9475" max="9475" width="15.140625" style="420" bestFit="1" customWidth="1"/>
    <col min="9476" max="9476" width="30.42578125" style="420" customWidth="1"/>
    <col min="9477" max="9477" width="35.42578125" style="420" customWidth="1"/>
    <col min="9478" max="9478" width="13.140625" style="420" customWidth="1"/>
    <col min="9479" max="9479" width="14.5703125" style="420" customWidth="1"/>
    <col min="9480" max="9480" width="17" style="420" customWidth="1"/>
    <col min="9481" max="9481" width="14.5703125" style="420" customWidth="1"/>
    <col min="9482" max="9482" width="15.85546875" style="420" customWidth="1"/>
    <col min="9483" max="9728" width="9.140625" style="420"/>
    <col min="9729" max="9729" width="5" style="420" customWidth="1"/>
    <col min="9730" max="9730" width="14.140625" style="420" bestFit="1" customWidth="1"/>
    <col min="9731" max="9731" width="15.140625" style="420" bestFit="1" customWidth="1"/>
    <col min="9732" max="9732" width="30.42578125" style="420" customWidth="1"/>
    <col min="9733" max="9733" width="35.42578125" style="420" customWidth="1"/>
    <col min="9734" max="9734" width="13.140625" style="420" customWidth="1"/>
    <col min="9735" max="9735" width="14.5703125" style="420" customWidth="1"/>
    <col min="9736" max="9736" width="17" style="420" customWidth="1"/>
    <col min="9737" max="9737" width="14.5703125" style="420" customWidth="1"/>
    <col min="9738" max="9738" width="15.85546875" style="420" customWidth="1"/>
    <col min="9739" max="9984" width="9.140625" style="420"/>
    <col min="9985" max="9985" width="5" style="420" customWidth="1"/>
    <col min="9986" max="9986" width="14.140625" style="420" bestFit="1" customWidth="1"/>
    <col min="9987" max="9987" width="15.140625" style="420" bestFit="1" customWidth="1"/>
    <col min="9988" max="9988" width="30.42578125" style="420" customWidth="1"/>
    <col min="9989" max="9989" width="35.42578125" style="420" customWidth="1"/>
    <col min="9990" max="9990" width="13.140625" style="420" customWidth="1"/>
    <col min="9991" max="9991" width="14.5703125" style="420" customWidth="1"/>
    <col min="9992" max="9992" width="17" style="420" customWidth="1"/>
    <col min="9993" max="9993" width="14.5703125" style="420" customWidth="1"/>
    <col min="9994" max="9994" width="15.85546875" style="420" customWidth="1"/>
    <col min="9995" max="10240" width="9.140625" style="420"/>
    <col min="10241" max="10241" width="5" style="420" customWidth="1"/>
    <col min="10242" max="10242" width="14.140625" style="420" bestFit="1" customWidth="1"/>
    <col min="10243" max="10243" width="15.140625" style="420" bestFit="1" customWidth="1"/>
    <col min="10244" max="10244" width="30.42578125" style="420" customWidth="1"/>
    <col min="10245" max="10245" width="35.42578125" style="420" customWidth="1"/>
    <col min="10246" max="10246" width="13.140625" style="420" customWidth="1"/>
    <col min="10247" max="10247" width="14.5703125" style="420" customWidth="1"/>
    <col min="10248" max="10248" width="17" style="420" customWidth="1"/>
    <col min="10249" max="10249" width="14.5703125" style="420" customWidth="1"/>
    <col min="10250" max="10250" width="15.85546875" style="420" customWidth="1"/>
    <col min="10251" max="10496" width="9.140625" style="420"/>
    <col min="10497" max="10497" width="5" style="420" customWidth="1"/>
    <col min="10498" max="10498" width="14.140625" style="420" bestFit="1" customWidth="1"/>
    <col min="10499" max="10499" width="15.140625" style="420" bestFit="1" customWidth="1"/>
    <col min="10500" max="10500" width="30.42578125" style="420" customWidth="1"/>
    <col min="10501" max="10501" width="35.42578125" style="420" customWidth="1"/>
    <col min="10502" max="10502" width="13.140625" style="420" customWidth="1"/>
    <col min="10503" max="10503" width="14.5703125" style="420" customWidth="1"/>
    <col min="10504" max="10504" width="17" style="420" customWidth="1"/>
    <col min="10505" max="10505" width="14.5703125" style="420" customWidth="1"/>
    <col min="10506" max="10506" width="15.85546875" style="420" customWidth="1"/>
    <col min="10507" max="10752" width="9.140625" style="420"/>
    <col min="10753" max="10753" width="5" style="420" customWidth="1"/>
    <col min="10754" max="10754" width="14.140625" style="420" bestFit="1" customWidth="1"/>
    <col min="10755" max="10755" width="15.140625" style="420" bestFit="1" customWidth="1"/>
    <col min="10756" max="10756" width="30.42578125" style="420" customWidth="1"/>
    <col min="10757" max="10757" width="35.42578125" style="420" customWidth="1"/>
    <col min="10758" max="10758" width="13.140625" style="420" customWidth="1"/>
    <col min="10759" max="10759" width="14.5703125" style="420" customWidth="1"/>
    <col min="10760" max="10760" width="17" style="420" customWidth="1"/>
    <col min="10761" max="10761" width="14.5703125" style="420" customWidth="1"/>
    <col min="10762" max="10762" width="15.85546875" style="420" customWidth="1"/>
    <col min="10763" max="11008" width="9.140625" style="420"/>
    <col min="11009" max="11009" width="5" style="420" customWidth="1"/>
    <col min="11010" max="11010" width="14.140625" style="420" bestFit="1" customWidth="1"/>
    <col min="11011" max="11011" width="15.140625" style="420" bestFit="1" customWidth="1"/>
    <col min="11012" max="11012" width="30.42578125" style="420" customWidth="1"/>
    <col min="11013" max="11013" width="35.42578125" style="420" customWidth="1"/>
    <col min="11014" max="11014" width="13.140625" style="420" customWidth="1"/>
    <col min="11015" max="11015" width="14.5703125" style="420" customWidth="1"/>
    <col min="11016" max="11016" width="17" style="420" customWidth="1"/>
    <col min="11017" max="11017" width="14.5703125" style="420" customWidth="1"/>
    <col min="11018" max="11018" width="15.85546875" style="420" customWidth="1"/>
    <col min="11019" max="11264" width="9.140625" style="420"/>
    <col min="11265" max="11265" width="5" style="420" customWidth="1"/>
    <col min="11266" max="11266" width="14.140625" style="420" bestFit="1" customWidth="1"/>
    <col min="11267" max="11267" width="15.140625" style="420" bestFit="1" customWidth="1"/>
    <col min="11268" max="11268" width="30.42578125" style="420" customWidth="1"/>
    <col min="11269" max="11269" width="35.42578125" style="420" customWidth="1"/>
    <col min="11270" max="11270" width="13.140625" style="420" customWidth="1"/>
    <col min="11271" max="11271" width="14.5703125" style="420" customWidth="1"/>
    <col min="11272" max="11272" width="17" style="420" customWidth="1"/>
    <col min="11273" max="11273" width="14.5703125" style="420" customWidth="1"/>
    <col min="11274" max="11274" width="15.85546875" style="420" customWidth="1"/>
    <col min="11275" max="11520" width="9.140625" style="420"/>
    <col min="11521" max="11521" width="5" style="420" customWidth="1"/>
    <col min="11522" max="11522" width="14.140625" style="420" bestFit="1" customWidth="1"/>
    <col min="11523" max="11523" width="15.140625" style="420" bestFit="1" customWidth="1"/>
    <col min="11524" max="11524" width="30.42578125" style="420" customWidth="1"/>
    <col min="11525" max="11525" width="35.42578125" style="420" customWidth="1"/>
    <col min="11526" max="11526" width="13.140625" style="420" customWidth="1"/>
    <col min="11527" max="11527" width="14.5703125" style="420" customWidth="1"/>
    <col min="11528" max="11528" width="17" style="420" customWidth="1"/>
    <col min="11529" max="11529" width="14.5703125" style="420" customWidth="1"/>
    <col min="11530" max="11530" width="15.85546875" style="420" customWidth="1"/>
    <col min="11531" max="11776" width="9.140625" style="420"/>
    <col min="11777" max="11777" width="5" style="420" customWidth="1"/>
    <col min="11778" max="11778" width="14.140625" style="420" bestFit="1" customWidth="1"/>
    <col min="11779" max="11779" width="15.140625" style="420" bestFit="1" customWidth="1"/>
    <col min="11780" max="11780" width="30.42578125" style="420" customWidth="1"/>
    <col min="11781" max="11781" width="35.42578125" style="420" customWidth="1"/>
    <col min="11782" max="11782" width="13.140625" style="420" customWidth="1"/>
    <col min="11783" max="11783" width="14.5703125" style="420" customWidth="1"/>
    <col min="11784" max="11784" width="17" style="420" customWidth="1"/>
    <col min="11785" max="11785" width="14.5703125" style="420" customWidth="1"/>
    <col min="11786" max="11786" width="15.85546875" style="420" customWidth="1"/>
    <col min="11787" max="12032" width="9.140625" style="420"/>
    <col min="12033" max="12033" width="5" style="420" customWidth="1"/>
    <col min="12034" max="12034" width="14.140625" style="420" bestFit="1" customWidth="1"/>
    <col min="12035" max="12035" width="15.140625" style="420" bestFit="1" customWidth="1"/>
    <col min="12036" max="12036" width="30.42578125" style="420" customWidth="1"/>
    <col min="12037" max="12037" width="35.42578125" style="420" customWidth="1"/>
    <col min="12038" max="12038" width="13.140625" style="420" customWidth="1"/>
    <col min="12039" max="12039" width="14.5703125" style="420" customWidth="1"/>
    <col min="12040" max="12040" width="17" style="420" customWidth="1"/>
    <col min="12041" max="12041" width="14.5703125" style="420" customWidth="1"/>
    <col min="12042" max="12042" width="15.85546875" style="420" customWidth="1"/>
    <col min="12043" max="12288" width="9.140625" style="420"/>
    <col min="12289" max="12289" width="5" style="420" customWidth="1"/>
    <col min="12290" max="12290" width="14.140625" style="420" bestFit="1" customWidth="1"/>
    <col min="12291" max="12291" width="15.140625" style="420" bestFit="1" customWidth="1"/>
    <col min="12292" max="12292" width="30.42578125" style="420" customWidth="1"/>
    <col min="12293" max="12293" width="35.42578125" style="420" customWidth="1"/>
    <col min="12294" max="12294" width="13.140625" style="420" customWidth="1"/>
    <col min="12295" max="12295" width="14.5703125" style="420" customWidth="1"/>
    <col min="12296" max="12296" width="17" style="420" customWidth="1"/>
    <col min="12297" max="12297" width="14.5703125" style="420" customWidth="1"/>
    <col min="12298" max="12298" width="15.85546875" style="420" customWidth="1"/>
    <col min="12299" max="12544" width="9.140625" style="420"/>
    <col min="12545" max="12545" width="5" style="420" customWidth="1"/>
    <col min="12546" max="12546" width="14.140625" style="420" bestFit="1" customWidth="1"/>
    <col min="12547" max="12547" width="15.140625" style="420" bestFit="1" customWidth="1"/>
    <col min="12548" max="12548" width="30.42578125" style="420" customWidth="1"/>
    <col min="12549" max="12549" width="35.42578125" style="420" customWidth="1"/>
    <col min="12550" max="12550" width="13.140625" style="420" customWidth="1"/>
    <col min="12551" max="12551" width="14.5703125" style="420" customWidth="1"/>
    <col min="12552" max="12552" width="17" style="420" customWidth="1"/>
    <col min="12553" max="12553" width="14.5703125" style="420" customWidth="1"/>
    <col min="12554" max="12554" width="15.85546875" style="420" customWidth="1"/>
    <col min="12555" max="12800" width="9.140625" style="420"/>
    <col min="12801" max="12801" width="5" style="420" customWidth="1"/>
    <col min="12802" max="12802" width="14.140625" style="420" bestFit="1" customWidth="1"/>
    <col min="12803" max="12803" width="15.140625" style="420" bestFit="1" customWidth="1"/>
    <col min="12804" max="12804" width="30.42578125" style="420" customWidth="1"/>
    <col min="12805" max="12805" width="35.42578125" style="420" customWidth="1"/>
    <col min="12806" max="12806" width="13.140625" style="420" customWidth="1"/>
    <col min="12807" max="12807" width="14.5703125" style="420" customWidth="1"/>
    <col min="12808" max="12808" width="17" style="420" customWidth="1"/>
    <col min="12809" max="12809" width="14.5703125" style="420" customWidth="1"/>
    <col min="12810" max="12810" width="15.85546875" style="420" customWidth="1"/>
    <col min="12811" max="13056" width="9.140625" style="420"/>
    <col min="13057" max="13057" width="5" style="420" customWidth="1"/>
    <col min="13058" max="13058" width="14.140625" style="420" bestFit="1" customWidth="1"/>
    <col min="13059" max="13059" width="15.140625" style="420" bestFit="1" customWidth="1"/>
    <col min="13060" max="13060" width="30.42578125" style="420" customWidth="1"/>
    <col min="13061" max="13061" width="35.42578125" style="420" customWidth="1"/>
    <col min="13062" max="13062" width="13.140625" style="420" customWidth="1"/>
    <col min="13063" max="13063" width="14.5703125" style="420" customWidth="1"/>
    <col min="13064" max="13064" width="17" style="420" customWidth="1"/>
    <col min="13065" max="13065" width="14.5703125" style="420" customWidth="1"/>
    <col min="13066" max="13066" width="15.85546875" style="420" customWidth="1"/>
    <col min="13067" max="13312" width="9.140625" style="420"/>
    <col min="13313" max="13313" width="5" style="420" customWidth="1"/>
    <col min="13314" max="13314" width="14.140625" style="420" bestFit="1" customWidth="1"/>
    <col min="13315" max="13315" width="15.140625" style="420" bestFit="1" customWidth="1"/>
    <col min="13316" max="13316" width="30.42578125" style="420" customWidth="1"/>
    <col min="13317" max="13317" width="35.42578125" style="420" customWidth="1"/>
    <col min="13318" max="13318" width="13.140625" style="420" customWidth="1"/>
    <col min="13319" max="13319" width="14.5703125" style="420" customWidth="1"/>
    <col min="13320" max="13320" width="17" style="420" customWidth="1"/>
    <col min="13321" max="13321" width="14.5703125" style="420" customWidth="1"/>
    <col min="13322" max="13322" width="15.85546875" style="420" customWidth="1"/>
    <col min="13323" max="13568" width="9.140625" style="420"/>
    <col min="13569" max="13569" width="5" style="420" customWidth="1"/>
    <col min="13570" max="13570" width="14.140625" style="420" bestFit="1" customWidth="1"/>
    <col min="13571" max="13571" width="15.140625" style="420" bestFit="1" customWidth="1"/>
    <col min="13572" max="13572" width="30.42578125" style="420" customWidth="1"/>
    <col min="13573" max="13573" width="35.42578125" style="420" customWidth="1"/>
    <col min="13574" max="13574" width="13.140625" style="420" customWidth="1"/>
    <col min="13575" max="13575" width="14.5703125" style="420" customWidth="1"/>
    <col min="13576" max="13576" width="17" style="420" customWidth="1"/>
    <col min="13577" max="13577" width="14.5703125" style="420" customWidth="1"/>
    <col min="13578" max="13578" width="15.85546875" style="420" customWidth="1"/>
    <col min="13579" max="13824" width="9.140625" style="420"/>
    <col min="13825" max="13825" width="5" style="420" customWidth="1"/>
    <col min="13826" max="13826" width="14.140625" style="420" bestFit="1" customWidth="1"/>
    <col min="13827" max="13827" width="15.140625" style="420" bestFit="1" customWidth="1"/>
    <col min="13828" max="13828" width="30.42578125" style="420" customWidth="1"/>
    <col min="13829" max="13829" width="35.42578125" style="420" customWidth="1"/>
    <col min="13830" max="13830" width="13.140625" style="420" customWidth="1"/>
    <col min="13831" max="13831" width="14.5703125" style="420" customWidth="1"/>
    <col min="13832" max="13832" width="17" style="420" customWidth="1"/>
    <col min="13833" max="13833" width="14.5703125" style="420" customWidth="1"/>
    <col min="13834" max="13834" width="15.85546875" style="420" customWidth="1"/>
    <col min="13835" max="14080" width="9.140625" style="420"/>
    <col min="14081" max="14081" width="5" style="420" customWidth="1"/>
    <col min="14082" max="14082" width="14.140625" style="420" bestFit="1" customWidth="1"/>
    <col min="14083" max="14083" width="15.140625" style="420" bestFit="1" customWidth="1"/>
    <col min="14084" max="14084" width="30.42578125" style="420" customWidth="1"/>
    <col min="14085" max="14085" width="35.42578125" style="420" customWidth="1"/>
    <col min="14086" max="14086" width="13.140625" style="420" customWidth="1"/>
    <col min="14087" max="14087" width="14.5703125" style="420" customWidth="1"/>
    <col min="14088" max="14088" width="17" style="420" customWidth="1"/>
    <col min="14089" max="14089" width="14.5703125" style="420" customWidth="1"/>
    <col min="14090" max="14090" width="15.85546875" style="420" customWidth="1"/>
    <col min="14091" max="14336" width="9.140625" style="420"/>
    <col min="14337" max="14337" width="5" style="420" customWidth="1"/>
    <col min="14338" max="14338" width="14.140625" style="420" bestFit="1" customWidth="1"/>
    <col min="14339" max="14339" width="15.140625" style="420" bestFit="1" customWidth="1"/>
    <col min="14340" max="14340" width="30.42578125" style="420" customWidth="1"/>
    <col min="14341" max="14341" width="35.42578125" style="420" customWidth="1"/>
    <col min="14342" max="14342" width="13.140625" style="420" customWidth="1"/>
    <col min="14343" max="14343" width="14.5703125" style="420" customWidth="1"/>
    <col min="14344" max="14344" width="17" style="420" customWidth="1"/>
    <col min="14345" max="14345" width="14.5703125" style="420" customWidth="1"/>
    <col min="14346" max="14346" width="15.85546875" style="420" customWidth="1"/>
    <col min="14347" max="14592" width="9.140625" style="420"/>
    <col min="14593" max="14593" width="5" style="420" customWidth="1"/>
    <col min="14594" max="14594" width="14.140625" style="420" bestFit="1" customWidth="1"/>
    <col min="14595" max="14595" width="15.140625" style="420" bestFit="1" customWidth="1"/>
    <col min="14596" max="14596" width="30.42578125" style="420" customWidth="1"/>
    <col min="14597" max="14597" width="35.42578125" style="420" customWidth="1"/>
    <col min="14598" max="14598" width="13.140625" style="420" customWidth="1"/>
    <col min="14599" max="14599" width="14.5703125" style="420" customWidth="1"/>
    <col min="14600" max="14600" width="17" style="420" customWidth="1"/>
    <col min="14601" max="14601" width="14.5703125" style="420" customWidth="1"/>
    <col min="14602" max="14602" width="15.85546875" style="420" customWidth="1"/>
    <col min="14603" max="14848" width="9.140625" style="420"/>
    <col min="14849" max="14849" width="5" style="420" customWidth="1"/>
    <col min="14850" max="14850" width="14.140625" style="420" bestFit="1" customWidth="1"/>
    <col min="14851" max="14851" width="15.140625" style="420" bestFit="1" customWidth="1"/>
    <col min="14852" max="14852" width="30.42578125" style="420" customWidth="1"/>
    <col min="14853" max="14853" width="35.42578125" style="420" customWidth="1"/>
    <col min="14854" max="14854" width="13.140625" style="420" customWidth="1"/>
    <col min="14855" max="14855" width="14.5703125" style="420" customWidth="1"/>
    <col min="14856" max="14856" width="17" style="420" customWidth="1"/>
    <col min="14857" max="14857" width="14.5703125" style="420" customWidth="1"/>
    <col min="14858" max="14858" width="15.85546875" style="420" customWidth="1"/>
    <col min="14859" max="15104" width="9.140625" style="420"/>
    <col min="15105" max="15105" width="5" style="420" customWidth="1"/>
    <col min="15106" max="15106" width="14.140625" style="420" bestFit="1" customWidth="1"/>
    <col min="15107" max="15107" width="15.140625" style="420" bestFit="1" customWidth="1"/>
    <col min="15108" max="15108" width="30.42578125" style="420" customWidth="1"/>
    <col min="15109" max="15109" width="35.42578125" style="420" customWidth="1"/>
    <col min="15110" max="15110" width="13.140625" style="420" customWidth="1"/>
    <col min="15111" max="15111" width="14.5703125" style="420" customWidth="1"/>
    <col min="15112" max="15112" width="17" style="420" customWidth="1"/>
    <col min="15113" max="15113" width="14.5703125" style="420" customWidth="1"/>
    <col min="15114" max="15114" width="15.85546875" style="420" customWidth="1"/>
    <col min="15115" max="15360" width="9.140625" style="420"/>
    <col min="15361" max="15361" width="5" style="420" customWidth="1"/>
    <col min="15362" max="15362" width="14.140625" style="420" bestFit="1" customWidth="1"/>
    <col min="15363" max="15363" width="15.140625" style="420" bestFit="1" customWidth="1"/>
    <col min="15364" max="15364" width="30.42578125" style="420" customWidth="1"/>
    <col min="15365" max="15365" width="35.42578125" style="420" customWidth="1"/>
    <col min="15366" max="15366" width="13.140625" style="420" customWidth="1"/>
    <col min="15367" max="15367" width="14.5703125" style="420" customWidth="1"/>
    <col min="15368" max="15368" width="17" style="420" customWidth="1"/>
    <col min="15369" max="15369" width="14.5703125" style="420" customWidth="1"/>
    <col min="15370" max="15370" width="15.85546875" style="420" customWidth="1"/>
    <col min="15371" max="15616" width="9.140625" style="420"/>
    <col min="15617" max="15617" width="5" style="420" customWidth="1"/>
    <col min="15618" max="15618" width="14.140625" style="420" bestFit="1" customWidth="1"/>
    <col min="15619" max="15619" width="15.140625" style="420" bestFit="1" customWidth="1"/>
    <col min="15620" max="15620" width="30.42578125" style="420" customWidth="1"/>
    <col min="15621" max="15621" width="35.42578125" style="420" customWidth="1"/>
    <col min="15622" max="15622" width="13.140625" style="420" customWidth="1"/>
    <col min="15623" max="15623" width="14.5703125" style="420" customWidth="1"/>
    <col min="15624" max="15624" width="17" style="420" customWidth="1"/>
    <col min="15625" max="15625" width="14.5703125" style="420" customWidth="1"/>
    <col min="15626" max="15626" width="15.85546875" style="420" customWidth="1"/>
    <col min="15627" max="15872" width="9.140625" style="420"/>
    <col min="15873" max="15873" width="5" style="420" customWidth="1"/>
    <col min="15874" max="15874" width="14.140625" style="420" bestFit="1" customWidth="1"/>
    <col min="15875" max="15875" width="15.140625" style="420" bestFit="1" customWidth="1"/>
    <col min="15876" max="15876" width="30.42578125" style="420" customWidth="1"/>
    <col min="15877" max="15877" width="35.42578125" style="420" customWidth="1"/>
    <col min="15878" max="15878" width="13.140625" style="420" customWidth="1"/>
    <col min="15879" max="15879" width="14.5703125" style="420" customWidth="1"/>
    <col min="15880" max="15880" width="17" style="420" customWidth="1"/>
    <col min="15881" max="15881" width="14.5703125" style="420" customWidth="1"/>
    <col min="15882" max="15882" width="15.85546875" style="420" customWidth="1"/>
    <col min="15883" max="16128" width="9.140625" style="420"/>
    <col min="16129" max="16129" width="5" style="420" customWidth="1"/>
    <col min="16130" max="16130" width="14.140625" style="420" bestFit="1" customWidth="1"/>
    <col min="16131" max="16131" width="15.140625" style="420" bestFit="1" customWidth="1"/>
    <col min="16132" max="16132" width="30.42578125" style="420" customWidth="1"/>
    <col min="16133" max="16133" width="35.42578125" style="420" customWidth="1"/>
    <col min="16134" max="16134" width="13.140625" style="420" customWidth="1"/>
    <col min="16135" max="16135" width="14.5703125" style="420" customWidth="1"/>
    <col min="16136" max="16136" width="17" style="420" customWidth="1"/>
    <col min="16137" max="16137" width="14.5703125" style="420" customWidth="1"/>
    <col min="16138" max="16138" width="15.85546875" style="420" customWidth="1"/>
    <col min="16139" max="16384" width="9.140625" style="420"/>
  </cols>
  <sheetData>
    <row r="1" spans="1:10">
      <c r="A1" s="474" t="s">
        <v>313</v>
      </c>
      <c r="B1" s="473"/>
      <c r="C1" s="476"/>
      <c r="D1" s="473"/>
      <c r="E1" s="473"/>
      <c r="F1" s="473"/>
      <c r="G1" s="473"/>
      <c r="H1" s="473"/>
      <c r="I1" s="473"/>
      <c r="J1" s="473"/>
    </row>
    <row r="2" spans="1:10">
      <c r="A2" s="475" t="s">
        <v>3225</v>
      </c>
      <c r="B2" s="477"/>
      <c r="C2" s="476"/>
      <c r="D2" s="473"/>
      <c r="E2" s="473"/>
      <c r="F2" s="473"/>
      <c r="G2" s="473"/>
      <c r="H2" s="473"/>
      <c r="I2" s="473"/>
      <c r="J2" s="473"/>
    </row>
    <row r="3" spans="1:10" s="440" customFormat="1" ht="12.75" customHeight="1">
      <c r="A3" s="468"/>
      <c r="B3" s="468"/>
      <c r="C3" s="468"/>
      <c r="D3" s="468"/>
      <c r="E3" s="468"/>
      <c r="F3" s="468"/>
      <c r="G3" s="468"/>
      <c r="H3" s="468"/>
      <c r="I3" s="468"/>
      <c r="J3" s="468"/>
    </row>
    <row r="4" spans="1:10" s="440" customFormat="1" ht="38.25">
      <c r="A4" s="478" t="s">
        <v>0</v>
      </c>
      <c r="B4" s="479" t="s">
        <v>2</v>
      </c>
      <c r="C4" s="479" t="s">
        <v>105</v>
      </c>
      <c r="D4" s="479" t="s">
        <v>2530</v>
      </c>
      <c r="E4" s="479" t="s">
        <v>106</v>
      </c>
      <c r="F4" s="479" t="s">
        <v>315</v>
      </c>
      <c r="G4" s="479" t="s">
        <v>396</v>
      </c>
      <c r="H4" s="479" t="s">
        <v>1025</v>
      </c>
      <c r="I4" s="479" t="s">
        <v>3</v>
      </c>
      <c r="J4" s="479" t="s">
        <v>132</v>
      </c>
    </row>
    <row r="5" spans="1:10" ht="15">
      <c r="B5" s="625" t="s">
        <v>3128</v>
      </c>
      <c r="C5" s="636" t="s">
        <v>521</v>
      </c>
      <c r="D5" s="636" t="s">
        <v>923</v>
      </c>
      <c r="E5" s="625" t="s">
        <v>3129</v>
      </c>
      <c r="F5" s="636">
        <v>814.74</v>
      </c>
      <c r="G5" s="636" t="s">
        <v>783</v>
      </c>
      <c r="H5" s="636" t="s">
        <v>783</v>
      </c>
      <c r="I5" s="636" t="s">
        <v>783</v>
      </c>
      <c r="J5" s="636" t="s">
        <v>924</v>
      </c>
    </row>
    <row r="6" spans="1:10" ht="15">
      <c r="B6" s="625" t="s">
        <v>3130</v>
      </c>
      <c r="C6" s="636" t="s">
        <v>524</v>
      </c>
      <c r="D6" s="636" t="s">
        <v>923</v>
      </c>
      <c r="E6" s="625" t="s">
        <v>3131</v>
      </c>
      <c r="F6" s="637">
        <v>6301.35</v>
      </c>
      <c r="G6" s="636" t="s">
        <v>783</v>
      </c>
      <c r="H6" s="636" t="s">
        <v>783</v>
      </c>
      <c r="I6" s="636" t="s">
        <v>783</v>
      </c>
      <c r="J6" s="636" t="s">
        <v>924</v>
      </c>
    </row>
    <row r="7" spans="1:10" ht="15">
      <c r="B7" s="625" t="s">
        <v>3132</v>
      </c>
      <c r="C7" s="636" t="s">
        <v>1057</v>
      </c>
      <c r="D7" s="636" t="s">
        <v>3133</v>
      </c>
      <c r="E7" s="625" t="s">
        <v>3134</v>
      </c>
      <c r="F7" s="636">
        <v>100.0196</v>
      </c>
      <c r="G7" s="636">
        <v>100.55289999999999</v>
      </c>
      <c r="H7" s="636">
        <v>7.99</v>
      </c>
      <c r="I7" s="636" t="s">
        <v>3226</v>
      </c>
      <c r="J7" s="636" t="s">
        <v>917</v>
      </c>
    </row>
    <row r="8" spans="1:10" ht="15">
      <c r="B8" s="625" t="s">
        <v>3135</v>
      </c>
      <c r="C8" s="636" t="s">
        <v>1352</v>
      </c>
      <c r="D8" s="636" t="s">
        <v>3136</v>
      </c>
      <c r="E8" s="625" t="s">
        <v>762</v>
      </c>
      <c r="F8" s="636">
        <v>129.94999999999999</v>
      </c>
      <c r="G8" s="636" t="s">
        <v>783</v>
      </c>
      <c r="H8" s="636" t="s">
        <v>783</v>
      </c>
      <c r="I8" s="636" t="s">
        <v>783</v>
      </c>
      <c r="J8" s="636" t="s">
        <v>2846</v>
      </c>
    </row>
    <row r="9" spans="1:10" ht="15">
      <c r="B9" s="625" t="s">
        <v>3137</v>
      </c>
      <c r="C9" s="636" t="s">
        <v>529</v>
      </c>
      <c r="D9" s="636" t="s">
        <v>3136</v>
      </c>
      <c r="E9" s="625" t="s">
        <v>762</v>
      </c>
      <c r="F9" s="637">
        <v>1498.51</v>
      </c>
      <c r="G9" s="636" t="s">
        <v>783</v>
      </c>
      <c r="H9" s="636" t="s">
        <v>783</v>
      </c>
      <c r="I9" s="636" t="s">
        <v>783</v>
      </c>
      <c r="J9" s="636" t="s">
        <v>924</v>
      </c>
    </row>
    <row r="10" spans="1:10" ht="15">
      <c r="B10" s="625" t="s">
        <v>3138</v>
      </c>
      <c r="C10" s="636" t="s">
        <v>532</v>
      </c>
      <c r="D10" s="636" t="s">
        <v>3136</v>
      </c>
      <c r="E10" s="625" t="s">
        <v>762</v>
      </c>
      <c r="F10" s="636">
        <v>7.18</v>
      </c>
      <c r="G10" s="636" t="s">
        <v>783</v>
      </c>
      <c r="H10" s="636" t="s">
        <v>783</v>
      </c>
      <c r="I10" s="636" t="s">
        <v>783</v>
      </c>
      <c r="J10" s="636" t="s">
        <v>924</v>
      </c>
    </row>
    <row r="11" spans="1:10" ht="15">
      <c r="B11" s="625" t="s">
        <v>3139</v>
      </c>
      <c r="C11" s="636" t="s">
        <v>1354</v>
      </c>
      <c r="D11" s="636" t="s">
        <v>3136</v>
      </c>
      <c r="E11" s="625" t="s">
        <v>762</v>
      </c>
      <c r="F11" s="636">
        <v>100.98</v>
      </c>
      <c r="G11" s="636" t="s">
        <v>783</v>
      </c>
      <c r="H11" s="636" t="s">
        <v>783</v>
      </c>
      <c r="I11" s="636" t="s">
        <v>783</v>
      </c>
      <c r="J11" s="636" t="s">
        <v>2846</v>
      </c>
    </row>
    <row r="12" spans="1:10" ht="15">
      <c r="B12" s="625" t="s">
        <v>3176</v>
      </c>
      <c r="C12" s="636" t="s">
        <v>1023</v>
      </c>
      <c r="D12" s="636" t="s">
        <v>3133</v>
      </c>
      <c r="E12" s="625" t="s">
        <v>2615</v>
      </c>
      <c r="F12" s="636">
        <v>98.405199999999994</v>
      </c>
      <c r="G12" s="636">
        <v>106.551</v>
      </c>
      <c r="H12" s="636">
        <v>19.010000000000002</v>
      </c>
      <c r="I12" s="636" t="s">
        <v>3208</v>
      </c>
      <c r="J12" s="636" t="s">
        <v>917</v>
      </c>
    </row>
    <row r="13" spans="1:10" ht="15">
      <c r="B13" s="625" t="s">
        <v>3177</v>
      </c>
      <c r="C13" s="636" t="s">
        <v>1365</v>
      </c>
      <c r="D13" s="636" t="s">
        <v>3133</v>
      </c>
      <c r="E13" s="625" t="s">
        <v>2615</v>
      </c>
      <c r="F13" s="636">
        <v>101.9879</v>
      </c>
      <c r="G13" s="636">
        <v>105.5296</v>
      </c>
      <c r="H13" s="636">
        <v>5.48</v>
      </c>
      <c r="I13" s="636" t="s">
        <v>3208</v>
      </c>
      <c r="J13" s="636" t="s">
        <v>917</v>
      </c>
    </row>
    <row r="14" spans="1:10" ht="15">
      <c r="B14" s="625" t="s">
        <v>3178</v>
      </c>
      <c r="C14" s="636" t="s">
        <v>2604</v>
      </c>
      <c r="D14" s="636" t="s">
        <v>3133</v>
      </c>
      <c r="E14" s="625" t="s">
        <v>2615</v>
      </c>
      <c r="F14" s="636">
        <v>100.6023</v>
      </c>
      <c r="G14" s="636">
        <v>108.2398</v>
      </c>
      <c r="H14" s="636">
        <v>18.989999999999998</v>
      </c>
      <c r="I14" s="636" t="s">
        <v>3227</v>
      </c>
      <c r="J14" s="636" t="s">
        <v>917</v>
      </c>
    </row>
    <row r="15" spans="1:10" ht="15">
      <c r="B15" s="625" t="s">
        <v>3179</v>
      </c>
      <c r="C15" s="636" t="s">
        <v>3093</v>
      </c>
      <c r="D15" s="636" t="s">
        <v>3133</v>
      </c>
      <c r="E15" s="625" t="s">
        <v>2615</v>
      </c>
      <c r="F15" s="636">
        <v>100.3368</v>
      </c>
      <c r="G15" s="636">
        <v>102.15900000000001</v>
      </c>
      <c r="H15" s="636">
        <v>20.23</v>
      </c>
      <c r="I15" s="636" t="s">
        <v>3228</v>
      </c>
      <c r="J15" s="636" t="s">
        <v>917</v>
      </c>
    </row>
    <row r="16" spans="1:10" ht="15">
      <c r="B16" s="625" t="s">
        <v>3229</v>
      </c>
      <c r="C16" s="636" t="s">
        <v>1418</v>
      </c>
      <c r="D16" s="636" t="s">
        <v>3133</v>
      </c>
      <c r="E16" s="625" t="s">
        <v>3140</v>
      </c>
      <c r="F16" s="636">
        <v>86.976200000000006</v>
      </c>
      <c r="G16" s="636">
        <v>88.320099999999996</v>
      </c>
      <c r="H16" s="636">
        <v>5.72</v>
      </c>
      <c r="I16" s="636" t="s">
        <v>3230</v>
      </c>
      <c r="J16" s="636" t="s">
        <v>917</v>
      </c>
    </row>
    <row r="17" spans="2:10" ht="15">
      <c r="B17" s="625" t="s">
        <v>3231</v>
      </c>
      <c r="C17" s="636" t="s">
        <v>1422</v>
      </c>
      <c r="D17" s="636" t="s">
        <v>3133</v>
      </c>
      <c r="E17" s="625" t="s">
        <v>3140</v>
      </c>
      <c r="F17" s="636">
        <v>100.185</v>
      </c>
      <c r="G17" s="636">
        <v>102.7662</v>
      </c>
      <c r="H17" s="636">
        <v>5.2</v>
      </c>
      <c r="I17" s="636" t="s">
        <v>3232</v>
      </c>
      <c r="J17" s="636" t="s">
        <v>917</v>
      </c>
    </row>
    <row r="18" spans="2:10" ht="15">
      <c r="B18" s="625" t="s">
        <v>3233</v>
      </c>
      <c r="C18" s="636" t="s">
        <v>1426</v>
      </c>
      <c r="D18" s="636" t="s">
        <v>3133</v>
      </c>
      <c r="E18" s="625" t="s">
        <v>3140</v>
      </c>
      <c r="F18" s="636">
        <v>103.7841</v>
      </c>
      <c r="G18" s="636">
        <v>103.9872</v>
      </c>
      <c r="H18" s="636">
        <v>4.68</v>
      </c>
      <c r="I18" s="636" t="s">
        <v>3234</v>
      </c>
      <c r="J18" s="636" t="s">
        <v>917</v>
      </c>
    </row>
    <row r="19" spans="2:10" ht="15">
      <c r="B19" s="625" t="s">
        <v>3235</v>
      </c>
      <c r="C19" s="636" t="s">
        <v>3055</v>
      </c>
      <c r="D19" s="636" t="s">
        <v>3133</v>
      </c>
      <c r="E19" s="625" t="s">
        <v>3140</v>
      </c>
      <c r="F19" s="636">
        <v>100.72499999999999</v>
      </c>
      <c r="G19" s="636">
        <v>101.1747</v>
      </c>
      <c r="H19" s="636">
        <v>3.08</v>
      </c>
      <c r="I19" s="636" t="s">
        <v>3236</v>
      </c>
      <c r="J19" s="636" t="s">
        <v>917</v>
      </c>
    </row>
    <row r="20" spans="2:10" ht="15">
      <c r="B20" s="625" t="s">
        <v>3237</v>
      </c>
      <c r="C20" s="636" t="s">
        <v>2579</v>
      </c>
      <c r="D20" s="636" t="s">
        <v>3133</v>
      </c>
      <c r="E20" s="625" t="s">
        <v>3141</v>
      </c>
      <c r="F20" s="636">
        <v>101.598</v>
      </c>
      <c r="G20" s="636">
        <v>104.0505</v>
      </c>
      <c r="H20" s="636">
        <v>4.78</v>
      </c>
      <c r="I20" s="636" t="s">
        <v>3238</v>
      </c>
      <c r="J20" s="636" t="s">
        <v>917</v>
      </c>
    </row>
    <row r="21" spans="2:10" ht="15">
      <c r="B21" s="625" t="s">
        <v>3239</v>
      </c>
      <c r="C21" s="636" t="s">
        <v>538</v>
      </c>
      <c r="D21" s="636" t="s">
        <v>923</v>
      </c>
      <c r="E21" s="625" t="s">
        <v>3142</v>
      </c>
      <c r="F21" s="637">
        <v>4682.82</v>
      </c>
      <c r="G21" s="636" t="s">
        <v>783</v>
      </c>
      <c r="H21" s="636" t="s">
        <v>783</v>
      </c>
      <c r="I21" s="636" t="s">
        <v>783</v>
      </c>
      <c r="J21" s="636" t="s">
        <v>924</v>
      </c>
    </row>
    <row r="22" spans="2:10" ht="15">
      <c r="B22" s="625" t="s">
        <v>3240</v>
      </c>
      <c r="C22" s="636" t="s">
        <v>541</v>
      </c>
      <c r="D22" s="636" t="s">
        <v>923</v>
      </c>
      <c r="E22" s="625" t="s">
        <v>3142</v>
      </c>
      <c r="F22" s="637">
        <v>7338.3</v>
      </c>
      <c r="G22" s="636" t="s">
        <v>783</v>
      </c>
      <c r="H22" s="636" t="s">
        <v>783</v>
      </c>
      <c r="I22" s="636" t="s">
        <v>783</v>
      </c>
      <c r="J22" s="636" t="s">
        <v>924</v>
      </c>
    </row>
    <row r="23" spans="2:10" ht="15">
      <c r="B23" s="625" t="s">
        <v>3241</v>
      </c>
      <c r="C23" s="636" t="s">
        <v>543</v>
      </c>
      <c r="D23" s="636" t="s">
        <v>3136</v>
      </c>
      <c r="E23" s="625" t="s">
        <v>3143</v>
      </c>
      <c r="F23" s="637">
        <v>6064840.0199999996</v>
      </c>
      <c r="G23" s="636" t="s">
        <v>783</v>
      </c>
      <c r="H23" s="636" t="s">
        <v>783</v>
      </c>
      <c r="I23" s="636" t="s">
        <v>783</v>
      </c>
      <c r="J23" s="636" t="s">
        <v>924</v>
      </c>
    </row>
    <row r="24" spans="2:10" ht="15">
      <c r="B24" s="625" t="s">
        <v>3242</v>
      </c>
      <c r="C24" s="636" t="s">
        <v>546</v>
      </c>
      <c r="D24" s="636" t="s">
        <v>3136</v>
      </c>
      <c r="E24" s="625" t="s">
        <v>3143</v>
      </c>
      <c r="F24" s="637">
        <v>1790903.94</v>
      </c>
      <c r="G24" s="636" t="s">
        <v>783</v>
      </c>
      <c r="H24" s="636" t="s">
        <v>783</v>
      </c>
      <c r="I24" s="636" t="s">
        <v>783</v>
      </c>
      <c r="J24" s="636" t="s">
        <v>924</v>
      </c>
    </row>
    <row r="25" spans="2:10" ht="15">
      <c r="B25" s="625" t="s">
        <v>3243</v>
      </c>
      <c r="C25" s="636" t="s">
        <v>551</v>
      </c>
      <c r="D25" s="636" t="s">
        <v>3144</v>
      </c>
      <c r="E25" s="625" t="s">
        <v>112</v>
      </c>
      <c r="F25" s="636">
        <v>99.944000000000003</v>
      </c>
      <c r="G25" s="636">
        <v>100.4207</v>
      </c>
      <c r="H25" s="636">
        <v>5.84</v>
      </c>
      <c r="I25" s="636" t="s">
        <v>3244</v>
      </c>
      <c r="J25" s="636" t="s">
        <v>917</v>
      </c>
    </row>
    <row r="26" spans="2:10" ht="15">
      <c r="B26" s="625" t="s">
        <v>3245</v>
      </c>
      <c r="C26" s="636" t="s">
        <v>1521</v>
      </c>
      <c r="D26" s="636" t="s">
        <v>3144</v>
      </c>
      <c r="E26" s="625" t="s">
        <v>112</v>
      </c>
      <c r="F26" s="636">
        <v>100</v>
      </c>
      <c r="G26" s="636">
        <v>102.4932</v>
      </c>
      <c r="H26" s="636">
        <v>16.22</v>
      </c>
      <c r="I26" s="636" t="s">
        <v>3246</v>
      </c>
      <c r="J26" s="636" t="s">
        <v>917</v>
      </c>
    </row>
    <row r="27" spans="2:10" ht="15">
      <c r="B27" s="625" t="s">
        <v>3247</v>
      </c>
      <c r="C27" s="636" t="s">
        <v>1523</v>
      </c>
      <c r="D27" s="636" t="s">
        <v>3144</v>
      </c>
      <c r="E27" s="625" t="s">
        <v>112</v>
      </c>
      <c r="F27" s="636">
        <v>100</v>
      </c>
      <c r="G27" s="636">
        <v>101.1027</v>
      </c>
      <c r="H27" s="636">
        <v>17.48</v>
      </c>
      <c r="I27" s="636" t="s">
        <v>3248</v>
      </c>
      <c r="J27" s="636" t="s">
        <v>917</v>
      </c>
    </row>
    <row r="28" spans="2:10" ht="15">
      <c r="B28" s="625" t="s">
        <v>3249</v>
      </c>
      <c r="C28" s="636" t="s">
        <v>556</v>
      </c>
      <c r="D28" s="636" t="s">
        <v>3136</v>
      </c>
      <c r="E28" s="625" t="s">
        <v>3145</v>
      </c>
      <c r="F28" s="636">
        <v>168.53</v>
      </c>
      <c r="G28" s="636" t="s">
        <v>783</v>
      </c>
      <c r="H28" s="636" t="s">
        <v>783</v>
      </c>
      <c r="I28" s="636" t="s">
        <v>783</v>
      </c>
      <c r="J28" s="636" t="s">
        <v>2846</v>
      </c>
    </row>
    <row r="29" spans="2:10" ht="15">
      <c r="B29" s="625" t="s">
        <v>3250</v>
      </c>
      <c r="C29" s="636" t="s">
        <v>553</v>
      </c>
      <c r="D29" s="636" t="s">
        <v>3136</v>
      </c>
      <c r="E29" s="625" t="s">
        <v>3145</v>
      </c>
      <c r="F29" s="637">
        <v>5523.73</v>
      </c>
      <c r="G29" s="636" t="s">
        <v>783</v>
      </c>
      <c r="H29" s="636" t="s">
        <v>783</v>
      </c>
      <c r="I29" s="636" t="s">
        <v>783</v>
      </c>
      <c r="J29" s="636" t="s">
        <v>924</v>
      </c>
    </row>
    <row r="30" spans="2:10" ht="15">
      <c r="B30" s="625" t="s">
        <v>3251</v>
      </c>
      <c r="C30" s="636" t="s">
        <v>1062</v>
      </c>
      <c r="D30" s="636" t="s">
        <v>3133</v>
      </c>
      <c r="E30" s="625" t="s">
        <v>3252</v>
      </c>
      <c r="F30" s="636">
        <v>100.1871</v>
      </c>
      <c r="G30" s="636">
        <v>101.59269999999999</v>
      </c>
      <c r="H30" s="636">
        <v>10.74</v>
      </c>
      <c r="I30" s="636" t="s">
        <v>3253</v>
      </c>
      <c r="J30" s="636" t="s">
        <v>917</v>
      </c>
    </row>
    <row r="31" spans="2:10" ht="15">
      <c r="B31" s="625" t="s">
        <v>3182</v>
      </c>
      <c r="C31" s="636" t="s">
        <v>1624</v>
      </c>
      <c r="D31" s="636" t="s">
        <v>3133</v>
      </c>
      <c r="E31" s="625" t="s">
        <v>3146</v>
      </c>
      <c r="F31" s="636">
        <v>99.742000000000004</v>
      </c>
      <c r="G31" s="636">
        <v>102.4141</v>
      </c>
      <c r="H31" s="636">
        <v>18.25</v>
      </c>
      <c r="I31" s="636" t="s">
        <v>3254</v>
      </c>
      <c r="J31" s="636" t="s">
        <v>917</v>
      </c>
    </row>
    <row r="32" spans="2:10" ht="15">
      <c r="B32" s="625" t="s">
        <v>3183</v>
      </c>
      <c r="C32" s="636" t="s">
        <v>561</v>
      </c>
      <c r="D32" s="636" t="s">
        <v>3136</v>
      </c>
      <c r="E32" s="625" t="s">
        <v>3147</v>
      </c>
      <c r="F32" s="637">
        <v>53502.61</v>
      </c>
      <c r="G32" s="636" t="s">
        <v>783</v>
      </c>
      <c r="H32" s="636" t="s">
        <v>783</v>
      </c>
      <c r="I32" s="636" t="s">
        <v>783</v>
      </c>
      <c r="J32" s="636" t="s">
        <v>924</v>
      </c>
    </row>
    <row r="33" spans="2:10" ht="15">
      <c r="B33" s="625" t="s">
        <v>3184</v>
      </c>
      <c r="C33" s="636" t="s">
        <v>563</v>
      </c>
      <c r="D33" s="636" t="s">
        <v>3136</v>
      </c>
      <c r="E33" s="625" t="s">
        <v>3147</v>
      </c>
      <c r="F33" s="637">
        <v>74940.820000000007</v>
      </c>
      <c r="G33" s="636" t="s">
        <v>783</v>
      </c>
      <c r="H33" s="636" t="s">
        <v>783</v>
      </c>
      <c r="I33" s="636" t="s">
        <v>783</v>
      </c>
      <c r="J33" s="636" t="s">
        <v>924</v>
      </c>
    </row>
    <row r="34" spans="2:10" ht="15">
      <c r="B34" s="625" t="s">
        <v>3185</v>
      </c>
      <c r="C34" s="636" t="s">
        <v>565</v>
      </c>
      <c r="D34" s="636" t="s">
        <v>3136</v>
      </c>
      <c r="E34" s="625" t="s">
        <v>3147</v>
      </c>
      <c r="F34" s="637">
        <v>74075.509999999995</v>
      </c>
      <c r="G34" s="636" t="s">
        <v>783</v>
      </c>
      <c r="H34" s="636" t="s">
        <v>783</v>
      </c>
      <c r="I34" s="636" t="s">
        <v>783</v>
      </c>
      <c r="J34" s="636" t="s">
        <v>924</v>
      </c>
    </row>
    <row r="35" spans="2:10" ht="15">
      <c r="B35" s="625" t="s">
        <v>3186</v>
      </c>
      <c r="C35" s="636" t="s">
        <v>567</v>
      </c>
      <c r="D35" s="636" t="s">
        <v>3136</v>
      </c>
      <c r="E35" s="625" t="s">
        <v>3147</v>
      </c>
      <c r="F35" s="637">
        <v>590328.62</v>
      </c>
      <c r="G35" s="636" t="s">
        <v>783</v>
      </c>
      <c r="H35" s="636" t="s">
        <v>783</v>
      </c>
      <c r="I35" s="636" t="s">
        <v>783</v>
      </c>
      <c r="J35" s="636" t="s">
        <v>924</v>
      </c>
    </row>
    <row r="36" spans="2:10" ht="15">
      <c r="B36" s="625" t="s">
        <v>3187</v>
      </c>
      <c r="C36" s="636" t="s">
        <v>569</v>
      </c>
      <c r="D36" s="636" t="s">
        <v>923</v>
      </c>
      <c r="E36" s="625" t="s">
        <v>3148</v>
      </c>
      <c r="F36" s="636">
        <v>355.23</v>
      </c>
      <c r="G36" s="636" t="s">
        <v>783</v>
      </c>
      <c r="H36" s="636" t="s">
        <v>783</v>
      </c>
      <c r="I36" s="636" t="s">
        <v>783</v>
      </c>
      <c r="J36" s="636" t="s">
        <v>924</v>
      </c>
    </row>
    <row r="37" spans="2:10" ht="15">
      <c r="B37" s="625" t="s">
        <v>3188</v>
      </c>
      <c r="C37" s="636" t="s">
        <v>1034</v>
      </c>
      <c r="D37" s="636" t="s">
        <v>3133</v>
      </c>
      <c r="E37" s="625" t="s">
        <v>3148</v>
      </c>
      <c r="F37" s="636">
        <v>98.649600000000007</v>
      </c>
      <c r="G37" s="636">
        <v>105.2492</v>
      </c>
      <c r="H37" s="636">
        <v>18.09</v>
      </c>
      <c r="I37" s="636" t="s">
        <v>3255</v>
      </c>
      <c r="J37" s="636" t="s">
        <v>917</v>
      </c>
    </row>
    <row r="38" spans="2:10" ht="15">
      <c r="B38" s="625" t="s">
        <v>3189</v>
      </c>
      <c r="C38" s="636" t="s">
        <v>572</v>
      </c>
      <c r="D38" s="636" t="s">
        <v>3149</v>
      </c>
      <c r="E38" s="625" t="s">
        <v>3148</v>
      </c>
      <c r="F38" s="636">
        <v>26.88</v>
      </c>
      <c r="G38" s="636" t="s">
        <v>783</v>
      </c>
      <c r="H38" s="636" t="s">
        <v>783</v>
      </c>
      <c r="I38" s="636" t="s">
        <v>783</v>
      </c>
      <c r="J38" s="636" t="s">
        <v>2846</v>
      </c>
    </row>
    <row r="39" spans="2:10" ht="15">
      <c r="B39" s="625" t="s">
        <v>3190</v>
      </c>
      <c r="C39" s="636" t="s">
        <v>577</v>
      </c>
      <c r="D39" s="636" t="s">
        <v>923</v>
      </c>
      <c r="E39" s="625" t="s">
        <v>3150</v>
      </c>
      <c r="F39" s="637">
        <v>9490.25</v>
      </c>
      <c r="G39" s="636" t="s">
        <v>783</v>
      </c>
      <c r="H39" s="636" t="s">
        <v>783</v>
      </c>
      <c r="I39" s="636" t="s">
        <v>783</v>
      </c>
      <c r="J39" s="636" t="s">
        <v>924</v>
      </c>
    </row>
    <row r="40" spans="2:10" ht="15">
      <c r="B40" s="625" t="s">
        <v>3256</v>
      </c>
      <c r="C40" s="636" t="s">
        <v>3118</v>
      </c>
      <c r="D40" s="636" t="s">
        <v>3133</v>
      </c>
      <c r="E40" s="625" t="s">
        <v>3257</v>
      </c>
      <c r="F40" s="636">
        <v>100.04819999999999</v>
      </c>
      <c r="G40" s="636">
        <v>100.7343</v>
      </c>
      <c r="H40" s="636">
        <v>18.98</v>
      </c>
      <c r="I40" s="636" t="s">
        <v>3258</v>
      </c>
      <c r="J40" s="636" t="s">
        <v>917</v>
      </c>
    </row>
    <row r="41" spans="2:10" ht="15">
      <c r="B41" s="625" t="s">
        <v>3259</v>
      </c>
      <c r="C41" s="636" t="s">
        <v>3120</v>
      </c>
      <c r="D41" s="636" t="s">
        <v>3133</v>
      </c>
      <c r="E41" s="625" t="s">
        <v>3257</v>
      </c>
      <c r="F41" s="636">
        <v>100.04819999999999</v>
      </c>
      <c r="G41" s="636">
        <v>100.7343</v>
      </c>
      <c r="H41" s="636">
        <v>18.98</v>
      </c>
      <c r="I41" s="636" t="s">
        <v>3258</v>
      </c>
      <c r="J41" s="636" t="s">
        <v>917</v>
      </c>
    </row>
    <row r="42" spans="2:10" ht="15">
      <c r="B42" s="625" t="s">
        <v>3260</v>
      </c>
      <c r="C42" s="636" t="s">
        <v>2612</v>
      </c>
      <c r="D42" s="636" t="s">
        <v>3133</v>
      </c>
      <c r="E42" s="625" t="s">
        <v>3151</v>
      </c>
      <c r="F42" s="636">
        <v>101.0925</v>
      </c>
      <c r="G42" s="636">
        <v>103.6203</v>
      </c>
      <c r="H42" s="636">
        <v>6.04</v>
      </c>
      <c r="I42" s="636" t="s">
        <v>3261</v>
      </c>
      <c r="J42" s="636" t="s">
        <v>917</v>
      </c>
    </row>
    <row r="43" spans="2:10" ht="15">
      <c r="B43" s="625" t="s">
        <v>3262</v>
      </c>
      <c r="C43" s="636" t="s">
        <v>584</v>
      </c>
      <c r="D43" s="636" t="s">
        <v>923</v>
      </c>
      <c r="E43" s="625" t="s">
        <v>3152</v>
      </c>
      <c r="F43" s="637">
        <v>3357</v>
      </c>
      <c r="G43" s="636" t="s">
        <v>783</v>
      </c>
      <c r="H43" s="636" t="s">
        <v>783</v>
      </c>
      <c r="I43" s="636" t="s">
        <v>783</v>
      </c>
      <c r="J43" s="636" t="s">
        <v>924</v>
      </c>
    </row>
    <row r="44" spans="2:10" ht="15">
      <c r="B44" s="625" t="s">
        <v>3263</v>
      </c>
      <c r="C44" s="636" t="s">
        <v>587</v>
      </c>
      <c r="D44" s="636" t="s">
        <v>923</v>
      </c>
      <c r="E44" s="625" t="s">
        <v>300</v>
      </c>
      <c r="F44" s="637">
        <v>1480.69</v>
      </c>
      <c r="G44" s="636" t="s">
        <v>783</v>
      </c>
      <c r="H44" s="636" t="s">
        <v>783</v>
      </c>
      <c r="I44" s="636" t="s">
        <v>783</v>
      </c>
      <c r="J44" s="636" t="s">
        <v>924</v>
      </c>
    </row>
    <row r="45" spans="2:10" ht="15">
      <c r="B45" s="625" t="s">
        <v>3264</v>
      </c>
      <c r="C45" s="636" t="s">
        <v>607</v>
      </c>
      <c r="D45" s="636" t="s">
        <v>923</v>
      </c>
      <c r="E45" s="625" t="s">
        <v>3153</v>
      </c>
      <c r="F45" s="637">
        <v>21989.759999999998</v>
      </c>
      <c r="G45" s="636" t="s">
        <v>783</v>
      </c>
      <c r="H45" s="636" t="s">
        <v>783</v>
      </c>
      <c r="I45" s="636" t="s">
        <v>783</v>
      </c>
      <c r="J45" s="636" t="s">
        <v>924</v>
      </c>
    </row>
    <row r="46" spans="2:10" ht="15">
      <c r="B46" s="625" t="s">
        <v>3265</v>
      </c>
      <c r="C46" s="636" t="s">
        <v>610</v>
      </c>
      <c r="D46" s="636" t="s">
        <v>3133</v>
      </c>
      <c r="E46" s="625" t="s">
        <v>3153</v>
      </c>
      <c r="F46" s="636">
        <v>93.883899999999997</v>
      </c>
      <c r="G46" s="636">
        <v>93.899900000000002</v>
      </c>
      <c r="H46" s="636">
        <v>6.27</v>
      </c>
      <c r="I46" s="636" t="s">
        <v>3266</v>
      </c>
      <c r="J46" s="636" t="s">
        <v>917</v>
      </c>
    </row>
    <row r="47" spans="2:10" ht="15">
      <c r="B47" s="625" t="s">
        <v>3267</v>
      </c>
      <c r="C47" s="636" t="s">
        <v>614</v>
      </c>
      <c r="D47" s="636" t="s">
        <v>3133</v>
      </c>
      <c r="E47" s="625" t="s">
        <v>3153</v>
      </c>
      <c r="F47" s="636">
        <v>98.909899999999993</v>
      </c>
      <c r="G47" s="636">
        <v>102.0266</v>
      </c>
      <c r="H47" s="636">
        <v>6.47</v>
      </c>
      <c r="I47" s="636" t="s">
        <v>3268</v>
      </c>
      <c r="J47" s="636" t="s">
        <v>917</v>
      </c>
    </row>
    <row r="48" spans="2:10" ht="15">
      <c r="B48" s="625" t="s">
        <v>3269</v>
      </c>
      <c r="C48" s="636" t="s">
        <v>616</v>
      </c>
      <c r="D48" s="636" t="s">
        <v>3133</v>
      </c>
      <c r="E48" s="625" t="s">
        <v>3153</v>
      </c>
      <c r="F48" s="636">
        <v>91.207700000000003</v>
      </c>
      <c r="G48" s="636">
        <v>91.266000000000005</v>
      </c>
      <c r="H48" s="636">
        <v>4.92</v>
      </c>
      <c r="I48" s="636" t="s">
        <v>3270</v>
      </c>
      <c r="J48" s="636" t="s">
        <v>917</v>
      </c>
    </row>
    <row r="49" spans="2:10" ht="15">
      <c r="B49" s="625" t="s">
        <v>3271</v>
      </c>
      <c r="C49" s="636" t="s">
        <v>621</v>
      </c>
      <c r="D49" s="636" t="s">
        <v>3149</v>
      </c>
      <c r="E49" s="625" t="s">
        <v>3154</v>
      </c>
      <c r="F49" s="636">
        <v>76.5</v>
      </c>
      <c r="G49" s="636" t="s">
        <v>783</v>
      </c>
      <c r="H49" s="636" t="s">
        <v>783</v>
      </c>
      <c r="I49" s="636" t="s">
        <v>783</v>
      </c>
      <c r="J49" s="636" t="s">
        <v>2846</v>
      </c>
    </row>
    <row r="50" spans="2:10" ht="15">
      <c r="B50" s="625" t="s">
        <v>3272</v>
      </c>
      <c r="C50" s="636" t="s">
        <v>623</v>
      </c>
      <c r="D50" s="636" t="s">
        <v>923</v>
      </c>
      <c r="E50" s="625" t="s">
        <v>3155</v>
      </c>
      <c r="F50" s="637">
        <v>30225.77</v>
      </c>
      <c r="G50" s="636" t="s">
        <v>783</v>
      </c>
      <c r="H50" s="636" t="s">
        <v>783</v>
      </c>
      <c r="I50" s="636" t="s">
        <v>783</v>
      </c>
      <c r="J50" s="636" t="s">
        <v>924</v>
      </c>
    </row>
    <row r="51" spans="2:10" ht="15">
      <c r="B51" s="625" t="s">
        <v>3273</v>
      </c>
      <c r="C51" s="636" t="s">
        <v>1865</v>
      </c>
      <c r="D51" s="636" t="s">
        <v>3133</v>
      </c>
      <c r="E51" s="625" t="s">
        <v>3156</v>
      </c>
      <c r="F51" s="636">
        <v>106.55589999999999</v>
      </c>
      <c r="G51" s="636">
        <v>108.57259999999999</v>
      </c>
      <c r="H51" s="636">
        <v>18.47</v>
      </c>
      <c r="I51" s="636" t="s">
        <v>3274</v>
      </c>
      <c r="J51" s="636" t="s">
        <v>917</v>
      </c>
    </row>
    <row r="52" spans="2:10" ht="15">
      <c r="B52" s="625" t="s">
        <v>3275</v>
      </c>
      <c r="C52" s="636" t="s">
        <v>625</v>
      </c>
      <c r="D52" s="636" t="s">
        <v>923</v>
      </c>
      <c r="E52" s="625" t="s">
        <v>3157</v>
      </c>
      <c r="F52" s="637">
        <v>39499.18</v>
      </c>
      <c r="G52" s="636" t="s">
        <v>783</v>
      </c>
      <c r="H52" s="636" t="s">
        <v>783</v>
      </c>
      <c r="I52" s="636" t="s">
        <v>783</v>
      </c>
      <c r="J52" s="636" t="s">
        <v>924</v>
      </c>
    </row>
    <row r="53" spans="2:10" ht="15">
      <c r="B53" s="625" t="s">
        <v>3276</v>
      </c>
      <c r="C53" s="636" t="s">
        <v>1067</v>
      </c>
      <c r="D53" s="636" t="s">
        <v>923</v>
      </c>
      <c r="E53" s="625" t="s">
        <v>3157</v>
      </c>
      <c r="F53" s="637">
        <v>30544.21</v>
      </c>
      <c r="G53" s="636" t="s">
        <v>783</v>
      </c>
      <c r="H53" s="636" t="s">
        <v>783</v>
      </c>
      <c r="I53" s="636" t="s">
        <v>783</v>
      </c>
      <c r="J53" s="636" t="s">
        <v>924</v>
      </c>
    </row>
    <row r="54" spans="2:10" ht="15">
      <c r="B54" s="625" t="s">
        <v>3277</v>
      </c>
      <c r="C54" s="636" t="s">
        <v>628</v>
      </c>
      <c r="D54" s="636" t="s">
        <v>923</v>
      </c>
      <c r="E54" s="625" t="s">
        <v>3158</v>
      </c>
      <c r="F54" s="636">
        <v>866.67</v>
      </c>
      <c r="G54" s="636" t="s">
        <v>783</v>
      </c>
      <c r="H54" s="636" t="s">
        <v>783</v>
      </c>
      <c r="I54" s="636" t="s">
        <v>783</v>
      </c>
      <c r="J54" s="636" t="s">
        <v>924</v>
      </c>
    </row>
    <row r="55" spans="2:10" ht="15">
      <c r="B55" s="625" t="s">
        <v>3278</v>
      </c>
      <c r="C55" s="636" t="s">
        <v>1014</v>
      </c>
      <c r="D55" s="636" t="s">
        <v>2835</v>
      </c>
      <c r="E55" s="625" t="s">
        <v>3159</v>
      </c>
      <c r="F55" s="636">
        <v>98.625</v>
      </c>
      <c r="G55" s="636">
        <v>98.769000000000005</v>
      </c>
      <c r="H55" s="636">
        <v>4.9000000000000004</v>
      </c>
      <c r="I55" s="636" t="s">
        <v>3279</v>
      </c>
      <c r="J55" s="636" t="s">
        <v>917</v>
      </c>
    </row>
    <row r="56" spans="2:10" ht="15">
      <c r="B56" s="625" t="s">
        <v>3280</v>
      </c>
      <c r="C56" s="636" t="s">
        <v>1912</v>
      </c>
      <c r="D56" s="636" t="s">
        <v>3133</v>
      </c>
      <c r="E56" s="625" t="s">
        <v>3160</v>
      </c>
      <c r="F56" s="636">
        <v>99.9863</v>
      </c>
      <c r="G56" s="636">
        <v>105.18210000000001</v>
      </c>
      <c r="H56" s="636">
        <v>21.54</v>
      </c>
      <c r="I56" s="636" t="s">
        <v>3281</v>
      </c>
      <c r="J56" s="636" t="s">
        <v>917</v>
      </c>
    </row>
    <row r="57" spans="2:10" ht="15">
      <c r="B57" s="625" t="s">
        <v>3282</v>
      </c>
      <c r="C57" s="636" t="s">
        <v>1916</v>
      </c>
      <c r="D57" s="636" t="s">
        <v>3133</v>
      </c>
      <c r="E57" s="625" t="s">
        <v>3170</v>
      </c>
      <c r="F57" s="636">
        <v>99.023099999999999</v>
      </c>
      <c r="G57" s="636">
        <v>102.7509</v>
      </c>
      <c r="H57" s="636">
        <v>23.01</v>
      </c>
      <c r="I57" s="636" t="s">
        <v>3283</v>
      </c>
      <c r="J57" s="636" t="s">
        <v>917</v>
      </c>
    </row>
    <row r="58" spans="2:10" ht="15">
      <c r="B58" s="625" t="s">
        <v>3284</v>
      </c>
      <c r="C58" s="636" t="s">
        <v>1069</v>
      </c>
      <c r="D58" s="636" t="s">
        <v>3133</v>
      </c>
      <c r="E58" s="625" t="s">
        <v>3161</v>
      </c>
      <c r="F58" s="636">
        <v>98.527500000000003</v>
      </c>
      <c r="G58" s="636">
        <v>106.1108</v>
      </c>
      <c r="H58" s="636">
        <v>19.04</v>
      </c>
      <c r="I58" s="636" t="s">
        <v>3285</v>
      </c>
      <c r="J58" s="636" t="s">
        <v>917</v>
      </c>
    </row>
    <row r="59" spans="2:10" ht="15">
      <c r="B59" s="625" t="s">
        <v>3286</v>
      </c>
      <c r="C59" s="636" t="s">
        <v>2559</v>
      </c>
      <c r="D59" s="636" t="s">
        <v>3133</v>
      </c>
      <c r="E59" s="625" t="s">
        <v>3162</v>
      </c>
      <c r="F59" s="636">
        <v>76.452799999999996</v>
      </c>
      <c r="G59" s="636">
        <v>76.697199999999995</v>
      </c>
      <c r="H59" s="636">
        <v>42.84</v>
      </c>
      <c r="I59" s="636" t="s">
        <v>3287</v>
      </c>
      <c r="J59" s="636" t="s">
        <v>917</v>
      </c>
    </row>
    <row r="60" spans="2:10" ht="15">
      <c r="B60" s="625" t="s">
        <v>3288</v>
      </c>
      <c r="C60" s="636" t="s">
        <v>2621</v>
      </c>
      <c r="D60" s="636" t="s">
        <v>3133</v>
      </c>
      <c r="E60" s="625" t="s">
        <v>3162</v>
      </c>
      <c r="F60" s="636">
        <v>99.436099999999996</v>
      </c>
      <c r="G60" s="636">
        <v>100.5361</v>
      </c>
      <c r="H60" s="636">
        <v>22.4</v>
      </c>
      <c r="I60" s="636" t="s">
        <v>3204</v>
      </c>
      <c r="J60" s="636" t="s">
        <v>917</v>
      </c>
    </row>
    <row r="61" spans="2:10" ht="15">
      <c r="B61" s="625" t="s">
        <v>3289</v>
      </c>
      <c r="C61" s="636" t="s">
        <v>2625</v>
      </c>
      <c r="D61" s="636" t="s">
        <v>3133</v>
      </c>
      <c r="E61" s="625" t="s">
        <v>3162</v>
      </c>
      <c r="F61" s="636">
        <v>99.998800000000003</v>
      </c>
      <c r="G61" s="636">
        <v>100.5655</v>
      </c>
      <c r="H61" s="636">
        <v>12</v>
      </c>
      <c r="I61" s="636" t="s">
        <v>3290</v>
      </c>
      <c r="J61" s="636" t="s">
        <v>917</v>
      </c>
    </row>
    <row r="62" spans="2:10" ht="15">
      <c r="B62" s="625" t="s">
        <v>3291</v>
      </c>
      <c r="C62" s="636" t="s">
        <v>3105</v>
      </c>
      <c r="D62" s="636" t="s">
        <v>3133</v>
      </c>
      <c r="E62" s="625" t="s">
        <v>3162</v>
      </c>
      <c r="F62" s="636">
        <v>99.998999999999995</v>
      </c>
      <c r="G62" s="636">
        <v>100.8546</v>
      </c>
      <c r="H62" s="636">
        <v>22</v>
      </c>
      <c r="I62" s="636" t="s">
        <v>3292</v>
      </c>
      <c r="J62" s="636" t="s">
        <v>917</v>
      </c>
    </row>
    <row r="63" spans="2:10" ht="15">
      <c r="B63" s="625" t="s">
        <v>3193</v>
      </c>
      <c r="C63" s="636" t="s">
        <v>642</v>
      </c>
      <c r="D63" s="636" t="s">
        <v>3133</v>
      </c>
      <c r="E63" s="625" t="s">
        <v>3163</v>
      </c>
      <c r="F63" s="636">
        <v>99.976699999999994</v>
      </c>
      <c r="G63" s="636">
        <v>100.36499999999999</v>
      </c>
      <c r="H63" s="636">
        <v>23.61</v>
      </c>
      <c r="I63" s="636" t="s">
        <v>3293</v>
      </c>
      <c r="J63" s="636" t="s">
        <v>917</v>
      </c>
    </row>
    <row r="64" spans="2:10" ht="15">
      <c r="B64" s="625" t="s">
        <v>3194</v>
      </c>
      <c r="C64" s="636" t="s">
        <v>751</v>
      </c>
      <c r="D64" s="636" t="s">
        <v>3133</v>
      </c>
      <c r="E64" s="625" t="s">
        <v>3163</v>
      </c>
      <c r="F64" s="636">
        <v>98.729500000000002</v>
      </c>
      <c r="G64" s="636">
        <v>100.0628</v>
      </c>
      <c r="H64" s="636">
        <v>22.62</v>
      </c>
      <c r="I64" s="636" t="s">
        <v>3294</v>
      </c>
      <c r="J64" s="636" t="s">
        <v>917</v>
      </c>
    </row>
    <row r="65" spans="2:10" ht="15">
      <c r="B65" s="625" t="s">
        <v>3195</v>
      </c>
      <c r="C65" s="636" t="s">
        <v>908</v>
      </c>
      <c r="D65" s="636" t="s">
        <v>3133</v>
      </c>
      <c r="E65" s="625" t="s">
        <v>3163</v>
      </c>
      <c r="F65" s="636">
        <v>100</v>
      </c>
      <c r="G65" s="636">
        <v>100.3143</v>
      </c>
      <c r="H65" s="636">
        <v>22.63</v>
      </c>
      <c r="I65" s="636" t="s">
        <v>3295</v>
      </c>
      <c r="J65" s="636" t="s">
        <v>917</v>
      </c>
    </row>
    <row r="66" spans="2:10" ht="15">
      <c r="B66" s="625" t="s">
        <v>3196</v>
      </c>
      <c r="C66" s="636" t="s">
        <v>1077</v>
      </c>
      <c r="D66" s="636" t="s">
        <v>3133</v>
      </c>
      <c r="E66" s="625" t="s">
        <v>3163</v>
      </c>
      <c r="F66" s="636">
        <v>96.119100000000003</v>
      </c>
      <c r="G66" s="636">
        <v>97.280199999999994</v>
      </c>
      <c r="H66" s="636">
        <v>21.17</v>
      </c>
      <c r="I66" s="636" t="s">
        <v>3296</v>
      </c>
      <c r="J66" s="636" t="s">
        <v>917</v>
      </c>
    </row>
    <row r="67" spans="2:10" ht="15">
      <c r="B67" s="625" t="s">
        <v>3197</v>
      </c>
      <c r="C67" s="636" t="s">
        <v>1016</v>
      </c>
      <c r="D67" s="636" t="s">
        <v>3133</v>
      </c>
      <c r="E67" s="625" t="s">
        <v>3163</v>
      </c>
      <c r="F67" s="636">
        <v>96.656300000000002</v>
      </c>
      <c r="G67" s="636">
        <v>98.186899999999994</v>
      </c>
      <c r="H67" s="636">
        <v>22.76</v>
      </c>
      <c r="I67" s="636" t="s">
        <v>3297</v>
      </c>
      <c r="J67" s="636" t="s">
        <v>917</v>
      </c>
    </row>
    <row r="68" spans="2:10" ht="15">
      <c r="B68" s="625" t="s">
        <v>3198</v>
      </c>
      <c r="C68" s="636" t="s">
        <v>1079</v>
      </c>
      <c r="D68" s="636" t="s">
        <v>3133</v>
      </c>
      <c r="E68" s="625" t="s">
        <v>3163</v>
      </c>
      <c r="F68" s="636">
        <v>99.005300000000005</v>
      </c>
      <c r="G68" s="636">
        <v>99.471999999999994</v>
      </c>
      <c r="H68" s="636">
        <v>21.53</v>
      </c>
      <c r="I68" s="636" t="s">
        <v>3298</v>
      </c>
      <c r="J68" s="636" t="s">
        <v>917</v>
      </c>
    </row>
    <row r="69" spans="2:10" ht="15">
      <c r="B69" s="625" t="s">
        <v>3199</v>
      </c>
      <c r="C69" s="636" t="s">
        <v>1081</v>
      </c>
      <c r="D69" s="636" t="s">
        <v>3133</v>
      </c>
      <c r="E69" s="625" t="s">
        <v>3163</v>
      </c>
      <c r="F69" s="636">
        <v>100.8137</v>
      </c>
      <c r="G69" s="636">
        <v>102.0637</v>
      </c>
      <c r="H69" s="636">
        <v>22.07</v>
      </c>
      <c r="I69" s="636" t="s">
        <v>3203</v>
      </c>
      <c r="J69" s="636" t="s">
        <v>917</v>
      </c>
    </row>
    <row r="70" spans="2:10" ht="15">
      <c r="B70" s="625" t="s">
        <v>3200</v>
      </c>
      <c r="C70" s="636" t="s">
        <v>1974</v>
      </c>
      <c r="D70" s="636" t="s">
        <v>3133</v>
      </c>
      <c r="E70" s="625" t="s">
        <v>3163</v>
      </c>
      <c r="F70" s="636">
        <v>79.926000000000002</v>
      </c>
      <c r="G70" s="636">
        <v>79.926000000000002</v>
      </c>
      <c r="H70" s="636">
        <v>33.11</v>
      </c>
      <c r="I70" s="636" t="s">
        <v>3299</v>
      </c>
      <c r="J70" s="636" t="s">
        <v>917</v>
      </c>
    </row>
    <row r="71" spans="2:10" ht="15">
      <c r="B71" s="625" t="s">
        <v>3201</v>
      </c>
      <c r="C71" s="636" t="s">
        <v>1976</v>
      </c>
      <c r="D71" s="636" t="s">
        <v>3133</v>
      </c>
      <c r="E71" s="625" t="s">
        <v>3164</v>
      </c>
      <c r="F71" s="636">
        <v>76.915000000000006</v>
      </c>
      <c r="G71" s="636">
        <v>77.809399999999997</v>
      </c>
      <c r="H71" s="636">
        <v>119.75</v>
      </c>
      <c r="I71" s="636" t="s">
        <v>3300</v>
      </c>
      <c r="J71" s="636" t="s">
        <v>917</v>
      </c>
    </row>
    <row r="72" spans="2:10" ht="15">
      <c r="B72" s="625" t="s">
        <v>3301</v>
      </c>
      <c r="C72" s="636" t="s">
        <v>1085</v>
      </c>
      <c r="D72" s="636" t="s">
        <v>3133</v>
      </c>
      <c r="E72" s="625" t="s">
        <v>3164</v>
      </c>
      <c r="F72" s="636">
        <v>97.253600000000006</v>
      </c>
      <c r="G72" s="636">
        <v>98.420299999999997</v>
      </c>
      <c r="H72" s="636">
        <v>24.04</v>
      </c>
      <c r="I72" s="636" t="s">
        <v>3302</v>
      </c>
      <c r="J72" s="636" t="s">
        <v>917</v>
      </c>
    </row>
    <row r="73" spans="2:10" ht="15">
      <c r="B73" s="625" t="s">
        <v>3303</v>
      </c>
      <c r="C73" s="636" t="s">
        <v>1087</v>
      </c>
      <c r="D73" s="636" t="s">
        <v>3133</v>
      </c>
      <c r="E73" s="625" t="s">
        <v>3164</v>
      </c>
      <c r="F73" s="636">
        <v>95.995400000000004</v>
      </c>
      <c r="G73" s="636">
        <v>97.278700000000001</v>
      </c>
      <c r="H73" s="636">
        <v>23.16</v>
      </c>
      <c r="I73" s="636" t="s">
        <v>3304</v>
      </c>
      <c r="J73" s="636" t="s">
        <v>917</v>
      </c>
    </row>
    <row r="74" spans="2:10" ht="15">
      <c r="B74" s="625" t="s">
        <v>3305</v>
      </c>
      <c r="C74" s="636" t="s">
        <v>2844</v>
      </c>
      <c r="D74" s="636" t="s">
        <v>3133</v>
      </c>
      <c r="E74" s="625" t="s">
        <v>3164</v>
      </c>
      <c r="F74" s="636">
        <v>92.787899999999993</v>
      </c>
      <c r="G74" s="636">
        <v>94.187899999999999</v>
      </c>
      <c r="H74" s="636">
        <v>24.7</v>
      </c>
      <c r="I74" s="636" t="s">
        <v>3306</v>
      </c>
      <c r="J74" s="636" t="s">
        <v>917</v>
      </c>
    </row>
    <row r="75" spans="2:10" ht="15">
      <c r="B75" s="625" t="s">
        <v>3307</v>
      </c>
      <c r="C75" s="636" t="s">
        <v>1980</v>
      </c>
      <c r="D75" s="636" t="s">
        <v>3133</v>
      </c>
      <c r="E75" s="625" t="s">
        <v>3164</v>
      </c>
      <c r="F75" s="636">
        <v>82.8</v>
      </c>
      <c r="G75" s="636">
        <v>83.216700000000003</v>
      </c>
      <c r="H75" s="636">
        <v>44.36</v>
      </c>
      <c r="I75" s="636" t="s">
        <v>3308</v>
      </c>
      <c r="J75" s="636" t="s">
        <v>917</v>
      </c>
    </row>
    <row r="76" spans="2:10" ht="15">
      <c r="B76" s="625" t="s">
        <v>3309</v>
      </c>
      <c r="C76" s="636" t="s">
        <v>2003</v>
      </c>
      <c r="D76" s="636" t="s">
        <v>3133</v>
      </c>
      <c r="E76" s="625" t="s">
        <v>3165</v>
      </c>
      <c r="F76" s="636">
        <v>100.04649999999999</v>
      </c>
      <c r="G76" s="636">
        <v>102.2465</v>
      </c>
      <c r="H76" s="636">
        <v>21.44</v>
      </c>
      <c r="I76" s="636" t="s">
        <v>3310</v>
      </c>
      <c r="J76" s="636" t="s">
        <v>917</v>
      </c>
    </row>
    <row r="77" spans="2:10" ht="15">
      <c r="B77" s="625" t="s">
        <v>3311</v>
      </c>
      <c r="C77" s="636" t="s">
        <v>2005</v>
      </c>
      <c r="D77" s="636" t="s">
        <v>3133</v>
      </c>
      <c r="E77" s="625" t="s">
        <v>3165</v>
      </c>
      <c r="F77" s="636">
        <v>99.142499999999998</v>
      </c>
      <c r="G77" s="636">
        <v>99.199399999999997</v>
      </c>
      <c r="H77" s="636">
        <v>21.77</v>
      </c>
      <c r="I77" s="636" t="s">
        <v>3312</v>
      </c>
      <c r="J77" s="636" t="s">
        <v>917</v>
      </c>
    </row>
    <row r="78" spans="2:10" ht="15">
      <c r="B78" s="625" t="s">
        <v>3313</v>
      </c>
      <c r="C78" s="636" t="s">
        <v>2882</v>
      </c>
      <c r="D78" s="636" t="s">
        <v>3133</v>
      </c>
      <c r="E78" s="625" t="s">
        <v>3165</v>
      </c>
      <c r="F78" s="636">
        <v>99.117099999999994</v>
      </c>
      <c r="G78" s="636">
        <v>99.408799999999999</v>
      </c>
      <c r="H78" s="636">
        <v>21.62</v>
      </c>
      <c r="I78" s="636" t="s">
        <v>3314</v>
      </c>
      <c r="J78" s="636" t="s">
        <v>917</v>
      </c>
    </row>
    <row r="79" spans="2:10" ht="15">
      <c r="B79" s="625" t="s">
        <v>3315</v>
      </c>
      <c r="C79" s="636" t="s">
        <v>1017</v>
      </c>
      <c r="D79" s="636" t="s">
        <v>2835</v>
      </c>
      <c r="E79" s="625" t="s">
        <v>3159</v>
      </c>
      <c r="F79" s="636">
        <v>99.828000000000003</v>
      </c>
      <c r="G79" s="636">
        <v>99.828000000000003</v>
      </c>
      <c r="H79" s="636">
        <v>15.72</v>
      </c>
      <c r="I79" s="636" t="s">
        <v>3316</v>
      </c>
      <c r="J79" s="636" t="s">
        <v>917</v>
      </c>
    </row>
    <row r="80" spans="2:10" ht="15">
      <c r="B80" s="625" t="s">
        <v>3317</v>
      </c>
      <c r="C80" s="636" t="s">
        <v>1041</v>
      </c>
      <c r="D80" s="636" t="s">
        <v>2835</v>
      </c>
      <c r="E80" s="625" t="s">
        <v>3159</v>
      </c>
      <c r="F80" s="636">
        <v>95.442800000000005</v>
      </c>
      <c r="G80" s="636">
        <v>95.442800000000005</v>
      </c>
      <c r="H80" s="636">
        <v>15.99</v>
      </c>
      <c r="I80" s="636" t="s">
        <v>3202</v>
      </c>
      <c r="J80" s="636" t="s">
        <v>917</v>
      </c>
    </row>
    <row r="81" spans="2:10" ht="15">
      <c r="B81" s="625" t="s">
        <v>3318</v>
      </c>
      <c r="C81" s="636" t="s">
        <v>2557</v>
      </c>
      <c r="D81" s="636" t="s">
        <v>2835</v>
      </c>
      <c r="E81" s="625" t="s">
        <v>3159</v>
      </c>
      <c r="F81" s="636">
        <v>91.548699999999997</v>
      </c>
      <c r="G81" s="636">
        <v>91.548699999999997</v>
      </c>
      <c r="H81" s="636">
        <v>16.28</v>
      </c>
      <c r="I81" s="636" t="s">
        <v>3319</v>
      </c>
      <c r="J81" s="636" t="s">
        <v>917</v>
      </c>
    </row>
    <row r="82" spans="2:10" ht="15">
      <c r="B82" s="625" t="s">
        <v>3320</v>
      </c>
      <c r="C82" s="636" t="s">
        <v>473</v>
      </c>
      <c r="D82" s="636" t="s">
        <v>2835</v>
      </c>
      <c r="E82" s="625" t="s">
        <v>3159</v>
      </c>
      <c r="F82" s="636">
        <v>98.584699999999998</v>
      </c>
      <c r="G82" s="636">
        <v>101.2226</v>
      </c>
      <c r="H82" s="636">
        <v>16.39</v>
      </c>
      <c r="I82" s="636" t="s">
        <v>3321</v>
      </c>
      <c r="J82" s="636" t="s">
        <v>917</v>
      </c>
    </row>
    <row r="83" spans="2:10" ht="15">
      <c r="B83" s="625" t="s">
        <v>3322</v>
      </c>
      <c r="C83" s="636" t="s">
        <v>655</v>
      </c>
      <c r="D83" s="636" t="s">
        <v>2835</v>
      </c>
      <c r="E83" s="625" t="s">
        <v>3159</v>
      </c>
      <c r="F83" s="636">
        <v>98.451800000000006</v>
      </c>
      <c r="G83" s="636">
        <v>102.8824</v>
      </c>
      <c r="H83" s="636">
        <v>16.149999999999999</v>
      </c>
      <c r="I83" s="636" t="s">
        <v>3323</v>
      </c>
      <c r="J83" s="636" t="s">
        <v>917</v>
      </c>
    </row>
    <row r="84" spans="2:10" ht="15">
      <c r="B84" s="625" t="s">
        <v>3324</v>
      </c>
      <c r="C84" s="636" t="s">
        <v>494</v>
      </c>
      <c r="D84" s="636" t="s">
        <v>2835</v>
      </c>
      <c r="E84" s="625" t="s">
        <v>3159</v>
      </c>
      <c r="F84" s="636">
        <v>98.109300000000005</v>
      </c>
      <c r="G84" s="636">
        <v>99.4221</v>
      </c>
      <c r="H84" s="636">
        <v>16.18</v>
      </c>
      <c r="I84" s="636" t="s">
        <v>3325</v>
      </c>
      <c r="J84" s="636" t="s">
        <v>917</v>
      </c>
    </row>
    <row r="85" spans="2:10" ht="15">
      <c r="B85" s="625" t="s">
        <v>3326</v>
      </c>
      <c r="C85" s="636" t="s">
        <v>2940</v>
      </c>
      <c r="D85" s="636" t="s">
        <v>2835</v>
      </c>
      <c r="E85" s="625" t="s">
        <v>3159</v>
      </c>
      <c r="F85" s="636">
        <v>101.9787</v>
      </c>
      <c r="G85" s="636">
        <v>105.428</v>
      </c>
      <c r="H85" s="636">
        <v>16.260000000000002</v>
      </c>
      <c r="I85" s="636" t="s">
        <v>3327</v>
      </c>
      <c r="J85" s="636" t="s">
        <v>917</v>
      </c>
    </row>
    <row r="86" spans="2:10" ht="15">
      <c r="B86" s="625" t="s">
        <v>3328</v>
      </c>
      <c r="C86" s="636" t="s">
        <v>449</v>
      </c>
      <c r="D86" s="636" t="s">
        <v>2835</v>
      </c>
      <c r="E86" s="625" t="s">
        <v>3159</v>
      </c>
      <c r="F86" s="636">
        <v>95.899199999999993</v>
      </c>
      <c r="G86" s="636">
        <v>98.115899999999996</v>
      </c>
      <c r="H86" s="636">
        <v>16.170000000000002</v>
      </c>
      <c r="I86" s="636" t="s">
        <v>3329</v>
      </c>
      <c r="J86" s="636" t="s">
        <v>917</v>
      </c>
    </row>
    <row r="87" spans="2:10" ht="15">
      <c r="B87" s="625" t="s">
        <v>3330</v>
      </c>
      <c r="C87" s="636" t="s">
        <v>498</v>
      </c>
      <c r="D87" s="636" t="s">
        <v>2835</v>
      </c>
      <c r="E87" s="625" t="s">
        <v>3159</v>
      </c>
      <c r="F87" s="636">
        <v>98.551900000000003</v>
      </c>
      <c r="G87" s="636">
        <v>105.033</v>
      </c>
      <c r="H87" s="636">
        <v>16.18</v>
      </c>
      <c r="I87" s="636" t="s">
        <v>3331</v>
      </c>
      <c r="J87" s="636" t="s">
        <v>917</v>
      </c>
    </row>
    <row r="88" spans="2:10" ht="15">
      <c r="B88" s="625" t="s">
        <v>3332</v>
      </c>
      <c r="C88" s="636" t="s">
        <v>3124</v>
      </c>
      <c r="D88" s="636" t="s">
        <v>2835</v>
      </c>
      <c r="E88" s="625" t="s">
        <v>3159</v>
      </c>
      <c r="F88" s="636">
        <v>102.14409999999999</v>
      </c>
      <c r="G88" s="636">
        <v>102.66200000000001</v>
      </c>
      <c r="H88" s="636">
        <v>16.3</v>
      </c>
      <c r="I88" s="636" t="s">
        <v>3333</v>
      </c>
      <c r="J88" s="636" t="s">
        <v>917</v>
      </c>
    </row>
    <row r="89" spans="2:10" ht="15">
      <c r="B89" s="625" t="s">
        <v>3334</v>
      </c>
      <c r="C89" s="636" t="s">
        <v>2913</v>
      </c>
      <c r="D89" s="636" t="s">
        <v>2835</v>
      </c>
      <c r="E89" s="625" t="s">
        <v>3159</v>
      </c>
      <c r="F89" s="636">
        <v>100</v>
      </c>
      <c r="G89" s="636">
        <v>103.80500000000001</v>
      </c>
      <c r="H89" s="636">
        <v>16.899999999999999</v>
      </c>
      <c r="I89" s="636" t="s">
        <v>3335</v>
      </c>
      <c r="J89" s="636" t="s">
        <v>917</v>
      </c>
    </row>
    <row r="90" spans="2:10" ht="15">
      <c r="B90" s="625" t="s">
        <v>3336</v>
      </c>
      <c r="C90" s="636" t="s">
        <v>661</v>
      </c>
      <c r="D90" s="636" t="s">
        <v>2835</v>
      </c>
      <c r="E90" s="625" t="s">
        <v>3159</v>
      </c>
      <c r="F90" s="636">
        <v>100</v>
      </c>
      <c r="G90" s="636">
        <v>101.956</v>
      </c>
      <c r="H90" s="636">
        <v>17.100000000000001</v>
      </c>
      <c r="I90" s="636" t="s">
        <v>3337</v>
      </c>
      <c r="J90" s="636" t="s">
        <v>917</v>
      </c>
    </row>
    <row r="91" spans="2:10" ht="15">
      <c r="B91" s="625" t="s">
        <v>3338</v>
      </c>
      <c r="C91" s="636" t="s">
        <v>663</v>
      </c>
      <c r="D91" s="636" t="s">
        <v>2835</v>
      </c>
      <c r="E91" s="625" t="s">
        <v>3159</v>
      </c>
      <c r="F91" s="636">
        <v>100</v>
      </c>
      <c r="G91" s="636">
        <v>100.28879999999999</v>
      </c>
      <c r="H91" s="636">
        <v>17.32</v>
      </c>
      <c r="I91" s="636" t="s">
        <v>3339</v>
      </c>
      <c r="J91" s="636" t="s">
        <v>917</v>
      </c>
    </row>
    <row r="92" spans="2:10" ht="15">
      <c r="B92" s="625" t="s">
        <v>3340</v>
      </c>
      <c r="C92" s="636" t="s">
        <v>665</v>
      </c>
      <c r="D92" s="636" t="s">
        <v>2835</v>
      </c>
      <c r="E92" s="625" t="s">
        <v>3159</v>
      </c>
      <c r="F92" s="636">
        <v>100</v>
      </c>
      <c r="G92" s="636">
        <v>107.3994</v>
      </c>
      <c r="H92" s="636">
        <v>17.5</v>
      </c>
      <c r="I92" s="636" t="s">
        <v>3341</v>
      </c>
      <c r="J92" s="636" t="s">
        <v>917</v>
      </c>
    </row>
    <row r="93" spans="2:10" ht="15">
      <c r="B93" s="625" t="s">
        <v>3342</v>
      </c>
      <c r="C93" s="636" t="s">
        <v>667</v>
      </c>
      <c r="D93" s="636" t="s">
        <v>2835</v>
      </c>
      <c r="E93" s="625" t="s">
        <v>3159</v>
      </c>
      <c r="F93" s="636">
        <v>100</v>
      </c>
      <c r="G93" s="636">
        <v>102.301</v>
      </c>
      <c r="H93" s="636">
        <v>17.600000000000001</v>
      </c>
      <c r="I93" s="636" t="s">
        <v>3343</v>
      </c>
      <c r="J93" s="636" t="s">
        <v>917</v>
      </c>
    </row>
    <row r="94" spans="2:10" ht="15">
      <c r="B94" s="625" t="s">
        <v>3344</v>
      </c>
      <c r="C94" s="636" t="s">
        <v>669</v>
      </c>
      <c r="D94" s="636" t="s">
        <v>2835</v>
      </c>
      <c r="E94" s="625" t="s">
        <v>3159</v>
      </c>
      <c r="F94" s="636">
        <v>100</v>
      </c>
      <c r="G94" s="636">
        <v>104.77589999999999</v>
      </c>
      <c r="H94" s="636">
        <v>17.7</v>
      </c>
      <c r="I94" s="636" t="s">
        <v>3345</v>
      </c>
      <c r="J94" s="636" t="s">
        <v>917</v>
      </c>
    </row>
    <row r="95" spans="2:10" ht="15">
      <c r="B95" s="625" t="s">
        <v>3346</v>
      </c>
      <c r="C95" s="636" t="s">
        <v>34</v>
      </c>
      <c r="D95" s="636" t="s">
        <v>2835</v>
      </c>
      <c r="E95" s="625" t="s">
        <v>3159</v>
      </c>
      <c r="F95" s="636">
        <v>100</v>
      </c>
      <c r="G95" s="636">
        <v>111.6863</v>
      </c>
      <c r="H95" s="636">
        <v>12.29</v>
      </c>
      <c r="I95" s="636" t="s">
        <v>3205</v>
      </c>
      <c r="J95" s="636" t="s">
        <v>917</v>
      </c>
    </row>
    <row r="96" spans="2:10" ht="15">
      <c r="B96" s="625" t="s">
        <v>3347</v>
      </c>
      <c r="C96" s="636" t="s">
        <v>32</v>
      </c>
      <c r="D96" s="636" t="s">
        <v>2835</v>
      </c>
      <c r="E96" s="625" t="s">
        <v>3159</v>
      </c>
      <c r="F96" s="636">
        <v>100</v>
      </c>
      <c r="G96" s="636">
        <v>100.7236</v>
      </c>
      <c r="H96" s="636">
        <v>12.98</v>
      </c>
      <c r="I96" s="636" t="s">
        <v>3348</v>
      </c>
      <c r="J96" s="636" t="s">
        <v>917</v>
      </c>
    </row>
    <row r="97" spans="2:10" ht="15">
      <c r="B97" s="625" t="s">
        <v>3349</v>
      </c>
      <c r="C97" s="636" t="s">
        <v>25</v>
      </c>
      <c r="D97" s="636" t="s">
        <v>2835</v>
      </c>
      <c r="E97" s="625" t="s">
        <v>3159</v>
      </c>
      <c r="F97" s="636">
        <v>100</v>
      </c>
      <c r="G97" s="636">
        <v>107.2723</v>
      </c>
      <c r="H97" s="636">
        <v>12.56</v>
      </c>
      <c r="I97" s="636" t="s">
        <v>3350</v>
      </c>
      <c r="J97" s="636" t="s">
        <v>917</v>
      </c>
    </row>
    <row r="98" spans="2:10" ht="15">
      <c r="B98" s="625" t="s">
        <v>3351</v>
      </c>
      <c r="C98" s="636" t="s">
        <v>842</v>
      </c>
      <c r="D98" s="636" t="s">
        <v>2835</v>
      </c>
      <c r="E98" s="625" t="s">
        <v>3159</v>
      </c>
      <c r="F98" s="636">
        <v>100</v>
      </c>
      <c r="G98" s="636">
        <v>101.8814</v>
      </c>
      <c r="H98" s="636">
        <v>12.9</v>
      </c>
      <c r="I98" s="636" t="s">
        <v>3352</v>
      </c>
      <c r="J98" s="636" t="s">
        <v>917</v>
      </c>
    </row>
    <row r="99" spans="2:10" ht="15">
      <c r="B99" s="625" t="s">
        <v>3353</v>
      </c>
      <c r="C99" s="636" t="s">
        <v>19</v>
      </c>
      <c r="D99" s="636" t="s">
        <v>2835</v>
      </c>
      <c r="E99" s="625" t="s">
        <v>3159</v>
      </c>
      <c r="F99" s="636">
        <v>100</v>
      </c>
      <c r="G99" s="636">
        <v>112.73560000000001</v>
      </c>
      <c r="H99" s="636">
        <v>12.23</v>
      </c>
      <c r="I99" s="636" t="s">
        <v>3354</v>
      </c>
      <c r="J99" s="636" t="s">
        <v>917</v>
      </c>
    </row>
    <row r="100" spans="2:10" ht="15">
      <c r="B100" s="625" t="s">
        <v>3355</v>
      </c>
      <c r="C100" s="636" t="s">
        <v>35</v>
      </c>
      <c r="D100" s="636" t="s">
        <v>2835</v>
      </c>
      <c r="E100" s="625" t="s">
        <v>3159</v>
      </c>
      <c r="F100" s="636">
        <v>100</v>
      </c>
      <c r="G100" s="636">
        <v>111.1842</v>
      </c>
      <c r="H100" s="636">
        <v>13.07</v>
      </c>
      <c r="I100" s="636" t="s">
        <v>3206</v>
      </c>
      <c r="J100" s="636" t="s">
        <v>917</v>
      </c>
    </row>
    <row r="101" spans="2:10" ht="15">
      <c r="B101" s="625" t="s">
        <v>3356</v>
      </c>
      <c r="C101" s="636" t="s">
        <v>846</v>
      </c>
      <c r="D101" s="636" t="s">
        <v>2835</v>
      </c>
      <c r="E101" s="625" t="s">
        <v>3159</v>
      </c>
      <c r="F101" s="636">
        <v>100</v>
      </c>
      <c r="G101" s="636">
        <v>112.6994</v>
      </c>
      <c r="H101" s="636">
        <v>12.23</v>
      </c>
      <c r="I101" s="636" t="s">
        <v>3357</v>
      </c>
      <c r="J101" s="636" t="s">
        <v>917</v>
      </c>
    </row>
    <row r="102" spans="2:10" ht="15">
      <c r="B102" s="625" t="s">
        <v>3358</v>
      </c>
      <c r="C102" s="636" t="s">
        <v>16</v>
      </c>
      <c r="D102" s="636" t="s">
        <v>2835</v>
      </c>
      <c r="E102" s="625" t="s">
        <v>3159</v>
      </c>
      <c r="F102" s="636">
        <v>100</v>
      </c>
      <c r="G102" s="636">
        <v>105.13760000000001</v>
      </c>
      <c r="H102" s="636">
        <v>12.69</v>
      </c>
      <c r="I102" s="636" t="s">
        <v>3359</v>
      </c>
      <c r="J102" s="636" t="s">
        <v>917</v>
      </c>
    </row>
    <row r="103" spans="2:10" ht="15">
      <c r="B103" s="625" t="s">
        <v>3360</v>
      </c>
      <c r="C103" s="636" t="s">
        <v>37</v>
      </c>
      <c r="D103" s="636" t="s">
        <v>2835</v>
      </c>
      <c r="E103" s="625" t="s">
        <v>3159</v>
      </c>
      <c r="F103" s="636">
        <v>100</v>
      </c>
      <c r="G103" s="636">
        <v>108.5976</v>
      </c>
      <c r="H103" s="636">
        <v>13.06</v>
      </c>
      <c r="I103" s="636" t="s">
        <v>3361</v>
      </c>
      <c r="J103" s="636" t="s">
        <v>917</v>
      </c>
    </row>
    <row r="104" spans="2:10" ht="15">
      <c r="B104" s="625" t="s">
        <v>3362</v>
      </c>
      <c r="C104" s="636" t="s">
        <v>12</v>
      </c>
      <c r="D104" s="636" t="s">
        <v>2835</v>
      </c>
      <c r="E104" s="625" t="s">
        <v>3159</v>
      </c>
      <c r="F104" s="636">
        <v>100</v>
      </c>
      <c r="G104" s="636">
        <v>105.13760000000001</v>
      </c>
      <c r="H104" s="636">
        <v>12.69</v>
      </c>
      <c r="I104" s="636" t="s">
        <v>3359</v>
      </c>
      <c r="J104" s="636" t="s">
        <v>917</v>
      </c>
    </row>
    <row r="105" spans="2:10" ht="15">
      <c r="B105" s="625" t="s">
        <v>3363</v>
      </c>
      <c r="C105" s="636" t="s">
        <v>14</v>
      </c>
      <c r="D105" s="636" t="s">
        <v>2835</v>
      </c>
      <c r="E105" s="625" t="s">
        <v>3159</v>
      </c>
      <c r="F105" s="636">
        <v>100</v>
      </c>
      <c r="G105" s="636">
        <v>102.8944</v>
      </c>
      <c r="H105" s="636">
        <v>12.83</v>
      </c>
      <c r="I105" s="636" t="s">
        <v>3364</v>
      </c>
      <c r="J105" s="636" t="s">
        <v>917</v>
      </c>
    </row>
    <row r="106" spans="2:10" ht="15">
      <c r="B106" s="625" t="s">
        <v>3365</v>
      </c>
      <c r="C106" s="636" t="s">
        <v>852</v>
      </c>
      <c r="D106" s="636" t="s">
        <v>2835</v>
      </c>
      <c r="E106" s="625" t="s">
        <v>3159</v>
      </c>
      <c r="F106" s="636">
        <v>100</v>
      </c>
      <c r="G106" s="636">
        <v>106.18689999999999</v>
      </c>
      <c r="H106" s="636">
        <v>12.88</v>
      </c>
      <c r="I106" s="636" t="s">
        <v>3366</v>
      </c>
      <c r="J106" s="636" t="s">
        <v>917</v>
      </c>
    </row>
    <row r="107" spans="2:10" ht="15">
      <c r="B107" s="625" t="s">
        <v>3367</v>
      </c>
      <c r="C107" s="636" t="s">
        <v>18</v>
      </c>
      <c r="D107" s="636" t="s">
        <v>2835</v>
      </c>
      <c r="E107" s="625" t="s">
        <v>3159</v>
      </c>
      <c r="F107" s="636">
        <v>100</v>
      </c>
      <c r="G107" s="636">
        <v>102.9306</v>
      </c>
      <c r="H107" s="636">
        <v>12.93</v>
      </c>
      <c r="I107" s="636" t="s">
        <v>3368</v>
      </c>
      <c r="J107" s="636" t="s">
        <v>917</v>
      </c>
    </row>
    <row r="108" spans="2:10" ht="15">
      <c r="B108" s="625" t="s">
        <v>3369</v>
      </c>
      <c r="C108" s="636" t="s">
        <v>855</v>
      </c>
      <c r="D108" s="636" t="s">
        <v>2835</v>
      </c>
      <c r="E108" s="625" t="s">
        <v>3159</v>
      </c>
      <c r="F108" s="636">
        <v>100</v>
      </c>
      <c r="G108" s="636">
        <v>108.3939</v>
      </c>
      <c r="H108" s="636">
        <v>12.95</v>
      </c>
      <c r="I108" s="636" t="s">
        <v>3370</v>
      </c>
      <c r="J108" s="636" t="s">
        <v>917</v>
      </c>
    </row>
    <row r="109" spans="2:10" ht="15">
      <c r="B109" s="625" t="s">
        <v>3371</v>
      </c>
      <c r="C109" s="636" t="s">
        <v>857</v>
      </c>
      <c r="D109" s="636" t="s">
        <v>2835</v>
      </c>
      <c r="E109" s="625" t="s">
        <v>3159</v>
      </c>
      <c r="F109" s="636">
        <v>100</v>
      </c>
      <c r="G109" s="636">
        <v>104.0522</v>
      </c>
      <c r="H109" s="636">
        <v>12.97</v>
      </c>
      <c r="I109" s="636" t="s">
        <v>3372</v>
      </c>
      <c r="J109" s="636" t="s">
        <v>917</v>
      </c>
    </row>
    <row r="110" spans="2:10" ht="15">
      <c r="B110" s="625" t="s">
        <v>3373</v>
      </c>
      <c r="C110" s="636" t="s">
        <v>13</v>
      </c>
      <c r="D110" s="636" t="s">
        <v>2835</v>
      </c>
      <c r="E110" s="625" t="s">
        <v>3159</v>
      </c>
      <c r="F110" s="636">
        <v>100</v>
      </c>
      <c r="G110" s="636">
        <v>104.01600000000001</v>
      </c>
      <c r="H110" s="636">
        <v>12.91</v>
      </c>
      <c r="I110" s="636" t="s">
        <v>3191</v>
      </c>
      <c r="J110" s="636" t="s">
        <v>917</v>
      </c>
    </row>
    <row r="111" spans="2:10" ht="15">
      <c r="B111" s="625" t="s">
        <v>3374</v>
      </c>
      <c r="C111" s="636" t="s">
        <v>860</v>
      </c>
      <c r="D111" s="636" t="s">
        <v>2835</v>
      </c>
      <c r="E111" s="625" t="s">
        <v>3159</v>
      </c>
      <c r="F111" s="636">
        <v>100</v>
      </c>
      <c r="G111" s="636">
        <v>111.7225</v>
      </c>
      <c r="H111" s="636">
        <v>12.98</v>
      </c>
      <c r="I111" s="636" t="s">
        <v>3375</v>
      </c>
      <c r="J111" s="636" t="s">
        <v>917</v>
      </c>
    </row>
    <row r="112" spans="2:10" ht="15">
      <c r="B112" s="625" t="s">
        <v>3376</v>
      </c>
      <c r="C112" s="636" t="s">
        <v>862</v>
      </c>
      <c r="D112" s="636" t="s">
        <v>2835</v>
      </c>
      <c r="E112" s="625" t="s">
        <v>3159</v>
      </c>
      <c r="F112" s="636">
        <v>100</v>
      </c>
      <c r="G112" s="636">
        <v>108.50239999999999</v>
      </c>
      <c r="H112" s="636">
        <v>12.93</v>
      </c>
      <c r="I112" s="636" t="s">
        <v>3377</v>
      </c>
      <c r="J112" s="636" t="s">
        <v>917</v>
      </c>
    </row>
    <row r="113" spans="2:10" ht="15">
      <c r="B113" s="625" t="s">
        <v>3378</v>
      </c>
      <c r="C113" s="636" t="s">
        <v>864</v>
      </c>
      <c r="D113" s="636" t="s">
        <v>2835</v>
      </c>
      <c r="E113" s="625" t="s">
        <v>3159</v>
      </c>
      <c r="F113" s="636">
        <v>100</v>
      </c>
      <c r="G113" s="636">
        <v>101.91759999999999</v>
      </c>
      <c r="H113" s="636">
        <v>12.99</v>
      </c>
      <c r="I113" s="636" t="s">
        <v>3379</v>
      </c>
      <c r="J113" s="636" t="s">
        <v>917</v>
      </c>
    </row>
    <row r="114" spans="2:10" ht="15">
      <c r="B114" s="625" t="s">
        <v>3380</v>
      </c>
      <c r="C114" s="636" t="s">
        <v>866</v>
      </c>
      <c r="D114" s="636" t="s">
        <v>2835</v>
      </c>
      <c r="E114" s="625" t="s">
        <v>3159</v>
      </c>
      <c r="F114" s="636">
        <v>100</v>
      </c>
      <c r="G114" s="636">
        <v>105.06529999999999</v>
      </c>
      <c r="H114" s="636">
        <v>12.97</v>
      </c>
      <c r="I114" s="636" t="s">
        <v>3381</v>
      </c>
      <c r="J114" s="636" t="s">
        <v>917</v>
      </c>
    </row>
    <row r="115" spans="2:10" ht="15">
      <c r="B115" s="625" t="s">
        <v>3382</v>
      </c>
      <c r="C115" s="636" t="s">
        <v>868</v>
      </c>
      <c r="D115" s="636" t="s">
        <v>2835</v>
      </c>
      <c r="E115" s="625" t="s">
        <v>3159</v>
      </c>
      <c r="F115" s="636">
        <v>100</v>
      </c>
      <c r="G115" s="636">
        <v>101.91759999999999</v>
      </c>
      <c r="H115" s="636">
        <v>12.98</v>
      </c>
      <c r="I115" s="636" t="s">
        <v>3383</v>
      </c>
      <c r="J115" s="636" t="s">
        <v>917</v>
      </c>
    </row>
    <row r="116" spans="2:10" ht="15">
      <c r="B116" s="625" t="s">
        <v>3384</v>
      </c>
      <c r="C116" s="636" t="s">
        <v>15</v>
      </c>
      <c r="D116" s="636" t="s">
        <v>2835</v>
      </c>
      <c r="E116" s="625" t="s">
        <v>3159</v>
      </c>
      <c r="F116" s="636">
        <v>100</v>
      </c>
      <c r="G116" s="636">
        <v>110.4924</v>
      </c>
      <c r="H116" s="636">
        <v>12.98</v>
      </c>
      <c r="I116" s="636" t="s">
        <v>3385</v>
      </c>
      <c r="J116" s="636" t="s">
        <v>917</v>
      </c>
    </row>
    <row r="117" spans="2:10" ht="15">
      <c r="B117" s="625" t="s">
        <v>3386</v>
      </c>
      <c r="C117" s="636" t="s">
        <v>17</v>
      </c>
      <c r="D117" s="636" t="s">
        <v>2835</v>
      </c>
      <c r="E117" s="625" t="s">
        <v>3159</v>
      </c>
      <c r="F117" s="636">
        <v>100</v>
      </c>
      <c r="G117" s="636">
        <v>104.01600000000001</v>
      </c>
      <c r="H117" s="636">
        <v>12.97</v>
      </c>
      <c r="I117" s="636" t="s">
        <v>3387</v>
      </c>
      <c r="J117" s="636" t="s">
        <v>917</v>
      </c>
    </row>
    <row r="118" spans="2:10" ht="15">
      <c r="B118" s="625" t="s">
        <v>3388</v>
      </c>
      <c r="C118" s="636" t="s">
        <v>872</v>
      </c>
      <c r="D118" s="636" t="s">
        <v>2835</v>
      </c>
      <c r="E118" s="625" t="s">
        <v>3159</v>
      </c>
      <c r="F118" s="636">
        <v>100</v>
      </c>
      <c r="G118" s="636">
        <v>109.47929999999999</v>
      </c>
      <c r="H118" s="636">
        <v>12.98</v>
      </c>
      <c r="I118" s="636" t="s">
        <v>3389</v>
      </c>
      <c r="J118" s="636" t="s">
        <v>917</v>
      </c>
    </row>
    <row r="119" spans="2:10" ht="15">
      <c r="B119" s="625" t="s">
        <v>3390</v>
      </c>
      <c r="C119" s="636" t="s">
        <v>23</v>
      </c>
      <c r="D119" s="636" t="s">
        <v>2835</v>
      </c>
      <c r="E119" s="625" t="s">
        <v>3159</v>
      </c>
      <c r="F119" s="636">
        <v>100</v>
      </c>
      <c r="G119" s="636">
        <v>100.7598</v>
      </c>
      <c r="H119" s="636">
        <v>13.01</v>
      </c>
      <c r="I119" s="636" t="s">
        <v>3391</v>
      </c>
      <c r="J119" s="636" t="s">
        <v>917</v>
      </c>
    </row>
    <row r="120" spans="2:10" ht="15">
      <c r="B120" s="625" t="s">
        <v>3392</v>
      </c>
      <c r="C120" s="636" t="s">
        <v>875</v>
      </c>
      <c r="D120" s="636" t="s">
        <v>2835</v>
      </c>
      <c r="E120" s="625" t="s">
        <v>3159</v>
      </c>
      <c r="F120" s="636">
        <v>100</v>
      </c>
      <c r="G120" s="636">
        <v>100.8322</v>
      </c>
      <c r="H120" s="636">
        <v>13.01</v>
      </c>
      <c r="I120" s="636" t="s">
        <v>3393</v>
      </c>
      <c r="J120" s="636" t="s">
        <v>917</v>
      </c>
    </row>
    <row r="121" spans="2:10" ht="15">
      <c r="B121" s="625" t="s">
        <v>3394</v>
      </c>
      <c r="C121" s="636" t="s">
        <v>877</v>
      </c>
      <c r="D121" s="636" t="s">
        <v>2835</v>
      </c>
      <c r="E121" s="625" t="s">
        <v>3159</v>
      </c>
      <c r="F121" s="636">
        <v>100</v>
      </c>
      <c r="G121" s="636">
        <v>110.52849999999999</v>
      </c>
      <c r="H121" s="636">
        <v>12.99</v>
      </c>
      <c r="I121" s="636" t="s">
        <v>3395</v>
      </c>
      <c r="J121" s="636" t="s">
        <v>917</v>
      </c>
    </row>
    <row r="122" spans="2:10" ht="15">
      <c r="B122" s="625" t="s">
        <v>3396</v>
      </c>
      <c r="C122" s="636" t="s">
        <v>427</v>
      </c>
      <c r="D122" s="636" t="s">
        <v>2835</v>
      </c>
      <c r="E122" s="625" t="s">
        <v>3159</v>
      </c>
      <c r="F122" s="636">
        <v>91.551100000000005</v>
      </c>
      <c r="G122" s="636">
        <v>95.913300000000007</v>
      </c>
      <c r="H122" s="636">
        <v>16.77</v>
      </c>
      <c r="I122" s="636" t="s">
        <v>3192</v>
      </c>
      <c r="J122" s="636" t="s">
        <v>917</v>
      </c>
    </row>
    <row r="123" spans="2:10" ht="15">
      <c r="B123" s="625" t="s">
        <v>3397</v>
      </c>
      <c r="C123" s="636" t="s">
        <v>503</v>
      </c>
      <c r="D123" s="636" t="s">
        <v>2835</v>
      </c>
      <c r="E123" s="625" t="s">
        <v>3159</v>
      </c>
      <c r="F123" s="636">
        <v>95.883899999999997</v>
      </c>
      <c r="G123" s="636">
        <v>105.5314</v>
      </c>
      <c r="H123" s="636">
        <v>16.88</v>
      </c>
      <c r="I123" s="636" t="s">
        <v>3398</v>
      </c>
      <c r="J123" s="636" t="s">
        <v>917</v>
      </c>
    </row>
    <row r="124" spans="2:10" ht="15">
      <c r="B124" s="625" t="s">
        <v>3399</v>
      </c>
      <c r="C124" s="636" t="s">
        <v>516</v>
      </c>
      <c r="D124" s="636" t="s">
        <v>2835</v>
      </c>
      <c r="E124" s="625" t="s">
        <v>3159</v>
      </c>
      <c r="F124" s="636">
        <v>85.3215</v>
      </c>
      <c r="G124" s="636">
        <v>92.754800000000003</v>
      </c>
      <c r="H124" s="636">
        <v>16.940000000000001</v>
      </c>
      <c r="I124" s="636" t="s">
        <v>3400</v>
      </c>
      <c r="J124" s="636" t="s">
        <v>917</v>
      </c>
    </row>
    <row r="125" spans="2:10" ht="15">
      <c r="B125" s="625" t="s">
        <v>3401</v>
      </c>
      <c r="C125" s="636" t="s">
        <v>422</v>
      </c>
      <c r="D125" s="636" t="s">
        <v>2835</v>
      </c>
      <c r="E125" s="625" t="s">
        <v>3159</v>
      </c>
      <c r="F125" s="636">
        <v>87.546700000000001</v>
      </c>
      <c r="G125" s="636">
        <v>92.977800000000002</v>
      </c>
      <c r="H125" s="636">
        <v>16.850000000000001</v>
      </c>
      <c r="I125" s="636" t="s">
        <v>3181</v>
      </c>
      <c r="J125" s="636" t="s">
        <v>917</v>
      </c>
    </row>
    <row r="126" spans="2:10" ht="15">
      <c r="B126" s="625" t="s">
        <v>3402</v>
      </c>
      <c r="C126" s="636" t="s">
        <v>513</v>
      </c>
      <c r="D126" s="636" t="s">
        <v>2835</v>
      </c>
      <c r="E126" s="625" t="s">
        <v>3159</v>
      </c>
      <c r="F126" s="636">
        <v>83.0989</v>
      </c>
      <c r="G126" s="636">
        <v>91.032200000000003</v>
      </c>
      <c r="H126" s="636">
        <v>17</v>
      </c>
      <c r="I126" s="636" t="s">
        <v>3403</v>
      </c>
      <c r="J126" s="636" t="s">
        <v>917</v>
      </c>
    </row>
    <row r="127" spans="2:10" ht="15">
      <c r="B127" s="625" t="s">
        <v>3404</v>
      </c>
      <c r="C127" s="636" t="s">
        <v>1092</v>
      </c>
      <c r="D127" s="636" t="s">
        <v>2835</v>
      </c>
      <c r="E127" s="625" t="s">
        <v>3159</v>
      </c>
      <c r="F127" s="636">
        <v>90.8</v>
      </c>
      <c r="G127" s="636">
        <v>99.884399999999999</v>
      </c>
      <c r="H127" s="636">
        <v>17</v>
      </c>
      <c r="I127" s="636" t="s">
        <v>3405</v>
      </c>
      <c r="J127" s="636" t="s">
        <v>917</v>
      </c>
    </row>
    <row r="128" spans="2:10" ht="15">
      <c r="B128" s="625" t="s">
        <v>3406</v>
      </c>
      <c r="C128" s="636" t="s">
        <v>390</v>
      </c>
      <c r="D128" s="636" t="s">
        <v>2835</v>
      </c>
      <c r="E128" s="625" t="s">
        <v>3159</v>
      </c>
      <c r="F128" s="636">
        <v>85.716800000000006</v>
      </c>
      <c r="G128" s="636">
        <v>95.983199999999997</v>
      </c>
      <c r="H128" s="636">
        <v>16.88</v>
      </c>
      <c r="I128" s="636" t="s">
        <v>3407</v>
      </c>
      <c r="J128" s="636" t="s">
        <v>917</v>
      </c>
    </row>
    <row r="129" spans="2:10" ht="15">
      <c r="B129" s="625" t="s">
        <v>3408</v>
      </c>
      <c r="C129" s="636" t="s">
        <v>448</v>
      </c>
      <c r="D129" s="636" t="s">
        <v>2835</v>
      </c>
      <c r="E129" s="625" t="s">
        <v>3159</v>
      </c>
      <c r="F129" s="636">
        <v>83.111000000000004</v>
      </c>
      <c r="G129" s="636">
        <v>85.514099999999999</v>
      </c>
      <c r="H129" s="636">
        <v>16.91</v>
      </c>
      <c r="I129" s="636" t="s">
        <v>3409</v>
      </c>
      <c r="J129" s="636" t="s">
        <v>917</v>
      </c>
    </row>
    <row r="130" spans="2:10" ht="15">
      <c r="B130" s="625" t="s">
        <v>3410</v>
      </c>
      <c r="C130" s="636" t="s">
        <v>476</v>
      </c>
      <c r="D130" s="636" t="s">
        <v>2835</v>
      </c>
      <c r="E130" s="625" t="s">
        <v>3159</v>
      </c>
      <c r="F130" s="636">
        <v>82.604799999999997</v>
      </c>
      <c r="G130" s="636">
        <v>90.427000000000007</v>
      </c>
      <c r="H130" s="636">
        <v>16.97</v>
      </c>
      <c r="I130" s="636" t="s">
        <v>3411</v>
      </c>
      <c r="J130" s="636" t="s">
        <v>917</v>
      </c>
    </row>
    <row r="131" spans="2:10" ht="15">
      <c r="B131" s="625" t="s">
        <v>3412</v>
      </c>
      <c r="C131" s="636" t="s">
        <v>679</v>
      </c>
      <c r="D131" s="636" t="s">
        <v>2835</v>
      </c>
      <c r="E131" s="625" t="s">
        <v>3159</v>
      </c>
      <c r="F131" s="636">
        <v>89.533199999999994</v>
      </c>
      <c r="G131" s="636">
        <v>95.677599999999998</v>
      </c>
      <c r="H131" s="636">
        <v>16.98</v>
      </c>
      <c r="I131" s="636" t="s">
        <v>3413</v>
      </c>
      <c r="J131" s="636" t="s">
        <v>917</v>
      </c>
    </row>
    <row r="132" spans="2:10" ht="15">
      <c r="B132" s="625" t="s">
        <v>3414</v>
      </c>
      <c r="C132" s="636" t="s">
        <v>2617</v>
      </c>
      <c r="D132" s="636" t="s">
        <v>2835</v>
      </c>
      <c r="E132" s="625" t="s">
        <v>3159</v>
      </c>
      <c r="F132" s="636">
        <v>89.149699999999996</v>
      </c>
      <c r="G132" s="636">
        <v>94.5685</v>
      </c>
      <c r="H132" s="636">
        <v>17.03</v>
      </c>
      <c r="I132" s="636" t="s">
        <v>3415</v>
      </c>
      <c r="J132" s="636" t="s">
        <v>917</v>
      </c>
    </row>
    <row r="133" spans="2:10" ht="15">
      <c r="B133" s="625" t="s">
        <v>3416</v>
      </c>
      <c r="C133" s="636" t="s">
        <v>88</v>
      </c>
      <c r="D133" s="636" t="s">
        <v>2835</v>
      </c>
      <c r="E133" s="625" t="s">
        <v>3159</v>
      </c>
      <c r="F133" s="636">
        <v>95.1203</v>
      </c>
      <c r="G133" s="636">
        <v>97.825000000000003</v>
      </c>
      <c r="H133" s="636">
        <v>16.79</v>
      </c>
      <c r="I133" s="636" t="s">
        <v>3417</v>
      </c>
      <c r="J133" s="636" t="s">
        <v>917</v>
      </c>
    </row>
    <row r="134" spans="2:10" ht="15">
      <c r="B134" s="625" t="s">
        <v>3418</v>
      </c>
      <c r="C134" s="636" t="s">
        <v>95</v>
      </c>
      <c r="D134" s="636" t="s">
        <v>2835</v>
      </c>
      <c r="E134" s="625" t="s">
        <v>3159</v>
      </c>
      <c r="F134" s="636">
        <v>85.257800000000003</v>
      </c>
      <c r="G134" s="636">
        <v>91.368899999999996</v>
      </c>
      <c r="H134" s="636">
        <v>16.899999999999999</v>
      </c>
      <c r="I134" s="636" t="s">
        <v>3419</v>
      </c>
      <c r="J134" s="636" t="s">
        <v>917</v>
      </c>
    </row>
    <row r="135" spans="2:10" ht="15">
      <c r="B135" s="625" t="s">
        <v>3420</v>
      </c>
      <c r="C135" s="636" t="s">
        <v>683</v>
      </c>
      <c r="D135" s="636" t="s">
        <v>2835</v>
      </c>
      <c r="E135" s="625" t="s">
        <v>3159</v>
      </c>
      <c r="F135" s="636">
        <v>88.350999999999999</v>
      </c>
      <c r="G135" s="636">
        <v>94.223200000000006</v>
      </c>
      <c r="H135" s="636">
        <v>17</v>
      </c>
      <c r="I135" s="636" t="s">
        <v>3421</v>
      </c>
      <c r="J135" s="636" t="s">
        <v>917</v>
      </c>
    </row>
    <row r="136" spans="2:10" ht="15">
      <c r="B136" s="625" t="s">
        <v>3422</v>
      </c>
      <c r="C136" s="636" t="s">
        <v>1094</v>
      </c>
      <c r="D136" s="636" t="s">
        <v>2835</v>
      </c>
      <c r="E136" s="625" t="s">
        <v>3159</v>
      </c>
      <c r="F136" s="636">
        <v>88.839799999999997</v>
      </c>
      <c r="G136" s="636">
        <v>97.861999999999995</v>
      </c>
      <c r="H136" s="636">
        <v>17.03</v>
      </c>
      <c r="I136" s="636" t="s">
        <v>3423</v>
      </c>
      <c r="J136" s="636" t="s">
        <v>917</v>
      </c>
    </row>
    <row r="137" spans="2:10" ht="15">
      <c r="B137" s="625" t="s">
        <v>3424</v>
      </c>
      <c r="C137" s="636" t="s">
        <v>86</v>
      </c>
      <c r="D137" s="636" t="s">
        <v>2835</v>
      </c>
      <c r="E137" s="625" t="s">
        <v>3159</v>
      </c>
      <c r="F137" s="636">
        <v>90.932100000000005</v>
      </c>
      <c r="G137" s="636">
        <v>96.5321</v>
      </c>
      <c r="H137" s="636">
        <v>16.760000000000002</v>
      </c>
      <c r="I137" s="636" t="s">
        <v>3425</v>
      </c>
      <c r="J137" s="636" t="s">
        <v>917</v>
      </c>
    </row>
    <row r="138" spans="2:10" ht="15">
      <c r="B138" s="625" t="s">
        <v>3426</v>
      </c>
      <c r="C138" s="636" t="s">
        <v>87</v>
      </c>
      <c r="D138" s="636" t="s">
        <v>2835</v>
      </c>
      <c r="E138" s="625" t="s">
        <v>3159</v>
      </c>
      <c r="F138" s="636">
        <v>89.085599999999999</v>
      </c>
      <c r="G138" s="636">
        <v>91.760599999999997</v>
      </c>
      <c r="H138" s="636">
        <v>16.79</v>
      </c>
      <c r="I138" s="636" t="s">
        <v>3290</v>
      </c>
      <c r="J138" s="636" t="s">
        <v>917</v>
      </c>
    </row>
    <row r="139" spans="2:10" ht="15">
      <c r="B139" s="625" t="s">
        <v>3427</v>
      </c>
      <c r="C139" s="636" t="s">
        <v>417</v>
      </c>
      <c r="D139" s="636" t="s">
        <v>2835</v>
      </c>
      <c r="E139" s="625" t="s">
        <v>3159</v>
      </c>
      <c r="F139" s="636">
        <v>77.3249</v>
      </c>
      <c r="G139" s="636">
        <v>83.4191</v>
      </c>
      <c r="H139" s="636">
        <v>16.97</v>
      </c>
      <c r="I139" s="636" t="s">
        <v>3428</v>
      </c>
      <c r="J139" s="636" t="s">
        <v>917</v>
      </c>
    </row>
    <row r="140" spans="2:10" ht="15">
      <c r="B140" s="625" t="s">
        <v>3429</v>
      </c>
      <c r="C140" s="636" t="s">
        <v>1095</v>
      </c>
      <c r="D140" s="636" t="s">
        <v>2835</v>
      </c>
      <c r="E140" s="625" t="s">
        <v>3159</v>
      </c>
      <c r="F140" s="636">
        <v>85.931899999999999</v>
      </c>
      <c r="G140" s="636">
        <v>95.537499999999994</v>
      </c>
      <c r="H140" s="636">
        <v>17.07</v>
      </c>
      <c r="I140" s="636" t="s">
        <v>3430</v>
      </c>
      <c r="J140" s="636" t="s">
        <v>917</v>
      </c>
    </row>
    <row r="141" spans="2:10" ht="15">
      <c r="B141" s="625" t="s">
        <v>3431</v>
      </c>
      <c r="C141" s="636" t="s">
        <v>446</v>
      </c>
      <c r="D141" s="636" t="s">
        <v>2835</v>
      </c>
      <c r="E141" s="625" t="s">
        <v>3159</v>
      </c>
      <c r="F141" s="636">
        <v>75.357399999999998</v>
      </c>
      <c r="G141" s="636">
        <v>77.842399999999998</v>
      </c>
      <c r="H141" s="636">
        <v>17.02</v>
      </c>
      <c r="I141" s="636" t="s">
        <v>3432</v>
      </c>
      <c r="J141" s="636" t="s">
        <v>917</v>
      </c>
    </row>
    <row r="142" spans="2:10" ht="15">
      <c r="B142" s="625" t="s">
        <v>3433</v>
      </c>
      <c r="C142" s="636" t="s">
        <v>453</v>
      </c>
      <c r="D142" s="636" t="s">
        <v>2835</v>
      </c>
      <c r="E142" s="625" t="s">
        <v>3159</v>
      </c>
      <c r="F142" s="636">
        <v>73.470799999999997</v>
      </c>
      <c r="G142" s="636">
        <v>75.163399999999996</v>
      </c>
      <c r="H142" s="636">
        <v>17.04</v>
      </c>
      <c r="I142" s="636" t="s">
        <v>3434</v>
      </c>
      <c r="J142" s="636" t="s">
        <v>917</v>
      </c>
    </row>
    <row r="143" spans="2:10" ht="15">
      <c r="B143" s="625" t="s">
        <v>3435</v>
      </c>
      <c r="C143" s="636" t="s">
        <v>75</v>
      </c>
      <c r="D143" s="636" t="s">
        <v>2835</v>
      </c>
      <c r="E143" s="625" t="s">
        <v>3159</v>
      </c>
      <c r="F143" s="636">
        <v>87.22</v>
      </c>
      <c r="G143" s="636">
        <v>89.71</v>
      </c>
      <c r="H143" s="636">
        <v>16.79</v>
      </c>
      <c r="I143" s="636" t="s">
        <v>3436</v>
      </c>
      <c r="J143" s="636" t="s">
        <v>917</v>
      </c>
    </row>
    <row r="144" spans="2:10" ht="15">
      <c r="B144" s="625" t="s">
        <v>3437</v>
      </c>
      <c r="C144" s="636" t="s">
        <v>92</v>
      </c>
      <c r="D144" s="636" t="s">
        <v>2835</v>
      </c>
      <c r="E144" s="625" t="s">
        <v>3159</v>
      </c>
      <c r="F144" s="636">
        <v>70.569999999999993</v>
      </c>
      <c r="G144" s="636">
        <v>74.321100000000001</v>
      </c>
      <c r="H144" s="636">
        <v>16.989999999999998</v>
      </c>
      <c r="I144" s="636" t="s">
        <v>3438</v>
      </c>
      <c r="J144" s="636" t="s">
        <v>917</v>
      </c>
    </row>
    <row r="145" spans="2:10" ht="15">
      <c r="B145" s="625" t="s">
        <v>3439</v>
      </c>
      <c r="C145" s="636" t="s">
        <v>414</v>
      </c>
      <c r="D145" s="636" t="s">
        <v>2835</v>
      </c>
      <c r="E145" s="625" t="s">
        <v>3159</v>
      </c>
      <c r="F145" s="636">
        <v>70.090299999999999</v>
      </c>
      <c r="G145" s="636">
        <v>76.921300000000002</v>
      </c>
      <c r="H145" s="636">
        <v>17.059999999999999</v>
      </c>
      <c r="I145" s="636" t="s">
        <v>3440</v>
      </c>
      <c r="J145" s="636" t="s">
        <v>917</v>
      </c>
    </row>
    <row r="146" spans="2:10" ht="15">
      <c r="B146" s="625" t="s">
        <v>3441</v>
      </c>
      <c r="C146" s="636" t="s">
        <v>2590</v>
      </c>
      <c r="D146" s="636" t="s">
        <v>2835</v>
      </c>
      <c r="E146" s="625" t="s">
        <v>3159</v>
      </c>
      <c r="F146" s="636">
        <v>84.734899999999996</v>
      </c>
      <c r="G146" s="636">
        <v>90.531599999999997</v>
      </c>
      <c r="H146" s="636">
        <v>17.07</v>
      </c>
      <c r="I146" s="636" t="s">
        <v>3442</v>
      </c>
      <c r="J146" s="636" t="s">
        <v>917</v>
      </c>
    </row>
    <row r="147" spans="2:10" ht="15">
      <c r="B147" s="625" t="s">
        <v>3443</v>
      </c>
      <c r="C147" s="636" t="s">
        <v>54</v>
      </c>
      <c r="D147" s="636" t="s">
        <v>2835</v>
      </c>
      <c r="E147" s="625" t="s">
        <v>3159</v>
      </c>
      <c r="F147" s="636">
        <v>99.150099999999995</v>
      </c>
      <c r="G147" s="636">
        <v>103.789</v>
      </c>
      <c r="H147" s="636">
        <v>17.420000000000002</v>
      </c>
      <c r="I147" s="636" t="s">
        <v>3207</v>
      </c>
      <c r="J147" s="636" t="s">
        <v>917</v>
      </c>
    </row>
    <row r="148" spans="2:10" ht="15">
      <c r="B148" s="625" t="s">
        <v>3444</v>
      </c>
      <c r="C148" s="636" t="s">
        <v>90</v>
      </c>
      <c r="D148" s="636" t="s">
        <v>2835</v>
      </c>
      <c r="E148" s="625" t="s">
        <v>3159</v>
      </c>
      <c r="F148" s="636">
        <v>67.637699999999995</v>
      </c>
      <c r="G148" s="636">
        <v>71.956599999999995</v>
      </c>
      <c r="H148" s="636">
        <v>17.02</v>
      </c>
      <c r="I148" s="636" t="s">
        <v>3445</v>
      </c>
      <c r="J148" s="636" t="s">
        <v>917</v>
      </c>
    </row>
    <row r="149" spans="2:10" ht="15">
      <c r="B149" s="625" t="s">
        <v>3446</v>
      </c>
      <c r="C149" s="636" t="s">
        <v>697</v>
      </c>
      <c r="D149" s="636" t="s">
        <v>2835</v>
      </c>
      <c r="E149" s="625" t="s">
        <v>3159</v>
      </c>
      <c r="F149" s="636">
        <v>69.006100000000004</v>
      </c>
      <c r="G149" s="636">
        <v>75.27</v>
      </c>
      <c r="H149" s="636">
        <v>17.059999999999999</v>
      </c>
      <c r="I149" s="636" t="s">
        <v>3447</v>
      </c>
      <c r="J149" s="636" t="s">
        <v>917</v>
      </c>
    </row>
    <row r="150" spans="2:10" ht="15">
      <c r="B150" s="625" t="s">
        <v>3448</v>
      </c>
      <c r="C150" s="636" t="s">
        <v>43</v>
      </c>
      <c r="D150" s="636" t="s">
        <v>2835</v>
      </c>
      <c r="E150" s="625" t="s">
        <v>3159</v>
      </c>
      <c r="F150" s="636">
        <v>98.953500000000005</v>
      </c>
      <c r="G150" s="636">
        <v>104.02460000000001</v>
      </c>
      <c r="H150" s="636">
        <v>17.25</v>
      </c>
      <c r="I150" s="636" t="s">
        <v>3449</v>
      </c>
      <c r="J150" s="636" t="s">
        <v>917</v>
      </c>
    </row>
    <row r="151" spans="2:10" ht="15">
      <c r="B151" s="625" t="s">
        <v>3450</v>
      </c>
      <c r="C151" s="636" t="s">
        <v>50</v>
      </c>
      <c r="D151" s="636" t="s">
        <v>2835</v>
      </c>
      <c r="E151" s="625" t="s">
        <v>3159</v>
      </c>
      <c r="F151" s="636">
        <v>91.822500000000005</v>
      </c>
      <c r="G151" s="636">
        <v>92.7697</v>
      </c>
      <c r="H151" s="636">
        <v>16.809999999999999</v>
      </c>
      <c r="I151" s="636" t="s">
        <v>3451</v>
      </c>
      <c r="J151" s="636" t="s">
        <v>917</v>
      </c>
    </row>
    <row r="152" spans="2:10" ht="15">
      <c r="B152" s="625" t="s">
        <v>3452</v>
      </c>
      <c r="C152" s="636" t="s">
        <v>55</v>
      </c>
      <c r="D152" s="636" t="s">
        <v>2835</v>
      </c>
      <c r="E152" s="625" t="s">
        <v>3159</v>
      </c>
      <c r="F152" s="636">
        <v>88.993600000000001</v>
      </c>
      <c r="G152" s="636">
        <v>93.535300000000007</v>
      </c>
      <c r="H152" s="636">
        <v>16.829999999999998</v>
      </c>
      <c r="I152" s="636" t="s">
        <v>3453</v>
      </c>
      <c r="J152" s="636" t="s">
        <v>917</v>
      </c>
    </row>
    <row r="153" spans="2:10" ht="15">
      <c r="B153" s="625" t="s">
        <v>3454</v>
      </c>
      <c r="C153" s="636" t="s">
        <v>59</v>
      </c>
      <c r="D153" s="636" t="s">
        <v>2835</v>
      </c>
      <c r="E153" s="625" t="s">
        <v>3159</v>
      </c>
      <c r="F153" s="636">
        <v>86.486599999999996</v>
      </c>
      <c r="G153" s="636">
        <v>89.582400000000007</v>
      </c>
      <c r="H153" s="636">
        <v>16.75</v>
      </c>
      <c r="I153" s="636" t="s">
        <v>3455</v>
      </c>
      <c r="J153" s="636" t="s">
        <v>917</v>
      </c>
    </row>
    <row r="154" spans="2:10" ht="15">
      <c r="B154" s="625" t="s">
        <v>3456</v>
      </c>
      <c r="C154" s="636" t="s">
        <v>65</v>
      </c>
      <c r="D154" s="636" t="s">
        <v>2835</v>
      </c>
      <c r="E154" s="625" t="s">
        <v>3159</v>
      </c>
      <c r="F154" s="636">
        <v>82.650599999999997</v>
      </c>
      <c r="G154" s="636">
        <v>83.138599999999997</v>
      </c>
      <c r="H154" s="636">
        <v>16.82</v>
      </c>
      <c r="I154" s="636" t="s">
        <v>3228</v>
      </c>
      <c r="J154" s="636" t="s">
        <v>917</v>
      </c>
    </row>
    <row r="155" spans="2:10" ht="15">
      <c r="B155" s="625" t="s">
        <v>3457</v>
      </c>
      <c r="C155" s="636" t="s">
        <v>68</v>
      </c>
      <c r="D155" s="636" t="s">
        <v>2835</v>
      </c>
      <c r="E155" s="625" t="s">
        <v>3159</v>
      </c>
      <c r="F155" s="636">
        <v>83.531400000000005</v>
      </c>
      <c r="G155" s="636">
        <v>89.959199999999996</v>
      </c>
      <c r="H155" s="636">
        <v>16.809999999999999</v>
      </c>
      <c r="I155" s="636" t="s">
        <v>3458</v>
      </c>
      <c r="J155" s="636" t="s">
        <v>917</v>
      </c>
    </row>
    <row r="156" spans="2:10" ht="15">
      <c r="B156" s="625" t="s">
        <v>3459</v>
      </c>
      <c r="C156" s="636" t="s">
        <v>71</v>
      </c>
      <c r="D156" s="636" t="s">
        <v>2835</v>
      </c>
      <c r="E156" s="625" t="s">
        <v>3159</v>
      </c>
      <c r="F156" s="636">
        <v>77.740799999999993</v>
      </c>
      <c r="G156" s="636">
        <v>83.957999999999998</v>
      </c>
      <c r="H156" s="636">
        <v>16.899999999999999</v>
      </c>
      <c r="I156" s="636" t="s">
        <v>3460</v>
      </c>
      <c r="J156" s="636" t="s">
        <v>917</v>
      </c>
    </row>
    <row r="157" spans="2:10" ht="15">
      <c r="B157" s="625" t="s">
        <v>3461</v>
      </c>
      <c r="C157" s="636" t="s">
        <v>78</v>
      </c>
      <c r="D157" s="636" t="s">
        <v>2835</v>
      </c>
      <c r="E157" s="625" t="s">
        <v>3159</v>
      </c>
      <c r="F157" s="636">
        <v>75.371099999999998</v>
      </c>
      <c r="G157" s="636">
        <v>76.800399999999996</v>
      </c>
      <c r="H157" s="636">
        <v>16.93</v>
      </c>
      <c r="I157" s="636" t="s">
        <v>3462</v>
      </c>
      <c r="J157" s="636" t="s">
        <v>917</v>
      </c>
    </row>
    <row r="158" spans="2:10" ht="15">
      <c r="B158" s="625" t="s">
        <v>3463</v>
      </c>
      <c r="C158" s="636" t="s">
        <v>82</v>
      </c>
      <c r="D158" s="636" t="s">
        <v>2835</v>
      </c>
      <c r="E158" s="625" t="s">
        <v>3159</v>
      </c>
      <c r="F158" s="636">
        <v>73.075299999999999</v>
      </c>
      <c r="G158" s="636">
        <v>78.536600000000007</v>
      </c>
      <c r="H158" s="636">
        <v>16.97</v>
      </c>
      <c r="I158" s="636" t="s">
        <v>3411</v>
      </c>
      <c r="J158" s="636" t="s">
        <v>917</v>
      </c>
    </row>
    <row r="159" spans="2:10" ht="15">
      <c r="B159" s="625" t="s">
        <v>3464</v>
      </c>
      <c r="C159" s="636" t="s">
        <v>89</v>
      </c>
      <c r="D159" s="636" t="s">
        <v>2835</v>
      </c>
      <c r="E159" s="625" t="s">
        <v>3159</v>
      </c>
      <c r="F159" s="636">
        <v>65.866100000000003</v>
      </c>
      <c r="G159" s="636">
        <v>70.581000000000003</v>
      </c>
      <c r="H159" s="636">
        <v>17.04</v>
      </c>
      <c r="I159" s="636" t="s">
        <v>3465</v>
      </c>
      <c r="J159" s="636" t="s">
        <v>917</v>
      </c>
    </row>
    <row r="160" spans="2:10" ht="15">
      <c r="B160" s="625" t="s">
        <v>3466</v>
      </c>
      <c r="C160" s="636" t="s">
        <v>91</v>
      </c>
      <c r="D160" s="636" t="s">
        <v>2835</v>
      </c>
      <c r="E160" s="625" t="s">
        <v>3159</v>
      </c>
      <c r="F160" s="636">
        <v>64.933599999999998</v>
      </c>
      <c r="G160" s="636">
        <v>69.093100000000007</v>
      </c>
      <c r="H160" s="636">
        <v>17.04</v>
      </c>
      <c r="I160" s="636" t="s">
        <v>3467</v>
      </c>
      <c r="J160" s="636" t="s">
        <v>917</v>
      </c>
    </row>
    <row r="161" spans="1:10" ht="15">
      <c r="B161" s="625" t="s">
        <v>3468</v>
      </c>
      <c r="C161" s="636" t="s">
        <v>710</v>
      </c>
      <c r="D161" s="636" t="s">
        <v>2835</v>
      </c>
      <c r="E161" s="625" t="s">
        <v>3159</v>
      </c>
      <c r="F161" s="636">
        <v>69.702799999999996</v>
      </c>
      <c r="G161" s="636">
        <v>71.349699999999999</v>
      </c>
      <c r="H161" s="636">
        <v>17.07</v>
      </c>
      <c r="I161" s="636" t="s">
        <v>3469</v>
      </c>
      <c r="J161" s="636" t="s">
        <v>917</v>
      </c>
    </row>
    <row r="162" spans="1:10" ht="15">
      <c r="B162" s="625" t="s">
        <v>3470</v>
      </c>
      <c r="C162" s="636" t="s">
        <v>475</v>
      </c>
      <c r="D162" s="636" t="s">
        <v>2835</v>
      </c>
      <c r="E162" s="625" t="s">
        <v>3159</v>
      </c>
      <c r="F162" s="636">
        <v>70.484300000000005</v>
      </c>
      <c r="G162" s="636">
        <v>78.526200000000003</v>
      </c>
      <c r="H162" s="636">
        <v>17.079999999999998</v>
      </c>
      <c r="I162" s="636" t="s">
        <v>3471</v>
      </c>
      <c r="J162" s="636" t="s">
        <v>917</v>
      </c>
    </row>
    <row r="163" spans="1:10" ht="15">
      <c r="B163" s="625" t="s">
        <v>3472</v>
      </c>
      <c r="C163" s="636" t="s">
        <v>53</v>
      </c>
      <c r="D163" s="636" t="s">
        <v>2835</v>
      </c>
      <c r="E163" s="625" t="s">
        <v>3159</v>
      </c>
      <c r="F163" s="636">
        <v>81.726799999999997</v>
      </c>
      <c r="G163" s="636">
        <v>81.741500000000002</v>
      </c>
      <c r="H163" s="636">
        <v>16.809999999999999</v>
      </c>
      <c r="I163" s="636" t="s">
        <v>3473</v>
      </c>
      <c r="J163" s="636" t="s">
        <v>917</v>
      </c>
    </row>
    <row r="164" spans="1:10" ht="15">
      <c r="B164" s="625" t="s">
        <v>3474</v>
      </c>
      <c r="C164" s="636" t="s">
        <v>60</v>
      </c>
      <c r="D164" s="636" t="s">
        <v>2835</v>
      </c>
      <c r="E164" s="625" t="s">
        <v>3159</v>
      </c>
      <c r="F164" s="636">
        <v>77.265900000000002</v>
      </c>
      <c r="G164" s="636">
        <v>79.793700000000001</v>
      </c>
      <c r="H164" s="636">
        <v>16.850000000000001</v>
      </c>
      <c r="I164" s="636" t="s">
        <v>3475</v>
      </c>
      <c r="J164" s="636" t="s">
        <v>917</v>
      </c>
    </row>
    <row r="165" spans="1:10" ht="15">
      <c r="B165" s="625" t="s">
        <v>3476</v>
      </c>
      <c r="C165" s="636" t="s">
        <v>66</v>
      </c>
      <c r="D165" s="636" t="s">
        <v>2835</v>
      </c>
      <c r="E165" s="625" t="s">
        <v>3159</v>
      </c>
      <c r="F165" s="636">
        <v>75.308999999999997</v>
      </c>
      <c r="G165" s="636">
        <v>75.767300000000006</v>
      </c>
      <c r="H165" s="636">
        <v>16.89</v>
      </c>
      <c r="I165" s="636" t="s">
        <v>3180</v>
      </c>
      <c r="J165" s="636" t="s">
        <v>917</v>
      </c>
    </row>
    <row r="166" spans="1:10" ht="15">
      <c r="B166" s="625" t="s">
        <v>3477</v>
      </c>
      <c r="C166" s="636" t="s">
        <v>93</v>
      </c>
      <c r="D166" s="636" t="s">
        <v>2835</v>
      </c>
      <c r="E166" s="625" t="s">
        <v>3159</v>
      </c>
      <c r="F166" s="636">
        <v>58.757399999999997</v>
      </c>
      <c r="G166" s="636">
        <v>60.641800000000003</v>
      </c>
      <c r="H166" s="636">
        <v>17.07</v>
      </c>
      <c r="I166" s="636" t="s">
        <v>3478</v>
      </c>
      <c r="J166" s="636" t="s">
        <v>917</v>
      </c>
    </row>
    <row r="167" spans="1:10" ht="15">
      <c r="B167" s="625" t="s">
        <v>3479</v>
      </c>
      <c r="C167" s="636" t="s">
        <v>94</v>
      </c>
      <c r="D167" s="636" t="s">
        <v>2835</v>
      </c>
      <c r="E167" s="625" t="s">
        <v>3159</v>
      </c>
      <c r="F167" s="636">
        <v>58.986499999999999</v>
      </c>
      <c r="G167" s="636">
        <v>65.004000000000005</v>
      </c>
      <c r="H167" s="636">
        <v>17.100000000000001</v>
      </c>
      <c r="I167" s="636" t="s">
        <v>3480</v>
      </c>
      <c r="J167" s="636" t="s">
        <v>917</v>
      </c>
    </row>
    <row r="168" spans="1:10" ht="15">
      <c r="A168" s="604"/>
      <c r="B168" s="625" t="s">
        <v>3481</v>
      </c>
      <c r="C168" s="636" t="s">
        <v>61</v>
      </c>
      <c r="D168" s="636" t="s">
        <v>2835</v>
      </c>
      <c r="E168" s="625" t="s">
        <v>3159</v>
      </c>
      <c r="F168" s="636">
        <v>56.507199999999997</v>
      </c>
      <c r="G168" s="636">
        <v>59.196100000000001</v>
      </c>
      <c r="H168" s="636">
        <v>17.03</v>
      </c>
      <c r="I168" s="636" t="s">
        <v>3482</v>
      </c>
      <c r="J168" s="636" t="s">
        <v>917</v>
      </c>
    </row>
    <row r="169" spans="1:10" ht="15">
      <c r="A169" s="605"/>
      <c r="B169" s="625" t="s">
        <v>3483</v>
      </c>
      <c r="C169" s="636" t="s">
        <v>74</v>
      </c>
      <c r="D169" s="636" t="s">
        <v>2835</v>
      </c>
      <c r="E169" s="625" t="s">
        <v>3159</v>
      </c>
      <c r="F169" s="636">
        <v>60.849699999999999</v>
      </c>
      <c r="G169" s="636">
        <v>64.391499999999994</v>
      </c>
      <c r="H169" s="636">
        <v>17.05</v>
      </c>
      <c r="I169" s="636" t="s">
        <v>3484</v>
      </c>
      <c r="J169" s="636" t="s">
        <v>917</v>
      </c>
    </row>
    <row r="170" spans="1:10" ht="15">
      <c r="A170" s="605"/>
      <c r="B170" s="625" t="s">
        <v>3485</v>
      </c>
      <c r="C170" s="636" t="s">
        <v>81</v>
      </c>
      <c r="D170" s="636" t="s">
        <v>2835</v>
      </c>
      <c r="E170" s="625" t="s">
        <v>3159</v>
      </c>
      <c r="F170" s="636">
        <v>59.360199999999999</v>
      </c>
      <c r="G170" s="636">
        <v>65.210999999999999</v>
      </c>
      <c r="H170" s="636">
        <v>17.07</v>
      </c>
      <c r="I170" s="636" t="s">
        <v>3486</v>
      </c>
      <c r="J170" s="636" t="s">
        <v>917</v>
      </c>
    </row>
    <row r="171" spans="1:10" ht="15">
      <c r="A171" s="612"/>
      <c r="B171" s="625" t="s">
        <v>3487</v>
      </c>
      <c r="C171" s="636" t="s">
        <v>72</v>
      </c>
      <c r="D171" s="636" t="s">
        <v>2835</v>
      </c>
      <c r="E171" s="625" t="s">
        <v>3159</v>
      </c>
      <c r="F171" s="636">
        <v>52.858400000000003</v>
      </c>
      <c r="G171" s="636">
        <v>59.441699999999997</v>
      </c>
      <c r="H171" s="636">
        <v>17.100000000000001</v>
      </c>
      <c r="I171" s="636" t="s">
        <v>3488</v>
      </c>
      <c r="J171" s="636" t="s">
        <v>917</v>
      </c>
    </row>
    <row r="172" spans="1:10" ht="15">
      <c r="A172" s="613"/>
      <c r="B172" s="625" t="s">
        <v>3489</v>
      </c>
      <c r="C172" s="636" t="s">
        <v>722</v>
      </c>
      <c r="D172" s="636" t="s">
        <v>2835</v>
      </c>
      <c r="E172" s="625" t="s">
        <v>3159</v>
      </c>
      <c r="F172" s="636">
        <v>54.579599999999999</v>
      </c>
      <c r="G172" s="636">
        <v>56.551099999999998</v>
      </c>
      <c r="H172" s="636">
        <v>17.09</v>
      </c>
      <c r="I172" s="636" t="s">
        <v>3490</v>
      </c>
      <c r="J172" s="636" t="s">
        <v>917</v>
      </c>
    </row>
    <row r="173" spans="1:10" ht="15">
      <c r="A173" s="604"/>
      <c r="B173" s="625" t="s">
        <v>3491</v>
      </c>
      <c r="C173" s="636" t="s">
        <v>724</v>
      </c>
      <c r="D173" s="636" t="s">
        <v>2835</v>
      </c>
      <c r="E173" s="625" t="s">
        <v>3159</v>
      </c>
      <c r="F173" s="636">
        <v>54.0809</v>
      </c>
      <c r="G173" s="636">
        <v>59.5214</v>
      </c>
      <c r="H173" s="636">
        <v>17.11</v>
      </c>
      <c r="I173" s="636" t="s">
        <v>3492</v>
      </c>
      <c r="J173" s="636" t="s">
        <v>917</v>
      </c>
    </row>
    <row r="174" spans="1:10" ht="15">
      <c r="A174" s="605"/>
      <c r="B174" s="625" t="s">
        <v>3493</v>
      </c>
      <c r="C174" s="636" t="s">
        <v>726</v>
      </c>
      <c r="D174" s="636" t="s">
        <v>2835</v>
      </c>
      <c r="E174" s="625" t="s">
        <v>3159</v>
      </c>
      <c r="F174" s="636">
        <v>53.0199</v>
      </c>
      <c r="G174" s="636">
        <v>53.596600000000002</v>
      </c>
      <c r="H174" s="636">
        <v>17.100000000000001</v>
      </c>
      <c r="I174" s="636" t="s">
        <v>3494</v>
      </c>
      <c r="J174" s="636" t="s">
        <v>917</v>
      </c>
    </row>
    <row r="175" spans="1:10" ht="15">
      <c r="A175" s="604"/>
      <c r="B175" s="625" t="s">
        <v>3495</v>
      </c>
      <c r="C175" s="636" t="s">
        <v>1097</v>
      </c>
      <c r="D175" s="636" t="s">
        <v>2835</v>
      </c>
      <c r="E175" s="625" t="s">
        <v>3159</v>
      </c>
      <c r="F175" s="636">
        <v>100</v>
      </c>
      <c r="G175" s="636">
        <v>108.6194</v>
      </c>
      <c r="H175" s="636">
        <v>15.44</v>
      </c>
      <c r="I175" s="636" t="s">
        <v>3496</v>
      </c>
      <c r="J175" s="636" t="s">
        <v>917</v>
      </c>
    </row>
    <row r="176" spans="1:10" ht="15">
      <c r="A176" s="604"/>
      <c r="B176" s="625" t="s">
        <v>3497</v>
      </c>
      <c r="C176" s="636" t="s">
        <v>3045</v>
      </c>
      <c r="D176" s="636" t="s">
        <v>3133</v>
      </c>
      <c r="E176" s="625" t="s">
        <v>3166</v>
      </c>
      <c r="F176" s="636">
        <v>99.979699999999994</v>
      </c>
      <c r="G176" s="636">
        <v>101.01860000000001</v>
      </c>
      <c r="H176" s="636">
        <v>11</v>
      </c>
      <c r="I176" s="636" t="s">
        <v>3325</v>
      </c>
      <c r="J176" s="636" t="s">
        <v>917</v>
      </c>
    </row>
    <row r="177" spans="1:10" ht="15">
      <c r="A177" s="605"/>
      <c r="B177" s="625" t="s">
        <v>3498</v>
      </c>
      <c r="C177" s="636" t="s">
        <v>3171</v>
      </c>
      <c r="D177" s="636" t="s">
        <v>2835</v>
      </c>
      <c r="E177" s="625" t="s">
        <v>3167</v>
      </c>
      <c r="F177" s="636">
        <v>99.016400000000004</v>
      </c>
      <c r="G177" s="636">
        <v>99.016400000000004</v>
      </c>
      <c r="H177" s="636">
        <v>15.76</v>
      </c>
      <c r="I177" s="636" t="s">
        <v>3499</v>
      </c>
      <c r="J177" s="636" t="s">
        <v>917</v>
      </c>
    </row>
    <row r="178" spans="1:10" ht="15">
      <c r="A178" s="614"/>
      <c r="B178" s="625" t="s">
        <v>3500</v>
      </c>
      <c r="C178" s="636" t="s">
        <v>2144</v>
      </c>
      <c r="D178" s="636" t="s">
        <v>3133</v>
      </c>
      <c r="E178" s="625" t="s">
        <v>3168</v>
      </c>
      <c r="F178" s="637">
        <v>1670.5029999999999</v>
      </c>
      <c r="G178" s="637">
        <v>1670.5029999999999</v>
      </c>
      <c r="H178" s="636" t="s">
        <v>783</v>
      </c>
      <c r="I178" s="636" t="s">
        <v>3501</v>
      </c>
      <c r="J178" s="636" t="s">
        <v>2914</v>
      </c>
    </row>
    <row r="179" spans="1:10" ht="15">
      <c r="A179" s="615"/>
      <c r="B179" s="625" t="s">
        <v>3502</v>
      </c>
      <c r="C179" s="636" t="s">
        <v>734</v>
      </c>
      <c r="D179" s="636" t="s">
        <v>3133</v>
      </c>
      <c r="E179" s="625" t="s">
        <v>3169</v>
      </c>
      <c r="F179" s="636">
        <v>97.035600000000002</v>
      </c>
      <c r="G179" s="636">
        <v>97.991200000000006</v>
      </c>
      <c r="H179" s="636">
        <v>5.01</v>
      </c>
      <c r="I179" s="636" t="s">
        <v>3503</v>
      </c>
      <c r="J179" s="636" t="s">
        <v>917</v>
      </c>
    </row>
    <row r="180" spans="1:10" ht="15">
      <c r="A180" s="615"/>
      <c r="B180" s="625" t="s">
        <v>3504</v>
      </c>
      <c r="C180" s="636" t="s">
        <v>2337</v>
      </c>
      <c r="D180" s="636" t="s">
        <v>923</v>
      </c>
      <c r="E180" s="625" t="s">
        <v>3209</v>
      </c>
      <c r="F180" s="637">
        <v>2740</v>
      </c>
      <c r="G180" s="636" t="s">
        <v>783</v>
      </c>
      <c r="H180" s="636" t="s">
        <v>783</v>
      </c>
      <c r="I180" s="636" t="s">
        <v>783</v>
      </c>
      <c r="J180" s="636" t="s">
        <v>924</v>
      </c>
    </row>
    <row r="181" spans="1:10">
      <c r="A181" s="627">
        <v>1</v>
      </c>
      <c r="B181" s="628" t="s">
        <v>1100</v>
      </c>
      <c r="C181" s="629" t="s">
        <v>1101</v>
      </c>
      <c r="D181" s="629" t="s">
        <v>2651</v>
      </c>
      <c r="E181" s="629" t="s">
        <v>2652</v>
      </c>
      <c r="F181" s="630">
        <v>100</v>
      </c>
      <c r="G181" s="629">
        <v>100</v>
      </c>
      <c r="H181" s="629">
        <v>0</v>
      </c>
      <c r="I181" s="629">
        <v>0</v>
      </c>
      <c r="J181" s="629" t="s">
        <v>2653</v>
      </c>
    </row>
    <row r="182" spans="1:10">
      <c r="A182" s="631">
        <v>2</v>
      </c>
      <c r="B182" s="628" t="s">
        <v>1102</v>
      </c>
      <c r="C182" s="629" t="s">
        <v>1103</v>
      </c>
      <c r="D182" s="629" t="s">
        <v>2651</v>
      </c>
      <c r="E182" s="629" t="s">
        <v>1104</v>
      </c>
      <c r="F182" s="632">
        <v>6423.543200000001</v>
      </c>
      <c r="G182" s="630">
        <v>6423.543200000001</v>
      </c>
      <c r="H182" s="630">
        <v>0</v>
      </c>
      <c r="I182" s="627">
        <v>0</v>
      </c>
      <c r="J182" s="629" t="s">
        <v>2653</v>
      </c>
    </row>
    <row r="183" spans="1:10">
      <c r="A183" s="631">
        <v>3</v>
      </c>
      <c r="B183" s="628" t="s">
        <v>1105</v>
      </c>
      <c r="C183" s="629" t="s">
        <v>1106</v>
      </c>
      <c r="D183" s="629" t="s">
        <v>2651</v>
      </c>
      <c r="E183" s="629" t="s">
        <v>1107</v>
      </c>
      <c r="F183" s="633">
        <v>134367.40240000002</v>
      </c>
      <c r="G183" s="634">
        <v>134367.40240000002</v>
      </c>
      <c r="H183" s="632">
        <v>0</v>
      </c>
      <c r="I183" s="635">
        <v>0</v>
      </c>
      <c r="J183" s="629" t="s">
        <v>2653</v>
      </c>
    </row>
    <row r="184" spans="1:10">
      <c r="A184" s="631">
        <v>4</v>
      </c>
      <c r="B184" s="628" t="s">
        <v>1108</v>
      </c>
      <c r="C184" s="629" t="s">
        <v>1109</v>
      </c>
      <c r="D184" s="629" t="s">
        <v>2654</v>
      </c>
      <c r="E184" s="629" t="s">
        <v>2655</v>
      </c>
      <c r="F184" s="632">
        <v>100</v>
      </c>
      <c r="G184" s="630">
        <v>101.8417</v>
      </c>
      <c r="H184" s="630">
        <v>4.24</v>
      </c>
      <c r="I184" s="627">
        <v>324</v>
      </c>
      <c r="J184" s="629" t="s">
        <v>2656</v>
      </c>
    </row>
    <row r="185" spans="1:10">
      <c r="A185" s="631">
        <v>5</v>
      </c>
      <c r="B185" s="628" t="s">
        <v>1110</v>
      </c>
      <c r="C185" s="629" t="s">
        <v>1111</v>
      </c>
      <c r="D185" s="629" t="s">
        <v>2654</v>
      </c>
      <c r="E185" s="629" t="s">
        <v>2655</v>
      </c>
      <c r="F185" s="632">
        <v>100</v>
      </c>
      <c r="G185" s="630">
        <v>100.13809999999999</v>
      </c>
      <c r="H185" s="630">
        <v>0.35</v>
      </c>
      <c r="I185" s="627">
        <v>218</v>
      </c>
      <c r="J185" s="629" t="s">
        <v>2656</v>
      </c>
    </row>
    <row r="186" spans="1:10">
      <c r="A186" s="631">
        <v>6</v>
      </c>
      <c r="B186" s="628" t="s">
        <v>1112</v>
      </c>
      <c r="C186" s="629" t="s">
        <v>1113</v>
      </c>
      <c r="D186" s="629" t="s">
        <v>2654</v>
      </c>
      <c r="E186" s="629" t="s">
        <v>2655</v>
      </c>
      <c r="F186" s="633">
        <v>100</v>
      </c>
      <c r="G186" s="634">
        <v>100.0013</v>
      </c>
      <c r="H186" s="632">
        <v>0.02</v>
      </c>
      <c r="I186" s="635">
        <v>3040</v>
      </c>
      <c r="J186" s="629" t="s">
        <v>2656</v>
      </c>
    </row>
    <row r="187" spans="1:10">
      <c r="A187" s="631">
        <v>7</v>
      </c>
      <c r="B187" s="628" t="s">
        <v>1114</v>
      </c>
      <c r="C187" s="629" t="s">
        <v>1115</v>
      </c>
      <c r="D187" s="629" t="s">
        <v>2654</v>
      </c>
      <c r="E187" s="629" t="s">
        <v>2655</v>
      </c>
      <c r="F187" s="633">
        <v>100</v>
      </c>
      <c r="G187" s="634">
        <v>101.9486</v>
      </c>
      <c r="H187" s="632">
        <v>6.08</v>
      </c>
      <c r="I187" s="635">
        <v>1655</v>
      </c>
      <c r="J187" s="629" t="s">
        <v>2656</v>
      </c>
    </row>
    <row r="188" spans="1:10">
      <c r="A188" s="631">
        <v>8</v>
      </c>
      <c r="B188" s="628" t="s">
        <v>1116</v>
      </c>
      <c r="C188" s="629" t="s">
        <v>1117</v>
      </c>
      <c r="D188" s="629" t="s">
        <v>2654</v>
      </c>
      <c r="E188" s="629" t="s">
        <v>2655</v>
      </c>
      <c r="F188" s="633">
        <v>100</v>
      </c>
      <c r="G188" s="634">
        <v>106.9619</v>
      </c>
      <c r="H188" s="632">
        <v>7.08</v>
      </c>
      <c r="I188" s="635">
        <v>2137</v>
      </c>
      <c r="J188" s="629" t="s">
        <v>2656</v>
      </c>
    </row>
    <row r="189" spans="1:10">
      <c r="A189" s="631">
        <v>9</v>
      </c>
      <c r="B189" s="628" t="s">
        <v>1118</v>
      </c>
      <c r="C189" s="629" t="s">
        <v>1119</v>
      </c>
      <c r="D189" s="629" t="s">
        <v>2654</v>
      </c>
      <c r="E189" s="629" t="s">
        <v>2655</v>
      </c>
      <c r="F189" s="633">
        <v>100</v>
      </c>
      <c r="G189" s="634">
        <v>101.1183</v>
      </c>
      <c r="H189" s="632">
        <v>6.08</v>
      </c>
      <c r="I189" s="635">
        <v>2064</v>
      </c>
      <c r="J189" s="629" t="s">
        <v>2656</v>
      </c>
    </row>
    <row r="190" spans="1:10">
      <c r="A190" s="631">
        <v>10</v>
      </c>
      <c r="B190" s="628" t="s">
        <v>1120</v>
      </c>
      <c r="C190" s="629" t="s">
        <v>1121</v>
      </c>
      <c r="D190" s="629" t="s">
        <v>2654</v>
      </c>
      <c r="E190" s="629" t="s">
        <v>2655</v>
      </c>
      <c r="F190" s="633">
        <v>100</v>
      </c>
      <c r="G190" s="634">
        <v>106.06610000000001</v>
      </c>
      <c r="H190" s="632">
        <v>6.09</v>
      </c>
      <c r="I190" s="635">
        <v>2492</v>
      </c>
      <c r="J190" s="629" t="s">
        <v>2656</v>
      </c>
    </row>
    <row r="191" spans="1:10">
      <c r="A191" s="631">
        <v>11</v>
      </c>
      <c r="B191" s="628" t="s">
        <v>1122</v>
      </c>
      <c r="C191" s="629" t="s">
        <v>1123</v>
      </c>
      <c r="D191" s="629" t="s">
        <v>2654</v>
      </c>
      <c r="E191" s="629" t="s">
        <v>2655</v>
      </c>
      <c r="F191" s="633">
        <v>100</v>
      </c>
      <c r="G191" s="634">
        <v>106.06610000000001</v>
      </c>
      <c r="H191" s="632">
        <v>6.09</v>
      </c>
      <c r="I191" s="635">
        <v>2492</v>
      </c>
      <c r="J191" s="629" t="s">
        <v>2656</v>
      </c>
    </row>
    <row r="192" spans="1:10">
      <c r="A192" s="631">
        <v>12</v>
      </c>
      <c r="B192" s="628" t="s">
        <v>1124</v>
      </c>
      <c r="C192" s="629" t="s">
        <v>1125</v>
      </c>
      <c r="D192" s="629" t="s">
        <v>2651</v>
      </c>
      <c r="E192" s="629" t="s">
        <v>1126</v>
      </c>
      <c r="F192" s="632">
        <v>68604.732000000018</v>
      </c>
      <c r="G192" s="630">
        <v>68604.732000000018</v>
      </c>
      <c r="H192" s="630">
        <v>0</v>
      </c>
      <c r="I192" s="627">
        <v>0</v>
      </c>
      <c r="J192" s="629" t="s">
        <v>2653</v>
      </c>
    </row>
    <row r="193" spans="1:10">
      <c r="A193" s="631">
        <v>13</v>
      </c>
      <c r="B193" s="628" t="s">
        <v>792</v>
      </c>
      <c r="C193" s="629" t="s">
        <v>793</v>
      </c>
      <c r="D193" s="629" t="s">
        <v>2654</v>
      </c>
      <c r="E193" s="629" t="s">
        <v>2657</v>
      </c>
      <c r="F193" s="632">
        <v>98.525094684230396</v>
      </c>
      <c r="G193" s="630">
        <v>103.88759468423041</v>
      </c>
      <c r="H193" s="630">
        <v>20.47</v>
      </c>
      <c r="I193" s="627">
        <v>621</v>
      </c>
      <c r="J193" s="629" t="s">
        <v>2656</v>
      </c>
    </row>
    <row r="194" spans="1:10">
      <c r="A194" s="631">
        <v>14</v>
      </c>
      <c r="B194" s="628" t="s">
        <v>1127</v>
      </c>
      <c r="C194" s="629" t="s">
        <v>1128</v>
      </c>
      <c r="D194" s="629" t="s">
        <v>2651</v>
      </c>
      <c r="E194" s="629" t="s">
        <v>2658</v>
      </c>
      <c r="F194" s="633">
        <v>13124.6</v>
      </c>
      <c r="G194" s="634">
        <v>13124.6</v>
      </c>
      <c r="H194" s="632">
        <v>0</v>
      </c>
      <c r="I194" s="635">
        <v>0</v>
      </c>
      <c r="J194" s="629" t="s">
        <v>2653</v>
      </c>
    </row>
    <row r="195" spans="1:10">
      <c r="A195" s="631">
        <v>15</v>
      </c>
      <c r="B195" s="628" t="s">
        <v>1129</v>
      </c>
      <c r="C195" s="629" t="s">
        <v>1130</v>
      </c>
      <c r="D195" s="629" t="s">
        <v>2651</v>
      </c>
      <c r="E195" s="629" t="s">
        <v>2659</v>
      </c>
      <c r="F195" s="632">
        <v>0.01</v>
      </c>
      <c r="G195" s="630">
        <v>0.01</v>
      </c>
      <c r="H195" s="630">
        <v>0</v>
      </c>
      <c r="I195" s="627">
        <v>0</v>
      </c>
      <c r="J195" s="629" t="s">
        <v>2653</v>
      </c>
    </row>
    <row r="196" spans="1:10">
      <c r="A196" s="631">
        <v>16</v>
      </c>
      <c r="B196" s="628" t="s">
        <v>1131</v>
      </c>
      <c r="C196" s="629" t="s">
        <v>1132</v>
      </c>
      <c r="D196" s="629" t="s">
        <v>2651</v>
      </c>
      <c r="E196" s="629" t="s">
        <v>1133</v>
      </c>
      <c r="F196" s="632">
        <v>63052.360000000015</v>
      </c>
      <c r="G196" s="630">
        <v>63052.360000000015</v>
      </c>
      <c r="H196" s="630">
        <v>0</v>
      </c>
      <c r="I196" s="627">
        <v>0</v>
      </c>
      <c r="J196" s="629" t="s">
        <v>2653</v>
      </c>
    </row>
    <row r="197" spans="1:10">
      <c r="A197" s="631">
        <v>17</v>
      </c>
      <c r="B197" s="628" t="s">
        <v>1134</v>
      </c>
      <c r="C197" s="629" t="s">
        <v>1135</v>
      </c>
      <c r="D197" s="629" t="s">
        <v>2654</v>
      </c>
      <c r="E197" s="629" t="s">
        <v>2660</v>
      </c>
      <c r="F197" s="633">
        <v>97.290999999999997</v>
      </c>
      <c r="G197" s="634">
        <v>97.325699999999998</v>
      </c>
      <c r="H197" s="632">
        <v>3.79</v>
      </c>
      <c r="I197" s="635">
        <v>1616</v>
      </c>
      <c r="J197" s="629" t="s">
        <v>2656</v>
      </c>
    </row>
    <row r="198" spans="1:10">
      <c r="A198" s="631">
        <v>18</v>
      </c>
      <c r="B198" s="628" t="s">
        <v>1136</v>
      </c>
      <c r="C198" s="629" t="s">
        <v>1137</v>
      </c>
      <c r="D198" s="629" t="s">
        <v>2654</v>
      </c>
      <c r="E198" s="629" t="s">
        <v>2660</v>
      </c>
      <c r="F198" s="633">
        <v>95.296000000000006</v>
      </c>
      <c r="G198" s="634">
        <v>95.434899999999999</v>
      </c>
      <c r="H198" s="632">
        <v>3.79</v>
      </c>
      <c r="I198" s="635">
        <v>1420</v>
      </c>
      <c r="J198" s="629" t="s">
        <v>2656</v>
      </c>
    </row>
    <row r="199" spans="1:10">
      <c r="A199" s="631">
        <v>19</v>
      </c>
      <c r="B199" s="628" t="s">
        <v>1138</v>
      </c>
      <c r="C199" s="629" t="s">
        <v>1139</v>
      </c>
      <c r="D199" s="629" t="s">
        <v>2654</v>
      </c>
      <c r="E199" s="629" t="s">
        <v>2661</v>
      </c>
      <c r="F199" s="633">
        <v>96.007119720417506</v>
      </c>
      <c r="G199" s="634">
        <v>100.57521972041751</v>
      </c>
      <c r="H199" s="632">
        <v>18.73</v>
      </c>
      <c r="I199" s="635">
        <v>217</v>
      </c>
      <c r="J199" s="629" t="s">
        <v>2656</v>
      </c>
    </row>
    <row r="200" spans="1:10">
      <c r="A200" s="631">
        <v>20</v>
      </c>
      <c r="B200" s="628" t="s">
        <v>1140</v>
      </c>
      <c r="C200" s="629" t="s">
        <v>1141</v>
      </c>
      <c r="D200" s="629" t="s">
        <v>2654</v>
      </c>
      <c r="E200" s="629" t="s">
        <v>2661</v>
      </c>
      <c r="F200" s="633">
        <v>93.162768830216109</v>
      </c>
      <c r="G200" s="634">
        <v>93.461368830216117</v>
      </c>
      <c r="H200" s="632">
        <v>18.75</v>
      </c>
      <c r="I200" s="635">
        <v>350</v>
      </c>
      <c r="J200" s="629" t="s">
        <v>2656</v>
      </c>
    </row>
    <row r="201" spans="1:10">
      <c r="A201" s="631">
        <v>21</v>
      </c>
      <c r="B201" s="628" t="s">
        <v>1142</v>
      </c>
      <c r="C201" s="629" t="s">
        <v>1143</v>
      </c>
      <c r="D201" s="629" t="s">
        <v>2654</v>
      </c>
      <c r="E201" s="629" t="s">
        <v>2661</v>
      </c>
      <c r="F201" s="633">
        <v>74.924384724041346</v>
      </c>
      <c r="G201" s="634">
        <v>76.536884724041343</v>
      </c>
      <c r="H201" s="632">
        <v>18.850000000000001</v>
      </c>
      <c r="I201" s="635">
        <v>1746</v>
      </c>
      <c r="J201" s="629" t="s">
        <v>2656</v>
      </c>
    </row>
    <row r="202" spans="1:10">
      <c r="A202" s="631">
        <v>22</v>
      </c>
      <c r="B202" s="628" t="s">
        <v>1144</v>
      </c>
      <c r="C202" s="629" t="s">
        <v>1145</v>
      </c>
      <c r="D202" s="629" t="s">
        <v>2654</v>
      </c>
      <c r="E202" s="629" t="s">
        <v>2661</v>
      </c>
      <c r="F202" s="633">
        <v>86.208849910594395</v>
      </c>
      <c r="G202" s="634">
        <v>91.625549910594401</v>
      </c>
      <c r="H202" s="632">
        <v>18.87</v>
      </c>
      <c r="I202" s="635">
        <v>2210</v>
      </c>
      <c r="J202" s="629" t="s">
        <v>2656</v>
      </c>
    </row>
    <row r="203" spans="1:10">
      <c r="A203" s="631">
        <v>23</v>
      </c>
      <c r="B203" s="628" t="s">
        <v>1146</v>
      </c>
      <c r="C203" s="629" t="s">
        <v>1147</v>
      </c>
      <c r="D203" s="629" t="s">
        <v>2654</v>
      </c>
      <c r="E203" s="629" t="s">
        <v>2661</v>
      </c>
      <c r="F203" s="633">
        <v>57.509679184516401</v>
      </c>
      <c r="G203" s="634">
        <v>64.471579184516401</v>
      </c>
      <c r="H203" s="632">
        <v>19.78</v>
      </c>
      <c r="I203" s="635">
        <v>2167</v>
      </c>
      <c r="J203" s="629" t="s">
        <v>2656</v>
      </c>
    </row>
    <row r="204" spans="1:10">
      <c r="A204" s="631">
        <v>24</v>
      </c>
      <c r="B204" s="628" t="s">
        <v>1148</v>
      </c>
      <c r="C204" s="629" t="s">
        <v>1149</v>
      </c>
      <c r="D204" s="629" t="s">
        <v>2654</v>
      </c>
      <c r="E204" s="629" t="s">
        <v>2661</v>
      </c>
      <c r="F204" s="633">
        <v>73.707398628339192</v>
      </c>
      <c r="G204" s="634">
        <v>77.508798628339193</v>
      </c>
      <c r="H204" s="632">
        <v>18.88</v>
      </c>
      <c r="I204" s="635">
        <v>2221</v>
      </c>
      <c r="J204" s="629" t="s">
        <v>2656</v>
      </c>
    </row>
    <row r="205" spans="1:10">
      <c r="A205" s="631">
        <v>25</v>
      </c>
      <c r="B205" s="628" t="s">
        <v>1150</v>
      </c>
      <c r="C205" s="629" t="s">
        <v>1151</v>
      </c>
      <c r="D205" s="629" t="s">
        <v>2654</v>
      </c>
      <c r="E205" s="629" t="s">
        <v>2661</v>
      </c>
      <c r="F205" s="633">
        <v>97.059264690811546</v>
      </c>
      <c r="G205" s="634">
        <v>101.64816469081156</v>
      </c>
      <c r="H205" s="632">
        <v>18.739999999999998</v>
      </c>
      <c r="I205" s="635">
        <v>242</v>
      </c>
      <c r="J205" s="629" t="s">
        <v>2656</v>
      </c>
    </row>
    <row r="206" spans="1:10">
      <c r="A206" s="631">
        <v>26</v>
      </c>
      <c r="B206" s="628" t="s">
        <v>1152</v>
      </c>
      <c r="C206" s="629" t="s">
        <v>1153</v>
      </c>
      <c r="D206" s="629" t="s">
        <v>2651</v>
      </c>
      <c r="E206" s="629" t="s">
        <v>2662</v>
      </c>
      <c r="F206" s="633">
        <v>0.01</v>
      </c>
      <c r="G206" s="634">
        <v>0.01</v>
      </c>
      <c r="H206" s="632">
        <v>0</v>
      </c>
      <c r="I206" s="635">
        <v>0</v>
      </c>
      <c r="J206" s="629" t="s">
        <v>2653</v>
      </c>
    </row>
    <row r="207" spans="1:10">
      <c r="A207" s="631">
        <v>27</v>
      </c>
      <c r="B207" s="628" t="s">
        <v>1154</v>
      </c>
      <c r="C207" s="629" t="s">
        <v>1155</v>
      </c>
      <c r="D207" s="629" t="s">
        <v>2654</v>
      </c>
      <c r="E207" s="629" t="s">
        <v>2663</v>
      </c>
      <c r="F207" s="633">
        <v>100</v>
      </c>
      <c r="G207" s="634">
        <v>100.60209999999999</v>
      </c>
      <c r="H207" s="632">
        <v>4.24</v>
      </c>
      <c r="I207" s="635">
        <v>249</v>
      </c>
      <c r="J207" s="629" t="s">
        <v>2656</v>
      </c>
    </row>
    <row r="208" spans="1:10">
      <c r="A208" s="631">
        <v>28</v>
      </c>
      <c r="B208" s="628" t="s">
        <v>1156</v>
      </c>
      <c r="C208" s="629" t="s">
        <v>1157</v>
      </c>
      <c r="D208" s="629" t="s">
        <v>2654</v>
      </c>
      <c r="E208" s="629" t="s">
        <v>2663</v>
      </c>
      <c r="F208" s="633">
        <v>100</v>
      </c>
      <c r="G208" s="634">
        <v>100.1692</v>
      </c>
      <c r="H208" s="632">
        <v>0.35</v>
      </c>
      <c r="I208" s="635">
        <v>6</v>
      </c>
      <c r="J208" s="629" t="s">
        <v>2656</v>
      </c>
    </row>
    <row r="209" spans="1:10">
      <c r="A209" s="631">
        <v>29</v>
      </c>
      <c r="B209" s="628" t="s">
        <v>1158</v>
      </c>
      <c r="C209" s="629" t="s">
        <v>1159</v>
      </c>
      <c r="D209" s="629" t="s">
        <v>2654</v>
      </c>
      <c r="E209" s="629" t="s">
        <v>2663</v>
      </c>
      <c r="F209" s="633">
        <v>100</v>
      </c>
      <c r="G209" s="634">
        <v>100.1293</v>
      </c>
      <c r="H209" s="632">
        <v>0.35</v>
      </c>
      <c r="I209" s="635">
        <v>227</v>
      </c>
      <c r="J209" s="629" t="s">
        <v>2656</v>
      </c>
    </row>
    <row r="210" spans="1:10">
      <c r="A210" s="631">
        <v>30</v>
      </c>
      <c r="B210" s="628" t="s">
        <v>2592</v>
      </c>
      <c r="C210" s="629" t="s">
        <v>2593</v>
      </c>
      <c r="D210" s="629" t="s">
        <v>2654</v>
      </c>
      <c r="E210" s="629" t="s">
        <v>2663</v>
      </c>
      <c r="F210" s="633">
        <v>100</v>
      </c>
      <c r="G210" s="634">
        <v>100.139</v>
      </c>
      <c r="H210" s="632">
        <v>0.35</v>
      </c>
      <c r="I210" s="635">
        <v>577</v>
      </c>
      <c r="J210" s="629" t="s">
        <v>2656</v>
      </c>
    </row>
    <row r="211" spans="1:10">
      <c r="A211" s="631">
        <v>31</v>
      </c>
      <c r="B211" s="628" t="s">
        <v>1160</v>
      </c>
      <c r="C211" s="629" t="s">
        <v>1161</v>
      </c>
      <c r="D211" s="629" t="s">
        <v>2654</v>
      </c>
      <c r="E211" s="629" t="s">
        <v>2663</v>
      </c>
      <c r="F211" s="633">
        <v>100</v>
      </c>
      <c r="G211" s="634">
        <v>100.0168</v>
      </c>
      <c r="H211" s="632">
        <v>0.02</v>
      </c>
      <c r="I211" s="635">
        <v>3040</v>
      </c>
      <c r="J211" s="629" t="s">
        <v>2656</v>
      </c>
    </row>
    <row r="212" spans="1:10">
      <c r="A212" s="631">
        <v>32</v>
      </c>
      <c r="B212" s="628" t="s">
        <v>1162</v>
      </c>
      <c r="C212" s="629" t="s">
        <v>1163</v>
      </c>
      <c r="D212" s="629" t="s">
        <v>2654</v>
      </c>
      <c r="E212" s="629" t="s">
        <v>2663</v>
      </c>
      <c r="F212" s="633">
        <v>100</v>
      </c>
      <c r="G212" s="634">
        <v>100.0067</v>
      </c>
      <c r="H212" s="632">
        <v>0.02</v>
      </c>
      <c r="I212" s="635">
        <v>3040</v>
      </c>
      <c r="J212" s="629" t="s">
        <v>2656</v>
      </c>
    </row>
    <row r="213" spans="1:10">
      <c r="A213" s="631">
        <v>33</v>
      </c>
      <c r="B213" s="628" t="s">
        <v>3109</v>
      </c>
      <c r="C213" s="629" t="s">
        <v>3110</v>
      </c>
      <c r="D213" s="629" t="s">
        <v>2654</v>
      </c>
      <c r="E213" s="629" t="s">
        <v>2663</v>
      </c>
      <c r="F213" s="633">
        <v>90.081836475033526</v>
      </c>
      <c r="G213" s="634">
        <v>94.126236475033522</v>
      </c>
      <c r="H213" s="632">
        <v>20.56</v>
      </c>
      <c r="I213" s="635">
        <v>3520</v>
      </c>
      <c r="J213" s="629" t="s">
        <v>2656</v>
      </c>
    </row>
    <row r="214" spans="1:10">
      <c r="A214" s="631">
        <v>34</v>
      </c>
      <c r="B214" s="628" t="s">
        <v>2971</v>
      </c>
      <c r="C214" s="629" t="s">
        <v>2972</v>
      </c>
      <c r="D214" s="629" t="s">
        <v>2654</v>
      </c>
      <c r="E214" s="629" t="s">
        <v>2663</v>
      </c>
      <c r="F214" s="633">
        <v>93.024053141473829</v>
      </c>
      <c r="G214" s="634">
        <v>95.701553141473823</v>
      </c>
      <c r="H214" s="632">
        <v>20.55</v>
      </c>
      <c r="I214" s="635">
        <v>3549</v>
      </c>
      <c r="J214" s="629" t="s">
        <v>2656</v>
      </c>
    </row>
    <row r="215" spans="1:10">
      <c r="A215" s="631">
        <v>35</v>
      </c>
      <c r="B215" s="628" t="s">
        <v>2973</v>
      </c>
      <c r="C215" s="629" t="s">
        <v>2974</v>
      </c>
      <c r="D215" s="629" t="s">
        <v>2654</v>
      </c>
      <c r="E215" s="629" t="s">
        <v>2663</v>
      </c>
      <c r="F215" s="633">
        <v>93.024053141473829</v>
      </c>
      <c r="G215" s="634">
        <v>95.701553141473823</v>
      </c>
      <c r="H215" s="632">
        <v>20.55</v>
      </c>
      <c r="I215" s="635">
        <v>3549</v>
      </c>
      <c r="J215" s="629" t="s">
        <v>2656</v>
      </c>
    </row>
    <row r="216" spans="1:10">
      <c r="A216" s="631">
        <v>36</v>
      </c>
      <c r="B216" s="628" t="s">
        <v>3011</v>
      </c>
      <c r="C216" s="629" t="s">
        <v>3012</v>
      </c>
      <c r="D216" s="629" t="s">
        <v>2654</v>
      </c>
      <c r="E216" s="629" t="s">
        <v>2663</v>
      </c>
      <c r="F216" s="633">
        <v>92.989296467033995</v>
      </c>
      <c r="G216" s="634">
        <v>95.456796467033996</v>
      </c>
      <c r="H216" s="632">
        <v>20.56</v>
      </c>
      <c r="I216" s="635">
        <v>3553</v>
      </c>
      <c r="J216" s="629" t="s">
        <v>2656</v>
      </c>
    </row>
    <row r="217" spans="1:10">
      <c r="A217" s="631">
        <v>37</v>
      </c>
      <c r="B217" s="628" t="s">
        <v>520</v>
      </c>
      <c r="C217" s="629" t="s">
        <v>521</v>
      </c>
      <c r="D217" s="629" t="s">
        <v>2651</v>
      </c>
      <c r="E217" s="629" t="s">
        <v>522</v>
      </c>
      <c r="F217" s="632">
        <v>807.47996324342625</v>
      </c>
      <c r="G217" s="630">
        <v>807.47996324342625</v>
      </c>
      <c r="H217" s="630">
        <v>0</v>
      </c>
      <c r="I217" s="627">
        <v>0</v>
      </c>
      <c r="J217" s="629" t="s">
        <v>2653</v>
      </c>
    </row>
    <row r="218" spans="1:10">
      <c r="A218" s="631">
        <v>38</v>
      </c>
      <c r="B218" s="628" t="s">
        <v>1054</v>
      </c>
      <c r="C218" s="629" t="s">
        <v>1055</v>
      </c>
      <c r="D218" s="629" t="s">
        <v>2664</v>
      </c>
      <c r="E218" s="629" t="s">
        <v>522</v>
      </c>
      <c r="F218" s="632">
        <v>3387.8880000000008</v>
      </c>
      <c r="G218" s="630">
        <v>3387.8880000000008</v>
      </c>
      <c r="H218" s="630">
        <v>0</v>
      </c>
      <c r="I218" s="627">
        <v>0</v>
      </c>
      <c r="J218" s="629" t="s">
        <v>2653</v>
      </c>
    </row>
    <row r="219" spans="1:10">
      <c r="A219" s="631">
        <v>39</v>
      </c>
      <c r="B219" s="628" t="s">
        <v>1164</v>
      </c>
      <c r="C219" s="629" t="s">
        <v>1165</v>
      </c>
      <c r="D219" s="629" t="s">
        <v>2651</v>
      </c>
      <c r="E219" s="629" t="s">
        <v>1166</v>
      </c>
      <c r="F219" s="633">
        <v>128289.53775</v>
      </c>
      <c r="G219" s="634">
        <v>128289.53775</v>
      </c>
      <c r="H219" s="632">
        <v>0</v>
      </c>
      <c r="I219" s="635">
        <v>0</v>
      </c>
      <c r="J219" s="629" t="s">
        <v>2653</v>
      </c>
    </row>
    <row r="220" spans="1:10">
      <c r="A220" s="631">
        <v>40</v>
      </c>
      <c r="B220" s="628" t="s">
        <v>1167</v>
      </c>
      <c r="C220" s="629" t="s">
        <v>1168</v>
      </c>
      <c r="D220" s="629" t="s">
        <v>2651</v>
      </c>
      <c r="E220" s="629" t="s">
        <v>2665</v>
      </c>
      <c r="F220" s="633">
        <v>1000</v>
      </c>
      <c r="G220" s="634">
        <v>1000</v>
      </c>
      <c r="H220" s="632">
        <v>0</v>
      </c>
      <c r="I220" s="635">
        <v>0</v>
      </c>
      <c r="J220" s="629" t="s">
        <v>2653</v>
      </c>
    </row>
    <row r="221" spans="1:10">
      <c r="A221" s="631">
        <v>41</v>
      </c>
      <c r="B221" s="628" t="s">
        <v>1169</v>
      </c>
      <c r="C221" s="629" t="s">
        <v>1170</v>
      </c>
      <c r="D221" s="629" t="s">
        <v>2654</v>
      </c>
      <c r="E221" s="629" t="s">
        <v>2666</v>
      </c>
      <c r="F221" s="633">
        <v>100</v>
      </c>
      <c r="G221" s="634">
        <v>100.60209999999999</v>
      </c>
      <c r="H221" s="632">
        <v>4.24</v>
      </c>
      <c r="I221" s="635">
        <v>249</v>
      </c>
      <c r="J221" s="629" t="s">
        <v>2656</v>
      </c>
    </row>
    <row r="222" spans="1:10">
      <c r="A222" s="631">
        <v>42</v>
      </c>
      <c r="B222" s="628" t="s">
        <v>1171</v>
      </c>
      <c r="C222" s="629" t="s">
        <v>1172</v>
      </c>
      <c r="D222" s="629" t="s">
        <v>2654</v>
      </c>
      <c r="E222" s="629" t="s">
        <v>2666</v>
      </c>
      <c r="F222" s="633">
        <v>100</v>
      </c>
      <c r="G222" s="634">
        <v>100.1371</v>
      </c>
      <c r="H222" s="632">
        <v>0.35</v>
      </c>
      <c r="I222" s="635">
        <v>39</v>
      </c>
      <c r="J222" s="629" t="s">
        <v>2656</v>
      </c>
    </row>
    <row r="223" spans="1:10">
      <c r="A223" s="631">
        <v>43</v>
      </c>
      <c r="B223" s="628" t="s">
        <v>1173</v>
      </c>
      <c r="C223" s="629" t="s">
        <v>1174</v>
      </c>
      <c r="D223" s="629" t="s">
        <v>2654</v>
      </c>
      <c r="E223" s="629" t="s">
        <v>2666</v>
      </c>
      <c r="F223" s="633">
        <v>100</v>
      </c>
      <c r="G223" s="634">
        <v>100.13809999999999</v>
      </c>
      <c r="H223" s="632">
        <v>0.35</v>
      </c>
      <c r="I223" s="635">
        <v>218</v>
      </c>
      <c r="J223" s="629" t="s">
        <v>2656</v>
      </c>
    </row>
    <row r="224" spans="1:10">
      <c r="A224" s="631">
        <v>44</v>
      </c>
      <c r="B224" s="628" t="s">
        <v>2847</v>
      </c>
      <c r="C224" s="629" t="s">
        <v>2848</v>
      </c>
      <c r="D224" s="629" t="s">
        <v>2654</v>
      </c>
      <c r="E224" s="629" t="s">
        <v>2666</v>
      </c>
      <c r="F224" s="632">
        <v>100</v>
      </c>
      <c r="G224" s="630">
        <v>100.1069</v>
      </c>
      <c r="H224" s="630">
        <v>0.35</v>
      </c>
      <c r="I224" s="627">
        <v>610</v>
      </c>
      <c r="J224" s="629" t="s">
        <v>2656</v>
      </c>
    </row>
    <row r="225" spans="1:10">
      <c r="A225" s="631">
        <v>45</v>
      </c>
      <c r="B225" s="628" t="s">
        <v>1175</v>
      </c>
      <c r="C225" s="629" t="s">
        <v>1176</v>
      </c>
      <c r="D225" s="629" t="s">
        <v>2654</v>
      </c>
      <c r="E225" s="629" t="s">
        <v>2666</v>
      </c>
      <c r="F225" s="632">
        <v>100</v>
      </c>
      <c r="G225" s="630">
        <v>100.0042</v>
      </c>
      <c r="H225" s="630">
        <v>0.02</v>
      </c>
      <c r="I225" s="627">
        <v>3040</v>
      </c>
      <c r="J225" s="629" t="s">
        <v>2656</v>
      </c>
    </row>
    <row r="226" spans="1:10">
      <c r="A226" s="631">
        <v>46</v>
      </c>
      <c r="B226" s="628" t="s">
        <v>1177</v>
      </c>
      <c r="C226" s="629" t="s">
        <v>1178</v>
      </c>
      <c r="D226" s="629" t="s">
        <v>2654</v>
      </c>
      <c r="E226" s="629" t="s">
        <v>2666</v>
      </c>
      <c r="F226" s="632">
        <v>100</v>
      </c>
      <c r="G226" s="630">
        <v>101.9486</v>
      </c>
      <c r="H226" s="630">
        <v>6.08</v>
      </c>
      <c r="I226" s="627">
        <v>1655</v>
      </c>
      <c r="J226" s="629" t="s">
        <v>2656</v>
      </c>
    </row>
    <row r="227" spans="1:10">
      <c r="A227" s="631">
        <v>47</v>
      </c>
      <c r="B227" s="628" t="s">
        <v>1179</v>
      </c>
      <c r="C227" s="629" t="s">
        <v>1180</v>
      </c>
      <c r="D227" s="629" t="s">
        <v>2654</v>
      </c>
      <c r="E227" s="629" t="s">
        <v>2666</v>
      </c>
      <c r="F227" s="632">
        <v>100</v>
      </c>
      <c r="G227" s="630">
        <v>106.9619</v>
      </c>
      <c r="H227" s="630">
        <v>7.08</v>
      </c>
      <c r="I227" s="627">
        <v>2137</v>
      </c>
      <c r="J227" s="629" t="s">
        <v>2656</v>
      </c>
    </row>
    <row r="228" spans="1:10">
      <c r="A228" s="631">
        <v>48</v>
      </c>
      <c r="B228" s="628" t="s">
        <v>2975</v>
      </c>
      <c r="C228" s="629" t="s">
        <v>2976</v>
      </c>
      <c r="D228" s="629" t="s">
        <v>2654</v>
      </c>
      <c r="E228" s="629" t="s">
        <v>2666</v>
      </c>
      <c r="F228" s="632">
        <v>93.024053141473829</v>
      </c>
      <c r="G228" s="630">
        <v>95.701553141473823</v>
      </c>
      <c r="H228" s="630">
        <v>20.55</v>
      </c>
      <c r="I228" s="627">
        <v>3549</v>
      </c>
      <c r="J228" s="629" t="s">
        <v>2656</v>
      </c>
    </row>
    <row r="229" spans="1:10">
      <c r="A229" s="631">
        <v>49</v>
      </c>
      <c r="B229" s="628" t="s">
        <v>1181</v>
      </c>
      <c r="C229" s="629" t="s">
        <v>1182</v>
      </c>
      <c r="D229" s="629" t="s">
        <v>2654</v>
      </c>
      <c r="E229" s="629" t="s">
        <v>2666</v>
      </c>
      <c r="F229" s="633">
        <v>100</v>
      </c>
      <c r="G229" s="634">
        <v>101.1183</v>
      </c>
      <c r="H229" s="632">
        <v>6.08</v>
      </c>
      <c r="I229" s="635">
        <v>2064</v>
      </c>
      <c r="J229" s="629" t="s">
        <v>2656</v>
      </c>
    </row>
    <row r="230" spans="1:10">
      <c r="A230" s="631">
        <v>50</v>
      </c>
      <c r="B230" s="628" t="s">
        <v>1183</v>
      </c>
      <c r="C230" s="629" t="s">
        <v>1184</v>
      </c>
      <c r="D230" s="629" t="s">
        <v>2654</v>
      </c>
      <c r="E230" s="629" t="s">
        <v>2666</v>
      </c>
      <c r="F230" s="632">
        <v>100</v>
      </c>
      <c r="G230" s="630">
        <v>106.06610000000001</v>
      </c>
      <c r="H230" s="630">
        <v>6.09</v>
      </c>
      <c r="I230" s="627">
        <v>2492</v>
      </c>
      <c r="J230" s="629" t="s">
        <v>2656</v>
      </c>
    </row>
    <row r="231" spans="1:10">
      <c r="A231" s="631">
        <v>51</v>
      </c>
      <c r="B231" s="628" t="s">
        <v>1185</v>
      </c>
      <c r="C231" s="629" t="s">
        <v>1186</v>
      </c>
      <c r="D231" s="629" t="s">
        <v>2654</v>
      </c>
      <c r="E231" s="629" t="s">
        <v>2666</v>
      </c>
      <c r="F231" s="633">
        <v>100</v>
      </c>
      <c r="G231" s="634">
        <v>106.06610000000001</v>
      </c>
      <c r="H231" s="632">
        <v>6.09</v>
      </c>
      <c r="I231" s="635">
        <v>2492</v>
      </c>
      <c r="J231" s="629" t="s">
        <v>2656</v>
      </c>
    </row>
    <row r="232" spans="1:10">
      <c r="A232" s="631">
        <v>52</v>
      </c>
      <c r="B232" s="628" t="s">
        <v>1187</v>
      </c>
      <c r="C232" s="629" t="s">
        <v>1188</v>
      </c>
      <c r="D232" s="629" t="s">
        <v>2654</v>
      </c>
      <c r="E232" s="629" t="s">
        <v>2666</v>
      </c>
      <c r="F232" s="633">
        <v>100</v>
      </c>
      <c r="G232" s="634">
        <v>104.9308</v>
      </c>
      <c r="H232" s="632">
        <v>6.08</v>
      </c>
      <c r="I232" s="635">
        <v>2559</v>
      </c>
      <c r="J232" s="629" t="s">
        <v>2656</v>
      </c>
    </row>
    <row r="233" spans="1:10">
      <c r="A233" s="631">
        <v>53</v>
      </c>
      <c r="B233" s="628" t="s">
        <v>1189</v>
      </c>
      <c r="C233" s="629" t="s">
        <v>1190</v>
      </c>
      <c r="D233" s="629" t="s">
        <v>2651</v>
      </c>
      <c r="E233" s="629" t="s">
        <v>2667</v>
      </c>
      <c r="F233" s="633">
        <v>1129.78</v>
      </c>
      <c r="G233" s="634">
        <v>1129.78</v>
      </c>
      <c r="H233" s="632">
        <v>0</v>
      </c>
      <c r="I233" s="635">
        <v>2933</v>
      </c>
      <c r="J233" s="629" t="s">
        <v>2653</v>
      </c>
    </row>
    <row r="234" spans="1:10">
      <c r="A234" s="631">
        <v>54</v>
      </c>
      <c r="B234" s="628" t="s">
        <v>1191</v>
      </c>
      <c r="C234" s="629" t="s">
        <v>1192</v>
      </c>
      <c r="D234" s="629" t="s">
        <v>2651</v>
      </c>
      <c r="E234" s="629" t="s">
        <v>2667</v>
      </c>
      <c r="F234" s="633">
        <v>0.01</v>
      </c>
      <c r="G234" s="634">
        <v>0.01</v>
      </c>
      <c r="H234" s="632">
        <v>0</v>
      </c>
      <c r="I234" s="635">
        <v>1334</v>
      </c>
      <c r="J234" s="629" t="s">
        <v>2653</v>
      </c>
    </row>
    <row r="235" spans="1:10">
      <c r="A235" s="631">
        <v>55</v>
      </c>
      <c r="B235" s="628" t="s">
        <v>1193</v>
      </c>
      <c r="C235" s="629" t="s">
        <v>1194</v>
      </c>
      <c r="D235" s="629" t="s">
        <v>2651</v>
      </c>
      <c r="E235" s="629" t="s">
        <v>2668</v>
      </c>
      <c r="F235" s="633">
        <v>0.01</v>
      </c>
      <c r="G235" s="634">
        <v>0.01</v>
      </c>
      <c r="H235" s="632">
        <v>0</v>
      </c>
      <c r="I235" s="635">
        <v>0</v>
      </c>
      <c r="J235" s="629" t="s">
        <v>2653</v>
      </c>
    </row>
    <row r="236" spans="1:10">
      <c r="A236" s="631">
        <v>56</v>
      </c>
      <c r="B236" s="628" t="s">
        <v>2512</v>
      </c>
      <c r="C236" s="629" t="s">
        <v>2513</v>
      </c>
      <c r="D236" s="629" t="s">
        <v>2654</v>
      </c>
      <c r="E236" s="629" t="s">
        <v>2669</v>
      </c>
      <c r="F236" s="633">
        <v>99.279522894845712</v>
      </c>
      <c r="G236" s="634">
        <v>105.20172289484572</v>
      </c>
      <c r="H236" s="632">
        <v>26.39</v>
      </c>
      <c r="I236" s="635">
        <v>908</v>
      </c>
      <c r="J236" s="629" t="s">
        <v>2656</v>
      </c>
    </row>
    <row r="237" spans="1:10">
      <c r="A237" s="631">
        <v>57</v>
      </c>
      <c r="B237" s="628" t="s">
        <v>523</v>
      </c>
      <c r="C237" s="629" t="s">
        <v>524</v>
      </c>
      <c r="D237" s="629" t="s">
        <v>2651</v>
      </c>
      <c r="E237" s="629" t="s">
        <v>1195</v>
      </c>
      <c r="F237" s="632">
        <v>6301.35</v>
      </c>
      <c r="G237" s="630">
        <v>6301.35</v>
      </c>
      <c r="H237" s="630">
        <v>0</v>
      </c>
      <c r="I237" s="627">
        <v>0</v>
      </c>
      <c r="J237" s="629" t="s">
        <v>2653</v>
      </c>
    </row>
    <row r="238" spans="1:10">
      <c r="A238" s="631">
        <v>58</v>
      </c>
      <c r="B238" s="628" t="s">
        <v>1196</v>
      </c>
      <c r="C238" s="629" t="s">
        <v>1197</v>
      </c>
      <c r="D238" s="629" t="s">
        <v>2654</v>
      </c>
      <c r="E238" s="629" t="s">
        <v>539</v>
      </c>
      <c r="F238" s="632">
        <v>93.745821596919953</v>
      </c>
      <c r="G238" s="630">
        <v>98.971521596919956</v>
      </c>
      <c r="H238" s="630">
        <v>17.75</v>
      </c>
      <c r="I238" s="627">
        <v>365</v>
      </c>
      <c r="J238" s="629" t="s">
        <v>2656</v>
      </c>
    </row>
    <row r="239" spans="1:10">
      <c r="A239" s="631">
        <v>59</v>
      </c>
      <c r="B239" s="628" t="s">
        <v>1198</v>
      </c>
      <c r="C239" s="629" t="s">
        <v>1199</v>
      </c>
      <c r="D239" s="629" t="s">
        <v>2654</v>
      </c>
      <c r="E239" s="629" t="s">
        <v>320</v>
      </c>
      <c r="F239" s="633">
        <v>100</v>
      </c>
      <c r="G239" s="634">
        <v>100.2833</v>
      </c>
      <c r="H239" s="632">
        <v>4.24</v>
      </c>
      <c r="I239" s="635">
        <v>276</v>
      </c>
      <c r="J239" s="629" t="s">
        <v>2656</v>
      </c>
    </row>
    <row r="240" spans="1:10">
      <c r="A240" s="631">
        <v>60</v>
      </c>
      <c r="B240" s="628" t="s">
        <v>1200</v>
      </c>
      <c r="C240" s="629" t="s">
        <v>1201</v>
      </c>
      <c r="D240" s="629" t="s">
        <v>2654</v>
      </c>
      <c r="E240" s="629" t="s">
        <v>320</v>
      </c>
      <c r="F240" s="633">
        <v>100</v>
      </c>
      <c r="G240" s="634">
        <v>100.0029</v>
      </c>
      <c r="H240" s="632">
        <v>0.02</v>
      </c>
      <c r="I240" s="635">
        <v>3040</v>
      </c>
      <c r="J240" s="629" t="s">
        <v>2656</v>
      </c>
    </row>
    <row r="241" spans="1:10">
      <c r="A241" s="631">
        <v>61</v>
      </c>
      <c r="B241" s="628" t="s">
        <v>1202</v>
      </c>
      <c r="C241" s="629" t="s">
        <v>1203</v>
      </c>
      <c r="D241" s="629" t="s">
        <v>2654</v>
      </c>
      <c r="E241" s="629" t="s">
        <v>320</v>
      </c>
      <c r="F241" s="633">
        <v>100</v>
      </c>
      <c r="G241" s="634">
        <v>105.8378</v>
      </c>
      <c r="H241" s="632">
        <v>7.05</v>
      </c>
      <c r="I241" s="635">
        <v>2137</v>
      </c>
      <c r="J241" s="629" t="s">
        <v>2656</v>
      </c>
    </row>
    <row r="242" spans="1:10">
      <c r="A242" s="631">
        <v>62</v>
      </c>
      <c r="B242" s="628" t="s">
        <v>1204</v>
      </c>
      <c r="C242" s="629" t="s">
        <v>1205</v>
      </c>
      <c r="D242" s="629" t="s">
        <v>2654</v>
      </c>
      <c r="E242" s="629" t="s">
        <v>320</v>
      </c>
      <c r="F242" s="633">
        <v>100</v>
      </c>
      <c r="G242" s="634">
        <v>101.9486</v>
      </c>
      <c r="H242" s="632">
        <v>6.08</v>
      </c>
      <c r="I242" s="635">
        <v>1655</v>
      </c>
      <c r="J242" s="629" t="s">
        <v>2656</v>
      </c>
    </row>
    <row r="243" spans="1:10">
      <c r="A243" s="631">
        <v>63</v>
      </c>
      <c r="B243" s="628" t="s">
        <v>1206</v>
      </c>
      <c r="C243" s="629" t="s">
        <v>1207</v>
      </c>
      <c r="D243" s="629" t="s">
        <v>2654</v>
      </c>
      <c r="E243" s="629" t="s">
        <v>320</v>
      </c>
      <c r="F243" s="633">
        <v>100</v>
      </c>
      <c r="G243" s="634">
        <v>106.9619</v>
      </c>
      <c r="H243" s="632">
        <v>7.08</v>
      </c>
      <c r="I243" s="635">
        <v>2137</v>
      </c>
      <c r="J243" s="629" t="s">
        <v>2656</v>
      </c>
    </row>
    <row r="244" spans="1:10">
      <c r="A244" s="631">
        <v>64</v>
      </c>
      <c r="B244" s="628" t="s">
        <v>1208</v>
      </c>
      <c r="C244" s="629" t="s">
        <v>1209</v>
      </c>
      <c r="D244" s="629" t="s">
        <v>2654</v>
      </c>
      <c r="E244" s="629" t="s">
        <v>320</v>
      </c>
      <c r="F244" s="633">
        <v>100</v>
      </c>
      <c r="G244" s="634">
        <v>101.1183</v>
      </c>
      <c r="H244" s="632">
        <v>6.08</v>
      </c>
      <c r="I244" s="635">
        <v>2064</v>
      </c>
      <c r="J244" s="629" t="s">
        <v>2656</v>
      </c>
    </row>
    <row r="245" spans="1:10">
      <c r="A245" s="631">
        <v>65</v>
      </c>
      <c r="B245" s="628" t="s">
        <v>1210</v>
      </c>
      <c r="C245" s="629" t="s">
        <v>1211</v>
      </c>
      <c r="D245" s="629" t="s">
        <v>2654</v>
      </c>
      <c r="E245" s="629" t="s">
        <v>320</v>
      </c>
      <c r="F245" s="633">
        <v>100</v>
      </c>
      <c r="G245" s="634">
        <v>106.06610000000001</v>
      </c>
      <c r="H245" s="632">
        <v>6.09</v>
      </c>
      <c r="I245" s="635">
        <v>2492</v>
      </c>
      <c r="J245" s="629" t="s">
        <v>2656</v>
      </c>
    </row>
    <row r="246" spans="1:10">
      <c r="A246" s="631">
        <v>66</v>
      </c>
      <c r="B246" s="628" t="s">
        <v>1212</v>
      </c>
      <c r="C246" s="629" t="s">
        <v>1213</v>
      </c>
      <c r="D246" s="629" t="s">
        <v>2654</v>
      </c>
      <c r="E246" s="629" t="s">
        <v>320</v>
      </c>
      <c r="F246" s="633">
        <v>100</v>
      </c>
      <c r="G246" s="634">
        <v>106.06610000000001</v>
      </c>
      <c r="H246" s="632">
        <v>6.09</v>
      </c>
      <c r="I246" s="635">
        <v>2492</v>
      </c>
      <c r="J246" s="629" t="s">
        <v>2656</v>
      </c>
    </row>
    <row r="247" spans="1:10">
      <c r="A247" s="631">
        <v>67</v>
      </c>
      <c r="B247" s="628" t="s">
        <v>1214</v>
      </c>
      <c r="C247" s="629" t="s">
        <v>1215</v>
      </c>
      <c r="D247" s="629" t="s">
        <v>2654</v>
      </c>
      <c r="E247" s="629" t="s">
        <v>320</v>
      </c>
      <c r="F247" s="633">
        <v>100</v>
      </c>
      <c r="G247" s="634">
        <v>104.9308</v>
      </c>
      <c r="H247" s="632">
        <v>6.08</v>
      </c>
      <c r="I247" s="635">
        <v>2559</v>
      </c>
      <c r="J247" s="629" t="s">
        <v>2656</v>
      </c>
    </row>
    <row r="248" spans="1:10">
      <c r="A248" s="631">
        <v>68</v>
      </c>
      <c r="B248" s="628" t="s">
        <v>1216</v>
      </c>
      <c r="C248" s="629" t="s">
        <v>1217</v>
      </c>
      <c r="D248" s="629" t="s">
        <v>2654</v>
      </c>
      <c r="E248" s="629" t="s">
        <v>2670</v>
      </c>
      <c r="F248" s="633">
        <v>88.661053748056986</v>
      </c>
      <c r="G248" s="634">
        <v>94.044353748056992</v>
      </c>
      <c r="H248" s="632">
        <v>29.39</v>
      </c>
      <c r="I248" s="635">
        <v>2444</v>
      </c>
      <c r="J248" s="629" t="s">
        <v>2656</v>
      </c>
    </row>
    <row r="249" spans="1:10">
      <c r="A249" s="631">
        <v>69</v>
      </c>
      <c r="B249" s="628" t="s">
        <v>1218</v>
      </c>
      <c r="C249" s="629" t="s">
        <v>1219</v>
      </c>
      <c r="D249" s="629" t="s">
        <v>2651</v>
      </c>
      <c r="E249" s="629" t="s">
        <v>1058</v>
      </c>
      <c r="F249" s="633">
        <v>14000</v>
      </c>
      <c r="G249" s="634">
        <v>14000</v>
      </c>
      <c r="H249" s="632">
        <v>0</v>
      </c>
      <c r="I249" s="635">
        <v>0</v>
      </c>
      <c r="J249" s="629" t="s">
        <v>2653</v>
      </c>
    </row>
    <row r="250" spans="1:10">
      <c r="A250" s="631">
        <v>70</v>
      </c>
      <c r="B250" s="628" t="s">
        <v>1056</v>
      </c>
      <c r="C250" s="629" t="s">
        <v>1057</v>
      </c>
      <c r="D250" s="629" t="s">
        <v>2654</v>
      </c>
      <c r="E250" s="629" t="s">
        <v>1058</v>
      </c>
      <c r="F250" s="633">
        <v>98.463142418529017</v>
      </c>
      <c r="G250" s="634">
        <v>98.996442418529014</v>
      </c>
      <c r="H250" s="632">
        <v>8.7799999999999994</v>
      </c>
      <c r="I250" s="635">
        <v>786</v>
      </c>
      <c r="J250" s="629" t="s">
        <v>2656</v>
      </c>
    </row>
    <row r="251" spans="1:10">
      <c r="A251" s="631">
        <v>71</v>
      </c>
      <c r="B251" s="628" t="s">
        <v>1220</v>
      </c>
      <c r="C251" s="629" t="s">
        <v>1221</v>
      </c>
      <c r="D251" s="629" t="s">
        <v>2651</v>
      </c>
      <c r="E251" s="629" t="s">
        <v>2671</v>
      </c>
      <c r="F251" s="633">
        <v>0.01</v>
      </c>
      <c r="G251" s="634">
        <v>0.01</v>
      </c>
      <c r="H251" s="632">
        <v>0</v>
      </c>
      <c r="I251" s="635">
        <v>0</v>
      </c>
      <c r="J251" s="629" t="s">
        <v>2653</v>
      </c>
    </row>
    <row r="252" spans="1:10">
      <c r="A252" s="631">
        <v>72</v>
      </c>
      <c r="B252" s="628" t="s">
        <v>1222</v>
      </c>
      <c r="C252" s="629" t="s">
        <v>1223</v>
      </c>
      <c r="D252" s="629" t="s">
        <v>2651</v>
      </c>
      <c r="E252" s="629" t="s">
        <v>2672</v>
      </c>
      <c r="F252" s="633">
        <v>15.43</v>
      </c>
      <c r="G252" s="634">
        <v>15.43</v>
      </c>
      <c r="H252" s="632">
        <v>0</v>
      </c>
      <c r="I252" s="635">
        <v>0</v>
      </c>
      <c r="J252" s="629" t="s">
        <v>2653</v>
      </c>
    </row>
    <row r="253" spans="1:10">
      <c r="A253" s="631">
        <v>73</v>
      </c>
      <c r="B253" s="628" t="s">
        <v>1224</v>
      </c>
      <c r="C253" s="629" t="s">
        <v>1225</v>
      </c>
      <c r="D253" s="629" t="s">
        <v>2651</v>
      </c>
      <c r="E253" s="629" t="s">
        <v>1226</v>
      </c>
      <c r="F253" s="632">
        <v>126255.29280000002</v>
      </c>
      <c r="G253" s="630">
        <v>126255.29280000002</v>
      </c>
      <c r="H253" s="630">
        <v>0</v>
      </c>
      <c r="I253" s="627">
        <v>0</v>
      </c>
      <c r="J253" s="629" t="s">
        <v>2653</v>
      </c>
    </row>
    <row r="254" spans="1:10">
      <c r="A254" s="631">
        <v>74</v>
      </c>
      <c r="B254" s="628" t="s">
        <v>1227</v>
      </c>
      <c r="C254" s="629" t="s">
        <v>1228</v>
      </c>
      <c r="D254" s="629" t="s">
        <v>2651</v>
      </c>
      <c r="E254" s="629" t="s">
        <v>2673</v>
      </c>
      <c r="F254" s="633">
        <v>15500.01</v>
      </c>
      <c r="G254" s="634">
        <v>15500.01</v>
      </c>
      <c r="H254" s="632">
        <v>0</v>
      </c>
      <c r="I254" s="635">
        <v>0</v>
      </c>
      <c r="J254" s="629" t="s">
        <v>2653</v>
      </c>
    </row>
    <row r="255" spans="1:10">
      <c r="A255" s="631">
        <v>75</v>
      </c>
      <c r="B255" s="628" t="s">
        <v>1229</v>
      </c>
      <c r="C255" s="629" t="s">
        <v>1230</v>
      </c>
      <c r="D255" s="629" t="s">
        <v>2651</v>
      </c>
      <c r="E255" s="629" t="s">
        <v>2674</v>
      </c>
      <c r="F255" s="633">
        <v>0.01</v>
      </c>
      <c r="G255" s="634">
        <v>0.01</v>
      </c>
      <c r="H255" s="632">
        <v>0</v>
      </c>
      <c r="I255" s="635">
        <v>0</v>
      </c>
      <c r="J255" s="629" t="s">
        <v>2653</v>
      </c>
    </row>
    <row r="256" spans="1:10">
      <c r="A256" s="631">
        <v>76</v>
      </c>
      <c r="B256" s="628" t="s">
        <v>1231</v>
      </c>
      <c r="C256" s="629" t="s">
        <v>1232</v>
      </c>
      <c r="D256" s="629" t="s">
        <v>2651</v>
      </c>
      <c r="E256" s="629" t="s">
        <v>2675</v>
      </c>
      <c r="F256" s="633">
        <v>0.01</v>
      </c>
      <c r="G256" s="634">
        <v>0.01</v>
      </c>
      <c r="H256" s="632">
        <v>0</v>
      </c>
      <c r="I256" s="635">
        <v>0</v>
      </c>
      <c r="J256" s="629" t="s">
        <v>2653</v>
      </c>
    </row>
    <row r="257" spans="1:10">
      <c r="A257" s="631">
        <v>77</v>
      </c>
      <c r="B257" s="628" t="s">
        <v>1233</v>
      </c>
      <c r="C257" s="629" t="s">
        <v>1234</v>
      </c>
      <c r="D257" s="629" t="s">
        <v>2651</v>
      </c>
      <c r="E257" s="629" t="s">
        <v>1235</v>
      </c>
      <c r="F257" s="633">
        <v>114999.97600000002</v>
      </c>
      <c r="G257" s="634">
        <v>114999.97600000002</v>
      </c>
      <c r="H257" s="632">
        <v>0</v>
      </c>
      <c r="I257" s="635">
        <v>0</v>
      </c>
      <c r="J257" s="629" t="s">
        <v>2653</v>
      </c>
    </row>
    <row r="258" spans="1:10">
      <c r="A258" s="631">
        <v>78</v>
      </c>
      <c r="B258" s="628" t="s">
        <v>1236</v>
      </c>
      <c r="C258" s="629" t="s">
        <v>1237</v>
      </c>
      <c r="D258" s="629" t="s">
        <v>2651</v>
      </c>
      <c r="E258" s="629" t="s">
        <v>2676</v>
      </c>
      <c r="F258" s="633">
        <v>0.01</v>
      </c>
      <c r="G258" s="634">
        <v>0.01</v>
      </c>
      <c r="H258" s="632">
        <v>0</v>
      </c>
      <c r="I258" s="635">
        <v>0</v>
      </c>
      <c r="J258" s="629" t="s">
        <v>2653</v>
      </c>
    </row>
    <row r="259" spans="1:10">
      <c r="A259" s="631">
        <v>79</v>
      </c>
      <c r="B259" s="628" t="s">
        <v>1238</v>
      </c>
      <c r="C259" s="629" t="s">
        <v>1239</v>
      </c>
      <c r="D259" s="629" t="s">
        <v>2654</v>
      </c>
      <c r="E259" s="629" t="s">
        <v>2677</v>
      </c>
      <c r="F259" s="632">
        <v>94.164251376872329</v>
      </c>
      <c r="G259" s="630">
        <v>94.589251376872326</v>
      </c>
      <c r="H259" s="630">
        <v>27.47</v>
      </c>
      <c r="I259" s="627">
        <v>2334</v>
      </c>
      <c r="J259" s="629" t="s">
        <v>2656</v>
      </c>
    </row>
    <row r="260" spans="1:10">
      <c r="A260" s="631">
        <v>80</v>
      </c>
      <c r="B260" s="628" t="s">
        <v>1240</v>
      </c>
      <c r="C260" s="629" t="s">
        <v>1241</v>
      </c>
      <c r="D260" s="629" t="s">
        <v>2654</v>
      </c>
      <c r="E260" s="629" t="s">
        <v>2677</v>
      </c>
      <c r="F260" s="632">
        <v>95.267488890554816</v>
      </c>
      <c r="G260" s="630">
        <v>103.93418889055482</v>
      </c>
      <c r="H260" s="630">
        <v>27.48</v>
      </c>
      <c r="I260" s="627">
        <v>2580</v>
      </c>
      <c r="J260" s="629" t="s">
        <v>2656</v>
      </c>
    </row>
    <row r="261" spans="1:10">
      <c r="A261" s="631">
        <v>81</v>
      </c>
      <c r="B261" s="628" t="s">
        <v>1242</v>
      </c>
      <c r="C261" s="629" t="s">
        <v>1243</v>
      </c>
      <c r="D261" s="629" t="s">
        <v>2654</v>
      </c>
      <c r="E261" s="629" t="s">
        <v>2677</v>
      </c>
      <c r="F261" s="632">
        <v>95.350373374264933</v>
      </c>
      <c r="G261" s="630">
        <v>107.77257337426494</v>
      </c>
      <c r="H261" s="630">
        <v>27.48</v>
      </c>
      <c r="I261" s="627">
        <v>2708</v>
      </c>
      <c r="J261" s="629" t="s">
        <v>2656</v>
      </c>
    </row>
    <row r="262" spans="1:10">
      <c r="A262" s="631">
        <v>82</v>
      </c>
      <c r="B262" s="628" t="s">
        <v>1244</v>
      </c>
      <c r="C262" s="629" t="s">
        <v>1245</v>
      </c>
      <c r="D262" s="629" t="s">
        <v>2654</v>
      </c>
      <c r="E262" s="629" t="s">
        <v>2678</v>
      </c>
      <c r="F262" s="633">
        <v>100</v>
      </c>
      <c r="G262" s="634">
        <v>100.00530000000001</v>
      </c>
      <c r="H262" s="632">
        <v>0.02</v>
      </c>
      <c r="I262" s="635">
        <v>3040</v>
      </c>
      <c r="J262" s="629" t="s">
        <v>2656</v>
      </c>
    </row>
    <row r="263" spans="1:10">
      <c r="A263" s="631">
        <v>83</v>
      </c>
      <c r="B263" s="628" t="s">
        <v>1246</v>
      </c>
      <c r="C263" s="629" t="s">
        <v>1247</v>
      </c>
      <c r="D263" s="629" t="s">
        <v>2654</v>
      </c>
      <c r="E263" s="629" t="s">
        <v>2678</v>
      </c>
      <c r="F263" s="632">
        <v>100</v>
      </c>
      <c r="G263" s="630">
        <v>101.9486</v>
      </c>
      <c r="H263" s="630">
        <v>6.08</v>
      </c>
      <c r="I263" s="627">
        <v>1655</v>
      </c>
      <c r="J263" s="629" t="s">
        <v>2656</v>
      </c>
    </row>
    <row r="264" spans="1:10">
      <c r="A264" s="631">
        <v>84</v>
      </c>
      <c r="B264" s="628" t="s">
        <v>1248</v>
      </c>
      <c r="C264" s="629" t="s">
        <v>1249</v>
      </c>
      <c r="D264" s="629" t="s">
        <v>2654</v>
      </c>
      <c r="E264" s="629" t="s">
        <v>2678</v>
      </c>
      <c r="F264" s="632">
        <v>100</v>
      </c>
      <c r="G264" s="630">
        <v>106.9619</v>
      </c>
      <c r="H264" s="630">
        <v>7.08</v>
      </c>
      <c r="I264" s="627">
        <v>2137</v>
      </c>
      <c r="J264" s="629" t="s">
        <v>2656</v>
      </c>
    </row>
    <row r="265" spans="1:10">
      <c r="A265" s="631">
        <v>85</v>
      </c>
      <c r="B265" s="628" t="s">
        <v>1250</v>
      </c>
      <c r="C265" s="629" t="s">
        <v>1251</v>
      </c>
      <c r="D265" s="629" t="s">
        <v>2654</v>
      </c>
      <c r="E265" s="629" t="s">
        <v>2678</v>
      </c>
      <c r="F265" s="632">
        <v>100</v>
      </c>
      <c r="G265" s="630">
        <v>101.1183</v>
      </c>
      <c r="H265" s="630">
        <v>6.08</v>
      </c>
      <c r="I265" s="627">
        <v>2064</v>
      </c>
      <c r="J265" s="629" t="s">
        <v>2656</v>
      </c>
    </row>
    <row r="266" spans="1:10">
      <c r="A266" s="631">
        <v>86</v>
      </c>
      <c r="B266" s="628" t="s">
        <v>1252</v>
      </c>
      <c r="C266" s="629" t="s">
        <v>1253</v>
      </c>
      <c r="D266" s="629" t="s">
        <v>2654</v>
      </c>
      <c r="E266" s="629" t="s">
        <v>2678</v>
      </c>
      <c r="F266" s="633">
        <v>100</v>
      </c>
      <c r="G266" s="634">
        <v>106.06610000000001</v>
      </c>
      <c r="H266" s="632">
        <v>6.09</v>
      </c>
      <c r="I266" s="635">
        <v>2492</v>
      </c>
      <c r="J266" s="629" t="s">
        <v>2656</v>
      </c>
    </row>
    <row r="267" spans="1:10">
      <c r="A267" s="631">
        <v>87</v>
      </c>
      <c r="B267" s="628" t="s">
        <v>1254</v>
      </c>
      <c r="C267" s="629" t="s">
        <v>1255</v>
      </c>
      <c r="D267" s="629" t="s">
        <v>2654</v>
      </c>
      <c r="E267" s="629" t="s">
        <v>2678</v>
      </c>
      <c r="F267" s="633">
        <v>100</v>
      </c>
      <c r="G267" s="634">
        <v>106.06610000000001</v>
      </c>
      <c r="H267" s="632">
        <v>6.09</v>
      </c>
      <c r="I267" s="635">
        <v>2492</v>
      </c>
      <c r="J267" s="629" t="s">
        <v>2656</v>
      </c>
    </row>
    <row r="268" spans="1:10">
      <c r="A268" s="631">
        <v>88</v>
      </c>
      <c r="B268" s="628" t="s">
        <v>1256</v>
      </c>
      <c r="C268" s="629" t="s">
        <v>1257</v>
      </c>
      <c r="D268" s="629" t="s">
        <v>2654</v>
      </c>
      <c r="E268" s="629" t="s">
        <v>2678</v>
      </c>
      <c r="F268" s="633">
        <v>100</v>
      </c>
      <c r="G268" s="634">
        <v>104.9308</v>
      </c>
      <c r="H268" s="632">
        <v>6.08</v>
      </c>
      <c r="I268" s="635">
        <v>2559</v>
      </c>
      <c r="J268" s="629" t="s">
        <v>2656</v>
      </c>
    </row>
    <row r="269" spans="1:10">
      <c r="A269" s="631">
        <v>89</v>
      </c>
      <c r="B269" s="628" t="s">
        <v>1258</v>
      </c>
      <c r="C269" s="629" t="s">
        <v>1259</v>
      </c>
      <c r="D269" s="629" t="s">
        <v>2654</v>
      </c>
      <c r="E269" s="629" t="s">
        <v>2679</v>
      </c>
      <c r="F269" s="633">
        <v>87.653471059633105</v>
      </c>
      <c r="G269" s="634">
        <v>88.750671059633106</v>
      </c>
      <c r="H269" s="632">
        <v>24.81</v>
      </c>
      <c r="I269" s="635">
        <v>1421</v>
      </c>
      <c r="J269" s="629" t="s">
        <v>2656</v>
      </c>
    </row>
    <row r="270" spans="1:10">
      <c r="A270" s="631">
        <v>90</v>
      </c>
      <c r="B270" s="628" t="s">
        <v>1260</v>
      </c>
      <c r="C270" s="629" t="s">
        <v>1261</v>
      </c>
      <c r="D270" s="629" t="s">
        <v>2654</v>
      </c>
      <c r="E270" s="629" t="s">
        <v>2680</v>
      </c>
      <c r="F270" s="633">
        <v>102.11581628251287</v>
      </c>
      <c r="G270" s="634">
        <v>102.35251628251287</v>
      </c>
      <c r="H270" s="632">
        <v>0.44</v>
      </c>
      <c r="I270" s="635">
        <v>4898</v>
      </c>
      <c r="J270" s="629" t="s">
        <v>2656</v>
      </c>
    </row>
    <row r="271" spans="1:10">
      <c r="A271" s="631">
        <v>91</v>
      </c>
      <c r="B271" s="628" t="s">
        <v>2878</v>
      </c>
      <c r="C271" s="629" t="s">
        <v>2879</v>
      </c>
      <c r="D271" s="629" t="s">
        <v>2654</v>
      </c>
      <c r="E271" s="629" t="s">
        <v>2880</v>
      </c>
      <c r="F271" s="633">
        <v>101.23564586558767</v>
      </c>
      <c r="G271" s="634">
        <v>106.24194586558767</v>
      </c>
      <c r="H271" s="632">
        <v>19.66</v>
      </c>
      <c r="I271" s="635">
        <v>991</v>
      </c>
      <c r="J271" s="629" t="s">
        <v>2656</v>
      </c>
    </row>
    <row r="272" spans="1:10">
      <c r="A272" s="631">
        <v>92</v>
      </c>
      <c r="B272" s="628" t="s">
        <v>1262</v>
      </c>
      <c r="C272" s="629" t="s">
        <v>1263</v>
      </c>
      <c r="D272" s="629" t="s">
        <v>2651</v>
      </c>
      <c r="E272" s="629" t="s">
        <v>2681</v>
      </c>
      <c r="F272" s="633">
        <v>10.59614977060677</v>
      </c>
      <c r="G272" s="634">
        <v>10.59614977060677</v>
      </c>
      <c r="H272" s="632">
        <v>0</v>
      </c>
      <c r="I272" s="635">
        <v>0</v>
      </c>
      <c r="J272" s="629" t="s">
        <v>2653</v>
      </c>
    </row>
    <row r="273" spans="1:10">
      <c r="A273" s="631">
        <v>93</v>
      </c>
      <c r="B273" s="628" t="s">
        <v>1264</v>
      </c>
      <c r="C273" s="629" t="s">
        <v>1265</v>
      </c>
      <c r="D273" s="629" t="s">
        <v>2664</v>
      </c>
      <c r="E273" s="629" t="s">
        <v>2681</v>
      </c>
      <c r="F273" s="633">
        <v>2737.9090000000001</v>
      </c>
      <c r="G273" s="634">
        <v>2737.9090000000001</v>
      </c>
      <c r="H273" s="632">
        <v>0</v>
      </c>
      <c r="I273" s="635">
        <v>0</v>
      </c>
      <c r="J273" s="629" t="s">
        <v>2653</v>
      </c>
    </row>
    <row r="274" spans="1:10">
      <c r="A274" s="631">
        <v>94</v>
      </c>
      <c r="B274" s="628" t="s">
        <v>1266</v>
      </c>
      <c r="C274" s="629" t="s">
        <v>1267</v>
      </c>
      <c r="D274" s="629" t="s">
        <v>2654</v>
      </c>
      <c r="E274" s="629" t="s">
        <v>108</v>
      </c>
      <c r="F274" s="633">
        <v>86.491773368442182</v>
      </c>
      <c r="G274" s="634">
        <v>87.784273368442172</v>
      </c>
      <c r="H274" s="632">
        <v>17.98</v>
      </c>
      <c r="I274" s="635">
        <v>1857</v>
      </c>
      <c r="J274" s="629" t="s">
        <v>2656</v>
      </c>
    </row>
    <row r="275" spans="1:10">
      <c r="A275" s="631">
        <v>95</v>
      </c>
      <c r="B275" s="628" t="s">
        <v>1268</v>
      </c>
      <c r="C275" s="629" t="s">
        <v>1269</v>
      </c>
      <c r="D275" s="629" t="s">
        <v>2654</v>
      </c>
      <c r="E275" s="629" t="s">
        <v>108</v>
      </c>
      <c r="F275" s="633">
        <v>100.532</v>
      </c>
      <c r="G275" s="634">
        <v>102.3549</v>
      </c>
      <c r="H275" s="632">
        <v>3.53</v>
      </c>
      <c r="I275" s="635">
        <v>905</v>
      </c>
      <c r="J275" s="629" t="s">
        <v>2656</v>
      </c>
    </row>
    <row r="276" spans="1:10">
      <c r="A276" s="631">
        <v>96</v>
      </c>
      <c r="B276" s="628" t="s">
        <v>1270</v>
      </c>
      <c r="C276" s="629" t="s">
        <v>1271</v>
      </c>
      <c r="D276" s="629" t="s">
        <v>2654</v>
      </c>
      <c r="E276" s="629" t="s">
        <v>108</v>
      </c>
      <c r="F276" s="633">
        <v>102.56699999999999</v>
      </c>
      <c r="G276" s="634">
        <v>103.10169999999999</v>
      </c>
      <c r="H276" s="632">
        <v>3.56</v>
      </c>
      <c r="I276" s="635">
        <v>1216</v>
      </c>
      <c r="J276" s="629" t="s">
        <v>2656</v>
      </c>
    </row>
    <row r="277" spans="1:10">
      <c r="A277" s="631">
        <v>97</v>
      </c>
      <c r="B277" s="628" t="s">
        <v>1272</v>
      </c>
      <c r="C277" s="629" t="s">
        <v>1273</v>
      </c>
      <c r="D277" s="629" t="s">
        <v>2654</v>
      </c>
      <c r="E277" s="629" t="s">
        <v>108</v>
      </c>
      <c r="F277" s="633">
        <v>96.044758663770182</v>
      </c>
      <c r="G277" s="634">
        <v>99.529758663770181</v>
      </c>
      <c r="H277" s="632">
        <v>17.47</v>
      </c>
      <c r="I277" s="635">
        <v>451</v>
      </c>
      <c r="J277" s="629" t="s">
        <v>2656</v>
      </c>
    </row>
    <row r="278" spans="1:10">
      <c r="A278" s="631">
        <v>98</v>
      </c>
      <c r="B278" s="628" t="s">
        <v>1274</v>
      </c>
      <c r="C278" s="629" t="s">
        <v>109</v>
      </c>
      <c r="D278" s="629" t="s">
        <v>2654</v>
      </c>
      <c r="E278" s="629" t="s">
        <v>108</v>
      </c>
      <c r="F278" s="633">
        <v>99.121981705636742</v>
      </c>
      <c r="G278" s="634">
        <v>101.99268170563674</v>
      </c>
      <c r="H278" s="632">
        <v>15.81</v>
      </c>
      <c r="I278" s="635">
        <v>100</v>
      </c>
      <c r="J278" s="629" t="s">
        <v>2656</v>
      </c>
    </row>
    <row r="279" spans="1:10">
      <c r="A279" s="631">
        <v>99</v>
      </c>
      <c r="B279" s="628" t="s">
        <v>1275</v>
      </c>
      <c r="C279" s="629" t="s">
        <v>1276</v>
      </c>
      <c r="D279" s="629" t="s">
        <v>2654</v>
      </c>
      <c r="E279" s="629" t="s">
        <v>108</v>
      </c>
      <c r="F279" s="633">
        <v>91.525493972805734</v>
      </c>
      <c r="G279" s="634">
        <v>92.889893972805737</v>
      </c>
      <c r="H279" s="632">
        <v>18.21</v>
      </c>
      <c r="I279" s="635">
        <v>1588</v>
      </c>
      <c r="J279" s="629" t="s">
        <v>2656</v>
      </c>
    </row>
    <row r="280" spans="1:10">
      <c r="A280" s="631">
        <v>100</v>
      </c>
      <c r="B280" s="628" t="s">
        <v>3102</v>
      </c>
      <c r="C280" s="629" t="s">
        <v>3103</v>
      </c>
      <c r="D280" s="629" t="s">
        <v>2654</v>
      </c>
      <c r="E280" s="629" t="s">
        <v>108</v>
      </c>
      <c r="F280" s="633">
        <v>97.303731124074744</v>
      </c>
      <c r="G280" s="634">
        <v>100.37313112407475</v>
      </c>
      <c r="H280" s="632">
        <v>18.16</v>
      </c>
      <c r="I280" s="635">
        <v>1047</v>
      </c>
      <c r="J280" s="629" t="s">
        <v>2656</v>
      </c>
    </row>
    <row r="281" spans="1:10">
      <c r="A281" s="631">
        <v>101</v>
      </c>
      <c r="B281" s="628" t="s">
        <v>3037</v>
      </c>
      <c r="C281" s="629" t="s">
        <v>3038</v>
      </c>
      <c r="D281" s="629" t="s">
        <v>2654</v>
      </c>
      <c r="E281" s="629" t="s">
        <v>108</v>
      </c>
      <c r="F281" s="633">
        <v>100</v>
      </c>
      <c r="G281" s="634">
        <v>101.9028</v>
      </c>
      <c r="H281" s="632">
        <v>16.940000000000001</v>
      </c>
      <c r="I281" s="635">
        <v>1311</v>
      </c>
      <c r="J281" s="629" t="s">
        <v>2656</v>
      </c>
    </row>
    <row r="282" spans="1:10">
      <c r="A282" s="631">
        <v>102</v>
      </c>
      <c r="B282" s="628" t="s">
        <v>1277</v>
      </c>
      <c r="C282" s="629" t="s">
        <v>1278</v>
      </c>
      <c r="D282" s="629" t="s">
        <v>2654</v>
      </c>
      <c r="E282" s="629" t="s">
        <v>108</v>
      </c>
      <c r="F282" s="633">
        <v>75.831000000000003</v>
      </c>
      <c r="G282" s="634">
        <v>76.761399999999995</v>
      </c>
      <c r="H282" s="632">
        <v>17.170000000000002</v>
      </c>
      <c r="I282" s="635">
        <v>1857</v>
      </c>
      <c r="J282" s="629" t="s">
        <v>2656</v>
      </c>
    </row>
    <row r="283" spans="1:10">
      <c r="A283" s="631">
        <v>103</v>
      </c>
      <c r="B283" s="628" t="s">
        <v>1279</v>
      </c>
      <c r="C283" s="629" t="s">
        <v>413</v>
      </c>
      <c r="D283" s="629" t="s">
        <v>2651</v>
      </c>
      <c r="E283" s="629" t="s">
        <v>108</v>
      </c>
      <c r="F283" s="633">
        <v>0.98356083333333333</v>
      </c>
      <c r="G283" s="634">
        <v>0.98356083333333333</v>
      </c>
      <c r="H283" s="632">
        <v>0</v>
      </c>
      <c r="I283" s="635">
        <v>147</v>
      </c>
      <c r="J283" s="629" t="s">
        <v>2653</v>
      </c>
    </row>
    <row r="284" spans="1:10">
      <c r="A284" s="631">
        <v>104</v>
      </c>
      <c r="B284" s="628" t="s">
        <v>1280</v>
      </c>
      <c r="C284" s="629" t="s">
        <v>1281</v>
      </c>
      <c r="D284" s="629" t="s">
        <v>2651</v>
      </c>
      <c r="E284" s="629" t="s">
        <v>108</v>
      </c>
      <c r="F284" s="633">
        <v>0.83437916666666667</v>
      </c>
      <c r="G284" s="634">
        <v>0.83437916666666667</v>
      </c>
      <c r="H284" s="632">
        <v>0</v>
      </c>
      <c r="I284" s="635">
        <v>1408</v>
      </c>
      <c r="J284" s="629" t="s">
        <v>2653</v>
      </c>
    </row>
    <row r="285" spans="1:10">
      <c r="A285" s="631">
        <v>105</v>
      </c>
      <c r="B285" s="628" t="s">
        <v>1282</v>
      </c>
      <c r="C285" s="629" t="s">
        <v>739</v>
      </c>
      <c r="D285" s="629" t="s">
        <v>2654</v>
      </c>
      <c r="E285" s="629" t="s">
        <v>108</v>
      </c>
      <c r="F285" s="633">
        <v>78.646000000000001</v>
      </c>
      <c r="G285" s="634">
        <v>79.654300000000006</v>
      </c>
      <c r="H285" s="632">
        <v>17.170000000000002</v>
      </c>
      <c r="I285" s="635">
        <v>1857</v>
      </c>
      <c r="J285" s="629" t="s">
        <v>2656</v>
      </c>
    </row>
    <row r="286" spans="1:10">
      <c r="A286" s="631">
        <v>106</v>
      </c>
      <c r="B286" s="628" t="s">
        <v>1283</v>
      </c>
      <c r="C286" s="629" t="s">
        <v>1284</v>
      </c>
      <c r="D286" s="629" t="s">
        <v>2654</v>
      </c>
      <c r="E286" s="629" t="s">
        <v>2682</v>
      </c>
      <c r="F286" s="633">
        <v>100</v>
      </c>
      <c r="G286" s="634">
        <v>101.1806</v>
      </c>
      <c r="H286" s="632">
        <v>4.2300000000000004</v>
      </c>
      <c r="I286" s="635">
        <v>200</v>
      </c>
      <c r="J286" s="629" t="s">
        <v>2656</v>
      </c>
    </row>
    <row r="287" spans="1:10">
      <c r="A287" s="631">
        <v>107</v>
      </c>
      <c r="B287" s="628" t="s">
        <v>2873</v>
      </c>
      <c r="C287" s="629" t="s">
        <v>2874</v>
      </c>
      <c r="D287" s="629" t="s">
        <v>2654</v>
      </c>
      <c r="E287" s="629" t="s">
        <v>2682</v>
      </c>
      <c r="F287" s="633">
        <v>100</v>
      </c>
      <c r="G287" s="634">
        <v>101.13330000000001</v>
      </c>
      <c r="H287" s="632">
        <v>4.2300000000000004</v>
      </c>
      <c r="I287" s="635">
        <v>564</v>
      </c>
      <c r="J287" s="629" t="s">
        <v>2656</v>
      </c>
    </row>
    <row r="288" spans="1:10">
      <c r="A288" s="631">
        <v>108</v>
      </c>
      <c r="B288" s="628" t="s">
        <v>1285</v>
      </c>
      <c r="C288" s="629" t="s">
        <v>1286</v>
      </c>
      <c r="D288" s="629" t="s">
        <v>2654</v>
      </c>
      <c r="E288" s="629" t="s">
        <v>2682</v>
      </c>
      <c r="F288" s="633">
        <v>100</v>
      </c>
      <c r="G288" s="634">
        <v>100.14879999999999</v>
      </c>
      <c r="H288" s="632">
        <v>0.35</v>
      </c>
      <c r="I288" s="635">
        <v>207</v>
      </c>
      <c r="J288" s="629" t="s">
        <v>2656</v>
      </c>
    </row>
    <row r="289" spans="1:10">
      <c r="A289" s="631">
        <v>109</v>
      </c>
      <c r="B289" s="628" t="s">
        <v>2918</v>
      </c>
      <c r="C289" s="629" t="s">
        <v>2919</v>
      </c>
      <c r="D289" s="629" t="s">
        <v>2654</v>
      </c>
      <c r="E289" s="629" t="s">
        <v>2682</v>
      </c>
      <c r="F289" s="633">
        <v>100</v>
      </c>
      <c r="G289" s="634">
        <v>100.0778</v>
      </c>
      <c r="H289" s="632">
        <v>0.35</v>
      </c>
      <c r="I289" s="635">
        <v>640</v>
      </c>
      <c r="J289" s="629" t="s">
        <v>2656</v>
      </c>
    </row>
    <row r="290" spans="1:10">
      <c r="A290" s="631">
        <v>110</v>
      </c>
      <c r="B290" s="628" t="s">
        <v>1287</v>
      </c>
      <c r="C290" s="629" t="s">
        <v>1288</v>
      </c>
      <c r="D290" s="629" t="s">
        <v>2654</v>
      </c>
      <c r="E290" s="629" t="s">
        <v>2682</v>
      </c>
      <c r="F290" s="633">
        <v>100</v>
      </c>
      <c r="G290" s="634">
        <v>100.0042</v>
      </c>
      <c r="H290" s="632">
        <v>0.02</v>
      </c>
      <c r="I290" s="635">
        <v>3040</v>
      </c>
      <c r="J290" s="629" t="s">
        <v>2656</v>
      </c>
    </row>
    <row r="291" spans="1:10">
      <c r="A291" s="631">
        <v>111</v>
      </c>
      <c r="B291" s="628" t="s">
        <v>1289</v>
      </c>
      <c r="C291" s="629" t="s">
        <v>1290</v>
      </c>
      <c r="D291" s="629" t="s">
        <v>2654</v>
      </c>
      <c r="E291" s="629" t="s">
        <v>2682</v>
      </c>
      <c r="F291" s="633">
        <v>100</v>
      </c>
      <c r="G291" s="634">
        <v>101.9486</v>
      </c>
      <c r="H291" s="632">
        <v>6.08</v>
      </c>
      <c r="I291" s="635">
        <v>1655</v>
      </c>
      <c r="J291" s="629" t="s">
        <v>2656</v>
      </c>
    </row>
    <row r="292" spans="1:10">
      <c r="A292" s="631">
        <v>112</v>
      </c>
      <c r="B292" s="628" t="s">
        <v>1291</v>
      </c>
      <c r="C292" s="629" t="s">
        <v>1292</v>
      </c>
      <c r="D292" s="629" t="s">
        <v>2651</v>
      </c>
      <c r="E292" s="629" t="s">
        <v>2683</v>
      </c>
      <c r="F292" s="633">
        <v>0.01</v>
      </c>
      <c r="G292" s="634">
        <v>0.01</v>
      </c>
      <c r="H292" s="632">
        <v>0</v>
      </c>
      <c r="I292" s="635">
        <v>0</v>
      </c>
      <c r="J292" s="629" t="s">
        <v>2653</v>
      </c>
    </row>
    <row r="293" spans="1:10">
      <c r="A293" s="631">
        <v>113</v>
      </c>
      <c r="B293" s="628" t="s">
        <v>1293</v>
      </c>
      <c r="C293" s="629" t="s">
        <v>1294</v>
      </c>
      <c r="D293" s="629" t="s">
        <v>2654</v>
      </c>
      <c r="E293" s="629" t="s">
        <v>2683</v>
      </c>
      <c r="F293" s="633">
        <v>94.42120268865574</v>
      </c>
      <c r="G293" s="634">
        <v>97.896202688655748</v>
      </c>
      <c r="H293" s="632">
        <v>14.58</v>
      </c>
      <c r="I293" s="635">
        <v>401</v>
      </c>
      <c r="J293" s="629" t="s">
        <v>2656</v>
      </c>
    </row>
    <row r="294" spans="1:10">
      <c r="A294" s="631">
        <v>114</v>
      </c>
      <c r="B294" s="628" t="s">
        <v>1295</v>
      </c>
      <c r="C294" s="629" t="s">
        <v>1296</v>
      </c>
      <c r="D294" s="629" t="s">
        <v>2651</v>
      </c>
      <c r="E294" s="629" t="s">
        <v>2683</v>
      </c>
      <c r="F294" s="633">
        <v>0.01</v>
      </c>
      <c r="G294" s="634">
        <v>0.01</v>
      </c>
      <c r="H294" s="632">
        <v>0</v>
      </c>
      <c r="I294" s="635">
        <v>0</v>
      </c>
      <c r="J294" s="629" t="s">
        <v>2653</v>
      </c>
    </row>
    <row r="295" spans="1:10">
      <c r="A295" s="631">
        <v>115</v>
      </c>
      <c r="B295" s="628" t="s">
        <v>1297</v>
      </c>
      <c r="C295" s="629" t="s">
        <v>1298</v>
      </c>
      <c r="D295" s="629" t="s">
        <v>2651</v>
      </c>
      <c r="E295" s="629" t="s">
        <v>2684</v>
      </c>
      <c r="F295" s="633">
        <v>2418.66</v>
      </c>
      <c r="G295" s="634">
        <v>2418.66</v>
      </c>
      <c r="H295" s="632">
        <v>0</v>
      </c>
      <c r="I295" s="635">
        <v>0</v>
      </c>
      <c r="J295" s="629" t="s">
        <v>2653</v>
      </c>
    </row>
    <row r="296" spans="1:10">
      <c r="A296" s="631">
        <v>116</v>
      </c>
      <c r="B296" s="628" t="s">
        <v>1299</v>
      </c>
      <c r="C296" s="629" t="s">
        <v>1300</v>
      </c>
      <c r="D296" s="629" t="s">
        <v>2654</v>
      </c>
      <c r="E296" s="629" t="s">
        <v>2685</v>
      </c>
      <c r="F296" s="633">
        <v>93.016273212037376</v>
      </c>
      <c r="G296" s="634">
        <v>96.699573212037379</v>
      </c>
      <c r="H296" s="632">
        <v>28.29</v>
      </c>
      <c r="I296" s="635">
        <v>2559</v>
      </c>
      <c r="J296" s="629" t="s">
        <v>2656</v>
      </c>
    </row>
    <row r="297" spans="1:10">
      <c r="A297" s="631">
        <v>117</v>
      </c>
      <c r="B297" s="628" t="s">
        <v>1301</v>
      </c>
      <c r="C297" s="629" t="s">
        <v>1302</v>
      </c>
      <c r="D297" s="629" t="s">
        <v>2654</v>
      </c>
      <c r="E297" s="629" t="s">
        <v>2685</v>
      </c>
      <c r="F297" s="633">
        <v>89.466173830023948</v>
      </c>
      <c r="G297" s="634">
        <v>95.438373830023934</v>
      </c>
      <c r="H297" s="632">
        <v>28.3</v>
      </c>
      <c r="I297" s="635">
        <v>3064</v>
      </c>
      <c r="J297" s="629" t="s">
        <v>2656</v>
      </c>
    </row>
    <row r="298" spans="1:10">
      <c r="A298" s="631">
        <v>118</v>
      </c>
      <c r="B298" s="628" t="s">
        <v>1303</v>
      </c>
      <c r="C298" s="629" t="s">
        <v>1304</v>
      </c>
      <c r="D298" s="629" t="s">
        <v>2651</v>
      </c>
      <c r="E298" s="629" t="s">
        <v>2686</v>
      </c>
      <c r="F298" s="633">
        <v>0.01</v>
      </c>
      <c r="G298" s="634">
        <v>0.01</v>
      </c>
      <c r="H298" s="632">
        <v>0</v>
      </c>
      <c r="I298" s="635">
        <v>0</v>
      </c>
      <c r="J298" s="629" t="s">
        <v>2653</v>
      </c>
    </row>
    <row r="299" spans="1:10">
      <c r="A299" s="631">
        <v>119</v>
      </c>
      <c r="B299" s="628" t="s">
        <v>1305</v>
      </c>
      <c r="C299" s="629" t="s">
        <v>1306</v>
      </c>
      <c r="D299" s="629" t="s">
        <v>2651</v>
      </c>
      <c r="E299" s="629" t="s">
        <v>2687</v>
      </c>
      <c r="F299" s="633">
        <v>0.01</v>
      </c>
      <c r="G299" s="634">
        <v>0.01</v>
      </c>
      <c r="H299" s="632">
        <v>0</v>
      </c>
      <c r="I299" s="635">
        <v>0</v>
      </c>
      <c r="J299" s="629" t="s">
        <v>2653</v>
      </c>
    </row>
    <row r="300" spans="1:10">
      <c r="A300" s="631">
        <v>120</v>
      </c>
      <c r="B300" s="628" t="s">
        <v>1307</v>
      </c>
      <c r="C300" s="629" t="s">
        <v>1308</v>
      </c>
      <c r="D300" s="629" t="s">
        <v>2654</v>
      </c>
      <c r="E300" s="629" t="s">
        <v>2650</v>
      </c>
      <c r="F300" s="633">
        <v>97.254605977543207</v>
      </c>
      <c r="G300" s="634">
        <v>98.349605977543206</v>
      </c>
      <c r="H300" s="632">
        <v>18.27</v>
      </c>
      <c r="I300" s="635">
        <v>144</v>
      </c>
      <c r="J300" s="629" t="s">
        <v>2656</v>
      </c>
    </row>
    <row r="301" spans="1:10">
      <c r="A301" s="631">
        <v>121</v>
      </c>
      <c r="B301" s="628" t="s">
        <v>1309</v>
      </c>
      <c r="C301" s="629" t="s">
        <v>1310</v>
      </c>
      <c r="D301" s="629" t="s">
        <v>2654</v>
      </c>
      <c r="E301" s="629" t="s">
        <v>2650</v>
      </c>
      <c r="F301" s="633">
        <v>7.5318475715891431</v>
      </c>
      <c r="G301" s="634">
        <v>7.5324475715891426</v>
      </c>
      <c r="H301" s="632">
        <v>17.73</v>
      </c>
      <c r="I301" s="635">
        <v>5411</v>
      </c>
      <c r="J301" s="629" t="s">
        <v>2656</v>
      </c>
    </row>
    <row r="302" spans="1:10">
      <c r="A302" s="631">
        <v>122</v>
      </c>
      <c r="B302" s="628" t="s">
        <v>1311</v>
      </c>
      <c r="C302" s="629" t="s">
        <v>1312</v>
      </c>
      <c r="D302" s="629" t="s">
        <v>2654</v>
      </c>
      <c r="E302" s="629" t="s">
        <v>2688</v>
      </c>
      <c r="F302" s="633">
        <v>100</v>
      </c>
      <c r="G302" s="634">
        <v>100.6965</v>
      </c>
      <c r="H302" s="632">
        <v>4.24</v>
      </c>
      <c r="I302" s="635">
        <v>241</v>
      </c>
      <c r="J302" s="629" t="s">
        <v>2656</v>
      </c>
    </row>
    <row r="303" spans="1:10">
      <c r="A303" s="631">
        <v>123</v>
      </c>
      <c r="B303" s="628" t="s">
        <v>1313</v>
      </c>
      <c r="C303" s="629" t="s">
        <v>1314</v>
      </c>
      <c r="D303" s="629" t="s">
        <v>2654</v>
      </c>
      <c r="E303" s="629" t="s">
        <v>2688</v>
      </c>
      <c r="F303" s="633">
        <v>100</v>
      </c>
      <c r="G303" s="634">
        <v>100.1293</v>
      </c>
      <c r="H303" s="632">
        <v>0.35</v>
      </c>
      <c r="I303" s="635">
        <v>227</v>
      </c>
      <c r="J303" s="629" t="s">
        <v>2656</v>
      </c>
    </row>
    <row r="304" spans="1:10">
      <c r="A304" s="631">
        <v>124</v>
      </c>
      <c r="B304" s="628" t="s">
        <v>2849</v>
      </c>
      <c r="C304" s="629" t="s">
        <v>2850</v>
      </c>
      <c r="D304" s="629" t="s">
        <v>2654</v>
      </c>
      <c r="E304" s="629" t="s">
        <v>2688</v>
      </c>
      <c r="F304" s="633">
        <v>100</v>
      </c>
      <c r="G304" s="634">
        <v>100.1069</v>
      </c>
      <c r="H304" s="632">
        <v>0.35</v>
      </c>
      <c r="I304" s="635">
        <v>610</v>
      </c>
      <c r="J304" s="629" t="s">
        <v>2656</v>
      </c>
    </row>
    <row r="305" spans="1:10">
      <c r="A305" s="631">
        <v>125</v>
      </c>
      <c r="B305" s="628" t="s">
        <v>1315</v>
      </c>
      <c r="C305" s="629" t="s">
        <v>1316</v>
      </c>
      <c r="D305" s="629" t="s">
        <v>2654</v>
      </c>
      <c r="E305" s="629" t="s">
        <v>2688</v>
      </c>
      <c r="F305" s="633">
        <v>100</v>
      </c>
      <c r="G305" s="634">
        <v>100.0013</v>
      </c>
      <c r="H305" s="632">
        <v>0.02</v>
      </c>
      <c r="I305" s="635">
        <v>3040</v>
      </c>
      <c r="J305" s="629" t="s">
        <v>2656</v>
      </c>
    </row>
    <row r="306" spans="1:10">
      <c r="A306" s="631">
        <v>126</v>
      </c>
      <c r="B306" s="628" t="s">
        <v>1317</v>
      </c>
      <c r="C306" s="629" t="s">
        <v>1318</v>
      </c>
      <c r="D306" s="629" t="s">
        <v>2654</v>
      </c>
      <c r="E306" s="629" t="s">
        <v>2688</v>
      </c>
      <c r="F306" s="633">
        <v>100</v>
      </c>
      <c r="G306" s="634">
        <v>100.0042</v>
      </c>
      <c r="H306" s="632">
        <v>0.02</v>
      </c>
      <c r="I306" s="635">
        <v>3040</v>
      </c>
      <c r="J306" s="629" t="s">
        <v>2656</v>
      </c>
    </row>
    <row r="307" spans="1:10">
      <c r="A307" s="631">
        <v>127</v>
      </c>
      <c r="B307" s="628" t="s">
        <v>1319</v>
      </c>
      <c r="C307" s="629" t="s">
        <v>1320</v>
      </c>
      <c r="D307" s="629" t="s">
        <v>2654</v>
      </c>
      <c r="E307" s="629" t="s">
        <v>2688</v>
      </c>
      <c r="F307" s="633">
        <v>100</v>
      </c>
      <c r="G307" s="634">
        <v>101.9486</v>
      </c>
      <c r="H307" s="632">
        <v>6.08</v>
      </c>
      <c r="I307" s="635">
        <v>1655</v>
      </c>
      <c r="J307" s="629" t="s">
        <v>2656</v>
      </c>
    </row>
    <row r="308" spans="1:10">
      <c r="A308" s="631">
        <v>128</v>
      </c>
      <c r="B308" s="628" t="s">
        <v>1321</v>
      </c>
      <c r="C308" s="629" t="s">
        <v>1322</v>
      </c>
      <c r="D308" s="629" t="s">
        <v>2654</v>
      </c>
      <c r="E308" s="629" t="s">
        <v>2688</v>
      </c>
      <c r="F308" s="633">
        <v>100</v>
      </c>
      <c r="G308" s="634">
        <v>106.9619</v>
      </c>
      <c r="H308" s="632">
        <v>7.08</v>
      </c>
      <c r="I308" s="635">
        <v>2137</v>
      </c>
      <c r="J308" s="629" t="s">
        <v>2656</v>
      </c>
    </row>
    <row r="309" spans="1:10">
      <c r="A309" s="631">
        <v>129</v>
      </c>
      <c r="B309" s="628" t="s">
        <v>2920</v>
      </c>
      <c r="C309" s="629" t="s">
        <v>2921</v>
      </c>
      <c r="D309" s="629" t="s">
        <v>2654</v>
      </c>
      <c r="E309" s="629" t="s">
        <v>2688</v>
      </c>
      <c r="F309" s="633">
        <v>90.081836475033526</v>
      </c>
      <c r="G309" s="634">
        <v>94.126236475033522</v>
      </c>
      <c r="H309" s="632">
        <v>20.56</v>
      </c>
      <c r="I309" s="635">
        <v>3520</v>
      </c>
      <c r="J309" s="629" t="s">
        <v>2656</v>
      </c>
    </row>
    <row r="310" spans="1:10">
      <c r="A310" s="631">
        <v>130</v>
      </c>
      <c r="B310" s="628" t="s">
        <v>2977</v>
      </c>
      <c r="C310" s="629" t="s">
        <v>2978</v>
      </c>
      <c r="D310" s="629" t="s">
        <v>2654</v>
      </c>
      <c r="E310" s="629" t="s">
        <v>2688</v>
      </c>
      <c r="F310" s="633">
        <v>93.024053141473829</v>
      </c>
      <c r="G310" s="634">
        <v>95.701553141473823</v>
      </c>
      <c r="H310" s="632">
        <v>20.55</v>
      </c>
      <c r="I310" s="635">
        <v>3549</v>
      </c>
      <c r="J310" s="629" t="s">
        <v>2656</v>
      </c>
    </row>
    <row r="311" spans="1:10">
      <c r="A311" s="631">
        <v>131</v>
      </c>
      <c r="B311" s="628" t="s">
        <v>2979</v>
      </c>
      <c r="C311" s="629" t="s">
        <v>2980</v>
      </c>
      <c r="D311" s="629" t="s">
        <v>2654</v>
      </c>
      <c r="E311" s="629" t="s">
        <v>2688</v>
      </c>
      <c r="F311" s="633">
        <v>93.024053141473829</v>
      </c>
      <c r="G311" s="634">
        <v>95.701553141473823</v>
      </c>
      <c r="H311" s="632">
        <v>20.55</v>
      </c>
      <c r="I311" s="635">
        <v>3549</v>
      </c>
      <c r="J311" s="629" t="s">
        <v>2656</v>
      </c>
    </row>
    <row r="312" spans="1:10">
      <c r="A312" s="631">
        <v>132</v>
      </c>
      <c r="B312" s="628" t="s">
        <v>3013</v>
      </c>
      <c r="C312" s="629" t="s">
        <v>3014</v>
      </c>
      <c r="D312" s="629" t="s">
        <v>2654</v>
      </c>
      <c r="E312" s="629" t="s">
        <v>2688</v>
      </c>
      <c r="F312" s="633">
        <v>92.989296467033995</v>
      </c>
      <c r="G312" s="634">
        <v>95.456796467033996</v>
      </c>
      <c r="H312" s="632">
        <v>20.56</v>
      </c>
      <c r="I312" s="635">
        <v>3553</v>
      </c>
      <c r="J312" s="629" t="s">
        <v>2656</v>
      </c>
    </row>
    <row r="313" spans="1:10">
      <c r="A313" s="631">
        <v>133</v>
      </c>
      <c r="B313" s="628" t="s">
        <v>3068</v>
      </c>
      <c r="C313" s="629" t="s">
        <v>3069</v>
      </c>
      <c r="D313" s="629" t="s">
        <v>2654</v>
      </c>
      <c r="E313" s="629" t="s">
        <v>2688</v>
      </c>
      <c r="F313" s="633">
        <v>93.07888885727705</v>
      </c>
      <c r="G313" s="634">
        <v>94.338888857277055</v>
      </c>
      <c r="H313" s="632">
        <v>20.56</v>
      </c>
      <c r="I313" s="635">
        <v>3576</v>
      </c>
      <c r="J313" s="629" t="s">
        <v>2656</v>
      </c>
    </row>
    <row r="314" spans="1:10">
      <c r="A314" s="631">
        <v>134</v>
      </c>
      <c r="B314" s="628" t="s">
        <v>1323</v>
      </c>
      <c r="C314" s="629" t="s">
        <v>1324</v>
      </c>
      <c r="D314" s="629" t="s">
        <v>2654</v>
      </c>
      <c r="E314" s="629" t="s">
        <v>2688</v>
      </c>
      <c r="F314" s="633">
        <v>100</v>
      </c>
      <c r="G314" s="634">
        <v>101.1183</v>
      </c>
      <c r="H314" s="632">
        <v>6.08</v>
      </c>
      <c r="I314" s="635">
        <v>2064</v>
      </c>
      <c r="J314" s="629" t="s">
        <v>2656</v>
      </c>
    </row>
    <row r="315" spans="1:10">
      <c r="A315" s="631">
        <v>135</v>
      </c>
      <c r="B315" s="628" t="s">
        <v>1325</v>
      </c>
      <c r="C315" s="629" t="s">
        <v>1326</v>
      </c>
      <c r="D315" s="629" t="s">
        <v>2654</v>
      </c>
      <c r="E315" s="629" t="s">
        <v>2688</v>
      </c>
      <c r="F315" s="633">
        <v>100</v>
      </c>
      <c r="G315" s="634">
        <v>106.06610000000001</v>
      </c>
      <c r="H315" s="632">
        <v>6.09</v>
      </c>
      <c r="I315" s="635">
        <v>2492</v>
      </c>
      <c r="J315" s="629" t="s">
        <v>2656</v>
      </c>
    </row>
    <row r="316" spans="1:10">
      <c r="A316" s="631">
        <v>136</v>
      </c>
      <c r="B316" s="628" t="s">
        <v>1327</v>
      </c>
      <c r="C316" s="629" t="s">
        <v>1328</v>
      </c>
      <c r="D316" s="629" t="s">
        <v>2654</v>
      </c>
      <c r="E316" s="629" t="s">
        <v>2688</v>
      </c>
      <c r="F316" s="633">
        <v>100</v>
      </c>
      <c r="G316" s="634">
        <v>106.06610000000001</v>
      </c>
      <c r="H316" s="632">
        <v>6.09</v>
      </c>
      <c r="I316" s="635">
        <v>2492</v>
      </c>
      <c r="J316" s="629" t="s">
        <v>2656</v>
      </c>
    </row>
    <row r="317" spans="1:10">
      <c r="A317" s="631">
        <v>137</v>
      </c>
      <c r="B317" s="628" t="s">
        <v>1329</v>
      </c>
      <c r="C317" s="629" t="s">
        <v>1330</v>
      </c>
      <c r="D317" s="629" t="s">
        <v>2654</v>
      </c>
      <c r="E317" s="629" t="s">
        <v>2688</v>
      </c>
      <c r="F317" s="633">
        <v>100</v>
      </c>
      <c r="G317" s="634">
        <v>104.9308</v>
      </c>
      <c r="H317" s="632">
        <v>6.08</v>
      </c>
      <c r="I317" s="635">
        <v>2559</v>
      </c>
      <c r="J317" s="629" t="s">
        <v>2656</v>
      </c>
    </row>
    <row r="318" spans="1:10">
      <c r="A318" s="631">
        <v>138</v>
      </c>
      <c r="B318" s="628" t="s">
        <v>1331</v>
      </c>
      <c r="C318" s="629" t="s">
        <v>1332</v>
      </c>
      <c r="D318" s="629" t="s">
        <v>2651</v>
      </c>
      <c r="E318" s="629" t="s">
        <v>2689</v>
      </c>
      <c r="F318" s="633">
        <v>0.01</v>
      </c>
      <c r="G318" s="634">
        <v>0.01</v>
      </c>
      <c r="H318" s="632">
        <v>0</v>
      </c>
      <c r="I318" s="635">
        <v>0</v>
      </c>
      <c r="J318" s="629" t="s">
        <v>2653</v>
      </c>
    </row>
    <row r="319" spans="1:10">
      <c r="A319" s="631">
        <v>139</v>
      </c>
      <c r="B319" s="628" t="s">
        <v>1333</v>
      </c>
      <c r="C319" s="629" t="s">
        <v>1334</v>
      </c>
      <c r="D319" s="629" t="s">
        <v>2654</v>
      </c>
      <c r="E319" s="629" t="s">
        <v>2690</v>
      </c>
      <c r="F319" s="633">
        <v>32.139000000000003</v>
      </c>
      <c r="G319" s="634">
        <v>32.399799999999999</v>
      </c>
      <c r="H319" s="632">
        <v>3.04</v>
      </c>
      <c r="I319" s="635">
        <v>34586</v>
      </c>
      <c r="J319" s="629" t="s">
        <v>2656</v>
      </c>
    </row>
    <row r="320" spans="1:10">
      <c r="A320" s="631">
        <v>140</v>
      </c>
      <c r="B320" s="628" t="s">
        <v>1335</v>
      </c>
      <c r="C320" s="629" t="s">
        <v>1336</v>
      </c>
      <c r="D320" s="629" t="s">
        <v>2654</v>
      </c>
      <c r="E320" s="629" t="s">
        <v>2691</v>
      </c>
      <c r="F320" s="633">
        <v>92.355869902514456</v>
      </c>
      <c r="G320" s="634">
        <v>96.978069902514463</v>
      </c>
      <c r="H320" s="632">
        <v>28.56</v>
      </c>
      <c r="I320" s="635">
        <v>2456</v>
      </c>
      <c r="J320" s="629" t="s">
        <v>2656</v>
      </c>
    </row>
    <row r="321" spans="1:10">
      <c r="A321" s="631">
        <v>141</v>
      </c>
      <c r="B321" s="628" t="s">
        <v>1337</v>
      </c>
      <c r="C321" s="629" t="s">
        <v>1338</v>
      </c>
      <c r="D321" s="629" t="s">
        <v>2654</v>
      </c>
      <c r="E321" s="629" t="s">
        <v>2691</v>
      </c>
      <c r="F321" s="633">
        <v>88.721248801508949</v>
      </c>
      <c r="G321" s="634">
        <v>88.929548801508957</v>
      </c>
      <c r="H321" s="632">
        <v>28.56</v>
      </c>
      <c r="I321" s="635">
        <v>3057</v>
      </c>
      <c r="J321" s="629" t="s">
        <v>2656</v>
      </c>
    </row>
    <row r="322" spans="1:10">
      <c r="A322" s="631">
        <v>142</v>
      </c>
      <c r="B322" s="628" t="s">
        <v>1339</v>
      </c>
      <c r="C322" s="629" t="s">
        <v>1340</v>
      </c>
      <c r="D322" s="629" t="s">
        <v>2651</v>
      </c>
      <c r="E322" s="629" t="s">
        <v>2692</v>
      </c>
      <c r="F322" s="633">
        <v>0.01</v>
      </c>
      <c r="G322" s="634">
        <v>0.01</v>
      </c>
      <c r="H322" s="632">
        <v>0</v>
      </c>
      <c r="I322" s="635">
        <v>0</v>
      </c>
      <c r="J322" s="629" t="s">
        <v>2653</v>
      </c>
    </row>
    <row r="323" spans="1:10">
      <c r="A323" s="631">
        <v>143</v>
      </c>
      <c r="B323" s="628" t="s">
        <v>1341</v>
      </c>
      <c r="C323" s="629" t="s">
        <v>1342</v>
      </c>
      <c r="D323" s="629" t="s">
        <v>2651</v>
      </c>
      <c r="E323" s="629" t="s">
        <v>2692</v>
      </c>
      <c r="F323" s="633">
        <v>0.01</v>
      </c>
      <c r="G323" s="634">
        <v>0.01</v>
      </c>
      <c r="H323" s="632">
        <v>0</v>
      </c>
      <c r="I323" s="635">
        <v>0</v>
      </c>
      <c r="J323" s="629" t="s">
        <v>2653</v>
      </c>
    </row>
    <row r="324" spans="1:10">
      <c r="A324" s="631">
        <v>144</v>
      </c>
      <c r="B324" s="628" t="s">
        <v>1343</v>
      </c>
      <c r="C324" s="629" t="s">
        <v>1344</v>
      </c>
      <c r="D324" s="629" t="s">
        <v>2651</v>
      </c>
      <c r="E324" s="629" t="s">
        <v>1345</v>
      </c>
      <c r="F324" s="633">
        <v>27471.469600000004</v>
      </c>
      <c r="G324" s="634">
        <v>27471.469600000004</v>
      </c>
      <c r="H324" s="632">
        <v>0</v>
      </c>
      <c r="I324" s="635">
        <v>0</v>
      </c>
      <c r="J324" s="629" t="s">
        <v>2653</v>
      </c>
    </row>
    <row r="325" spans="1:10">
      <c r="A325" s="631">
        <v>145</v>
      </c>
      <c r="B325" s="628" t="s">
        <v>1346</v>
      </c>
      <c r="C325" s="629" t="s">
        <v>1347</v>
      </c>
      <c r="D325" s="629" t="s">
        <v>2651</v>
      </c>
      <c r="E325" s="629" t="s">
        <v>2693</v>
      </c>
      <c r="F325" s="633">
        <v>6366.8388118414805</v>
      </c>
      <c r="G325" s="634">
        <v>6366.8388118414805</v>
      </c>
      <c r="H325" s="632">
        <v>0</v>
      </c>
      <c r="I325" s="635">
        <v>0</v>
      </c>
      <c r="J325" s="629" t="s">
        <v>2653</v>
      </c>
    </row>
    <row r="326" spans="1:10">
      <c r="A326" s="631">
        <v>146</v>
      </c>
      <c r="B326" s="628" t="s">
        <v>1348</v>
      </c>
      <c r="C326" s="629" t="s">
        <v>1349</v>
      </c>
      <c r="D326" s="629" t="s">
        <v>2651</v>
      </c>
      <c r="E326" s="629" t="s">
        <v>1350</v>
      </c>
      <c r="F326" s="633">
        <v>114225.60160000002</v>
      </c>
      <c r="G326" s="634">
        <v>114225.60160000002</v>
      </c>
      <c r="H326" s="632">
        <v>0</v>
      </c>
      <c r="I326" s="635">
        <v>0</v>
      </c>
      <c r="J326" s="629" t="s">
        <v>2653</v>
      </c>
    </row>
    <row r="327" spans="1:10">
      <c r="A327" s="631">
        <v>147</v>
      </c>
      <c r="B327" s="628" t="s">
        <v>1351</v>
      </c>
      <c r="C327" s="629" t="s">
        <v>1352</v>
      </c>
      <c r="D327" s="629" t="s">
        <v>2694</v>
      </c>
      <c r="E327" s="629" t="s">
        <v>530</v>
      </c>
      <c r="F327" s="633">
        <v>70238.099332822938</v>
      </c>
      <c r="G327" s="634">
        <v>70238.099332822938</v>
      </c>
      <c r="H327" s="632">
        <v>0</v>
      </c>
      <c r="I327" s="635">
        <v>0</v>
      </c>
      <c r="J327" s="629" t="s">
        <v>2653</v>
      </c>
    </row>
    <row r="328" spans="1:10">
      <c r="A328" s="631">
        <v>148</v>
      </c>
      <c r="B328" s="628" t="s">
        <v>528</v>
      </c>
      <c r="C328" s="629" t="s">
        <v>529</v>
      </c>
      <c r="D328" s="629" t="s">
        <v>2694</v>
      </c>
      <c r="E328" s="629" t="s">
        <v>530</v>
      </c>
      <c r="F328" s="633">
        <v>1499.84</v>
      </c>
      <c r="G328" s="634">
        <v>1499.84</v>
      </c>
      <c r="H328" s="632">
        <v>0</v>
      </c>
      <c r="I328" s="635">
        <v>0</v>
      </c>
      <c r="J328" s="629" t="s">
        <v>2653</v>
      </c>
    </row>
    <row r="329" spans="1:10">
      <c r="A329" s="631">
        <v>149</v>
      </c>
      <c r="B329" s="628" t="s">
        <v>531</v>
      </c>
      <c r="C329" s="629" t="s">
        <v>532</v>
      </c>
      <c r="D329" s="629" t="s">
        <v>2694</v>
      </c>
      <c r="E329" s="629" t="s">
        <v>530</v>
      </c>
      <c r="F329" s="633">
        <v>7.0860220934047904</v>
      </c>
      <c r="G329" s="634">
        <v>7.0860220934047904</v>
      </c>
      <c r="H329" s="632">
        <v>0</v>
      </c>
      <c r="I329" s="635">
        <v>0</v>
      </c>
      <c r="J329" s="629" t="s">
        <v>2653</v>
      </c>
    </row>
    <row r="330" spans="1:10">
      <c r="A330" s="631">
        <v>150</v>
      </c>
      <c r="B330" s="628" t="s">
        <v>1353</v>
      </c>
      <c r="C330" s="629" t="s">
        <v>1354</v>
      </c>
      <c r="D330" s="629" t="s">
        <v>2694</v>
      </c>
      <c r="E330" s="629" t="s">
        <v>530</v>
      </c>
      <c r="F330" s="633">
        <v>54244.400546866462</v>
      </c>
      <c r="G330" s="634">
        <v>54244.400546866462</v>
      </c>
      <c r="H330" s="632">
        <v>0</v>
      </c>
      <c r="I330" s="635">
        <v>0</v>
      </c>
      <c r="J330" s="629" t="s">
        <v>2653</v>
      </c>
    </row>
    <row r="331" spans="1:10">
      <c r="A331" s="631">
        <v>151</v>
      </c>
      <c r="B331" s="628" t="s">
        <v>1355</v>
      </c>
      <c r="C331" s="629" t="s">
        <v>1356</v>
      </c>
      <c r="D331" s="629" t="s">
        <v>2651</v>
      </c>
      <c r="E331" s="629" t="s">
        <v>2695</v>
      </c>
      <c r="F331" s="633">
        <v>0.01</v>
      </c>
      <c r="G331" s="634">
        <v>0.01</v>
      </c>
      <c r="H331" s="632">
        <v>0</v>
      </c>
      <c r="I331" s="635">
        <v>0</v>
      </c>
      <c r="J331" s="629" t="s">
        <v>2653</v>
      </c>
    </row>
    <row r="332" spans="1:10">
      <c r="A332" s="631">
        <v>152</v>
      </c>
      <c r="B332" s="628" t="s">
        <v>1357</v>
      </c>
      <c r="C332" s="629" t="s">
        <v>1358</v>
      </c>
      <c r="D332" s="629" t="s">
        <v>2654</v>
      </c>
      <c r="E332" s="629" t="s">
        <v>2696</v>
      </c>
      <c r="F332" s="633">
        <v>28.881875116174648</v>
      </c>
      <c r="G332" s="634">
        <v>28.883475116174647</v>
      </c>
      <c r="H332" s="632">
        <v>17.86</v>
      </c>
      <c r="I332" s="635">
        <v>2613</v>
      </c>
      <c r="J332" s="629" t="s">
        <v>2656</v>
      </c>
    </row>
    <row r="333" spans="1:10">
      <c r="A333" s="631">
        <v>153</v>
      </c>
      <c r="B333" s="628" t="s">
        <v>1359</v>
      </c>
      <c r="C333" s="629" t="s">
        <v>1360</v>
      </c>
      <c r="D333" s="629" t="s">
        <v>2654</v>
      </c>
      <c r="E333" s="629" t="s">
        <v>2696</v>
      </c>
      <c r="F333" s="633">
        <v>99.735757118867568</v>
      </c>
      <c r="G333" s="634">
        <v>102.34695711886756</v>
      </c>
      <c r="H333" s="632">
        <v>17.89</v>
      </c>
      <c r="I333" s="635">
        <v>311</v>
      </c>
      <c r="J333" s="629" t="s">
        <v>2656</v>
      </c>
    </row>
    <row r="334" spans="1:10">
      <c r="A334" s="631">
        <v>154</v>
      </c>
      <c r="B334" s="628" t="s">
        <v>1361</v>
      </c>
      <c r="C334" s="629" t="s">
        <v>1362</v>
      </c>
      <c r="D334" s="629" t="s">
        <v>2654</v>
      </c>
      <c r="E334" s="629" t="s">
        <v>2696</v>
      </c>
      <c r="F334" s="633">
        <v>99.634108882558237</v>
      </c>
      <c r="G334" s="634">
        <v>102.25270888255824</v>
      </c>
      <c r="H334" s="632">
        <v>17.88</v>
      </c>
      <c r="I334" s="635">
        <v>676</v>
      </c>
      <c r="J334" s="629" t="s">
        <v>2656</v>
      </c>
    </row>
    <row r="335" spans="1:10">
      <c r="A335" s="631">
        <v>155</v>
      </c>
      <c r="B335" s="628" t="s">
        <v>1022</v>
      </c>
      <c r="C335" s="629" t="s">
        <v>1023</v>
      </c>
      <c r="D335" s="629" t="s">
        <v>2654</v>
      </c>
      <c r="E335" s="629" t="s">
        <v>1363</v>
      </c>
      <c r="F335" s="633">
        <v>97.347771519195007</v>
      </c>
      <c r="G335" s="634">
        <v>105.49357151919502</v>
      </c>
      <c r="H335" s="632">
        <v>20.21</v>
      </c>
      <c r="I335" s="635">
        <v>370</v>
      </c>
      <c r="J335" s="629" t="s">
        <v>2656</v>
      </c>
    </row>
    <row r="336" spans="1:10">
      <c r="A336" s="631">
        <v>156</v>
      </c>
      <c r="B336" s="628" t="s">
        <v>1364</v>
      </c>
      <c r="C336" s="629" t="s">
        <v>1365</v>
      </c>
      <c r="D336" s="629" t="s">
        <v>2654</v>
      </c>
      <c r="E336" s="629" t="s">
        <v>1363</v>
      </c>
      <c r="F336" s="633">
        <v>101.00265514153384</v>
      </c>
      <c r="G336" s="634">
        <v>104.54435514153384</v>
      </c>
      <c r="H336" s="632">
        <v>6.47</v>
      </c>
      <c r="I336" s="635">
        <v>370</v>
      </c>
      <c r="J336" s="629" t="s">
        <v>2656</v>
      </c>
    </row>
    <row r="337" spans="1:10">
      <c r="A337" s="631">
        <v>157</v>
      </c>
      <c r="B337" s="628" t="s">
        <v>2603</v>
      </c>
      <c r="C337" s="629" t="s">
        <v>2604</v>
      </c>
      <c r="D337" s="629" t="s">
        <v>2654</v>
      </c>
      <c r="E337" s="629" t="s">
        <v>1363</v>
      </c>
      <c r="F337" s="633">
        <v>99.067379415946633</v>
      </c>
      <c r="G337" s="634">
        <v>106.70487941594662</v>
      </c>
      <c r="H337" s="632">
        <v>20.149999999999999</v>
      </c>
      <c r="I337" s="635">
        <v>579</v>
      </c>
      <c r="J337" s="629" t="s">
        <v>2656</v>
      </c>
    </row>
    <row r="338" spans="1:10">
      <c r="A338" s="631">
        <v>158</v>
      </c>
      <c r="B338" s="628" t="s">
        <v>3092</v>
      </c>
      <c r="C338" s="629" t="s">
        <v>3093</v>
      </c>
      <c r="D338" s="629" t="s">
        <v>2654</v>
      </c>
      <c r="E338" s="629" t="s">
        <v>1363</v>
      </c>
      <c r="F338" s="633">
        <v>99.949265366817556</v>
      </c>
      <c r="G338" s="634">
        <v>101.77146536681755</v>
      </c>
      <c r="H338" s="632">
        <v>20.49</v>
      </c>
      <c r="I338" s="635">
        <v>688</v>
      </c>
      <c r="J338" s="629" t="s">
        <v>2656</v>
      </c>
    </row>
    <row r="339" spans="1:10">
      <c r="A339" s="631">
        <v>159</v>
      </c>
      <c r="B339" s="628" t="s">
        <v>1366</v>
      </c>
      <c r="C339" s="629" t="s">
        <v>1367</v>
      </c>
      <c r="D339" s="629" t="s">
        <v>2651</v>
      </c>
      <c r="E339" s="629" t="s">
        <v>1368</v>
      </c>
      <c r="F339" s="633">
        <v>76474.849600000016</v>
      </c>
      <c r="G339" s="634">
        <v>76474.849600000016</v>
      </c>
      <c r="H339" s="632">
        <v>0</v>
      </c>
      <c r="I339" s="635">
        <v>0</v>
      </c>
      <c r="J339" s="629" t="s">
        <v>2653</v>
      </c>
    </row>
    <row r="340" spans="1:10">
      <c r="A340" s="631">
        <v>160</v>
      </c>
      <c r="B340" s="628" t="s">
        <v>1369</v>
      </c>
      <c r="C340" s="629" t="s">
        <v>1370</v>
      </c>
      <c r="D340" s="629" t="s">
        <v>2697</v>
      </c>
      <c r="E340" s="629" t="s">
        <v>1371</v>
      </c>
      <c r="F340" s="633">
        <v>49272.260000000009</v>
      </c>
      <c r="G340" s="634">
        <v>49272.260000000009</v>
      </c>
      <c r="H340" s="632">
        <v>0</v>
      </c>
      <c r="I340" s="635">
        <v>0</v>
      </c>
      <c r="J340" s="629" t="s">
        <v>2653</v>
      </c>
    </row>
    <row r="341" spans="1:10">
      <c r="A341" s="631">
        <v>161</v>
      </c>
      <c r="B341" s="628" t="s">
        <v>1372</v>
      </c>
      <c r="C341" s="629" t="s">
        <v>1373</v>
      </c>
      <c r="D341" s="629" t="s">
        <v>2697</v>
      </c>
      <c r="E341" s="629" t="s">
        <v>1374</v>
      </c>
      <c r="F341" s="633">
        <v>9319.3808000000026</v>
      </c>
      <c r="G341" s="634">
        <v>9319.3808000000026</v>
      </c>
      <c r="H341" s="632">
        <v>0</v>
      </c>
      <c r="I341" s="635">
        <v>0</v>
      </c>
      <c r="J341" s="629" t="s">
        <v>2653</v>
      </c>
    </row>
    <row r="342" spans="1:10">
      <c r="A342" s="631">
        <v>162</v>
      </c>
      <c r="B342" s="628" t="s">
        <v>1375</v>
      </c>
      <c r="C342" s="629" t="s">
        <v>1376</v>
      </c>
      <c r="D342" s="629" t="s">
        <v>2654</v>
      </c>
      <c r="E342" s="629" t="s">
        <v>2698</v>
      </c>
      <c r="F342" s="633">
        <v>100.1199809439327</v>
      </c>
      <c r="G342" s="634">
        <v>109.25748094393271</v>
      </c>
      <c r="H342" s="632">
        <v>21.29</v>
      </c>
      <c r="I342" s="635">
        <v>387</v>
      </c>
      <c r="J342" s="629" t="s">
        <v>2656</v>
      </c>
    </row>
    <row r="343" spans="1:10">
      <c r="A343" s="631">
        <v>163</v>
      </c>
      <c r="B343" s="628" t="s">
        <v>1377</v>
      </c>
      <c r="C343" s="629" t="s">
        <v>1378</v>
      </c>
      <c r="D343" s="629" t="s">
        <v>2697</v>
      </c>
      <c r="E343" s="629" t="s">
        <v>1379</v>
      </c>
      <c r="F343" s="633">
        <v>19453.468000000004</v>
      </c>
      <c r="G343" s="634">
        <v>19453.468000000004</v>
      </c>
      <c r="H343" s="632">
        <v>0</v>
      </c>
      <c r="I343" s="635">
        <v>0</v>
      </c>
      <c r="J343" s="629" t="s">
        <v>2653</v>
      </c>
    </row>
    <row r="344" spans="1:10">
      <c r="A344" s="631">
        <v>164</v>
      </c>
      <c r="B344" s="628" t="s">
        <v>1380</v>
      </c>
      <c r="C344" s="629" t="s">
        <v>1381</v>
      </c>
      <c r="D344" s="629" t="s">
        <v>2654</v>
      </c>
      <c r="E344" s="629" t="s">
        <v>2699</v>
      </c>
      <c r="F344" s="633">
        <v>92.03824577116518</v>
      </c>
      <c r="G344" s="634">
        <v>95.170145771165167</v>
      </c>
      <c r="H344" s="632">
        <v>24.48</v>
      </c>
      <c r="I344" s="635">
        <v>1025</v>
      </c>
      <c r="J344" s="629" t="s">
        <v>2656</v>
      </c>
    </row>
    <row r="345" spans="1:10">
      <c r="A345" s="631">
        <v>165</v>
      </c>
      <c r="B345" s="628" t="s">
        <v>1382</v>
      </c>
      <c r="C345" s="629" t="s">
        <v>1383</v>
      </c>
      <c r="D345" s="629" t="s">
        <v>2654</v>
      </c>
      <c r="E345" s="629" t="s">
        <v>133</v>
      </c>
      <c r="F345" s="633">
        <v>68.200680529722362</v>
      </c>
      <c r="G345" s="634">
        <v>70.013180529722362</v>
      </c>
      <c r="H345" s="632">
        <v>19.95</v>
      </c>
      <c r="I345" s="635">
        <v>2462</v>
      </c>
      <c r="J345" s="629" t="s">
        <v>2656</v>
      </c>
    </row>
    <row r="346" spans="1:10">
      <c r="A346" s="631">
        <v>166</v>
      </c>
      <c r="B346" s="628" t="s">
        <v>1384</v>
      </c>
      <c r="C346" s="629" t="s">
        <v>1385</v>
      </c>
      <c r="D346" s="629" t="s">
        <v>2654</v>
      </c>
      <c r="E346" s="629" t="s">
        <v>133</v>
      </c>
      <c r="F346" s="633">
        <v>73.810571350699036</v>
      </c>
      <c r="G346" s="634">
        <v>75.591871350699037</v>
      </c>
      <c r="H346" s="632">
        <v>19.91</v>
      </c>
      <c r="I346" s="635">
        <v>1743</v>
      </c>
      <c r="J346" s="629" t="s">
        <v>2656</v>
      </c>
    </row>
    <row r="347" spans="1:10">
      <c r="A347" s="631">
        <v>167</v>
      </c>
      <c r="B347" s="628" t="s">
        <v>1386</v>
      </c>
      <c r="C347" s="629" t="s">
        <v>1387</v>
      </c>
      <c r="D347" s="629" t="s">
        <v>2654</v>
      </c>
      <c r="E347" s="629" t="s">
        <v>133</v>
      </c>
      <c r="F347" s="633">
        <v>81.416091880883613</v>
      </c>
      <c r="G347" s="634">
        <v>83.127191880883615</v>
      </c>
      <c r="H347" s="632">
        <v>19.829999999999998</v>
      </c>
      <c r="I347" s="635">
        <v>1024</v>
      </c>
      <c r="J347" s="629" t="s">
        <v>2656</v>
      </c>
    </row>
    <row r="348" spans="1:10">
      <c r="A348" s="631">
        <v>168</v>
      </c>
      <c r="B348" s="628" t="s">
        <v>1388</v>
      </c>
      <c r="C348" s="629" t="s">
        <v>140</v>
      </c>
      <c r="D348" s="629" t="s">
        <v>2654</v>
      </c>
      <c r="E348" s="629" t="s">
        <v>133</v>
      </c>
      <c r="F348" s="633">
        <v>75.725303795172238</v>
      </c>
      <c r="G348" s="634">
        <v>79.911403795172248</v>
      </c>
      <c r="H348" s="632">
        <v>19.89</v>
      </c>
      <c r="I348" s="635">
        <v>1483</v>
      </c>
      <c r="J348" s="629" t="s">
        <v>2656</v>
      </c>
    </row>
    <row r="349" spans="1:10">
      <c r="A349" s="631">
        <v>169</v>
      </c>
      <c r="B349" s="628" t="s">
        <v>1389</v>
      </c>
      <c r="C349" s="629" t="s">
        <v>244</v>
      </c>
      <c r="D349" s="629" t="s">
        <v>2654</v>
      </c>
      <c r="E349" s="629" t="s">
        <v>133</v>
      </c>
      <c r="F349" s="633">
        <v>77.034541452477299</v>
      </c>
      <c r="G349" s="634">
        <v>80.762341452477301</v>
      </c>
      <c r="H349" s="632">
        <v>18.559999999999999</v>
      </c>
      <c r="I349" s="635">
        <v>1678</v>
      </c>
      <c r="J349" s="629" t="s">
        <v>2656</v>
      </c>
    </row>
    <row r="350" spans="1:10">
      <c r="A350" s="631">
        <v>170</v>
      </c>
      <c r="B350" s="628" t="s">
        <v>1390</v>
      </c>
      <c r="C350" s="629" t="s">
        <v>141</v>
      </c>
      <c r="D350" s="629" t="s">
        <v>2654</v>
      </c>
      <c r="E350" s="629" t="s">
        <v>133</v>
      </c>
      <c r="F350" s="633">
        <v>94.102495353899883</v>
      </c>
      <c r="G350" s="634">
        <v>97.49139535389989</v>
      </c>
      <c r="H350" s="632">
        <v>19.87</v>
      </c>
      <c r="I350" s="635">
        <v>238</v>
      </c>
      <c r="J350" s="629" t="s">
        <v>2656</v>
      </c>
    </row>
    <row r="351" spans="1:10">
      <c r="A351" s="631">
        <v>171</v>
      </c>
      <c r="B351" s="628" t="s">
        <v>1391</v>
      </c>
      <c r="C351" s="629" t="s">
        <v>1392</v>
      </c>
      <c r="D351" s="629" t="s">
        <v>2654</v>
      </c>
      <c r="E351" s="629" t="s">
        <v>133</v>
      </c>
      <c r="F351" s="633">
        <v>7.6035348603743262</v>
      </c>
      <c r="G351" s="634">
        <v>7.6089348603743261</v>
      </c>
      <c r="H351" s="632">
        <v>20.079999999999998</v>
      </c>
      <c r="I351" s="635">
        <v>5027</v>
      </c>
      <c r="J351" s="629" t="s">
        <v>2656</v>
      </c>
    </row>
    <row r="352" spans="1:10">
      <c r="A352" s="631">
        <v>172</v>
      </c>
      <c r="B352" s="628" t="s">
        <v>1393</v>
      </c>
      <c r="C352" s="629" t="s">
        <v>1394</v>
      </c>
      <c r="D352" s="629" t="s">
        <v>2654</v>
      </c>
      <c r="E352" s="629" t="s">
        <v>133</v>
      </c>
      <c r="F352" s="633">
        <v>6.8543443411296687</v>
      </c>
      <c r="G352" s="634">
        <v>6.9193443411296691</v>
      </c>
      <c r="H352" s="632">
        <v>20.09</v>
      </c>
      <c r="I352" s="635">
        <v>5244</v>
      </c>
      <c r="J352" s="629" t="s">
        <v>2656</v>
      </c>
    </row>
    <row r="353" spans="1:10">
      <c r="A353" s="631">
        <v>173</v>
      </c>
      <c r="B353" s="628" t="s">
        <v>1395</v>
      </c>
      <c r="C353" s="629" t="s">
        <v>1396</v>
      </c>
      <c r="D353" s="629" t="s">
        <v>2654</v>
      </c>
      <c r="E353" s="629" t="s">
        <v>133</v>
      </c>
      <c r="F353" s="633">
        <v>74.567191401196595</v>
      </c>
      <c r="G353" s="634">
        <v>78.861091401196589</v>
      </c>
      <c r="H353" s="632">
        <v>19.91</v>
      </c>
      <c r="I353" s="635">
        <v>1849</v>
      </c>
      <c r="J353" s="629" t="s">
        <v>2656</v>
      </c>
    </row>
    <row r="354" spans="1:10">
      <c r="A354" s="631">
        <v>174</v>
      </c>
      <c r="B354" s="628" t="s">
        <v>1397</v>
      </c>
      <c r="C354" s="629" t="s">
        <v>1398</v>
      </c>
      <c r="D354" s="629" t="s">
        <v>2654</v>
      </c>
      <c r="E354" s="629" t="s">
        <v>133</v>
      </c>
      <c r="F354" s="633">
        <v>86.540958426997392</v>
      </c>
      <c r="G354" s="634">
        <v>90.8348584269974</v>
      </c>
      <c r="H354" s="632">
        <v>19.8</v>
      </c>
      <c r="I354" s="635">
        <v>769</v>
      </c>
      <c r="J354" s="629" t="s">
        <v>2656</v>
      </c>
    </row>
    <row r="355" spans="1:10">
      <c r="A355" s="631">
        <v>175</v>
      </c>
      <c r="B355" s="628" t="s">
        <v>1399</v>
      </c>
      <c r="C355" s="629" t="s">
        <v>1400</v>
      </c>
      <c r="D355" s="629" t="s">
        <v>2654</v>
      </c>
      <c r="E355" s="629" t="s">
        <v>133</v>
      </c>
      <c r="F355" s="633">
        <v>54.930653494509151</v>
      </c>
      <c r="G355" s="634">
        <v>61.892553494509151</v>
      </c>
      <c r="H355" s="632">
        <v>20.94</v>
      </c>
      <c r="I355" s="635">
        <v>2167</v>
      </c>
      <c r="J355" s="629" t="s">
        <v>2656</v>
      </c>
    </row>
    <row r="356" spans="1:10">
      <c r="A356" s="631">
        <v>176</v>
      </c>
      <c r="B356" s="628" t="s">
        <v>1401</v>
      </c>
      <c r="C356" s="629" t="s">
        <v>1402</v>
      </c>
      <c r="D356" s="629" t="s">
        <v>2654</v>
      </c>
      <c r="E356" s="629" t="s">
        <v>133</v>
      </c>
      <c r="F356" s="633">
        <v>21.081000090239272</v>
      </c>
      <c r="G356" s="634">
        <v>21.483800090239271</v>
      </c>
      <c r="H356" s="632">
        <v>19.989999999999998</v>
      </c>
      <c r="I356" s="635">
        <v>3115</v>
      </c>
      <c r="J356" s="629" t="s">
        <v>2656</v>
      </c>
    </row>
    <row r="357" spans="1:10">
      <c r="A357" s="631">
        <v>177</v>
      </c>
      <c r="B357" s="628" t="s">
        <v>1403</v>
      </c>
      <c r="C357" s="629" t="s">
        <v>1404</v>
      </c>
      <c r="D357" s="629" t="s">
        <v>2654</v>
      </c>
      <c r="E357" s="629" t="s">
        <v>133</v>
      </c>
      <c r="F357" s="633">
        <v>18.812539727077333</v>
      </c>
      <c r="G357" s="634">
        <v>19.152839727077332</v>
      </c>
      <c r="H357" s="632">
        <v>21.06</v>
      </c>
      <c r="I357" s="635">
        <v>3355</v>
      </c>
      <c r="J357" s="629" t="s">
        <v>2656</v>
      </c>
    </row>
    <row r="358" spans="1:10">
      <c r="A358" s="631">
        <v>178</v>
      </c>
      <c r="B358" s="628" t="s">
        <v>1405</v>
      </c>
      <c r="C358" s="629" t="s">
        <v>1406</v>
      </c>
      <c r="D358" s="629" t="s">
        <v>2654</v>
      </c>
      <c r="E358" s="629" t="s">
        <v>133</v>
      </c>
      <c r="F358" s="633">
        <v>96.839106462320473</v>
      </c>
      <c r="G358" s="634">
        <v>102.47800646232047</v>
      </c>
      <c r="H358" s="632">
        <v>19.77</v>
      </c>
      <c r="I358" s="635">
        <v>215</v>
      </c>
      <c r="J358" s="629" t="s">
        <v>2656</v>
      </c>
    </row>
    <row r="359" spans="1:10">
      <c r="A359" s="631">
        <v>179</v>
      </c>
      <c r="B359" s="628" t="s">
        <v>1407</v>
      </c>
      <c r="C359" s="629" t="s">
        <v>1408</v>
      </c>
      <c r="D359" s="629" t="s">
        <v>2654</v>
      </c>
      <c r="E359" s="629" t="s">
        <v>133</v>
      </c>
      <c r="F359" s="633">
        <v>100</v>
      </c>
      <c r="G359" s="634">
        <v>105.9774</v>
      </c>
      <c r="H359" s="632">
        <v>17.690000000000001</v>
      </c>
      <c r="I359" s="635">
        <v>160</v>
      </c>
      <c r="J359" s="629" t="s">
        <v>2656</v>
      </c>
    </row>
    <row r="360" spans="1:10">
      <c r="A360" s="631">
        <v>180</v>
      </c>
      <c r="B360" s="628" t="s">
        <v>1409</v>
      </c>
      <c r="C360" s="629" t="s">
        <v>1410</v>
      </c>
      <c r="D360" s="629" t="s">
        <v>2651</v>
      </c>
      <c r="E360" s="629" t="s">
        <v>133</v>
      </c>
      <c r="F360" s="633">
        <v>1015.5</v>
      </c>
      <c r="G360" s="634">
        <v>1015.5</v>
      </c>
      <c r="H360" s="632">
        <v>0</v>
      </c>
      <c r="I360" s="635">
        <v>2920</v>
      </c>
      <c r="J360" s="629" t="s">
        <v>2653</v>
      </c>
    </row>
    <row r="361" spans="1:10">
      <c r="A361" s="631">
        <v>181</v>
      </c>
      <c r="B361" s="628" t="s">
        <v>1411</v>
      </c>
      <c r="C361" s="629" t="s">
        <v>1412</v>
      </c>
      <c r="D361" s="629" t="s">
        <v>2654</v>
      </c>
      <c r="E361" s="629" t="s">
        <v>133</v>
      </c>
      <c r="F361" s="633">
        <v>44.833952749275376</v>
      </c>
      <c r="G361" s="634">
        <v>49.733952749275375</v>
      </c>
      <c r="H361" s="632">
        <v>19.88</v>
      </c>
      <c r="I361" s="635">
        <v>2916</v>
      </c>
      <c r="J361" s="629" t="s">
        <v>2656</v>
      </c>
    </row>
    <row r="362" spans="1:10">
      <c r="A362" s="631">
        <v>182</v>
      </c>
      <c r="B362" s="628" t="s">
        <v>1413</v>
      </c>
      <c r="C362" s="629" t="s">
        <v>1414</v>
      </c>
      <c r="D362" s="629" t="s">
        <v>2654</v>
      </c>
      <c r="E362" s="629" t="s">
        <v>133</v>
      </c>
      <c r="F362" s="633">
        <v>95.885156581583175</v>
      </c>
      <c r="G362" s="634">
        <v>98.95735658158317</v>
      </c>
      <c r="H362" s="632">
        <v>19.829999999999998</v>
      </c>
      <c r="I362" s="635">
        <v>281</v>
      </c>
      <c r="J362" s="629" t="s">
        <v>2656</v>
      </c>
    </row>
    <row r="363" spans="1:10">
      <c r="A363" s="631">
        <v>183</v>
      </c>
      <c r="B363" s="628" t="s">
        <v>1415</v>
      </c>
      <c r="C363" s="629" t="s">
        <v>1416</v>
      </c>
      <c r="D363" s="629" t="s">
        <v>2654</v>
      </c>
      <c r="E363" s="629" t="s">
        <v>133</v>
      </c>
      <c r="F363" s="633">
        <v>83.497113021806342</v>
      </c>
      <c r="G363" s="634">
        <v>86.913813021806348</v>
      </c>
      <c r="H363" s="632">
        <v>19.91</v>
      </c>
      <c r="I363" s="635">
        <v>2078</v>
      </c>
      <c r="J363" s="629" t="s">
        <v>2656</v>
      </c>
    </row>
    <row r="364" spans="1:10">
      <c r="A364" s="631">
        <v>184</v>
      </c>
      <c r="B364" s="628" t="s">
        <v>533</v>
      </c>
      <c r="C364" s="629" t="s">
        <v>534</v>
      </c>
      <c r="D364" s="629" t="s">
        <v>2654</v>
      </c>
      <c r="E364" s="629" t="s">
        <v>133</v>
      </c>
      <c r="F364" s="633">
        <v>96.63687383790878</v>
      </c>
      <c r="G364" s="634">
        <v>101.62517383790879</v>
      </c>
      <c r="H364" s="632">
        <v>17.66</v>
      </c>
      <c r="I364" s="635">
        <v>196</v>
      </c>
      <c r="J364" s="629" t="s">
        <v>2656</v>
      </c>
    </row>
    <row r="365" spans="1:10">
      <c r="A365" s="631">
        <v>185</v>
      </c>
      <c r="B365" s="628" t="s">
        <v>1417</v>
      </c>
      <c r="C365" s="629" t="s">
        <v>1418</v>
      </c>
      <c r="D365" s="629" t="s">
        <v>2654</v>
      </c>
      <c r="E365" s="629" t="s">
        <v>133</v>
      </c>
      <c r="F365" s="633">
        <v>89.422457408701462</v>
      </c>
      <c r="G365" s="634">
        <v>90.766357408701467</v>
      </c>
      <c r="H365" s="632">
        <v>5.17</v>
      </c>
      <c r="I365" s="635">
        <v>1996</v>
      </c>
      <c r="J365" s="629" t="s">
        <v>2656</v>
      </c>
    </row>
    <row r="366" spans="1:10">
      <c r="A366" s="631">
        <v>186</v>
      </c>
      <c r="B366" s="628" t="s">
        <v>1059</v>
      </c>
      <c r="C366" s="629" t="s">
        <v>1060</v>
      </c>
      <c r="D366" s="629" t="s">
        <v>2654</v>
      </c>
      <c r="E366" s="629" t="s">
        <v>133</v>
      </c>
      <c r="F366" s="633">
        <v>101.407</v>
      </c>
      <c r="G366" s="634">
        <v>101.4834</v>
      </c>
      <c r="H366" s="632">
        <v>4.51</v>
      </c>
      <c r="I366" s="635">
        <v>535</v>
      </c>
      <c r="J366" s="629" t="s">
        <v>2656</v>
      </c>
    </row>
    <row r="367" spans="1:10">
      <c r="A367" s="631">
        <v>187</v>
      </c>
      <c r="B367" s="628" t="s">
        <v>1419</v>
      </c>
      <c r="C367" s="629" t="s">
        <v>1420</v>
      </c>
      <c r="D367" s="629" t="s">
        <v>2654</v>
      </c>
      <c r="E367" s="629" t="s">
        <v>133</v>
      </c>
      <c r="F367" s="633">
        <v>92.366397790659519</v>
      </c>
      <c r="G367" s="634">
        <v>92.546997790659518</v>
      </c>
      <c r="H367" s="632">
        <v>19.14</v>
      </c>
      <c r="I367" s="635">
        <v>535</v>
      </c>
      <c r="J367" s="629" t="s">
        <v>2656</v>
      </c>
    </row>
    <row r="368" spans="1:10">
      <c r="A368" s="631">
        <v>188</v>
      </c>
      <c r="B368" s="628" t="s">
        <v>1421</v>
      </c>
      <c r="C368" s="629" t="s">
        <v>1422</v>
      </c>
      <c r="D368" s="629" t="s">
        <v>2654</v>
      </c>
      <c r="E368" s="629" t="s">
        <v>133</v>
      </c>
      <c r="F368" s="633">
        <v>101.05935004921798</v>
      </c>
      <c r="G368" s="634">
        <v>103.64065004921798</v>
      </c>
      <c r="H368" s="632">
        <v>4.96</v>
      </c>
      <c r="I368" s="635">
        <v>1443</v>
      </c>
      <c r="J368" s="629" t="s">
        <v>2656</v>
      </c>
    </row>
    <row r="369" spans="1:10">
      <c r="A369" s="631">
        <v>189</v>
      </c>
      <c r="B369" s="628" t="s">
        <v>1423</v>
      </c>
      <c r="C369" s="629" t="s">
        <v>1424</v>
      </c>
      <c r="D369" s="629" t="s">
        <v>2654</v>
      </c>
      <c r="E369" s="629" t="s">
        <v>133</v>
      </c>
      <c r="F369" s="633">
        <v>87.837000000000003</v>
      </c>
      <c r="G369" s="634">
        <v>93.345100000000002</v>
      </c>
      <c r="H369" s="632">
        <v>19.68</v>
      </c>
      <c r="I369" s="635">
        <v>933</v>
      </c>
      <c r="J369" s="629" t="s">
        <v>2656</v>
      </c>
    </row>
    <row r="370" spans="1:10">
      <c r="A370" s="631">
        <v>190</v>
      </c>
      <c r="B370" s="628" t="s">
        <v>1425</v>
      </c>
      <c r="C370" s="629" t="s">
        <v>1426</v>
      </c>
      <c r="D370" s="629" t="s">
        <v>2654</v>
      </c>
      <c r="E370" s="629" t="s">
        <v>133</v>
      </c>
      <c r="F370" s="633">
        <v>103.456</v>
      </c>
      <c r="G370" s="634">
        <v>103.6591</v>
      </c>
      <c r="H370" s="632">
        <v>4.76</v>
      </c>
      <c r="I370" s="635">
        <v>1607</v>
      </c>
      <c r="J370" s="629" t="s">
        <v>2656</v>
      </c>
    </row>
    <row r="371" spans="1:10">
      <c r="A371" s="631">
        <v>191</v>
      </c>
      <c r="B371" s="628" t="s">
        <v>3054</v>
      </c>
      <c r="C371" s="629" t="s">
        <v>3055</v>
      </c>
      <c r="D371" s="629" t="s">
        <v>2654</v>
      </c>
      <c r="E371" s="629" t="s">
        <v>133</v>
      </c>
      <c r="F371" s="633">
        <v>100.64970215528832</v>
      </c>
      <c r="G371" s="634">
        <v>101.09940215528832</v>
      </c>
      <c r="H371" s="632">
        <v>3.11</v>
      </c>
      <c r="I371" s="635">
        <v>1047</v>
      </c>
      <c r="J371" s="629" t="s">
        <v>2656</v>
      </c>
    </row>
    <row r="372" spans="1:10">
      <c r="A372" s="631">
        <v>192</v>
      </c>
      <c r="B372" s="628" t="s">
        <v>535</v>
      </c>
      <c r="C372" s="629" t="s">
        <v>536</v>
      </c>
      <c r="D372" s="629" t="s">
        <v>2654</v>
      </c>
      <c r="E372" s="629" t="s">
        <v>133</v>
      </c>
      <c r="F372" s="633">
        <v>100.26984132752054</v>
      </c>
      <c r="G372" s="634">
        <v>100.71984132752054</v>
      </c>
      <c r="H372" s="632">
        <v>5.34</v>
      </c>
      <c r="I372" s="635">
        <v>153</v>
      </c>
      <c r="J372" s="629" t="s">
        <v>2656</v>
      </c>
    </row>
    <row r="373" spans="1:10">
      <c r="A373" s="631">
        <v>193</v>
      </c>
      <c r="B373" s="628" t="s">
        <v>1427</v>
      </c>
      <c r="C373" s="629" t="s">
        <v>1428</v>
      </c>
      <c r="D373" s="629" t="s">
        <v>2651</v>
      </c>
      <c r="E373" s="629" t="s">
        <v>2700</v>
      </c>
      <c r="F373" s="633">
        <v>0.01</v>
      </c>
      <c r="G373" s="634">
        <v>0.01</v>
      </c>
      <c r="H373" s="632">
        <v>0</v>
      </c>
      <c r="I373" s="635">
        <v>0</v>
      </c>
      <c r="J373" s="629" t="s">
        <v>2653</v>
      </c>
    </row>
    <row r="374" spans="1:10">
      <c r="A374" s="631">
        <v>194</v>
      </c>
      <c r="B374" s="628" t="s">
        <v>1429</v>
      </c>
      <c r="C374" s="629" t="s">
        <v>1430</v>
      </c>
      <c r="D374" s="629" t="s">
        <v>2654</v>
      </c>
      <c r="E374" s="629" t="s">
        <v>1431</v>
      </c>
      <c r="F374" s="633">
        <v>104.46798001789297</v>
      </c>
      <c r="G374" s="634">
        <v>106.36038001789296</v>
      </c>
      <c r="H374" s="632">
        <v>4.91</v>
      </c>
      <c r="I374" s="635">
        <v>1331</v>
      </c>
      <c r="J374" s="629" t="s">
        <v>2656</v>
      </c>
    </row>
    <row r="375" spans="1:10">
      <c r="A375" s="631">
        <v>195</v>
      </c>
      <c r="B375" s="628" t="s">
        <v>1432</v>
      </c>
      <c r="C375" s="629" t="s">
        <v>1433</v>
      </c>
      <c r="D375" s="629" t="s">
        <v>2651</v>
      </c>
      <c r="E375" s="629" t="s">
        <v>2701</v>
      </c>
      <c r="F375" s="633">
        <v>294.35000000000002</v>
      </c>
      <c r="G375" s="634">
        <v>294.35000000000002</v>
      </c>
      <c r="H375" s="632">
        <v>0</v>
      </c>
      <c r="I375" s="635">
        <v>0</v>
      </c>
      <c r="J375" s="629" t="s">
        <v>2653</v>
      </c>
    </row>
    <row r="376" spans="1:10">
      <c r="A376" s="631">
        <v>196</v>
      </c>
      <c r="B376" s="628" t="s">
        <v>1434</v>
      </c>
      <c r="C376" s="629" t="s">
        <v>1435</v>
      </c>
      <c r="D376" s="629" t="s">
        <v>2654</v>
      </c>
      <c r="E376" s="629" t="s">
        <v>2702</v>
      </c>
      <c r="F376" s="633">
        <v>59.490116736113876</v>
      </c>
      <c r="G376" s="634">
        <v>61.413216736113881</v>
      </c>
      <c r="H376" s="632">
        <v>20.13</v>
      </c>
      <c r="I376" s="635">
        <v>1685</v>
      </c>
      <c r="J376" s="629" t="s">
        <v>2656</v>
      </c>
    </row>
    <row r="377" spans="1:10">
      <c r="A377" s="631">
        <v>197</v>
      </c>
      <c r="B377" s="628" t="s">
        <v>1436</v>
      </c>
      <c r="C377" s="629" t="s">
        <v>1437</v>
      </c>
      <c r="D377" s="629" t="s">
        <v>2654</v>
      </c>
      <c r="E377" s="629" t="s">
        <v>2702</v>
      </c>
      <c r="F377" s="633">
        <v>53.859355798681463</v>
      </c>
      <c r="G377" s="634">
        <v>54.963055798681467</v>
      </c>
      <c r="H377" s="632">
        <v>20.170000000000002</v>
      </c>
      <c r="I377" s="635">
        <v>2094</v>
      </c>
      <c r="J377" s="629" t="s">
        <v>2656</v>
      </c>
    </row>
    <row r="378" spans="1:10">
      <c r="A378" s="631">
        <v>198</v>
      </c>
      <c r="B378" s="628" t="s">
        <v>1438</v>
      </c>
      <c r="C378" s="629" t="s">
        <v>1439</v>
      </c>
      <c r="D378" s="629" t="s">
        <v>2654</v>
      </c>
      <c r="E378" s="629" t="s">
        <v>2702</v>
      </c>
      <c r="F378" s="633">
        <v>49.132124502649027</v>
      </c>
      <c r="G378" s="634">
        <v>55.11872450264903</v>
      </c>
      <c r="H378" s="632">
        <v>20.2</v>
      </c>
      <c r="I378" s="635">
        <v>2522</v>
      </c>
      <c r="J378" s="629" t="s">
        <v>2656</v>
      </c>
    </row>
    <row r="379" spans="1:10">
      <c r="A379" s="631">
        <v>199</v>
      </c>
      <c r="B379" s="628" t="s">
        <v>1440</v>
      </c>
      <c r="C379" s="629" t="s">
        <v>1441</v>
      </c>
      <c r="D379" s="629" t="s">
        <v>2654</v>
      </c>
      <c r="E379" s="629" t="s">
        <v>2702</v>
      </c>
      <c r="F379" s="633">
        <v>49.132124502649027</v>
      </c>
      <c r="G379" s="634">
        <v>55.11872450264903</v>
      </c>
      <c r="H379" s="632">
        <v>20.2</v>
      </c>
      <c r="I379" s="635">
        <v>2522</v>
      </c>
      <c r="J379" s="629" t="s">
        <v>2656</v>
      </c>
    </row>
    <row r="380" spans="1:10">
      <c r="A380" s="631">
        <v>200</v>
      </c>
      <c r="B380" s="628" t="s">
        <v>1442</v>
      </c>
      <c r="C380" s="629" t="s">
        <v>143</v>
      </c>
      <c r="D380" s="629" t="s">
        <v>2654</v>
      </c>
      <c r="E380" s="629" t="s">
        <v>144</v>
      </c>
      <c r="F380" s="633">
        <v>64.85255679774906</v>
      </c>
      <c r="G380" s="634">
        <v>67.834456797749056</v>
      </c>
      <c r="H380" s="632">
        <v>17.809999999999999</v>
      </c>
      <c r="I380" s="635">
        <v>2947</v>
      </c>
      <c r="J380" s="629" t="s">
        <v>2656</v>
      </c>
    </row>
    <row r="381" spans="1:10">
      <c r="A381" s="631">
        <v>201</v>
      </c>
      <c r="B381" s="628" t="s">
        <v>1443</v>
      </c>
      <c r="C381" s="629" t="s">
        <v>1444</v>
      </c>
      <c r="D381" s="629" t="s">
        <v>2654</v>
      </c>
      <c r="E381" s="629" t="s">
        <v>144</v>
      </c>
      <c r="F381" s="633">
        <v>89.097636492554088</v>
      </c>
      <c r="G381" s="634">
        <v>94.59383649255409</v>
      </c>
      <c r="H381" s="632">
        <v>17.670000000000002</v>
      </c>
      <c r="I381" s="635">
        <v>1293</v>
      </c>
      <c r="J381" s="629" t="s">
        <v>2656</v>
      </c>
    </row>
    <row r="382" spans="1:10">
      <c r="A382" s="631">
        <v>202</v>
      </c>
      <c r="B382" s="628" t="s">
        <v>1445</v>
      </c>
      <c r="C382" s="629" t="s">
        <v>1027</v>
      </c>
      <c r="D382" s="629" t="s">
        <v>2654</v>
      </c>
      <c r="E382" s="629" t="s">
        <v>144</v>
      </c>
      <c r="F382" s="633">
        <v>98.515840081678121</v>
      </c>
      <c r="G382" s="634">
        <v>103.99464008167813</v>
      </c>
      <c r="H382" s="632">
        <v>17.329999999999998</v>
      </c>
      <c r="I382" s="635">
        <v>158</v>
      </c>
      <c r="J382" s="629" t="s">
        <v>2656</v>
      </c>
    </row>
    <row r="383" spans="1:10">
      <c r="A383" s="631">
        <v>203</v>
      </c>
      <c r="B383" s="628" t="s">
        <v>1446</v>
      </c>
      <c r="C383" s="629" t="s">
        <v>1447</v>
      </c>
      <c r="D383" s="629" t="s">
        <v>2654</v>
      </c>
      <c r="E383" s="629" t="s">
        <v>144</v>
      </c>
      <c r="F383" s="633">
        <v>98.975688773389521</v>
      </c>
      <c r="G383" s="634">
        <v>103.72568877338952</v>
      </c>
      <c r="H383" s="632">
        <v>17.2</v>
      </c>
      <c r="I383" s="635">
        <v>156</v>
      </c>
      <c r="J383" s="629" t="s">
        <v>2656</v>
      </c>
    </row>
    <row r="384" spans="1:10">
      <c r="A384" s="631">
        <v>204</v>
      </c>
      <c r="B384" s="628" t="s">
        <v>1448</v>
      </c>
      <c r="C384" s="629" t="s">
        <v>1449</v>
      </c>
      <c r="D384" s="629" t="s">
        <v>2654</v>
      </c>
      <c r="E384" s="629" t="s">
        <v>144</v>
      </c>
      <c r="F384" s="633">
        <v>99.698930520583545</v>
      </c>
      <c r="G384" s="634">
        <v>100.31283052058355</v>
      </c>
      <c r="H384" s="632">
        <v>17.2</v>
      </c>
      <c r="I384" s="635">
        <v>257</v>
      </c>
      <c r="J384" s="629" t="s">
        <v>2656</v>
      </c>
    </row>
    <row r="385" spans="1:10">
      <c r="A385" s="631">
        <v>205</v>
      </c>
      <c r="B385" s="628" t="s">
        <v>1450</v>
      </c>
      <c r="C385" s="629" t="s">
        <v>1053</v>
      </c>
      <c r="D385" s="629" t="s">
        <v>2654</v>
      </c>
      <c r="E385" s="629" t="s">
        <v>144</v>
      </c>
      <c r="F385" s="633">
        <v>99.594384124241387</v>
      </c>
      <c r="G385" s="634">
        <v>100.0582841242414</v>
      </c>
      <c r="H385" s="632">
        <v>17.59</v>
      </c>
      <c r="I385" s="635">
        <v>170</v>
      </c>
      <c r="J385" s="629" t="s">
        <v>2656</v>
      </c>
    </row>
    <row r="386" spans="1:10">
      <c r="A386" s="631">
        <v>206</v>
      </c>
      <c r="B386" s="628" t="s">
        <v>2517</v>
      </c>
      <c r="C386" s="629" t="s">
        <v>2518</v>
      </c>
      <c r="D386" s="629" t="s">
        <v>2654</v>
      </c>
      <c r="E386" s="629" t="s">
        <v>144</v>
      </c>
      <c r="F386" s="633">
        <v>97.6888986109592</v>
      </c>
      <c r="G386" s="634">
        <v>105.2938986109592</v>
      </c>
      <c r="H386" s="632">
        <v>17.57</v>
      </c>
      <c r="I386" s="635">
        <v>1638</v>
      </c>
      <c r="J386" s="629" t="s">
        <v>2656</v>
      </c>
    </row>
    <row r="387" spans="1:10">
      <c r="A387" s="631">
        <v>207</v>
      </c>
      <c r="B387" s="628" t="s">
        <v>2636</v>
      </c>
      <c r="C387" s="629" t="s">
        <v>2637</v>
      </c>
      <c r="D387" s="629" t="s">
        <v>2654</v>
      </c>
      <c r="E387" s="629" t="s">
        <v>144</v>
      </c>
      <c r="F387" s="633">
        <v>99.481961609974846</v>
      </c>
      <c r="G387" s="634">
        <v>105.70416160997485</v>
      </c>
      <c r="H387" s="632">
        <v>17.57</v>
      </c>
      <c r="I387" s="635">
        <v>1672</v>
      </c>
      <c r="J387" s="629" t="s">
        <v>2656</v>
      </c>
    </row>
    <row r="388" spans="1:10">
      <c r="A388" s="627">
        <v>208</v>
      </c>
      <c r="B388" s="628" t="s">
        <v>2638</v>
      </c>
      <c r="C388" s="629" t="s">
        <v>2639</v>
      </c>
      <c r="D388" s="629" t="s">
        <v>2654</v>
      </c>
      <c r="E388" s="629" t="s">
        <v>144</v>
      </c>
      <c r="F388" s="630">
        <v>99.481961609974846</v>
      </c>
      <c r="G388" s="630">
        <v>105.70416160997485</v>
      </c>
      <c r="H388" s="630">
        <v>17.57</v>
      </c>
      <c r="I388" s="627">
        <v>1672</v>
      </c>
      <c r="J388" s="629" t="s">
        <v>2656</v>
      </c>
    </row>
    <row r="389" spans="1:10">
      <c r="A389" s="627">
        <v>209</v>
      </c>
      <c r="B389" s="628" t="s">
        <v>3047</v>
      </c>
      <c r="C389" s="629" t="s">
        <v>3048</v>
      </c>
      <c r="D389" s="629" t="s">
        <v>2654</v>
      </c>
      <c r="E389" s="629" t="s">
        <v>144</v>
      </c>
      <c r="F389" s="630">
        <v>99.651626927704257</v>
      </c>
      <c r="G389" s="630">
        <v>101.68492692770425</v>
      </c>
      <c r="H389" s="630">
        <v>18.37</v>
      </c>
      <c r="I389" s="627">
        <v>1760</v>
      </c>
      <c r="J389" s="629" t="s">
        <v>2656</v>
      </c>
    </row>
    <row r="390" spans="1:10">
      <c r="A390" s="627">
        <v>210</v>
      </c>
      <c r="B390" s="628" t="s">
        <v>2565</v>
      </c>
      <c r="C390" s="629" t="s">
        <v>2566</v>
      </c>
      <c r="D390" s="629" t="s">
        <v>2654</v>
      </c>
      <c r="E390" s="629" t="s">
        <v>144</v>
      </c>
      <c r="F390" s="630">
        <v>99.461601771847313</v>
      </c>
      <c r="G390" s="630">
        <v>106.79020177184732</v>
      </c>
      <c r="H390" s="630">
        <v>17.32</v>
      </c>
      <c r="I390" s="627">
        <v>212</v>
      </c>
      <c r="J390" s="629" t="s">
        <v>2656</v>
      </c>
    </row>
    <row r="391" spans="1:10">
      <c r="A391" s="627">
        <v>211</v>
      </c>
      <c r="B391" s="628" t="s">
        <v>2899</v>
      </c>
      <c r="C391" s="629" t="s">
        <v>2900</v>
      </c>
      <c r="D391" s="629" t="s">
        <v>2654</v>
      </c>
      <c r="E391" s="629" t="s">
        <v>144</v>
      </c>
      <c r="F391" s="630">
        <v>99.972001949914684</v>
      </c>
      <c r="G391" s="630">
        <v>104.38490194991469</v>
      </c>
      <c r="H391" s="630">
        <v>17.61</v>
      </c>
      <c r="I391" s="627">
        <v>279</v>
      </c>
      <c r="J391" s="629" t="s">
        <v>2656</v>
      </c>
    </row>
    <row r="392" spans="1:10">
      <c r="A392" s="627">
        <v>212</v>
      </c>
      <c r="B392" s="628" t="s">
        <v>403</v>
      </c>
      <c r="C392" s="629" t="s">
        <v>404</v>
      </c>
      <c r="D392" s="629" t="s">
        <v>2654</v>
      </c>
      <c r="E392" s="629" t="s">
        <v>144</v>
      </c>
      <c r="F392" s="630">
        <v>79.02406782369799</v>
      </c>
      <c r="G392" s="630">
        <v>84.014867823697983</v>
      </c>
      <c r="H392" s="630">
        <v>17.75</v>
      </c>
      <c r="I392" s="627">
        <v>1821</v>
      </c>
      <c r="J392" s="629" t="s">
        <v>2656</v>
      </c>
    </row>
    <row r="393" spans="1:10">
      <c r="A393" s="627">
        <v>213</v>
      </c>
      <c r="B393" s="628" t="s">
        <v>406</v>
      </c>
      <c r="C393" s="629" t="s">
        <v>401</v>
      </c>
      <c r="D393" s="629" t="s">
        <v>2654</v>
      </c>
      <c r="E393" s="629" t="s">
        <v>144</v>
      </c>
      <c r="F393" s="630">
        <v>89.118804003062451</v>
      </c>
      <c r="G393" s="630">
        <v>93.230704003062456</v>
      </c>
      <c r="H393" s="630">
        <v>17.600000000000001</v>
      </c>
      <c r="I393" s="627">
        <v>769</v>
      </c>
      <c r="J393" s="629" t="s">
        <v>2656</v>
      </c>
    </row>
    <row r="394" spans="1:10">
      <c r="A394" s="627">
        <v>214</v>
      </c>
      <c r="B394" s="628" t="s">
        <v>407</v>
      </c>
      <c r="C394" s="629" t="s">
        <v>402</v>
      </c>
      <c r="D394" s="629" t="s">
        <v>2654</v>
      </c>
      <c r="E394" s="629" t="s">
        <v>144</v>
      </c>
      <c r="F394" s="630">
        <v>78.801500065256448</v>
      </c>
      <c r="G394" s="630">
        <v>82.913400065256454</v>
      </c>
      <c r="H394" s="630">
        <v>17.739999999999998</v>
      </c>
      <c r="I394" s="627">
        <v>1849</v>
      </c>
      <c r="J394" s="629" t="s">
        <v>2656</v>
      </c>
    </row>
    <row r="395" spans="1:10">
      <c r="A395" s="627">
        <v>215</v>
      </c>
      <c r="B395" s="628" t="s">
        <v>425</v>
      </c>
      <c r="C395" s="629" t="s">
        <v>418</v>
      </c>
      <c r="D395" s="629" t="s">
        <v>2654</v>
      </c>
      <c r="E395" s="629" t="s">
        <v>144</v>
      </c>
      <c r="F395" s="630">
        <v>77.654618287214262</v>
      </c>
      <c r="G395" s="630">
        <v>78.601818287214257</v>
      </c>
      <c r="H395" s="630">
        <v>17.55</v>
      </c>
      <c r="I395" s="627">
        <v>1949</v>
      </c>
      <c r="J395" s="629" t="s">
        <v>2656</v>
      </c>
    </row>
    <row r="396" spans="1:10">
      <c r="A396" s="627">
        <v>216</v>
      </c>
      <c r="B396" s="628" t="s">
        <v>1451</v>
      </c>
      <c r="C396" s="629" t="s">
        <v>1452</v>
      </c>
      <c r="D396" s="629" t="s">
        <v>2654</v>
      </c>
      <c r="E396" s="629" t="s">
        <v>144</v>
      </c>
      <c r="F396" s="630">
        <v>82.322410587334574</v>
      </c>
      <c r="G396" s="630">
        <v>85.958510587334573</v>
      </c>
      <c r="H396" s="630">
        <v>15.55</v>
      </c>
      <c r="I396" s="627">
        <v>2221</v>
      </c>
      <c r="J396" s="629" t="s">
        <v>2656</v>
      </c>
    </row>
    <row r="397" spans="1:10">
      <c r="A397" s="627">
        <v>217</v>
      </c>
      <c r="B397" s="628" t="s">
        <v>1453</v>
      </c>
      <c r="C397" s="629" t="s">
        <v>1454</v>
      </c>
      <c r="D397" s="629" t="s">
        <v>2654</v>
      </c>
      <c r="E397" s="629" t="s">
        <v>144</v>
      </c>
      <c r="F397" s="630">
        <v>76.956096193809472</v>
      </c>
      <c r="G397" s="630">
        <v>86.489396193809469</v>
      </c>
      <c r="H397" s="630">
        <v>17.54</v>
      </c>
      <c r="I397" s="627">
        <v>4776</v>
      </c>
      <c r="J397" s="629" t="s">
        <v>2656</v>
      </c>
    </row>
    <row r="398" spans="1:10">
      <c r="A398" s="627">
        <v>218</v>
      </c>
      <c r="B398" s="628" t="s">
        <v>2578</v>
      </c>
      <c r="C398" s="629" t="s">
        <v>2579</v>
      </c>
      <c r="D398" s="629" t="s">
        <v>2654</v>
      </c>
      <c r="E398" s="629" t="s">
        <v>144</v>
      </c>
      <c r="F398" s="630">
        <v>101.658</v>
      </c>
      <c r="G398" s="630">
        <v>104.1105</v>
      </c>
      <c r="H398" s="630">
        <v>4.75</v>
      </c>
      <c r="I398" s="627">
        <v>918</v>
      </c>
      <c r="J398" s="629" t="s">
        <v>2656</v>
      </c>
    </row>
    <row r="399" spans="1:10">
      <c r="A399" s="627">
        <v>219</v>
      </c>
      <c r="B399" s="628" t="s">
        <v>3111</v>
      </c>
      <c r="C399" s="629" t="s">
        <v>3112</v>
      </c>
      <c r="D399" s="629" t="s">
        <v>2654</v>
      </c>
      <c r="E399" s="629" t="s">
        <v>144</v>
      </c>
      <c r="F399" s="630">
        <v>98.731999999999999</v>
      </c>
      <c r="G399" s="630">
        <v>98.977400000000003</v>
      </c>
      <c r="H399" s="630">
        <v>4.9400000000000004</v>
      </c>
      <c r="I399" s="627">
        <v>1781</v>
      </c>
      <c r="J399" s="629" t="s">
        <v>2656</v>
      </c>
    </row>
    <row r="400" spans="1:10">
      <c r="A400" s="627">
        <v>220</v>
      </c>
      <c r="B400" s="628" t="s">
        <v>1455</v>
      </c>
      <c r="C400" s="629" t="s">
        <v>1456</v>
      </c>
      <c r="D400" s="629" t="s">
        <v>2654</v>
      </c>
      <c r="E400" s="629" t="s">
        <v>2703</v>
      </c>
      <c r="F400" s="630">
        <v>98.646552685759445</v>
      </c>
      <c r="G400" s="630">
        <v>104.47985268575944</v>
      </c>
      <c r="H400" s="630">
        <v>23.06</v>
      </c>
      <c r="I400" s="627">
        <v>40</v>
      </c>
      <c r="J400" s="629" t="s">
        <v>2656</v>
      </c>
    </row>
    <row r="401" spans="1:10">
      <c r="A401" s="627">
        <v>221</v>
      </c>
      <c r="B401" s="628" t="s">
        <v>1457</v>
      </c>
      <c r="C401" s="629" t="s">
        <v>1458</v>
      </c>
      <c r="D401" s="629" t="s">
        <v>2651</v>
      </c>
      <c r="E401" s="629" t="s">
        <v>2704</v>
      </c>
      <c r="F401" s="630">
        <v>50</v>
      </c>
      <c r="G401" s="630">
        <v>50</v>
      </c>
      <c r="H401" s="630">
        <v>0</v>
      </c>
      <c r="I401" s="627">
        <v>0</v>
      </c>
      <c r="J401" s="629" t="s">
        <v>2653</v>
      </c>
    </row>
    <row r="402" spans="1:10">
      <c r="A402" s="627">
        <v>222</v>
      </c>
      <c r="B402" s="628" t="s">
        <v>1459</v>
      </c>
      <c r="C402" s="629" t="s">
        <v>1460</v>
      </c>
      <c r="D402" s="629" t="s">
        <v>2651</v>
      </c>
      <c r="E402" s="629" t="s">
        <v>1461</v>
      </c>
      <c r="F402" s="630">
        <v>288212.47200000007</v>
      </c>
      <c r="G402" s="630">
        <v>288212.47200000007</v>
      </c>
      <c r="H402" s="630">
        <v>0</v>
      </c>
      <c r="I402" s="627">
        <v>0</v>
      </c>
      <c r="J402" s="629" t="s">
        <v>2653</v>
      </c>
    </row>
    <row r="403" spans="1:10">
      <c r="A403" s="627">
        <v>223</v>
      </c>
      <c r="B403" s="628" t="s">
        <v>537</v>
      </c>
      <c r="C403" s="629" t="s">
        <v>538</v>
      </c>
      <c r="D403" s="629" t="s">
        <v>2651</v>
      </c>
      <c r="E403" s="629" t="s">
        <v>539</v>
      </c>
      <c r="F403" s="630">
        <v>4690.6817312492722</v>
      </c>
      <c r="G403" s="630">
        <v>4690.6817312492722</v>
      </c>
      <c r="H403" s="630">
        <v>0</v>
      </c>
      <c r="I403" s="627">
        <v>0</v>
      </c>
      <c r="J403" s="629" t="s">
        <v>2653</v>
      </c>
    </row>
    <row r="404" spans="1:10">
      <c r="A404" s="627">
        <v>224</v>
      </c>
      <c r="B404" s="628" t="s">
        <v>1462</v>
      </c>
      <c r="C404" s="629" t="s">
        <v>1463</v>
      </c>
      <c r="D404" s="629" t="s">
        <v>2654</v>
      </c>
      <c r="E404" s="629" t="s">
        <v>539</v>
      </c>
      <c r="F404" s="630">
        <v>85.998081207372095</v>
      </c>
      <c r="G404" s="630">
        <v>88.498081207372095</v>
      </c>
      <c r="H404" s="630">
        <v>19.86</v>
      </c>
      <c r="I404" s="627">
        <v>825</v>
      </c>
      <c r="J404" s="629" t="s">
        <v>2656</v>
      </c>
    </row>
    <row r="405" spans="1:10">
      <c r="A405" s="627">
        <v>225</v>
      </c>
      <c r="B405" s="628" t="s">
        <v>1464</v>
      </c>
      <c r="C405" s="629" t="s">
        <v>1465</v>
      </c>
      <c r="D405" s="629" t="s">
        <v>2654</v>
      </c>
      <c r="E405" s="629" t="s">
        <v>539</v>
      </c>
      <c r="F405" s="630">
        <v>98.308543589105241</v>
      </c>
      <c r="G405" s="630">
        <v>101.74564358910524</v>
      </c>
      <c r="H405" s="630">
        <v>20.309999999999999</v>
      </c>
      <c r="I405" s="627">
        <v>67</v>
      </c>
      <c r="J405" s="629" t="s">
        <v>2656</v>
      </c>
    </row>
    <row r="406" spans="1:10">
      <c r="A406" s="627">
        <v>226</v>
      </c>
      <c r="B406" s="628" t="s">
        <v>1466</v>
      </c>
      <c r="C406" s="629" t="s">
        <v>1467</v>
      </c>
      <c r="D406" s="629" t="s">
        <v>2654</v>
      </c>
      <c r="E406" s="629" t="s">
        <v>539</v>
      </c>
      <c r="F406" s="630">
        <v>81.445996636452023</v>
      </c>
      <c r="G406" s="630">
        <v>86.589096636452012</v>
      </c>
      <c r="H406" s="630">
        <v>19.89</v>
      </c>
      <c r="I406" s="627">
        <v>1099</v>
      </c>
      <c r="J406" s="629" t="s">
        <v>2656</v>
      </c>
    </row>
    <row r="407" spans="1:10">
      <c r="A407" s="627">
        <v>227</v>
      </c>
      <c r="B407" s="628" t="s">
        <v>1468</v>
      </c>
      <c r="C407" s="629" t="s">
        <v>1469</v>
      </c>
      <c r="D407" s="629" t="s">
        <v>2654</v>
      </c>
      <c r="E407" s="629" t="s">
        <v>539</v>
      </c>
      <c r="F407" s="630">
        <v>99.528695412262934</v>
      </c>
      <c r="G407" s="630">
        <v>99.528695412262934</v>
      </c>
      <c r="H407" s="630">
        <v>4.87</v>
      </c>
      <c r="I407" s="627">
        <v>35</v>
      </c>
      <c r="J407" s="629" t="s">
        <v>2656</v>
      </c>
    </row>
    <row r="408" spans="1:10">
      <c r="A408" s="627">
        <v>228</v>
      </c>
      <c r="B408" s="628" t="s">
        <v>540</v>
      </c>
      <c r="C408" s="629" t="s">
        <v>541</v>
      </c>
      <c r="D408" s="629" t="s">
        <v>2651</v>
      </c>
      <c r="E408" s="629" t="s">
        <v>539</v>
      </c>
      <c r="F408" s="630">
        <v>7661.7788790427712</v>
      </c>
      <c r="G408" s="630">
        <v>7661.7788790427712</v>
      </c>
      <c r="H408" s="630">
        <v>0</v>
      </c>
      <c r="I408" s="627">
        <v>0</v>
      </c>
      <c r="J408" s="629" t="s">
        <v>2653</v>
      </c>
    </row>
    <row r="409" spans="1:10">
      <c r="A409" s="627">
        <v>229</v>
      </c>
      <c r="B409" s="628" t="s">
        <v>2941</v>
      </c>
      <c r="C409" s="629" t="s">
        <v>2942</v>
      </c>
      <c r="D409" s="629" t="s">
        <v>2654</v>
      </c>
      <c r="E409" s="629" t="s">
        <v>2943</v>
      </c>
      <c r="F409" s="630">
        <v>100</v>
      </c>
      <c r="G409" s="630">
        <v>107.44750000000001</v>
      </c>
      <c r="H409" s="630">
        <v>16.36</v>
      </c>
      <c r="I409" s="627">
        <v>608</v>
      </c>
      <c r="J409" s="629" t="s">
        <v>2656</v>
      </c>
    </row>
    <row r="410" spans="1:10">
      <c r="A410" s="627">
        <v>230</v>
      </c>
      <c r="B410" s="628" t="s">
        <v>1471</v>
      </c>
      <c r="C410" s="629" t="s">
        <v>1472</v>
      </c>
      <c r="D410" s="629" t="s">
        <v>2654</v>
      </c>
      <c r="E410" s="629" t="s">
        <v>1470</v>
      </c>
      <c r="F410" s="630">
        <v>98.374842656136622</v>
      </c>
      <c r="G410" s="630">
        <v>103.15264265613662</v>
      </c>
      <c r="H410" s="630">
        <v>23.31</v>
      </c>
      <c r="I410" s="627">
        <v>370</v>
      </c>
      <c r="J410" s="629" t="s">
        <v>2656</v>
      </c>
    </row>
    <row r="411" spans="1:10">
      <c r="A411" s="627">
        <v>231</v>
      </c>
      <c r="B411" s="628" t="s">
        <v>1473</v>
      </c>
      <c r="C411" s="629" t="s">
        <v>1474</v>
      </c>
      <c r="D411" s="629" t="s">
        <v>2654</v>
      </c>
      <c r="E411" s="629" t="s">
        <v>1470</v>
      </c>
      <c r="F411" s="630">
        <v>96.209952907716286</v>
      </c>
      <c r="G411" s="630">
        <v>96.779352907716287</v>
      </c>
      <c r="H411" s="630">
        <v>23.22</v>
      </c>
      <c r="I411" s="627">
        <v>620</v>
      </c>
      <c r="J411" s="629" t="s">
        <v>2656</v>
      </c>
    </row>
    <row r="412" spans="1:10">
      <c r="A412" s="627">
        <v>232</v>
      </c>
      <c r="B412" s="628" t="s">
        <v>1475</v>
      </c>
      <c r="C412" s="629" t="s">
        <v>1476</v>
      </c>
      <c r="D412" s="629" t="s">
        <v>2654</v>
      </c>
      <c r="E412" s="629" t="s">
        <v>1470</v>
      </c>
      <c r="F412" s="630">
        <v>95.506376011411533</v>
      </c>
      <c r="G412" s="630">
        <v>95.950776011411534</v>
      </c>
      <c r="H412" s="630">
        <v>23.22</v>
      </c>
      <c r="I412" s="627">
        <v>622</v>
      </c>
      <c r="J412" s="629" t="s">
        <v>2656</v>
      </c>
    </row>
    <row r="413" spans="1:10">
      <c r="A413" s="627">
        <v>233</v>
      </c>
      <c r="B413" s="628" t="s">
        <v>2904</v>
      </c>
      <c r="C413" s="629" t="s">
        <v>2905</v>
      </c>
      <c r="D413" s="629" t="s">
        <v>2654</v>
      </c>
      <c r="E413" s="629" t="s">
        <v>1470</v>
      </c>
      <c r="F413" s="630">
        <v>99.068039959690282</v>
      </c>
      <c r="G413" s="630">
        <v>104.08473995969028</v>
      </c>
      <c r="H413" s="630">
        <v>24.27</v>
      </c>
      <c r="I413" s="627">
        <v>94</v>
      </c>
      <c r="J413" s="629" t="s">
        <v>2656</v>
      </c>
    </row>
    <row r="414" spans="1:10">
      <c r="A414" s="627">
        <v>234</v>
      </c>
      <c r="B414" s="628" t="s">
        <v>3094</v>
      </c>
      <c r="C414" s="629" t="s">
        <v>3095</v>
      </c>
      <c r="D414" s="629" t="s">
        <v>2654</v>
      </c>
      <c r="E414" s="629" t="s">
        <v>1470</v>
      </c>
      <c r="F414" s="630">
        <v>95.173967801118863</v>
      </c>
      <c r="G414" s="630">
        <v>96.573967801118854</v>
      </c>
      <c r="H414" s="630">
        <v>23.3</v>
      </c>
      <c r="I414" s="627">
        <v>1056</v>
      </c>
      <c r="J414" s="629" t="s">
        <v>2656</v>
      </c>
    </row>
    <row r="415" spans="1:10">
      <c r="A415" s="627">
        <v>235</v>
      </c>
      <c r="B415" s="628" t="s">
        <v>1477</v>
      </c>
      <c r="C415" s="629" t="s">
        <v>1478</v>
      </c>
      <c r="D415" s="629" t="s">
        <v>2651</v>
      </c>
      <c r="E415" s="629" t="s">
        <v>1479</v>
      </c>
      <c r="F415" s="630">
        <v>46588.837600000006</v>
      </c>
      <c r="G415" s="630">
        <v>46588.837600000006</v>
      </c>
      <c r="H415" s="630">
        <v>0</v>
      </c>
      <c r="I415" s="627">
        <v>0</v>
      </c>
      <c r="J415" s="629" t="s">
        <v>2653</v>
      </c>
    </row>
    <row r="416" spans="1:10">
      <c r="A416" s="627">
        <v>236</v>
      </c>
      <c r="B416" s="628" t="s">
        <v>1480</v>
      </c>
      <c r="C416" s="629" t="s">
        <v>1481</v>
      </c>
      <c r="D416" s="629" t="s">
        <v>2651</v>
      </c>
      <c r="E416" s="629" t="s">
        <v>2705</v>
      </c>
      <c r="F416" s="630">
        <v>0.01</v>
      </c>
      <c r="G416" s="630">
        <v>0.01</v>
      </c>
      <c r="H416" s="630">
        <v>0</v>
      </c>
      <c r="I416" s="627">
        <v>0</v>
      </c>
      <c r="J416" s="629" t="s">
        <v>2653</v>
      </c>
    </row>
    <row r="417" spans="1:10">
      <c r="A417" s="627">
        <v>237</v>
      </c>
      <c r="B417" s="628" t="s">
        <v>1482</v>
      </c>
      <c r="C417" s="629" t="s">
        <v>1483</v>
      </c>
      <c r="D417" s="629" t="s">
        <v>2651</v>
      </c>
      <c r="E417" s="629" t="s">
        <v>1484</v>
      </c>
      <c r="F417" s="630">
        <v>132106.12160000001</v>
      </c>
      <c r="G417" s="630">
        <v>132106.12160000001</v>
      </c>
      <c r="H417" s="630">
        <v>0</v>
      </c>
      <c r="I417" s="627">
        <v>0</v>
      </c>
      <c r="J417" s="629" t="s">
        <v>2653</v>
      </c>
    </row>
    <row r="418" spans="1:10">
      <c r="A418" s="627">
        <v>238</v>
      </c>
      <c r="B418" s="628" t="s">
        <v>1485</v>
      </c>
      <c r="C418" s="629" t="s">
        <v>1486</v>
      </c>
      <c r="D418" s="629" t="s">
        <v>2651</v>
      </c>
      <c r="E418" s="629" t="s">
        <v>544</v>
      </c>
      <c r="F418" s="630">
        <v>2898</v>
      </c>
      <c r="G418" s="630">
        <v>2898</v>
      </c>
      <c r="H418" s="630">
        <v>0</v>
      </c>
      <c r="I418" s="627">
        <v>0</v>
      </c>
      <c r="J418" s="629" t="s">
        <v>2653</v>
      </c>
    </row>
    <row r="419" spans="1:10">
      <c r="A419" s="627">
        <v>239</v>
      </c>
      <c r="B419" s="628" t="s">
        <v>542</v>
      </c>
      <c r="C419" s="629" t="s">
        <v>543</v>
      </c>
      <c r="D419" s="629" t="s">
        <v>2694</v>
      </c>
      <c r="E419" s="629" t="s">
        <v>544</v>
      </c>
      <c r="F419" s="630">
        <v>6071292.5049999999</v>
      </c>
      <c r="G419" s="630">
        <v>6071292.5049999999</v>
      </c>
      <c r="H419" s="630">
        <v>0</v>
      </c>
      <c r="I419" s="627">
        <v>0</v>
      </c>
      <c r="J419" s="629" t="s">
        <v>2653</v>
      </c>
    </row>
    <row r="420" spans="1:10">
      <c r="A420" s="627">
        <v>240</v>
      </c>
      <c r="B420" s="628" t="s">
        <v>1487</v>
      </c>
      <c r="C420" s="629" t="s">
        <v>1488</v>
      </c>
      <c r="D420" s="629" t="s">
        <v>2694</v>
      </c>
      <c r="E420" s="629" t="s">
        <v>544</v>
      </c>
      <c r="F420" s="630">
        <v>3206890</v>
      </c>
      <c r="G420" s="630">
        <v>3206890</v>
      </c>
      <c r="H420" s="630">
        <v>0</v>
      </c>
      <c r="I420" s="627">
        <v>0</v>
      </c>
      <c r="J420" s="629" t="s">
        <v>2653</v>
      </c>
    </row>
    <row r="421" spans="1:10">
      <c r="A421" s="627">
        <v>241</v>
      </c>
      <c r="B421" s="628" t="s">
        <v>545</v>
      </c>
      <c r="C421" s="629" t="s">
        <v>546</v>
      </c>
      <c r="D421" s="629" t="s">
        <v>2694</v>
      </c>
      <c r="E421" s="629" t="s">
        <v>544</v>
      </c>
      <c r="F421" s="630">
        <v>1795063.68</v>
      </c>
      <c r="G421" s="630">
        <v>1795063.68</v>
      </c>
      <c r="H421" s="630">
        <v>0</v>
      </c>
      <c r="I421" s="627">
        <v>0</v>
      </c>
      <c r="J421" s="629" t="s">
        <v>2653</v>
      </c>
    </row>
    <row r="422" spans="1:10">
      <c r="A422" s="627">
        <v>242</v>
      </c>
      <c r="B422" s="628" t="s">
        <v>1489</v>
      </c>
      <c r="C422" s="629" t="s">
        <v>1490</v>
      </c>
      <c r="D422" s="629" t="s">
        <v>2651</v>
      </c>
      <c r="E422" s="629" t="s">
        <v>1491</v>
      </c>
      <c r="F422" s="630">
        <v>52036.346400000009</v>
      </c>
      <c r="G422" s="630">
        <v>52036.346400000009</v>
      </c>
      <c r="H422" s="630">
        <v>0</v>
      </c>
      <c r="I422" s="627">
        <v>0</v>
      </c>
      <c r="J422" s="629" t="s">
        <v>2653</v>
      </c>
    </row>
    <row r="423" spans="1:10">
      <c r="A423" s="627">
        <v>243</v>
      </c>
      <c r="B423" s="628" t="s">
        <v>1492</v>
      </c>
      <c r="C423" s="629" t="s">
        <v>1493</v>
      </c>
      <c r="D423" s="629" t="s">
        <v>2651</v>
      </c>
      <c r="E423" s="629" t="s">
        <v>1494</v>
      </c>
      <c r="F423" s="630">
        <v>59796.223200000008</v>
      </c>
      <c r="G423" s="630">
        <v>59796.223200000008</v>
      </c>
      <c r="H423" s="630">
        <v>0</v>
      </c>
      <c r="I423" s="627">
        <v>0</v>
      </c>
      <c r="J423" s="629" t="s">
        <v>2653</v>
      </c>
    </row>
    <row r="424" spans="1:10">
      <c r="A424" s="627">
        <v>244</v>
      </c>
      <c r="B424" s="628" t="s">
        <v>1495</v>
      </c>
      <c r="C424" s="629" t="s">
        <v>1496</v>
      </c>
      <c r="D424" s="629" t="s">
        <v>2654</v>
      </c>
      <c r="E424" s="629" t="s">
        <v>2706</v>
      </c>
      <c r="F424" s="630">
        <v>73.779442315216016</v>
      </c>
      <c r="G424" s="630">
        <v>76.325242315216016</v>
      </c>
      <c r="H424" s="630">
        <v>26</v>
      </c>
      <c r="I424" s="627">
        <v>1002</v>
      </c>
      <c r="J424" s="629" t="s">
        <v>2656</v>
      </c>
    </row>
    <row r="425" spans="1:10">
      <c r="A425" s="627">
        <v>245</v>
      </c>
      <c r="B425" s="628" t="s">
        <v>1497</v>
      </c>
      <c r="C425" s="629" t="s">
        <v>1498</v>
      </c>
      <c r="D425" s="629" t="s">
        <v>2654</v>
      </c>
      <c r="E425" s="629" t="s">
        <v>2707</v>
      </c>
      <c r="F425" s="630">
        <v>100</v>
      </c>
      <c r="G425" s="630">
        <v>101.0271</v>
      </c>
      <c r="H425" s="630">
        <v>4.2300000000000004</v>
      </c>
      <c r="I425" s="627">
        <v>213</v>
      </c>
      <c r="J425" s="629" t="s">
        <v>2656</v>
      </c>
    </row>
    <row r="426" spans="1:10">
      <c r="A426" s="627">
        <v>246</v>
      </c>
      <c r="B426" s="628" t="s">
        <v>1499</v>
      </c>
      <c r="C426" s="629" t="s">
        <v>1500</v>
      </c>
      <c r="D426" s="629" t="s">
        <v>2654</v>
      </c>
      <c r="E426" s="629" t="s">
        <v>2707</v>
      </c>
      <c r="F426" s="630">
        <v>100</v>
      </c>
      <c r="G426" s="630">
        <v>100.14490000000001</v>
      </c>
      <c r="H426" s="630">
        <v>0.35</v>
      </c>
      <c r="I426" s="627">
        <v>31</v>
      </c>
      <c r="J426" s="629" t="s">
        <v>2656</v>
      </c>
    </row>
    <row r="427" spans="1:10">
      <c r="A427" s="627">
        <v>247</v>
      </c>
      <c r="B427" s="628" t="s">
        <v>1501</v>
      </c>
      <c r="C427" s="629" t="s">
        <v>1502</v>
      </c>
      <c r="D427" s="629" t="s">
        <v>2654</v>
      </c>
      <c r="E427" s="629" t="s">
        <v>2707</v>
      </c>
      <c r="F427" s="630">
        <v>100</v>
      </c>
      <c r="G427" s="630">
        <v>100.1371</v>
      </c>
      <c r="H427" s="630">
        <v>0.35</v>
      </c>
      <c r="I427" s="627">
        <v>39</v>
      </c>
      <c r="J427" s="629" t="s">
        <v>2656</v>
      </c>
    </row>
    <row r="428" spans="1:10">
      <c r="A428" s="627">
        <v>248</v>
      </c>
      <c r="B428" s="628" t="s">
        <v>1503</v>
      </c>
      <c r="C428" s="629" t="s">
        <v>1504</v>
      </c>
      <c r="D428" s="629" t="s">
        <v>2654</v>
      </c>
      <c r="E428" s="629" t="s">
        <v>2707</v>
      </c>
      <c r="F428" s="630">
        <v>100</v>
      </c>
      <c r="G428" s="630">
        <v>100.1497</v>
      </c>
      <c r="H428" s="630">
        <v>0.35</v>
      </c>
      <c r="I428" s="627">
        <v>206</v>
      </c>
      <c r="J428" s="629" t="s">
        <v>2656</v>
      </c>
    </row>
    <row r="429" spans="1:10">
      <c r="A429" s="627">
        <v>249</v>
      </c>
      <c r="B429" s="628" t="s">
        <v>1505</v>
      </c>
      <c r="C429" s="629" t="s">
        <v>1506</v>
      </c>
      <c r="D429" s="629" t="s">
        <v>2654</v>
      </c>
      <c r="E429" s="629" t="s">
        <v>2707</v>
      </c>
      <c r="F429" s="630">
        <v>100</v>
      </c>
      <c r="G429" s="630">
        <v>100.00190000000001</v>
      </c>
      <c r="H429" s="630">
        <v>0.35</v>
      </c>
      <c r="I429" s="627">
        <v>538</v>
      </c>
      <c r="J429" s="629" t="s">
        <v>2656</v>
      </c>
    </row>
    <row r="430" spans="1:10">
      <c r="A430" s="627">
        <v>250</v>
      </c>
      <c r="B430" s="628" t="s">
        <v>1507</v>
      </c>
      <c r="C430" s="629" t="s">
        <v>1508</v>
      </c>
      <c r="D430" s="629" t="s">
        <v>2654</v>
      </c>
      <c r="E430" s="629" t="s">
        <v>2707</v>
      </c>
      <c r="F430" s="630">
        <v>100</v>
      </c>
      <c r="G430" s="630">
        <v>100.0067</v>
      </c>
      <c r="H430" s="630">
        <v>0.02</v>
      </c>
      <c r="I430" s="627">
        <v>3040</v>
      </c>
      <c r="J430" s="629" t="s">
        <v>2656</v>
      </c>
    </row>
    <row r="431" spans="1:10">
      <c r="A431" s="627">
        <v>251</v>
      </c>
      <c r="B431" s="628" t="s">
        <v>1509</v>
      </c>
      <c r="C431" s="629" t="s">
        <v>1510</v>
      </c>
      <c r="D431" s="629" t="s">
        <v>2654</v>
      </c>
      <c r="E431" s="629" t="s">
        <v>2707</v>
      </c>
      <c r="F431" s="630">
        <v>100</v>
      </c>
      <c r="G431" s="630">
        <v>101.9486</v>
      </c>
      <c r="H431" s="630">
        <v>6.08</v>
      </c>
      <c r="I431" s="627">
        <v>1655</v>
      </c>
      <c r="J431" s="629" t="s">
        <v>2656</v>
      </c>
    </row>
    <row r="432" spans="1:10">
      <c r="A432" s="627">
        <v>252</v>
      </c>
      <c r="B432" s="628" t="s">
        <v>1511</v>
      </c>
      <c r="C432" s="629" t="s">
        <v>1512</v>
      </c>
      <c r="D432" s="629" t="s">
        <v>2654</v>
      </c>
      <c r="E432" s="629" t="s">
        <v>2707</v>
      </c>
      <c r="F432" s="630">
        <v>100</v>
      </c>
      <c r="G432" s="630">
        <v>106.9619</v>
      </c>
      <c r="H432" s="630">
        <v>7.08</v>
      </c>
      <c r="I432" s="627">
        <v>2137</v>
      </c>
      <c r="J432" s="629" t="s">
        <v>2656</v>
      </c>
    </row>
    <row r="433" spans="1:10">
      <c r="A433" s="627">
        <v>253</v>
      </c>
      <c r="B433" s="628" t="s">
        <v>2981</v>
      </c>
      <c r="C433" s="629" t="s">
        <v>2982</v>
      </c>
      <c r="D433" s="629" t="s">
        <v>2654</v>
      </c>
      <c r="E433" s="629" t="s">
        <v>2707</v>
      </c>
      <c r="F433" s="630">
        <v>93.024053141473829</v>
      </c>
      <c r="G433" s="630">
        <v>95.701553141473823</v>
      </c>
      <c r="H433" s="630">
        <v>20.55</v>
      </c>
      <c r="I433" s="627">
        <v>3549</v>
      </c>
      <c r="J433" s="629" t="s">
        <v>2656</v>
      </c>
    </row>
    <row r="434" spans="1:10">
      <c r="A434" s="627">
        <v>254</v>
      </c>
      <c r="B434" s="628" t="s">
        <v>3070</v>
      </c>
      <c r="C434" s="629" t="s">
        <v>3071</v>
      </c>
      <c r="D434" s="629" t="s">
        <v>2654</v>
      </c>
      <c r="E434" s="629" t="s">
        <v>2707</v>
      </c>
      <c r="F434" s="630">
        <v>93.07888885727705</v>
      </c>
      <c r="G434" s="630">
        <v>94.338888857277055</v>
      </c>
      <c r="H434" s="630">
        <v>20.56</v>
      </c>
      <c r="I434" s="627">
        <v>3576</v>
      </c>
      <c r="J434" s="629" t="s">
        <v>2656</v>
      </c>
    </row>
    <row r="435" spans="1:10">
      <c r="A435" s="627">
        <v>255</v>
      </c>
      <c r="B435" s="628" t="s">
        <v>1513</v>
      </c>
      <c r="C435" s="629" t="s">
        <v>1514</v>
      </c>
      <c r="D435" s="629" t="s">
        <v>2654</v>
      </c>
      <c r="E435" s="629" t="s">
        <v>2707</v>
      </c>
      <c r="F435" s="630">
        <v>100</v>
      </c>
      <c r="G435" s="630">
        <v>101.1183</v>
      </c>
      <c r="H435" s="630">
        <v>6.08</v>
      </c>
      <c r="I435" s="627">
        <v>2064</v>
      </c>
      <c r="J435" s="629" t="s">
        <v>2656</v>
      </c>
    </row>
    <row r="436" spans="1:10">
      <c r="A436" s="627">
        <v>256</v>
      </c>
      <c r="B436" s="628" t="s">
        <v>1515</v>
      </c>
      <c r="C436" s="629" t="s">
        <v>1516</v>
      </c>
      <c r="D436" s="629" t="s">
        <v>2654</v>
      </c>
      <c r="E436" s="629" t="s">
        <v>2707</v>
      </c>
      <c r="F436" s="630">
        <v>100</v>
      </c>
      <c r="G436" s="630">
        <v>106.06610000000001</v>
      </c>
      <c r="H436" s="630">
        <v>6.09</v>
      </c>
      <c r="I436" s="627">
        <v>2492</v>
      </c>
      <c r="J436" s="629" t="s">
        <v>2656</v>
      </c>
    </row>
    <row r="437" spans="1:10">
      <c r="A437" s="627">
        <v>257</v>
      </c>
      <c r="B437" s="628" t="s">
        <v>1517</v>
      </c>
      <c r="C437" s="629" t="s">
        <v>1518</v>
      </c>
      <c r="D437" s="629" t="s">
        <v>2654</v>
      </c>
      <c r="E437" s="629" t="s">
        <v>2707</v>
      </c>
      <c r="F437" s="630">
        <v>100</v>
      </c>
      <c r="G437" s="630">
        <v>106.06610000000001</v>
      </c>
      <c r="H437" s="630">
        <v>6.09</v>
      </c>
      <c r="I437" s="627">
        <v>2492</v>
      </c>
      <c r="J437" s="629" t="s">
        <v>2656</v>
      </c>
    </row>
    <row r="438" spans="1:10">
      <c r="A438" s="627">
        <v>258</v>
      </c>
      <c r="B438" s="628" t="s">
        <v>1519</v>
      </c>
      <c r="C438" s="629" t="s">
        <v>1520</v>
      </c>
      <c r="D438" s="629" t="s">
        <v>2654</v>
      </c>
      <c r="E438" s="629" t="s">
        <v>2707</v>
      </c>
      <c r="F438" s="630">
        <v>100</v>
      </c>
      <c r="G438" s="630">
        <v>104.9308</v>
      </c>
      <c r="H438" s="630">
        <v>6.08</v>
      </c>
      <c r="I438" s="627">
        <v>2559</v>
      </c>
      <c r="J438" s="629" t="s">
        <v>2656</v>
      </c>
    </row>
    <row r="439" spans="1:10">
      <c r="A439" s="627">
        <v>259</v>
      </c>
      <c r="B439" s="628" t="s">
        <v>550</v>
      </c>
      <c r="C439" s="629" t="s">
        <v>551</v>
      </c>
      <c r="D439" s="629" t="s">
        <v>2654</v>
      </c>
      <c r="E439" s="629" t="s">
        <v>112</v>
      </c>
      <c r="F439" s="630">
        <v>100.04834436180684</v>
      </c>
      <c r="G439" s="630">
        <v>100.52504436180685</v>
      </c>
      <c r="H439" s="630">
        <v>5.59</v>
      </c>
      <c r="I439" s="627">
        <v>150</v>
      </c>
      <c r="J439" s="629" t="s">
        <v>2656</v>
      </c>
    </row>
    <row r="440" spans="1:10">
      <c r="A440" s="627">
        <v>260</v>
      </c>
      <c r="B440" s="628" t="s">
        <v>1047</v>
      </c>
      <c r="C440" s="629" t="s">
        <v>1521</v>
      </c>
      <c r="D440" s="629" t="s">
        <v>2654</v>
      </c>
      <c r="E440" s="629" t="s">
        <v>112</v>
      </c>
      <c r="F440" s="630">
        <v>98.820836239849143</v>
      </c>
      <c r="G440" s="630">
        <v>101.31403623984914</v>
      </c>
      <c r="H440" s="630">
        <v>16.84</v>
      </c>
      <c r="I440" s="627">
        <v>858</v>
      </c>
      <c r="J440" s="629" t="s">
        <v>2656</v>
      </c>
    </row>
    <row r="441" spans="1:10">
      <c r="A441" s="627">
        <v>261</v>
      </c>
      <c r="B441" s="628" t="s">
        <v>800</v>
      </c>
      <c r="C441" s="629" t="s">
        <v>740</v>
      </c>
      <c r="D441" s="629" t="s">
        <v>2654</v>
      </c>
      <c r="E441" s="629" t="s">
        <v>112</v>
      </c>
      <c r="F441" s="630">
        <v>95.509211352752374</v>
      </c>
      <c r="G441" s="630">
        <v>107.02701135275237</v>
      </c>
      <c r="H441" s="630">
        <v>16.89</v>
      </c>
      <c r="I441" s="627">
        <v>608</v>
      </c>
      <c r="J441" s="629" t="s">
        <v>2656</v>
      </c>
    </row>
    <row r="442" spans="1:10">
      <c r="A442" s="627">
        <v>262</v>
      </c>
      <c r="B442" s="628" t="s">
        <v>1522</v>
      </c>
      <c r="C442" s="629" t="s">
        <v>801</v>
      </c>
      <c r="D442" s="629" t="s">
        <v>2654</v>
      </c>
      <c r="E442" s="629" t="s">
        <v>112</v>
      </c>
      <c r="F442" s="630">
        <v>92.342011220193669</v>
      </c>
      <c r="G442" s="630">
        <v>99.848011220193669</v>
      </c>
      <c r="H442" s="630">
        <v>16.920000000000002</v>
      </c>
      <c r="I442" s="627">
        <v>684</v>
      </c>
      <c r="J442" s="629" t="s">
        <v>2656</v>
      </c>
    </row>
    <row r="443" spans="1:10">
      <c r="A443" s="627">
        <v>263</v>
      </c>
      <c r="B443" s="628" t="s">
        <v>916</v>
      </c>
      <c r="C443" s="629" t="s">
        <v>914</v>
      </c>
      <c r="D443" s="629" t="s">
        <v>2654</v>
      </c>
      <c r="E443" s="629" t="s">
        <v>112</v>
      </c>
      <c r="F443" s="630">
        <v>95.038429031394529</v>
      </c>
      <c r="G443" s="630">
        <v>96.90532903139453</v>
      </c>
      <c r="H443" s="630">
        <v>17.55</v>
      </c>
      <c r="I443" s="627">
        <v>673</v>
      </c>
      <c r="J443" s="629" t="s">
        <v>2656</v>
      </c>
    </row>
    <row r="444" spans="1:10">
      <c r="A444" s="627">
        <v>264</v>
      </c>
      <c r="B444" s="628" t="s">
        <v>1051</v>
      </c>
      <c r="C444" s="629" t="s">
        <v>1523</v>
      </c>
      <c r="D444" s="629" t="s">
        <v>2654</v>
      </c>
      <c r="E444" s="629" t="s">
        <v>112</v>
      </c>
      <c r="F444" s="630">
        <v>101.2403467602816</v>
      </c>
      <c r="G444" s="630">
        <v>102.34304676028161</v>
      </c>
      <c r="H444" s="630">
        <v>16.84</v>
      </c>
      <c r="I444" s="627">
        <v>889</v>
      </c>
      <c r="J444" s="629" t="s">
        <v>2656</v>
      </c>
    </row>
    <row r="445" spans="1:10">
      <c r="A445" s="627">
        <v>265</v>
      </c>
      <c r="B445" s="628" t="s">
        <v>3056</v>
      </c>
      <c r="C445" s="629" t="s">
        <v>3057</v>
      </c>
      <c r="D445" s="629" t="s">
        <v>2654</v>
      </c>
      <c r="E445" s="629" t="s">
        <v>112</v>
      </c>
      <c r="F445" s="630">
        <v>100.47552770761015</v>
      </c>
      <c r="G445" s="630">
        <v>100.57712770761016</v>
      </c>
      <c r="H445" s="630">
        <v>3.26</v>
      </c>
      <c r="I445" s="627">
        <v>1723</v>
      </c>
      <c r="J445" s="629" t="s">
        <v>2656</v>
      </c>
    </row>
    <row r="446" spans="1:10">
      <c r="A446" s="627">
        <v>266</v>
      </c>
      <c r="B446" s="628" t="s">
        <v>3107</v>
      </c>
      <c r="C446" s="629" t="s">
        <v>3108</v>
      </c>
      <c r="D446" s="629" t="s">
        <v>2654</v>
      </c>
      <c r="E446" s="629" t="s">
        <v>112</v>
      </c>
      <c r="F446" s="630">
        <v>99.42613494115939</v>
      </c>
      <c r="G446" s="630">
        <v>99.42613494115939</v>
      </c>
      <c r="H446" s="630">
        <v>3.05</v>
      </c>
      <c r="I446" s="627">
        <v>69</v>
      </c>
      <c r="J446" s="629" t="s">
        <v>2656</v>
      </c>
    </row>
    <row r="447" spans="1:10">
      <c r="A447" s="627">
        <v>267</v>
      </c>
      <c r="B447" s="628" t="s">
        <v>805</v>
      </c>
      <c r="C447" s="629" t="s">
        <v>806</v>
      </c>
      <c r="D447" s="629" t="s">
        <v>2654</v>
      </c>
      <c r="E447" s="629" t="s">
        <v>112</v>
      </c>
      <c r="F447" s="630">
        <v>106.39150797166255</v>
      </c>
      <c r="G447" s="630">
        <v>107.87900797166255</v>
      </c>
      <c r="H447" s="630">
        <v>4.78</v>
      </c>
      <c r="I447" s="627">
        <v>1715</v>
      </c>
      <c r="J447" s="629" t="s">
        <v>2656</v>
      </c>
    </row>
    <row r="448" spans="1:10">
      <c r="A448" s="627">
        <v>268</v>
      </c>
      <c r="B448" s="628" t="s">
        <v>1524</v>
      </c>
      <c r="C448" s="629" t="s">
        <v>1525</v>
      </c>
      <c r="D448" s="629" t="s">
        <v>2654</v>
      </c>
      <c r="E448" s="629" t="s">
        <v>112</v>
      </c>
      <c r="F448" s="630">
        <v>97.549912061751357</v>
      </c>
      <c r="G448" s="630">
        <v>98.144412061751368</v>
      </c>
      <c r="H448" s="630">
        <v>7.33</v>
      </c>
      <c r="I448" s="627">
        <v>148</v>
      </c>
      <c r="J448" s="629" t="s">
        <v>2656</v>
      </c>
    </row>
    <row r="449" spans="1:10">
      <c r="A449" s="627">
        <v>269</v>
      </c>
      <c r="B449" s="628" t="s">
        <v>1526</v>
      </c>
      <c r="C449" s="629" t="s">
        <v>125</v>
      </c>
      <c r="D449" s="629" t="s">
        <v>2654</v>
      </c>
      <c r="E449" s="629" t="s">
        <v>122</v>
      </c>
      <c r="F449" s="630">
        <v>95.361885014033803</v>
      </c>
      <c r="G449" s="630">
        <v>100.7260850140338</v>
      </c>
      <c r="H449" s="630">
        <v>15.95</v>
      </c>
      <c r="I449" s="627">
        <v>779</v>
      </c>
      <c r="J449" s="629" t="s">
        <v>2656</v>
      </c>
    </row>
    <row r="450" spans="1:10">
      <c r="A450" s="627">
        <v>270</v>
      </c>
      <c r="B450" s="628" t="s">
        <v>1527</v>
      </c>
      <c r="C450" s="629" t="s">
        <v>356</v>
      </c>
      <c r="D450" s="629" t="s">
        <v>2654</v>
      </c>
      <c r="E450" s="629" t="s">
        <v>122</v>
      </c>
      <c r="F450" s="630">
        <v>95.247834163740336</v>
      </c>
      <c r="G450" s="630">
        <v>97.855434163740341</v>
      </c>
      <c r="H450" s="630">
        <v>15.98</v>
      </c>
      <c r="I450" s="627">
        <v>1019</v>
      </c>
      <c r="J450" s="629" t="s">
        <v>2656</v>
      </c>
    </row>
    <row r="451" spans="1:10">
      <c r="A451" s="627">
        <v>271</v>
      </c>
      <c r="B451" s="628" t="s">
        <v>1528</v>
      </c>
      <c r="C451" s="629" t="s">
        <v>399</v>
      </c>
      <c r="D451" s="629" t="s">
        <v>2654</v>
      </c>
      <c r="E451" s="629" t="s">
        <v>122</v>
      </c>
      <c r="F451" s="630">
        <v>93.240429955623938</v>
      </c>
      <c r="G451" s="630">
        <v>99.270429955623939</v>
      </c>
      <c r="H451" s="630">
        <v>16.04</v>
      </c>
      <c r="I451" s="627">
        <v>1488</v>
      </c>
      <c r="J451" s="629" t="s">
        <v>2656</v>
      </c>
    </row>
    <row r="452" spans="1:10">
      <c r="A452" s="627">
        <v>272</v>
      </c>
      <c r="B452" s="628" t="s">
        <v>1529</v>
      </c>
      <c r="C452" s="629" t="s">
        <v>1530</v>
      </c>
      <c r="D452" s="629" t="s">
        <v>2651</v>
      </c>
      <c r="E452" s="629" t="s">
        <v>122</v>
      </c>
      <c r="F452" s="630">
        <v>1</v>
      </c>
      <c r="G452" s="630">
        <v>1</v>
      </c>
      <c r="H452" s="630">
        <v>0</v>
      </c>
      <c r="I452" s="627">
        <v>297</v>
      </c>
      <c r="J452" s="629" t="s">
        <v>2653</v>
      </c>
    </row>
    <row r="453" spans="1:10">
      <c r="A453" s="627">
        <v>273</v>
      </c>
      <c r="B453" s="628" t="s">
        <v>1531</v>
      </c>
      <c r="C453" s="629" t="s">
        <v>1532</v>
      </c>
      <c r="D453" s="629" t="s">
        <v>2651</v>
      </c>
      <c r="E453" s="629" t="s">
        <v>122</v>
      </c>
      <c r="F453" s="630">
        <v>0.8</v>
      </c>
      <c r="G453" s="630">
        <v>0.8</v>
      </c>
      <c r="H453" s="630">
        <v>0</v>
      </c>
      <c r="I453" s="627">
        <v>364</v>
      </c>
      <c r="J453" s="629" t="s">
        <v>2653</v>
      </c>
    </row>
    <row r="454" spans="1:10">
      <c r="A454" s="627">
        <v>274</v>
      </c>
      <c r="B454" s="628" t="s">
        <v>807</v>
      </c>
      <c r="C454" s="629" t="s">
        <v>808</v>
      </c>
      <c r="D454" s="629" t="s">
        <v>2654</v>
      </c>
      <c r="E454" s="629" t="s">
        <v>122</v>
      </c>
      <c r="F454" s="630">
        <v>99.216139017517904</v>
      </c>
      <c r="G454" s="630">
        <v>110.50603901751791</v>
      </c>
      <c r="H454" s="630">
        <v>17.649999999999999</v>
      </c>
      <c r="I454" s="627">
        <v>62</v>
      </c>
      <c r="J454" s="629" t="s">
        <v>2656</v>
      </c>
    </row>
    <row r="455" spans="1:10">
      <c r="A455" s="627">
        <v>275</v>
      </c>
      <c r="B455" s="628" t="s">
        <v>809</v>
      </c>
      <c r="C455" s="629" t="s">
        <v>810</v>
      </c>
      <c r="D455" s="629" t="s">
        <v>2654</v>
      </c>
      <c r="E455" s="629" t="s">
        <v>122</v>
      </c>
      <c r="F455" s="630">
        <v>100</v>
      </c>
      <c r="G455" s="630">
        <v>103.18600000000001</v>
      </c>
      <c r="H455" s="630">
        <v>15.92</v>
      </c>
      <c r="I455" s="627">
        <v>476</v>
      </c>
      <c r="J455" s="629" t="s">
        <v>2656</v>
      </c>
    </row>
    <row r="456" spans="1:10">
      <c r="A456" s="627">
        <v>276</v>
      </c>
      <c r="B456" s="628" t="s">
        <v>811</v>
      </c>
      <c r="C456" s="629" t="s">
        <v>812</v>
      </c>
      <c r="D456" s="629" t="s">
        <v>2654</v>
      </c>
      <c r="E456" s="629" t="s">
        <v>122</v>
      </c>
      <c r="F456" s="630">
        <v>100</v>
      </c>
      <c r="G456" s="630">
        <v>100.9541</v>
      </c>
      <c r="H456" s="630">
        <v>15.82</v>
      </c>
      <c r="I456" s="627">
        <v>1255</v>
      </c>
      <c r="J456" s="629" t="s">
        <v>2656</v>
      </c>
    </row>
    <row r="457" spans="1:10">
      <c r="A457" s="627">
        <v>277</v>
      </c>
      <c r="B457" s="628" t="s">
        <v>1533</v>
      </c>
      <c r="C457" s="629" t="s">
        <v>1534</v>
      </c>
      <c r="D457" s="629" t="s">
        <v>2654</v>
      </c>
      <c r="E457" s="629" t="s">
        <v>122</v>
      </c>
      <c r="F457" s="630">
        <v>101.911</v>
      </c>
      <c r="G457" s="630">
        <v>102.4093</v>
      </c>
      <c r="H457" s="630">
        <v>3.53</v>
      </c>
      <c r="I457" s="627">
        <v>859</v>
      </c>
      <c r="J457" s="629" t="s">
        <v>2656</v>
      </c>
    </row>
    <row r="458" spans="1:10">
      <c r="A458" s="627">
        <v>278</v>
      </c>
      <c r="B458" s="628" t="s">
        <v>765</v>
      </c>
      <c r="C458" s="629" t="s">
        <v>1535</v>
      </c>
      <c r="D458" s="629" t="s">
        <v>2654</v>
      </c>
      <c r="E458" s="629" t="s">
        <v>122</v>
      </c>
      <c r="F458" s="630">
        <v>101.74</v>
      </c>
      <c r="G458" s="630">
        <v>102.714</v>
      </c>
      <c r="H458" s="630">
        <v>3.55</v>
      </c>
      <c r="I458" s="627">
        <v>1175</v>
      </c>
      <c r="J458" s="629" t="s">
        <v>2656</v>
      </c>
    </row>
    <row r="459" spans="1:10">
      <c r="A459" s="627">
        <v>279</v>
      </c>
      <c r="B459" s="628" t="s">
        <v>1048</v>
      </c>
      <c r="C459" s="629" t="s">
        <v>1536</v>
      </c>
      <c r="D459" s="629" t="s">
        <v>2654</v>
      </c>
      <c r="E459" s="629" t="s">
        <v>122</v>
      </c>
      <c r="F459" s="630">
        <v>100</v>
      </c>
      <c r="G459" s="630">
        <v>102.4846</v>
      </c>
      <c r="H459" s="630">
        <v>15.9</v>
      </c>
      <c r="I459" s="627">
        <v>492</v>
      </c>
      <c r="J459" s="629" t="s">
        <v>2656</v>
      </c>
    </row>
    <row r="460" spans="1:10">
      <c r="A460" s="627">
        <v>280</v>
      </c>
      <c r="B460" s="628" t="s">
        <v>2543</v>
      </c>
      <c r="C460" s="629" t="s">
        <v>2544</v>
      </c>
      <c r="D460" s="629" t="s">
        <v>2654</v>
      </c>
      <c r="E460" s="629" t="s">
        <v>122</v>
      </c>
      <c r="F460" s="630">
        <v>100</v>
      </c>
      <c r="G460" s="630">
        <v>107.39109999999999</v>
      </c>
      <c r="H460" s="630">
        <v>16.329999999999998</v>
      </c>
      <c r="I460" s="627">
        <v>931</v>
      </c>
      <c r="J460" s="629" t="s">
        <v>2656</v>
      </c>
    </row>
    <row r="461" spans="1:10">
      <c r="A461" s="627">
        <v>281</v>
      </c>
      <c r="B461" s="628" t="s">
        <v>1537</v>
      </c>
      <c r="C461" s="629" t="s">
        <v>128</v>
      </c>
      <c r="D461" s="629" t="s">
        <v>2654</v>
      </c>
      <c r="E461" s="629" t="s">
        <v>122</v>
      </c>
      <c r="F461" s="630">
        <v>99.293608408342777</v>
      </c>
      <c r="G461" s="630">
        <v>101.37550840834278</v>
      </c>
      <c r="H461" s="630">
        <v>16.05</v>
      </c>
      <c r="I461" s="627">
        <v>128</v>
      </c>
      <c r="J461" s="629" t="s">
        <v>2656</v>
      </c>
    </row>
    <row r="462" spans="1:10">
      <c r="A462" s="627">
        <v>282</v>
      </c>
      <c r="B462" s="628" t="s">
        <v>1538</v>
      </c>
      <c r="C462" s="629" t="s">
        <v>126</v>
      </c>
      <c r="D462" s="629" t="s">
        <v>2654</v>
      </c>
      <c r="E462" s="629" t="s">
        <v>122</v>
      </c>
      <c r="F462" s="630">
        <v>98.204768075447205</v>
      </c>
      <c r="G462" s="630">
        <v>103.22916807544721</v>
      </c>
      <c r="H462" s="630">
        <v>16.16</v>
      </c>
      <c r="I462" s="627">
        <v>241</v>
      </c>
      <c r="J462" s="629" t="s">
        <v>2656</v>
      </c>
    </row>
    <row r="463" spans="1:10">
      <c r="A463" s="627">
        <v>283</v>
      </c>
      <c r="B463" s="628" t="s">
        <v>1539</v>
      </c>
      <c r="C463" s="629" t="s">
        <v>123</v>
      </c>
      <c r="D463" s="629" t="s">
        <v>2654</v>
      </c>
      <c r="E463" s="629" t="s">
        <v>122</v>
      </c>
      <c r="F463" s="630">
        <v>95.620001962656488</v>
      </c>
      <c r="G463" s="630">
        <v>99.533501962656487</v>
      </c>
      <c r="H463" s="630">
        <v>15.93</v>
      </c>
      <c r="I463" s="627">
        <v>628</v>
      </c>
      <c r="J463" s="629" t="s">
        <v>2656</v>
      </c>
    </row>
    <row r="464" spans="1:10">
      <c r="A464" s="627">
        <v>284</v>
      </c>
      <c r="B464" s="628" t="s">
        <v>1540</v>
      </c>
      <c r="C464" s="629" t="s">
        <v>124</v>
      </c>
      <c r="D464" s="629" t="s">
        <v>2654</v>
      </c>
      <c r="E464" s="629" t="s">
        <v>122</v>
      </c>
      <c r="F464" s="630">
        <v>97.470886688556476</v>
      </c>
      <c r="G464" s="630">
        <v>102.83508668855647</v>
      </c>
      <c r="H464" s="630">
        <v>15.93</v>
      </c>
      <c r="I464" s="627">
        <v>419</v>
      </c>
      <c r="J464" s="629" t="s">
        <v>2656</v>
      </c>
    </row>
    <row r="465" spans="1:10">
      <c r="A465" s="627">
        <v>285</v>
      </c>
      <c r="B465" s="628" t="s">
        <v>1541</v>
      </c>
      <c r="C465" s="629" t="s">
        <v>1542</v>
      </c>
      <c r="D465" s="629" t="s">
        <v>2654</v>
      </c>
      <c r="E465" s="629" t="s">
        <v>2708</v>
      </c>
      <c r="F465" s="630">
        <v>99.509</v>
      </c>
      <c r="G465" s="630">
        <v>100.9083</v>
      </c>
      <c r="H465" s="630">
        <v>3.5</v>
      </c>
      <c r="I465" s="627">
        <v>745</v>
      </c>
      <c r="J465" s="629" t="s">
        <v>2656</v>
      </c>
    </row>
    <row r="466" spans="1:10">
      <c r="A466" s="627">
        <v>286</v>
      </c>
      <c r="B466" s="628" t="s">
        <v>1543</v>
      </c>
      <c r="C466" s="629" t="s">
        <v>1544</v>
      </c>
      <c r="D466" s="629" t="s">
        <v>2654</v>
      </c>
      <c r="E466" s="629" t="s">
        <v>2708</v>
      </c>
      <c r="F466" s="630">
        <v>99.96</v>
      </c>
      <c r="G466" s="630">
        <v>100.9166</v>
      </c>
      <c r="H466" s="630">
        <v>3.63</v>
      </c>
      <c r="I466" s="627">
        <v>1705</v>
      </c>
      <c r="J466" s="629" t="s">
        <v>2656</v>
      </c>
    </row>
    <row r="467" spans="1:10">
      <c r="A467" s="627">
        <v>287</v>
      </c>
      <c r="B467" s="628" t="s">
        <v>1545</v>
      </c>
      <c r="C467" s="629" t="s">
        <v>1546</v>
      </c>
      <c r="D467" s="629" t="s">
        <v>2651</v>
      </c>
      <c r="E467" s="629" t="s">
        <v>2709</v>
      </c>
      <c r="F467" s="630">
        <v>40000</v>
      </c>
      <c r="G467" s="630">
        <v>40000</v>
      </c>
      <c r="H467" s="630">
        <v>0</v>
      </c>
      <c r="I467" s="627">
        <v>0</v>
      </c>
      <c r="J467" s="629" t="s">
        <v>2653</v>
      </c>
    </row>
    <row r="468" spans="1:10">
      <c r="A468" s="627">
        <v>288</v>
      </c>
      <c r="B468" s="628" t="s">
        <v>1547</v>
      </c>
      <c r="C468" s="629" t="s">
        <v>1548</v>
      </c>
      <c r="D468" s="629" t="s">
        <v>2654</v>
      </c>
      <c r="E468" s="629" t="s">
        <v>2710</v>
      </c>
      <c r="F468" s="630">
        <v>50.412936675248694</v>
      </c>
      <c r="G468" s="630">
        <v>50.435136675248692</v>
      </c>
      <c r="H468" s="630">
        <v>16.440000000000001</v>
      </c>
      <c r="I468" s="627">
        <v>2518</v>
      </c>
      <c r="J468" s="629" t="s">
        <v>2656</v>
      </c>
    </row>
    <row r="469" spans="1:10">
      <c r="A469" s="627">
        <v>289</v>
      </c>
      <c r="B469" s="628" t="s">
        <v>1549</v>
      </c>
      <c r="C469" s="629" t="s">
        <v>1550</v>
      </c>
      <c r="D469" s="629" t="s">
        <v>2654</v>
      </c>
      <c r="E469" s="629" t="s">
        <v>2710</v>
      </c>
      <c r="F469" s="630">
        <v>95.369567705290095</v>
      </c>
      <c r="G469" s="630">
        <v>97.346667705290088</v>
      </c>
      <c r="H469" s="630">
        <v>17.18</v>
      </c>
      <c r="I469" s="627">
        <v>295</v>
      </c>
      <c r="J469" s="629" t="s">
        <v>2656</v>
      </c>
    </row>
    <row r="470" spans="1:10">
      <c r="A470" s="627">
        <v>290</v>
      </c>
      <c r="B470" s="628" t="s">
        <v>1551</v>
      </c>
      <c r="C470" s="629" t="s">
        <v>1552</v>
      </c>
      <c r="D470" s="629" t="s">
        <v>2654</v>
      </c>
      <c r="E470" s="629" t="s">
        <v>2711</v>
      </c>
      <c r="F470" s="630">
        <v>88.253518943011784</v>
      </c>
      <c r="G470" s="630">
        <v>91.753518943011784</v>
      </c>
      <c r="H470" s="630">
        <v>18.55</v>
      </c>
      <c r="I470" s="627">
        <v>594</v>
      </c>
      <c r="J470" s="629" t="s">
        <v>2656</v>
      </c>
    </row>
    <row r="471" spans="1:10">
      <c r="A471" s="627">
        <v>291</v>
      </c>
      <c r="B471" s="628" t="s">
        <v>1553</v>
      </c>
      <c r="C471" s="629" t="s">
        <v>1554</v>
      </c>
      <c r="D471" s="629" t="s">
        <v>2697</v>
      </c>
      <c r="E471" s="629" t="s">
        <v>1555</v>
      </c>
      <c r="F471" s="630">
        <v>24344.395200000006</v>
      </c>
      <c r="G471" s="630">
        <v>24344.395200000006</v>
      </c>
      <c r="H471" s="630">
        <v>0</v>
      </c>
      <c r="I471" s="627">
        <v>0</v>
      </c>
      <c r="J471" s="629" t="s">
        <v>2653</v>
      </c>
    </row>
    <row r="472" spans="1:10">
      <c r="A472" s="627">
        <v>292</v>
      </c>
      <c r="B472" s="628" t="s">
        <v>1556</v>
      </c>
      <c r="C472" s="629" t="s">
        <v>1557</v>
      </c>
      <c r="D472" s="629" t="s">
        <v>2651</v>
      </c>
      <c r="E472" s="629" t="s">
        <v>2712</v>
      </c>
      <c r="F472" s="630">
        <v>1000</v>
      </c>
      <c r="G472" s="630">
        <v>1000</v>
      </c>
      <c r="H472" s="630">
        <v>0</v>
      </c>
      <c r="I472" s="627">
        <v>0</v>
      </c>
      <c r="J472" s="629" t="s">
        <v>2653</v>
      </c>
    </row>
    <row r="473" spans="1:10">
      <c r="A473" s="627">
        <v>293</v>
      </c>
      <c r="B473" s="628" t="s">
        <v>1558</v>
      </c>
      <c r="C473" s="629" t="s">
        <v>1559</v>
      </c>
      <c r="D473" s="629" t="s">
        <v>2651</v>
      </c>
      <c r="E473" s="629" t="s">
        <v>2712</v>
      </c>
      <c r="F473" s="630">
        <v>1000</v>
      </c>
      <c r="G473" s="630">
        <v>1000</v>
      </c>
      <c r="H473" s="630">
        <v>0</v>
      </c>
      <c r="I473" s="627">
        <v>0</v>
      </c>
      <c r="J473" s="629" t="s">
        <v>2653</v>
      </c>
    </row>
    <row r="474" spans="1:10">
      <c r="A474" s="627">
        <v>294</v>
      </c>
      <c r="B474" s="628" t="s">
        <v>1560</v>
      </c>
      <c r="C474" s="629" t="s">
        <v>1561</v>
      </c>
      <c r="D474" s="629" t="s">
        <v>2651</v>
      </c>
      <c r="E474" s="629" t="s">
        <v>2713</v>
      </c>
      <c r="F474" s="630">
        <v>0.01</v>
      </c>
      <c r="G474" s="630">
        <v>0.01</v>
      </c>
      <c r="H474" s="630">
        <v>0</v>
      </c>
      <c r="I474" s="627">
        <v>0</v>
      </c>
      <c r="J474" s="629" t="s">
        <v>2653</v>
      </c>
    </row>
    <row r="475" spans="1:10">
      <c r="A475" s="627">
        <v>295</v>
      </c>
      <c r="B475" s="628" t="s">
        <v>1562</v>
      </c>
      <c r="C475" s="629" t="s">
        <v>1563</v>
      </c>
      <c r="D475" s="629" t="s">
        <v>2654</v>
      </c>
      <c r="E475" s="629" t="s">
        <v>2661</v>
      </c>
      <c r="F475" s="630">
        <v>96.700811955748932</v>
      </c>
      <c r="G475" s="630">
        <v>99.777711955748941</v>
      </c>
      <c r="H475" s="630">
        <v>17.739999999999998</v>
      </c>
      <c r="I475" s="627">
        <v>160</v>
      </c>
      <c r="J475" s="629" t="s">
        <v>2656</v>
      </c>
    </row>
    <row r="476" spans="1:10">
      <c r="A476" s="627">
        <v>296</v>
      </c>
      <c r="B476" s="628" t="s">
        <v>1564</v>
      </c>
      <c r="C476" s="629" t="s">
        <v>1565</v>
      </c>
      <c r="D476" s="629" t="s">
        <v>2654</v>
      </c>
      <c r="E476" s="629" t="s">
        <v>2661</v>
      </c>
      <c r="F476" s="630">
        <v>96.259027138322864</v>
      </c>
      <c r="G476" s="630">
        <v>101.26602713832287</v>
      </c>
      <c r="H476" s="630">
        <v>18.190000000000001</v>
      </c>
      <c r="I476" s="627">
        <v>181</v>
      </c>
      <c r="J476" s="629" t="s">
        <v>2656</v>
      </c>
    </row>
    <row r="477" spans="1:10">
      <c r="A477" s="627">
        <v>297</v>
      </c>
      <c r="B477" s="628" t="s">
        <v>1566</v>
      </c>
      <c r="C477" s="629" t="s">
        <v>1567</v>
      </c>
      <c r="D477" s="629" t="s">
        <v>2651</v>
      </c>
      <c r="E477" s="629" t="s">
        <v>2714</v>
      </c>
      <c r="F477" s="630">
        <v>1054.2494300000001</v>
      </c>
      <c r="G477" s="630">
        <v>1054.2494300000001</v>
      </c>
      <c r="H477" s="630">
        <v>0</v>
      </c>
      <c r="I477" s="627">
        <v>2014</v>
      </c>
      <c r="J477" s="629" t="s">
        <v>2653</v>
      </c>
    </row>
    <row r="478" spans="1:10">
      <c r="A478" s="627">
        <v>298</v>
      </c>
      <c r="B478" s="628" t="s">
        <v>1568</v>
      </c>
      <c r="C478" s="629" t="s">
        <v>1569</v>
      </c>
      <c r="D478" s="629" t="s">
        <v>2654</v>
      </c>
      <c r="E478" s="629" t="s">
        <v>2714</v>
      </c>
      <c r="F478" s="630">
        <v>72.332589624298322</v>
      </c>
      <c r="G478" s="630">
        <v>74.96038962429833</v>
      </c>
      <c r="H478" s="630">
        <v>18.28</v>
      </c>
      <c r="I478" s="627">
        <v>2434</v>
      </c>
      <c r="J478" s="629" t="s">
        <v>2656</v>
      </c>
    </row>
    <row r="479" spans="1:10">
      <c r="A479" s="627">
        <v>299</v>
      </c>
      <c r="B479" s="628" t="s">
        <v>1570</v>
      </c>
      <c r="C479" s="629" t="s">
        <v>1571</v>
      </c>
      <c r="D479" s="629" t="s">
        <v>2654</v>
      </c>
      <c r="E479" s="629" t="s">
        <v>2714</v>
      </c>
      <c r="F479" s="630">
        <v>97.459281527428189</v>
      </c>
      <c r="G479" s="630">
        <v>99.209281527428189</v>
      </c>
      <c r="H479" s="630">
        <v>18.54</v>
      </c>
      <c r="I479" s="627">
        <v>120</v>
      </c>
      <c r="J479" s="629" t="s">
        <v>2656</v>
      </c>
    </row>
    <row r="480" spans="1:10">
      <c r="A480" s="627">
        <v>300</v>
      </c>
      <c r="B480" s="628" t="s">
        <v>1572</v>
      </c>
      <c r="C480" s="629" t="s">
        <v>1573</v>
      </c>
      <c r="D480" s="629" t="s">
        <v>2651</v>
      </c>
      <c r="E480" s="629" t="s">
        <v>1574</v>
      </c>
      <c r="F480" s="630">
        <v>22198.732800000005</v>
      </c>
      <c r="G480" s="630">
        <v>22198.732800000005</v>
      </c>
      <c r="H480" s="630">
        <v>0</v>
      </c>
      <c r="I480" s="627">
        <v>0</v>
      </c>
      <c r="J480" s="629" t="s">
        <v>2653</v>
      </c>
    </row>
    <row r="481" spans="1:10">
      <c r="A481" s="627">
        <v>301</v>
      </c>
      <c r="B481" s="628" t="s">
        <v>1575</v>
      </c>
      <c r="C481" s="629" t="s">
        <v>1576</v>
      </c>
      <c r="D481" s="629" t="s">
        <v>2651</v>
      </c>
      <c r="E481" s="629" t="s">
        <v>554</v>
      </c>
      <c r="F481" s="630">
        <v>5830</v>
      </c>
      <c r="G481" s="630">
        <v>5830</v>
      </c>
      <c r="H481" s="630">
        <v>0</v>
      </c>
      <c r="I481" s="627">
        <v>0</v>
      </c>
      <c r="J481" s="629" t="s">
        <v>2653</v>
      </c>
    </row>
    <row r="482" spans="1:10">
      <c r="A482" s="627">
        <v>302</v>
      </c>
      <c r="B482" s="628" t="s">
        <v>555</v>
      </c>
      <c r="C482" s="629" t="s">
        <v>556</v>
      </c>
      <c r="D482" s="629" t="s">
        <v>2694</v>
      </c>
      <c r="E482" s="629" t="s">
        <v>554</v>
      </c>
      <c r="F482" s="630">
        <v>84000.506048427837</v>
      </c>
      <c r="G482" s="630">
        <v>84000.506048427837</v>
      </c>
      <c r="H482" s="630">
        <v>0</v>
      </c>
      <c r="I482" s="627">
        <v>0</v>
      </c>
      <c r="J482" s="629" t="s">
        <v>2653</v>
      </c>
    </row>
    <row r="483" spans="1:10">
      <c r="A483" s="627">
        <v>303</v>
      </c>
      <c r="B483" s="628" t="s">
        <v>552</v>
      </c>
      <c r="C483" s="629" t="s">
        <v>553</v>
      </c>
      <c r="D483" s="629" t="s">
        <v>2694</v>
      </c>
      <c r="E483" s="629" t="s">
        <v>554</v>
      </c>
      <c r="F483" s="630">
        <v>5512.8553264792736</v>
      </c>
      <c r="G483" s="630">
        <v>5512.8553264792736</v>
      </c>
      <c r="H483" s="630">
        <v>0</v>
      </c>
      <c r="I483" s="627">
        <v>0</v>
      </c>
      <c r="J483" s="629" t="s">
        <v>2653</v>
      </c>
    </row>
    <row r="484" spans="1:10">
      <c r="A484" s="627">
        <v>304</v>
      </c>
      <c r="B484" s="628" t="s">
        <v>1577</v>
      </c>
      <c r="C484" s="629" t="s">
        <v>1578</v>
      </c>
      <c r="D484" s="629" t="s">
        <v>2694</v>
      </c>
      <c r="E484" s="629" t="s">
        <v>2936</v>
      </c>
      <c r="F484" s="630">
        <v>566842.06080000009</v>
      </c>
      <c r="G484" s="630">
        <v>566842.06080000009</v>
      </c>
      <c r="H484" s="630">
        <v>0</v>
      </c>
      <c r="I484" s="627">
        <v>0</v>
      </c>
      <c r="J484" s="629" t="s">
        <v>2653</v>
      </c>
    </row>
    <row r="485" spans="1:10">
      <c r="A485" s="627">
        <v>305</v>
      </c>
      <c r="B485" s="628" t="s">
        <v>1579</v>
      </c>
      <c r="C485" s="629" t="s">
        <v>1580</v>
      </c>
      <c r="D485" s="629" t="s">
        <v>2694</v>
      </c>
      <c r="E485" s="629" t="s">
        <v>2936</v>
      </c>
      <c r="F485" s="630">
        <v>12010.075000000001</v>
      </c>
      <c r="G485" s="630">
        <v>12010.075000000001</v>
      </c>
      <c r="H485" s="630">
        <v>0</v>
      </c>
      <c r="I485" s="627">
        <v>0</v>
      </c>
      <c r="J485" s="629" t="s">
        <v>2653</v>
      </c>
    </row>
    <row r="486" spans="1:10">
      <c r="A486" s="627">
        <v>306</v>
      </c>
      <c r="B486" s="628" t="s">
        <v>1581</v>
      </c>
      <c r="C486" s="629" t="s">
        <v>1582</v>
      </c>
      <c r="D486" s="629" t="s">
        <v>2694</v>
      </c>
      <c r="E486" s="629" t="s">
        <v>2936</v>
      </c>
      <c r="F486" s="630">
        <v>15073.115</v>
      </c>
      <c r="G486" s="630">
        <v>15073.115</v>
      </c>
      <c r="H486" s="630">
        <v>0</v>
      </c>
      <c r="I486" s="627">
        <v>0</v>
      </c>
      <c r="J486" s="629" t="s">
        <v>2653</v>
      </c>
    </row>
    <row r="487" spans="1:10">
      <c r="A487" s="627">
        <v>307</v>
      </c>
      <c r="B487" s="628" t="s">
        <v>1583</v>
      </c>
      <c r="C487" s="629" t="s">
        <v>1584</v>
      </c>
      <c r="D487" s="629" t="s">
        <v>2694</v>
      </c>
      <c r="E487" s="629" t="s">
        <v>2936</v>
      </c>
      <c r="F487" s="630">
        <v>632553.64400000009</v>
      </c>
      <c r="G487" s="630">
        <v>632553.64400000009</v>
      </c>
      <c r="H487" s="630">
        <v>0</v>
      </c>
      <c r="I487" s="627">
        <v>0</v>
      </c>
      <c r="J487" s="629" t="s">
        <v>2653</v>
      </c>
    </row>
    <row r="488" spans="1:10">
      <c r="A488" s="627">
        <v>308</v>
      </c>
      <c r="B488" s="628" t="s">
        <v>1585</v>
      </c>
      <c r="C488" s="629" t="s">
        <v>1586</v>
      </c>
      <c r="D488" s="629" t="s">
        <v>2651</v>
      </c>
      <c r="E488" s="629" t="s">
        <v>2715</v>
      </c>
      <c r="F488" s="630">
        <v>10691.67</v>
      </c>
      <c r="G488" s="630">
        <v>10691.67</v>
      </c>
      <c r="H488" s="630">
        <v>0</v>
      </c>
      <c r="I488" s="627">
        <v>0</v>
      </c>
      <c r="J488" s="629" t="s">
        <v>2653</v>
      </c>
    </row>
    <row r="489" spans="1:10">
      <c r="A489" s="627">
        <v>309</v>
      </c>
      <c r="B489" s="628" t="s">
        <v>1587</v>
      </c>
      <c r="C489" s="629" t="s">
        <v>1588</v>
      </c>
      <c r="D489" s="629" t="s">
        <v>2654</v>
      </c>
      <c r="E489" s="629" t="s">
        <v>2716</v>
      </c>
      <c r="F489" s="630">
        <v>100</v>
      </c>
      <c r="G489" s="630">
        <v>103.5458</v>
      </c>
      <c r="H489" s="630">
        <v>11.44</v>
      </c>
      <c r="I489" s="627">
        <v>969</v>
      </c>
      <c r="J489" s="629" t="s">
        <v>2656</v>
      </c>
    </row>
    <row r="490" spans="1:10">
      <c r="A490" s="627">
        <v>310</v>
      </c>
      <c r="B490" s="628" t="s">
        <v>1589</v>
      </c>
      <c r="C490" s="629" t="s">
        <v>1590</v>
      </c>
      <c r="D490" s="629" t="s">
        <v>2654</v>
      </c>
      <c r="E490" s="629" t="s">
        <v>2716</v>
      </c>
      <c r="F490" s="630">
        <v>100</v>
      </c>
      <c r="G490" s="630">
        <v>101.2778</v>
      </c>
      <c r="H490" s="630">
        <v>9.99</v>
      </c>
      <c r="I490" s="627">
        <v>3194</v>
      </c>
      <c r="J490" s="629" t="s">
        <v>2656</v>
      </c>
    </row>
    <row r="491" spans="1:10">
      <c r="A491" s="627">
        <v>311</v>
      </c>
      <c r="B491" s="628" t="s">
        <v>1591</v>
      </c>
      <c r="C491" s="629" t="s">
        <v>1592</v>
      </c>
      <c r="D491" s="629" t="s">
        <v>2654</v>
      </c>
      <c r="E491" s="629" t="s">
        <v>2717</v>
      </c>
      <c r="F491" s="630">
        <v>100.55762002154363</v>
      </c>
      <c r="G491" s="630">
        <v>103.12702002154363</v>
      </c>
      <c r="H491" s="630">
        <v>23.37</v>
      </c>
      <c r="I491" s="627">
        <v>143</v>
      </c>
      <c r="J491" s="629" t="s">
        <v>2656</v>
      </c>
    </row>
    <row r="492" spans="1:10">
      <c r="A492" s="627">
        <v>312</v>
      </c>
      <c r="B492" s="628" t="s">
        <v>1593</v>
      </c>
      <c r="C492" s="629" t="s">
        <v>1594</v>
      </c>
      <c r="D492" s="629" t="s">
        <v>2697</v>
      </c>
      <c r="E492" s="629" t="s">
        <v>1595</v>
      </c>
      <c r="F492" s="630">
        <v>17305.116800000003</v>
      </c>
      <c r="G492" s="630">
        <v>17305.116800000003</v>
      </c>
      <c r="H492" s="630">
        <v>0</v>
      </c>
      <c r="I492" s="627">
        <v>0</v>
      </c>
      <c r="J492" s="629" t="s">
        <v>2653</v>
      </c>
    </row>
    <row r="493" spans="1:10">
      <c r="A493" s="627">
        <v>313</v>
      </c>
      <c r="B493" s="628" t="s">
        <v>1596</v>
      </c>
      <c r="C493" s="629" t="s">
        <v>1597</v>
      </c>
      <c r="D493" s="629" t="s">
        <v>2654</v>
      </c>
      <c r="E493" s="629" t="s">
        <v>1063</v>
      </c>
      <c r="F493" s="630">
        <v>100.16840658465591</v>
      </c>
      <c r="G493" s="630">
        <v>106.00170658465591</v>
      </c>
      <c r="H493" s="630">
        <v>11.64</v>
      </c>
      <c r="I493" s="627">
        <v>185</v>
      </c>
      <c r="J493" s="629" t="s">
        <v>2656</v>
      </c>
    </row>
    <row r="494" spans="1:10">
      <c r="A494" s="627">
        <v>314</v>
      </c>
      <c r="B494" s="628" t="s">
        <v>1061</v>
      </c>
      <c r="C494" s="629" t="s">
        <v>1062</v>
      </c>
      <c r="D494" s="629" t="s">
        <v>2654</v>
      </c>
      <c r="E494" s="629" t="s">
        <v>1063</v>
      </c>
      <c r="F494" s="630">
        <v>100.18136749518855</v>
      </c>
      <c r="G494" s="630">
        <v>101.58696749518855</v>
      </c>
      <c r="H494" s="630">
        <v>10.74</v>
      </c>
      <c r="I494" s="627">
        <v>314</v>
      </c>
      <c r="J494" s="629" t="s">
        <v>2656</v>
      </c>
    </row>
    <row r="495" spans="1:10">
      <c r="A495" s="627">
        <v>315</v>
      </c>
      <c r="B495" s="628" t="s">
        <v>1598</v>
      </c>
      <c r="C495" s="629" t="s">
        <v>1599</v>
      </c>
      <c r="D495" s="629" t="s">
        <v>2654</v>
      </c>
      <c r="E495" s="629" t="s">
        <v>1063</v>
      </c>
      <c r="F495" s="630">
        <v>99.721424947836809</v>
      </c>
      <c r="G495" s="630">
        <v>100.6381249478368</v>
      </c>
      <c r="H495" s="630">
        <v>11.65</v>
      </c>
      <c r="I495" s="627">
        <v>150</v>
      </c>
      <c r="J495" s="629" t="s">
        <v>2656</v>
      </c>
    </row>
    <row r="496" spans="1:10">
      <c r="A496" s="627">
        <v>316</v>
      </c>
      <c r="B496" s="628" t="s">
        <v>1600</v>
      </c>
      <c r="C496" s="629" t="s">
        <v>1601</v>
      </c>
      <c r="D496" s="629" t="s">
        <v>2651</v>
      </c>
      <c r="E496" s="629" t="s">
        <v>1602</v>
      </c>
      <c r="F496" s="630">
        <v>89096.07680000001</v>
      </c>
      <c r="G496" s="630">
        <v>89096.07680000001</v>
      </c>
      <c r="H496" s="630">
        <v>0</v>
      </c>
      <c r="I496" s="627">
        <v>0</v>
      </c>
      <c r="J496" s="629" t="s">
        <v>2653</v>
      </c>
    </row>
    <row r="497" spans="1:10">
      <c r="A497" s="627">
        <v>317</v>
      </c>
      <c r="B497" s="628" t="s">
        <v>1603</v>
      </c>
      <c r="C497" s="629" t="s">
        <v>1604</v>
      </c>
      <c r="D497" s="629" t="s">
        <v>2654</v>
      </c>
      <c r="E497" s="629" t="s">
        <v>2718</v>
      </c>
      <c r="F497" s="630">
        <v>94.808063977840902</v>
      </c>
      <c r="G497" s="630">
        <v>95.96496397784091</v>
      </c>
      <c r="H497" s="630">
        <v>18.350000000000001</v>
      </c>
      <c r="I497" s="627">
        <v>325</v>
      </c>
      <c r="J497" s="629" t="s">
        <v>2656</v>
      </c>
    </row>
    <row r="498" spans="1:10">
      <c r="A498" s="627">
        <v>318</v>
      </c>
      <c r="B498" s="628" t="s">
        <v>1605</v>
      </c>
      <c r="C498" s="629" t="s">
        <v>1606</v>
      </c>
      <c r="D498" s="629" t="s">
        <v>2651</v>
      </c>
      <c r="E498" s="629" t="s">
        <v>1607</v>
      </c>
      <c r="F498" s="630">
        <v>44585.681600000011</v>
      </c>
      <c r="G498" s="630">
        <v>44585.681600000011</v>
      </c>
      <c r="H498" s="630">
        <v>0</v>
      </c>
      <c r="I498" s="627">
        <v>0</v>
      </c>
      <c r="J498" s="629" t="s">
        <v>2653</v>
      </c>
    </row>
    <row r="499" spans="1:10">
      <c r="A499" s="627">
        <v>319</v>
      </c>
      <c r="B499" s="628" t="s">
        <v>3210</v>
      </c>
      <c r="C499" s="629" t="s">
        <v>3211</v>
      </c>
      <c r="D499" s="629" t="s">
        <v>2697</v>
      </c>
      <c r="E499" s="629" t="s">
        <v>1647</v>
      </c>
      <c r="F499" s="630">
        <v>21435.113600000004</v>
      </c>
      <c r="G499" s="630">
        <v>21435.113600000004</v>
      </c>
      <c r="H499" s="630">
        <v>0</v>
      </c>
      <c r="I499" s="627">
        <v>0</v>
      </c>
      <c r="J499" s="629" t="s">
        <v>2653</v>
      </c>
    </row>
    <row r="500" spans="1:10">
      <c r="A500" s="627">
        <v>320</v>
      </c>
      <c r="B500" s="628" t="s">
        <v>1608</v>
      </c>
      <c r="C500" s="629" t="s">
        <v>1609</v>
      </c>
      <c r="D500" s="629" t="s">
        <v>2651</v>
      </c>
      <c r="E500" s="629" t="s">
        <v>1610</v>
      </c>
      <c r="F500" s="630">
        <v>6412.7880000000014</v>
      </c>
      <c r="G500" s="630">
        <v>6412.7880000000014</v>
      </c>
      <c r="H500" s="630">
        <v>0</v>
      </c>
      <c r="I500" s="627">
        <v>0</v>
      </c>
      <c r="J500" s="629" t="s">
        <v>2653</v>
      </c>
    </row>
    <row r="501" spans="1:10">
      <c r="A501" s="627">
        <v>321</v>
      </c>
      <c r="B501" s="628" t="s">
        <v>1611</v>
      </c>
      <c r="C501" s="629" t="s">
        <v>1612</v>
      </c>
      <c r="D501" s="629" t="s">
        <v>2651</v>
      </c>
      <c r="E501" s="629" t="s">
        <v>1613</v>
      </c>
      <c r="F501" s="630">
        <v>8399.2990000000009</v>
      </c>
      <c r="G501" s="630">
        <v>8399.2990000000009</v>
      </c>
      <c r="H501" s="630">
        <v>0</v>
      </c>
      <c r="I501" s="627">
        <v>0</v>
      </c>
      <c r="J501" s="629" t="s">
        <v>2653</v>
      </c>
    </row>
    <row r="502" spans="1:10">
      <c r="A502" s="627">
        <v>322</v>
      </c>
      <c r="B502" s="628" t="s">
        <v>1614</v>
      </c>
      <c r="C502" s="629" t="s">
        <v>1615</v>
      </c>
      <c r="D502" s="629" t="s">
        <v>2697</v>
      </c>
      <c r="E502" s="629" t="s">
        <v>1616</v>
      </c>
      <c r="F502" s="630">
        <v>42641.679200000006</v>
      </c>
      <c r="G502" s="630">
        <v>42641.679200000006</v>
      </c>
      <c r="H502" s="630">
        <v>0</v>
      </c>
      <c r="I502" s="627">
        <v>0</v>
      </c>
      <c r="J502" s="629" t="s">
        <v>2653</v>
      </c>
    </row>
    <row r="503" spans="1:10">
      <c r="A503" s="627">
        <v>323</v>
      </c>
      <c r="B503" s="628" t="s">
        <v>1617</v>
      </c>
      <c r="C503" s="629" t="s">
        <v>1618</v>
      </c>
      <c r="D503" s="629" t="s">
        <v>2697</v>
      </c>
      <c r="E503" s="629" t="s">
        <v>1619</v>
      </c>
      <c r="F503" s="630">
        <v>209680.69040000005</v>
      </c>
      <c r="G503" s="630">
        <v>209680.69040000005</v>
      </c>
      <c r="H503" s="630">
        <v>0</v>
      </c>
      <c r="I503" s="627">
        <v>0</v>
      </c>
      <c r="J503" s="629" t="s">
        <v>2653</v>
      </c>
    </row>
    <row r="504" spans="1:10">
      <c r="A504" s="627">
        <v>324</v>
      </c>
      <c r="B504" s="628" t="s">
        <v>1620</v>
      </c>
      <c r="C504" s="629" t="s">
        <v>1621</v>
      </c>
      <c r="D504" s="629" t="s">
        <v>2651</v>
      </c>
      <c r="E504" s="629" t="s">
        <v>1622</v>
      </c>
      <c r="F504" s="630">
        <v>135658.02640000003</v>
      </c>
      <c r="G504" s="630">
        <v>135658.02640000003</v>
      </c>
      <c r="H504" s="630">
        <v>0</v>
      </c>
      <c r="I504" s="627">
        <v>0</v>
      </c>
      <c r="J504" s="629" t="s">
        <v>2653</v>
      </c>
    </row>
    <row r="505" spans="1:10">
      <c r="A505" s="627">
        <v>325</v>
      </c>
      <c r="B505" s="628" t="s">
        <v>557</v>
      </c>
      <c r="C505" s="629" t="s">
        <v>558</v>
      </c>
      <c r="D505" s="629" t="s">
        <v>2654</v>
      </c>
      <c r="E505" s="629" t="s">
        <v>559</v>
      </c>
      <c r="F505" s="630">
        <v>98.158900000000003</v>
      </c>
      <c r="G505" s="630">
        <v>101.82559999999999</v>
      </c>
      <c r="H505" s="630">
        <v>19.02</v>
      </c>
      <c r="I505" s="627">
        <v>280</v>
      </c>
      <c r="J505" s="629" t="s">
        <v>2656</v>
      </c>
    </row>
    <row r="506" spans="1:10">
      <c r="A506" s="627">
        <v>326</v>
      </c>
      <c r="B506" s="628" t="s">
        <v>741</v>
      </c>
      <c r="C506" s="629" t="s">
        <v>742</v>
      </c>
      <c r="D506" s="629" t="s">
        <v>2654</v>
      </c>
      <c r="E506" s="629" t="s">
        <v>559</v>
      </c>
      <c r="F506" s="630">
        <v>94.657300000000006</v>
      </c>
      <c r="G506" s="630">
        <v>97.957300000000004</v>
      </c>
      <c r="H506" s="630">
        <v>19.010000000000002</v>
      </c>
      <c r="I506" s="627">
        <v>1008</v>
      </c>
      <c r="J506" s="629" t="s">
        <v>2656</v>
      </c>
    </row>
    <row r="507" spans="1:10">
      <c r="A507" s="627">
        <v>327</v>
      </c>
      <c r="B507" s="628" t="s">
        <v>1623</v>
      </c>
      <c r="C507" s="629" t="s">
        <v>1624</v>
      </c>
      <c r="D507" s="629" t="s">
        <v>2654</v>
      </c>
      <c r="E507" s="629" t="s">
        <v>559</v>
      </c>
      <c r="F507" s="630">
        <v>97.887100000000004</v>
      </c>
      <c r="G507" s="630">
        <v>100.5592</v>
      </c>
      <c r="H507" s="630">
        <v>19.260000000000002</v>
      </c>
      <c r="I507" s="627">
        <v>847</v>
      </c>
      <c r="J507" s="629" t="s">
        <v>2656</v>
      </c>
    </row>
    <row r="508" spans="1:10">
      <c r="A508" s="627">
        <v>328</v>
      </c>
      <c r="B508" s="628" t="s">
        <v>766</v>
      </c>
      <c r="C508" s="629" t="s">
        <v>767</v>
      </c>
      <c r="D508" s="629" t="s">
        <v>2654</v>
      </c>
      <c r="E508" s="629" t="s">
        <v>559</v>
      </c>
      <c r="F508" s="630">
        <v>97.475899999999996</v>
      </c>
      <c r="G508" s="630">
        <v>102.9863</v>
      </c>
      <c r="H508" s="630">
        <v>19.010000000000002</v>
      </c>
      <c r="I508" s="627">
        <v>605</v>
      </c>
      <c r="J508" s="629" t="s">
        <v>2656</v>
      </c>
    </row>
    <row r="509" spans="1:10">
      <c r="A509" s="627">
        <v>329</v>
      </c>
      <c r="B509" s="628" t="s">
        <v>790</v>
      </c>
      <c r="C509" s="629" t="s">
        <v>791</v>
      </c>
      <c r="D509" s="629" t="s">
        <v>2654</v>
      </c>
      <c r="E509" s="629" t="s">
        <v>559</v>
      </c>
      <c r="F509" s="630">
        <v>95.384600000000006</v>
      </c>
      <c r="G509" s="630">
        <v>100.41589999999999</v>
      </c>
      <c r="H509" s="630">
        <v>19</v>
      </c>
      <c r="I509" s="627">
        <v>1335</v>
      </c>
      <c r="J509" s="629" t="s">
        <v>2656</v>
      </c>
    </row>
    <row r="510" spans="1:10">
      <c r="A510" s="627">
        <v>330</v>
      </c>
      <c r="B510" s="628" t="s">
        <v>2901</v>
      </c>
      <c r="C510" s="629" t="s">
        <v>2902</v>
      </c>
      <c r="D510" s="629" t="s">
        <v>2654</v>
      </c>
      <c r="E510" s="629" t="s">
        <v>559</v>
      </c>
      <c r="F510" s="630">
        <v>99.109119349456478</v>
      </c>
      <c r="G510" s="630">
        <v>104.20241934945648</v>
      </c>
      <c r="H510" s="630">
        <v>19.36</v>
      </c>
      <c r="I510" s="627">
        <v>1704</v>
      </c>
      <c r="J510" s="629" t="s">
        <v>2656</v>
      </c>
    </row>
    <row r="511" spans="1:10">
      <c r="A511" s="627">
        <v>331</v>
      </c>
      <c r="B511" s="628" t="s">
        <v>2870</v>
      </c>
      <c r="C511" s="629" t="s">
        <v>2871</v>
      </c>
      <c r="D511" s="629" t="s">
        <v>2654</v>
      </c>
      <c r="E511" s="629" t="s">
        <v>559</v>
      </c>
      <c r="F511" s="630">
        <v>99.940639374124416</v>
      </c>
      <c r="G511" s="630">
        <v>105.60873937412443</v>
      </c>
      <c r="H511" s="630">
        <v>19.22</v>
      </c>
      <c r="I511" s="627">
        <v>614</v>
      </c>
      <c r="J511" s="629" t="s">
        <v>2656</v>
      </c>
    </row>
    <row r="512" spans="1:10">
      <c r="A512" s="627">
        <v>332</v>
      </c>
      <c r="B512" s="628" t="s">
        <v>560</v>
      </c>
      <c r="C512" s="629" t="s">
        <v>561</v>
      </c>
      <c r="D512" s="629" t="s">
        <v>2694</v>
      </c>
      <c r="E512" s="629" t="s">
        <v>1625</v>
      </c>
      <c r="F512" s="630">
        <v>53381.123704326827</v>
      </c>
      <c r="G512" s="630">
        <v>53381.123704326827</v>
      </c>
      <c r="H512" s="630">
        <v>0</v>
      </c>
      <c r="I512" s="627">
        <v>0</v>
      </c>
      <c r="J512" s="629" t="s">
        <v>2653</v>
      </c>
    </row>
    <row r="513" spans="1:10">
      <c r="A513" s="627">
        <v>333</v>
      </c>
      <c r="B513" s="628" t="s">
        <v>562</v>
      </c>
      <c r="C513" s="629" t="s">
        <v>563</v>
      </c>
      <c r="D513" s="629" t="s">
        <v>2694</v>
      </c>
      <c r="E513" s="629" t="s">
        <v>1625</v>
      </c>
      <c r="F513" s="630">
        <v>74603.415392549388</v>
      </c>
      <c r="G513" s="630">
        <v>74603.415392549388</v>
      </c>
      <c r="H513" s="630">
        <v>0</v>
      </c>
      <c r="I513" s="627">
        <v>0</v>
      </c>
      <c r="J513" s="629" t="s">
        <v>2653</v>
      </c>
    </row>
    <row r="514" spans="1:10">
      <c r="A514" s="627">
        <v>334</v>
      </c>
      <c r="B514" s="628" t="s">
        <v>564</v>
      </c>
      <c r="C514" s="629" t="s">
        <v>565</v>
      </c>
      <c r="D514" s="629" t="s">
        <v>2694</v>
      </c>
      <c r="E514" s="629" t="s">
        <v>1625</v>
      </c>
      <c r="F514" s="630">
        <v>73792.792866167263</v>
      </c>
      <c r="G514" s="630">
        <v>73792.792866167263</v>
      </c>
      <c r="H514" s="630">
        <v>0</v>
      </c>
      <c r="I514" s="627">
        <v>0</v>
      </c>
      <c r="J514" s="629" t="s">
        <v>2653</v>
      </c>
    </row>
    <row r="515" spans="1:10">
      <c r="A515" s="627">
        <v>335</v>
      </c>
      <c r="B515" s="628" t="s">
        <v>566</v>
      </c>
      <c r="C515" s="629" t="s">
        <v>567</v>
      </c>
      <c r="D515" s="629" t="s">
        <v>2694</v>
      </c>
      <c r="E515" s="629" t="s">
        <v>1625</v>
      </c>
      <c r="F515" s="630">
        <v>588877.15482974309</v>
      </c>
      <c r="G515" s="630">
        <v>588877.15482974309</v>
      </c>
      <c r="H515" s="630">
        <v>0</v>
      </c>
      <c r="I515" s="627">
        <v>0</v>
      </c>
      <c r="J515" s="629" t="s">
        <v>2653</v>
      </c>
    </row>
    <row r="516" spans="1:10">
      <c r="A516" s="627">
        <v>336</v>
      </c>
      <c r="B516" s="628" t="s">
        <v>1626</v>
      </c>
      <c r="C516" s="629" t="s">
        <v>1627</v>
      </c>
      <c r="D516" s="629" t="s">
        <v>2694</v>
      </c>
      <c r="E516" s="629" t="s">
        <v>1625</v>
      </c>
      <c r="F516" s="630">
        <v>4308.0324000000001</v>
      </c>
      <c r="G516" s="630">
        <v>4308.0324000000001</v>
      </c>
      <c r="H516" s="630">
        <v>0</v>
      </c>
      <c r="I516" s="627">
        <v>0</v>
      </c>
      <c r="J516" s="629" t="s">
        <v>2653</v>
      </c>
    </row>
    <row r="517" spans="1:10">
      <c r="A517" s="627">
        <v>337</v>
      </c>
      <c r="B517" s="628" t="s">
        <v>1628</v>
      </c>
      <c r="C517" s="629" t="s">
        <v>1629</v>
      </c>
      <c r="D517" s="629" t="s">
        <v>2651</v>
      </c>
      <c r="E517" s="629" t="s">
        <v>2719</v>
      </c>
      <c r="F517" s="630">
        <v>535.35352400000011</v>
      </c>
      <c r="G517" s="630">
        <v>535.35352400000011</v>
      </c>
      <c r="H517" s="630">
        <v>0</v>
      </c>
      <c r="I517" s="627">
        <v>488</v>
      </c>
      <c r="J517" s="629" t="s">
        <v>2653</v>
      </c>
    </row>
    <row r="518" spans="1:10">
      <c r="A518" s="627">
        <v>338</v>
      </c>
      <c r="B518" s="628" t="s">
        <v>568</v>
      </c>
      <c r="C518" s="629" t="s">
        <v>569</v>
      </c>
      <c r="D518" s="629" t="s">
        <v>2651</v>
      </c>
      <c r="E518" s="629" t="s">
        <v>570</v>
      </c>
      <c r="F518" s="630">
        <v>355.70665514884985</v>
      </c>
      <c r="G518" s="630">
        <v>355.70665514884985</v>
      </c>
      <c r="H518" s="630">
        <v>0</v>
      </c>
      <c r="I518" s="627">
        <v>0</v>
      </c>
      <c r="J518" s="629" t="s">
        <v>2653</v>
      </c>
    </row>
    <row r="519" spans="1:10">
      <c r="A519" s="627">
        <v>339</v>
      </c>
      <c r="B519" s="628" t="s">
        <v>1630</v>
      </c>
      <c r="C519" s="629" t="s">
        <v>1631</v>
      </c>
      <c r="D519" s="629" t="s">
        <v>2654</v>
      </c>
      <c r="E519" s="629" t="s">
        <v>570</v>
      </c>
      <c r="F519" s="630">
        <v>101.36688547639838</v>
      </c>
      <c r="G519" s="630">
        <v>105.76568547639837</v>
      </c>
      <c r="H519" s="630">
        <v>18.21</v>
      </c>
      <c r="I519" s="627">
        <v>2075</v>
      </c>
      <c r="J519" s="629" t="s">
        <v>2656</v>
      </c>
    </row>
    <row r="520" spans="1:10">
      <c r="A520" s="627">
        <v>340</v>
      </c>
      <c r="B520" s="628" t="s">
        <v>1033</v>
      </c>
      <c r="C520" s="629" t="s">
        <v>1034</v>
      </c>
      <c r="D520" s="629" t="s">
        <v>2654</v>
      </c>
      <c r="E520" s="629" t="s">
        <v>570</v>
      </c>
      <c r="F520" s="630">
        <v>100</v>
      </c>
      <c r="G520" s="630">
        <v>106.5996</v>
      </c>
      <c r="H520" s="630">
        <v>17.29</v>
      </c>
      <c r="I520" s="627">
        <v>774</v>
      </c>
      <c r="J520" s="629" t="s">
        <v>2656</v>
      </c>
    </row>
    <row r="521" spans="1:10">
      <c r="A521" s="627">
        <v>341</v>
      </c>
      <c r="B521" s="628" t="s">
        <v>571</v>
      </c>
      <c r="C521" s="629" t="s">
        <v>572</v>
      </c>
      <c r="D521" s="629" t="s">
        <v>2664</v>
      </c>
      <c r="E521" s="629" t="s">
        <v>570</v>
      </c>
      <c r="F521" s="630">
        <v>14479.188000000002</v>
      </c>
      <c r="G521" s="630">
        <v>14479.188000000002</v>
      </c>
      <c r="H521" s="630">
        <v>0</v>
      </c>
      <c r="I521" s="627">
        <v>0</v>
      </c>
      <c r="J521" s="629" t="s">
        <v>2653</v>
      </c>
    </row>
    <row r="522" spans="1:10">
      <c r="A522" s="627">
        <v>342</v>
      </c>
      <c r="B522" s="628" t="s">
        <v>1632</v>
      </c>
      <c r="C522" s="629" t="s">
        <v>1633</v>
      </c>
      <c r="D522" s="629" t="s">
        <v>2697</v>
      </c>
      <c r="E522" s="629" t="s">
        <v>1634</v>
      </c>
      <c r="F522" s="630">
        <v>43300.435200000007</v>
      </c>
      <c r="G522" s="630">
        <v>43300.435200000007</v>
      </c>
      <c r="H522" s="630">
        <v>0</v>
      </c>
      <c r="I522" s="627">
        <v>0</v>
      </c>
      <c r="J522" s="629" t="s">
        <v>2653</v>
      </c>
    </row>
    <row r="523" spans="1:10">
      <c r="A523" s="627">
        <v>343</v>
      </c>
      <c r="B523" s="628" t="s">
        <v>1635</v>
      </c>
      <c r="C523" s="629" t="s">
        <v>1636</v>
      </c>
      <c r="D523" s="629" t="s">
        <v>2651</v>
      </c>
      <c r="E523" s="629" t="s">
        <v>1637</v>
      </c>
      <c r="F523" s="630">
        <v>149110.09280000004</v>
      </c>
      <c r="G523" s="630">
        <v>149110.09280000004</v>
      </c>
      <c r="H523" s="630">
        <v>0</v>
      </c>
      <c r="I523" s="627">
        <v>0</v>
      </c>
      <c r="J523" s="629" t="s">
        <v>2653</v>
      </c>
    </row>
    <row r="524" spans="1:10">
      <c r="A524" s="627">
        <v>344</v>
      </c>
      <c r="B524" s="628" t="s">
        <v>573</v>
      </c>
      <c r="C524" s="629" t="s">
        <v>1638</v>
      </c>
      <c r="D524" s="629" t="s">
        <v>2654</v>
      </c>
      <c r="E524" s="629" t="s">
        <v>2720</v>
      </c>
      <c r="F524" s="630">
        <v>102.901</v>
      </c>
      <c r="G524" s="630">
        <v>103.91589999999999</v>
      </c>
      <c r="H524" s="630">
        <v>3.52</v>
      </c>
      <c r="I524" s="627">
        <v>1001</v>
      </c>
      <c r="J524" s="629" t="s">
        <v>2656</v>
      </c>
    </row>
    <row r="525" spans="1:10">
      <c r="A525" s="627">
        <v>345</v>
      </c>
      <c r="B525" s="628" t="s">
        <v>574</v>
      </c>
      <c r="C525" s="629" t="s">
        <v>575</v>
      </c>
      <c r="D525" s="629" t="s">
        <v>2654</v>
      </c>
      <c r="E525" s="629" t="s">
        <v>2720</v>
      </c>
      <c r="F525" s="630">
        <v>100.182</v>
      </c>
      <c r="G525" s="630">
        <v>100.474</v>
      </c>
      <c r="H525" s="630">
        <v>3.57</v>
      </c>
      <c r="I525" s="627">
        <v>1411</v>
      </c>
      <c r="J525" s="629" t="s">
        <v>2656</v>
      </c>
    </row>
    <row r="526" spans="1:10">
      <c r="A526" s="627">
        <v>346</v>
      </c>
      <c r="B526" s="628" t="s">
        <v>1639</v>
      </c>
      <c r="C526" s="629" t="s">
        <v>1640</v>
      </c>
      <c r="D526" s="629" t="s">
        <v>2654</v>
      </c>
      <c r="E526" s="629" t="s">
        <v>2720</v>
      </c>
      <c r="F526" s="630">
        <v>101.431</v>
      </c>
      <c r="G526" s="630">
        <v>102.5421</v>
      </c>
      <c r="H526" s="630">
        <v>3.7</v>
      </c>
      <c r="I526" s="627">
        <v>1880</v>
      </c>
      <c r="J526" s="629" t="s">
        <v>2656</v>
      </c>
    </row>
    <row r="527" spans="1:10">
      <c r="A527" s="627">
        <v>347</v>
      </c>
      <c r="B527" s="628" t="s">
        <v>1641</v>
      </c>
      <c r="C527" s="629" t="s">
        <v>1642</v>
      </c>
      <c r="D527" s="629" t="s">
        <v>2654</v>
      </c>
      <c r="E527" s="629" t="s">
        <v>2720</v>
      </c>
      <c r="F527" s="630">
        <v>103.87</v>
      </c>
      <c r="G527" s="630">
        <v>103.995</v>
      </c>
      <c r="H527" s="630">
        <v>3.71</v>
      </c>
      <c r="I527" s="627">
        <v>1970</v>
      </c>
      <c r="J527" s="629" t="s">
        <v>2656</v>
      </c>
    </row>
    <row r="528" spans="1:10">
      <c r="A528" s="627">
        <v>348</v>
      </c>
      <c r="B528" s="628" t="s">
        <v>1643</v>
      </c>
      <c r="C528" s="629" t="s">
        <v>1644</v>
      </c>
      <c r="D528" s="629" t="s">
        <v>2651</v>
      </c>
      <c r="E528" s="629" t="s">
        <v>2721</v>
      </c>
      <c r="F528" s="630">
        <v>1</v>
      </c>
      <c r="G528" s="630">
        <v>1</v>
      </c>
      <c r="H528" s="630">
        <v>0</v>
      </c>
      <c r="I528" s="627">
        <v>961</v>
      </c>
      <c r="J528" s="629" t="s">
        <v>2653</v>
      </c>
    </row>
    <row r="529" spans="1:10">
      <c r="A529" s="627">
        <v>349</v>
      </c>
      <c r="B529" s="628" t="s">
        <v>1645</v>
      </c>
      <c r="C529" s="629" t="s">
        <v>1646</v>
      </c>
      <c r="D529" s="629" t="s">
        <v>2697</v>
      </c>
      <c r="E529" s="629" t="s">
        <v>1647</v>
      </c>
      <c r="F529" s="630">
        <v>8924.1272000000008</v>
      </c>
      <c r="G529" s="630">
        <v>8924.1272000000008</v>
      </c>
      <c r="H529" s="630">
        <v>0</v>
      </c>
      <c r="I529" s="627">
        <v>0</v>
      </c>
      <c r="J529" s="629" t="s">
        <v>2653</v>
      </c>
    </row>
    <row r="530" spans="1:10">
      <c r="A530" s="627">
        <v>350</v>
      </c>
      <c r="B530" s="628" t="s">
        <v>2618</v>
      </c>
      <c r="C530" s="629" t="s">
        <v>2619</v>
      </c>
      <c r="D530" s="629" t="s">
        <v>2654</v>
      </c>
      <c r="E530" s="629" t="s">
        <v>2722</v>
      </c>
      <c r="F530" s="630">
        <v>100.08815047079747</v>
      </c>
      <c r="G530" s="630">
        <v>100.91315047079746</v>
      </c>
      <c r="H530" s="630">
        <v>12.64</v>
      </c>
      <c r="I530" s="627">
        <v>38</v>
      </c>
      <c r="J530" s="629" t="s">
        <v>2656</v>
      </c>
    </row>
    <row r="531" spans="1:10">
      <c r="A531" s="627">
        <v>351</v>
      </c>
      <c r="B531" s="628" t="s">
        <v>1648</v>
      </c>
      <c r="C531" s="629" t="s">
        <v>1649</v>
      </c>
      <c r="D531" s="629" t="s">
        <v>2654</v>
      </c>
      <c r="E531" s="629" t="s">
        <v>2723</v>
      </c>
      <c r="F531" s="630">
        <v>76.027595057798194</v>
      </c>
      <c r="G531" s="630">
        <v>81.239295057798188</v>
      </c>
      <c r="H531" s="630">
        <v>19.45</v>
      </c>
      <c r="I531" s="627">
        <v>1821</v>
      </c>
      <c r="J531" s="629" t="s">
        <v>2656</v>
      </c>
    </row>
    <row r="532" spans="1:10">
      <c r="A532" s="627">
        <v>352</v>
      </c>
      <c r="B532" s="628" t="s">
        <v>1650</v>
      </c>
      <c r="C532" s="629" t="s">
        <v>1651</v>
      </c>
      <c r="D532" s="629" t="s">
        <v>2654</v>
      </c>
      <c r="E532" s="629" t="s">
        <v>2723</v>
      </c>
      <c r="F532" s="630">
        <v>74.080958327509748</v>
      </c>
      <c r="G532" s="630">
        <v>75.071258327509753</v>
      </c>
      <c r="H532" s="630">
        <v>19.440000000000001</v>
      </c>
      <c r="I532" s="627">
        <v>1949</v>
      </c>
      <c r="J532" s="629" t="s">
        <v>2656</v>
      </c>
    </row>
    <row r="533" spans="1:10">
      <c r="A533" s="627">
        <v>353</v>
      </c>
      <c r="B533" s="628" t="s">
        <v>1652</v>
      </c>
      <c r="C533" s="629" t="s">
        <v>1653</v>
      </c>
      <c r="D533" s="629" t="s">
        <v>2654</v>
      </c>
      <c r="E533" s="629" t="s">
        <v>2723</v>
      </c>
      <c r="F533" s="630">
        <v>85.005318276276938</v>
      </c>
      <c r="G533" s="630">
        <v>90.447518276276938</v>
      </c>
      <c r="H533" s="630">
        <v>19.079999999999998</v>
      </c>
      <c r="I533" s="627">
        <v>1102</v>
      </c>
      <c r="J533" s="629" t="s">
        <v>2656</v>
      </c>
    </row>
    <row r="534" spans="1:10">
      <c r="A534" s="627">
        <v>354</v>
      </c>
      <c r="B534" s="628" t="s">
        <v>1654</v>
      </c>
      <c r="C534" s="629" t="s">
        <v>1655</v>
      </c>
      <c r="D534" s="629" t="s">
        <v>2654</v>
      </c>
      <c r="E534" s="629" t="s">
        <v>2723</v>
      </c>
      <c r="F534" s="630">
        <v>66.977332415857632</v>
      </c>
      <c r="G534" s="630">
        <v>76.620632415857628</v>
      </c>
      <c r="H534" s="630">
        <v>20.48</v>
      </c>
      <c r="I534" s="627">
        <v>4776</v>
      </c>
      <c r="J534" s="629" t="s">
        <v>2656</v>
      </c>
    </row>
    <row r="535" spans="1:10">
      <c r="A535" s="627">
        <v>355</v>
      </c>
      <c r="B535" s="628" t="s">
        <v>1656</v>
      </c>
      <c r="C535" s="629" t="s">
        <v>1657</v>
      </c>
      <c r="D535" s="629" t="s">
        <v>2651</v>
      </c>
      <c r="E535" s="629" t="s">
        <v>2723</v>
      </c>
      <c r="F535" s="630">
        <v>1037.19</v>
      </c>
      <c r="G535" s="630">
        <v>1037.19</v>
      </c>
      <c r="H535" s="630">
        <v>0</v>
      </c>
      <c r="I535" s="627">
        <v>2920</v>
      </c>
      <c r="J535" s="629" t="s">
        <v>2653</v>
      </c>
    </row>
    <row r="536" spans="1:10">
      <c r="A536" s="627">
        <v>356</v>
      </c>
      <c r="B536" s="628" t="s">
        <v>1658</v>
      </c>
      <c r="C536" s="629" t="s">
        <v>1659</v>
      </c>
      <c r="D536" s="629" t="s">
        <v>2697</v>
      </c>
      <c r="E536" s="629" t="s">
        <v>2724</v>
      </c>
      <c r="F536" s="630">
        <v>4335.6474898829701</v>
      </c>
      <c r="G536" s="630">
        <v>4335.6474898829701</v>
      </c>
      <c r="H536" s="630">
        <v>0</v>
      </c>
      <c r="I536" s="627">
        <v>0</v>
      </c>
      <c r="J536" s="629" t="s">
        <v>2653</v>
      </c>
    </row>
    <row r="537" spans="1:10">
      <c r="A537" s="627">
        <v>357</v>
      </c>
      <c r="B537" s="628" t="s">
        <v>1660</v>
      </c>
      <c r="C537" s="629" t="s">
        <v>131</v>
      </c>
      <c r="D537" s="629" t="s">
        <v>2651</v>
      </c>
      <c r="E537" s="629" t="s">
        <v>130</v>
      </c>
      <c r="F537" s="630">
        <v>75582.677239111115</v>
      </c>
      <c r="G537" s="630">
        <v>75582.677239111115</v>
      </c>
      <c r="H537" s="630">
        <v>0</v>
      </c>
      <c r="I537" s="627">
        <v>88</v>
      </c>
      <c r="J537" s="629" t="s">
        <v>2653</v>
      </c>
    </row>
    <row r="538" spans="1:10">
      <c r="A538" s="627">
        <v>358</v>
      </c>
      <c r="B538" s="628" t="s">
        <v>1661</v>
      </c>
      <c r="C538" s="629" t="s">
        <v>1662</v>
      </c>
      <c r="D538" s="629" t="s">
        <v>2651</v>
      </c>
      <c r="E538" s="629" t="s">
        <v>130</v>
      </c>
      <c r="F538" s="630">
        <v>1</v>
      </c>
      <c r="G538" s="630">
        <v>1</v>
      </c>
      <c r="H538" s="630">
        <v>0</v>
      </c>
      <c r="I538" s="627">
        <v>235</v>
      </c>
      <c r="J538" s="629" t="s">
        <v>2653</v>
      </c>
    </row>
    <row r="539" spans="1:10">
      <c r="A539" s="627">
        <v>359</v>
      </c>
      <c r="B539" s="628" t="s">
        <v>1663</v>
      </c>
      <c r="C539" s="629" t="s">
        <v>1664</v>
      </c>
      <c r="D539" s="629" t="s">
        <v>2651</v>
      </c>
      <c r="E539" s="629" t="s">
        <v>130</v>
      </c>
      <c r="F539" s="630">
        <v>1</v>
      </c>
      <c r="G539" s="630">
        <v>1</v>
      </c>
      <c r="H539" s="630">
        <v>0</v>
      </c>
      <c r="I539" s="627">
        <v>1057</v>
      </c>
      <c r="J539" s="629" t="s">
        <v>2653</v>
      </c>
    </row>
    <row r="540" spans="1:10">
      <c r="A540" s="627">
        <v>360</v>
      </c>
      <c r="B540" s="628" t="s">
        <v>1665</v>
      </c>
      <c r="C540" s="629" t="s">
        <v>1666</v>
      </c>
      <c r="D540" s="629" t="s">
        <v>2654</v>
      </c>
      <c r="E540" s="629" t="s">
        <v>130</v>
      </c>
      <c r="F540" s="630">
        <v>102.512</v>
      </c>
      <c r="G540" s="630">
        <v>103.72450000000001</v>
      </c>
      <c r="H540" s="630">
        <v>3.53</v>
      </c>
      <c r="I540" s="627">
        <v>983</v>
      </c>
      <c r="J540" s="629" t="s">
        <v>2656</v>
      </c>
    </row>
    <row r="541" spans="1:10">
      <c r="A541" s="627">
        <v>361</v>
      </c>
      <c r="B541" s="628" t="s">
        <v>576</v>
      </c>
      <c r="C541" s="629" t="s">
        <v>577</v>
      </c>
      <c r="D541" s="629" t="s">
        <v>2651</v>
      </c>
      <c r="E541" s="629" t="s">
        <v>578</v>
      </c>
      <c r="F541" s="630">
        <v>9490.25</v>
      </c>
      <c r="G541" s="630">
        <v>9490.25</v>
      </c>
      <c r="H541" s="630">
        <v>0</v>
      </c>
      <c r="I541" s="627">
        <v>0</v>
      </c>
      <c r="J541" s="629" t="s">
        <v>2653</v>
      </c>
    </row>
    <row r="542" spans="1:10">
      <c r="A542" s="627">
        <v>362</v>
      </c>
      <c r="B542" s="628" t="s">
        <v>1667</v>
      </c>
      <c r="C542" s="629" t="s">
        <v>1668</v>
      </c>
      <c r="D542" s="629" t="s">
        <v>2697</v>
      </c>
      <c r="E542" s="629" t="s">
        <v>1647</v>
      </c>
      <c r="F542" s="630">
        <v>27960.831200000004</v>
      </c>
      <c r="G542" s="630">
        <v>27960.831200000004</v>
      </c>
      <c r="H542" s="630">
        <v>0</v>
      </c>
      <c r="I542" s="627">
        <v>0</v>
      </c>
      <c r="J542" s="629" t="s">
        <v>2653</v>
      </c>
    </row>
    <row r="543" spans="1:10">
      <c r="A543" s="627">
        <v>363</v>
      </c>
      <c r="B543" s="628" t="s">
        <v>1669</v>
      </c>
      <c r="C543" s="629" t="s">
        <v>1670</v>
      </c>
      <c r="D543" s="629" t="s">
        <v>2654</v>
      </c>
      <c r="E543" s="629" t="s">
        <v>2725</v>
      </c>
      <c r="F543" s="630">
        <v>92.331698788645937</v>
      </c>
      <c r="G543" s="630">
        <v>92.477498788645931</v>
      </c>
      <c r="H543" s="630">
        <v>19.559999999999999</v>
      </c>
      <c r="I543" s="627">
        <v>2517</v>
      </c>
      <c r="J543" s="629" t="s">
        <v>2656</v>
      </c>
    </row>
    <row r="544" spans="1:10">
      <c r="A544" s="627">
        <v>364</v>
      </c>
      <c r="B544" s="628" t="s">
        <v>1671</v>
      </c>
      <c r="C544" s="629" t="s">
        <v>1672</v>
      </c>
      <c r="D544" s="629" t="s">
        <v>2654</v>
      </c>
      <c r="E544" s="629" t="s">
        <v>2725</v>
      </c>
      <c r="F544" s="630">
        <v>92.140733343004271</v>
      </c>
      <c r="G544" s="630">
        <v>98.217133343004264</v>
      </c>
      <c r="H544" s="630">
        <v>19.559999999999999</v>
      </c>
      <c r="I544" s="627">
        <v>2575</v>
      </c>
      <c r="J544" s="629" t="s">
        <v>2656</v>
      </c>
    </row>
    <row r="545" spans="1:10">
      <c r="A545" s="627">
        <v>365</v>
      </c>
      <c r="B545" s="628" t="s">
        <v>1673</v>
      </c>
      <c r="C545" s="629" t="s">
        <v>1674</v>
      </c>
      <c r="D545" s="629" t="s">
        <v>2654</v>
      </c>
      <c r="E545" s="629" t="s">
        <v>2725</v>
      </c>
      <c r="F545" s="630">
        <v>38.464653052424765</v>
      </c>
      <c r="G545" s="630">
        <v>39.697953052424765</v>
      </c>
      <c r="H545" s="630">
        <v>20.58</v>
      </c>
      <c r="I545" s="627">
        <v>2769</v>
      </c>
      <c r="J545" s="629" t="s">
        <v>2656</v>
      </c>
    </row>
    <row r="546" spans="1:10">
      <c r="A546" s="627">
        <v>366</v>
      </c>
      <c r="B546" s="628" t="s">
        <v>1675</v>
      </c>
      <c r="C546" s="629" t="s">
        <v>1676</v>
      </c>
      <c r="D546" s="629" t="s">
        <v>2654</v>
      </c>
      <c r="E546" s="629" t="s">
        <v>2725</v>
      </c>
      <c r="F546" s="630">
        <v>37.931958615294029</v>
      </c>
      <c r="G546" s="630">
        <v>38.53195861529403</v>
      </c>
      <c r="H546" s="630">
        <v>20.58</v>
      </c>
      <c r="I546" s="627">
        <v>2826</v>
      </c>
      <c r="J546" s="629" t="s">
        <v>2656</v>
      </c>
    </row>
    <row r="547" spans="1:10">
      <c r="A547" s="627">
        <v>367</v>
      </c>
      <c r="B547" s="628" t="s">
        <v>1677</v>
      </c>
      <c r="C547" s="629" t="s">
        <v>1678</v>
      </c>
      <c r="D547" s="629" t="s">
        <v>2654</v>
      </c>
      <c r="E547" s="629" t="s">
        <v>2725</v>
      </c>
      <c r="F547" s="630">
        <v>94.525221064450122</v>
      </c>
      <c r="G547" s="630">
        <v>96.370121064450117</v>
      </c>
      <c r="H547" s="630">
        <v>19.53</v>
      </c>
      <c r="I547" s="627">
        <v>2123</v>
      </c>
      <c r="J547" s="629" t="s">
        <v>2656</v>
      </c>
    </row>
    <row r="548" spans="1:10">
      <c r="A548" s="627">
        <v>368</v>
      </c>
      <c r="B548" s="628" t="s">
        <v>1679</v>
      </c>
      <c r="C548" s="629" t="s">
        <v>1680</v>
      </c>
      <c r="D548" s="629" t="s">
        <v>2654</v>
      </c>
      <c r="E548" s="629" t="s">
        <v>2725</v>
      </c>
      <c r="F548" s="630">
        <v>40.784397617436014</v>
      </c>
      <c r="G548" s="630">
        <v>44.428797617436018</v>
      </c>
      <c r="H548" s="630">
        <v>20.58</v>
      </c>
      <c r="I548" s="627">
        <v>2552</v>
      </c>
      <c r="J548" s="629" t="s">
        <v>2656</v>
      </c>
    </row>
    <row r="549" spans="1:10">
      <c r="A549" s="627">
        <v>369</v>
      </c>
      <c r="B549" s="628" t="s">
        <v>1681</v>
      </c>
      <c r="C549" s="629" t="s">
        <v>1682</v>
      </c>
      <c r="D549" s="629" t="s">
        <v>2654</v>
      </c>
      <c r="E549" s="629" t="s">
        <v>2725</v>
      </c>
      <c r="F549" s="630">
        <v>93.051325408560132</v>
      </c>
      <c r="G549" s="630">
        <v>93.842125408560136</v>
      </c>
      <c r="H549" s="630">
        <v>19.46</v>
      </c>
      <c r="I549" s="627">
        <v>334</v>
      </c>
      <c r="J549" s="629" t="s">
        <v>2656</v>
      </c>
    </row>
    <row r="550" spans="1:10">
      <c r="A550" s="627">
        <v>370</v>
      </c>
      <c r="B550" s="628" t="s">
        <v>1683</v>
      </c>
      <c r="C550" s="629" t="s">
        <v>1684</v>
      </c>
      <c r="D550" s="629" t="s">
        <v>2654</v>
      </c>
      <c r="E550" s="629" t="s">
        <v>2725</v>
      </c>
      <c r="F550" s="630">
        <v>72.529616121573</v>
      </c>
      <c r="G550" s="630">
        <v>76.417516121572987</v>
      </c>
      <c r="H550" s="630">
        <v>19.54</v>
      </c>
      <c r="I550" s="627">
        <v>1851</v>
      </c>
      <c r="J550" s="629" t="s">
        <v>2656</v>
      </c>
    </row>
    <row r="551" spans="1:10">
      <c r="A551" s="627">
        <v>371</v>
      </c>
      <c r="B551" s="628" t="s">
        <v>1685</v>
      </c>
      <c r="C551" s="629" t="s">
        <v>1686</v>
      </c>
      <c r="D551" s="629" t="s">
        <v>2651</v>
      </c>
      <c r="E551" s="629" t="s">
        <v>2725</v>
      </c>
      <c r="F551" s="630">
        <v>10000</v>
      </c>
      <c r="G551" s="630">
        <v>10000</v>
      </c>
      <c r="H551" s="630">
        <v>0</v>
      </c>
      <c r="I551" s="627">
        <v>0</v>
      </c>
      <c r="J551" s="629" t="s">
        <v>2653</v>
      </c>
    </row>
    <row r="552" spans="1:10">
      <c r="A552" s="627">
        <v>372</v>
      </c>
      <c r="B552" s="628" t="s">
        <v>1687</v>
      </c>
      <c r="C552" s="629" t="s">
        <v>1688</v>
      </c>
      <c r="D552" s="629" t="s">
        <v>2651</v>
      </c>
      <c r="E552" s="629" t="s">
        <v>1689</v>
      </c>
      <c r="F552" s="630">
        <v>20528.988000000005</v>
      </c>
      <c r="G552" s="630">
        <v>20528.988000000005</v>
      </c>
      <c r="H552" s="630">
        <v>0</v>
      </c>
      <c r="I552" s="627">
        <v>0</v>
      </c>
      <c r="J552" s="629" t="s">
        <v>2653</v>
      </c>
    </row>
    <row r="553" spans="1:10">
      <c r="A553" s="627">
        <v>373</v>
      </c>
      <c r="B553" s="628" t="s">
        <v>743</v>
      </c>
      <c r="C553" s="629" t="s">
        <v>744</v>
      </c>
      <c r="D553" s="629" t="s">
        <v>2654</v>
      </c>
      <c r="E553" s="629" t="s">
        <v>2726</v>
      </c>
      <c r="F553" s="630">
        <v>95.5</v>
      </c>
      <c r="G553" s="630">
        <v>102.35899999999999</v>
      </c>
      <c r="H553" s="630">
        <v>25.29</v>
      </c>
      <c r="I553" s="627">
        <v>421</v>
      </c>
      <c r="J553" s="629" t="s">
        <v>2656</v>
      </c>
    </row>
    <row r="554" spans="1:10">
      <c r="A554" s="627">
        <v>374</v>
      </c>
      <c r="B554" s="628" t="s">
        <v>1690</v>
      </c>
      <c r="C554" s="629" t="s">
        <v>1691</v>
      </c>
      <c r="D554" s="629" t="s">
        <v>2651</v>
      </c>
      <c r="E554" s="629" t="s">
        <v>1692</v>
      </c>
      <c r="F554" s="630">
        <v>103360.16080000001</v>
      </c>
      <c r="G554" s="630">
        <v>103360.16080000001</v>
      </c>
      <c r="H554" s="630">
        <v>0</v>
      </c>
      <c r="I554" s="627">
        <v>0</v>
      </c>
      <c r="J554" s="629" t="s">
        <v>2653</v>
      </c>
    </row>
    <row r="555" spans="1:10">
      <c r="A555" s="627">
        <v>375</v>
      </c>
      <c r="B555" s="628" t="s">
        <v>1693</v>
      </c>
      <c r="C555" s="629" t="s">
        <v>1694</v>
      </c>
      <c r="D555" s="629" t="s">
        <v>2651</v>
      </c>
      <c r="E555" s="629" t="s">
        <v>1695</v>
      </c>
      <c r="F555" s="630">
        <v>160206.77040000004</v>
      </c>
      <c r="G555" s="630">
        <v>160206.77040000004</v>
      </c>
      <c r="H555" s="630">
        <v>0</v>
      </c>
      <c r="I555" s="627">
        <v>0</v>
      </c>
      <c r="J555" s="629" t="s">
        <v>2653</v>
      </c>
    </row>
    <row r="556" spans="1:10">
      <c r="A556" s="627">
        <v>376</v>
      </c>
      <c r="B556" s="628" t="s">
        <v>1696</v>
      </c>
      <c r="C556" s="629" t="s">
        <v>1697</v>
      </c>
      <c r="D556" s="629" t="s">
        <v>2651</v>
      </c>
      <c r="E556" s="629" t="s">
        <v>2727</v>
      </c>
      <c r="F556" s="630">
        <v>0.01</v>
      </c>
      <c r="G556" s="630">
        <v>0.01</v>
      </c>
      <c r="H556" s="630">
        <v>0</v>
      </c>
      <c r="I556" s="627">
        <v>0</v>
      </c>
      <c r="J556" s="629" t="s">
        <v>2653</v>
      </c>
    </row>
    <row r="557" spans="1:10">
      <c r="A557" s="627">
        <v>377</v>
      </c>
      <c r="B557" s="628" t="s">
        <v>1698</v>
      </c>
      <c r="C557" s="629" t="s">
        <v>147</v>
      </c>
      <c r="D557" s="629" t="s">
        <v>2654</v>
      </c>
      <c r="E557" s="629" t="s">
        <v>2728</v>
      </c>
      <c r="F557" s="630">
        <v>95.332140467144825</v>
      </c>
      <c r="G557" s="630">
        <v>97.985240467144834</v>
      </c>
      <c r="H557" s="630">
        <v>17.16</v>
      </c>
      <c r="I557" s="627">
        <v>267</v>
      </c>
      <c r="J557" s="629" t="s">
        <v>2656</v>
      </c>
    </row>
    <row r="558" spans="1:10">
      <c r="A558" s="627">
        <v>378</v>
      </c>
      <c r="B558" s="628" t="s">
        <v>901</v>
      </c>
      <c r="C558" s="629" t="s">
        <v>902</v>
      </c>
      <c r="D558" s="629" t="s">
        <v>2654</v>
      </c>
      <c r="E558" s="629" t="s">
        <v>2728</v>
      </c>
      <c r="F558" s="630">
        <v>91.960909199246018</v>
      </c>
      <c r="G558" s="630">
        <v>95.365109199246007</v>
      </c>
      <c r="H558" s="630">
        <v>17.21</v>
      </c>
      <c r="I558" s="627">
        <v>1354</v>
      </c>
      <c r="J558" s="629" t="s">
        <v>2656</v>
      </c>
    </row>
    <row r="559" spans="1:10">
      <c r="A559" s="627">
        <v>379</v>
      </c>
      <c r="B559" s="628" t="s">
        <v>1699</v>
      </c>
      <c r="C559" s="629" t="s">
        <v>1700</v>
      </c>
      <c r="D559" s="629" t="s">
        <v>2654</v>
      </c>
      <c r="E559" s="629" t="s">
        <v>2728</v>
      </c>
      <c r="F559" s="630">
        <v>91.960909199246018</v>
      </c>
      <c r="G559" s="630">
        <v>95.365109199246007</v>
      </c>
      <c r="H559" s="630">
        <v>17.21</v>
      </c>
      <c r="I559" s="627">
        <v>1354</v>
      </c>
      <c r="J559" s="629" t="s">
        <v>2656</v>
      </c>
    </row>
    <row r="560" spans="1:10">
      <c r="A560" s="627">
        <v>380</v>
      </c>
      <c r="B560" s="628" t="s">
        <v>1701</v>
      </c>
      <c r="C560" s="629" t="s">
        <v>1702</v>
      </c>
      <c r="D560" s="629" t="s">
        <v>2654</v>
      </c>
      <c r="E560" s="629" t="s">
        <v>2728</v>
      </c>
      <c r="F560" s="630">
        <v>94.211039323023741</v>
      </c>
      <c r="G560" s="630">
        <v>99.590939323023747</v>
      </c>
      <c r="H560" s="630">
        <v>17.239999999999998</v>
      </c>
      <c r="I560" s="627">
        <v>1493</v>
      </c>
      <c r="J560" s="629" t="s">
        <v>2656</v>
      </c>
    </row>
    <row r="561" spans="1:10">
      <c r="A561" s="627">
        <v>381</v>
      </c>
      <c r="B561" s="628" t="s">
        <v>2567</v>
      </c>
      <c r="C561" s="629" t="s">
        <v>2568</v>
      </c>
      <c r="D561" s="629" t="s">
        <v>2654</v>
      </c>
      <c r="E561" s="629" t="s">
        <v>2728</v>
      </c>
      <c r="F561" s="630">
        <v>97.736660316682773</v>
      </c>
      <c r="G561" s="630">
        <v>105.80336031668277</v>
      </c>
      <c r="H561" s="630">
        <v>17.239999999999998</v>
      </c>
      <c r="I561" s="627">
        <v>1624</v>
      </c>
      <c r="J561" s="629" t="s">
        <v>2656</v>
      </c>
    </row>
    <row r="562" spans="1:10">
      <c r="A562" s="627">
        <v>382</v>
      </c>
      <c r="B562" s="628" t="s">
        <v>2729</v>
      </c>
      <c r="C562" s="629" t="s">
        <v>2730</v>
      </c>
      <c r="D562" s="629" t="s">
        <v>2654</v>
      </c>
      <c r="E562" s="629" t="s">
        <v>2728</v>
      </c>
      <c r="F562" s="630">
        <v>97.669933789962528</v>
      </c>
      <c r="G562" s="630">
        <v>104.54493378996253</v>
      </c>
      <c r="H562" s="630">
        <v>17.239999999999998</v>
      </c>
      <c r="I562" s="627">
        <v>1650</v>
      </c>
      <c r="J562" s="629" t="s">
        <v>2656</v>
      </c>
    </row>
    <row r="563" spans="1:10">
      <c r="A563" s="627">
        <v>383</v>
      </c>
      <c r="B563" s="628" t="s">
        <v>3028</v>
      </c>
      <c r="C563" s="629" t="s">
        <v>3029</v>
      </c>
      <c r="D563" s="629" t="s">
        <v>2654</v>
      </c>
      <c r="E563" s="629" t="s">
        <v>2728</v>
      </c>
      <c r="F563" s="630">
        <v>102.28288123990383</v>
      </c>
      <c r="G563" s="630">
        <v>105.63288123990384</v>
      </c>
      <c r="H563" s="630">
        <v>17.260000000000002</v>
      </c>
      <c r="I563" s="627">
        <v>1733</v>
      </c>
      <c r="J563" s="629" t="s">
        <v>2656</v>
      </c>
    </row>
    <row r="564" spans="1:10">
      <c r="A564" s="627">
        <v>384</v>
      </c>
      <c r="B564" s="628" t="s">
        <v>3030</v>
      </c>
      <c r="C564" s="629" t="s">
        <v>3031</v>
      </c>
      <c r="D564" s="629" t="s">
        <v>2654</v>
      </c>
      <c r="E564" s="629" t="s">
        <v>2728</v>
      </c>
      <c r="F564" s="630">
        <v>102.28288123990383</v>
      </c>
      <c r="G564" s="630">
        <v>105.63288123990384</v>
      </c>
      <c r="H564" s="630">
        <v>17.260000000000002</v>
      </c>
      <c r="I564" s="627">
        <v>1733</v>
      </c>
      <c r="J564" s="629" t="s">
        <v>2656</v>
      </c>
    </row>
    <row r="565" spans="1:10">
      <c r="A565" s="627">
        <v>385</v>
      </c>
      <c r="B565" s="628" t="s">
        <v>1703</v>
      </c>
      <c r="C565" s="629" t="s">
        <v>1704</v>
      </c>
      <c r="D565" s="629" t="s">
        <v>2654</v>
      </c>
      <c r="E565" s="629" t="s">
        <v>2731</v>
      </c>
      <c r="F565" s="630">
        <v>100</v>
      </c>
      <c r="G565" s="630">
        <v>100.0117</v>
      </c>
      <c r="H565" s="630">
        <v>0.35</v>
      </c>
      <c r="I565" s="627">
        <v>288</v>
      </c>
      <c r="J565" s="629" t="s">
        <v>2656</v>
      </c>
    </row>
    <row r="566" spans="1:10">
      <c r="A566" s="627">
        <v>386</v>
      </c>
      <c r="B566" s="628" t="s">
        <v>1705</v>
      </c>
      <c r="C566" s="629" t="s">
        <v>1706</v>
      </c>
      <c r="D566" s="629" t="s">
        <v>2654</v>
      </c>
      <c r="E566" s="629" t="s">
        <v>2731</v>
      </c>
      <c r="F566" s="630">
        <v>100</v>
      </c>
      <c r="G566" s="630">
        <v>100.1181</v>
      </c>
      <c r="H566" s="630">
        <v>4.24</v>
      </c>
      <c r="I566" s="627">
        <v>290</v>
      </c>
      <c r="J566" s="629" t="s">
        <v>2656</v>
      </c>
    </row>
    <row r="567" spans="1:10">
      <c r="A567" s="627">
        <v>387</v>
      </c>
      <c r="B567" s="628" t="s">
        <v>1707</v>
      </c>
      <c r="C567" s="629" t="s">
        <v>1708</v>
      </c>
      <c r="D567" s="629" t="s">
        <v>2654</v>
      </c>
      <c r="E567" s="629" t="s">
        <v>2731</v>
      </c>
      <c r="F567" s="630">
        <v>100</v>
      </c>
      <c r="G567" s="630">
        <v>100.1682</v>
      </c>
      <c r="H567" s="630">
        <v>0.35</v>
      </c>
      <c r="I567" s="627">
        <v>7</v>
      </c>
      <c r="J567" s="629" t="s">
        <v>2656</v>
      </c>
    </row>
    <row r="568" spans="1:10">
      <c r="A568" s="627">
        <v>388</v>
      </c>
      <c r="B568" s="628" t="s">
        <v>2851</v>
      </c>
      <c r="C568" s="629" t="s">
        <v>2852</v>
      </c>
      <c r="D568" s="629" t="s">
        <v>2654</v>
      </c>
      <c r="E568" s="629" t="s">
        <v>2731</v>
      </c>
      <c r="F568" s="630">
        <v>100</v>
      </c>
      <c r="G568" s="630">
        <v>100.1069</v>
      </c>
      <c r="H568" s="630">
        <v>0.35</v>
      </c>
      <c r="I568" s="627">
        <v>610</v>
      </c>
      <c r="J568" s="629" t="s">
        <v>2656</v>
      </c>
    </row>
    <row r="569" spans="1:10">
      <c r="A569" s="627">
        <v>389</v>
      </c>
      <c r="B569" s="628" t="s">
        <v>1709</v>
      </c>
      <c r="C569" s="629" t="s">
        <v>1710</v>
      </c>
      <c r="D569" s="629" t="s">
        <v>2654</v>
      </c>
      <c r="E569" s="629" t="s">
        <v>2731</v>
      </c>
      <c r="F569" s="630">
        <v>100</v>
      </c>
      <c r="G569" s="630">
        <v>100.00530000000001</v>
      </c>
      <c r="H569" s="630">
        <v>0.02</v>
      </c>
      <c r="I569" s="627">
        <v>3040</v>
      </c>
      <c r="J569" s="629" t="s">
        <v>2656</v>
      </c>
    </row>
    <row r="570" spans="1:10">
      <c r="A570" s="627">
        <v>390</v>
      </c>
      <c r="B570" s="628" t="s">
        <v>2922</v>
      </c>
      <c r="C570" s="629" t="s">
        <v>2923</v>
      </c>
      <c r="D570" s="629" t="s">
        <v>2654</v>
      </c>
      <c r="E570" s="629" t="s">
        <v>2731</v>
      </c>
      <c r="F570" s="630">
        <v>90.081836475033526</v>
      </c>
      <c r="G570" s="630">
        <v>94.126236475033522</v>
      </c>
      <c r="H570" s="630">
        <v>20.56</v>
      </c>
      <c r="I570" s="627">
        <v>3520</v>
      </c>
      <c r="J570" s="629" t="s">
        <v>2656</v>
      </c>
    </row>
    <row r="571" spans="1:10">
      <c r="A571" s="627">
        <v>391</v>
      </c>
      <c r="B571" s="628" t="s">
        <v>2887</v>
      </c>
      <c r="C571" s="629" t="s">
        <v>2888</v>
      </c>
      <c r="D571" s="629" t="s">
        <v>2654</v>
      </c>
      <c r="E571" s="629" t="s">
        <v>2731</v>
      </c>
      <c r="F571" s="630">
        <v>90.103829909734245</v>
      </c>
      <c r="G571" s="630">
        <v>94.754929909734244</v>
      </c>
      <c r="H571" s="630">
        <v>20.55</v>
      </c>
      <c r="I571" s="627">
        <v>3508</v>
      </c>
      <c r="J571" s="629" t="s">
        <v>2656</v>
      </c>
    </row>
    <row r="572" spans="1:10">
      <c r="A572" s="627">
        <v>392</v>
      </c>
      <c r="B572" s="628" t="s">
        <v>3072</v>
      </c>
      <c r="C572" s="629" t="s">
        <v>3073</v>
      </c>
      <c r="D572" s="629" t="s">
        <v>2654</v>
      </c>
      <c r="E572" s="629" t="s">
        <v>2731</v>
      </c>
      <c r="F572" s="630">
        <v>93.07888885727705</v>
      </c>
      <c r="G572" s="630">
        <v>94.338888857277055</v>
      </c>
      <c r="H572" s="630">
        <v>20.56</v>
      </c>
      <c r="I572" s="627">
        <v>3576</v>
      </c>
      <c r="J572" s="629" t="s">
        <v>2656</v>
      </c>
    </row>
    <row r="573" spans="1:10">
      <c r="A573" s="627">
        <v>393</v>
      </c>
      <c r="B573" s="628" t="s">
        <v>3074</v>
      </c>
      <c r="C573" s="629" t="s">
        <v>3075</v>
      </c>
      <c r="D573" s="629" t="s">
        <v>2654</v>
      </c>
      <c r="E573" s="629" t="s">
        <v>2731</v>
      </c>
      <c r="F573" s="630">
        <v>93.07888885727705</v>
      </c>
      <c r="G573" s="630">
        <v>94.338888857277055</v>
      </c>
      <c r="H573" s="630">
        <v>20.56</v>
      </c>
      <c r="I573" s="627">
        <v>3576</v>
      </c>
      <c r="J573" s="629" t="s">
        <v>2656</v>
      </c>
    </row>
    <row r="574" spans="1:10">
      <c r="A574" s="627">
        <v>394</v>
      </c>
      <c r="B574" s="628" t="s">
        <v>1711</v>
      </c>
      <c r="C574" s="629" t="s">
        <v>1712</v>
      </c>
      <c r="D574" s="629" t="s">
        <v>2654</v>
      </c>
      <c r="E574" s="629" t="s">
        <v>2732</v>
      </c>
      <c r="F574" s="630">
        <v>100</v>
      </c>
      <c r="G574" s="630">
        <v>106.9619</v>
      </c>
      <c r="H574" s="630">
        <v>7.1</v>
      </c>
      <c r="I574" s="627">
        <v>2167</v>
      </c>
      <c r="J574" s="629" t="s">
        <v>2656</v>
      </c>
    </row>
    <row r="575" spans="1:10">
      <c r="A575" s="627">
        <v>395</v>
      </c>
      <c r="B575" s="628" t="s">
        <v>579</v>
      </c>
      <c r="C575" s="629" t="s">
        <v>580</v>
      </c>
      <c r="D575" s="629" t="s">
        <v>2654</v>
      </c>
      <c r="E575" s="629" t="s">
        <v>2733</v>
      </c>
      <c r="F575" s="630">
        <v>87.674453133544787</v>
      </c>
      <c r="G575" s="630">
        <v>89.657753133544787</v>
      </c>
      <c r="H575" s="630">
        <v>17.579999999999998</v>
      </c>
      <c r="I575" s="627">
        <v>1020</v>
      </c>
      <c r="J575" s="629" t="s">
        <v>2656</v>
      </c>
    </row>
    <row r="576" spans="1:10">
      <c r="A576" s="627">
        <v>396</v>
      </c>
      <c r="B576" s="628" t="s">
        <v>581</v>
      </c>
      <c r="C576" s="629" t="s">
        <v>582</v>
      </c>
      <c r="D576" s="629" t="s">
        <v>2654</v>
      </c>
      <c r="E576" s="629" t="s">
        <v>2733</v>
      </c>
      <c r="F576" s="630">
        <v>103.46600267964563</v>
      </c>
      <c r="G576" s="630">
        <v>107.30410267964562</v>
      </c>
      <c r="H576" s="630">
        <v>15.57</v>
      </c>
      <c r="I576" s="627">
        <v>1358</v>
      </c>
      <c r="J576" s="629" t="s">
        <v>2656</v>
      </c>
    </row>
    <row r="577" spans="1:10">
      <c r="A577" s="627">
        <v>397</v>
      </c>
      <c r="B577" s="628" t="s">
        <v>1713</v>
      </c>
      <c r="C577" s="629" t="s">
        <v>1714</v>
      </c>
      <c r="D577" s="629" t="s">
        <v>2654</v>
      </c>
      <c r="E577" s="629" t="s">
        <v>2733</v>
      </c>
      <c r="F577" s="630">
        <v>111.93399868752051</v>
      </c>
      <c r="G577" s="630">
        <v>117.1742986875205</v>
      </c>
      <c r="H577" s="630">
        <v>15.56</v>
      </c>
      <c r="I577" s="627">
        <v>1702</v>
      </c>
      <c r="J577" s="629" t="s">
        <v>2656</v>
      </c>
    </row>
    <row r="578" spans="1:10">
      <c r="A578" s="627">
        <v>398</v>
      </c>
      <c r="B578" s="628" t="s">
        <v>3117</v>
      </c>
      <c r="C578" s="629" t="s">
        <v>3118</v>
      </c>
      <c r="D578" s="629" t="s">
        <v>2654</v>
      </c>
      <c r="E578" s="629" t="s">
        <v>2733</v>
      </c>
      <c r="F578" s="630">
        <v>98.366659479388048</v>
      </c>
      <c r="G578" s="630">
        <v>99.052759479388044</v>
      </c>
      <c r="H578" s="630">
        <v>19.52</v>
      </c>
      <c r="I578" s="627">
        <v>1787</v>
      </c>
      <c r="J578" s="629" t="s">
        <v>2656</v>
      </c>
    </row>
    <row r="579" spans="1:10">
      <c r="A579" s="627">
        <v>399</v>
      </c>
      <c r="B579" s="628" t="s">
        <v>3119</v>
      </c>
      <c r="C579" s="629" t="s">
        <v>3120</v>
      </c>
      <c r="D579" s="629" t="s">
        <v>2654</v>
      </c>
      <c r="E579" s="629" t="s">
        <v>2733</v>
      </c>
      <c r="F579" s="630">
        <v>98.366659479388048</v>
      </c>
      <c r="G579" s="630">
        <v>99.052759479388044</v>
      </c>
      <c r="H579" s="630">
        <v>19.52</v>
      </c>
      <c r="I579" s="627">
        <v>1787</v>
      </c>
      <c r="J579" s="629" t="s">
        <v>2656</v>
      </c>
    </row>
    <row r="580" spans="1:10">
      <c r="A580" s="627">
        <v>400</v>
      </c>
      <c r="B580" s="628" t="s">
        <v>2611</v>
      </c>
      <c r="C580" s="629" t="s">
        <v>2612</v>
      </c>
      <c r="D580" s="629" t="s">
        <v>2654</v>
      </c>
      <c r="E580" s="629" t="s">
        <v>2649</v>
      </c>
      <c r="F580" s="630">
        <v>100.84786705671175</v>
      </c>
      <c r="G580" s="630">
        <v>103.37566705671175</v>
      </c>
      <c r="H580" s="630">
        <v>6.14</v>
      </c>
      <c r="I580" s="627">
        <v>940</v>
      </c>
      <c r="J580" s="629" t="s">
        <v>2656</v>
      </c>
    </row>
    <row r="581" spans="1:10">
      <c r="A581" s="627">
        <v>401</v>
      </c>
      <c r="B581" s="628" t="s">
        <v>1715</v>
      </c>
      <c r="C581" s="629" t="s">
        <v>1716</v>
      </c>
      <c r="D581" s="629" t="s">
        <v>2651</v>
      </c>
      <c r="E581" s="629" t="s">
        <v>2734</v>
      </c>
      <c r="F581" s="630">
        <v>67249.5</v>
      </c>
      <c r="G581" s="630">
        <v>67249.5</v>
      </c>
      <c r="H581" s="630">
        <v>0</v>
      </c>
      <c r="I581" s="627">
        <v>0</v>
      </c>
      <c r="J581" s="629" t="s">
        <v>2653</v>
      </c>
    </row>
    <row r="582" spans="1:10">
      <c r="A582" s="627">
        <v>402</v>
      </c>
      <c r="B582" s="628" t="s">
        <v>1717</v>
      </c>
      <c r="C582" s="629" t="s">
        <v>1718</v>
      </c>
      <c r="D582" s="629" t="s">
        <v>2651</v>
      </c>
      <c r="E582" s="629" t="s">
        <v>2735</v>
      </c>
      <c r="F582" s="630">
        <v>0.01</v>
      </c>
      <c r="G582" s="630">
        <v>0.01</v>
      </c>
      <c r="H582" s="630">
        <v>0</v>
      </c>
      <c r="I582" s="627">
        <v>0</v>
      </c>
      <c r="J582" s="629" t="s">
        <v>2653</v>
      </c>
    </row>
    <row r="583" spans="1:10">
      <c r="A583" s="627">
        <v>403</v>
      </c>
      <c r="B583" s="628" t="s">
        <v>1719</v>
      </c>
      <c r="C583" s="629" t="s">
        <v>1720</v>
      </c>
      <c r="D583" s="629" t="s">
        <v>2651</v>
      </c>
      <c r="E583" s="629" t="s">
        <v>2735</v>
      </c>
      <c r="F583" s="630">
        <v>0.01</v>
      </c>
      <c r="G583" s="630">
        <v>0.01</v>
      </c>
      <c r="H583" s="630">
        <v>0</v>
      </c>
      <c r="I583" s="627">
        <v>0</v>
      </c>
      <c r="J583" s="629" t="s">
        <v>2653</v>
      </c>
    </row>
    <row r="584" spans="1:10">
      <c r="A584" s="627">
        <v>404</v>
      </c>
      <c r="B584" s="628" t="s">
        <v>583</v>
      </c>
      <c r="C584" s="629" t="s">
        <v>584</v>
      </c>
      <c r="D584" s="629" t="s">
        <v>2651</v>
      </c>
      <c r="E584" s="629" t="s">
        <v>585</v>
      </c>
      <c r="F584" s="630">
        <v>3343.9342584897745</v>
      </c>
      <c r="G584" s="630">
        <v>3343.9342584897745</v>
      </c>
      <c r="H584" s="630">
        <v>0</v>
      </c>
      <c r="I584" s="627">
        <v>0</v>
      </c>
      <c r="J584" s="629" t="s">
        <v>2653</v>
      </c>
    </row>
    <row r="585" spans="1:10">
      <c r="A585" s="627">
        <v>405</v>
      </c>
      <c r="B585" s="628" t="s">
        <v>586</v>
      </c>
      <c r="C585" s="629" t="s">
        <v>587</v>
      </c>
      <c r="D585" s="629" t="s">
        <v>2651</v>
      </c>
      <c r="E585" s="629" t="s">
        <v>149</v>
      </c>
      <c r="F585" s="630">
        <v>1479.6118714828174</v>
      </c>
      <c r="G585" s="630">
        <v>1479.6118714828174</v>
      </c>
      <c r="H585" s="630">
        <v>0</v>
      </c>
      <c r="I585" s="627">
        <v>0</v>
      </c>
      <c r="J585" s="629" t="s">
        <v>2653</v>
      </c>
    </row>
    <row r="586" spans="1:10">
      <c r="A586" s="627">
        <v>406</v>
      </c>
      <c r="B586" s="628" t="s">
        <v>1721</v>
      </c>
      <c r="C586" s="629" t="s">
        <v>1722</v>
      </c>
      <c r="D586" s="629" t="s">
        <v>2654</v>
      </c>
      <c r="E586" s="629" t="s">
        <v>149</v>
      </c>
      <c r="F586" s="630">
        <v>85.078677863229899</v>
      </c>
      <c r="G586" s="630">
        <v>90.238677863229896</v>
      </c>
      <c r="H586" s="630">
        <v>17.190000000000001</v>
      </c>
      <c r="I586" s="627">
        <v>2016</v>
      </c>
      <c r="J586" s="629" t="s">
        <v>2656</v>
      </c>
    </row>
    <row r="587" spans="1:10">
      <c r="A587" s="627">
        <v>407</v>
      </c>
      <c r="B587" s="628" t="s">
        <v>1723</v>
      </c>
      <c r="C587" s="629" t="s">
        <v>150</v>
      </c>
      <c r="D587" s="629" t="s">
        <v>2654</v>
      </c>
      <c r="E587" s="629" t="s">
        <v>149</v>
      </c>
      <c r="F587" s="630">
        <v>77.808883425072068</v>
      </c>
      <c r="G587" s="630">
        <v>79.438083425072065</v>
      </c>
      <c r="H587" s="630">
        <v>17.23</v>
      </c>
      <c r="I587" s="627">
        <v>2469</v>
      </c>
      <c r="J587" s="629" t="s">
        <v>2656</v>
      </c>
    </row>
    <row r="588" spans="1:10">
      <c r="A588" s="627">
        <v>408</v>
      </c>
      <c r="B588" s="628" t="s">
        <v>1724</v>
      </c>
      <c r="C588" s="629" t="s">
        <v>1725</v>
      </c>
      <c r="D588" s="629" t="s">
        <v>2654</v>
      </c>
      <c r="E588" s="629" t="s">
        <v>149</v>
      </c>
      <c r="F588" s="630">
        <v>73.597981238041086</v>
      </c>
      <c r="G588" s="630">
        <v>77.936881238041082</v>
      </c>
      <c r="H588" s="630">
        <v>16.579999999999998</v>
      </c>
      <c r="I588" s="627">
        <v>3458</v>
      </c>
      <c r="J588" s="629" t="s">
        <v>2656</v>
      </c>
    </row>
    <row r="589" spans="1:10">
      <c r="A589" s="627">
        <v>409</v>
      </c>
      <c r="B589" s="628" t="s">
        <v>1726</v>
      </c>
      <c r="C589" s="629" t="s">
        <v>499</v>
      </c>
      <c r="D589" s="629" t="s">
        <v>2654</v>
      </c>
      <c r="E589" s="629" t="s">
        <v>149</v>
      </c>
      <c r="F589" s="630">
        <v>100</v>
      </c>
      <c r="G589" s="630">
        <v>106.3069</v>
      </c>
      <c r="H589" s="630">
        <v>19</v>
      </c>
      <c r="I589" s="627">
        <v>4445</v>
      </c>
      <c r="J589" s="629" t="s">
        <v>2656</v>
      </c>
    </row>
    <row r="590" spans="1:10">
      <c r="A590" s="627">
        <v>410</v>
      </c>
      <c r="B590" s="628" t="s">
        <v>588</v>
      </c>
      <c r="C590" s="629" t="s">
        <v>589</v>
      </c>
      <c r="D590" s="629" t="s">
        <v>2654</v>
      </c>
      <c r="E590" s="629" t="s">
        <v>527</v>
      </c>
      <c r="F590" s="630">
        <v>87.346300448430497</v>
      </c>
      <c r="G590" s="630">
        <v>99.313000448430486</v>
      </c>
      <c r="H590" s="630">
        <v>15.04</v>
      </c>
      <c r="I590" s="627">
        <v>2521</v>
      </c>
      <c r="J590" s="629" t="s">
        <v>2656</v>
      </c>
    </row>
    <row r="591" spans="1:10">
      <c r="A591" s="627">
        <v>411</v>
      </c>
      <c r="B591" s="628" t="s">
        <v>590</v>
      </c>
      <c r="C591" s="629" t="s">
        <v>591</v>
      </c>
      <c r="D591" s="629" t="s">
        <v>2654</v>
      </c>
      <c r="E591" s="629" t="s">
        <v>527</v>
      </c>
      <c r="F591" s="630">
        <v>89.569614732582309</v>
      </c>
      <c r="G591" s="630">
        <v>96.114014732582305</v>
      </c>
      <c r="H591" s="630">
        <v>15.1</v>
      </c>
      <c r="I591" s="627">
        <v>832</v>
      </c>
      <c r="J591" s="629" t="s">
        <v>2656</v>
      </c>
    </row>
    <row r="592" spans="1:10">
      <c r="A592" s="627">
        <v>412</v>
      </c>
      <c r="B592" s="628" t="s">
        <v>3505</v>
      </c>
      <c r="C592" s="629" t="s">
        <v>3506</v>
      </c>
      <c r="D592" s="629" t="s">
        <v>2654</v>
      </c>
      <c r="E592" s="629" t="s">
        <v>527</v>
      </c>
      <c r="F592" s="630">
        <v>90.71517909122872</v>
      </c>
      <c r="G592" s="630">
        <v>91.097079091228721</v>
      </c>
      <c r="H592" s="630">
        <v>18.53</v>
      </c>
      <c r="I592" s="627">
        <v>709</v>
      </c>
      <c r="J592" s="629" t="s">
        <v>2656</v>
      </c>
    </row>
    <row r="593" spans="1:10">
      <c r="A593" s="627">
        <v>413</v>
      </c>
      <c r="B593" s="628" t="s">
        <v>592</v>
      </c>
      <c r="C593" s="629" t="s">
        <v>593</v>
      </c>
      <c r="D593" s="629" t="s">
        <v>2654</v>
      </c>
      <c r="E593" s="629" t="s">
        <v>527</v>
      </c>
      <c r="F593" s="630">
        <v>74.403032374494146</v>
      </c>
      <c r="G593" s="630">
        <v>80.340532374494146</v>
      </c>
      <c r="H593" s="630">
        <v>17.100000000000001</v>
      </c>
      <c r="I593" s="627">
        <v>1935</v>
      </c>
      <c r="J593" s="629" t="s">
        <v>2656</v>
      </c>
    </row>
    <row r="594" spans="1:10">
      <c r="A594" s="627">
        <v>414</v>
      </c>
      <c r="B594" s="628" t="s">
        <v>3064</v>
      </c>
      <c r="C594" s="629" t="s">
        <v>3065</v>
      </c>
      <c r="D594" s="629" t="s">
        <v>2654</v>
      </c>
      <c r="E594" s="629" t="s">
        <v>527</v>
      </c>
      <c r="F594" s="630">
        <v>90.882597999525842</v>
      </c>
      <c r="G594" s="630">
        <v>91.99369799952585</v>
      </c>
      <c r="H594" s="630">
        <v>18.53</v>
      </c>
      <c r="I594" s="627">
        <v>688</v>
      </c>
      <c r="J594" s="629" t="s">
        <v>2656</v>
      </c>
    </row>
    <row r="595" spans="1:10">
      <c r="A595" s="627">
        <v>415</v>
      </c>
      <c r="B595" s="628" t="s">
        <v>816</v>
      </c>
      <c r="C595" s="629" t="s">
        <v>745</v>
      </c>
      <c r="D595" s="629" t="s">
        <v>2654</v>
      </c>
      <c r="E595" s="629" t="s">
        <v>527</v>
      </c>
      <c r="F595" s="630">
        <v>100</v>
      </c>
      <c r="G595" s="630">
        <v>107.0575</v>
      </c>
      <c r="H595" s="630">
        <v>17.760000000000002</v>
      </c>
      <c r="I595" s="627">
        <v>43</v>
      </c>
      <c r="J595" s="629" t="s">
        <v>2656</v>
      </c>
    </row>
    <row r="596" spans="1:10">
      <c r="A596" s="627">
        <v>416</v>
      </c>
      <c r="B596" s="628" t="s">
        <v>819</v>
      </c>
      <c r="C596" s="629" t="s">
        <v>820</v>
      </c>
      <c r="D596" s="629" t="s">
        <v>2654</v>
      </c>
      <c r="E596" s="629" t="s">
        <v>527</v>
      </c>
      <c r="F596" s="630">
        <v>100</v>
      </c>
      <c r="G596" s="630">
        <v>107.5176</v>
      </c>
      <c r="H596" s="630">
        <v>18.510000000000002</v>
      </c>
      <c r="I596" s="627">
        <v>766</v>
      </c>
      <c r="J596" s="629" t="s">
        <v>2656</v>
      </c>
    </row>
    <row r="597" spans="1:10">
      <c r="A597" s="627">
        <v>417</v>
      </c>
      <c r="B597" s="628" t="s">
        <v>821</v>
      </c>
      <c r="C597" s="629" t="s">
        <v>822</v>
      </c>
      <c r="D597" s="629" t="s">
        <v>2654</v>
      </c>
      <c r="E597" s="629" t="s">
        <v>527</v>
      </c>
      <c r="F597" s="630">
        <v>100</v>
      </c>
      <c r="G597" s="630">
        <v>104.6807</v>
      </c>
      <c r="H597" s="630">
        <v>18.52</v>
      </c>
      <c r="I597" s="627">
        <v>822</v>
      </c>
      <c r="J597" s="629" t="s">
        <v>2656</v>
      </c>
    </row>
    <row r="598" spans="1:10">
      <c r="A598" s="627">
        <v>418</v>
      </c>
      <c r="B598" s="628" t="s">
        <v>823</v>
      </c>
      <c r="C598" s="629" t="s">
        <v>746</v>
      </c>
      <c r="D598" s="629" t="s">
        <v>2654</v>
      </c>
      <c r="E598" s="629" t="s">
        <v>527</v>
      </c>
      <c r="F598" s="630">
        <v>100</v>
      </c>
      <c r="G598" s="630">
        <v>104.7311</v>
      </c>
      <c r="H598" s="630">
        <v>18.739999999999998</v>
      </c>
      <c r="I598" s="627">
        <v>1553</v>
      </c>
      <c r="J598" s="629" t="s">
        <v>2656</v>
      </c>
    </row>
    <row r="599" spans="1:10">
      <c r="A599" s="627">
        <v>419</v>
      </c>
      <c r="B599" s="628" t="s">
        <v>824</v>
      </c>
      <c r="C599" s="629" t="s">
        <v>825</v>
      </c>
      <c r="D599" s="629" t="s">
        <v>2654</v>
      </c>
      <c r="E599" s="629" t="s">
        <v>527</v>
      </c>
      <c r="F599" s="630">
        <v>100</v>
      </c>
      <c r="G599" s="630">
        <v>107.5581</v>
      </c>
      <c r="H599" s="630">
        <v>18.62</v>
      </c>
      <c r="I599" s="627">
        <v>1497</v>
      </c>
      <c r="J599" s="629" t="s">
        <v>2656</v>
      </c>
    </row>
    <row r="600" spans="1:10">
      <c r="A600" s="627">
        <v>420</v>
      </c>
      <c r="B600" s="628" t="s">
        <v>598</v>
      </c>
      <c r="C600" s="629" t="s">
        <v>599</v>
      </c>
      <c r="D600" s="629" t="s">
        <v>2654</v>
      </c>
      <c r="E600" s="629" t="s">
        <v>527</v>
      </c>
      <c r="F600" s="630">
        <v>98.762680465930217</v>
      </c>
      <c r="G600" s="630">
        <v>106.91688046593022</v>
      </c>
      <c r="H600" s="630">
        <v>18.350000000000001</v>
      </c>
      <c r="I600" s="627">
        <v>51</v>
      </c>
      <c r="J600" s="629" t="s">
        <v>2656</v>
      </c>
    </row>
    <row r="601" spans="1:10">
      <c r="A601" s="627">
        <v>421</v>
      </c>
      <c r="B601" s="628" t="s">
        <v>829</v>
      </c>
      <c r="C601" s="629" t="s">
        <v>830</v>
      </c>
      <c r="D601" s="629" t="s">
        <v>2654</v>
      </c>
      <c r="E601" s="629" t="s">
        <v>527</v>
      </c>
      <c r="F601" s="630">
        <v>100</v>
      </c>
      <c r="G601" s="630">
        <v>100.9819</v>
      </c>
      <c r="H601" s="630">
        <v>17.829999999999998</v>
      </c>
      <c r="I601" s="627">
        <v>162</v>
      </c>
      <c r="J601" s="629" t="s">
        <v>2656</v>
      </c>
    </row>
    <row r="602" spans="1:10">
      <c r="A602" s="627">
        <v>422</v>
      </c>
      <c r="B602" s="628" t="s">
        <v>1728</v>
      </c>
      <c r="C602" s="629" t="s">
        <v>1729</v>
      </c>
      <c r="D602" s="629" t="s">
        <v>2654</v>
      </c>
      <c r="E602" s="629" t="s">
        <v>527</v>
      </c>
      <c r="F602" s="630">
        <v>100</v>
      </c>
      <c r="G602" s="630">
        <v>104.5966</v>
      </c>
      <c r="H602" s="630">
        <v>16.98</v>
      </c>
      <c r="I602" s="627">
        <v>267</v>
      </c>
      <c r="J602" s="629" t="s">
        <v>2656</v>
      </c>
    </row>
    <row r="603" spans="1:10">
      <c r="A603" s="627">
        <v>423</v>
      </c>
      <c r="B603" s="628" t="s">
        <v>600</v>
      </c>
      <c r="C603" s="629" t="s">
        <v>601</v>
      </c>
      <c r="D603" s="629" t="s">
        <v>2654</v>
      </c>
      <c r="E603" s="629" t="s">
        <v>527</v>
      </c>
      <c r="F603" s="630">
        <v>87.107371759816246</v>
      </c>
      <c r="G603" s="630">
        <v>95.182371759816249</v>
      </c>
      <c r="H603" s="630">
        <v>17.100000000000001</v>
      </c>
      <c r="I603" s="627">
        <v>774</v>
      </c>
      <c r="J603" s="629" t="s">
        <v>2656</v>
      </c>
    </row>
    <row r="604" spans="1:10">
      <c r="A604" s="627">
        <v>424</v>
      </c>
      <c r="B604" s="628" t="s">
        <v>1731</v>
      </c>
      <c r="C604" s="629" t="s">
        <v>1732</v>
      </c>
      <c r="D604" s="629" t="s">
        <v>2654</v>
      </c>
      <c r="E604" s="629" t="s">
        <v>527</v>
      </c>
      <c r="F604" s="630">
        <v>98.00346216860504</v>
      </c>
      <c r="G604" s="630">
        <v>106.71876216860504</v>
      </c>
      <c r="H604" s="630">
        <v>19.03</v>
      </c>
      <c r="I604" s="627">
        <v>109</v>
      </c>
      <c r="J604" s="629" t="s">
        <v>2656</v>
      </c>
    </row>
    <row r="605" spans="1:10">
      <c r="A605" s="627">
        <v>425</v>
      </c>
      <c r="B605" s="628" t="s">
        <v>602</v>
      </c>
      <c r="C605" s="629" t="s">
        <v>603</v>
      </c>
      <c r="D605" s="629" t="s">
        <v>2654</v>
      </c>
      <c r="E605" s="629" t="s">
        <v>527</v>
      </c>
      <c r="F605" s="630">
        <v>75.546576615990375</v>
      </c>
      <c r="G605" s="630">
        <v>84.254876615990369</v>
      </c>
      <c r="H605" s="630">
        <v>17.05</v>
      </c>
      <c r="I605" s="627">
        <v>1830</v>
      </c>
      <c r="J605" s="629" t="s">
        <v>2656</v>
      </c>
    </row>
    <row r="606" spans="1:10">
      <c r="A606" s="627">
        <v>426</v>
      </c>
      <c r="B606" s="628" t="s">
        <v>1733</v>
      </c>
      <c r="C606" s="629" t="s">
        <v>1734</v>
      </c>
      <c r="D606" s="629" t="s">
        <v>2654</v>
      </c>
      <c r="E606" s="629" t="s">
        <v>527</v>
      </c>
      <c r="F606" s="630">
        <v>95.277417109066107</v>
      </c>
      <c r="G606" s="630">
        <v>96.596817109066109</v>
      </c>
      <c r="H606" s="630">
        <v>18.579999999999998</v>
      </c>
      <c r="I606" s="627">
        <v>322</v>
      </c>
      <c r="J606" s="629" t="s">
        <v>2656</v>
      </c>
    </row>
    <row r="607" spans="1:10">
      <c r="A607" s="627">
        <v>427</v>
      </c>
      <c r="B607" s="628" t="s">
        <v>1735</v>
      </c>
      <c r="C607" s="629" t="s">
        <v>1736</v>
      </c>
      <c r="D607" s="629" t="s">
        <v>2654</v>
      </c>
      <c r="E607" s="629" t="s">
        <v>527</v>
      </c>
      <c r="F607" s="630">
        <v>95.139255396197356</v>
      </c>
      <c r="G607" s="630">
        <v>95.97255539619735</v>
      </c>
      <c r="H607" s="630">
        <v>18.559999999999999</v>
      </c>
      <c r="I607" s="627">
        <v>336</v>
      </c>
      <c r="J607" s="629" t="s">
        <v>2656</v>
      </c>
    </row>
    <row r="608" spans="1:10">
      <c r="A608" s="627">
        <v>428</v>
      </c>
      <c r="B608" s="628" t="s">
        <v>2944</v>
      </c>
      <c r="C608" s="629" t="s">
        <v>2945</v>
      </c>
      <c r="D608" s="629" t="s">
        <v>2654</v>
      </c>
      <c r="E608" s="629" t="s">
        <v>527</v>
      </c>
      <c r="F608" s="630">
        <v>95.685911850975174</v>
      </c>
      <c r="G608" s="630">
        <v>98.22061185097516</v>
      </c>
      <c r="H608" s="630">
        <v>18.559999999999999</v>
      </c>
      <c r="I608" s="627">
        <v>287</v>
      </c>
      <c r="J608" s="629" t="s">
        <v>2656</v>
      </c>
    </row>
    <row r="609" spans="1:10">
      <c r="A609" s="627">
        <v>429</v>
      </c>
      <c r="B609" s="628" t="s">
        <v>3039</v>
      </c>
      <c r="C609" s="629" t="s">
        <v>3040</v>
      </c>
      <c r="D609" s="629" t="s">
        <v>2654</v>
      </c>
      <c r="E609" s="629" t="s">
        <v>527</v>
      </c>
      <c r="F609" s="630">
        <v>95.347995458977138</v>
      </c>
      <c r="G609" s="630">
        <v>96.910495458977138</v>
      </c>
      <c r="H609" s="630">
        <v>18.59</v>
      </c>
      <c r="I609" s="627">
        <v>315</v>
      </c>
      <c r="J609" s="629" t="s">
        <v>2656</v>
      </c>
    </row>
    <row r="610" spans="1:10">
      <c r="A610" s="627">
        <v>430</v>
      </c>
      <c r="B610" s="628" t="s">
        <v>1737</v>
      </c>
      <c r="C610" s="629" t="s">
        <v>1738</v>
      </c>
      <c r="D610" s="629" t="s">
        <v>2654</v>
      </c>
      <c r="E610" s="629" t="s">
        <v>527</v>
      </c>
      <c r="F610" s="630">
        <v>97.284350878566087</v>
      </c>
      <c r="G610" s="630">
        <v>104.1246508785661</v>
      </c>
      <c r="H610" s="630">
        <v>18.63</v>
      </c>
      <c r="I610" s="627">
        <v>163</v>
      </c>
      <c r="J610" s="629" t="s">
        <v>2656</v>
      </c>
    </row>
    <row r="611" spans="1:10">
      <c r="A611" s="627">
        <v>431</v>
      </c>
      <c r="B611" s="628" t="s">
        <v>2531</v>
      </c>
      <c r="C611" s="629" t="s">
        <v>2532</v>
      </c>
      <c r="D611" s="629" t="s">
        <v>2654</v>
      </c>
      <c r="E611" s="629" t="s">
        <v>527</v>
      </c>
      <c r="F611" s="630">
        <v>96.900651676218615</v>
      </c>
      <c r="G611" s="630">
        <v>102.73395167621861</v>
      </c>
      <c r="H611" s="630">
        <v>18.559999999999999</v>
      </c>
      <c r="I611" s="627">
        <v>192</v>
      </c>
      <c r="J611" s="629" t="s">
        <v>2656</v>
      </c>
    </row>
    <row r="612" spans="1:10">
      <c r="A612" s="627">
        <v>432</v>
      </c>
      <c r="B612" s="628" t="s">
        <v>1739</v>
      </c>
      <c r="C612" s="629" t="s">
        <v>1740</v>
      </c>
      <c r="D612" s="629" t="s">
        <v>2654</v>
      </c>
      <c r="E612" s="629" t="s">
        <v>527</v>
      </c>
      <c r="F612" s="630">
        <v>98.048236920820656</v>
      </c>
      <c r="G612" s="630">
        <v>106.86763692082066</v>
      </c>
      <c r="H612" s="630">
        <v>19.059999999999999</v>
      </c>
      <c r="I612" s="627">
        <v>106</v>
      </c>
      <c r="J612" s="629" t="s">
        <v>2656</v>
      </c>
    </row>
    <row r="613" spans="1:10">
      <c r="A613" s="627">
        <v>433</v>
      </c>
      <c r="B613" s="628" t="s">
        <v>2643</v>
      </c>
      <c r="C613" s="629" t="s">
        <v>2644</v>
      </c>
      <c r="D613" s="629" t="s">
        <v>2654</v>
      </c>
      <c r="E613" s="629" t="s">
        <v>527</v>
      </c>
      <c r="F613" s="630">
        <v>96.356516041010991</v>
      </c>
      <c r="G613" s="630">
        <v>100.80091604101099</v>
      </c>
      <c r="H613" s="630">
        <v>18.579999999999998</v>
      </c>
      <c r="I613" s="627">
        <v>232</v>
      </c>
      <c r="J613" s="629" t="s">
        <v>2656</v>
      </c>
    </row>
    <row r="614" spans="1:10">
      <c r="A614" s="627">
        <v>434</v>
      </c>
      <c r="B614" s="628" t="s">
        <v>2628</v>
      </c>
      <c r="C614" s="629" t="s">
        <v>2629</v>
      </c>
      <c r="D614" s="629" t="s">
        <v>2654</v>
      </c>
      <c r="E614" s="629" t="s">
        <v>527</v>
      </c>
      <c r="F614" s="630">
        <v>96.440807732527716</v>
      </c>
      <c r="G614" s="630">
        <v>101.12830773252772</v>
      </c>
      <c r="H614" s="630">
        <v>18.59</v>
      </c>
      <c r="I614" s="627">
        <v>225</v>
      </c>
      <c r="J614" s="629" t="s">
        <v>2656</v>
      </c>
    </row>
    <row r="615" spans="1:10">
      <c r="A615" s="627">
        <v>435</v>
      </c>
      <c r="B615" s="628" t="s">
        <v>2868</v>
      </c>
      <c r="C615" s="629" t="s">
        <v>2869</v>
      </c>
      <c r="D615" s="629" t="s">
        <v>2654</v>
      </c>
      <c r="E615" s="629" t="s">
        <v>527</v>
      </c>
      <c r="F615" s="630">
        <v>96.110121097449735</v>
      </c>
      <c r="G615" s="630">
        <v>99.825421097449734</v>
      </c>
      <c r="H615" s="630">
        <v>18.54</v>
      </c>
      <c r="I615" s="627">
        <v>253</v>
      </c>
      <c r="J615" s="629" t="s">
        <v>2656</v>
      </c>
    </row>
    <row r="616" spans="1:10">
      <c r="A616" s="627">
        <v>436</v>
      </c>
      <c r="B616" s="628" t="s">
        <v>3113</v>
      </c>
      <c r="C616" s="629" t="s">
        <v>3114</v>
      </c>
      <c r="D616" s="629" t="s">
        <v>2654</v>
      </c>
      <c r="E616" s="629" t="s">
        <v>527</v>
      </c>
      <c r="F616" s="630">
        <v>95.081261941480236</v>
      </c>
      <c r="G616" s="630">
        <v>95.706261941480236</v>
      </c>
      <c r="H616" s="630">
        <v>18.55</v>
      </c>
      <c r="I616" s="627">
        <v>342</v>
      </c>
      <c r="J616" s="629" t="s">
        <v>2656</v>
      </c>
    </row>
    <row r="617" spans="1:10">
      <c r="A617" s="627">
        <v>437</v>
      </c>
      <c r="B617" s="628" t="s">
        <v>604</v>
      </c>
      <c r="C617" s="629" t="s">
        <v>605</v>
      </c>
      <c r="D617" s="629" t="s">
        <v>2654</v>
      </c>
      <c r="E617" s="629" t="s">
        <v>527</v>
      </c>
      <c r="F617" s="630">
        <v>97.947588318932517</v>
      </c>
      <c r="G617" s="630">
        <v>105.01978831893251</v>
      </c>
      <c r="H617" s="630">
        <v>17.760000000000002</v>
      </c>
      <c r="I617" s="627">
        <v>92</v>
      </c>
      <c r="J617" s="629" t="s">
        <v>2656</v>
      </c>
    </row>
    <row r="618" spans="1:10">
      <c r="A618" s="627">
        <v>438</v>
      </c>
      <c r="B618" s="628" t="s">
        <v>1741</v>
      </c>
      <c r="C618" s="629" t="s">
        <v>1742</v>
      </c>
      <c r="D618" s="629" t="s">
        <v>2654</v>
      </c>
      <c r="E618" s="629" t="s">
        <v>527</v>
      </c>
      <c r="F618" s="630">
        <v>93.189075819485666</v>
      </c>
      <c r="G618" s="630">
        <v>101.76547581948566</v>
      </c>
      <c r="H618" s="630">
        <v>18.59</v>
      </c>
      <c r="I618" s="627">
        <v>473</v>
      </c>
      <c r="J618" s="629" t="s">
        <v>2656</v>
      </c>
    </row>
    <row r="619" spans="1:10">
      <c r="A619" s="627">
        <v>439</v>
      </c>
      <c r="B619" s="628" t="s">
        <v>1743</v>
      </c>
      <c r="C619" s="629" t="s">
        <v>1744</v>
      </c>
      <c r="D619" s="629" t="s">
        <v>2654</v>
      </c>
      <c r="E619" s="629" t="s">
        <v>527</v>
      </c>
      <c r="F619" s="630">
        <v>92.832977956944433</v>
      </c>
      <c r="G619" s="630">
        <v>100.12467795694442</v>
      </c>
      <c r="H619" s="630">
        <v>18.48</v>
      </c>
      <c r="I619" s="627">
        <v>510</v>
      </c>
      <c r="J619" s="629" t="s">
        <v>2656</v>
      </c>
    </row>
    <row r="620" spans="1:10">
      <c r="A620" s="627">
        <v>440</v>
      </c>
      <c r="B620" s="628" t="s">
        <v>2533</v>
      </c>
      <c r="C620" s="629" t="s">
        <v>2534</v>
      </c>
      <c r="D620" s="629" t="s">
        <v>2654</v>
      </c>
      <c r="E620" s="629" t="s">
        <v>527</v>
      </c>
      <c r="F620" s="630">
        <v>92.310404843606193</v>
      </c>
      <c r="G620" s="630">
        <v>98.143704843606187</v>
      </c>
      <c r="H620" s="630">
        <v>18.489999999999998</v>
      </c>
      <c r="I620" s="627">
        <v>552</v>
      </c>
      <c r="J620" s="629" t="s">
        <v>2656</v>
      </c>
    </row>
    <row r="621" spans="1:10">
      <c r="A621" s="627">
        <v>441</v>
      </c>
      <c r="B621" s="628" t="s">
        <v>1745</v>
      </c>
      <c r="C621" s="629" t="s">
        <v>1746</v>
      </c>
      <c r="D621" s="629" t="s">
        <v>2654</v>
      </c>
      <c r="E621" s="629" t="s">
        <v>2736</v>
      </c>
      <c r="F621" s="630">
        <v>100</v>
      </c>
      <c r="G621" s="630">
        <v>100.0885</v>
      </c>
      <c r="H621" s="630">
        <v>0.35</v>
      </c>
      <c r="I621" s="627">
        <v>269</v>
      </c>
      <c r="J621" s="629" t="s">
        <v>2656</v>
      </c>
    </row>
    <row r="622" spans="1:10">
      <c r="A622" s="627">
        <v>442</v>
      </c>
      <c r="B622" s="628" t="s">
        <v>2959</v>
      </c>
      <c r="C622" s="629" t="s">
        <v>2960</v>
      </c>
      <c r="D622" s="629" t="s">
        <v>2654</v>
      </c>
      <c r="E622" s="629" t="s">
        <v>2736</v>
      </c>
      <c r="F622" s="630">
        <v>100</v>
      </c>
      <c r="G622" s="630">
        <v>100.0583</v>
      </c>
      <c r="H622" s="630">
        <v>0.35</v>
      </c>
      <c r="I622" s="627">
        <v>660</v>
      </c>
      <c r="J622" s="629" t="s">
        <v>2656</v>
      </c>
    </row>
    <row r="623" spans="1:10">
      <c r="A623" s="627">
        <v>443</v>
      </c>
      <c r="B623" s="628" t="s">
        <v>1747</v>
      </c>
      <c r="C623" s="629" t="s">
        <v>1748</v>
      </c>
      <c r="D623" s="629" t="s">
        <v>2654</v>
      </c>
      <c r="E623" s="629" t="s">
        <v>2736</v>
      </c>
      <c r="F623" s="630">
        <v>100</v>
      </c>
      <c r="G623" s="630">
        <v>100.00530000000001</v>
      </c>
      <c r="H623" s="630">
        <v>0.02</v>
      </c>
      <c r="I623" s="627">
        <v>3040</v>
      </c>
      <c r="J623" s="629" t="s">
        <v>2656</v>
      </c>
    </row>
    <row r="624" spans="1:10">
      <c r="A624" s="627">
        <v>444</v>
      </c>
      <c r="B624" s="628" t="s">
        <v>1749</v>
      </c>
      <c r="C624" s="629" t="s">
        <v>1750</v>
      </c>
      <c r="D624" s="629" t="s">
        <v>2654</v>
      </c>
      <c r="E624" s="629" t="s">
        <v>2736</v>
      </c>
      <c r="F624" s="630">
        <v>100</v>
      </c>
      <c r="G624" s="630">
        <v>105.8378</v>
      </c>
      <c r="H624" s="630">
        <v>7.05</v>
      </c>
      <c r="I624" s="627">
        <v>2137</v>
      </c>
      <c r="J624" s="629" t="s">
        <v>2656</v>
      </c>
    </row>
    <row r="625" spans="1:10">
      <c r="A625" s="627">
        <v>445</v>
      </c>
      <c r="B625" s="628" t="s">
        <v>1751</v>
      </c>
      <c r="C625" s="629" t="s">
        <v>1752</v>
      </c>
      <c r="D625" s="629" t="s">
        <v>2654</v>
      </c>
      <c r="E625" s="629" t="s">
        <v>2736</v>
      </c>
      <c r="F625" s="630">
        <v>100</v>
      </c>
      <c r="G625" s="630">
        <v>101.9486</v>
      </c>
      <c r="H625" s="630">
        <v>6.08</v>
      </c>
      <c r="I625" s="627">
        <v>1655</v>
      </c>
      <c r="J625" s="629" t="s">
        <v>2656</v>
      </c>
    </row>
    <row r="626" spans="1:10">
      <c r="A626" s="627">
        <v>446</v>
      </c>
      <c r="B626" s="628" t="s">
        <v>1753</v>
      </c>
      <c r="C626" s="629" t="s">
        <v>1754</v>
      </c>
      <c r="D626" s="629" t="s">
        <v>2654</v>
      </c>
      <c r="E626" s="629" t="s">
        <v>2736</v>
      </c>
      <c r="F626" s="630">
        <v>100</v>
      </c>
      <c r="G626" s="630">
        <v>106.9619</v>
      </c>
      <c r="H626" s="630">
        <v>7.08</v>
      </c>
      <c r="I626" s="627">
        <v>2137</v>
      </c>
      <c r="J626" s="629" t="s">
        <v>2656</v>
      </c>
    </row>
    <row r="627" spans="1:10">
      <c r="A627" s="627">
        <v>447</v>
      </c>
      <c r="B627" s="628" t="s">
        <v>3003</v>
      </c>
      <c r="C627" s="629" t="s">
        <v>3004</v>
      </c>
      <c r="D627" s="629" t="s">
        <v>2654</v>
      </c>
      <c r="E627" s="629" t="s">
        <v>2736</v>
      </c>
      <c r="F627" s="630">
        <v>92.985701869636131</v>
      </c>
      <c r="G627" s="630">
        <v>95.505701869636127</v>
      </c>
      <c r="H627" s="630">
        <v>20.56</v>
      </c>
      <c r="I627" s="627">
        <v>3552</v>
      </c>
      <c r="J627" s="629" t="s">
        <v>2656</v>
      </c>
    </row>
    <row r="628" spans="1:10">
      <c r="A628" s="627">
        <v>448</v>
      </c>
      <c r="B628" s="628" t="s">
        <v>2983</v>
      </c>
      <c r="C628" s="629" t="s">
        <v>2984</v>
      </c>
      <c r="D628" s="629" t="s">
        <v>2654</v>
      </c>
      <c r="E628" s="629" t="s">
        <v>2736</v>
      </c>
      <c r="F628" s="630">
        <v>93.024053141473829</v>
      </c>
      <c r="G628" s="630">
        <v>95.701553141473823</v>
      </c>
      <c r="H628" s="630">
        <v>20.55</v>
      </c>
      <c r="I628" s="627">
        <v>3549</v>
      </c>
      <c r="J628" s="629" t="s">
        <v>2656</v>
      </c>
    </row>
    <row r="629" spans="1:10">
      <c r="A629" s="627">
        <v>449</v>
      </c>
      <c r="B629" s="628" t="s">
        <v>3005</v>
      </c>
      <c r="C629" s="629" t="s">
        <v>3006</v>
      </c>
      <c r="D629" s="629" t="s">
        <v>2654</v>
      </c>
      <c r="E629" s="629" t="s">
        <v>2736</v>
      </c>
      <c r="F629" s="630">
        <v>92.985701869636131</v>
      </c>
      <c r="G629" s="630">
        <v>95.505701869636127</v>
      </c>
      <c r="H629" s="630">
        <v>20.56</v>
      </c>
      <c r="I629" s="627">
        <v>3552</v>
      </c>
      <c r="J629" s="629" t="s">
        <v>2656</v>
      </c>
    </row>
    <row r="630" spans="1:10">
      <c r="A630" s="627">
        <v>450</v>
      </c>
      <c r="B630" s="628" t="s">
        <v>3076</v>
      </c>
      <c r="C630" s="629" t="s">
        <v>3077</v>
      </c>
      <c r="D630" s="629" t="s">
        <v>2654</v>
      </c>
      <c r="E630" s="629" t="s">
        <v>2736</v>
      </c>
      <c r="F630" s="630">
        <v>93.07888885727705</v>
      </c>
      <c r="G630" s="630">
        <v>94.338888857277055</v>
      </c>
      <c r="H630" s="630">
        <v>20.56</v>
      </c>
      <c r="I630" s="627">
        <v>3576</v>
      </c>
      <c r="J630" s="629" t="s">
        <v>2656</v>
      </c>
    </row>
    <row r="631" spans="1:10">
      <c r="A631" s="627">
        <v>451</v>
      </c>
      <c r="B631" s="628" t="s">
        <v>1755</v>
      </c>
      <c r="C631" s="629" t="s">
        <v>1756</v>
      </c>
      <c r="D631" s="629" t="s">
        <v>2654</v>
      </c>
      <c r="E631" s="629" t="s">
        <v>2736</v>
      </c>
      <c r="F631" s="630">
        <v>100</v>
      </c>
      <c r="G631" s="630">
        <v>101.1183</v>
      </c>
      <c r="H631" s="630">
        <v>6.08</v>
      </c>
      <c r="I631" s="627">
        <v>2064</v>
      </c>
      <c r="J631" s="629" t="s">
        <v>2656</v>
      </c>
    </row>
    <row r="632" spans="1:10">
      <c r="A632" s="627">
        <v>452</v>
      </c>
      <c r="B632" s="628" t="s">
        <v>1757</v>
      </c>
      <c r="C632" s="629" t="s">
        <v>1758</v>
      </c>
      <c r="D632" s="629" t="s">
        <v>2654</v>
      </c>
      <c r="E632" s="629" t="s">
        <v>2736</v>
      </c>
      <c r="F632" s="630">
        <v>100</v>
      </c>
      <c r="G632" s="630">
        <v>106.06610000000001</v>
      </c>
      <c r="H632" s="630">
        <v>6.09</v>
      </c>
      <c r="I632" s="627">
        <v>2492</v>
      </c>
      <c r="J632" s="629" t="s">
        <v>2656</v>
      </c>
    </row>
    <row r="633" spans="1:10">
      <c r="A633" s="627">
        <v>453</v>
      </c>
      <c r="B633" s="628" t="s">
        <v>1759</v>
      </c>
      <c r="C633" s="629" t="s">
        <v>1760</v>
      </c>
      <c r="D633" s="629" t="s">
        <v>2654</v>
      </c>
      <c r="E633" s="629" t="s">
        <v>2736</v>
      </c>
      <c r="F633" s="630">
        <v>100</v>
      </c>
      <c r="G633" s="630">
        <v>106.06610000000001</v>
      </c>
      <c r="H633" s="630">
        <v>6.09</v>
      </c>
      <c r="I633" s="627">
        <v>2492</v>
      </c>
      <c r="J633" s="629" t="s">
        <v>2656</v>
      </c>
    </row>
    <row r="634" spans="1:10">
      <c r="A634" s="627">
        <v>454</v>
      </c>
      <c r="B634" s="628" t="s">
        <v>1761</v>
      </c>
      <c r="C634" s="629" t="s">
        <v>1762</v>
      </c>
      <c r="D634" s="629" t="s">
        <v>2654</v>
      </c>
      <c r="E634" s="629" t="s">
        <v>570</v>
      </c>
      <c r="F634" s="630">
        <v>99.896342697520495</v>
      </c>
      <c r="G634" s="630">
        <v>109.3699426975205</v>
      </c>
      <c r="H634" s="630">
        <v>53.39</v>
      </c>
      <c r="I634" s="627">
        <v>1</v>
      </c>
      <c r="J634" s="629" t="s">
        <v>2656</v>
      </c>
    </row>
    <row r="635" spans="1:10">
      <c r="A635" s="627">
        <v>455</v>
      </c>
      <c r="B635" s="628" t="s">
        <v>1763</v>
      </c>
      <c r="C635" s="629" t="s">
        <v>1764</v>
      </c>
      <c r="D635" s="629" t="s">
        <v>2651</v>
      </c>
      <c r="E635" s="629" t="s">
        <v>2737</v>
      </c>
      <c r="F635" s="630">
        <v>0.01</v>
      </c>
      <c r="G635" s="630">
        <v>0.01</v>
      </c>
      <c r="H635" s="630">
        <v>0</v>
      </c>
      <c r="I635" s="627">
        <v>0</v>
      </c>
      <c r="J635" s="629" t="s">
        <v>2653</v>
      </c>
    </row>
    <row r="636" spans="1:10">
      <c r="A636" s="627">
        <v>456</v>
      </c>
      <c r="B636" s="628" t="s">
        <v>1765</v>
      </c>
      <c r="C636" s="629" t="s">
        <v>1766</v>
      </c>
      <c r="D636" s="629" t="s">
        <v>2651</v>
      </c>
      <c r="E636" s="629" t="s">
        <v>2738</v>
      </c>
      <c r="F636" s="630">
        <v>71</v>
      </c>
      <c r="G636" s="630">
        <v>71</v>
      </c>
      <c r="H636" s="630">
        <v>0</v>
      </c>
      <c r="I636" s="627">
        <v>0</v>
      </c>
      <c r="J636" s="629" t="s">
        <v>2653</v>
      </c>
    </row>
    <row r="637" spans="1:10">
      <c r="A637" s="627">
        <v>457</v>
      </c>
      <c r="B637" s="628" t="s">
        <v>606</v>
      </c>
      <c r="C637" s="629" t="s">
        <v>607</v>
      </c>
      <c r="D637" s="629" t="s">
        <v>2651</v>
      </c>
      <c r="E637" s="629" t="s">
        <v>608</v>
      </c>
      <c r="F637" s="630">
        <v>22006.589740785301</v>
      </c>
      <c r="G637" s="630">
        <v>22006.589740785301</v>
      </c>
      <c r="H637" s="630">
        <v>0</v>
      </c>
      <c r="I637" s="627">
        <v>0</v>
      </c>
      <c r="J637" s="629" t="s">
        <v>2653</v>
      </c>
    </row>
    <row r="638" spans="1:10">
      <c r="A638" s="627">
        <v>458</v>
      </c>
      <c r="B638" s="628" t="s">
        <v>1064</v>
      </c>
      <c r="C638" s="629" t="s">
        <v>1065</v>
      </c>
      <c r="D638" s="629" t="s">
        <v>2654</v>
      </c>
      <c r="E638" s="629" t="s">
        <v>608</v>
      </c>
      <c r="F638" s="630">
        <v>100.678</v>
      </c>
      <c r="G638" s="630">
        <v>100.69119999999999</v>
      </c>
      <c r="H638" s="630">
        <v>4.28</v>
      </c>
      <c r="I638" s="627">
        <v>539</v>
      </c>
      <c r="J638" s="629" t="s">
        <v>2656</v>
      </c>
    </row>
    <row r="639" spans="1:10">
      <c r="A639" s="627">
        <v>459</v>
      </c>
      <c r="B639" s="628" t="s">
        <v>609</v>
      </c>
      <c r="C639" s="629" t="s">
        <v>610</v>
      </c>
      <c r="D639" s="629" t="s">
        <v>2654</v>
      </c>
      <c r="E639" s="629" t="s">
        <v>608</v>
      </c>
      <c r="F639" s="630">
        <v>94.504999999999995</v>
      </c>
      <c r="G639" s="630">
        <v>94.521000000000001</v>
      </c>
      <c r="H639" s="630">
        <v>6.22</v>
      </c>
      <c r="I639" s="627">
        <v>7739</v>
      </c>
      <c r="J639" s="629" t="s">
        <v>2656</v>
      </c>
    </row>
    <row r="640" spans="1:10">
      <c r="A640" s="627">
        <v>460</v>
      </c>
      <c r="B640" s="628" t="s">
        <v>611</v>
      </c>
      <c r="C640" s="629" t="s">
        <v>612</v>
      </c>
      <c r="D640" s="629" t="s">
        <v>2654</v>
      </c>
      <c r="E640" s="629" t="s">
        <v>608</v>
      </c>
      <c r="F640" s="630">
        <v>102.905</v>
      </c>
      <c r="G640" s="630">
        <v>105.53279999999999</v>
      </c>
      <c r="H640" s="630">
        <v>4.6500000000000004</v>
      </c>
      <c r="I640" s="627">
        <v>1624</v>
      </c>
      <c r="J640" s="629" t="s">
        <v>2656</v>
      </c>
    </row>
    <row r="641" spans="1:10">
      <c r="A641" s="627">
        <v>461</v>
      </c>
      <c r="B641" s="628" t="s">
        <v>613</v>
      </c>
      <c r="C641" s="629" t="s">
        <v>614</v>
      </c>
      <c r="D641" s="629" t="s">
        <v>2654</v>
      </c>
      <c r="E641" s="629" t="s">
        <v>608</v>
      </c>
      <c r="F641" s="630">
        <v>100.209</v>
      </c>
      <c r="G641" s="630">
        <v>103.3257</v>
      </c>
      <c r="H641" s="630">
        <v>6.36</v>
      </c>
      <c r="I641" s="627">
        <v>8284</v>
      </c>
      <c r="J641" s="629" t="s">
        <v>2656</v>
      </c>
    </row>
    <row r="642" spans="1:10">
      <c r="A642" s="627">
        <v>462</v>
      </c>
      <c r="B642" s="628" t="s">
        <v>615</v>
      </c>
      <c r="C642" s="629" t="s">
        <v>616</v>
      </c>
      <c r="D642" s="629" t="s">
        <v>2654</v>
      </c>
      <c r="E642" s="629" t="s">
        <v>608</v>
      </c>
      <c r="F642" s="630">
        <v>90.585999999999999</v>
      </c>
      <c r="G642" s="630">
        <v>90.644300000000001</v>
      </c>
      <c r="H642" s="630">
        <v>5.0199999999999996</v>
      </c>
      <c r="I642" s="627">
        <v>2694</v>
      </c>
      <c r="J642" s="629" t="s">
        <v>2656</v>
      </c>
    </row>
    <row r="643" spans="1:10">
      <c r="A643" s="627">
        <v>463</v>
      </c>
      <c r="B643" s="628" t="s">
        <v>1767</v>
      </c>
      <c r="C643" s="629" t="s">
        <v>1768</v>
      </c>
      <c r="D643" s="629" t="s">
        <v>2654</v>
      </c>
      <c r="E643" s="629" t="s">
        <v>2739</v>
      </c>
      <c r="F643" s="630">
        <v>100</v>
      </c>
      <c r="G643" s="630">
        <v>100.7792</v>
      </c>
      <c r="H643" s="630">
        <v>4.2300000000000004</v>
      </c>
      <c r="I643" s="627">
        <v>234</v>
      </c>
      <c r="J643" s="629" t="s">
        <v>2656</v>
      </c>
    </row>
    <row r="644" spans="1:10">
      <c r="A644" s="627">
        <v>464</v>
      </c>
      <c r="B644" s="628" t="s">
        <v>1769</v>
      </c>
      <c r="C644" s="629" t="s">
        <v>1770</v>
      </c>
      <c r="D644" s="629" t="s">
        <v>2654</v>
      </c>
      <c r="E644" s="629" t="s">
        <v>2739</v>
      </c>
      <c r="F644" s="630">
        <v>100</v>
      </c>
      <c r="G644" s="630">
        <v>100.1371</v>
      </c>
      <c r="H644" s="630">
        <v>0.35</v>
      </c>
      <c r="I644" s="627">
        <v>39</v>
      </c>
      <c r="J644" s="629" t="s">
        <v>2656</v>
      </c>
    </row>
    <row r="645" spans="1:10">
      <c r="A645" s="627">
        <v>465</v>
      </c>
      <c r="B645" s="628" t="s">
        <v>1771</v>
      </c>
      <c r="C645" s="629" t="s">
        <v>1772</v>
      </c>
      <c r="D645" s="629" t="s">
        <v>2654</v>
      </c>
      <c r="E645" s="629" t="s">
        <v>2739</v>
      </c>
      <c r="F645" s="630">
        <v>100</v>
      </c>
      <c r="G645" s="630">
        <v>100.0972</v>
      </c>
      <c r="H645" s="630">
        <v>0.35</v>
      </c>
      <c r="I645" s="627">
        <v>260</v>
      </c>
      <c r="J645" s="629" t="s">
        <v>2656</v>
      </c>
    </row>
    <row r="646" spans="1:10">
      <c r="A646" s="627">
        <v>466</v>
      </c>
      <c r="B646" s="628" t="s">
        <v>2549</v>
      </c>
      <c r="C646" s="629" t="s">
        <v>2550</v>
      </c>
      <c r="D646" s="629" t="s">
        <v>2654</v>
      </c>
      <c r="E646" s="629" t="s">
        <v>2739</v>
      </c>
      <c r="F646" s="630">
        <v>100</v>
      </c>
      <c r="G646" s="630">
        <v>100.15170000000001</v>
      </c>
      <c r="H646" s="630">
        <v>0.35</v>
      </c>
      <c r="I646" s="627">
        <v>564</v>
      </c>
      <c r="J646" s="629" t="s">
        <v>2656</v>
      </c>
    </row>
    <row r="647" spans="1:10">
      <c r="A647" s="627">
        <v>467</v>
      </c>
      <c r="B647" s="628" t="s">
        <v>1773</v>
      </c>
      <c r="C647" s="629" t="s">
        <v>1774</v>
      </c>
      <c r="D647" s="629" t="s">
        <v>2654</v>
      </c>
      <c r="E647" s="629" t="s">
        <v>2739</v>
      </c>
      <c r="F647" s="630">
        <v>100</v>
      </c>
      <c r="G647" s="630">
        <v>100.0168</v>
      </c>
      <c r="H647" s="630">
        <v>0.02</v>
      </c>
      <c r="I647" s="627">
        <v>3040</v>
      </c>
      <c r="J647" s="629" t="s">
        <v>2656</v>
      </c>
    </row>
    <row r="648" spans="1:10">
      <c r="A648" s="627">
        <v>468</v>
      </c>
      <c r="B648" s="628" t="s">
        <v>1775</v>
      </c>
      <c r="C648" s="629" t="s">
        <v>1776</v>
      </c>
      <c r="D648" s="629" t="s">
        <v>2654</v>
      </c>
      <c r="E648" s="629" t="s">
        <v>2739</v>
      </c>
      <c r="F648" s="630">
        <v>100</v>
      </c>
      <c r="G648" s="630">
        <v>100.0067</v>
      </c>
      <c r="H648" s="630">
        <v>0.02</v>
      </c>
      <c r="I648" s="627">
        <v>3040</v>
      </c>
      <c r="J648" s="629" t="s">
        <v>2656</v>
      </c>
    </row>
    <row r="649" spans="1:10">
      <c r="A649" s="627">
        <v>469</v>
      </c>
      <c r="B649" s="628" t="s">
        <v>1777</v>
      </c>
      <c r="C649" s="629" t="s">
        <v>1778</v>
      </c>
      <c r="D649" s="629" t="s">
        <v>2654</v>
      </c>
      <c r="E649" s="629" t="s">
        <v>2739</v>
      </c>
      <c r="F649" s="630">
        <v>100</v>
      </c>
      <c r="G649" s="630">
        <v>101.9486</v>
      </c>
      <c r="H649" s="630">
        <v>6.08</v>
      </c>
      <c r="I649" s="627">
        <v>1655</v>
      </c>
      <c r="J649" s="629" t="s">
        <v>2656</v>
      </c>
    </row>
    <row r="650" spans="1:10">
      <c r="A650" s="627">
        <v>470</v>
      </c>
      <c r="B650" s="628" t="s">
        <v>2924</v>
      </c>
      <c r="C650" s="629" t="s">
        <v>2925</v>
      </c>
      <c r="D650" s="629" t="s">
        <v>2654</v>
      </c>
      <c r="E650" s="629" t="s">
        <v>2739</v>
      </c>
      <c r="F650" s="630">
        <v>90.081836475033526</v>
      </c>
      <c r="G650" s="630">
        <v>94.126236475033522</v>
      </c>
      <c r="H650" s="630">
        <v>20.56</v>
      </c>
      <c r="I650" s="627">
        <v>3520</v>
      </c>
      <c r="J650" s="629" t="s">
        <v>2656</v>
      </c>
    </row>
    <row r="651" spans="1:10">
      <c r="A651" s="627">
        <v>471</v>
      </c>
      <c r="B651" s="628" t="s">
        <v>2985</v>
      </c>
      <c r="C651" s="629" t="s">
        <v>2986</v>
      </c>
      <c r="D651" s="629" t="s">
        <v>2654</v>
      </c>
      <c r="E651" s="629" t="s">
        <v>2739</v>
      </c>
      <c r="F651" s="630">
        <v>93.024053141473829</v>
      </c>
      <c r="G651" s="630">
        <v>95.701553141473823</v>
      </c>
      <c r="H651" s="630">
        <v>20.55</v>
      </c>
      <c r="I651" s="627">
        <v>3549</v>
      </c>
      <c r="J651" s="629" t="s">
        <v>2656</v>
      </c>
    </row>
    <row r="652" spans="1:10">
      <c r="A652" s="627">
        <v>472</v>
      </c>
      <c r="B652" s="628" t="s">
        <v>2987</v>
      </c>
      <c r="C652" s="629" t="s">
        <v>2988</v>
      </c>
      <c r="D652" s="629" t="s">
        <v>2654</v>
      </c>
      <c r="E652" s="629" t="s">
        <v>2739</v>
      </c>
      <c r="F652" s="630">
        <v>93.024053141473829</v>
      </c>
      <c r="G652" s="630">
        <v>95.701553141473823</v>
      </c>
      <c r="H652" s="630">
        <v>20.55</v>
      </c>
      <c r="I652" s="627">
        <v>3549</v>
      </c>
      <c r="J652" s="629" t="s">
        <v>2656</v>
      </c>
    </row>
    <row r="653" spans="1:10">
      <c r="A653" s="627">
        <v>473</v>
      </c>
      <c r="B653" s="628" t="s">
        <v>1779</v>
      </c>
      <c r="C653" s="629" t="s">
        <v>1780</v>
      </c>
      <c r="D653" s="629" t="s">
        <v>2654</v>
      </c>
      <c r="E653" s="629" t="s">
        <v>2739</v>
      </c>
      <c r="F653" s="630">
        <v>100</v>
      </c>
      <c r="G653" s="630">
        <v>101.1183</v>
      </c>
      <c r="H653" s="630">
        <v>6.08</v>
      </c>
      <c r="I653" s="627">
        <v>2064</v>
      </c>
      <c r="J653" s="629" t="s">
        <v>2656</v>
      </c>
    </row>
    <row r="654" spans="1:10">
      <c r="A654" s="627">
        <v>474</v>
      </c>
      <c r="B654" s="628" t="s">
        <v>1781</v>
      </c>
      <c r="C654" s="629" t="s">
        <v>1782</v>
      </c>
      <c r="D654" s="629" t="s">
        <v>2654</v>
      </c>
      <c r="E654" s="629" t="s">
        <v>2739</v>
      </c>
      <c r="F654" s="630">
        <v>100</v>
      </c>
      <c r="G654" s="630">
        <v>106.06610000000001</v>
      </c>
      <c r="H654" s="630">
        <v>6.09</v>
      </c>
      <c r="I654" s="627">
        <v>2492</v>
      </c>
      <c r="J654" s="629" t="s">
        <v>2656</v>
      </c>
    </row>
    <row r="655" spans="1:10">
      <c r="A655" s="627">
        <v>475</v>
      </c>
      <c r="B655" s="628" t="s">
        <v>1783</v>
      </c>
      <c r="C655" s="629" t="s">
        <v>1784</v>
      </c>
      <c r="D655" s="629" t="s">
        <v>2654</v>
      </c>
      <c r="E655" s="629" t="s">
        <v>2739</v>
      </c>
      <c r="F655" s="630">
        <v>100</v>
      </c>
      <c r="G655" s="630">
        <v>106.06610000000001</v>
      </c>
      <c r="H655" s="630">
        <v>6.09</v>
      </c>
      <c r="I655" s="627">
        <v>2492</v>
      </c>
      <c r="J655" s="629" t="s">
        <v>2656</v>
      </c>
    </row>
    <row r="656" spans="1:10">
      <c r="A656" s="627">
        <v>476</v>
      </c>
      <c r="B656" s="628" t="s">
        <v>1785</v>
      </c>
      <c r="C656" s="629" t="s">
        <v>1786</v>
      </c>
      <c r="D656" s="629" t="s">
        <v>2654</v>
      </c>
      <c r="E656" s="629" t="s">
        <v>2739</v>
      </c>
      <c r="F656" s="630">
        <v>100</v>
      </c>
      <c r="G656" s="630">
        <v>104.9308</v>
      </c>
      <c r="H656" s="630">
        <v>6.08</v>
      </c>
      <c r="I656" s="627">
        <v>2559</v>
      </c>
      <c r="J656" s="629" t="s">
        <v>2656</v>
      </c>
    </row>
    <row r="657" spans="1:10">
      <c r="A657" s="627">
        <v>477</v>
      </c>
      <c r="B657" s="628" t="s">
        <v>1787</v>
      </c>
      <c r="C657" s="629" t="s">
        <v>1788</v>
      </c>
      <c r="D657" s="629" t="s">
        <v>2651</v>
      </c>
      <c r="E657" s="629" t="s">
        <v>2740</v>
      </c>
      <c r="F657" s="630">
        <v>0.01</v>
      </c>
      <c r="G657" s="630">
        <v>0.01</v>
      </c>
      <c r="H657" s="630">
        <v>0</v>
      </c>
      <c r="I657" s="627">
        <v>0</v>
      </c>
      <c r="J657" s="629" t="s">
        <v>2653</v>
      </c>
    </row>
    <row r="658" spans="1:10">
      <c r="A658" s="627">
        <v>478</v>
      </c>
      <c r="B658" s="628" t="s">
        <v>1789</v>
      </c>
      <c r="C658" s="629" t="s">
        <v>1790</v>
      </c>
      <c r="D658" s="629" t="s">
        <v>2651</v>
      </c>
      <c r="E658" s="629" t="s">
        <v>1791</v>
      </c>
      <c r="F658" s="630">
        <v>36694.053600000007</v>
      </c>
      <c r="G658" s="630">
        <v>36694.053600000007</v>
      </c>
      <c r="H658" s="630">
        <v>0</v>
      </c>
      <c r="I658" s="627">
        <v>0</v>
      </c>
      <c r="J658" s="629" t="s">
        <v>2653</v>
      </c>
    </row>
    <row r="659" spans="1:10">
      <c r="A659" s="627">
        <v>479</v>
      </c>
      <c r="B659" s="628" t="s">
        <v>1792</v>
      </c>
      <c r="C659" s="629" t="s">
        <v>1793</v>
      </c>
      <c r="D659" s="629" t="s">
        <v>2654</v>
      </c>
      <c r="E659" s="629" t="s">
        <v>2741</v>
      </c>
      <c r="F659" s="630">
        <v>100</v>
      </c>
      <c r="G659" s="630">
        <v>101.8653</v>
      </c>
      <c r="H659" s="630">
        <v>4.24</v>
      </c>
      <c r="I659" s="627">
        <v>322</v>
      </c>
      <c r="J659" s="629" t="s">
        <v>2656</v>
      </c>
    </row>
    <row r="660" spans="1:10">
      <c r="A660" s="627">
        <v>480</v>
      </c>
      <c r="B660" s="628" t="s">
        <v>1794</v>
      </c>
      <c r="C660" s="629" t="s">
        <v>1795</v>
      </c>
      <c r="D660" s="629" t="s">
        <v>2654</v>
      </c>
      <c r="E660" s="629" t="s">
        <v>2741</v>
      </c>
      <c r="F660" s="630">
        <v>100</v>
      </c>
      <c r="G660" s="630">
        <v>100.1439</v>
      </c>
      <c r="H660" s="630">
        <v>0.35</v>
      </c>
      <c r="I660" s="627">
        <v>32</v>
      </c>
      <c r="J660" s="629" t="s">
        <v>2656</v>
      </c>
    </row>
    <row r="661" spans="1:10">
      <c r="A661" s="627">
        <v>481</v>
      </c>
      <c r="B661" s="628" t="s">
        <v>1796</v>
      </c>
      <c r="C661" s="629" t="s">
        <v>1797</v>
      </c>
      <c r="D661" s="629" t="s">
        <v>2654</v>
      </c>
      <c r="E661" s="629" t="s">
        <v>2741</v>
      </c>
      <c r="F661" s="630">
        <v>100</v>
      </c>
      <c r="G661" s="630">
        <v>100.0778</v>
      </c>
      <c r="H661" s="630">
        <v>0.35</v>
      </c>
      <c r="I661" s="627">
        <v>280</v>
      </c>
      <c r="J661" s="629" t="s">
        <v>2656</v>
      </c>
    </row>
    <row r="662" spans="1:10">
      <c r="A662" s="627">
        <v>482</v>
      </c>
      <c r="B662" s="628" t="s">
        <v>1798</v>
      </c>
      <c r="C662" s="629" t="s">
        <v>1799</v>
      </c>
      <c r="D662" s="629" t="s">
        <v>2654</v>
      </c>
      <c r="E662" s="629" t="s">
        <v>2741</v>
      </c>
      <c r="F662" s="630">
        <v>100</v>
      </c>
      <c r="G662" s="630">
        <v>100.00190000000001</v>
      </c>
      <c r="H662" s="630">
        <v>0.35</v>
      </c>
      <c r="I662" s="627">
        <v>538</v>
      </c>
      <c r="J662" s="629" t="s">
        <v>2656</v>
      </c>
    </row>
    <row r="663" spans="1:10">
      <c r="A663" s="627">
        <v>483</v>
      </c>
      <c r="B663" s="628" t="s">
        <v>1800</v>
      </c>
      <c r="C663" s="629" t="s">
        <v>1801</v>
      </c>
      <c r="D663" s="629" t="s">
        <v>2654</v>
      </c>
      <c r="E663" s="629" t="s">
        <v>2741</v>
      </c>
      <c r="F663" s="630">
        <v>100</v>
      </c>
      <c r="G663" s="630">
        <v>100.0042</v>
      </c>
      <c r="H663" s="630">
        <v>0.02</v>
      </c>
      <c r="I663" s="627">
        <v>3040</v>
      </c>
      <c r="J663" s="629" t="s">
        <v>2656</v>
      </c>
    </row>
    <row r="664" spans="1:10">
      <c r="A664" s="627">
        <v>484</v>
      </c>
      <c r="B664" s="628" t="s">
        <v>1802</v>
      </c>
      <c r="C664" s="629" t="s">
        <v>1803</v>
      </c>
      <c r="D664" s="629" t="s">
        <v>2654</v>
      </c>
      <c r="E664" s="629" t="s">
        <v>2741</v>
      </c>
      <c r="F664" s="630">
        <v>100</v>
      </c>
      <c r="G664" s="630">
        <v>100.00709999999999</v>
      </c>
      <c r="H664" s="630">
        <v>0.02</v>
      </c>
      <c r="I664" s="627">
        <v>3040</v>
      </c>
      <c r="J664" s="629" t="s">
        <v>2656</v>
      </c>
    </row>
    <row r="665" spans="1:10">
      <c r="A665" s="627">
        <v>485</v>
      </c>
      <c r="B665" s="628" t="s">
        <v>1804</v>
      </c>
      <c r="C665" s="629" t="s">
        <v>1805</v>
      </c>
      <c r="D665" s="629" t="s">
        <v>2654</v>
      </c>
      <c r="E665" s="629" t="s">
        <v>2741</v>
      </c>
      <c r="F665" s="630">
        <v>100</v>
      </c>
      <c r="G665" s="630">
        <v>101.9486</v>
      </c>
      <c r="H665" s="630">
        <v>6.08</v>
      </c>
      <c r="I665" s="627">
        <v>1655</v>
      </c>
      <c r="J665" s="629" t="s">
        <v>2656</v>
      </c>
    </row>
    <row r="666" spans="1:10">
      <c r="A666" s="627">
        <v>486</v>
      </c>
      <c r="B666" s="628" t="s">
        <v>1806</v>
      </c>
      <c r="C666" s="629" t="s">
        <v>1807</v>
      </c>
      <c r="D666" s="629" t="s">
        <v>2654</v>
      </c>
      <c r="E666" s="629" t="s">
        <v>2741</v>
      </c>
      <c r="F666" s="630">
        <v>100</v>
      </c>
      <c r="G666" s="630">
        <v>106.9619</v>
      </c>
      <c r="H666" s="630">
        <v>7.08</v>
      </c>
      <c r="I666" s="627">
        <v>2137</v>
      </c>
      <c r="J666" s="629" t="s">
        <v>2656</v>
      </c>
    </row>
    <row r="667" spans="1:10">
      <c r="A667" s="627">
        <v>487</v>
      </c>
      <c r="B667" s="628" t="s">
        <v>2889</v>
      </c>
      <c r="C667" s="629" t="s">
        <v>2890</v>
      </c>
      <c r="D667" s="629" t="s">
        <v>2654</v>
      </c>
      <c r="E667" s="629" t="s">
        <v>2741</v>
      </c>
      <c r="F667" s="630">
        <v>90.103829909734245</v>
      </c>
      <c r="G667" s="630">
        <v>94.754929909734244</v>
      </c>
      <c r="H667" s="630">
        <v>20.55</v>
      </c>
      <c r="I667" s="627">
        <v>3508</v>
      </c>
      <c r="J667" s="629" t="s">
        <v>2656</v>
      </c>
    </row>
    <row r="668" spans="1:10">
      <c r="A668" s="627">
        <v>488</v>
      </c>
      <c r="B668" s="628" t="s">
        <v>2989</v>
      </c>
      <c r="C668" s="629" t="s">
        <v>2990</v>
      </c>
      <c r="D668" s="629" t="s">
        <v>2654</v>
      </c>
      <c r="E668" s="629" t="s">
        <v>2741</v>
      </c>
      <c r="F668" s="630">
        <v>93.024053141473829</v>
      </c>
      <c r="G668" s="630">
        <v>95.701553141473823</v>
      </c>
      <c r="H668" s="630">
        <v>20.55</v>
      </c>
      <c r="I668" s="627">
        <v>3549</v>
      </c>
      <c r="J668" s="629" t="s">
        <v>2656</v>
      </c>
    </row>
    <row r="669" spans="1:10">
      <c r="A669" s="627">
        <v>489</v>
      </c>
      <c r="B669" s="628" t="s">
        <v>1808</v>
      </c>
      <c r="C669" s="629" t="s">
        <v>1809</v>
      </c>
      <c r="D669" s="629" t="s">
        <v>2654</v>
      </c>
      <c r="E669" s="629" t="s">
        <v>2741</v>
      </c>
      <c r="F669" s="630">
        <v>100</v>
      </c>
      <c r="G669" s="630">
        <v>101.1183</v>
      </c>
      <c r="H669" s="630">
        <v>6.08</v>
      </c>
      <c r="I669" s="627">
        <v>2064</v>
      </c>
      <c r="J669" s="629" t="s">
        <v>2656</v>
      </c>
    </row>
    <row r="670" spans="1:10">
      <c r="A670" s="627">
        <v>490</v>
      </c>
      <c r="B670" s="628" t="s">
        <v>1810</v>
      </c>
      <c r="C670" s="629" t="s">
        <v>1811</v>
      </c>
      <c r="D670" s="629" t="s">
        <v>2654</v>
      </c>
      <c r="E670" s="629" t="s">
        <v>2741</v>
      </c>
      <c r="F670" s="630">
        <v>100</v>
      </c>
      <c r="G670" s="630">
        <v>106.06610000000001</v>
      </c>
      <c r="H670" s="630">
        <v>6.09</v>
      </c>
      <c r="I670" s="627">
        <v>2492</v>
      </c>
      <c r="J670" s="629" t="s">
        <v>2656</v>
      </c>
    </row>
    <row r="671" spans="1:10">
      <c r="A671" s="627">
        <v>491</v>
      </c>
      <c r="B671" s="628" t="s">
        <v>1812</v>
      </c>
      <c r="C671" s="629" t="s">
        <v>1813</v>
      </c>
      <c r="D671" s="629" t="s">
        <v>2654</v>
      </c>
      <c r="E671" s="629" t="s">
        <v>2741</v>
      </c>
      <c r="F671" s="630">
        <v>100</v>
      </c>
      <c r="G671" s="630">
        <v>106.06610000000001</v>
      </c>
      <c r="H671" s="630">
        <v>6.09</v>
      </c>
      <c r="I671" s="627">
        <v>2492</v>
      </c>
      <c r="J671" s="629" t="s">
        <v>2656</v>
      </c>
    </row>
    <row r="672" spans="1:10">
      <c r="A672" s="627">
        <v>492</v>
      </c>
      <c r="B672" s="628" t="s">
        <v>1814</v>
      </c>
      <c r="C672" s="629" t="s">
        <v>1815</v>
      </c>
      <c r="D672" s="629" t="s">
        <v>2654</v>
      </c>
      <c r="E672" s="629" t="s">
        <v>2741</v>
      </c>
      <c r="F672" s="630">
        <v>100</v>
      </c>
      <c r="G672" s="630">
        <v>104.9308</v>
      </c>
      <c r="H672" s="630">
        <v>6.08</v>
      </c>
      <c r="I672" s="627">
        <v>2559</v>
      </c>
      <c r="J672" s="629" t="s">
        <v>2656</v>
      </c>
    </row>
    <row r="673" spans="1:10">
      <c r="A673" s="627">
        <v>493</v>
      </c>
      <c r="B673" s="628" t="s">
        <v>1816</v>
      </c>
      <c r="C673" s="629" t="s">
        <v>1817</v>
      </c>
      <c r="D673" s="629" t="s">
        <v>2651</v>
      </c>
      <c r="E673" s="629" t="s">
        <v>2742</v>
      </c>
      <c r="F673" s="630">
        <v>0.01</v>
      </c>
      <c r="G673" s="630">
        <v>0.01</v>
      </c>
      <c r="H673" s="630">
        <v>0</v>
      </c>
      <c r="I673" s="627">
        <v>0</v>
      </c>
      <c r="J673" s="629" t="s">
        <v>2653</v>
      </c>
    </row>
    <row r="674" spans="1:10">
      <c r="A674" s="627">
        <v>494</v>
      </c>
      <c r="B674" s="628" t="s">
        <v>617</v>
      </c>
      <c r="C674" s="629" t="s">
        <v>618</v>
      </c>
      <c r="D674" s="629" t="s">
        <v>2651</v>
      </c>
      <c r="E674" s="629" t="s">
        <v>619</v>
      </c>
      <c r="F674" s="630">
        <v>41911.541421850197</v>
      </c>
      <c r="G674" s="630">
        <v>41911.541421850197</v>
      </c>
      <c r="H674" s="630">
        <v>0</v>
      </c>
      <c r="I674" s="627">
        <v>0</v>
      </c>
      <c r="J674" s="629" t="s">
        <v>2653</v>
      </c>
    </row>
    <row r="675" spans="1:10">
      <c r="A675" s="627">
        <v>495</v>
      </c>
      <c r="B675" s="628" t="s">
        <v>620</v>
      </c>
      <c r="C675" s="629" t="s">
        <v>621</v>
      </c>
      <c r="D675" s="629" t="s">
        <v>2664</v>
      </c>
      <c r="E675" s="629" t="s">
        <v>619</v>
      </c>
      <c r="F675" s="630">
        <v>40574.618396587561</v>
      </c>
      <c r="G675" s="630">
        <v>40574.618396587561</v>
      </c>
      <c r="H675" s="630">
        <v>0</v>
      </c>
      <c r="I675" s="627">
        <v>0</v>
      </c>
      <c r="J675" s="629" t="s">
        <v>2653</v>
      </c>
    </row>
    <row r="676" spans="1:10">
      <c r="A676" s="627">
        <v>496</v>
      </c>
      <c r="B676" s="628" t="s">
        <v>1818</v>
      </c>
      <c r="C676" s="629" t="s">
        <v>1819</v>
      </c>
      <c r="D676" s="629" t="s">
        <v>2654</v>
      </c>
      <c r="E676" s="629" t="s">
        <v>2743</v>
      </c>
      <c r="F676" s="630">
        <v>98.085034059645153</v>
      </c>
      <c r="G676" s="630">
        <v>100.62673405964514</v>
      </c>
      <c r="H676" s="630">
        <v>19.899999999999999</v>
      </c>
      <c r="I676" s="627">
        <v>58</v>
      </c>
      <c r="J676" s="629" t="s">
        <v>2656</v>
      </c>
    </row>
    <row r="677" spans="1:10">
      <c r="A677" s="627">
        <v>497</v>
      </c>
      <c r="B677" s="628" t="s">
        <v>1820</v>
      </c>
      <c r="C677" s="629" t="s">
        <v>1821</v>
      </c>
      <c r="D677" s="629" t="s">
        <v>2651</v>
      </c>
      <c r="E677" s="629" t="s">
        <v>1822</v>
      </c>
      <c r="F677" s="630">
        <v>254.86263600000004</v>
      </c>
      <c r="G677" s="630">
        <v>254.86263600000004</v>
      </c>
      <c r="H677" s="630">
        <v>0</v>
      </c>
      <c r="I677" s="627">
        <v>0</v>
      </c>
      <c r="J677" s="629" t="s">
        <v>2653</v>
      </c>
    </row>
    <row r="678" spans="1:10">
      <c r="A678" s="627">
        <v>498</v>
      </c>
      <c r="B678" s="628" t="s">
        <v>1823</v>
      </c>
      <c r="C678" s="629" t="s">
        <v>1824</v>
      </c>
      <c r="D678" s="629" t="s">
        <v>2654</v>
      </c>
      <c r="E678" s="629" t="s">
        <v>144</v>
      </c>
      <c r="F678" s="630">
        <v>82.362236599143813</v>
      </c>
      <c r="G678" s="630">
        <v>87.237236599143813</v>
      </c>
      <c r="H678" s="630">
        <v>20.09</v>
      </c>
      <c r="I678" s="627">
        <v>2223</v>
      </c>
      <c r="J678" s="629" t="s">
        <v>2656</v>
      </c>
    </row>
    <row r="679" spans="1:10">
      <c r="A679" s="627">
        <v>499</v>
      </c>
      <c r="B679" s="628" t="s">
        <v>1825</v>
      </c>
      <c r="C679" s="629" t="s">
        <v>1826</v>
      </c>
      <c r="D679" s="629" t="s">
        <v>2654</v>
      </c>
      <c r="E679" s="629" t="s">
        <v>144</v>
      </c>
      <c r="F679" s="630">
        <v>93.968257793044657</v>
      </c>
      <c r="G679" s="630">
        <v>98.557157793044652</v>
      </c>
      <c r="H679" s="630">
        <v>19.95</v>
      </c>
      <c r="I679" s="627">
        <v>422</v>
      </c>
      <c r="J679" s="629" t="s">
        <v>2656</v>
      </c>
    </row>
    <row r="680" spans="1:10">
      <c r="A680" s="627">
        <v>500</v>
      </c>
      <c r="B680" s="628" t="s">
        <v>1827</v>
      </c>
      <c r="C680" s="629" t="s">
        <v>151</v>
      </c>
      <c r="D680" s="629" t="s">
        <v>2651</v>
      </c>
      <c r="E680" s="629" t="s">
        <v>144</v>
      </c>
      <c r="F680" s="630">
        <v>0.01</v>
      </c>
      <c r="G680" s="630">
        <v>0.01</v>
      </c>
      <c r="H680" s="630">
        <v>0</v>
      </c>
      <c r="I680" s="627">
        <v>969</v>
      </c>
      <c r="J680" s="629" t="s">
        <v>2653</v>
      </c>
    </row>
    <row r="681" spans="1:10">
      <c r="A681" s="627">
        <v>501</v>
      </c>
      <c r="B681" s="628" t="s">
        <v>1828</v>
      </c>
      <c r="C681" s="629" t="s">
        <v>1829</v>
      </c>
      <c r="D681" s="629" t="s">
        <v>2654</v>
      </c>
      <c r="E681" s="629" t="s">
        <v>144</v>
      </c>
      <c r="F681" s="630">
        <v>58.299424054570672</v>
      </c>
      <c r="G681" s="630">
        <v>67.21612405457067</v>
      </c>
      <c r="H681" s="630">
        <v>21.16</v>
      </c>
      <c r="I681" s="627">
        <v>2919</v>
      </c>
      <c r="J681" s="629" t="s">
        <v>2656</v>
      </c>
    </row>
    <row r="682" spans="1:10">
      <c r="A682" s="627">
        <v>502</v>
      </c>
      <c r="B682" s="628" t="s">
        <v>622</v>
      </c>
      <c r="C682" s="629" t="s">
        <v>623</v>
      </c>
      <c r="D682" s="629" t="s">
        <v>2651</v>
      </c>
      <c r="E682" s="629" t="s">
        <v>1019</v>
      </c>
      <c r="F682" s="630">
        <v>29928.188448700803</v>
      </c>
      <c r="G682" s="630">
        <v>29928.188448700803</v>
      </c>
      <c r="H682" s="630">
        <v>0</v>
      </c>
      <c r="I682" s="627">
        <v>0</v>
      </c>
      <c r="J682" s="629" t="s">
        <v>2653</v>
      </c>
    </row>
    <row r="683" spans="1:10">
      <c r="A683" s="627">
        <v>503</v>
      </c>
      <c r="B683" s="628" t="s">
        <v>1830</v>
      </c>
      <c r="C683" s="629" t="s">
        <v>1831</v>
      </c>
      <c r="D683" s="629" t="s">
        <v>2664</v>
      </c>
      <c r="E683" s="629" t="s">
        <v>1019</v>
      </c>
      <c r="F683" s="630">
        <v>28823.936000000005</v>
      </c>
      <c r="G683" s="630">
        <v>28823.936000000005</v>
      </c>
      <c r="H683" s="630">
        <v>0</v>
      </c>
      <c r="I683" s="627">
        <v>0</v>
      </c>
      <c r="J683" s="629" t="s">
        <v>2653</v>
      </c>
    </row>
    <row r="684" spans="1:10">
      <c r="A684" s="627">
        <v>504</v>
      </c>
      <c r="B684" s="628" t="s">
        <v>1832</v>
      </c>
      <c r="C684" s="629" t="s">
        <v>1833</v>
      </c>
      <c r="D684" s="629" t="s">
        <v>2651</v>
      </c>
      <c r="E684" s="629" t="s">
        <v>2744</v>
      </c>
      <c r="F684" s="630">
        <v>0.01</v>
      </c>
      <c r="G684" s="630">
        <v>0.01</v>
      </c>
      <c r="H684" s="630">
        <v>0</v>
      </c>
      <c r="I684" s="627">
        <v>0</v>
      </c>
      <c r="J684" s="629" t="s">
        <v>2653</v>
      </c>
    </row>
    <row r="685" spans="1:10">
      <c r="A685" s="627">
        <v>505</v>
      </c>
      <c r="B685" s="628" t="s">
        <v>1834</v>
      </c>
      <c r="C685" s="629" t="s">
        <v>1835</v>
      </c>
      <c r="D685" s="629" t="s">
        <v>2651</v>
      </c>
      <c r="E685" s="629" t="s">
        <v>2745</v>
      </c>
      <c r="F685" s="630">
        <v>13473.57</v>
      </c>
      <c r="G685" s="630">
        <v>13473.57</v>
      </c>
      <c r="H685" s="630">
        <v>0</v>
      </c>
      <c r="I685" s="627">
        <v>0</v>
      </c>
      <c r="J685" s="629" t="s">
        <v>2653</v>
      </c>
    </row>
    <row r="686" spans="1:10">
      <c r="A686" s="627">
        <v>506</v>
      </c>
      <c r="B686" s="628" t="s">
        <v>1836</v>
      </c>
      <c r="C686" s="629" t="s">
        <v>1837</v>
      </c>
      <c r="D686" s="629" t="s">
        <v>2654</v>
      </c>
      <c r="E686" s="629" t="s">
        <v>2745</v>
      </c>
      <c r="F686" s="630">
        <v>78.703981391780701</v>
      </c>
      <c r="G686" s="630">
        <v>79.17068139178069</v>
      </c>
      <c r="H686" s="630">
        <v>20.309999999999999</v>
      </c>
      <c r="I686" s="627">
        <v>2148</v>
      </c>
      <c r="J686" s="629" t="s">
        <v>2656</v>
      </c>
    </row>
    <row r="687" spans="1:10">
      <c r="A687" s="627">
        <v>507</v>
      </c>
      <c r="B687" s="628" t="s">
        <v>1838</v>
      </c>
      <c r="C687" s="629" t="s">
        <v>1839</v>
      </c>
      <c r="D687" s="629" t="s">
        <v>2651</v>
      </c>
      <c r="E687" s="629" t="s">
        <v>2702</v>
      </c>
      <c r="F687" s="630">
        <v>0.01</v>
      </c>
      <c r="G687" s="630">
        <v>0.01</v>
      </c>
      <c r="H687" s="630">
        <v>0</v>
      </c>
      <c r="I687" s="627">
        <v>0</v>
      </c>
      <c r="J687" s="629" t="s">
        <v>2653</v>
      </c>
    </row>
    <row r="688" spans="1:10">
      <c r="A688" s="627">
        <v>508</v>
      </c>
      <c r="B688" s="628" t="s">
        <v>1840</v>
      </c>
      <c r="C688" s="629" t="s">
        <v>1841</v>
      </c>
      <c r="D688" s="629" t="s">
        <v>2654</v>
      </c>
      <c r="E688" s="629" t="s">
        <v>2702</v>
      </c>
      <c r="F688" s="630">
        <v>85.333272838936836</v>
      </c>
      <c r="G688" s="630">
        <v>88.97907283893683</v>
      </c>
      <c r="H688" s="630">
        <v>19.09</v>
      </c>
      <c r="I688" s="627">
        <v>775</v>
      </c>
      <c r="J688" s="629" t="s">
        <v>2656</v>
      </c>
    </row>
    <row r="689" spans="1:10">
      <c r="A689" s="627">
        <v>509</v>
      </c>
      <c r="B689" s="628" t="s">
        <v>1842</v>
      </c>
      <c r="C689" s="629" t="s">
        <v>1843</v>
      </c>
      <c r="D689" s="629" t="s">
        <v>2654</v>
      </c>
      <c r="E689" s="629" t="s">
        <v>2702</v>
      </c>
      <c r="F689" s="630">
        <v>1.7680637718077343</v>
      </c>
      <c r="G689" s="630">
        <v>1.7761637718077343</v>
      </c>
      <c r="H689" s="630">
        <v>18.96</v>
      </c>
      <c r="I689" s="627">
        <v>8521</v>
      </c>
      <c r="J689" s="629" t="s">
        <v>2656</v>
      </c>
    </row>
    <row r="690" spans="1:10">
      <c r="A690" s="627">
        <v>510</v>
      </c>
      <c r="B690" s="628" t="s">
        <v>1844</v>
      </c>
      <c r="C690" s="629" t="s">
        <v>1845</v>
      </c>
      <c r="D690" s="629" t="s">
        <v>2654</v>
      </c>
      <c r="E690" s="629" t="s">
        <v>2702</v>
      </c>
      <c r="F690" s="630">
        <v>1.5344724990448659</v>
      </c>
      <c r="G690" s="630">
        <v>1.5550724990448659</v>
      </c>
      <c r="H690" s="630">
        <v>18.96</v>
      </c>
      <c r="I690" s="627">
        <v>8926</v>
      </c>
      <c r="J690" s="629" t="s">
        <v>2656</v>
      </c>
    </row>
    <row r="691" spans="1:10">
      <c r="A691" s="627">
        <v>511</v>
      </c>
      <c r="B691" s="628" t="s">
        <v>1846</v>
      </c>
      <c r="C691" s="629" t="s">
        <v>1847</v>
      </c>
      <c r="D691" s="629" t="s">
        <v>2654</v>
      </c>
      <c r="E691" s="629" t="s">
        <v>2702</v>
      </c>
      <c r="F691" s="630">
        <v>96.995709914788108</v>
      </c>
      <c r="G691" s="630">
        <v>98.590109914788115</v>
      </c>
      <c r="H691" s="630">
        <v>19.53</v>
      </c>
      <c r="I691" s="627">
        <v>124</v>
      </c>
      <c r="J691" s="629" t="s">
        <v>2656</v>
      </c>
    </row>
    <row r="692" spans="1:10">
      <c r="A692" s="627">
        <v>512</v>
      </c>
      <c r="B692" s="628" t="s">
        <v>1848</v>
      </c>
      <c r="C692" s="629" t="s">
        <v>1849</v>
      </c>
      <c r="D692" s="629" t="s">
        <v>2654</v>
      </c>
      <c r="E692" s="629" t="s">
        <v>2702</v>
      </c>
      <c r="F692" s="630">
        <v>1.0619376016984905</v>
      </c>
      <c r="G692" s="630">
        <v>1.0652376016984906</v>
      </c>
      <c r="H692" s="630">
        <v>18.96</v>
      </c>
      <c r="I692" s="627">
        <v>10158</v>
      </c>
      <c r="J692" s="629" t="s">
        <v>2656</v>
      </c>
    </row>
    <row r="693" spans="1:10">
      <c r="A693" s="627">
        <v>513</v>
      </c>
      <c r="B693" s="628" t="s">
        <v>1850</v>
      </c>
      <c r="C693" s="629" t="s">
        <v>1851</v>
      </c>
      <c r="D693" s="629" t="s">
        <v>2654</v>
      </c>
      <c r="E693" s="629" t="s">
        <v>2702</v>
      </c>
      <c r="F693" s="630">
        <v>1.4200800009083967</v>
      </c>
      <c r="G693" s="630">
        <v>1.4253800009083966</v>
      </c>
      <c r="H693" s="630">
        <v>18.96</v>
      </c>
      <c r="I693" s="627">
        <v>9161</v>
      </c>
      <c r="J693" s="629" t="s">
        <v>2656</v>
      </c>
    </row>
    <row r="694" spans="1:10">
      <c r="A694" s="627">
        <v>514</v>
      </c>
      <c r="B694" s="628" t="s">
        <v>1852</v>
      </c>
      <c r="C694" s="629" t="s">
        <v>1853</v>
      </c>
      <c r="D694" s="629" t="s">
        <v>2654</v>
      </c>
      <c r="E694" s="629" t="s">
        <v>2702</v>
      </c>
      <c r="F694" s="630">
        <v>48.390898718380612</v>
      </c>
      <c r="G694" s="630">
        <v>53.257098718380611</v>
      </c>
      <c r="H694" s="630">
        <v>20.21</v>
      </c>
      <c r="I694" s="627">
        <v>2589</v>
      </c>
      <c r="J694" s="629" t="s">
        <v>2656</v>
      </c>
    </row>
    <row r="695" spans="1:10">
      <c r="A695" s="627">
        <v>515</v>
      </c>
      <c r="B695" s="628" t="s">
        <v>1854</v>
      </c>
      <c r="C695" s="629" t="s">
        <v>1855</v>
      </c>
      <c r="D695" s="629" t="s">
        <v>2654</v>
      </c>
      <c r="E695" s="629" t="s">
        <v>2702</v>
      </c>
      <c r="F695" s="630">
        <v>68.595542666439769</v>
      </c>
      <c r="G695" s="630">
        <v>71.159242666439766</v>
      </c>
      <c r="H695" s="630">
        <v>19.2</v>
      </c>
      <c r="I695" s="627">
        <v>1695</v>
      </c>
      <c r="J695" s="629" t="s">
        <v>2656</v>
      </c>
    </row>
    <row r="696" spans="1:10">
      <c r="A696" s="627">
        <v>516</v>
      </c>
      <c r="B696" s="628" t="s">
        <v>1856</v>
      </c>
      <c r="C696" s="629" t="s">
        <v>1857</v>
      </c>
      <c r="D696" s="629" t="s">
        <v>2654</v>
      </c>
      <c r="E696" s="629" t="s">
        <v>2702</v>
      </c>
      <c r="F696" s="630">
        <v>1.2906113130110157</v>
      </c>
      <c r="G696" s="630">
        <v>1.3117113130110158</v>
      </c>
      <c r="H696" s="630">
        <v>18.96</v>
      </c>
      <c r="I696" s="627">
        <v>9464</v>
      </c>
      <c r="J696" s="629" t="s">
        <v>2656</v>
      </c>
    </row>
    <row r="697" spans="1:10">
      <c r="A697" s="627">
        <v>517</v>
      </c>
      <c r="B697" s="628" t="s">
        <v>1858</v>
      </c>
      <c r="C697" s="629" t="s">
        <v>1859</v>
      </c>
      <c r="D697" s="629" t="s">
        <v>2654</v>
      </c>
      <c r="E697" s="629" t="s">
        <v>2702</v>
      </c>
      <c r="F697" s="630">
        <v>56.35600595833381</v>
      </c>
      <c r="G697" s="630">
        <v>63.239505958333808</v>
      </c>
      <c r="H697" s="630">
        <v>20.170000000000002</v>
      </c>
      <c r="I697" s="627">
        <v>2167</v>
      </c>
      <c r="J697" s="629" t="s">
        <v>2656</v>
      </c>
    </row>
    <row r="698" spans="1:10">
      <c r="A698" s="627">
        <v>518</v>
      </c>
      <c r="B698" s="628" t="s">
        <v>1860</v>
      </c>
      <c r="C698" s="629" t="s">
        <v>1861</v>
      </c>
      <c r="D698" s="629" t="s">
        <v>2651</v>
      </c>
      <c r="E698" s="629" t="s">
        <v>2702</v>
      </c>
      <c r="F698" s="630">
        <v>1000</v>
      </c>
      <c r="G698" s="630">
        <v>1000</v>
      </c>
      <c r="H698" s="630">
        <v>0</v>
      </c>
      <c r="I698" s="627">
        <v>1692</v>
      </c>
      <c r="J698" s="629" t="s">
        <v>2653</v>
      </c>
    </row>
    <row r="699" spans="1:10">
      <c r="A699" s="627">
        <v>519</v>
      </c>
      <c r="B699" s="628" t="s">
        <v>1862</v>
      </c>
      <c r="C699" s="629" t="s">
        <v>1863</v>
      </c>
      <c r="D699" s="629" t="s">
        <v>2654</v>
      </c>
      <c r="E699" s="629" t="s">
        <v>2702</v>
      </c>
      <c r="F699" s="630">
        <v>31.87619704424133</v>
      </c>
      <c r="G699" s="630">
        <v>32.989997044241328</v>
      </c>
      <c r="H699" s="630">
        <v>19.32</v>
      </c>
      <c r="I699" s="627">
        <v>3861</v>
      </c>
      <c r="J699" s="629" t="s">
        <v>2656</v>
      </c>
    </row>
    <row r="700" spans="1:10">
      <c r="A700" s="627">
        <v>520</v>
      </c>
      <c r="B700" s="628" t="s">
        <v>2908</v>
      </c>
      <c r="C700" s="629" t="s">
        <v>2909</v>
      </c>
      <c r="D700" s="629" t="s">
        <v>2654</v>
      </c>
      <c r="E700" s="629" t="s">
        <v>2702</v>
      </c>
      <c r="F700" s="630">
        <v>93.661860015116659</v>
      </c>
      <c r="G700" s="630">
        <v>97.96186001511667</v>
      </c>
      <c r="H700" s="630">
        <v>20.09</v>
      </c>
      <c r="I700" s="627">
        <v>1714</v>
      </c>
      <c r="J700" s="629" t="s">
        <v>2656</v>
      </c>
    </row>
    <row r="701" spans="1:10">
      <c r="A701" s="627">
        <v>521</v>
      </c>
      <c r="B701" s="628" t="s">
        <v>2968</v>
      </c>
      <c r="C701" s="629" t="s">
        <v>2969</v>
      </c>
      <c r="D701" s="629" t="s">
        <v>2654</v>
      </c>
      <c r="E701" s="629" t="s">
        <v>2702</v>
      </c>
      <c r="F701" s="630">
        <v>97.132106016867695</v>
      </c>
      <c r="G701" s="630">
        <v>99.885206016867699</v>
      </c>
      <c r="H701" s="630">
        <v>20.010000000000002</v>
      </c>
      <c r="I701" s="627">
        <v>1027</v>
      </c>
      <c r="J701" s="629" t="s">
        <v>2656</v>
      </c>
    </row>
    <row r="702" spans="1:10">
      <c r="A702" s="627">
        <v>522</v>
      </c>
      <c r="B702" s="628" t="s">
        <v>3049</v>
      </c>
      <c r="C702" s="629" t="s">
        <v>3050</v>
      </c>
      <c r="D702" s="629" t="s">
        <v>2654</v>
      </c>
      <c r="E702" s="629" t="s">
        <v>2702</v>
      </c>
      <c r="F702" s="630">
        <v>97.132106016867695</v>
      </c>
      <c r="G702" s="630">
        <v>99.885206016867699</v>
      </c>
      <c r="H702" s="630">
        <v>20.010000000000002</v>
      </c>
      <c r="I702" s="627">
        <v>1027</v>
      </c>
      <c r="J702" s="629" t="s">
        <v>2656</v>
      </c>
    </row>
    <row r="703" spans="1:10">
      <c r="A703" s="627">
        <v>523</v>
      </c>
      <c r="B703" s="628" t="s">
        <v>1864</v>
      </c>
      <c r="C703" s="629" t="s">
        <v>1865</v>
      </c>
      <c r="D703" s="629" t="s">
        <v>2654</v>
      </c>
      <c r="E703" s="629" t="s">
        <v>1866</v>
      </c>
      <c r="F703" s="630">
        <v>104.5728</v>
      </c>
      <c r="G703" s="630">
        <v>106.5895</v>
      </c>
      <c r="H703" s="630">
        <v>19.489999999999998</v>
      </c>
      <c r="I703" s="627">
        <v>867</v>
      </c>
      <c r="J703" s="629" t="s">
        <v>2656</v>
      </c>
    </row>
    <row r="704" spans="1:10">
      <c r="A704" s="627">
        <v>524</v>
      </c>
      <c r="B704" s="628" t="s">
        <v>1867</v>
      </c>
      <c r="C704" s="629" t="s">
        <v>1868</v>
      </c>
      <c r="D704" s="629" t="s">
        <v>2654</v>
      </c>
      <c r="E704" s="629" t="s">
        <v>2746</v>
      </c>
      <c r="F704" s="630">
        <v>99.28</v>
      </c>
      <c r="G704" s="630">
        <v>99.571700000000007</v>
      </c>
      <c r="H704" s="630">
        <v>4.7699999999999996</v>
      </c>
      <c r="I704" s="627">
        <v>696</v>
      </c>
      <c r="J704" s="629" t="s">
        <v>2656</v>
      </c>
    </row>
    <row r="705" spans="1:10">
      <c r="A705" s="627">
        <v>525</v>
      </c>
      <c r="B705" s="628" t="s">
        <v>624</v>
      </c>
      <c r="C705" s="629" t="s">
        <v>625</v>
      </c>
      <c r="D705" s="629" t="s">
        <v>2651</v>
      </c>
      <c r="E705" s="629" t="s">
        <v>626</v>
      </c>
      <c r="F705" s="630">
        <v>39579.685004921797</v>
      </c>
      <c r="G705" s="630">
        <v>39579.685004921797</v>
      </c>
      <c r="H705" s="630">
        <v>0</v>
      </c>
      <c r="I705" s="627">
        <v>0</v>
      </c>
      <c r="J705" s="629" t="s">
        <v>2653</v>
      </c>
    </row>
    <row r="706" spans="1:10">
      <c r="A706" s="627">
        <v>526</v>
      </c>
      <c r="B706" s="628" t="s">
        <v>1869</v>
      </c>
      <c r="C706" s="629" t="s">
        <v>1870</v>
      </c>
      <c r="D706" s="629" t="s">
        <v>2654</v>
      </c>
      <c r="E706" s="629" t="s">
        <v>626</v>
      </c>
      <c r="F706" s="630">
        <v>95.291128458930331</v>
      </c>
      <c r="G706" s="630">
        <v>99.156428458930336</v>
      </c>
      <c r="H706" s="630">
        <v>19.29</v>
      </c>
      <c r="I706" s="627">
        <v>239</v>
      </c>
      <c r="J706" s="629" t="s">
        <v>2656</v>
      </c>
    </row>
    <row r="707" spans="1:10">
      <c r="A707" s="627">
        <v>527</v>
      </c>
      <c r="B707" s="628" t="s">
        <v>1066</v>
      </c>
      <c r="C707" s="629" t="s">
        <v>1067</v>
      </c>
      <c r="D707" s="629" t="s">
        <v>2651</v>
      </c>
      <c r="E707" s="629" t="s">
        <v>626</v>
      </c>
      <c r="F707" s="630">
        <v>30242.056170730972</v>
      </c>
      <c r="G707" s="630">
        <v>30242.056170730972</v>
      </c>
      <c r="H707" s="630">
        <v>0</v>
      </c>
      <c r="I707" s="627">
        <v>0</v>
      </c>
      <c r="J707" s="629" t="s">
        <v>2653</v>
      </c>
    </row>
    <row r="708" spans="1:10">
      <c r="A708" s="627">
        <v>528</v>
      </c>
      <c r="B708" s="628" t="s">
        <v>627</v>
      </c>
      <c r="C708" s="629" t="s">
        <v>628</v>
      </c>
      <c r="D708" s="629" t="s">
        <v>2651</v>
      </c>
      <c r="E708" s="629" t="s">
        <v>629</v>
      </c>
      <c r="F708" s="630">
        <v>872.77835502570269</v>
      </c>
      <c r="G708" s="630">
        <v>872.77835502570269</v>
      </c>
      <c r="H708" s="630">
        <v>0</v>
      </c>
      <c r="I708" s="627">
        <v>0</v>
      </c>
      <c r="J708" s="629" t="s">
        <v>2653</v>
      </c>
    </row>
    <row r="709" spans="1:10">
      <c r="A709" s="627">
        <v>529</v>
      </c>
      <c r="B709" s="628" t="s">
        <v>1871</v>
      </c>
      <c r="C709" s="629" t="s">
        <v>1872</v>
      </c>
      <c r="D709" s="629" t="s">
        <v>2654</v>
      </c>
      <c r="E709" s="629" t="s">
        <v>2747</v>
      </c>
      <c r="F709" s="630">
        <v>93.139653150085138</v>
      </c>
      <c r="G709" s="630">
        <v>93.320953150085145</v>
      </c>
      <c r="H709" s="630">
        <v>25.14</v>
      </c>
      <c r="I709" s="627">
        <v>1077</v>
      </c>
      <c r="J709" s="629" t="s">
        <v>2656</v>
      </c>
    </row>
    <row r="710" spans="1:10">
      <c r="A710" s="627">
        <v>530</v>
      </c>
      <c r="B710" s="628" t="s">
        <v>631</v>
      </c>
      <c r="C710" s="629" t="s">
        <v>632</v>
      </c>
      <c r="D710" s="629" t="s">
        <v>2654</v>
      </c>
      <c r="E710" s="629" t="s">
        <v>263</v>
      </c>
      <c r="F710" s="630">
        <v>94.165000000000006</v>
      </c>
      <c r="G710" s="630">
        <v>94.246300000000005</v>
      </c>
      <c r="H710" s="630">
        <v>5.37</v>
      </c>
      <c r="I710" s="627">
        <v>6834</v>
      </c>
      <c r="J710" s="629" t="s">
        <v>2656</v>
      </c>
    </row>
    <row r="711" spans="1:10">
      <c r="A711" s="627">
        <v>531</v>
      </c>
      <c r="B711" s="628" t="s">
        <v>833</v>
      </c>
      <c r="C711" s="629" t="s">
        <v>834</v>
      </c>
      <c r="D711" s="629" t="s">
        <v>2654</v>
      </c>
      <c r="E711" s="629" t="s">
        <v>263</v>
      </c>
      <c r="F711" s="630">
        <v>98.922853234107762</v>
      </c>
      <c r="G711" s="630">
        <v>101.16675323410776</v>
      </c>
      <c r="H711" s="630">
        <v>2.75</v>
      </c>
      <c r="I711" s="627">
        <v>1116</v>
      </c>
      <c r="J711" s="629" t="s">
        <v>2656</v>
      </c>
    </row>
    <row r="712" spans="1:10">
      <c r="A712" s="627">
        <v>532</v>
      </c>
      <c r="B712" s="628" t="s">
        <v>635</v>
      </c>
      <c r="C712" s="629" t="s">
        <v>636</v>
      </c>
      <c r="D712" s="629" t="s">
        <v>2654</v>
      </c>
      <c r="E712" s="629" t="s">
        <v>263</v>
      </c>
      <c r="F712" s="630">
        <v>98.098722038012539</v>
      </c>
      <c r="G712" s="630">
        <v>98.131622038012537</v>
      </c>
      <c r="H712" s="630">
        <v>2.66</v>
      </c>
      <c r="I712" s="627">
        <v>345</v>
      </c>
      <c r="J712" s="629" t="s">
        <v>2656</v>
      </c>
    </row>
    <row r="713" spans="1:10">
      <c r="A713" s="627">
        <v>533</v>
      </c>
      <c r="B713" s="628" t="s">
        <v>835</v>
      </c>
      <c r="C713" s="629" t="s">
        <v>836</v>
      </c>
      <c r="D713" s="629" t="s">
        <v>2654</v>
      </c>
      <c r="E713" s="629" t="s">
        <v>263</v>
      </c>
      <c r="F713" s="630">
        <v>84.166979711656353</v>
      </c>
      <c r="G713" s="630">
        <v>84.759179711656358</v>
      </c>
      <c r="H713" s="630">
        <v>16.57</v>
      </c>
      <c r="I713" s="627">
        <v>695</v>
      </c>
      <c r="J713" s="629" t="s">
        <v>2656</v>
      </c>
    </row>
    <row r="714" spans="1:10">
      <c r="A714" s="627">
        <v>534</v>
      </c>
      <c r="B714" s="628" t="s">
        <v>1873</v>
      </c>
      <c r="C714" s="629" t="s">
        <v>1874</v>
      </c>
      <c r="D714" s="629" t="s">
        <v>2654</v>
      </c>
      <c r="E714" s="629" t="s">
        <v>263</v>
      </c>
      <c r="F714" s="630">
        <v>68.516861686392232</v>
      </c>
      <c r="G714" s="630">
        <v>69.149761686392239</v>
      </c>
      <c r="H714" s="630">
        <v>16.649999999999999</v>
      </c>
      <c r="I714" s="627">
        <v>1787</v>
      </c>
      <c r="J714" s="629" t="s">
        <v>2656</v>
      </c>
    </row>
    <row r="715" spans="1:10">
      <c r="A715" s="627">
        <v>535</v>
      </c>
      <c r="B715" s="628" t="s">
        <v>1875</v>
      </c>
      <c r="C715" s="629" t="s">
        <v>837</v>
      </c>
      <c r="D715" s="629" t="s">
        <v>2654</v>
      </c>
      <c r="E715" s="629" t="s">
        <v>263</v>
      </c>
      <c r="F715" s="630">
        <v>94.635547792916853</v>
      </c>
      <c r="G715" s="630">
        <v>97.07424779291685</v>
      </c>
      <c r="H715" s="630">
        <v>16.18</v>
      </c>
      <c r="I715" s="627">
        <v>245</v>
      </c>
      <c r="J715" s="629" t="s">
        <v>2656</v>
      </c>
    </row>
    <row r="716" spans="1:10">
      <c r="A716" s="627">
        <v>536</v>
      </c>
      <c r="B716" s="628" t="s">
        <v>1876</v>
      </c>
      <c r="C716" s="629" t="s">
        <v>1877</v>
      </c>
      <c r="D716" s="629" t="s">
        <v>2654</v>
      </c>
      <c r="E716" s="629" t="s">
        <v>263</v>
      </c>
      <c r="F716" s="630">
        <v>81.269839501192948</v>
      </c>
      <c r="G716" s="630">
        <v>83.777039501192945</v>
      </c>
      <c r="H716" s="630">
        <v>16.66</v>
      </c>
      <c r="I716" s="627">
        <v>973</v>
      </c>
      <c r="J716" s="629" t="s">
        <v>2656</v>
      </c>
    </row>
    <row r="717" spans="1:10">
      <c r="A717" s="627">
        <v>537</v>
      </c>
      <c r="B717" s="628" t="s">
        <v>1878</v>
      </c>
      <c r="C717" s="629" t="s">
        <v>1879</v>
      </c>
      <c r="D717" s="629" t="s">
        <v>2654</v>
      </c>
      <c r="E717" s="629" t="s">
        <v>263</v>
      </c>
      <c r="F717" s="630">
        <v>68.877754139134524</v>
      </c>
      <c r="G717" s="630">
        <v>71.459854139134521</v>
      </c>
      <c r="H717" s="630">
        <v>16.600000000000001</v>
      </c>
      <c r="I717" s="627">
        <v>2065</v>
      </c>
      <c r="J717" s="629" t="s">
        <v>2656</v>
      </c>
    </row>
    <row r="718" spans="1:10">
      <c r="A718" s="627">
        <v>538</v>
      </c>
      <c r="B718" s="628" t="s">
        <v>1880</v>
      </c>
      <c r="C718" s="629" t="s">
        <v>1881</v>
      </c>
      <c r="D718" s="629" t="s">
        <v>2654</v>
      </c>
      <c r="E718" s="629" t="s">
        <v>263</v>
      </c>
      <c r="F718" s="630">
        <v>68.877754139134524</v>
      </c>
      <c r="G718" s="630">
        <v>71.459854139134521</v>
      </c>
      <c r="H718" s="630">
        <v>16.600000000000001</v>
      </c>
      <c r="I718" s="627">
        <v>2065</v>
      </c>
      <c r="J718" s="629" t="s">
        <v>2656</v>
      </c>
    </row>
    <row r="719" spans="1:10">
      <c r="A719" s="627">
        <v>539</v>
      </c>
      <c r="B719" s="628" t="s">
        <v>637</v>
      </c>
      <c r="C719" s="629" t="s">
        <v>638</v>
      </c>
      <c r="D719" s="629" t="s">
        <v>2654</v>
      </c>
      <c r="E719" s="629" t="s">
        <v>263</v>
      </c>
      <c r="F719" s="630">
        <v>113.1</v>
      </c>
      <c r="G719" s="630">
        <v>114.7069</v>
      </c>
      <c r="H719" s="630">
        <v>5.41</v>
      </c>
      <c r="I719" s="627">
        <v>7111</v>
      </c>
      <c r="J719" s="629" t="s">
        <v>2656</v>
      </c>
    </row>
    <row r="720" spans="1:10">
      <c r="A720" s="627">
        <v>540</v>
      </c>
      <c r="B720" s="628" t="s">
        <v>1013</v>
      </c>
      <c r="C720" s="629" t="s">
        <v>1014</v>
      </c>
      <c r="D720" s="629" t="s">
        <v>2654</v>
      </c>
      <c r="E720" s="629" t="s">
        <v>263</v>
      </c>
      <c r="F720" s="630">
        <v>99.387</v>
      </c>
      <c r="G720" s="630">
        <v>99.531000000000006</v>
      </c>
      <c r="H720" s="630">
        <v>4.8</v>
      </c>
      <c r="I720" s="627">
        <v>3409</v>
      </c>
      <c r="J720" s="629" t="s">
        <v>2656</v>
      </c>
    </row>
    <row r="721" spans="1:10">
      <c r="A721" s="627">
        <v>541</v>
      </c>
      <c r="B721" s="628" t="s">
        <v>2854</v>
      </c>
      <c r="C721" s="629" t="s">
        <v>2855</v>
      </c>
      <c r="D721" s="629" t="s">
        <v>2654</v>
      </c>
      <c r="E721" s="629" t="s">
        <v>263</v>
      </c>
      <c r="F721" s="630">
        <v>102.176</v>
      </c>
      <c r="G721" s="630">
        <v>103.68989999999999</v>
      </c>
      <c r="H721" s="630">
        <v>4.62</v>
      </c>
      <c r="I721" s="627">
        <v>2411</v>
      </c>
      <c r="J721" s="629" t="s">
        <v>2656</v>
      </c>
    </row>
    <row r="722" spans="1:10">
      <c r="A722" s="627">
        <v>542</v>
      </c>
      <c r="B722" s="628" t="s">
        <v>2856</v>
      </c>
      <c r="C722" s="629" t="s">
        <v>2857</v>
      </c>
      <c r="D722" s="629" t="s">
        <v>2654</v>
      </c>
      <c r="E722" s="629" t="s">
        <v>263</v>
      </c>
      <c r="F722" s="630">
        <v>102.82</v>
      </c>
      <c r="G722" s="630">
        <v>104.4853</v>
      </c>
      <c r="H722" s="630">
        <v>5.17</v>
      </c>
      <c r="I722" s="627">
        <v>4211</v>
      </c>
      <c r="J722" s="629" t="s">
        <v>2656</v>
      </c>
    </row>
    <row r="723" spans="1:10">
      <c r="A723" s="627">
        <v>543</v>
      </c>
      <c r="B723" s="628" t="s">
        <v>1882</v>
      </c>
      <c r="C723" s="629" t="s">
        <v>1883</v>
      </c>
      <c r="D723" s="629" t="s">
        <v>2651</v>
      </c>
      <c r="E723" s="629" t="s">
        <v>2748</v>
      </c>
      <c r="F723" s="630">
        <v>0.01</v>
      </c>
      <c r="G723" s="630">
        <v>0.01</v>
      </c>
      <c r="H723" s="630">
        <v>0</v>
      </c>
      <c r="I723" s="627">
        <v>0</v>
      </c>
      <c r="J723" s="629" t="s">
        <v>2653</v>
      </c>
    </row>
    <row r="724" spans="1:10">
      <c r="A724" s="627">
        <v>544</v>
      </c>
      <c r="B724" s="628" t="s">
        <v>1884</v>
      </c>
      <c r="C724" s="629" t="s">
        <v>1885</v>
      </c>
      <c r="D724" s="629" t="s">
        <v>2651</v>
      </c>
      <c r="E724" s="629" t="s">
        <v>2749</v>
      </c>
      <c r="F724" s="630">
        <v>0.01</v>
      </c>
      <c r="G724" s="630">
        <v>0.01</v>
      </c>
      <c r="H724" s="630">
        <v>0</v>
      </c>
      <c r="I724" s="627">
        <v>0</v>
      </c>
      <c r="J724" s="629" t="s">
        <v>2653</v>
      </c>
    </row>
    <row r="725" spans="1:10">
      <c r="A725" s="627">
        <v>545</v>
      </c>
      <c r="B725" s="628" t="s">
        <v>1886</v>
      </c>
      <c r="C725" s="629" t="s">
        <v>1887</v>
      </c>
      <c r="D725" s="629" t="s">
        <v>2654</v>
      </c>
      <c r="E725" s="629" t="s">
        <v>2749</v>
      </c>
      <c r="F725" s="630">
        <v>92.410521776348801</v>
      </c>
      <c r="G725" s="630">
        <v>93.754921776348809</v>
      </c>
      <c r="H725" s="630">
        <v>26.37</v>
      </c>
      <c r="I725" s="627">
        <v>878</v>
      </c>
      <c r="J725" s="629" t="s">
        <v>2656</v>
      </c>
    </row>
    <row r="726" spans="1:10">
      <c r="A726" s="627">
        <v>546</v>
      </c>
      <c r="B726" s="628" t="s">
        <v>1888</v>
      </c>
      <c r="C726" s="629" t="s">
        <v>1889</v>
      </c>
      <c r="D726" s="629" t="s">
        <v>2697</v>
      </c>
      <c r="E726" s="629" t="s">
        <v>1634</v>
      </c>
      <c r="F726" s="630">
        <v>60317.85040000001</v>
      </c>
      <c r="G726" s="630">
        <v>60317.85040000001</v>
      </c>
      <c r="H726" s="630">
        <v>0</v>
      </c>
      <c r="I726" s="627">
        <v>0</v>
      </c>
      <c r="J726" s="629" t="s">
        <v>2653</v>
      </c>
    </row>
    <row r="727" spans="1:10">
      <c r="A727" s="627">
        <v>547</v>
      </c>
      <c r="B727" s="628" t="s">
        <v>1890</v>
      </c>
      <c r="C727" s="629" t="s">
        <v>1891</v>
      </c>
      <c r="D727" s="629" t="s">
        <v>2651</v>
      </c>
      <c r="E727" s="629" t="s">
        <v>2750</v>
      </c>
      <c r="F727" s="630">
        <v>1.81</v>
      </c>
      <c r="G727" s="630">
        <v>1.81</v>
      </c>
      <c r="H727" s="630">
        <v>0</v>
      </c>
      <c r="I727" s="627">
        <v>0</v>
      </c>
      <c r="J727" s="629" t="s">
        <v>2653</v>
      </c>
    </row>
    <row r="728" spans="1:10">
      <c r="A728" s="627">
        <v>548</v>
      </c>
      <c r="B728" s="628" t="s">
        <v>3212</v>
      </c>
      <c r="C728" s="629" t="s">
        <v>3213</v>
      </c>
      <c r="D728" s="629" t="s">
        <v>2654</v>
      </c>
      <c r="E728" s="629" t="s">
        <v>2750</v>
      </c>
      <c r="F728" s="630">
        <v>99.999300000000005</v>
      </c>
      <c r="G728" s="630">
        <v>100.1104</v>
      </c>
      <c r="H728" s="630">
        <v>10</v>
      </c>
      <c r="I728" s="627">
        <v>356</v>
      </c>
      <c r="J728" s="629" t="s">
        <v>2656</v>
      </c>
    </row>
    <row r="729" spans="1:10">
      <c r="A729" s="627">
        <v>549</v>
      </c>
      <c r="B729" s="628" t="s">
        <v>3214</v>
      </c>
      <c r="C729" s="629" t="s">
        <v>3215</v>
      </c>
      <c r="D729" s="629" t="s">
        <v>2654</v>
      </c>
      <c r="E729" s="629" t="s">
        <v>2750</v>
      </c>
      <c r="F729" s="630">
        <v>100.05339175437693</v>
      </c>
      <c r="G729" s="630">
        <v>100.29779175437693</v>
      </c>
      <c r="H729" s="630">
        <v>21.74</v>
      </c>
      <c r="I729" s="627">
        <v>86</v>
      </c>
      <c r="J729" s="629" t="s">
        <v>2656</v>
      </c>
    </row>
    <row r="730" spans="1:10">
      <c r="A730" s="627">
        <v>550</v>
      </c>
      <c r="B730" s="628" t="s">
        <v>3216</v>
      </c>
      <c r="C730" s="629" t="s">
        <v>3217</v>
      </c>
      <c r="D730" s="629" t="s">
        <v>2654</v>
      </c>
      <c r="E730" s="629" t="s">
        <v>2750</v>
      </c>
      <c r="F730" s="630">
        <v>100.00879762406755</v>
      </c>
      <c r="G730" s="630">
        <v>100.11989762406756</v>
      </c>
      <c r="H730" s="630">
        <v>9.9600000000000009</v>
      </c>
      <c r="I730" s="627">
        <v>86</v>
      </c>
      <c r="J730" s="629" t="s">
        <v>2656</v>
      </c>
    </row>
    <row r="731" spans="1:10">
      <c r="A731" s="627">
        <v>551</v>
      </c>
      <c r="B731" s="628" t="s">
        <v>3218</v>
      </c>
      <c r="C731" s="629" t="s">
        <v>3219</v>
      </c>
      <c r="D731" s="629" t="s">
        <v>2654</v>
      </c>
      <c r="E731" s="629" t="s">
        <v>2750</v>
      </c>
      <c r="F731" s="630">
        <v>99.994100000000003</v>
      </c>
      <c r="G731" s="630">
        <v>100.2385</v>
      </c>
      <c r="H731" s="630">
        <v>21.98</v>
      </c>
      <c r="I731" s="627">
        <v>356</v>
      </c>
      <c r="J731" s="629" t="s">
        <v>2656</v>
      </c>
    </row>
    <row r="732" spans="1:10">
      <c r="A732" s="627">
        <v>552</v>
      </c>
      <c r="B732" s="628" t="s">
        <v>1892</v>
      </c>
      <c r="C732" s="629" t="s">
        <v>1893</v>
      </c>
      <c r="D732" s="629" t="s">
        <v>2651</v>
      </c>
      <c r="E732" s="629" t="s">
        <v>2751</v>
      </c>
      <c r="F732" s="630">
        <v>7350</v>
      </c>
      <c r="G732" s="630">
        <v>7350</v>
      </c>
      <c r="H732" s="630">
        <v>0</v>
      </c>
      <c r="I732" s="627">
        <v>0</v>
      </c>
      <c r="J732" s="629" t="s">
        <v>2653</v>
      </c>
    </row>
    <row r="733" spans="1:10">
      <c r="A733" s="627">
        <v>553</v>
      </c>
      <c r="B733" s="628" t="s">
        <v>1894</v>
      </c>
      <c r="C733" s="629" t="s">
        <v>1895</v>
      </c>
      <c r="D733" s="629" t="s">
        <v>2651</v>
      </c>
      <c r="E733" s="629" t="s">
        <v>1896</v>
      </c>
      <c r="F733" s="630">
        <v>301454.81200000003</v>
      </c>
      <c r="G733" s="630">
        <v>301454.81200000003</v>
      </c>
      <c r="H733" s="630">
        <v>0</v>
      </c>
      <c r="I733" s="627">
        <v>0</v>
      </c>
      <c r="J733" s="629" t="s">
        <v>2653</v>
      </c>
    </row>
    <row r="734" spans="1:10">
      <c r="A734" s="627">
        <v>554</v>
      </c>
      <c r="B734" s="628" t="s">
        <v>1897</v>
      </c>
      <c r="C734" s="629" t="s">
        <v>1898</v>
      </c>
      <c r="D734" s="629" t="s">
        <v>2651</v>
      </c>
      <c r="E734" s="629" t="s">
        <v>1899</v>
      </c>
      <c r="F734" s="630">
        <v>383966.01760000008</v>
      </c>
      <c r="G734" s="630">
        <v>383966.01760000008</v>
      </c>
      <c r="H734" s="630">
        <v>0</v>
      </c>
      <c r="I734" s="627">
        <v>0</v>
      </c>
      <c r="J734" s="629" t="s">
        <v>2653</v>
      </c>
    </row>
    <row r="735" spans="1:10">
      <c r="A735" s="627">
        <v>555</v>
      </c>
      <c r="B735" s="628" t="s">
        <v>1900</v>
      </c>
      <c r="C735" s="629" t="s">
        <v>1901</v>
      </c>
      <c r="D735" s="629" t="s">
        <v>2654</v>
      </c>
      <c r="E735" s="629" t="s">
        <v>2752</v>
      </c>
      <c r="F735" s="630">
        <v>100.17666503373555</v>
      </c>
      <c r="G735" s="630">
        <v>102.85996503373555</v>
      </c>
      <c r="H735" s="630">
        <v>20.95</v>
      </c>
      <c r="I735" s="627">
        <v>3374</v>
      </c>
      <c r="J735" s="629" t="s">
        <v>2656</v>
      </c>
    </row>
    <row r="736" spans="1:10">
      <c r="A736" s="627">
        <v>556</v>
      </c>
      <c r="B736" s="628" t="s">
        <v>1902</v>
      </c>
      <c r="C736" s="629" t="s">
        <v>1903</v>
      </c>
      <c r="D736" s="629" t="s">
        <v>2654</v>
      </c>
      <c r="E736" s="629" t="s">
        <v>2753</v>
      </c>
      <c r="F736" s="630">
        <v>99.734619044454291</v>
      </c>
      <c r="G736" s="630">
        <v>101.95131904445429</v>
      </c>
      <c r="H736" s="630">
        <v>20.84</v>
      </c>
      <c r="I736" s="627">
        <v>48</v>
      </c>
      <c r="J736" s="629" t="s">
        <v>2656</v>
      </c>
    </row>
    <row r="737" spans="1:10">
      <c r="A737" s="627">
        <v>557</v>
      </c>
      <c r="B737" s="628" t="s">
        <v>2926</v>
      </c>
      <c r="C737" s="629" t="s">
        <v>2927</v>
      </c>
      <c r="D737" s="629" t="s">
        <v>2654</v>
      </c>
      <c r="E737" s="629" t="s">
        <v>2753</v>
      </c>
      <c r="F737" s="630">
        <v>99.818742121935898</v>
      </c>
      <c r="G737" s="630">
        <v>100.92984212193591</v>
      </c>
      <c r="H737" s="630">
        <v>20.12</v>
      </c>
      <c r="I737" s="627">
        <v>640</v>
      </c>
      <c r="J737" s="629" t="s">
        <v>2656</v>
      </c>
    </row>
    <row r="738" spans="1:10">
      <c r="A738" s="627">
        <v>558</v>
      </c>
      <c r="B738" s="628" t="s">
        <v>2966</v>
      </c>
      <c r="C738" s="629" t="s">
        <v>2967</v>
      </c>
      <c r="D738" s="629" t="s">
        <v>2654</v>
      </c>
      <c r="E738" s="629" t="s">
        <v>2754</v>
      </c>
      <c r="F738" s="630">
        <v>102.29357126987252</v>
      </c>
      <c r="G738" s="630">
        <v>102.66027126987252</v>
      </c>
      <c r="H738" s="630">
        <v>9.2899999999999991</v>
      </c>
      <c r="I738" s="627">
        <v>319</v>
      </c>
      <c r="J738" s="629" t="s">
        <v>2656</v>
      </c>
    </row>
    <row r="739" spans="1:10">
      <c r="A739" s="627">
        <v>559</v>
      </c>
      <c r="B739" s="628" t="s">
        <v>3058</v>
      </c>
      <c r="C739" s="629" t="s">
        <v>3059</v>
      </c>
      <c r="D739" s="629" t="s">
        <v>2654</v>
      </c>
      <c r="E739" s="629" t="s">
        <v>2754</v>
      </c>
      <c r="F739" s="630">
        <v>101.12466113928053</v>
      </c>
      <c r="G739" s="630">
        <v>102.40246113928053</v>
      </c>
      <c r="H739" s="630">
        <v>21.67</v>
      </c>
      <c r="I739" s="627">
        <v>340</v>
      </c>
      <c r="J739" s="629" t="s">
        <v>2656</v>
      </c>
    </row>
    <row r="740" spans="1:10">
      <c r="A740" s="627">
        <v>560</v>
      </c>
      <c r="B740" s="628" t="s">
        <v>2640</v>
      </c>
      <c r="C740" s="629" t="s">
        <v>2641</v>
      </c>
      <c r="D740" s="629" t="s">
        <v>2654</v>
      </c>
      <c r="E740" s="629" t="s">
        <v>2754</v>
      </c>
      <c r="F740" s="630">
        <v>101.68877754046549</v>
      </c>
      <c r="G740" s="630">
        <v>102.5220775404655</v>
      </c>
      <c r="H740" s="630">
        <v>9.4</v>
      </c>
      <c r="I740" s="627">
        <v>245</v>
      </c>
      <c r="J740" s="629" t="s">
        <v>2656</v>
      </c>
    </row>
    <row r="741" spans="1:10">
      <c r="A741" s="627">
        <v>561</v>
      </c>
      <c r="B741" s="628" t="s">
        <v>3025</v>
      </c>
      <c r="C741" s="629" t="s">
        <v>3026</v>
      </c>
      <c r="D741" s="629" t="s">
        <v>2654</v>
      </c>
      <c r="E741" s="629" t="s">
        <v>3027</v>
      </c>
      <c r="F741" s="630">
        <v>99.869699999999995</v>
      </c>
      <c r="G741" s="630">
        <v>102.99469999999999</v>
      </c>
      <c r="H741" s="630">
        <v>25</v>
      </c>
      <c r="I741" s="627">
        <v>675</v>
      </c>
      <c r="J741" s="629" t="s">
        <v>2656</v>
      </c>
    </row>
    <row r="742" spans="1:10">
      <c r="A742" s="627">
        <v>562</v>
      </c>
      <c r="B742" s="628" t="s">
        <v>3096</v>
      </c>
      <c r="C742" s="629" t="s">
        <v>3097</v>
      </c>
      <c r="D742" s="629" t="s">
        <v>2654</v>
      </c>
      <c r="E742" s="629" t="s">
        <v>2755</v>
      </c>
      <c r="F742" s="630">
        <v>100.93324923764185</v>
      </c>
      <c r="G742" s="630">
        <v>102.74154923764185</v>
      </c>
      <c r="H742" s="630">
        <v>20.68</v>
      </c>
      <c r="I742" s="627">
        <v>1769</v>
      </c>
      <c r="J742" s="629" t="s">
        <v>2656</v>
      </c>
    </row>
    <row r="743" spans="1:10">
      <c r="A743" s="627">
        <v>563</v>
      </c>
      <c r="B743" s="628" t="s">
        <v>3098</v>
      </c>
      <c r="C743" s="629" t="s">
        <v>3099</v>
      </c>
      <c r="D743" s="629" t="s">
        <v>2654</v>
      </c>
      <c r="E743" s="629" t="s">
        <v>2755</v>
      </c>
      <c r="F743" s="630">
        <v>99.09</v>
      </c>
      <c r="G743" s="630">
        <v>100.6067</v>
      </c>
      <c r="H743" s="630">
        <v>21.41</v>
      </c>
      <c r="I743" s="627">
        <v>1054</v>
      </c>
      <c r="J743" s="629" t="s">
        <v>2656</v>
      </c>
    </row>
    <row r="744" spans="1:10">
      <c r="A744" s="627">
        <v>564</v>
      </c>
      <c r="B744" s="628" t="s">
        <v>1904</v>
      </c>
      <c r="C744" s="629" t="s">
        <v>1905</v>
      </c>
      <c r="D744" s="629" t="s">
        <v>2654</v>
      </c>
      <c r="E744" s="629" t="s">
        <v>2756</v>
      </c>
      <c r="F744" s="630">
        <v>98.484177812123477</v>
      </c>
      <c r="G744" s="630">
        <v>106.30087781212347</v>
      </c>
      <c r="H744" s="630">
        <v>21.86</v>
      </c>
      <c r="I744" s="627">
        <v>766</v>
      </c>
      <c r="J744" s="629" t="s">
        <v>2656</v>
      </c>
    </row>
    <row r="745" spans="1:10">
      <c r="A745" s="627">
        <v>565</v>
      </c>
      <c r="B745" s="628" t="s">
        <v>2858</v>
      </c>
      <c r="C745" s="629" t="s">
        <v>2859</v>
      </c>
      <c r="D745" s="629" t="s">
        <v>2654</v>
      </c>
      <c r="E745" s="629" t="s">
        <v>2756</v>
      </c>
      <c r="F745" s="630">
        <v>100.21199565585592</v>
      </c>
      <c r="G745" s="630">
        <v>100.51059565585591</v>
      </c>
      <c r="H745" s="630">
        <v>21.29</v>
      </c>
      <c r="I745" s="627">
        <v>445</v>
      </c>
      <c r="J745" s="629" t="s">
        <v>2656</v>
      </c>
    </row>
    <row r="746" spans="1:10">
      <c r="A746" s="627">
        <v>566</v>
      </c>
      <c r="B746" s="628" t="s">
        <v>2860</v>
      </c>
      <c r="C746" s="629" t="s">
        <v>2861</v>
      </c>
      <c r="D746" s="629" t="s">
        <v>2651</v>
      </c>
      <c r="E746" s="629" t="s">
        <v>2756</v>
      </c>
      <c r="F746" s="630">
        <v>1000</v>
      </c>
      <c r="G746" s="630">
        <v>1000</v>
      </c>
      <c r="H746" s="630">
        <v>0</v>
      </c>
      <c r="I746" s="627">
        <v>0</v>
      </c>
      <c r="J746" s="629" t="s">
        <v>2653</v>
      </c>
    </row>
    <row r="747" spans="1:10">
      <c r="A747" s="627">
        <v>567</v>
      </c>
      <c r="B747" s="628" t="s">
        <v>1906</v>
      </c>
      <c r="C747" s="629" t="s">
        <v>1907</v>
      </c>
      <c r="D747" s="629" t="s">
        <v>2654</v>
      </c>
      <c r="E747" s="629" t="s">
        <v>1908</v>
      </c>
      <c r="F747" s="630">
        <v>98.525099999999995</v>
      </c>
      <c r="G747" s="630">
        <v>101.6168</v>
      </c>
      <c r="H747" s="630">
        <v>22.51</v>
      </c>
      <c r="I747" s="627">
        <v>397</v>
      </c>
      <c r="J747" s="629" t="s">
        <v>2656</v>
      </c>
    </row>
    <row r="748" spans="1:10">
      <c r="A748" s="627">
        <v>568</v>
      </c>
      <c r="B748" s="628" t="s">
        <v>2957</v>
      </c>
      <c r="C748" s="629" t="s">
        <v>2958</v>
      </c>
      <c r="D748" s="629" t="s">
        <v>2654</v>
      </c>
      <c r="E748" s="629" t="s">
        <v>1908</v>
      </c>
      <c r="F748" s="630">
        <v>100.5325</v>
      </c>
      <c r="G748" s="630">
        <v>104.2825</v>
      </c>
      <c r="H748" s="630">
        <v>22</v>
      </c>
      <c r="I748" s="627">
        <v>480</v>
      </c>
      <c r="J748" s="629" t="s">
        <v>2656</v>
      </c>
    </row>
    <row r="749" spans="1:10">
      <c r="A749" s="627">
        <v>569</v>
      </c>
      <c r="B749" s="628" t="s">
        <v>1909</v>
      </c>
      <c r="C749" s="629" t="s">
        <v>1910</v>
      </c>
      <c r="D749" s="629" t="s">
        <v>2654</v>
      </c>
      <c r="E749" s="629" t="s">
        <v>2757</v>
      </c>
      <c r="F749" s="630">
        <v>100</v>
      </c>
      <c r="G749" s="630">
        <v>104.09439999999999</v>
      </c>
      <c r="H749" s="630">
        <v>21.98</v>
      </c>
      <c r="I749" s="627">
        <v>563</v>
      </c>
      <c r="J749" s="629" t="s">
        <v>2656</v>
      </c>
    </row>
    <row r="750" spans="1:10">
      <c r="A750" s="627">
        <v>570</v>
      </c>
      <c r="B750" s="628" t="s">
        <v>1911</v>
      </c>
      <c r="C750" s="629" t="s">
        <v>1912</v>
      </c>
      <c r="D750" s="629" t="s">
        <v>2654</v>
      </c>
      <c r="E750" s="629" t="s">
        <v>2758</v>
      </c>
      <c r="F750" s="630">
        <v>100.01990345548879</v>
      </c>
      <c r="G750" s="630">
        <v>105.21570345548878</v>
      </c>
      <c r="H750" s="630">
        <v>21.4</v>
      </c>
      <c r="I750" s="627">
        <v>93</v>
      </c>
      <c r="J750" s="629" t="s">
        <v>2656</v>
      </c>
    </row>
    <row r="751" spans="1:10">
      <c r="A751" s="627">
        <v>571</v>
      </c>
      <c r="B751" s="628" t="s">
        <v>1913</v>
      </c>
      <c r="C751" s="629" t="s">
        <v>1914</v>
      </c>
      <c r="D751" s="629" t="s">
        <v>2654</v>
      </c>
      <c r="E751" s="629" t="s">
        <v>2758</v>
      </c>
      <c r="F751" s="630">
        <v>100.07123287983191</v>
      </c>
      <c r="G751" s="630">
        <v>100.10183287983192</v>
      </c>
      <c r="H751" s="630">
        <v>10.7</v>
      </c>
      <c r="I751" s="627">
        <v>89</v>
      </c>
      <c r="J751" s="629" t="s">
        <v>2656</v>
      </c>
    </row>
    <row r="752" spans="1:10">
      <c r="A752" s="627">
        <v>572</v>
      </c>
      <c r="B752" s="628" t="s">
        <v>2838</v>
      </c>
      <c r="C752" s="629" t="s">
        <v>2839</v>
      </c>
      <c r="D752" s="629" t="s">
        <v>2654</v>
      </c>
      <c r="E752" s="629" t="s">
        <v>2758</v>
      </c>
      <c r="F752" s="630">
        <v>99.799129483815463</v>
      </c>
      <c r="G752" s="630">
        <v>101.19912948381545</v>
      </c>
      <c r="H752" s="630">
        <v>21.14</v>
      </c>
      <c r="I752" s="627">
        <v>606</v>
      </c>
      <c r="J752" s="629" t="s">
        <v>2656</v>
      </c>
    </row>
    <row r="753" spans="1:10">
      <c r="A753" s="627">
        <v>573</v>
      </c>
      <c r="B753" s="628" t="s">
        <v>1915</v>
      </c>
      <c r="C753" s="629" t="s">
        <v>1916</v>
      </c>
      <c r="D753" s="629" t="s">
        <v>2654</v>
      </c>
      <c r="E753" s="629" t="s">
        <v>2759</v>
      </c>
      <c r="F753" s="630">
        <v>99.025000000000006</v>
      </c>
      <c r="G753" s="630">
        <v>102.75279999999999</v>
      </c>
      <c r="H753" s="630">
        <v>23.01</v>
      </c>
      <c r="I753" s="627">
        <v>389</v>
      </c>
      <c r="J753" s="629" t="s">
        <v>2656</v>
      </c>
    </row>
    <row r="754" spans="1:10">
      <c r="A754" s="627">
        <v>574</v>
      </c>
      <c r="B754" s="628" t="s">
        <v>1917</v>
      </c>
      <c r="C754" s="629" t="s">
        <v>1918</v>
      </c>
      <c r="D754" s="629" t="s">
        <v>2654</v>
      </c>
      <c r="E754" s="629" t="s">
        <v>2760</v>
      </c>
      <c r="F754" s="630">
        <v>100.75798480524685</v>
      </c>
      <c r="G754" s="630">
        <v>106.15798480524684</v>
      </c>
      <c r="H754" s="630">
        <v>21.04</v>
      </c>
      <c r="I754" s="627">
        <v>99</v>
      </c>
      <c r="J754" s="629" t="s">
        <v>2656</v>
      </c>
    </row>
    <row r="755" spans="1:10">
      <c r="A755" s="627">
        <v>575</v>
      </c>
      <c r="B755" s="628" t="s">
        <v>1919</v>
      </c>
      <c r="C755" s="629" t="s">
        <v>1920</v>
      </c>
      <c r="D755" s="629" t="s">
        <v>2654</v>
      </c>
      <c r="E755" s="629" t="s">
        <v>2760</v>
      </c>
      <c r="F755" s="630">
        <v>100.79015415209007</v>
      </c>
      <c r="G755" s="630">
        <v>105.92345415209007</v>
      </c>
      <c r="H755" s="630">
        <v>20.85</v>
      </c>
      <c r="I755" s="627">
        <v>276</v>
      </c>
      <c r="J755" s="629" t="s">
        <v>2656</v>
      </c>
    </row>
    <row r="756" spans="1:10">
      <c r="A756" s="627">
        <v>576</v>
      </c>
      <c r="B756" s="628" t="s">
        <v>2962</v>
      </c>
      <c r="C756" s="629" t="s">
        <v>2963</v>
      </c>
      <c r="D756" s="629" t="s">
        <v>2654</v>
      </c>
      <c r="E756" s="629" t="s">
        <v>2760</v>
      </c>
      <c r="F756" s="630">
        <v>102.58216681692906</v>
      </c>
      <c r="G756" s="630">
        <v>105.88216681692906</v>
      </c>
      <c r="H756" s="630">
        <v>20.99</v>
      </c>
      <c r="I756" s="627">
        <v>1386</v>
      </c>
      <c r="J756" s="629" t="s">
        <v>2656</v>
      </c>
    </row>
    <row r="757" spans="1:10">
      <c r="A757" s="627">
        <v>577</v>
      </c>
      <c r="B757" s="628" t="s">
        <v>3220</v>
      </c>
      <c r="C757" s="629" t="s">
        <v>3221</v>
      </c>
      <c r="D757" s="629" t="s">
        <v>2651</v>
      </c>
      <c r="E757" s="629" t="s">
        <v>3222</v>
      </c>
      <c r="F757" s="630">
        <v>992.01</v>
      </c>
      <c r="G757" s="630">
        <v>992.01</v>
      </c>
      <c r="H757" s="630">
        <v>0</v>
      </c>
      <c r="I757" s="627">
        <v>0</v>
      </c>
      <c r="J757" s="629" t="s">
        <v>2653</v>
      </c>
    </row>
    <row r="758" spans="1:10">
      <c r="A758" s="627">
        <v>578</v>
      </c>
      <c r="B758" s="628" t="s">
        <v>2551</v>
      </c>
      <c r="C758" s="629" t="s">
        <v>2552</v>
      </c>
      <c r="D758" s="629" t="s">
        <v>2654</v>
      </c>
      <c r="E758" s="629" t="s">
        <v>2951</v>
      </c>
      <c r="F758" s="630">
        <v>99.179713473904201</v>
      </c>
      <c r="G758" s="630">
        <v>107.6297134739042</v>
      </c>
      <c r="H758" s="630">
        <v>20.28</v>
      </c>
      <c r="I758" s="627">
        <v>204</v>
      </c>
      <c r="J758" s="629" t="s">
        <v>2656</v>
      </c>
    </row>
    <row r="759" spans="1:10">
      <c r="A759" s="627">
        <v>579</v>
      </c>
      <c r="B759" s="628" t="s">
        <v>2605</v>
      </c>
      <c r="C759" s="629" t="s">
        <v>2606</v>
      </c>
      <c r="D759" s="629" t="s">
        <v>2654</v>
      </c>
      <c r="E759" s="629" t="s">
        <v>2951</v>
      </c>
      <c r="F759" s="630">
        <v>99.180236295553044</v>
      </c>
      <c r="G759" s="630">
        <v>106.81773629555305</v>
      </c>
      <c r="H759" s="630">
        <v>20.25</v>
      </c>
      <c r="I759" s="627">
        <v>219</v>
      </c>
      <c r="J759" s="629" t="s">
        <v>2656</v>
      </c>
    </row>
    <row r="760" spans="1:10">
      <c r="A760" s="627">
        <v>580</v>
      </c>
      <c r="B760" s="628" t="s">
        <v>2607</v>
      </c>
      <c r="C760" s="629" t="s">
        <v>2608</v>
      </c>
      <c r="D760" s="629" t="s">
        <v>2654</v>
      </c>
      <c r="E760" s="629" t="s">
        <v>2951</v>
      </c>
      <c r="F760" s="630">
        <v>99.180510272390251</v>
      </c>
      <c r="G760" s="630">
        <v>106.76381027239024</v>
      </c>
      <c r="H760" s="630">
        <v>20.25</v>
      </c>
      <c r="I760" s="627">
        <v>220</v>
      </c>
      <c r="J760" s="629" t="s">
        <v>2656</v>
      </c>
    </row>
    <row r="761" spans="1:10">
      <c r="A761" s="627">
        <v>581</v>
      </c>
      <c r="B761" s="628" t="s">
        <v>1921</v>
      </c>
      <c r="C761" s="629" t="s">
        <v>1922</v>
      </c>
      <c r="D761" s="629" t="s">
        <v>2654</v>
      </c>
      <c r="E761" s="629" t="s">
        <v>2761</v>
      </c>
      <c r="F761" s="630">
        <v>97.585473127121944</v>
      </c>
      <c r="G761" s="630">
        <v>102.41877312712194</v>
      </c>
      <c r="H761" s="630">
        <v>21.37</v>
      </c>
      <c r="I761" s="627">
        <v>813</v>
      </c>
      <c r="J761" s="629" t="s">
        <v>2656</v>
      </c>
    </row>
    <row r="762" spans="1:10">
      <c r="A762" s="627">
        <v>582</v>
      </c>
      <c r="B762" s="628" t="s">
        <v>1923</v>
      </c>
      <c r="C762" s="629" t="s">
        <v>1924</v>
      </c>
      <c r="D762" s="629" t="s">
        <v>2654</v>
      </c>
      <c r="E762" s="629" t="s">
        <v>2761</v>
      </c>
      <c r="F762" s="630">
        <v>89.99998146420711</v>
      </c>
      <c r="G762" s="630">
        <v>91.666681464207102</v>
      </c>
      <c r="H762" s="630">
        <v>24.91</v>
      </c>
      <c r="I762" s="627">
        <v>1050</v>
      </c>
      <c r="J762" s="629" t="s">
        <v>2656</v>
      </c>
    </row>
    <row r="763" spans="1:10">
      <c r="A763" s="627">
        <v>583</v>
      </c>
      <c r="B763" s="628" t="s">
        <v>1925</v>
      </c>
      <c r="C763" s="629" t="s">
        <v>1926</v>
      </c>
      <c r="D763" s="629" t="s">
        <v>2654</v>
      </c>
      <c r="E763" s="629" t="s">
        <v>2762</v>
      </c>
      <c r="F763" s="630">
        <v>100.41932437233864</v>
      </c>
      <c r="G763" s="630">
        <v>100.60262437233864</v>
      </c>
      <c r="H763" s="630">
        <v>20.92</v>
      </c>
      <c r="I763" s="627">
        <v>147</v>
      </c>
      <c r="J763" s="629" t="s">
        <v>2656</v>
      </c>
    </row>
    <row r="764" spans="1:10">
      <c r="A764" s="627">
        <v>584</v>
      </c>
      <c r="B764" s="628" t="s">
        <v>1927</v>
      </c>
      <c r="C764" s="629" t="s">
        <v>1928</v>
      </c>
      <c r="D764" s="629" t="s">
        <v>2654</v>
      </c>
      <c r="E764" s="629" t="s">
        <v>2762</v>
      </c>
      <c r="F764" s="630">
        <v>100.02891909209488</v>
      </c>
      <c r="G764" s="630">
        <v>101.06781909209488</v>
      </c>
      <c r="H764" s="630">
        <v>21.94</v>
      </c>
      <c r="I764" s="627">
        <v>523</v>
      </c>
      <c r="J764" s="629" t="s">
        <v>2656</v>
      </c>
    </row>
    <row r="765" spans="1:10">
      <c r="A765" s="627">
        <v>585</v>
      </c>
      <c r="B765" s="628" t="s">
        <v>3007</v>
      </c>
      <c r="C765" s="629" t="s">
        <v>3008</v>
      </c>
      <c r="D765" s="629" t="s">
        <v>2654</v>
      </c>
      <c r="E765" s="629" t="s">
        <v>2762</v>
      </c>
      <c r="F765" s="630">
        <v>101.47618859313648</v>
      </c>
      <c r="G765" s="630">
        <v>102.51508859313648</v>
      </c>
      <c r="H765" s="630">
        <v>21.04</v>
      </c>
      <c r="I765" s="627">
        <v>673</v>
      </c>
      <c r="J765" s="629" t="s">
        <v>2656</v>
      </c>
    </row>
    <row r="766" spans="1:10">
      <c r="A766" s="627">
        <v>586</v>
      </c>
      <c r="B766" s="628" t="s">
        <v>2609</v>
      </c>
      <c r="C766" s="629" t="s">
        <v>2610</v>
      </c>
      <c r="D766" s="629" t="s">
        <v>2654</v>
      </c>
      <c r="E766" s="629" t="s">
        <v>2762</v>
      </c>
      <c r="F766" s="630">
        <v>101.13950651960701</v>
      </c>
      <c r="G766" s="630">
        <v>102.22560651960701</v>
      </c>
      <c r="H766" s="630">
        <v>21.01</v>
      </c>
      <c r="I766" s="627">
        <v>223</v>
      </c>
      <c r="J766" s="629" t="s">
        <v>2656</v>
      </c>
    </row>
    <row r="767" spans="1:10">
      <c r="A767" s="627">
        <v>587</v>
      </c>
      <c r="B767" s="628" t="s">
        <v>2535</v>
      </c>
      <c r="C767" s="629" t="s">
        <v>2536</v>
      </c>
      <c r="D767" s="629" t="s">
        <v>2654</v>
      </c>
      <c r="E767" s="629" t="s">
        <v>2762</v>
      </c>
      <c r="F767" s="630">
        <v>101.0746037099233</v>
      </c>
      <c r="G767" s="630">
        <v>101.58570370992329</v>
      </c>
      <c r="H767" s="630">
        <v>20.95</v>
      </c>
      <c r="I767" s="627">
        <v>202</v>
      </c>
      <c r="J767" s="629" t="s">
        <v>2656</v>
      </c>
    </row>
    <row r="768" spans="1:10">
      <c r="A768" s="627">
        <v>588</v>
      </c>
      <c r="B768" s="628" t="s">
        <v>3060</v>
      </c>
      <c r="C768" s="629" t="s">
        <v>3061</v>
      </c>
      <c r="D768" s="629" t="s">
        <v>2654</v>
      </c>
      <c r="E768" s="629" t="s">
        <v>2762</v>
      </c>
      <c r="F768" s="630">
        <v>99.996700000000004</v>
      </c>
      <c r="G768" s="630">
        <v>101.5245</v>
      </c>
      <c r="H768" s="630">
        <v>22</v>
      </c>
      <c r="I768" s="627">
        <v>335</v>
      </c>
      <c r="J768" s="629" t="s">
        <v>2656</v>
      </c>
    </row>
    <row r="769" spans="1:10">
      <c r="A769" s="627">
        <v>589</v>
      </c>
      <c r="B769" s="628" t="s">
        <v>2964</v>
      </c>
      <c r="C769" s="629" t="s">
        <v>2965</v>
      </c>
      <c r="D769" s="629" t="s">
        <v>2654</v>
      </c>
      <c r="E769" s="629" t="s">
        <v>2762</v>
      </c>
      <c r="F769" s="630">
        <v>100.76722100455297</v>
      </c>
      <c r="G769" s="630">
        <v>102.29502100455296</v>
      </c>
      <c r="H769" s="630">
        <v>21</v>
      </c>
      <c r="I769" s="627">
        <v>305</v>
      </c>
      <c r="J769" s="629" t="s">
        <v>2656</v>
      </c>
    </row>
    <row r="770" spans="1:10">
      <c r="A770" s="627">
        <v>590</v>
      </c>
      <c r="B770" s="628" t="s">
        <v>1929</v>
      </c>
      <c r="C770" s="629" t="s">
        <v>1930</v>
      </c>
      <c r="D770" s="629" t="s">
        <v>2654</v>
      </c>
      <c r="E770" s="629" t="s">
        <v>2762</v>
      </c>
      <c r="F770" s="630">
        <v>99.907007563634139</v>
      </c>
      <c r="G770" s="630">
        <v>101.01810756363415</v>
      </c>
      <c r="H770" s="630">
        <v>23.26</v>
      </c>
      <c r="I770" s="627">
        <v>10</v>
      </c>
      <c r="J770" s="629" t="s">
        <v>2656</v>
      </c>
    </row>
    <row r="771" spans="1:10">
      <c r="A771" s="627">
        <v>591</v>
      </c>
      <c r="B771" s="628" t="s">
        <v>1931</v>
      </c>
      <c r="C771" s="629" t="s">
        <v>1932</v>
      </c>
      <c r="D771" s="629" t="s">
        <v>2654</v>
      </c>
      <c r="E771" s="629" t="s">
        <v>2762</v>
      </c>
      <c r="F771" s="630">
        <v>99.450542407886758</v>
      </c>
      <c r="G771" s="630">
        <v>103.22834240788676</v>
      </c>
      <c r="H771" s="630">
        <v>21.79</v>
      </c>
      <c r="I771" s="627">
        <v>112</v>
      </c>
      <c r="J771" s="629" t="s">
        <v>2656</v>
      </c>
    </row>
    <row r="772" spans="1:10">
      <c r="A772" s="627">
        <v>592</v>
      </c>
      <c r="B772" s="628" t="s">
        <v>1933</v>
      </c>
      <c r="C772" s="629" t="s">
        <v>1934</v>
      </c>
      <c r="D772" s="629" t="s">
        <v>2654</v>
      </c>
      <c r="E772" s="629" t="s">
        <v>2762</v>
      </c>
      <c r="F772" s="630">
        <v>99.778246014473893</v>
      </c>
      <c r="G772" s="630">
        <v>102.7226460144739</v>
      </c>
      <c r="H772" s="630">
        <v>21.91</v>
      </c>
      <c r="I772" s="627">
        <v>37</v>
      </c>
      <c r="J772" s="629" t="s">
        <v>2656</v>
      </c>
    </row>
    <row r="773" spans="1:10">
      <c r="A773" s="627">
        <v>593</v>
      </c>
      <c r="B773" s="628" t="s">
        <v>1935</v>
      </c>
      <c r="C773" s="629" t="s">
        <v>1936</v>
      </c>
      <c r="D773" s="629" t="s">
        <v>2654</v>
      </c>
      <c r="E773" s="629" t="s">
        <v>2762</v>
      </c>
      <c r="F773" s="630">
        <v>99.750451125484105</v>
      </c>
      <c r="G773" s="630">
        <v>102.19485112548411</v>
      </c>
      <c r="H773" s="630">
        <v>21.76</v>
      </c>
      <c r="I773" s="627">
        <v>46</v>
      </c>
      <c r="J773" s="629" t="s">
        <v>2656</v>
      </c>
    </row>
    <row r="774" spans="1:10">
      <c r="A774" s="627">
        <v>594</v>
      </c>
      <c r="B774" s="628" t="s">
        <v>1937</v>
      </c>
      <c r="C774" s="629" t="s">
        <v>1938</v>
      </c>
      <c r="D774" s="629" t="s">
        <v>2654</v>
      </c>
      <c r="E774" s="629" t="s">
        <v>2762</v>
      </c>
      <c r="F774" s="630">
        <v>98.463239443315857</v>
      </c>
      <c r="G774" s="630">
        <v>103.29653944331585</v>
      </c>
      <c r="H774" s="630">
        <v>21.42</v>
      </c>
      <c r="I774" s="627">
        <v>453</v>
      </c>
      <c r="J774" s="629" t="s">
        <v>2656</v>
      </c>
    </row>
    <row r="775" spans="1:10">
      <c r="A775" s="627">
        <v>595</v>
      </c>
      <c r="B775" s="628" t="s">
        <v>1939</v>
      </c>
      <c r="C775" s="629" t="s">
        <v>1940</v>
      </c>
      <c r="D775" s="629" t="s">
        <v>2654</v>
      </c>
      <c r="E775" s="629" t="s">
        <v>2762</v>
      </c>
      <c r="F775" s="630">
        <v>98.317471410242248</v>
      </c>
      <c r="G775" s="630">
        <v>101.31747141024225</v>
      </c>
      <c r="H775" s="630">
        <v>21.44</v>
      </c>
      <c r="I775" s="627">
        <v>486</v>
      </c>
      <c r="J775" s="629" t="s">
        <v>2656</v>
      </c>
    </row>
    <row r="776" spans="1:10">
      <c r="A776" s="627">
        <v>596</v>
      </c>
      <c r="B776" s="628" t="s">
        <v>1941</v>
      </c>
      <c r="C776" s="629" t="s">
        <v>1942</v>
      </c>
      <c r="D776" s="629" t="s">
        <v>2654</v>
      </c>
      <c r="E776" s="629" t="s">
        <v>2762</v>
      </c>
      <c r="F776" s="630">
        <v>100.26812068470068</v>
      </c>
      <c r="G776" s="630">
        <v>101.73482068470068</v>
      </c>
      <c r="H776" s="630">
        <v>21.27</v>
      </c>
      <c r="I776" s="627">
        <v>156</v>
      </c>
      <c r="J776" s="629" t="s">
        <v>2656</v>
      </c>
    </row>
    <row r="777" spans="1:10">
      <c r="A777" s="627">
        <v>597</v>
      </c>
      <c r="B777" s="628" t="s">
        <v>1943</v>
      </c>
      <c r="C777" s="629" t="s">
        <v>1944</v>
      </c>
      <c r="D777" s="629" t="s">
        <v>2654</v>
      </c>
      <c r="E777" s="629" t="s">
        <v>2763</v>
      </c>
      <c r="F777" s="630">
        <v>100.24284700156784</v>
      </c>
      <c r="G777" s="630">
        <v>102.10954700156783</v>
      </c>
      <c r="H777" s="630">
        <v>22.31</v>
      </c>
      <c r="I777" s="627">
        <v>62</v>
      </c>
      <c r="J777" s="629" t="s">
        <v>2656</v>
      </c>
    </row>
    <row r="778" spans="1:10">
      <c r="A778" s="627">
        <v>598</v>
      </c>
      <c r="B778" s="628" t="s">
        <v>1945</v>
      </c>
      <c r="C778" s="629" t="s">
        <v>1946</v>
      </c>
      <c r="D778" s="629" t="s">
        <v>2654</v>
      </c>
      <c r="E778" s="629" t="s">
        <v>2763</v>
      </c>
      <c r="F778" s="630">
        <v>97.588693497693242</v>
      </c>
      <c r="G778" s="630">
        <v>98.144293497693255</v>
      </c>
      <c r="H778" s="630">
        <v>22.3</v>
      </c>
      <c r="I778" s="627">
        <v>440</v>
      </c>
      <c r="J778" s="629" t="s">
        <v>2656</v>
      </c>
    </row>
    <row r="779" spans="1:10">
      <c r="A779" s="627">
        <v>599</v>
      </c>
      <c r="B779" s="628" t="s">
        <v>1068</v>
      </c>
      <c r="C779" s="629" t="s">
        <v>1069</v>
      </c>
      <c r="D779" s="629" t="s">
        <v>2654</v>
      </c>
      <c r="E779" s="629" t="s">
        <v>2764</v>
      </c>
      <c r="F779" s="630">
        <v>97.630200000000002</v>
      </c>
      <c r="G779" s="630">
        <v>105.2135</v>
      </c>
      <c r="H779" s="630">
        <v>20.02</v>
      </c>
      <c r="I779" s="627">
        <v>384</v>
      </c>
      <c r="J779" s="629" t="s">
        <v>2656</v>
      </c>
    </row>
    <row r="780" spans="1:10">
      <c r="A780" s="627">
        <v>600</v>
      </c>
      <c r="B780" s="628" t="s">
        <v>1070</v>
      </c>
      <c r="C780" s="629" t="s">
        <v>1071</v>
      </c>
      <c r="D780" s="629" t="s">
        <v>2654</v>
      </c>
      <c r="E780" s="629" t="s">
        <v>639</v>
      </c>
      <c r="F780" s="630">
        <v>94.525692353505093</v>
      </c>
      <c r="G780" s="630">
        <v>96.792392353505093</v>
      </c>
      <c r="H780" s="630">
        <v>17.760000000000002</v>
      </c>
      <c r="I780" s="627">
        <v>382</v>
      </c>
      <c r="J780" s="629" t="s">
        <v>2656</v>
      </c>
    </row>
    <row r="781" spans="1:10">
      <c r="A781" s="627">
        <v>601</v>
      </c>
      <c r="B781" s="628" t="s">
        <v>1035</v>
      </c>
      <c r="C781" s="629" t="s">
        <v>1036</v>
      </c>
      <c r="D781" s="629" t="s">
        <v>2654</v>
      </c>
      <c r="E781" s="629" t="s">
        <v>639</v>
      </c>
      <c r="F781" s="630">
        <v>100.05115445144936</v>
      </c>
      <c r="G781" s="630">
        <v>100.47895445144935</v>
      </c>
      <c r="H781" s="630">
        <v>21.76</v>
      </c>
      <c r="I781" s="627">
        <v>83</v>
      </c>
      <c r="J781" s="629" t="s">
        <v>2656</v>
      </c>
    </row>
    <row r="782" spans="1:10">
      <c r="A782" s="627">
        <v>602</v>
      </c>
      <c r="B782" s="628" t="s">
        <v>1947</v>
      </c>
      <c r="C782" s="629" t="s">
        <v>1948</v>
      </c>
      <c r="D782" s="629" t="s">
        <v>2654</v>
      </c>
      <c r="E782" s="629" t="s">
        <v>639</v>
      </c>
      <c r="F782" s="630">
        <v>100.08337293917282</v>
      </c>
      <c r="G782" s="630">
        <v>101.36667293917282</v>
      </c>
      <c r="H782" s="630">
        <v>21.68</v>
      </c>
      <c r="I782" s="627">
        <v>99</v>
      </c>
      <c r="J782" s="629" t="s">
        <v>2656</v>
      </c>
    </row>
    <row r="783" spans="1:10">
      <c r="A783" s="627">
        <v>603</v>
      </c>
      <c r="B783" s="628" t="s">
        <v>1949</v>
      </c>
      <c r="C783" s="629" t="s">
        <v>1950</v>
      </c>
      <c r="D783" s="629" t="s">
        <v>2654</v>
      </c>
      <c r="E783" s="629" t="s">
        <v>639</v>
      </c>
      <c r="F783" s="630">
        <v>100.07231783140801</v>
      </c>
      <c r="G783" s="630">
        <v>100.13341783140801</v>
      </c>
      <c r="H783" s="630">
        <v>21.77</v>
      </c>
      <c r="I783" s="627">
        <v>119</v>
      </c>
      <c r="J783" s="629" t="s">
        <v>2656</v>
      </c>
    </row>
    <row r="784" spans="1:10">
      <c r="A784" s="627">
        <v>604</v>
      </c>
      <c r="B784" s="628" t="s">
        <v>1072</v>
      </c>
      <c r="C784" s="629" t="s">
        <v>1073</v>
      </c>
      <c r="D784" s="629" t="s">
        <v>2654</v>
      </c>
      <c r="E784" s="629" t="s">
        <v>639</v>
      </c>
      <c r="F784" s="630">
        <v>100.21115487151114</v>
      </c>
      <c r="G784" s="630">
        <v>101.12785487151113</v>
      </c>
      <c r="H784" s="630">
        <v>21.4</v>
      </c>
      <c r="I784" s="627">
        <v>135</v>
      </c>
      <c r="J784" s="629" t="s">
        <v>2656</v>
      </c>
    </row>
    <row r="785" spans="1:10">
      <c r="A785" s="627">
        <v>605</v>
      </c>
      <c r="B785" s="628" t="s">
        <v>2522</v>
      </c>
      <c r="C785" s="629" t="s">
        <v>2523</v>
      </c>
      <c r="D785" s="629" t="s">
        <v>2651</v>
      </c>
      <c r="E785" s="629" t="s">
        <v>639</v>
      </c>
      <c r="F785" s="630">
        <v>1000</v>
      </c>
      <c r="G785" s="630">
        <v>1000</v>
      </c>
      <c r="H785" s="630">
        <v>0</v>
      </c>
      <c r="I785" s="627">
        <v>0</v>
      </c>
      <c r="J785" s="629" t="s">
        <v>2653</v>
      </c>
    </row>
    <row r="786" spans="1:10">
      <c r="A786" s="627">
        <v>606</v>
      </c>
      <c r="B786" s="628" t="s">
        <v>1951</v>
      </c>
      <c r="C786" s="629" t="s">
        <v>1952</v>
      </c>
      <c r="D786" s="629" t="s">
        <v>2654</v>
      </c>
      <c r="E786" s="629" t="s">
        <v>639</v>
      </c>
      <c r="F786" s="630">
        <v>98.203936086028861</v>
      </c>
      <c r="G786" s="630">
        <v>98.537236086028855</v>
      </c>
      <c r="H786" s="630">
        <v>18.079999999999998</v>
      </c>
      <c r="I786" s="627">
        <v>110</v>
      </c>
      <c r="J786" s="629" t="s">
        <v>2656</v>
      </c>
    </row>
    <row r="787" spans="1:10">
      <c r="A787" s="627">
        <v>607</v>
      </c>
      <c r="B787" s="628" t="s">
        <v>1953</v>
      </c>
      <c r="C787" s="629" t="s">
        <v>1954</v>
      </c>
      <c r="D787" s="629" t="s">
        <v>2654</v>
      </c>
      <c r="E787" s="629" t="s">
        <v>639</v>
      </c>
      <c r="F787" s="630">
        <v>98.053599167343577</v>
      </c>
      <c r="G787" s="630">
        <v>99.020299167343566</v>
      </c>
      <c r="H787" s="630">
        <v>18.010000000000002</v>
      </c>
      <c r="I787" s="627">
        <v>121</v>
      </c>
      <c r="J787" s="629" t="s">
        <v>2656</v>
      </c>
    </row>
    <row r="788" spans="1:10">
      <c r="A788" s="627">
        <v>608</v>
      </c>
      <c r="B788" s="628" t="s">
        <v>1955</v>
      </c>
      <c r="C788" s="629" t="s">
        <v>1956</v>
      </c>
      <c r="D788" s="629" t="s">
        <v>2654</v>
      </c>
      <c r="E788" s="629" t="s">
        <v>639</v>
      </c>
      <c r="F788" s="630">
        <v>100.08540788495796</v>
      </c>
      <c r="G788" s="630">
        <v>101.55210788495796</v>
      </c>
      <c r="H788" s="630">
        <v>21.74</v>
      </c>
      <c r="I788" s="627">
        <v>126</v>
      </c>
      <c r="J788" s="629" t="s">
        <v>2656</v>
      </c>
    </row>
    <row r="789" spans="1:10">
      <c r="A789" s="627">
        <v>609</v>
      </c>
      <c r="B789" s="628" t="s">
        <v>1957</v>
      </c>
      <c r="C789" s="629" t="s">
        <v>1958</v>
      </c>
      <c r="D789" s="629" t="s">
        <v>2654</v>
      </c>
      <c r="E789" s="629" t="s">
        <v>639</v>
      </c>
      <c r="F789" s="630">
        <v>97.971188494028468</v>
      </c>
      <c r="G789" s="630">
        <v>98.737888494028468</v>
      </c>
      <c r="H789" s="630">
        <v>17.97</v>
      </c>
      <c r="I789" s="627">
        <v>127</v>
      </c>
      <c r="J789" s="629" t="s">
        <v>2656</v>
      </c>
    </row>
    <row r="790" spans="1:10">
      <c r="A790" s="627">
        <v>610</v>
      </c>
      <c r="B790" s="628" t="s">
        <v>1959</v>
      </c>
      <c r="C790" s="629" t="s">
        <v>1960</v>
      </c>
      <c r="D790" s="629" t="s">
        <v>2654</v>
      </c>
      <c r="E790" s="629" t="s">
        <v>639</v>
      </c>
      <c r="F790" s="630">
        <v>97.971188494028468</v>
      </c>
      <c r="G790" s="630">
        <v>98.737888494028468</v>
      </c>
      <c r="H790" s="630">
        <v>17.97</v>
      </c>
      <c r="I790" s="627">
        <v>127</v>
      </c>
      <c r="J790" s="629" t="s">
        <v>2656</v>
      </c>
    </row>
    <row r="791" spans="1:10">
      <c r="A791" s="627">
        <v>611</v>
      </c>
      <c r="B791" s="628" t="s">
        <v>1961</v>
      </c>
      <c r="C791" s="629" t="s">
        <v>1962</v>
      </c>
      <c r="D791" s="629" t="s">
        <v>2654</v>
      </c>
      <c r="E791" s="629" t="s">
        <v>639</v>
      </c>
      <c r="F791" s="630">
        <v>97.545664566813471</v>
      </c>
      <c r="G791" s="630">
        <v>98.145664566813466</v>
      </c>
      <c r="H791" s="630">
        <v>17.71</v>
      </c>
      <c r="I791" s="627">
        <v>162</v>
      </c>
      <c r="J791" s="629" t="s">
        <v>2656</v>
      </c>
    </row>
    <row r="792" spans="1:10">
      <c r="A792" s="627">
        <v>612</v>
      </c>
      <c r="B792" s="628" t="s">
        <v>1963</v>
      </c>
      <c r="C792" s="629" t="s">
        <v>1964</v>
      </c>
      <c r="D792" s="629" t="s">
        <v>2654</v>
      </c>
      <c r="E792" s="629" t="s">
        <v>639</v>
      </c>
      <c r="F792" s="630">
        <v>96.886814249535931</v>
      </c>
      <c r="G792" s="630">
        <v>97.786814249535936</v>
      </c>
      <c r="H792" s="630">
        <v>17.579999999999998</v>
      </c>
      <c r="I792" s="627">
        <v>213</v>
      </c>
      <c r="J792" s="629" t="s">
        <v>2656</v>
      </c>
    </row>
    <row r="793" spans="1:10">
      <c r="A793" s="627">
        <v>613</v>
      </c>
      <c r="B793" s="628" t="s">
        <v>2558</v>
      </c>
      <c r="C793" s="629" t="s">
        <v>2559</v>
      </c>
      <c r="D793" s="629" t="s">
        <v>2654</v>
      </c>
      <c r="E793" s="629" t="s">
        <v>639</v>
      </c>
      <c r="F793" s="630">
        <v>100.74419867107211</v>
      </c>
      <c r="G793" s="630">
        <v>100.98859867107211</v>
      </c>
      <c r="H793" s="630">
        <v>21.44</v>
      </c>
      <c r="I793" s="627">
        <v>566</v>
      </c>
      <c r="J793" s="629" t="s">
        <v>2656</v>
      </c>
    </row>
    <row r="794" spans="1:10">
      <c r="A794" s="627">
        <v>614</v>
      </c>
      <c r="B794" s="628" t="s">
        <v>2620</v>
      </c>
      <c r="C794" s="629" t="s">
        <v>2621</v>
      </c>
      <c r="D794" s="629" t="s">
        <v>2654</v>
      </c>
      <c r="E794" s="629" t="s">
        <v>639</v>
      </c>
      <c r="F794" s="630">
        <v>99.998999999999995</v>
      </c>
      <c r="G794" s="630">
        <v>101.099</v>
      </c>
      <c r="H794" s="630">
        <v>22</v>
      </c>
      <c r="I794" s="627">
        <v>612</v>
      </c>
      <c r="J794" s="629" t="s">
        <v>2656</v>
      </c>
    </row>
    <row r="795" spans="1:10">
      <c r="A795" s="627">
        <v>615</v>
      </c>
      <c r="B795" s="628" t="s">
        <v>2622</v>
      </c>
      <c r="C795" s="629" t="s">
        <v>2623</v>
      </c>
      <c r="D795" s="629" t="s">
        <v>2654</v>
      </c>
      <c r="E795" s="629" t="s">
        <v>639</v>
      </c>
      <c r="F795" s="630">
        <v>99.998699999999999</v>
      </c>
      <c r="G795" s="630">
        <v>100.5487</v>
      </c>
      <c r="H795" s="630">
        <v>22</v>
      </c>
      <c r="I795" s="627">
        <v>651</v>
      </c>
      <c r="J795" s="629" t="s">
        <v>2656</v>
      </c>
    </row>
    <row r="796" spans="1:10">
      <c r="A796" s="627">
        <v>616</v>
      </c>
      <c r="B796" s="628" t="s">
        <v>2560</v>
      </c>
      <c r="C796" s="629" t="s">
        <v>2561</v>
      </c>
      <c r="D796" s="629" t="s">
        <v>2654</v>
      </c>
      <c r="E796" s="629" t="s">
        <v>639</v>
      </c>
      <c r="F796" s="630">
        <v>92.697754575188227</v>
      </c>
      <c r="G796" s="630">
        <v>92.831054575188233</v>
      </c>
      <c r="H796" s="630">
        <v>17.34</v>
      </c>
      <c r="I796" s="627">
        <v>566</v>
      </c>
      <c r="J796" s="629" t="s">
        <v>2656</v>
      </c>
    </row>
    <row r="797" spans="1:10">
      <c r="A797" s="627">
        <v>617</v>
      </c>
      <c r="B797" s="628" t="s">
        <v>2624</v>
      </c>
      <c r="C797" s="629" t="s">
        <v>2625</v>
      </c>
      <c r="D797" s="629" t="s">
        <v>2654</v>
      </c>
      <c r="E797" s="629" t="s">
        <v>639</v>
      </c>
      <c r="F797" s="630">
        <v>92.183772236300001</v>
      </c>
      <c r="G797" s="630">
        <v>92.750472236299998</v>
      </c>
      <c r="H797" s="630">
        <v>17.329999999999998</v>
      </c>
      <c r="I797" s="627">
        <v>613</v>
      </c>
      <c r="J797" s="629" t="s">
        <v>2656</v>
      </c>
    </row>
    <row r="798" spans="1:10">
      <c r="A798" s="627">
        <v>618</v>
      </c>
      <c r="B798" s="628" t="s">
        <v>2626</v>
      </c>
      <c r="C798" s="629" t="s">
        <v>2627</v>
      </c>
      <c r="D798" s="629" t="s">
        <v>2654</v>
      </c>
      <c r="E798" s="629" t="s">
        <v>639</v>
      </c>
      <c r="F798" s="630">
        <v>92.317323526828943</v>
      </c>
      <c r="G798" s="630">
        <v>92.317323526828943</v>
      </c>
      <c r="H798" s="630">
        <v>17.34</v>
      </c>
      <c r="I798" s="627">
        <v>600</v>
      </c>
      <c r="J798" s="629" t="s">
        <v>2656</v>
      </c>
    </row>
    <row r="799" spans="1:10">
      <c r="A799" s="627">
        <v>619</v>
      </c>
      <c r="B799" s="628" t="s">
        <v>3104</v>
      </c>
      <c r="C799" s="629" t="s">
        <v>3105</v>
      </c>
      <c r="D799" s="629" t="s">
        <v>2654</v>
      </c>
      <c r="E799" s="629" t="s">
        <v>639</v>
      </c>
      <c r="F799" s="630">
        <v>99.998999999999995</v>
      </c>
      <c r="G799" s="630">
        <v>100.8546</v>
      </c>
      <c r="H799" s="630">
        <v>22</v>
      </c>
      <c r="I799" s="627">
        <v>706</v>
      </c>
      <c r="J799" s="629" t="s">
        <v>2656</v>
      </c>
    </row>
    <row r="800" spans="1:10">
      <c r="A800" s="627">
        <v>620</v>
      </c>
      <c r="B800" s="628" t="s">
        <v>2954</v>
      </c>
      <c r="C800" s="629" t="s">
        <v>2955</v>
      </c>
      <c r="D800" s="629" t="s">
        <v>2654</v>
      </c>
      <c r="E800" s="629" t="s">
        <v>639</v>
      </c>
      <c r="F800" s="630">
        <v>99.998900000000006</v>
      </c>
      <c r="G800" s="630">
        <v>99.998900000000006</v>
      </c>
      <c r="H800" s="630">
        <v>11</v>
      </c>
      <c r="I800" s="627">
        <v>660</v>
      </c>
      <c r="J800" s="629" t="s">
        <v>2656</v>
      </c>
    </row>
    <row r="801" spans="1:10">
      <c r="A801" s="627">
        <v>621</v>
      </c>
      <c r="B801" s="628" t="s">
        <v>1965</v>
      </c>
      <c r="C801" s="629" t="s">
        <v>1966</v>
      </c>
      <c r="D801" s="629" t="s">
        <v>2654</v>
      </c>
      <c r="E801" s="629" t="s">
        <v>639</v>
      </c>
      <c r="F801" s="630">
        <v>100.06530648350639</v>
      </c>
      <c r="G801" s="630">
        <v>104.58750648350639</v>
      </c>
      <c r="H801" s="630">
        <v>21.9</v>
      </c>
      <c r="I801" s="627">
        <v>376</v>
      </c>
      <c r="J801" s="629" t="s">
        <v>2656</v>
      </c>
    </row>
    <row r="802" spans="1:10">
      <c r="A802" s="627">
        <v>622</v>
      </c>
      <c r="B802" s="628" t="s">
        <v>1967</v>
      </c>
      <c r="C802" s="629" t="s">
        <v>1968</v>
      </c>
      <c r="D802" s="629" t="s">
        <v>2654</v>
      </c>
      <c r="E802" s="629" t="s">
        <v>639</v>
      </c>
      <c r="F802" s="630">
        <v>99.920556277105391</v>
      </c>
      <c r="G802" s="630">
        <v>100.73725627710539</v>
      </c>
      <c r="H802" s="630">
        <v>22.72</v>
      </c>
      <c r="I802" s="627">
        <v>16</v>
      </c>
      <c r="J802" s="629" t="s">
        <v>2656</v>
      </c>
    </row>
    <row r="803" spans="1:10">
      <c r="A803" s="627">
        <v>623</v>
      </c>
      <c r="B803" s="628" t="s">
        <v>1020</v>
      </c>
      <c r="C803" s="629" t="s">
        <v>1021</v>
      </c>
      <c r="D803" s="629" t="s">
        <v>2654</v>
      </c>
      <c r="E803" s="629" t="s">
        <v>639</v>
      </c>
      <c r="F803" s="630">
        <v>99.605848643893196</v>
      </c>
      <c r="G803" s="630">
        <v>100.0336486438932</v>
      </c>
      <c r="H803" s="630">
        <v>19.940000000000001</v>
      </c>
      <c r="I803" s="627">
        <v>16</v>
      </c>
      <c r="J803" s="629" t="s">
        <v>2656</v>
      </c>
    </row>
    <row r="804" spans="1:10">
      <c r="A804" s="627">
        <v>624</v>
      </c>
      <c r="B804" s="628" t="s">
        <v>1969</v>
      </c>
      <c r="C804" s="629" t="s">
        <v>1970</v>
      </c>
      <c r="D804" s="629" t="s">
        <v>2654</v>
      </c>
      <c r="E804" s="629" t="s">
        <v>2765</v>
      </c>
      <c r="F804" s="630">
        <v>96.784746790122981</v>
      </c>
      <c r="G804" s="630">
        <v>98.029146790122994</v>
      </c>
      <c r="H804" s="630">
        <v>19.260000000000002</v>
      </c>
      <c r="I804" s="627">
        <v>238</v>
      </c>
      <c r="J804" s="629" t="s">
        <v>2656</v>
      </c>
    </row>
    <row r="805" spans="1:10">
      <c r="A805" s="627">
        <v>625</v>
      </c>
      <c r="B805" s="628" t="s">
        <v>641</v>
      </c>
      <c r="C805" s="629" t="s">
        <v>642</v>
      </c>
      <c r="D805" s="629" t="s">
        <v>2654</v>
      </c>
      <c r="E805" s="629" t="s">
        <v>640</v>
      </c>
      <c r="F805" s="630">
        <v>99.976667203951536</v>
      </c>
      <c r="G805" s="630">
        <v>100.36496720395154</v>
      </c>
      <c r="H805" s="630">
        <v>23.61</v>
      </c>
      <c r="I805" s="627">
        <v>24</v>
      </c>
      <c r="J805" s="629" t="s">
        <v>2656</v>
      </c>
    </row>
    <row r="806" spans="1:10">
      <c r="A806" s="627">
        <v>626</v>
      </c>
      <c r="B806" s="628" t="s">
        <v>750</v>
      </c>
      <c r="C806" s="629" t="s">
        <v>751</v>
      </c>
      <c r="D806" s="629" t="s">
        <v>2654</v>
      </c>
      <c r="E806" s="629" t="s">
        <v>640</v>
      </c>
      <c r="F806" s="630">
        <v>99.40354300831828</v>
      </c>
      <c r="G806" s="630">
        <v>100.73684300831829</v>
      </c>
      <c r="H806" s="630">
        <v>21.22</v>
      </c>
      <c r="I806" s="627">
        <v>186</v>
      </c>
      <c r="J806" s="629" t="s">
        <v>2656</v>
      </c>
    </row>
    <row r="807" spans="1:10">
      <c r="A807" s="627">
        <v>627</v>
      </c>
      <c r="B807" s="628" t="s">
        <v>1074</v>
      </c>
      <c r="C807" s="629" t="s">
        <v>1075</v>
      </c>
      <c r="D807" s="629" t="s">
        <v>2654</v>
      </c>
      <c r="E807" s="629" t="s">
        <v>640</v>
      </c>
      <c r="F807" s="630">
        <v>99.232951833574788</v>
      </c>
      <c r="G807" s="630">
        <v>99.288551833574786</v>
      </c>
      <c r="H807" s="630">
        <v>10.59</v>
      </c>
      <c r="I807" s="627">
        <v>508</v>
      </c>
      <c r="J807" s="629" t="s">
        <v>2656</v>
      </c>
    </row>
    <row r="808" spans="1:10">
      <c r="A808" s="627">
        <v>628</v>
      </c>
      <c r="B808" s="628" t="s">
        <v>907</v>
      </c>
      <c r="C808" s="629" t="s">
        <v>908</v>
      </c>
      <c r="D808" s="629" t="s">
        <v>2654</v>
      </c>
      <c r="E808" s="629" t="s">
        <v>640</v>
      </c>
      <c r="F808" s="630">
        <v>102.11325875695474</v>
      </c>
      <c r="G808" s="630">
        <v>102.42755875695472</v>
      </c>
      <c r="H808" s="630">
        <v>21.22</v>
      </c>
      <c r="I808" s="627">
        <v>655</v>
      </c>
      <c r="J808" s="629" t="s">
        <v>2656</v>
      </c>
    </row>
    <row r="809" spans="1:10">
      <c r="A809" s="627">
        <v>629</v>
      </c>
      <c r="B809" s="628" t="s">
        <v>1076</v>
      </c>
      <c r="C809" s="629" t="s">
        <v>1077</v>
      </c>
      <c r="D809" s="629" t="s">
        <v>2654</v>
      </c>
      <c r="E809" s="629" t="s">
        <v>640</v>
      </c>
      <c r="F809" s="630">
        <v>95.949893474327297</v>
      </c>
      <c r="G809" s="630">
        <v>97.110993474327302</v>
      </c>
      <c r="H809" s="630">
        <v>21.26</v>
      </c>
      <c r="I809" s="627">
        <v>818</v>
      </c>
      <c r="J809" s="629" t="s">
        <v>2656</v>
      </c>
    </row>
    <row r="810" spans="1:10">
      <c r="A810" s="627">
        <v>630</v>
      </c>
      <c r="B810" s="628" t="s">
        <v>1015</v>
      </c>
      <c r="C810" s="629" t="s">
        <v>1016</v>
      </c>
      <c r="D810" s="629" t="s">
        <v>2654</v>
      </c>
      <c r="E810" s="629" t="s">
        <v>640</v>
      </c>
      <c r="F810" s="630">
        <v>96.35</v>
      </c>
      <c r="G810" s="630">
        <v>97.880600000000001</v>
      </c>
      <c r="H810" s="630">
        <v>23.11</v>
      </c>
      <c r="I810" s="627">
        <v>361</v>
      </c>
      <c r="J810" s="629" t="s">
        <v>2656</v>
      </c>
    </row>
    <row r="811" spans="1:10">
      <c r="A811" s="627">
        <v>631</v>
      </c>
      <c r="B811" s="628" t="s">
        <v>1971</v>
      </c>
      <c r="C811" s="629" t="s">
        <v>1972</v>
      </c>
      <c r="D811" s="629" t="s">
        <v>2654</v>
      </c>
      <c r="E811" s="629" t="s">
        <v>640</v>
      </c>
      <c r="F811" s="630">
        <v>99.501865311875846</v>
      </c>
      <c r="G811" s="630">
        <v>99.560165311875849</v>
      </c>
      <c r="H811" s="630">
        <v>21.27</v>
      </c>
      <c r="I811" s="627">
        <v>839</v>
      </c>
      <c r="J811" s="629" t="s">
        <v>2656</v>
      </c>
    </row>
    <row r="812" spans="1:10">
      <c r="A812" s="627">
        <v>632</v>
      </c>
      <c r="B812" s="628" t="s">
        <v>1078</v>
      </c>
      <c r="C812" s="629" t="s">
        <v>1079</v>
      </c>
      <c r="D812" s="629" t="s">
        <v>2654</v>
      </c>
      <c r="E812" s="629" t="s">
        <v>640</v>
      </c>
      <c r="F812" s="630">
        <v>99.531025666782483</v>
      </c>
      <c r="G812" s="630">
        <v>99.997725666782486</v>
      </c>
      <c r="H812" s="630">
        <v>21.25</v>
      </c>
      <c r="I812" s="627">
        <v>862</v>
      </c>
      <c r="J812" s="629" t="s">
        <v>2656</v>
      </c>
    </row>
    <row r="813" spans="1:10">
      <c r="A813" s="627">
        <v>633</v>
      </c>
      <c r="B813" s="628" t="s">
        <v>1080</v>
      </c>
      <c r="C813" s="629" t="s">
        <v>1081</v>
      </c>
      <c r="D813" s="629" t="s">
        <v>2654</v>
      </c>
      <c r="E813" s="629" t="s">
        <v>640</v>
      </c>
      <c r="F813" s="630">
        <v>101.8333247958664</v>
      </c>
      <c r="G813" s="630">
        <v>103.0833247958664</v>
      </c>
      <c r="H813" s="630">
        <v>21.53</v>
      </c>
      <c r="I813" s="627">
        <v>880</v>
      </c>
      <c r="J813" s="629" t="s">
        <v>2656</v>
      </c>
    </row>
    <row r="814" spans="1:10">
      <c r="A814" s="627">
        <v>634</v>
      </c>
      <c r="B814" s="628" t="s">
        <v>1973</v>
      </c>
      <c r="C814" s="629" t="s">
        <v>1974</v>
      </c>
      <c r="D814" s="629" t="s">
        <v>2654</v>
      </c>
      <c r="E814" s="629" t="s">
        <v>640</v>
      </c>
      <c r="F814" s="630">
        <v>100.82610195133638</v>
      </c>
      <c r="G814" s="630">
        <v>100.82610195133638</v>
      </c>
      <c r="H814" s="630">
        <v>21.27</v>
      </c>
      <c r="I814" s="627">
        <v>960</v>
      </c>
      <c r="J814" s="629" t="s">
        <v>2656</v>
      </c>
    </row>
    <row r="815" spans="1:10">
      <c r="A815" s="627">
        <v>635</v>
      </c>
      <c r="B815" s="628" t="s">
        <v>2562</v>
      </c>
      <c r="C815" s="629" t="s">
        <v>2563</v>
      </c>
      <c r="D815" s="629" t="s">
        <v>2654</v>
      </c>
      <c r="E815" s="629" t="s">
        <v>2564</v>
      </c>
      <c r="F815" s="630">
        <v>100.54394344454849</v>
      </c>
      <c r="G815" s="630">
        <v>102.34954344454849</v>
      </c>
      <c r="H815" s="630">
        <v>9.6199999999999992</v>
      </c>
      <c r="I815" s="627">
        <v>565</v>
      </c>
      <c r="J815" s="629" t="s">
        <v>2656</v>
      </c>
    </row>
    <row r="816" spans="1:10">
      <c r="A816" s="627">
        <v>636</v>
      </c>
      <c r="B816" s="628" t="s">
        <v>1975</v>
      </c>
      <c r="C816" s="629" t="s">
        <v>1976</v>
      </c>
      <c r="D816" s="629" t="s">
        <v>2654</v>
      </c>
      <c r="E816" s="629" t="s">
        <v>643</v>
      </c>
      <c r="F816" s="630">
        <v>96.895583874791171</v>
      </c>
      <c r="G816" s="630">
        <v>97.789983874791162</v>
      </c>
      <c r="H816" s="630">
        <v>34.21</v>
      </c>
      <c r="I816" s="627">
        <v>106</v>
      </c>
      <c r="J816" s="629" t="s">
        <v>2656</v>
      </c>
    </row>
    <row r="817" spans="1:10">
      <c r="A817" s="627">
        <v>637</v>
      </c>
      <c r="B817" s="628" t="s">
        <v>1082</v>
      </c>
      <c r="C817" s="629" t="s">
        <v>1083</v>
      </c>
      <c r="D817" s="629" t="s">
        <v>2654</v>
      </c>
      <c r="E817" s="629" t="s">
        <v>643</v>
      </c>
      <c r="F817" s="630">
        <v>85.299919689045424</v>
      </c>
      <c r="G817" s="630">
        <v>86.21661968904543</v>
      </c>
      <c r="H817" s="630">
        <v>33.4</v>
      </c>
      <c r="I817" s="627">
        <v>615</v>
      </c>
      <c r="J817" s="629" t="s">
        <v>2656</v>
      </c>
    </row>
    <row r="818" spans="1:10">
      <c r="A818" s="627">
        <v>638</v>
      </c>
      <c r="B818" s="628" t="s">
        <v>1084</v>
      </c>
      <c r="C818" s="629" t="s">
        <v>1085</v>
      </c>
      <c r="D818" s="629" t="s">
        <v>2654</v>
      </c>
      <c r="E818" s="629" t="s">
        <v>643</v>
      </c>
      <c r="F818" s="630">
        <v>89.288104262757301</v>
      </c>
      <c r="G818" s="630">
        <v>90.454804262757293</v>
      </c>
      <c r="H818" s="630">
        <v>33.450000000000003</v>
      </c>
      <c r="I818" s="627">
        <v>370</v>
      </c>
      <c r="J818" s="629" t="s">
        <v>2656</v>
      </c>
    </row>
    <row r="819" spans="1:10">
      <c r="A819" s="627">
        <v>639</v>
      </c>
      <c r="B819" s="628" t="s">
        <v>1086</v>
      </c>
      <c r="C819" s="629" t="s">
        <v>1087</v>
      </c>
      <c r="D819" s="629" t="s">
        <v>2654</v>
      </c>
      <c r="E819" s="629" t="s">
        <v>643</v>
      </c>
      <c r="F819" s="630">
        <v>71.549681995287685</v>
      </c>
      <c r="G819" s="630">
        <v>72.832981995287682</v>
      </c>
      <c r="H819" s="630">
        <v>39.31</v>
      </c>
      <c r="I819" s="627">
        <v>878</v>
      </c>
      <c r="J819" s="629" t="s">
        <v>2656</v>
      </c>
    </row>
    <row r="820" spans="1:10">
      <c r="A820" s="627">
        <v>640</v>
      </c>
      <c r="B820" s="628" t="s">
        <v>2584</v>
      </c>
      <c r="C820" s="629" t="s">
        <v>2585</v>
      </c>
      <c r="D820" s="629" t="s">
        <v>2654</v>
      </c>
      <c r="E820" s="629" t="s">
        <v>643</v>
      </c>
      <c r="F820" s="630">
        <v>92.395874030255072</v>
      </c>
      <c r="G820" s="630">
        <v>93.926474030255079</v>
      </c>
      <c r="H820" s="630">
        <v>33.47</v>
      </c>
      <c r="I820" s="627">
        <v>211</v>
      </c>
      <c r="J820" s="629" t="s">
        <v>2656</v>
      </c>
    </row>
    <row r="821" spans="1:10">
      <c r="A821" s="627">
        <v>641</v>
      </c>
      <c r="B821" s="628" t="s">
        <v>2906</v>
      </c>
      <c r="C821" s="629" t="s">
        <v>2907</v>
      </c>
      <c r="D821" s="629" t="s">
        <v>2654</v>
      </c>
      <c r="E821" s="629" t="s">
        <v>643</v>
      </c>
      <c r="F821" s="630">
        <v>85.020130391988886</v>
      </c>
      <c r="G821" s="630">
        <v>86.731230391988888</v>
      </c>
      <c r="H821" s="630">
        <v>33.39</v>
      </c>
      <c r="I821" s="627">
        <v>632</v>
      </c>
      <c r="J821" s="629" t="s">
        <v>2656</v>
      </c>
    </row>
    <row r="822" spans="1:10">
      <c r="A822" s="627">
        <v>642</v>
      </c>
      <c r="B822" s="628" t="s">
        <v>2843</v>
      </c>
      <c r="C822" s="629" t="s">
        <v>2844</v>
      </c>
      <c r="D822" s="629" t="s">
        <v>2654</v>
      </c>
      <c r="E822" s="629" t="s">
        <v>643</v>
      </c>
      <c r="F822" s="630">
        <v>78.129427003992063</v>
      </c>
      <c r="G822" s="630">
        <v>79.529427003992069</v>
      </c>
      <c r="H822" s="630">
        <v>33.450000000000003</v>
      </c>
      <c r="I822" s="627">
        <v>966</v>
      </c>
      <c r="J822" s="629" t="s">
        <v>2656</v>
      </c>
    </row>
    <row r="823" spans="1:10">
      <c r="A823" s="627">
        <v>643</v>
      </c>
      <c r="B823" s="628" t="s">
        <v>2946</v>
      </c>
      <c r="C823" s="629" t="s">
        <v>2947</v>
      </c>
      <c r="D823" s="629" t="s">
        <v>2654</v>
      </c>
      <c r="E823" s="629" t="s">
        <v>643</v>
      </c>
      <c r="F823" s="630">
        <v>84.695502575527286</v>
      </c>
      <c r="G823" s="630">
        <v>85.428802575527286</v>
      </c>
      <c r="H823" s="630">
        <v>33.43</v>
      </c>
      <c r="I823" s="627">
        <v>648</v>
      </c>
      <c r="J823" s="629" t="s">
        <v>2656</v>
      </c>
    </row>
    <row r="824" spans="1:10">
      <c r="A824" s="627">
        <v>644</v>
      </c>
      <c r="B824" s="628" t="s">
        <v>1977</v>
      </c>
      <c r="C824" s="629" t="s">
        <v>1978</v>
      </c>
      <c r="D824" s="629" t="s">
        <v>2654</v>
      </c>
      <c r="E824" s="629" t="s">
        <v>643</v>
      </c>
      <c r="F824" s="630">
        <v>96.630329343991079</v>
      </c>
      <c r="G824" s="630">
        <v>98.158129343991078</v>
      </c>
      <c r="H824" s="630">
        <v>33.35</v>
      </c>
      <c r="I824" s="627">
        <v>158</v>
      </c>
      <c r="J824" s="629" t="s">
        <v>2656</v>
      </c>
    </row>
    <row r="825" spans="1:10">
      <c r="A825" s="627">
        <v>645</v>
      </c>
      <c r="B825" s="628" t="s">
        <v>1979</v>
      </c>
      <c r="C825" s="629" t="s">
        <v>1980</v>
      </c>
      <c r="D825" s="629" t="s">
        <v>2654</v>
      </c>
      <c r="E825" s="629" t="s">
        <v>643</v>
      </c>
      <c r="F825" s="630">
        <v>92.023819394583398</v>
      </c>
      <c r="G825" s="630">
        <v>92.440519394583404</v>
      </c>
      <c r="H825" s="630">
        <v>33.450000000000003</v>
      </c>
      <c r="I825" s="627">
        <v>414</v>
      </c>
      <c r="J825" s="629" t="s">
        <v>2656</v>
      </c>
    </row>
    <row r="826" spans="1:10">
      <c r="A826" s="627">
        <v>646</v>
      </c>
      <c r="B826" s="628" t="s">
        <v>1981</v>
      </c>
      <c r="C826" s="629" t="s">
        <v>1982</v>
      </c>
      <c r="D826" s="629" t="s">
        <v>2651</v>
      </c>
      <c r="E826" s="629" t="s">
        <v>2766</v>
      </c>
      <c r="F826" s="630">
        <v>1000</v>
      </c>
      <c r="G826" s="630">
        <v>1000</v>
      </c>
      <c r="H826" s="630">
        <v>0</v>
      </c>
      <c r="I826" s="627">
        <v>0</v>
      </c>
      <c r="J826" s="629" t="s">
        <v>2653</v>
      </c>
    </row>
    <row r="827" spans="1:10">
      <c r="A827" s="627">
        <v>647</v>
      </c>
      <c r="B827" s="628" t="s">
        <v>1984</v>
      </c>
      <c r="C827" s="629" t="s">
        <v>1985</v>
      </c>
      <c r="D827" s="629" t="s">
        <v>2654</v>
      </c>
      <c r="E827" s="629" t="s">
        <v>1983</v>
      </c>
      <c r="F827" s="630">
        <v>100.58853479429843</v>
      </c>
      <c r="G827" s="630">
        <v>102.04683479429843</v>
      </c>
      <c r="H827" s="630">
        <v>20.059999999999999</v>
      </c>
      <c r="I827" s="627">
        <v>245</v>
      </c>
      <c r="J827" s="629" t="s">
        <v>2656</v>
      </c>
    </row>
    <row r="828" spans="1:10">
      <c r="A828" s="627">
        <v>648</v>
      </c>
      <c r="B828" s="628" t="s">
        <v>2508</v>
      </c>
      <c r="C828" s="629" t="s">
        <v>2509</v>
      </c>
      <c r="D828" s="629" t="s">
        <v>2654</v>
      </c>
      <c r="E828" s="629" t="s">
        <v>1983</v>
      </c>
      <c r="F828" s="630">
        <v>100.71633649514007</v>
      </c>
      <c r="G828" s="630">
        <v>101.44553649514008</v>
      </c>
      <c r="H828" s="630">
        <v>9.99</v>
      </c>
      <c r="I828" s="627">
        <v>545</v>
      </c>
      <c r="J828" s="629" t="s">
        <v>2656</v>
      </c>
    </row>
    <row r="829" spans="1:10">
      <c r="A829" s="627">
        <v>649</v>
      </c>
      <c r="B829" s="628" t="s">
        <v>2545</v>
      </c>
      <c r="C829" s="629" t="s">
        <v>2546</v>
      </c>
      <c r="D829" s="629" t="s">
        <v>2654</v>
      </c>
      <c r="E829" s="629" t="s">
        <v>2767</v>
      </c>
      <c r="F829" s="630">
        <v>99.399633690957657</v>
      </c>
      <c r="G829" s="630">
        <v>101.12183369095766</v>
      </c>
      <c r="H829" s="630">
        <v>20.94</v>
      </c>
      <c r="I829" s="627">
        <v>239</v>
      </c>
      <c r="J829" s="629" t="s">
        <v>2656</v>
      </c>
    </row>
    <row r="830" spans="1:10">
      <c r="A830" s="627">
        <v>650</v>
      </c>
      <c r="B830" s="628" t="s">
        <v>2948</v>
      </c>
      <c r="C830" s="629" t="s">
        <v>2949</v>
      </c>
      <c r="D830" s="629" t="s">
        <v>2654</v>
      </c>
      <c r="E830" s="629" t="s">
        <v>2767</v>
      </c>
      <c r="F830" s="630">
        <v>99.974483547254366</v>
      </c>
      <c r="G830" s="630">
        <v>103.82448354725436</v>
      </c>
      <c r="H830" s="630">
        <v>21</v>
      </c>
      <c r="I830" s="627">
        <v>474</v>
      </c>
      <c r="J830" s="629" t="s">
        <v>2656</v>
      </c>
    </row>
    <row r="831" spans="1:10">
      <c r="A831" s="627">
        <v>651</v>
      </c>
      <c r="B831" s="628" t="s">
        <v>1986</v>
      </c>
      <c r="C831" s="629" t="s">
        <v>1987</v>
      </c>
      <c r="D831" s="629" t="s">
        <v>2654</v>
      </c>
      <c r="E831" s="629" t="s">
        <v>2767</v>
      </c>
      <c r="F831" s="630">
        <v>99.967799999999997</v>
      </c>
      <c r="G831" s="630">
        <v>101.01779999999999</v>
      </c>
      <c r="H831" s="630">
        <v>21.01</v>
      </c>
      <c r="I831" s="627">
        <v>342</v>
      </c>
      <c r="J831" s="629" t="s">
        <v>2656</v>
      </c>
    </row>
    <row r="832" spans="1:10">
      <c r="A832" s="627">
        <v>652</v>
      </c>
      <c r="B832" s="628" t="s">
        <v>1988</v>
      </c>
      <c r="C832" s="629" t="s">
        <v>1989</v>
      </c>
      <c r="D832" s="629" t="s">
        <v>2654</v>
      </c>
      <c r="E832" s="629" t="s">
        <v>2767</v>
      </c>
      <c r="F832" s="630">
        <v>100</v>
      </c>
      <c r="G832" s="630">
        <v>100.29170000000001</v>
      </c>
      <c r="H832" s="630">
        <v>20.98</v>
      </c>
      <c r="I832" s="627">
        <v>175</v>
      </c>
      <c r="J832" s="629" t="s">
        <v>2656</v>
      </c>
    </row>
    <row r="833" spans="1:10">
      <c r="A833" s="627">
        <v>653</v>
      </c>
      <c r="B833" s="628" t="s">
        <v>1990</v>
      </c>
      <c r="C833" s="629" t="s">
        <v>1991</v>
      </c>
      <c r="D833" s="629" t="s">
        <v>2654</v>
      </c>
      <c r="E833" s="629" t="s">
        <v>2767</v>
      </c>
      <c r="F833" s="630">
        <v>99.985879256458858</v>
      </c>
      <c r="G833" s="630">
        <v>100.27757925645886</v>
      </c>
      <c r="H833" s="630">
        <v>21.01</v>
      </c>
      <c r="I833" s="627">
        <v>535</v>
      </c>
      <c r="J833" s="629" t="s">
        <v>2656</v>
      </c>
    </row>
    <row r="834" spans="1:10">
      <c r="A834" s="627">
        <v>654</v>
      </c>
      <c r="B834" s="628" t="s">
        <v>1992</v>
      </c>
      <c r="C834" s="629" t="s">
        <v>1993</v>
      </c>
      <c r="D834" s="629" t="s">
        <v>2651</v>
      </c>
      <c r="E834" s="629" t="s">
        <v>2767</v>
      </c>
      <c r="F834" s="630">
        <v>1000</v>
      </c>
      <c r="G834" s="630">
        <v>1000</v>
      </c>
      <c r="H834" s="630">
        <v>0</v>
      </c>
      <c r="I834" s="627">
        <v>0</v>
      </c>
      <c r="J834" s="629" t="s">
        <v>2653</v>
      </c>
    </row>
    <row r="835" spans="1:10">
      <c r="A835" s="627">
        <v>655</v>
      </c>
      <c r="B835" s="628" t="s">
        <v>1994</v>
      </c>
      <c r="C835" s="629" t="s">
        <v>1995</v>
      </c>
      <c r="D835" s="629" t="s">
        <v>2654</v>
      </c>
      <c r="E835" s="629" t="s">
        <v>2767</v>
      </c>
      <c r="F835" s="630">
        <v>95.015525668061514</v>
      </c>
      <c r="G835" s="630">
        <v>95.015525668061514</v>
      </c>
      <c r="H835" s="630">
        <v>21.96</v>
      </c>
      <c r="I835" s="627">
        <v>86</v>
      </c>
      <c r="J835" s="629" t="s">
        <v>2656</v>
      </c>
    </row>
    <row r="836" spans="1:10">
      <c r="A836" s="627">
        <v>656</v>
      </c>
      <c r="B836" s="628" t="s">
        <v>1996</v>
      </c>
      <c r="C836" s="629" t="s">
        <v>1997</v>
      </c>
      <c r="D836" s="629" t="s">
        <v>2654</v>
      </c>
      <c r="E836" s="629" t="s">
        <v>2768</v>
      </c>
      <c r="F836" s="630">
        <v>94.468100000000007</v>
      </c>
      <c r="G836" s="630">
        <v>97.126400000000004</v>
      </c>
      <c r="H836" s="630">
        <v>19.09</v>
      </c>
      <c r="I836" s="627">
        <v>273</v>
      </c>
      <c r="J836" s="629" t="s">
        <v>2656</v>
      </c>
    </row>
    <row r="837" spans="1:10">
      <c r="A837" s="627">
        <v>657</v>
      </c>
      <c r="B837" s="628" t="s">
        <v>1998</v>
      </c>
      <c r="C837" s="629" t="s">
        <v>1999</v>
      </c>
      <c r="D837" s="629" t="s">
        <v>2654</v>
      </c>
      <c r="E837" s="629" t="s">
        <v>2768</v>
      </c>
      <c r="F837" s="630">
        <v>88.799314816771499</v>
      </c>
      <c r="G837" s="630">
        <v>92.104914816771497</v>
      </c>
      <c r="H837" s="630">
        <v>19.38</v>
      </c>
      <c r="I837" s="627">
        <v>995</v>
      </c>
      <c r="J837" s="629" t="s">
        <v>2656</v>
      </c>
    </row>
    <row r="838" spans="1:10">
      <c r="A838" s="627">
        <v>658</v>
      </c>
      <c r="B838" s="628" t="s">
        <v>2000</v>
      </c>
      <c r="C838" s="629" t="s">
        <v>2001</v>
      </c>
      <c r="D838" s="629" t="s">
        <v>2651</v>
      </c>
      <c r="E838" s="629" t="s">
        <v>2768</v>
      </c>
      <c r="F838" s="630">
        <v>1003</v>
      </c>
      <c r="G838" s="630">
        <v>1003</v>
      </c>
      <c r="H838" s="630">
        <v>0</v>
      </c>
      <c r="I838" s="627">
        <v>1415</v>
      </c>
      <c r="J838" s="629" t="s">
        <v>2653</v>
      </c>
    </row>
    <row r="839" spans="1:10">
      <c r="A839" s="627">
        <v>659</v>
      </c>
      <c r="B839" s="628" t="s">
        <v>2524</v>
      </c>
      <c r="C839" s="629" t="s">
        <v>2525</v>
      </c>
      <c r="D839" s="629" t="s">
        <v>2651</v>
      </c>
      <c r="E839" s="629" t="s">
        <v>2768</v>
      </c>
      <c r="F839" s="630">
        <v>100.62</v>
      </c>
      <c r="G839" s="630">
        <v>100.62</v>
      </c>
      <c r="H839" s="630">
        <v>0</v>
      </c>
      <c r="I839" s="627">
        <v>1294</v>
      </c>
      <c r="J839" s="629" t="s">
        <v>2653</v>
      </c>
    </row>
    <row r="840" spans="1:10">
      <c r="A840" s="627">
        <v>660</v>
      </c>
      <c r="B840" s="628" t="s">
        <v>3015</v>
      </c>
      <c r="C840" s="629" t="s">
        <v>3016</v>
      </c>
      <c r="D840" s="629" t="s">
        <v>2651</v>
      </c>
      <c r="E840" s="629" t="s">
        <v>2768</v>
      </c>
      <c r="F840" s="630">
        <v>1075.68</v>
      </c>
      <c r="G840" s="630">
        <v>1075.68</v>
      </c>
      <c r="H840" s="630">
        <v>0</v>
      </c>
      <c r="I840" s="627">
        <v>1388</v>
      </c>
      <c r="J840" s="629" t="s">
        <v>2653</v>
      </c>
    </row>
    <row r="841" spans="1:10">
      <c r="A841" s="627">
        <v>661</v>
      </c>
      <c r="B841" s="628" t="s">
        <v>2002</v>
      </c>
      <c r="C841" s="629" t="s">
        <v>2003</v>
      </c>
      <c r="D841" s="629" t="s">
        <v>2654</v>
      </c>
      <c r="E841" s="629" t="s">
        <v>2769</v>
      </c>
      <c r="F841" s="630">
        <v>99.982632886523746</v>
      </c>
      <c r="G841" s="630">
        <v>102.18263288652375</v>
      </c>
      <c r="H841" s="630">
        <v>21.88</v>
      </c>
      <c r="I841" s="627">
        <v>54</v>
      </c>
      <c r="J841" s="629" t="s">
        <v>2656</v>
      </c>
    </row>
    <row r="842" spans="1:10">
      <c r="A842" s="627">
        <v>662</v>
      </c>
      <c r="B842" s="628" t="s">
        <v>2004</v>
      </c>
      <c r="C842" s="629" t="s">
        <v>2005</v>
      </c>
      <c r="D842" s="629" t="s">
        <v>2654</v>
      </c>
      <c r="E842" s="629" t="s">
        <v>2769</v>
      </c>
      <c r="F842" s="630">
        <v>99.217553391034954</v>
      </c>
      <c r="G842" s="630">
        <v>99.274453391034953</v>
      </c>
      <c r="H842" s="630">
        <v>21.66</v>
      </c>
      <c r="I842" s="627">
        <v>269</v>
      </c>
      <c r="J842" s="629" t="s">
        <v>2656</v>
      </c>
    </row>
    <row r="843" spans="1:10">
      <c r="A843" s="627">
        <v>663</v>
      </c>
      <c r="B843" s="628" t="s">
        <v>2881</v>
      </c>
      <c r="C843" s="629" t="s">
        <v>2882</v>
      </c>
      <c r="D843" s="629" t="s">
        <v>2654</v>
      </c>
      <c r="E843" s="629" t="s">
        <v>2769</v>
      </c>
      <c r="F843" s="630">
        <v>99.051162625749697</v>
      </c>
      <c r="G843" s="630">
        <v>99.342862625749703</v>
      </c>
      <c r="H843" s="630">
        <v>21.67</v>
      </c>
      <c r="I843" s="627">
        <v>625</v>
      </c>
      <c r="J843" s="629" t="s">
        <v>2656</v>
      </c>
    </row>
    <row r="844" spans="1:10">
      <c r="A844" s="627">
        <v>664</v>
      </c>
      <c r="B844" s="628" t="s">
        <v>1088</v>
      </c>
      <c r="C844" s="629" t="s">
        <v>1089</v>
      </c>
      <c r="D844" s="629" t="s">
        <v>2654</v>
      </c>
      <c r="E844" s="629" t="s">
        <v>2770</v>
      </c>
      <c r="F844" s="630">
        <v>98.265689104518543</v>
      </c>
      <c r="G844" s="630">
        <v>98.543489104518542</v>
      </c>
      <c r="H844" s="630">
        <v>22.61</v>
      </c>
      <c r="I844" s="627">
        <v>265</v>
      </c>
      <c r="J844" s="629" t="s">
        <v>2656</v>
      </c>
    </row>
    <row r="845" spans="1:10">
      <c r="A845" s="627">
        <v>665</v>
      </c>
      <c r="B845" s="628" t="s">
        <v>2006</v>
      </c>
      <c r="C845" s="629" t="s">
        <v>2007</v>
      </c>
      <c r="D845" s="629" t="s">
        <v>2654</v>
      </c>
      <c r="E845" s="629" t="s">
        <v>2770</v>
      </c>
      <c r="F845" s="630">
        <v>98.72</v>
      </c>
      <c r="G845" s="630">
        <v>99.839399999999998</v>
      </c>
      <c r="H845" s="630">
        <v>14</v>
      </c>
      <c r="I845" s="627">
        <v>509</v>
      </c>
      <c r="J845" s="629" t="s">
        <v>2656</v>
      </c>
    </row>
    <row r="846" spans="1:10">
      <c r="A846" s="627">
        <v>666</v>
      </c>
      <c r="B846" s="628" t="s">
        <v>2634</v>
      </c>
      <c r="C846" s="629" t="s">
        <v>2635</v>
      </c>
      <c r="D846" s="629" t="s">
        <v>2654</v>
      </c>
      <c r="E846" s="629" t="s">
        <v>2770</v>
      </c>
      <c r="F846" s="630">
        <v>94.719371719944036</v>
      </c>
      <c r="G846" s="630">
        <v>96.497171719944035</v>
      </c>
      <c r="H846" s="630">
        <v>22.68</v>
      </c>
      <c r="I846" s="627">
        <v>958</v>
      </c>
      <c r="J846" s="629" t="s">
        <v>2656</v>
      </c>
    </row>
    <row r="847" spans="1:10">
      <c r="A847" s="627">
        <v>667</v>
      </c>
      <c r="B847" s="628" t="s">
        <v>3066</v>
      </c>
      <c r="C847" s="629" t="s">
        <v>3067</v>
      </c>
      <c r="D847" s="629" t="s">
        <v>2654</v>
      </c>
      <c r="E847" s="629" t="s">
        <v>2770</v>
      </c>
      <c r="F847" s="630">
        <v>94.68032774208595</v>
      </c>
      <c r="G847" s="630">
        <v>95.047027742085945</v>
      </c>
      <c r="H847" s="630">
        <v>13.19</v>
      </c>
      <c r="I847" s="627">
        <v>1068</v>
      </c>
      <c r="J847" s="629" t="s">
        <v>2656</v>
      </c>
    </row>
    <row r="848" spans="1:10">
      <c r="A848" s="627">
        <v>668</v>
      </c>
      <c r="B848" s="628" t="s">
        <v>2008</v>
      </c>
      <c r="C848" s="629" t="s">
        <v>2009</v>
      </c>
      <c r="D848" s="629" t="s">
        <v>2654</v>
      </c>
      <c r="E848" s="629" t="s">
        <v>2771</v>
      </c>
      <c r="F848" s="630">
        <v>100</v>
      </c>
      <c r="G848" s="630">
        <v>100.0042</v>
      </c>
      <c r="H848" s="630">
        <v>0.02</v>
      </c>
      <c r="I848" s="627">
        <v>3040</v>
      </c>
      <c r="J848" s="629" t="s">
        <v>2656</v>
      </c>
    </row>
    <row r="849" spans="1:10">
      <c r="A849" s="627">
        <v>669</v>
      </c>
      <c r="B849" s="628" t="s">
        <v>2010</v>
      </c>
      <c r="C849" s="629" t="s">
        <v>2011</v>
      </c>
      <c r="D849" s="629" t="s">
        <v>2654</v>
      </c>
      <c r="E849" s="629" t="s">
        <v>2771</v>
      </c>
      <c r="F849" s="630">
        <v>100</v>
      </c>
      <c r="G849" s="630">
        <v>106.3111</v>
      </c>
      <c r="H849" s="630">
        <v>7.06</v>
      </c>
      <c r="I849" s="627">
        <v>2137</v>
      </c>
      <c r="J849" s="629" t="s">
        <v>2656</v>
      </c>
    </row>
    <row r="850" spans="1:10">
      <c r="A850" s="627">
        <v>670</v>
      </c>
      <c r="B850" s="628" t="s">
        <v>2012</v>
      </c>
      <c r="C850" s="629" t="s">
        <v>2013</v>
      </c>
      <c r="D850" s="629" t="s">
        <v>2654</v>
      </c>
      <c r="E850" s="629" t="s">
        <v>2771</v>
      </c>
      <c r="F850" s="630">
        <v>100</v>
      </c>
      <c r="G850" s="630">
        <v>101.9486</v>
      </c>
      <c r="H850" s="630">
        <v>6.08</v>
      </c>
      <c r="I850" s="627">
        <v>1655</v>
      </c>
      <c r="J850" s="629" t="s">
        <v>2656</v>
      </c>
    </row>
    <row r="851" spans="1:10">
      <c r="A851" s="627">
        <v>671</v>
      </c>
      <c r="B851" s="628" t="s">
        <v>2014</v>
      </c>
      <c r="C851" s="629" t="s">
        <v>2015</v>
      </c>
      <c r="D851" s="629" t="s">
        <v>2654</v>
      </c>
      <c r="E851" s="629" t="s">
        <v>2771</v>
      </c>
      <c r="F851" s="630">
        <v>100</v>
      </c>
      <c r="G851" s="630">
        <v>106.9619</v>
      </c>
      <c r="H851" s="630">
        <v>7.08</v>
      </c>
      <c r="I851" s="627">
        <v>2137</v>
      </c>
      <c r="J851" s="629" t="s">
        <v>2656</v>
      </c>
    </row>
    <row r="852" spans="1:10">
      <c r="A852" s="627">
        <v>672</v>
      </c>
      <c r="B852" s="628" t="s">
        <v>2928</v>
      </c>
      <c r="C852" s="629" t="s">
        <v>2929</v>
      </c>
      <c r="D852" s="629" t="s">
        <v>2654</v>
      </c>
      <c r="E852" s="629" t="s">
        <v>2771</v>
      </c>
      <c r="F852" s="630">
        <v>90.081836475033526</v>
      </c>
      <c r="G852" s="630">
        <v>94.126236475033522</v>
      </c>
      <c r="H852" s="630">
        <v>20.56</v>
      </c>
      <c r="I852" s="627">
        <v>3520</v>
      </c>
      <c r="J852" s="629" t="s">
        <v>2656</v>
      </c>
    </row>
    <row r="853" spans="1:10">
      <c r="A853" s="627">
        <v>673</v>
      </c>
      <c r="B853" s="628" t="s">
        <v>2991</v>
      </c>
      <c r="C853" s="629" t="s">
        <v>2992</v>
      </c>
      <c r="D853" s="629" t="s">
        <v>2654</v>
      </c>
      <c r="E853" s="629" t="s">
        <v>2771</v>
      </c>
      <c r="F853" s="630">
        <v>93.024053141473829</v>
      </c>
      <c r="G853" s="630">
        <v>95.701553141473823</v>
      </c>
      <c r="H853" s="630">
        <v>20.55</v>
      </c>
      <c r="I853" s="627">
        <v>3549</v>
      </c>
      <c r="J853" s="629" t="s">
        <v>2656</v>
      </c>
    </row>
    <row r="854" spans="1:10">
      <c r="A854" s="627">
        <v>674</v>
      </c>
      <c r="B854" s="628" t="s">
        <v>3017</v>
      </c>
      <c r="C854" s="629" t="s">
        <v>3018</v>
      </c>
      <c r="D854" s="629" t="s">
        <v>2654</v>
      </c>
      <c r="E854" s="629" t="s">
        <v>2771</v>
      </c>
      <c r="F854" s="630">
        <v>92.989296467033995</v>
      </c>
      <c r="G854" s="630">
        <v>95.456796467033996</v>
      </c>
      <c r="H854" s="630">
        <v>20.56</v>
      </c>
      <c r="I854" s="627">
        <v>3553</v>
      </c>
      <c r="J854" s="629" t="s">
        <v>2656</v>
      </c>
    </row>
    <row r="855" spans="1:10">
      <c r="A855" s="627">
        <v>675</v>
      </c>
      <c r="B855" s="628" t="s">
        <v>3078</v>
      </c>
      <c r="C855" s="629" t="s">
        <v>3079</v>
      </c>
      <c r="D855" s="629" t="s">
        <v>2654</v>
      </c>
      <c r="E855" s="629" t="s">
        <v>2771</v>
      </c>
      <c r="F855" s="630">
        <v>93.07888885727705</v>
      </c>
      <c r="G855" s="630">
        <v>94.338888857277055</v>
      </c>
      <c r="H855" s="630">
        <v>20.56</v>
      </c>
      <c r="I855" s="627">
        <v>3576</v>
      </c>
      <c r="J855" s="629" t="s">
        <v>2656</v>
      </c>
    </row>
    <row r="856" spans="1:10">
      <c r="A856" s="627">
        <v>676</v>
      </c>
      <c r="B856" s="628" t="s">
        <v>3080</v>
      </c>
      <c r="C856" s="629" t="s">
        <v>3081</v>
      </c>
      <c r="D856" s="629" t="s">
        <v>2654</v>
      </c>
      <c r="E856" s="629" t="s">
        <v>2771</v>
      </c>
      <c r="F856" s="630">
        <v>93.07888885727705</v>
      </c>
      <c r="G856" s="630">
        <v>94.338888857277055</v>
      </c>
      <c r="H856" s="630">
        <v>20.56</v>
      </c>
      <c r="I856" s="627">
        <v>3576</v>
      </c>
      <c r="J856" s="629" t="s">
        <v>2656</v>
      </c>
    </row>
    <row r="857" spans="1:10">
      <c r="A857" s="627">
        <v>677</v>
      </c>
      <c r="B857" s="628" t="s">
        <v>2016</v>
      </c>
      <c r="C857" s="629" t="s">
        <v>2017</v>
      </c>
      <c r="D857" s="629" t="s">
        <v>2654</v>
      </c>
      <c r="E857" s="629" t="s">
        <v>2771</v>
      </c>
      <c r="F857" s="630">
        <v>100</v>
      </c>
      <c r="G857" s="630">
        <v>105.4222</v>
      </c>
      <c r="H857" s="630">
        <v>6.07</v>
      </c>
      <c r="I857" s="627">
        <v>2492</v>
      </c>
      <c r="J857" s="629" t="s">
        <v>2656</v>
      </c>
    </row>
    <row r="858" spans="1:10">
      <c r="A858" s="627">
        <v>678</v>
      </c>
      <c r="B858" s="628" t="s">
        <v>2018</v>
      </c>
      <c r="C858" s="629" t="s">
        <v>2019</v>
      </c>
      <c r="D858" s="629" t="s">
        <v>2654</v>
      </c>
      <c r="E858" s="629" t="s">
        <v>2771</v>
      </c>
      <c r="F858" s="630">
        <v>100</v>
      </c>
      <c r="G858" s="630">
        <v>101.1183</v>
      </c>
      <c r="H858" s="630">
        <v>6.08</v>
      </c>
      <c r="I858" s="627">
        <v>2064</v>
      </c>
      <c r="J858" s="629" t="s">
        <v>2656</v>
      </c>
    </row>
    <row r="859" spans="1:10">
      <c r="A859" s="627">
        <v>679</v>
      </c>
      <c r="B859" s="628" t="s">
        <v>2020</v>
      </c>
      <c r="C859" s="629" t="s">
        <v>2021</v>
      </c>
      <c r="D859" s="629" t="s">
        <v>2654</v>
      </c>
      <c r="E859" s="629" t="s">
        <v>2771</v>
      </c>
      <c r="F859" s="630">
        <v>100</v>
      </c>
      <c r="G859" s="630">
        <v>105.4222</v>
      </c>
      <c r="H859" s="630">
        <v>6.1</v>
      </c>
      <c r="I859" s="627">
        <v>2559</v>
      </c>
      <c r="J859" s="629" t="s">
        <v>2656</v>
      </c>
    </row>
    <row r="860" spans="1:10">
      <c r="A860" s="627">
        <v>680</v>
      </c>
      <c r="B860" s="628" t="s">
        <v>2022</v>
      </c>
      <c r="C860" s="629" t="s">
        <v>2023</v>
      </c>
      <c r="D860" s="629" t="s">
        <v>2654</v>
      </c>
      <c r="E860" s="629" t="s">
        <v>2771</v>
      </c>
      <c r="F860" s="630">
        <v>100</v>
      </c>
      <c r="G860" s="630">
        <v>106.06610000000001</v>
      </c>
      <c r="H860" s="630">
        <v>6.09</v>
      </c>
      <c r="I860" s="627">
        <v>2492</v>
      </c>
      <c r="J860" s="629" t="s">
        <v>2656</v>
      </c>
    </row>
    <row r="861" spans="1:10">
      <c r="A861" s="627">
        <v>681</v>
      </c>
      <c r="B861" s="628" t="s">
        <v>2024</v>
      </c>
      <c r="C861" s="629" t="s">
        <v>2025</v>
      </c>
      <c r="D861" s="629" t="s">
        <v>2654</v>
      </c>
      <c r="E861" s="629" t="s">
        <v>2771</v>
      </c>
      <c r="F861" s="630">
        <v>100</v>
      </c>
      <c r="G861" s="630">
        <v>106.06610000000001</v>
      </c>
      <c r="H861" s="630">
        <v>6.09</v>
      </c>
      <c r="I861" s="627">
        <v>2492</v>
      </c>
      <c r="J861" s="629" t="s">
        <v>2656</v>
      </c>
    </row>
    <row r="862" spans="1:10">
      <c r="A862" s="627">
        <v>682</v>
      </c>
      <c r="B862" s="628" t="s">
        <v>2026</v>
      </c>
      <c r="C862" s="629" t="s">
        <v>2027</v>
      </c>
      <c r="D862" s="629" t="s">
        <v>2654</v>
      </c>
      <c r="E862" s="629" t="s">
        <v>2771</v>
      </c>
      <c r="F862" s="630">
        <v>100</v>
      </c>
      <c r="G862" s="630">
        <v>104.9308</v>
      </c>
      <c r="H862" s="630">
        <v>6.08</v>
      </c>
      <c r="I862" s="627">
        <v>2559</v>
      </c>
      <c r="J862" s="629" t="s">
        <v>2656</v>
      </c>
    </row>
    <row r="863" spans="1:10">
      <c r="A863" s="627">
        <v>683</v>
      </c>
      <c r="B863" s="628" t="s">
        <v>2915</v>
      </c>
      <c r="C863" s="629" t="s">
        <v>2916</v>
      </c>
      <c r="D863" s="629" t="s">
        <v>2654</v>
      </c>
      <c r="E863" s="629" t="s">
        <v>2917</v>
      </c>
      <c r="F863" s="630">
        <v>100.87010695153771</v>
      </c>
      <c r="G863" s="630">
        <v>103.31450695153771</v>
      </c>
      <c r="H863" s="630">
        <v>10.62</v>
      </c>
      <c r="I863" s="627">
        <v>1000</v>
      </c>
      <c r="J863" s="629" t="s">
        <v>2656</v>
      </c>
    </row>
    <row r="864" spans="1:10">
      <c r="A864" s="627">
        <v>684</v>
      </c>
      <c r="B864" s="628" t="s">
        <v>2840</v>
      </c>
      <c r="C864" s="629" t="s">
        <v>2841</v>
      </c>
      <c r="D864" s="629" t="s">
        <v>2654</v>
      </c>
      <c r="E864" s="629" t="s">
        <v>2842</v>
      </c>
      <c r="F864" s="630">
        <v>101.67654692309335</v>
      </c>
      <c r="G864" s="630">
        <v>103.40984692309335</v>
      </c>
      <c r="H864" s="630">
        <v>25.1</v>
      </c>
      <c r="I864" s="627">
        <v>966</v>
      </c>
      <c r="J864" s="629" t="s">
        <v>2656</v>
      </c>
    </row>
    <row r="865" spans="1:10">
      <c r="A865" s="627">
        <v>685</v>
      </c>
      <c r="B865" s="628" t="s">
        <v>2028</v>
      </c>
      <c r="C865" s="629" t="s">
        <v>2029</v>
      </c>
      <c r="D865" s="629" t="s">
        <v>2651</v>
      </c>
      <c r="E865" s="629" t="s">
        <v>2772</v>
      </c>
      <c r="F865" s="630">
        <v>52664.62</v>
      </c>
      <c r="G865" s="630">
        <v>52664.62</v>
      </c>
      <c r="H865" s="630">
        <v>0</v>
      </c>
      <c r="I865" s="627">
        <v>0</v>
      </c>
      <c r="J865" s="629" t="s">
        <v>2653</v>
      </c>
    </row>
    <row r="866" spans="1:10">
      <c r="A866" s="627">
        <v>686</v>
      </c>
      <c r="B866" s="628" t="s">
        <v>1018</v>
      </c>
      <c r="C866" s="629" t="s">
        <v>1017</v>
      </c>
      <c r="D866" s="629" t="s">
        <v>2654</v>
      </c>
      <c r="E866" s="629" t="s">
        <v>263</v>
      </c>
      <c r="F866" s="630">
        <v>99.828000000000003</v>
      </c>
      <c r="G866" s="630">
        <v>99.828000000000003</v>
      </c>
      <c r="H866" s="630">
        <v>15.72</v>
      </c>
      <c r="I866" s="627">
        <v>4</v>
      </c>
      <c r="J866" s="629" t="s">
        <v>2656</v>
      </c>
    </row>
    <row r="867" spans="1:10">
      <c r="A867" s="627">
        <v>687</v>
      </c>
      <c r="B867" s="628" t="s">
        <v>1090</v>
      </c>
      <c r="C867" s="629" t="s">
        <v>1041</v>
      </c>
      <c r="D867" s="629" t="s">
        <v>2654</v>
      </c>
      <c r="E867" s="629" t="s">
        <v>263</v>
      </c>
      <c r="F867" s="630">
        <v>95.442800000000005</v>
      </c>
      <c r="G867" s="630">
        <v>95.442800000000005</v>
      </c>
      <c r="H867" s="630">
        <v>15.99</v>
      </c>
      <c r="I867" s="627">
        <v>109</v>
      </c>
      <c r="J867" s="629" t="s">
        <v>2656</v>
      </c>
    </row>
    <row r="868" spans="1:10">
      <c r="A868" s="627">
        <v>688</v>
      </c>
      <c r="B868" s="628" t="s">
        <v>2556</v>
      </c>
      <c r="C868" s="629" t="s">
        <v>2557</v>
      </c>
      <c r="D868" s="629" t="s">
        <v>2654</v>
      </c>
      <c r="E868" s="629" t="s">
        <v>263</v>
      </c>
      <c r="F868" s="630">
        <v>91.548699999999997</v>
      </c>
      <c r="G868" s="630">
        <v>91.548699999999997</v>
      </c>
      <c r="H868" s="630">
        <v>16.28</v>
      </c>
      <c r="I868" s="627">
        <v>207</v>
      </c>
      <c r="J868" s="629" t="s">
        <v>2656</v>
      </c>
    </row>
    <row r="869" spans="1:10">
      <c r="A869" s="627">
        <v>689</v>
      </c>
      <c r="B869" s="628" t="s">
        <v>2030</v>
      </c>
      <c r="C869" s="629" t="s">
        <v>2031</v>
      </c>
      <c r="D869" s="629" t="s">
        <v>2651</v>
      </c>
      <c r="E869" s="629" t="s">
        <v>2773</v>
      </c>
      <c r="F869" s="630">
        <v>0.01</v>
      </c>
      <c r="G869" s="630">
        <v>0.01</v>
      </c>
      <c r="H869" s="630">
        <v>0</v>
      </c>
      <c r="I869" s="627">
        <v>0</v>
      </c>
      <c r="J869" s="629" t="s">
        <v>2653</v>
      </c>
    </row>
    <row r="870" spans="1:10">
      <c r="A870" s="627">
        <v>690</v>
      </c>
      <c r="B870" s="628" t="s">
        <v>2032</v>
      </c>
      <c r="C870" s="629" t="s">
        <v>2033</v>
      </c>
      <c r="D870" s="629" t="s">
        <v>2651</v>
      </c>
      <c r="E870" s="629" t="s">
        <v>2773</v>
      </c>
      <c r="F870" s="630">
        <v>5695</v>
      </c>
      <c r="G870" s="630">
        <v>5695</v>
      </c>
      <c r="H870" s="630">
        <v>0</v>
      </c>
      <c r="I870" s="627">
        <v>0</v>
      </c>
      <c r="J870" s="629" t="s">
        <v>2653</v>
      </c>
    </row>
    <row r="871" spans="1:10">
      <c r="A871" s="627">
        <v>691</v>
      </c>
      <c r="B871" s="628" t="s">
        <v>2034</v>
      </c>
      <c r="C871" s="629" t="s">
        <v>2035</v>
      </c>
      <c r="D871" s="629" t="s">
        <v>2651</v>
      </c>
      <c r="E871" s="629" t="s">
        <v>2774</v>
      </c>
      <c r="F871" s="630">
        <v>13000</v>
      </c>
      <c r="G871" s="630">
        <v>13000</v>
      </c>
      <c r="H871" s="630">
        <v>0</v>
      </c>
      <c r="I871" s="627">
        <v>0</v>
      </c>
      <c r="J871" s="629" t="s">
        <v>2653</v>
      </c>
    </row>
    <row r="872" spans="1:10">
      <c r="A872" s="627">
        <v>692</v>
      </c>
      <c r="B872" s="628" t="s">
        <v>2036</v>
      </c>
      <c r="C872" s="629" t="s">
        <v>2037</v>
      </c>
      <c r="D872" s="629" t="s">
        <v>2654</v>
      </c>
      <c r="E872" s="629" t="s">
        <v>2775</v>
      </c>
      <c r="F872" s="630">
        <v>90.278713599643041</v>
      </c>
      <c r="G872" s="630">
        <v>90.645413599643035</v>
      </c>
      <c r="H872" s="630">
        <v>10.63</v>
      </c>
      <c r="I872" s="627">
        <v>878</v>
      </c>
      <c r="J872" s="629" t="s">
        <v>2656</v>
      </c>
    </row>
    <row r="873" spans="1:10">
      <c r="A873" s="627">
        <v>693</v>
      </c>
      <c r="B873" s="628" t="s">
        <v>653</v>
      </c>
      <c r="C873" s="629" t="s">
        <v>473</v>
      </c>
      <c r="D873" s="629" t="s">
        <v>2654</v>
      </c>
      <c r="E873" s="629" t="s">
        <v>263</v>
      </c>
      <c r="F873" s="630">
        <v>98.584699999999998</v>
      </c>
      <c r="G873" s="630">
        <v>101.2226</v>
      </c>
      <c r="H873" s="630">
        <v>16.39</v>
      </c>
      <c r="I873" s="627">
        <v>91</v>
      </c>
      <c r="J873" s="629" t="s">
        <v>2656</v>
      </c>
    </row>
    <row r="874" spans="1:10">
      <c r="A874" s="627">
        <v>694</v>
      </c>
      <c r="B874" s="628" t="s">
        <v>654</v>
      </c>
      <c r="C874" s="629" t="s">
        <v>655</v>
      </c>
      <c r="D874" s="629" t="s">
        <v>2654</v>
      </c>
      <c r="E874" s="629" t="s">
        <v>263</v>
      </c>
      <c r="F874" s="630">
        <v>98.451800000000006</v>
      </c>
      <c r="G874" s="630">
        <v>102.8824</v>
      </c>
      <c r="H874" s="630">
        <v>16.149999999999999</v>
      </c>
      <c r="I874" s="627">
        <v>244</v>
      </c>
      <c r="J874" s="629" t="s">
        <v>2656</v>
      </c>
    </row>
    <row r="875" spans="1:10">
      <c r="A875" s="627">
        <v>695</v>
      </c>
      <c r="B875" s="628" t="s">
        <v>656</v>
      </c>
      <c r="C875" s="629" t="s">
        <v>494</v>
      </c>
      <c r="D875" s="629" t="s">
        <v>2654</v>
      </c>
      <c r="E875" s="629" t="s">
        <v>263</v>
      </c>
      <c r="F875" s="630">
        <v>98.109300000000005</v>
      </c>
      <c r="G875" s="630">
        <v>99.4221</v>
      </c>
      <c r="H875" s="630">
        <v>16.18</v>
      </c>
      <c r="I875" s="627">
        <v>326</v>
      </c>
      <c r="J875" s="629" t="s">
        <v>2656</v>
      </c>
    </row>
    <row r="876" spans="1:10">
      <c r="A876" s="627">
        <v>696</v>
      </c>
      <c r="B876" s="628" t="s">
        <v>2939</v>
      </c>
      <c r="C876" s="629" t="s">
        <v>2940</v>
      </c>
      <c r="D876" s="629" t="s">
        <v>2654</v>
      </c>
      <c r="E876" s="629" t="s">
        <v>263</v>
      </c>
      <c r="F876" s="630">
        <v>101.9787</v>
      </c>
      <c r="G876" s="630">
        <v>105.428</v>
      </c>
      <c r="H876" s="630">
        <v>16.260000000000002</v>
      </c>
      <c r="I876" s="627">
        <v>1367</v>
      </c>
      <c r="J876" s="629" t="s">
        <v>2656</v>
      </c>
    </row>
    <row r="877" spans="1:10">
      <c r="A877" s="627">
        <v>697</v>
      </c>
      <c r="B877" s="628" t="s">
        <v>657</v>
      </c>
      <c r="C877" s="629" t="s">
        <v>449</v>
      </c>
      <c r="D877" s="629" t="s">
        <v>2654</v>
      </c>
      <c r="E877" s="629" t="s">
        <v>263</v>
      </c>
      <c r="F877" s="630">
        <v>95.899199999999993</v>
      </c>
      <c r="G877" s="630">
        <v>98.115899999999996</v>
      </c>
      <c r="H877" s="630">
        <v>16.170000000000002</v>
      </c>
      <c r="I877" s="627">
        <v>284</v>
      </c>
      <c r="J877" s="629" t="s">
        <v>2656</v>
      </c>
    </row>
    <row r="878" spans="1:10">
      <c r="A878" s="627">
        <v>698</v>
      </c>
      <c r="B878" s="628" t="s">
        <v>658</v>
      </c>
      <c r="C878" s="629" t="s">
        <v>498</v>
      </c>
      <c r="D878" s="629" t="s">
        <v>2654</v>
      </c>
      <c r="E878" s="629" t="s">
        <v>263</v>
      </c>
      <c r="F878" s="630">
        <v>98.551900000000003</v>
      </c>
      <c r="G878" s="630">
        <v>105.033</v>
      </c>
      <c r="H878" s="630">
        <v>16.18</v>
      </c>
      <c r="I878" s="627">
        <v>748</v>
      </c>
      <c r="J878" s="629" t="s">
        <v>2656</v>
      </c>
    </row>
    <row r="879" spans="1:10">
      <c r="A879" s="627">
        <v>699</v>
      </c>
      <c r="B879" s="628" t="s">
        <v>3123</v>
      </c>
      <c r="C879" s="629" t="s">
        <v>3124</v>
      </c>
      <c r="D879" s="629" t="s">
        <v>2654</v>
      </c>
      <c r="E879" s="629" t="s">
        <v>263</v>
      </c>
      <c r="F879" s="630">
        <v>102.14409999999999</v>
      </c>
      <c r="G879" s="630">
        <v>102.66200000000001</v>
      </c>
      <c r="H879" s="630">
        <v>16.3</v>
      </c>
      <c r="I879" s="627">
        <v>1789</v>
      </c>
      <c r="J879" s="629" t="s">
        <v>2656</v>
      </c>
    </row>
    <row r="880" spans="1:10">
      <c r="A880" s="627">
        <v>700</v>
      </c>
      <c r="B880" s="628" t="s">
        <v>3041</v>
      </c>
      <c r="C880" s="629" t="s">
        <v>3042</v>
      </c>
      <c r="D880" s="629" t="s">
        <v>2654</v>
      </c>
      <c r="E880" s="629" t="s">
        <v>3043</v>
      </c>
      <c r="F880" s="630">
        <v>100.0066509056165</v>
      </c>
      <c r="G880" s="630">
        <v>100.2566509056165</v>
      </c>
      <c r="H880" s="630">
        <v>10</v>
      </c>
      <c r="I880" s="627">
        <v>681</v>
      </c>
      <c r="J880" s="629" t="s">
        <v>2656</v>
      </c>
    </row>
    <row r="881" spans="1:10">
      <c r="A881" s="627">
        <v>701</v>
      </c>
      <c r="B881" s="628" t="s">
        <v>2038</v>
      </c>
      <c r="C881" s="629" t="s">
        <v>2039</v>
      </c>
      <c r="D881" s="629" t="s">
        <v>2651</v>
      </c>
      <c r="E881" s="629" t="s">
        <v>2776</v>
      </c>
      <c r="F881" s="630">
        <v>0.01</v>
      </c>
      <c r="G881" s="630">
        <v>0.01</v>
      </c>
      <c r="H881" s="630">
        <v>0</v>
      </c>
      <c r="I881" s="627">
        <v>0</v>
      </c>
      <c r="J881" s="629" t="s">
        <v>2653</v>
      </c>
    </row>
    <row r="882" spans="1:10">
      <c r="A882" s="627">
        <v>702</v>
      </c>
      <c r="B882" s="628" t="s">
        <v>2040</v>
      </c>
      <c r="C882" s="629" t="s">
        <v>2041</v>
      </c>
      <c r="D882" s="629" t="s">
        <v>2651</v>
      </c>
      <c r="E882" s="629" t="s">
        <v>2042</v>
      </c>
      <c r="F882" s="630">
        <v>14360.880800000003</v>
      </c>
      <c r="G882" s="630">
        <v>14360.880800000003</v>
      </c>
      <c r="H882" s="630">
        <v>0</v>
      </c>
      <c r="I882" s="627">
        <v>0</v>
      </c>
      <c r="J882" s="629" t="s">
        <v>2653</v>
      </c>
    </row>
    <row r="883" spans="1:10">
      <c r="A883" s="627">
        <v>703</v>
      </c>
      <c r="B883" s="628" t="s">
        <v>2043</v>
      </c>
      <c r="C883" s="629" t="s">
        <v>2044</v>
      </c>
      <c r="D883" s="629" t="s">
        <v>2651</v>
      </c>
      <c r="E883" s="629" t="s">
        <v>2045</v>
      </c>
      <c r="F883" s="630">
        <v>275152.97040000005</v>
      </c>
      <c r="G883" s="630">
        <v>275152.97040000005</v>
      </c>
      <c r="H883" s="630">
        <v>0</v>
      </c>
      <c r="I883" s="627">
        <v>0</v>
      </c>
      <c r="J883" s="629" t="s">
        <v>2653</v>
      </c>
    </row>
    <row r="884" spans="1:10">
      <c r="A884" s="627">
        <v>704</v>
      </c>
      <c r="B884" s="628" t="s">
        <v>2046</v>
      </c>
      <c r="C884" s="629" t="s">
        <v>2047</v>
      </c>
      <c r="D884" s="629" t="s">
        <v>2651</v>
      </c>
      <c r="E884" s="629" t="s">
        <v>2048</v>
      </c>
      <c r="F884" s="630">
        <v>95231.918400000024</v>
      </c>
      <c r="G884" s="630">
        <v>95231.918400000024</v>
      </c>
      <c r="H884" s="630">
        <v>0</v>
      </c>
      <c r="I884" s="627">
        <v>0</v>
      </c>
      <c r="J884" s="629" t="s">
        <v>2653</v>
      </c>
    </row>
    <row r="885" spans="1:10">
      <c r="A885" s="627">
        <v>705</v>
      </c>
      <c r="B885" s="628" t="s">
        <v>2912</v>
      </c>
      <c r="C885" s="629" t="s">
        <v>2913</v>
      </c>
      <c r="D885" s="629" t="s">
        <v>2654</v>
      </c>
      <c r="E885" s="629" t="s">
        <v>263</v>
      </c>
      <c r="F885" s="630">
        <v>100</v>
      </c>
      <c r="G885" s="630">
        <v>100</v>
      </c>
      <c r="H885" s="630">
        <v>16.936</v>
      </c>
      <c r="I885" s="627">
        <v>1379</v>
      </c>
      <c r="J885" s="629" t="s">
        <v>2656</v>
      </c>
    </row>
    <row r="886" spans="1:10">
      <c r="A886" s="627">
        <v>706</v>
      </c>
      <c r="B886" s="628" t="s">
        <v>660</v>
      </c>
      <c r="C886" s="629" t="s">
        <v>661</v>
      </c>
      <c r="D886" s="629" t="s">
        <v>2654</v>
      </c>
      <c r="E886" s="629" t="s">
        <v>263</v>
      </c>
      <c r="F886" s="630">
        <v>100</v>
      </c>
      <c r="G886" s="630">
        <v>100</v>
      </c>
      <c r="H886" s="630">
        <v>17.175000000000001</v>
      </c>
      <c r="I886" s="627">
        <v>319</v>
      </c>
      <c r="J886" s="629" t="s">
        <v>2656</v>
      </c>
    </row>
    <row r="887" spans="1:10">
      <c r="A887" s="627">
        <v>707</v>
      </c>
      <c r="B887" s="628" t="s">
        <v>662</v>
      </c>
      <c r="C887" s="629" t="s">
        <v>663</v>
      </c>
      <c r="D887" s="629" t="s">
        <v>2654</v>
      </c>
      <c r="E887" s="629" t="s">
        <v>263</v>
      </c>
      <c r="F887" s="630">
        <v>100</v>
      </c>
      <c r="G887" s="630">
        <v>100</v>
      </c>
      <c r="H887" s="630">
        <v>17.324999999999999</v>
      </c>
      <c r="I887" s="627">
        <v>714</v>
      </c>
      <c r="J887" s="629" t="s">
        <v>2656</v>
      </c>
    </row>
    <row r="888" spans="1:10">
      <c r="A888" s="627">
        <v>708</v>
      </c>
      <c r="B888" s="628" t="s">
        <v>664</v>
      </c>
      <c r="C888" s="629" t="s">
        <v>665</v>
      </c>
      <c r="D888" s="629" t="s">
        <v>2654</v>
      </c>
      <c r="E888" s="629" t="s">
        <v>263</v>
      </c>
      <c r="F888" s="630">
        <v>100</v>
      </c>
      <c r="G888" s="630">
        <v>100</v>
      </c>
      <c r="H888" s="630">
        <v>17.524999999999999</v>
      </c>
      <c r="I888" s="627">
        <v>1108</v>
      </c>
      <c r="J888" s="629" t="s">
        <v>2656</v>
      </c>
    </row>
    <row r="889" spans="1:10">
      <c r="A889" s="627">
        <v>709</v>
      </c>
      <c r="B889" s="628" t="s">
        <v>666</v>
      </c>
      <c r="C889" s="629" t="s">
        <v>667</v>
      </c>
      <c r="D889" s="629" t="s">
        <v>2654</v>
      </c>
      <c r="E889" s="629" t="s">
        <v>263</v>
      </c>
      <c r="F889" s="630">
        <v>100</v>
      </c>
      <c r="G889" s="630">
        <v>100</v>
      </c>
      <c r="H889" s="630">
        <v>17.625</v>
      </c>
      <c r="I889" s="627">
        <v>1573</v>
      </c>
      <c r="J889" s="629" t="s">
        <v>2656</v>
      </c>
    </row>
    <row r="890" spans="1:10">
      <c r="A890" s="627">
        <v>710</v>
      </c>
      <c r="B890" s="628" t="s">
        <v>668</v>
      </c>
      <c r="C890" s="629" t="s">
        <v>669</v>
      </c>
      <c r="D890" s="629" t="s">
        <v>2654</v>
      </c>
      <c r="E890" s="629" t="s">
        <v>263</v>
      </c>
      <c r="F890" s="630">
        <v>100</v>
      </c>
      <c r="G890" s="630">
        <v>100</v>
      </c>
      <c r="H890" s="630">
        <v>17.725000000000001</v>
      </c>
      <c r="I890" s="627">
        <v>1883</v>
      </c>
      <c r="J890" s="629" t="s">
        <v>2656</v>
      </c>
    </row>
    <row r="891" spans="1:10">
      <c r="A891" s="627">
        <v>711</v>
      </c>
      <c r="B891" s="628" t="s">
        <v>838</v>
      </c>
      <c r="C891" s="629" t="s">
        <v>34</v>
      </c>
      <c r="D891" s="629" t="s">
        <v>2654</v>
      </c>
      <c r="E891" s="629" t="s">
        <v>263</v>
      </c>
      <c r="F891" s="630">
        <v>99.925299999999993</v>
      </c>
      <c r="G891" s="630">
        <v>99.925299999999993</v>
      </c>
      <c r="H891" s="630">
        <v>13.025</v>
      </c>
      <c r="I891" s="627">
        <v>37</v>
      </c>
      <c r="J891" s="629" t="s">
        <v>2656</v>
      </c>
    </row>
    <row r="892" spans="1:10">
      <c r="A892" s="627">
        <v>712</v>
      </c>
      <c r="B892" s="628" t="s">
        <v>839</v>
      </c>
      <c r="C892" s="629" t="s">
        <v>32</v>
      </c>
      <c r="D892" s="629" t="s">
        <v>2654</v>
      </c>
      <c r="E892" s="629" t="s">
        <v>263</v>
      </c>
      <c r="F892" s="630">
        <v>99.9589</v>
      </c>
      <c r="G892" s="630">
        <v>99.9589</v>
      </c>
      <c r="H892" s="630">
        <v>13.025</v>
      </c>
      <c r="I892" s="627">
        <v>340</v>
      </c>
      <c r="J892" s="629" t="s">
        <v>2656</v>
      </c>
    </row>
    <row r="893" spans="1:10">
      <c r="A893" s="627">
        <v>713</v>
      </c>
      <c r="B893" s="628" t="s">
        <v>840</v>
      </c>
      <c r="C893" s="629" t="s">
        <v>25</v>
      </c>
      <c r="D893" s="629" t="s">
        <v>2654</v>
      </c>
      <c r="E893" s="629" t="s">
        <v>263</v>
      </c>
      <c r="F893" s="630">
        <v>99.802999999999997</v>
      </c>
      <c r="G893" s="630">
        <v>99.802999999999997</v>
      </c>
      <c r="H893" s="630">
        <v>13.025</v>
      </c>
      <c r="I893" s="627">
        <v>159</v>
      </c>
      <c r="J893" s="629" t="s">
        <v>2656</v>
      </c>
    </row>
    <row r="894" spans="1:10">
      <c r="A894" s="627">
        <v>714</v>
      </c>
      <c r="B894" s="628" t="s">
        <v>841</v>
      </c>
      <c r="C894" s="629" t="s">
        <v>842</v>
      </c>
      <c r="D894" s="629" t="s">
        <v>2654</v>
      </c>
      <c r="E894" s="629" t="s">
        <v>263</v>
      </c>
      <c r="F894" s="630">
        <v>99.902900000000002</v>
      </c>
      <c r="G894" s="630">
        <v>99.902900000000002</v>
      </c>
      <c r="H894" s="630">
        <v>13.025</v>
      </c>
      <c r="I894" s="627">
        <v>308</v>
      </c>
      <c r="J894" s="629" t="s">
        <v>2656</v>
      </c>
    </row>
    <row r="895" spans="1:10">
      <c r="A895" s="627">
        <v>715</v>
      </c>
      <c r="B895" s="628" t="s">
        <v>843</v>
      </c>
      <c r="C895" s="629" t="s">
        <v>19</v>
      </c>
      <c r="D895" s="629" t="s">
        <v>2654</v>
      </c>
      <c r="E895" s="629" t="s">
        <v>263</v>
      </c>
      <c r="F895" s="630">
        <v>99.982299999999995</v>
      </c>
      <c r="G895" s="630">
        <v>99.982299999999995</v>
      </c>
      <c r="H895" s="630">
        <v>13.025</v>
      </c>
      <c r="I895" s="627">
        <v>8</v>
      </c>
      <c r="J895" s="629" t="s">
        <v>2656</v>
      </c>
    </row>
    <row r="896" spans="1:10">
      <c r="A896" s="627">
        <v>716</v>
      </c>
      <c r="B896" s="628" t="s">
        <v>844</v>
      </c>
      <c r="C896" s="629" t="s">
        <v>35</v>
      </c>
      <c r="D896" s="629" t="s">
        <v>2654</v>
      </c>
      <c r="E896" s="629" t="s">
        <v>263</v>
      </c>
      <c r="F896" s="630">
        <v>99.897099999999995</v>
      </c>
      <c r="G896" s="630">
        <v>99.897099999999995</v>
      </c>
      <c r="H896" s="630">
        <v>13.115</v>
      </c>
      <c r="I896" s="627">
        <v>1133</v>
      </c>
      <c r="J896" s="629" t="s">
        <v>2656</v>
      </c>
    </row>
    <row r="897" spans="1:10">
      <c r="A897" s="627">
        <v>717</v>
      </c>
      <c r="B897" s="628" t="s">
        <v>845</v>
      </c>
      <c r="C897" s="629" t="s">
        <v>846</v>
      </c>
      <c r="D897" s="629" t="s">
        <v>2654</v>
      </c>
      <c r="E897" s="629" t="s">
        <v>263</v>
      </c>
      <c r="F897" s="630">
        <v>99.980199999999996</v>
      </c>
      <c r="G897" s="630">
        <v>99.980199999999996</v>
      </c>
      <c r="H897" s="630">
        <v>13.025</v>
      </c>
      <c r="I897" s="627">
        <v>9</v>
      </c>
      <c r="J897" s="629" t="s">
        <v>2656</v>
      </c>
    </row>
    <row r="898" spans="1:10">
      <c r="A898" s="627">
        <v>718</v>
      </c>
      <c r="B898" s="628" t="s">
        <v>847</v>
      </c>
      <c r="C898" s="629" t="s">
        <v>16</v>
      </c>
      <c r="D898" s="629" t="s">
        <v>2654</v>
      </c>
      <c r="E898" s="629" t="s">
        <v>263</v>
      </c>
      <c r="F898" s="630">
        <v>99.810400000000001</v>
      </c>
      <c r="G898" s="630">
        <v>99.810400000000001</v>
      </c>
      <c r="H898" s="630">
        <v>13.025</v>
      </c>
      <c r="I898" s="627">
        <v>218</v>
      </c>
      <c r="J898" s="629" t="s">
        <v>2656</v>
      </c>
    </row>
    <row r="899" spans="1:10">
      <c r="A899" s="627">
        <v>719</v>
      </c>
      <c r="B899" s="628" t="s">
        <v>848</v>
      </c>
      <c r="C899" s="629" t="s">
        <v>37</v>
      </c>
      <c r="D899" s="629" t="s">
        <v>2654</v>
      </c>
      <c r="E899" s="629" t="s">
        <v>263</v>
      </c>
      <c r="F899" s="630">
        <v>99.816400000000002</v>
      </c>
      <c r="G899" s="630">
        <v>99.816400000000002</v>
      </c>
      <c r="H899" s="630">
        <v>13.115</v>
      </c>
      <c r="I899" s="627">
        <v>1564</v>
      </c>
      <c r="J899" s="629" t="s">
        <v>2656</v>
      </c>
    </row>
    <row r="900" spans="1:10">
      <c r="A900" s="627">
        <v>720</v>
      </c>
      <c r="B900" s="628" t="s">
        <v>849</v>
      </c>
      <c r="C900" s="629" t="s">
        <v>12</v>
      </c>
      <c r="D900" s="629" t="s">
        <v>2654</v>
      </c>
      <c r="E900" s="629" t="s">
        <v>263</v>
      </c>
      <c r="F900" s="630">
        <v>99.810400000000001</v>
      </c>
      <c r="G900" s="630">
        <v>99.810400000000001</v>
      </c>
      <c r="H900" s="630">
        <v>13.025</v>
      </c>
      <c r="I900" s="627">
        <v>218</v>
      </c>
      <c r="J900" s="629" t="s">
        <v>2656</v>
      </c>
    </row>
    <row r="901" spans="1:10">
      <c r="A901" s="627">
        <v>721</v>
      </c>
      <c r="B901" s="628" t="s">
        <v>850</v>
      </c>
      <c r="C901" s="629" t="s">
        <v>14</v>
      </c>
      <c r="D901" s="629" t="s">
        <v>2654</v>
      </c>
      <c r="E901" s="629" t="s">
        <v>263</v>
      </c>
      <c r="F901" s="630">
        <v>99.863799999999998</v>
      </c>
      <c r="G901" s="630">
        <v>99.863799999999998</v>
      </c>
      <c r="H901" s="630">
        <v>13.025</v>
      </c>
      <c r="I901" s="627">
        <v>280</v>
      </c>
      <c r="J901" s="629" t="s">
        <v>2656</v>
      </c>
    </row>
    <row r="902" spans="1:10">
      <c r="A902" s="627">
        <v>722</v>
      </c>
      <c r="B902" s="628" t="s">
        <v>851</v>
      </c>
      <c r="C902" s="629" t="s">
        <v>852</v>
      </c>
      <c r="D902" s="629" t="s">
        <v>2654</v>
      </c>
      <c r="E902" s="629" t="s">
        <v>263</v>
      </c>
      <c r="F902" s="630">
        <v>99.801400000000001</v>
      </c>
      <c r="G902" s="630">
        <v>99.801400000000001</v>
      </c>
      <c r="H902" s="630">
        <v>13.025</v>
      </c>
      <c r="I902" s="627">
        <v>549</v>
      </c>
      <c r="J902" s="629" t="s">
        <v>2656</v>
      </c>
    </row>
    <row r="903" spans="1:10">
      <c r="A903" s="627">
        <v>723</v>
      </c>
      <c r="B903" s="628" t="s">
        <v>853</v>
      </c>
      <c r="C903" s="629" t="s">
        <v>18</v>
      </c>
      <c r="D903" s="629" t="s">
        <v>2654</v>
      </c>
      <c r="E903" s="629" t="s">
        <v>263</v>
      </c>
      <c r="F903" s="630">
        <v>99.862499999999997</v>
      </c>
      <c r="G903" s="630">
        <v>99.862499999999997</v>
      </c>
      <c r="H903" s="630">
        <v>13.025</v>
      </c>
      <c r="I903" s="627">
        <v>639</v>
      </c>
      <c r="J903" s="629" t="s">
        <v>2656</v>
      </c>
    </row>
    <row r="904" spans="1:10">
      <c r="A904" s="627">
        <v>724</v>
      </c>
      <c r="B904" s="628" t="s">
        <v>854</v>
      </c>
      <c r="C904" s="629" t="s">
        <v>855</v>
      </c>
      <c r="D904" s="629" t="s">
        <v>2654</v>
      </c>
      <c r="E904" s="629" t="s">
        <v>263</v>
      </c>
      <c r="F904" s="630">
        <v>99.816299999999998</v>
      </c>
      <c r="G904" s="630">
        <v>99.816299999999998</v>
      </c>
      <c r="H904" s="630">
        <v>13.025</v>
      </c>
      <c r="I904" s="627">
        <v>1208</v>
      </c>
      <c r="J904" s="629" t="s">
        <v>2656</v>
      </c>
    </row>
    <row r="905" spans="1:10">
      <c r="A905" s="627">
        <v>725</v>
      </c>
      <c r="B905" s="628" t="s">
        <v>856</v>
      </c>
      <c r="C905" s="629" t="s">
        <v>857</v>
      </c>
      <c r="D905" s="629" t="s">
        <v>2654</v>
      </c>
      <c r="E905" s="629" t="s">
        <v>263</v>
      </c>
      <c r="F905" s="630">
        <v>99.830500000000001</v>
      </c>
      <c r="G905" s="630">
        <v>99.830500000000001</v>
      </c>
      <c r="H905" s="630">
        <v>13.025</v>
      </c>
      <c r="I905" s="627">
        <v>1328</v>
      </c>
      <c r="J905" s="629" t="s">
        <v>2656</v>
      </c>
    </row>
    <row r="906" spans="1:10">
      <c r="A906" s="627">
        <v>726</v>
      </c>
      <c r="B906" s="628" t="s">
        <v>858</v>
      </c>
      <c r="C906" s="629" t="s">
        <v>13</v>
      </c>
      <c r="D906" s="629" t="s">
        <v>2654</v>
      </c>
      <c r="E906" s="629" t="s">
        <v>263</v>
      </c>
      <c r="F906" s="630">
        <v>99.831299999999999</v>
      </c>
      <c r="G906" s="630">
        <v>99.831299999999999</v>
      </c>
      <c r="H906" s="630">
        <v>13.025</v>
      </c>
      <c r="I906" s="627">
        <v>609</v>
      </c>
      <c r="J906" s="629" t="s">
        <v>2656</v>
      </c>
    </row>
    <row r="907" spans="1:10">
      <c r="A907" s="627">
        <v>727</v>
      </c>
      <c r="B907" s="628" t="s">
        <v>859</v>
      </c>
      <c r="C907" s="629" t="s">
        <v>860</v>
      </c>
      <c r="D907" s="629" t="s">
        <v>2654</v>
      </c>
      <c r="E907" s="629" t="s">
        <v>263</v>
      </c>
      <c r="F907" s="630">
        <v>99.927099999999996</v>
      </c>
      <c r="G907" s="630">
        <v>99.927099999999996</v>
      </c>
      <c r="H907" s="630">
        <v>13.025</v>
      </c>
      <c r="I907" s="627">
        <v>756</v>
      </c>
      <c r="J907" s="629" t="s">
        <v>2656</v>
      </c>
    </row>
    <row r="908" spans="1:10">
      <c r="A908" s="627">
        <v>728</v>
      </c>
      <c r="B908" s="628" t="s">
        <v>861</v>
      </c>
      <c r="C908" s="629" t="s">
        <v>862</v>
      </c>
      <c r="D908" s="629" t="s">
        <v>2654</v>
      </c>
      <c r="E908" s="629" t="s">
        <v>263</v>
      </c>
      <c r="F908" s="630">
        <v>99.818200000000004</v>
      </c>
      <c r="G908" s="630">
        <v>99.818200000000004</v>
      </c>
      <c r="H908" s="630">
        <v>13.025</v>
      </c>
      <c r="I908" s="627">
        <v>845</v>
      </c>
      <c r="J908" s="629" t="s">
        <v>2656</v>
      </c>
    </row>
    <row r="909" spans="1:10">
      <c r="A909" s="627">
        <v>729</v>
      </c>
      <c r="B909" s="628" t="s">
        <v>863</v>
      </c>
      <c r="C909" s="629" t="s">
        <v>864</v>
      </c>
      <c r="D909" s="629" t="s">
        <v>2654</v>
      </c>
      <c r="E909" s="629" t="s">
        <v>263</v>
      </c>
      <c r="F909" s="630">
        <v>99.901300000000006</v>
      </c>
      <c r="G909" s="630">
        <v>99.901300000000006</v>
      </c>
      <c r="H909" s="630">
        <v>13.025</v>
      </c>
      <c r="I909" s="627">
        <v>1387</v>
      </c>
      <c r="J909" s="629" t="s">
        <v>2656</v>
      </c>
    </row>
    <row r="910" spans="1:10">
      <c r="A910" s="627">
        <v>730</v>
      </c>
      <c r="B910" s="628" t="s">
        <v>865</v>
      </c>
      <c r="C910" s="629" t="s">
        <v>866</v>
      </c>
      <c r="D910" s="629" t="s">
        <v>2654</v>
      </c>
      <c r="E910" s="629" t="s">
        <v>263</v>
      </c>
      <c r="F910" s="630">
        <v>99.811400000000006</v>
      </c>
      <c r="G910" s="630">
        <v>99.811400000000006</v>
      </c>
      <c r="H910" s="630">
        <v>13.025</v>
      </c>
      <c r="I910" s="627">
        <v>1660</v>
      </c>
      <c r="J910" s="629" t="s">
        <v>2656</v>
      </c>
    </row>
    <row r="911" spans="1:10">
      <c r="A911" s="627">
        <v>731</v>
      </c>
      <c r="B911" s="628" t="s">
        <v>867</v>
      </c>
      <c r="C911" s="629" t="s">
        <v>868</v>
      </c>
      <c r="D911" s="629" t="s">
        <v>2654</v>
      </c>
      <c r="E911" s="629" t="s">
        <v>263</v>
      </c>
      <c r="F911" s="630">
        <v>99.901300000000006</v>
      </c>
      <c r="G911" s="630">
        <v>99.901300000000006</v>
      </c>
      <c r="H911" s="630">
        <v>13.025</v>
      </c>
      <c r="I911" s="627">
        <v>1027</v>
      </c>
      <c r="J911" s="629" t="s">
        <v>2656</v>
      </c>
    </row>
    <row r="912" spans="1:10">
      <c r="A912" s="627">
        <v>732</v>
      </c>
      <c r="B912" s="628" t="s">
        <v>869</v>
      </c>
      <c r="C912" s="629" t="s">
        <v>15</v>
      </c>
      <c r="D912" s="629" t="s">
        <v>2654</v>
      </c>
      <c r="E912" s="629" t="s">
        <v>263</v>
      </c>
      <c r="F912" s="630">
        <v>99.873599999999996</v>
      </c>
      <c r="G912" s="630">
        <v>99.873599999999996</v>
      </c>
      <c r="H912" s="630">
        <v>13.025</v>
      </c>
      <c r="I912" s="627">
        <v>1150</v>
      </c>
      <c r="J912" s="629" t="s">
        <v>2656</v>
      </c>
    </row>
    <row r="913" spans="1:10">
      <c r="A913" s="627">
        <v>733</v>
      </c>
      <c r="B913" s="628" t="s">
        <v>870</v>
      </c>
      <c r="C913" s="629" t="s">
        <v>17</v>
      </c>
      <c r="D913" s="629" t="s">
        <v>2654</v>
      </c>
      <c r="E913" s="629" t="s">
        <v>263</v>
      </c>
      <c r="F913" s="630">
        <v>99.831299999999999</v>
      </c>
      <c r="G913" s="630">
        <v>99.831299999999999</v>
      </c>
      <c r="H913" s="630">
        <v>13.025</v>
      </c>
      <c r="I913" s="627">
        <v>1329</v>
      </c>
      <c r="J913" s="629" t="s">
        <v>2656</v>
      </c>
    </row>
    <row r="914" spans="1:10">
      <c r="A914" s="627">
        <v>734</v>
      </c>
      <c r="B914" s="628" t="s">
        <v>871</v>
      </c>
      <c r="C914" s="629" t="s">
        <v>872</v>
      </c>
      <c r="D914" s="629" t="s">
        <v>2654</v>
      </c>
      <c r="E914" s="629" t="s">
        <v>263</v>
      </c>
      <c r="F914" s="630">
        <v>99.840599999999995</v>
      </c>
      <c r="G914" s="630">
        <v>99.840599999999995</v>
      </c>
      <c r="H914" s="630">
        <v>13.025</v>
      </c>
      <c r="I914" s="627">
        <v>1538</v>
      </c>
      <c r="J914" s="629" t="s">
        <v>2656</v>
      </c>
    </row>
    <row r="915" spans="1:10">
      <c r="A915" s="627">
        <v>735</v>
      </c>
      <c r="B915" s="628" t="s">
        <v>873</v>
      </c>
      <c r="C915" s="629" t="s">
        <v>23</v>
      </c>
      <c r="D915" s="629" t="s">
        <v>2654</v>
      </c>
      <c r="E915" s="629" t="s">
        <v>263</v>
      </c>
      <c r="F915" s="630">
        <v>99.956999999999994</v>
      </c>
      <c r="G915" s="630">
        <v>99.956999999999994</v>
      </c>
      <c r="H915" s="630">
        <v>13.025</v>
      </c>
      <c r="I915" s="627">
        <v>1779</v>
      </c>
      <c r="J915" s="629" t="s">
        <v>2656</v>
      </c>
    </row>
    <row r="916" spans="1:10">
      <c r="A916" s="627">
        <v>736</v>
      </c>
      <c r="B916" s="628" t="s">
        <v>874</v>
      </c>
      <c r="C916" s="629" t="s">
        <v>875</v>
      </c>
      <c r="D916" s="629" t="s">
        <v>2654</v>
      </c>
      <c r="E916" s="629" t="s">
        <v>263</v>
      </c>
      <c r="F916" s="630">
        <v>99.953199999999995</v>
      </c>
      <c r="G916" s="630">
        <v>99.953199999999995</v>
      </c>
      <c r="H916" s="630">
        <v>13.025</v>
      </c>
      <c r="I916" s="627">
        <v>2137</v>
      </c>
      <c r="J916" s="629" t="s">
        <v>2656</v>
      </c>
    </row>
    <row r="917" spans="1:10">
      <c r="A917" s="627">
        <v>737</v>
      </c>
      <c r="B917" s="628" t="s">
        <v>876</v>
      </c>
      <c r="C917" s="629" t="s">
        <v>877</v>
      </c>
      <c r="D917" s="629" t="s">
        <v>2654</v>
      </c>
      <c r="E917" s="629" t="s">
        <v>263</v>
      </c>
      <c r="F917" s="630">
        <v>99.874899999999997</v>
      </c>
      <c r="G917" s="630">
        <v>99.874899999999997</v>
      </c>
      <c r="H917" s="630">
        <v>13.025</v>
      </c>
      <c r="I917" s="627">
        <v>2229</v>
      </c>
      <c r="J917" s="629" t="s">
        <v>2656</v>
      </c>
    </row>
    <row r="918" spans="1:10">
      <c r="A918" s="627">
        <v>738</v>
      </c>
      <c r="B918" s="628" t="s">
        <v>670</v>
      </c>
      <c r="C918" s="629" t="s">
        <v>427</v>
      </c>
      <c r="D918" s="629" t="s">
        <v>2654</v>
      </c>
      <c r="E918" s="629" t="s">
        <v>263</v>
      </c>
      <c r="F918" s="630">
        <v>91.551100000000005</v>
      </c>
      <c r="G918" s="630">
        <v>95.913300000000007</v>
      </c>
      <c r="H918" s="630">
        <v>16.77</v>
      </c>
      <c r="I918" s="627">
        <v>569</v>
      </c>
      <c r="J918" s="629" t="s">
        <v>2656</v>
      </c>
    </row>
    <row r="919" spans="1:10">
      <c r="A919" s="627">
        <v>739</v>
      </c>
      <c r="B919" s="628" t="s">
        <v>671</v>
      </c>
      <c r="C919" s="629" t="s">
        <v>503</v>
      </c>
      <c r="D919" s="629" t="s">
        <v>2654</v>
      </c>
      <c r="E919" s="629" t="s">
        <v>263</v>
      </c>
      <c r="F919" s="630">
        <v>95.883899999999997</v>
      </c>
      <c r="G919" s="630">
        <v>105.5314</v>
      </c>
      <c r="H919" s="630">
        <v>16.88</v>
      </c>
      <c r="I919" s="627">
        <v>1213</v>
      </c>
      <c r="J919" s="629" t="s">
        <v>2656</v>
      </c>
    </row>
    <row r="920" spans="1:10">
      <c r="A920" s="627">
        <v>740</v>
      </c>
      <c r="B920" s="628" t="s">
        <v>672</v>
      </c>
      <c r="C920" s="629" t="s">
        <v>516</v>
      </c>
      <c r="D920" s="629" t="s">
        <v>2654</v>
      </c>
      <c r="E920" s="629" t="s">
        <v>263</v>
      </c>
      <c r="F920" s="630">
        <v>85.3215</v>
      </c>
      <c r="G920" s="630">
        <v>92.754800000000003</v>
      </c>
      <c r="H920" s="630">
        <v>16.93</v>
      </c>
      <c r="I920" s="627">
        <v>1577</v>
      </c>
      <c r="J920" s="629" t="s">
        <v>2656</v>
      </c>
    </row>
    <row r="921" spans="1:10">
      <c r="A921" s="627">
        <v>741</v>
      </c>
      <c r="B921" s="628" t="s">
        <v>673</v>
      </c>
      <c r="C921" s="629" t="s">
        <v>422</v>
      </c>
      <c r="D921" s="629" t="s">
        <v>2654</v>
      </c>
      <c r="E921" s="629" t="s">
        <v>263</v>
      </c>
      <c r="F921" s="630">
        <v>87.546700000000001</v>
      </c>
      <c r="G921" s="630">
        <v>92.977800000000002</v>
      </c>
      <c r="H921" s="630">
        <v>16.850000000000001</v>
      </c>
      <c r="I921" s="627">
        <v>892</v>
      </c>
      <c r="J921" s="629" t="s">
        <v>2656</v>
      </c>
    </row>
    <row r="922" spans="1:10">
      <c r="A922" s="627">
        <v>742</v>
      </c>
      <c r="B922" s="628" t="s">
        <v>674</v>
      </c>
      <c r="C922" s="629" t="s">
        <v>513</v>
      </c>
      <c r="D922" s="629" t="s">
        <v>2654</v>
      </c>
      <c r="E922" s="629" t="s">
        <v>263</v>
      </c>
      <c r="F922" s="630">
        <v>83.0989</v>
      </c>
      <c r="G922" s="630">
        <v>91.032200000000003</v>
      </c>
      <c r="H922" s="630">
        <v>17</v>
      </c>
      <c r="I922" s="627">
        <v>1922</v>
      </c>
      <c r="J922" s="629" t="s">
        <v>2656</v>
      </c>
    </row>
    <row r="923" spans="1:10">
      <c r="A923" s="627">
        <v>743</v>
      </c>
      <c r="B923" s="628" t="s">
        <v>1091</v>
      </c>
      <c r="C923" s="629" t="s">
        <v>1092</v>
      </c>
      <c r="D923" s="629" t="s">
        <v>2654</v>
      </c>
      <c r="E923" s="629" t="s">
        <v>263</v>
      </c>
      <c r="F923" s="630">
        <v>90.8</v>
      </c>
      <c r="G923" s="630">
        <v>99.884399999999999</v>
      </c>
      <c r="H923" s="630">
        <v>17</v>
      </c>
      <c r="I923" s="627">
        <v>2296</v>
      </c>
      <c r="J923" s="629" t="s">
        <v>2656</v>
      </c>
    </row>
    <row r="924" spans="1:10">
      <c r="A924" s="627">
        <v>744</v>
      </c>
      <c r="B924" s="628" t="s">
        <v>675</v>
      </c>
      <c r="C924" s="629" t="s">
        <v>390</v>
      </c>
      <c r="D924" s="629" t="s">
        <v>2654</v>
      </c>
      <c r="E924" s="629" t="s">
        <v>263</v>
      </c>
      <c r="F924" s="630">
        <v>85.716800000000006</v>
      </c>
      <c r="G924" s="630">
        <v>95.983199999999997</v>
      </c>
      <c r="H924" s="630">
        <v>16.88</v>
      </c>
      <c r="I924" s="627">
        <v>1087</v>
      </c>
      <c r="J924" s="629" t="s">
        <v>2656</v>
      </c>
    </row>
    <row r="925" spans="1:10">
      <c r="A925" s="627">
        <v>745</v>
      </c>
      <c r="B925" s="628" t="s">
        <v>676</v>
      </c>
      <c r="C925" s="629" t="s">
        <v>448</v>
      </c>
      <c r="D925" s="629" t="s">
        <v>2654</v>
      </c>
      <c r="E925" s="629" t="s">
        <v>263</v>
      </c>
      <c r="F925" s="630">
        <v>83.111000000000004</v>
      </c>
      <c r="G925" s="630">
        <v>85.514099999999999</v>
      </c>
      <c r="H925" s="630">
        <v>16.91</v>
      </c>
      <c r="I925" s="627">
        <v>1358</v>
      </c>
      <c r="J925" s="629" t="s">
        <v>2656</v>
      </c>
    </row>
    <row r="926" spans="1:10">
      <c r="A926" s="627">
        <v>746</v>
      </c>
      <c r="B926" s="628" t="s">
        <v>677</v>
      </c>
      <c r="C926" s="629" t="s">
        <v>476</v>
      </c>
      <c r="D926" s="629" t="s">
        <v>2654</v>
      </c>
      <c r="E926" s="629" t="s">
        <v>263</v>
      </c>
      <c r="F926" s="630">
        <v>82.604799999999997</v>
      </c>
      <c r="G926" s="630">
        <v>90.427000000000007</v>
      </c>
      <c r="H926" s="630">
        <v>16.97</v>
      </c>
      <c r="I926" s="627">
        <v>1544</v>
      </c>
      <c r="J926" s="629" t="s">
        <v>2656</v>
      </c>
    </row>
    <row r="927" spans="1:10">
      <c r="A927" s="627">
        <v>747</v>
      </c>
      <c r="B927" s="628" t="s">
        <v>678</v>
      </c>
      <c r="C927" s="629" t="s">
        <v>679</v>
      </c>
      <c r="D927" s="629" t="s">
        <v>2654</v>
      </c>
      <c r="E927" s="629" t="s">
        <v>263</v>
      </c>
      <c r="F927" s="630">
        <v>89.533199999999994</v>
      </c>
      <c r="G927" s="630">
        <v>95.677599999999998</v>
      </c>
      <c r="H927" s="630">
        <v>16.98</v>
      </c>
      <c r="I927" s="627">
        <v>2002</v>
      </c>
      <c r="J927" s="629" t="s">
        <v>2656</v>
      </c>
    </row>
    <row r="928" spans="1:10">
      <c r="A928" s="627">
        <v>748</v>
      </c>
      <c r="B928" s="628" t="s">
        <v>2616</v>
      </c>
      <c r="C928" s="629" t="s">
        <v>2617</v>
      </c>
      <c r="D928" s="629" t="s">
        <v>2654</v>
      </c>
      <c r="E928" s="629" t="s">
        <v>263</v>
      </c>
      <c r="F928" s="630">
        <v>89.149699999999996</v>
      </c>
      <c r="G928" s="630">
        <v>94.568399999999997</v>
      </c>
      <c r="H928" s="630">
        <v>17.03</v>
      </c>
      <c r="I928" s="627">
        <v>2745</v>
      </c>
      <c r="J928" s="629" t="s">
        <v>2656</v>
      </c>
    </row>
    <row r="929" spans="1:10">
      <c r="A929" s="627">
        <v>749</v>
      </c>
      <c r="B929" s="628" t="s">
        <v>680</v>
      </c>
      <c r="C929" s="629" t="s">
        <v>88</v>
      </c>
      <c r="D929" s="629" t="s">
        <v>2654</v>
      </c>
      <c r="E929" s="629" t="s">
        <v>263</v>
      </c>
      <c r="F929" s="630">
        <v>95.1203</v>
      </c>
      <c r="G929" s="630">
        <v>97.825000000000003</v>
      </c>
      <c r="H929" s="630">
        <v>16.79</v>
      </c>
      <c r="I929" s="627">
        <v>253</v>
      </c>
      <c r="J929" s="629" t="s">
        <v>2656</v>
      </c>
    </row>
    <row r="930" spans="1:10">
      <c r="A930" s="627">
        <v>750</v>
      </c>
      <c r="B930" s="628" t="s">
        <v>681</v>
      </c>
      <c r="C930" s="629" t="s">
        <v>95</v>
      </c>
      <c r="D930" s="629" t="s">
        <v>2654</v>
      </c>
      <c r="E930" s="629" t="s">
        <v>263</v>
      </c>
      <c r="F930" s="630">
        <v>85.257800000000003</v>
      </c>
      <c r="G930" s="630">
        <v>91.368899999999996</v>
      </c>
      <c r="H930" s="630">
        <v>16.899999999999999</v>
      </c>
      <c r="I930" s="627">
        <v>1240</v>
      </c>
      <c r="J930" s="629" t="s">
        <v>2656</v>
      </c>
    </row>
    <row r="931" spans="1:10">
      <c r="A931" s="627">
        <v>751</v>
      </c>
      <c r="B931" s="628" t="s">
        <v>682</v>
      </c>
      <c r="C931" s="629" t="s">
        <v>683</v>
      </c>
      <c r="D931" s="629" t="s">
        <v>2654</v>
      </c>
      <c r="E931" s="629" t="s">
        <v>263</v>
      </c>
      <c r="F931" s="630">
        <v>88.350999999999999</v>
      </c>
      <c r="G931" s="630">
        <v>94.223200000000006</v>
      </c>
      <c r="H931" s="630">
        <v>17</v>
      </c>
      <c r="I931" s="627">
        <v>2369</v>
      </c>
      <c r="J931" s="629" t="s">
        <v>2656</v>
      </c>
    </row>
    <row r="932" spans="1:10">
      <c r="A932" s="627">
        <v>752</v>
      </c>
      <c r="B932" s="628" t="s">
        <v>1093</v>
      </c>
      <c r="C932" s="629" t="s">
        <v>1094</v>
      </c>
      <c r="D932" s="629" t="s">
        <v>2654</v>
      </c>
      <c r="E932" s="629" t="s">
        <v>263</v>
      </c>
      <c r="F932" s="630">
        <v>88.839799999999997</v>
      </c>
      <c r="G932" s="630">
        <v>97.861999999999995</v>
      </c>
      <c r="H932" s="630">
        <v>17.03</v>
      </c>
      <c r="I932" s="627">
        <v>3016</v>
      </c>
      <c r="J932" s="629" t="s">
        <v>2656</v>
      </c>
    </row>
    <row r="933" spans="1:10">
      <c r="A933" s="627">
        <v>753</v>
      </c>
      <c r="B933" s="628" t="s">
        <v>685</v>
      </c>
      <c r="C933" s="629" t="s">
        <v>86</v>
      </c>
      <c r="D933" s="629" t="s">
        <v>2654</v>
      </c>
      <c r="E933" s="629" t="s">
        <v>263</v>
      </c>
      <c r="F933" s="630">
        <v>90.932100000000005</v>
      </c>
      <c r="G933" s="630">
        <v>96.5321</v>
      </c>
      <c r="H933" s="630">
        <v>16.760000000000002</v>
      </c>
      <c r="I933" s="627">
        <v>496</v>
      </c>
      <c r="J933" s="629" t="s">
        <v>2656</v>
      </c>
    </row>
    <row r="934" spans="1:10">
      <c r="A934" s="627">
        <v>754</v>
      </c>
      <c r="B934" s="628" t="s">
        <v>686</v>
      </c>
      <c r="C934" s="629" t="s">
        <v>87</v>
      </c>
      <c r="D934" s="629" t="s">
        <v>2654</v>
      </c>
      <c r="E934" s="629" t="s">
        <v>263</v>
      </c>
      <c r="F934" s="630">
        <v>89.085599999999999</v>
      </c>
      <c r="G934" s="630">
        <v>91.760599999999997</v>
      </c>
      <c r="H934" s="630">
        <v>16.79</v>
      </c>
      <c r="I934" s="627">
        <v>613</v>
      </c>
      <c r="J934" s="629" t="s">
        <v>2656</v>
      </c>
    </row>
    <row r="935" spans="1:10">
      <c r="A935" s="627">
        <v>755</v>
      </c>
      <c r="B935" s="628" t="s">
        <v>687</v>
      </c>
      <c r="C935" s="629" t="s">
        <v>417</v>
      </c>
      <c r="D935" s="629" t="s">
        <v>2654</v>
      </c>
      <c r="E935" s="629" t="s">
        <v>263</v>
      </c>
      <c r="F935" s="630">
        <v>77.3249</v>
      </c>
      <c r="G935" s="630">
        <v>83.4191</v>
      </c>
      <c r="H935" s="630">
        <v>16.97</v>
      </c>
      <c r="I935" s="627">
        <v>1947</v>
      </c>
      <c r="J935" s="629" t="s">
        <v>2656</v>
      </c>
    </row>
    <row r="936" spans="1:10">
      <c r="A936" s="627">
        <v>756</v>
      </c>
      <c r="B936" s="628" t="s">
        <v>1042</v>
      </c>
      <c r="C936" s="629" t="s">
        <v>1095</v>
      </c>
      <c r="D936" s="629" t="s">
        <v>2654</v>
      </c>
      <c r="E936" s="629" t="s">
        <v>263</v>
      </c>
      <c r="F936" s="630">
        <v>85.931899999999999</v>
      </c>
      <c r="G936" s="630">
        <v>95.537499999999994</v>
      </c>
      <c r="H936" s="630">
        <v>17.07</v>
      </c>
      <c r="I936" s="627">
        <v>3353</v>
      </c>
      <c r="J936" s="629" t="s">
        <v>2656</v>
      </c>
    </row>
    <row r="937" spans="1:10">
      <c r="A937" s="627">
        <v>757</v>
      </c>
      <c r="B937" s="628" t="s">
        <v>689</v>
      </c>
      <c r="C937" s="629" t="s">
        <v>446</v>
      </c>
      <c r="D937" s="629" t="s">
        <v>2654</v>
      </c>
      <c r="E937" s="629" t="s">
        <v>263</v>
      </c>
      <c r="F937" s="630">
        <v>75.357399999999998</v>
      </c>
      <c r="G937" s="630">
        <v>77.842399999999998</v>
      </c>
      <c r="H937" s="630">
        <v>17.02</v>
      </c>
      <c r="I937" s="627">
        <v>2436</v>
      </c>
      <c r="J937" s="629" t="s">
        <v>2656</v>
      </c>
    </row>
    <row r="938" spans="1:10">
      <c r="A938" s="627">
        <v>758</v>
      </c>
      <c r="B938" s="628" t="s">
        <v>690</v>
      </c>
      <c r="C938" s="629" t="s">
        <v>453</v>
      </c>
      <c r="D938" s="629" t="s">
        <v>2654</v>
      </c>
      <c r="E938" s="629" t="s">
        <v>263</v>
      </c>
      <c r="F938" s="630">
        <v>73.470799999999997</v>
      </c>
      <c r="G938" s="630">
        <v>75.163399999999996</v>
      </c>
      <c r="H938" s="630">
        <v>17.04</v>
      </c>
      <c r="I938" s="627">
        <v>2823</v>
      </c>
      <c r="J938" s="629" t="s">
        <v>2656</v>
      </c>
    </row>
    <row r="939" spans="1:10">
      <c r="A939" s="627">
        <v>759</v>
      </c>
      <c r="B939" s="628" t="s">
        <v>691</v>
      </c>
      <c r="C939" s="629" t="s">
        <v>75</v>
      </c>
      <c r="D939" s="629" t="s">
        <v>2654</v>
      </c>
      <c r="E939" s="629" t="s">
        <v>263</v>
      </c>
      <c r="F939" s="630">
        <v>87.22</v>
      </c>
      <c r="G939" s="630">
        <v>89.71</v>
      </c>
      <c r="H939" s="630">
        <v>16.79</v>
      </c>
      <c r="I939" s="627">
        <v>600</v>
      </c>
      <c r="J939" s="629" t="s">
        <v>2656</v>
      </c>
    </row>
    <row r="940" spans="1:10">
      <c r="A940" s="627">
        <v>760</v>
      </c>
      <c r="B940" s="628" t="s">
        <v>692</v>
      </c>
      <c r="C940" s="629" t="s">
        <v>92</v>
      </c>
      <c r="D940" s="629" t="s">
        <v>2654</v>
      </c>
      <c r="E940" s="629" t="s">
        <v>263</v>
      </c>
      <c r="F940" s="630">
        <v>70.569999999999993</v>
      </c>
      <c r="G940" s="630">
        <v>74.321100000000001</v>
      </c>
      <c r="H940" s="630">
        <v>16.989999999999998</v>
      </c>
      <c r="I940" s="627">
        <v>2000</v>
      </c>
      <c r="J940" s="629" t="s">
        <v>2656</v>
      </c>
    </row>
    <row r="941" spans="1:10">
      <c r="A941" s="627">
        <v>761</v>
      </c>
      <c r="B941" s="628" t="s">
        <v>693</v>
      </c>
      <c r="C941" s="629" t="s">
        <v>414</v>
      </c>
      <c r="D941" s="629" t="s">
        <v>2654</v>
      </c>
      <c r="E941" s="629" t="s">
        <v>263</v>
      </c>
      <c r="F941" s="630">
        <v>70.090299999999999</v>
      </c>
      <c r="G941" s="630">
        <v>76.921300000000002</v>
      </c>
      <c r="H941" s="630">
        <v>17.059999999999999</v>
      </c>
      <c r="I941" s="627">
        <v>2997</v>
      </c>
      <c r="J941" s="629" t="s">
        <v>2656</v>
      </c>
    </row>
    <row r="942" spans="1:10">
      <c r="A942" s="627">
        <v>762</v>
      </c>
      <c r="B942" s="628" t="s">
        <v>2589</v>
      </c>
      <c r="C942" s="629" t="s">
        <v>2590</v>
      </c>
      <c r="D942" s="629" t="s">
        <v>2654</v>
      </c>
      <c r="E942" s="629" t="s">
        <v>263</v>
      </c>
      <c r="F942" s="630">
        <v>84.734899999999996</v>
      </c>
      <c r="G942" s="630">
        <v>90.531599999999997</v>
      </c>
      <c r="H942" s="630">
        <v>17.07</v>
      </c>
      <c r="I942" s="627">
        <v>4532</v>
      </c>
      <c r="J942" s="629" t="s">
        <v>2656</v>
      </c>
    </row>
    <row r="943" spans="1:10">
      <c r="A943" s="627">
        <v>763</v>
      </c>
      <c r="B943" s="628" t="s">
        <v>694</v>
      </c>
      <c r="C943" s="629" t="s">
        <v>54</v>
      </c>
      <c r="D943" s="629" t="s">
        <v>2654</v>
      </c>
      <c r="E943" s="629" t="s">
        <v>263</v>
      </c>
      <c r="F943" s="630">
        <v>99.150099999999995</v>
      </c>
      <c r="G943" s="630">
        <v>103.789</v>
      </c>
      <c r="H943" s="630">
        <v>17.420000000000002</v>
      </c>
      <c r="I943" s="627">
        <v>26</v>
      </c>
      <c r="J943" s="629" t="s">
        <v>2656</v>
      </c>
    </row>
    <row r="944" spans="1:10">
      <c r="A944" s="627">
        <v>764</v>
      </c>
      <c r="B944" s="628" t="s">
        <v>695</v>
      </c>
      <c r="C944" s="629" t="s">
        <v>90</v>
      </c>
      <c r="D944" s="629" t="s">
        <v>2654</v>
      </c>
      <c r="E944" s="629" t="s">
        <v>263</v>
      </c>
      <c r="F944" s="630">
        <v>67.637699999999995</v>
      </c>
      <c r="G944" s="630">
        <v>71.956599999999995</v>
      </c>
      <c r="H944" s="630">
        <v>17.02</v>
      </c>
      <c r="I944" s="627">
        <v>2336</v>
      </c>
      <c r="J944" s="629" t="s">
        <v>2656</v>
      </c>
    </row>
    <row r="945" spans="1:10">
      <c r="A945" s="627">
        <v>765</v>
      </c>
      <c r="B945" s="628" t="s">
        <v>696</v>
      </c>
      <c r="C945" s="629" t="s">
        <v>697</v>
      </c>
      <c r="D945" s="629" t="s">
        <v>2654</v>
      </c>
      <c r="E945" s="629" t="s">
        <v>263</v>
      </c>
      <c r="F945" s="630">
        <v>69.006100000000004</v>
      </c>
      <c r="G945" s="630">
        <v>75.27</v>
      </c>
      <c r="H945" s="630">
        <v>17.05</v>
      </c>
      <c r="I945" s="627">
        <v>3380</v>
      </c>
      <c r="J945" s="629" t="s">
        <v>2656</v>
      </c>
    </row>
    <row r="946" spans="1:10">
      <c r="A946" s="627">
        <v>766</v>
      </c>
      <c r="B946" s="628" t="s">
        <v>698</v>
      </c>
      <c r="C946" s="629" t="s">
        <v>43</v>
      </c>
      <c r="D946" s="629" t="s">
        <v>2654</v>
      </c>
      <c r="E946" s="629" t="s">
        <v>263</v>
      </c>
      <c r="F946" s="630">
        <v>98.953500000000005</v>
      </c>
      <c r="G946" s="630">
        <v>104.02460000000001</v>
      </c>
      <c r="H946" s="630">
        <v>17.25</v>
      </c>
      <c r="I946" s="627">
        <v>34</v>
      </c>
      <c r="J946" s="629" t="s">
        <v>2656</v>
      </c>
    </row>
    <row r="947" spans="1:10">
      <c r="A947" s="627">
        <v>767</v>
      </c>
      <c r="B947" s="628" t="s">
        <v>699</v>
      </c>
      <c r="C947" s="629" t="s">
        <v>50</v>
      </c>
      <c r="D947" s="629" t="s">
        <v>2654</v>
      </c>
      <c r="E947" s="629" t="s">
        <v>263</v>
      </c>
      <c r="F947" s="630">
        <v>91.822500000000005</v>
      </c>
      <c r="G947" s="630">
        <v>92.7697</v>
      </c>
      <c r="H947" s="630">
        <v>16.809999999999999</v>
      </c>
      <c r="I947" s="627">
        <v>298</v>
      </c>
      <c r="J947" s="629" t="s">
        <v>2656</v>
      </c>
    </row>
    <row r="948" spans="1:10">
      <c r="A948" s="627">
        <v>768</v>
      </c>
      <c r="B948" s="628" t="s">
        <v>700</v>
      </c>
      <c r="C948" s="629" t="s">
        <v>55</v>
      </c>
      <c r="D948" s="629" t="s">
        <v>2654</v>
      </c>
      <c r="E948" s="629" t="s">
        <v>263</v>
      </c>
      <c r="F948" s="630">
        <v>88.993600000000001</v>
      </c>
      <c r="G948" s="630">
        <v>93.535300000000007</v>
      </c>
      <c r="H948" s="630">
        <v>16.82</v>
      </c>
      <c r="I948" s="627">
        <v>393</v>
      </c>
      <c r="J948" s="629" t="s">
        <v>2656</v>
      </c>
    </row>
    <row r="949" spans="1:10">
      <c r="A949" s="627">
        <v>769</v>
      </c>
      <c r="B949" s="628" t="s">
        <v>701</v>
      </c>
      <c r="C949" s="629" t="s">
        <v>59</v>
      </c>
      <c r="D949" s="629" t="s">
        <v>2654</v>
      </c>
      <c r="E949" s="629" t="s">
        <v>263</v>
      </c>
      <c r="F949" s="630">
        <v>86.486599999999996</v>
      </c>
      <c r="G949" s="630">
        <v>89.582400000000007</v>
      </c>
      <c r="H949" s="630">
        <v>16.75</v>
      </c>
      <c r="I949" s="627">
        <v>517</v>
      </c>
      <c r="J949" s="629" t="s">
        <v>2656</v>
      </c>
    </row>
    <row r="950" spans="1:10">
      <c r="A950" s="627">
        <v>770</v>
      </c>
      <c r="B950" s="628" t="s">
        <v>702</v>
      </c>
      <c r="C950" s="629" t="s">
        <v>65</v>
      </c>
      <c r="D950" s="629" t="s">
        <v>2654</v>
      </c>
      <c r="E950" s="629" t="s">
        <v>263</v>
      </c>
      <c r="F950" s="630">
        <v>82.650599999999997</v>
      </c>
      <c r="G950" s="630">
        <v>83.138599999999997</v>
      </c>
      <c r="H950" s="630">
        <v>16.82</v>
      </c>
      <c r="I950" s="627">
        <v>688</v>
      </c>
      <c r="J950" s="629" t="s">
        <v>2656</v>
      </c>
    </row>
    <row r="951" spans="1:10">
      <c r="A951" s="627">
        <v>771</v>
      </c>
      <c r="B951" s="628" t="s">
        <v>703</v>
      </c>
      <c r="C951" s="629" t="s">
        <v>68</v>
      </c>
      <c r="D951" s="629" t="s">
        <v>2654</v>
      </c>
      <c r="E951" s="629" t="s">
        <v>263</v>
      </c>
      <c r="F951" s="630">
        <v>83.531400000000005</v>
      </c>
      <c r="G951" s="630">
        <v>89.959199999999996</v>
      </c>
      <c r="H951" s="630">
        <v>16.809999999999999</v>
      </c>
      <c r="I951" s="627">
        <v>724</v>
      </c>
      <c r="J951" s="629" t="s">
        <v>2656</v>
      </c>
    </row>
    <row r="952" spans="1:10">
      <c r="A952" s="627">
        <v>772</v>
      </c>
      <c r="B952" s="628" t="s">
        <v>704</v>
      </c>
      <c r="C952" s="629" t="s">
        <v>71</v>
      </c>
      <c r="D952" s="629" t="s">
        <v>2654</v>
      </c>
      <c r="E952" s="629" t="s">
        <v>263</v>
      </c>
      <c r="F952" s="630">
        <v>77.740799999999993</v>
      </c>
      <c r="G952" s="630">
        <v>83.957999999999998</v>
      </c>
      <c r="H952" s="630">
        <v>16.899999999999999</v>
      </c>
      <c r="I952" s="627">
        <v>1130</v>
      </c>
      <c r="J952" s="629" t="s">
        <v>2656</v>
      </c>
    </row>
    <row r="953" spans="1:10">
      <c r="A953" s="627">
        <v>773</v>
      </c>
      <c r="B953" s="628" t="s">
        <v>705</v>
      </c>
      <c r="C953" s="629" t="s">
        <v>78</v>
      </c>
      <c r="D953" s="629" t="s">
        <v>2654</v>
      </c>
      <c r="E953" s="629" t="s">
        <v>263</v>
      </c>
      <c r="F953" s="630">
        <v>75.371099999999998</v>
      </c>
      <c r="G953" s="630">
        <v>76.800399999999996</v>
      </c>
      <c r="H953" s="630">
        <v>16.93</v>
      </c>
      <c r="I953" s="627">
        <v>1373</v>
      </c>
      <c r="J953" s="629" t="s">
        <v>2656</v>
      </c>
    </row>
    <row r="954" spans="1:10">
      <c r="A954" s="627">
        <v>774</v>
      </c>
      <c r="B954" s="628" t="s">
        <v>706</v>
      </c>
      <c r="C954" s="629" t="s">
        <v>82</v>
      </c>
      <c r="D954" s="629" t="s">
        <v>2654</v>
      </c>
      <c r="E954" s="629" t="s">
        <v>263</v>
      </c>
      <c r="F954" s="630">
        <v>73.075299999999999</v>
      </c>
      <c r="G954" s="630">
        <v>78.536600000000007</v>
      </c>
      <c r="H954" s="630">
        <v>16.97</v>
      </c>
      <c r="I954" s="627">
        <v>1544</v>
      </c>
      <c r="J954" s="629" t="s">
        <v>2656</v>
      </c>
    </row>
    <row r="955" spans="1:10">
      <c r="A955" s="627">
        <v>775</v>
      </c>
      <c r="B955" s="628" t="s">
        <v>707</v>
      </c>
      <c r="C955" s="629" t="s">
        <v>89</v>
      </c>
      <c r="D955" s="629" t="s">
        <v>2654</v>
      </c>
      <c r="E955" s="629" t="s">
        <v>263</v>
      </c>
      <c r="F955" s="630">
        <v>65.866100000000003</v>
      </c>
      <c r="G955" s="630">
        <v>70.581000000000003</v>
      </c>
      <c r="H955" s="630">
        <v>17.04</v>
      </c>
      <c r="I955" s="627">
        <v>2684</v>
      </c>
      <c r="J955" s="629" t="s">
        <v>2656</v>
      </c>
    </row>
    <row r="956" spans="1:10">
      <c r="A956" s="627">
        <v>776</v>
      </c>
      <c r="B956" s="628" t="s">
        <v>708</v>
      </c>
      <c r="C956" s="629" t="s">
        <v>91</v>
      </c>
      <c r="D956" s="629" t="s">
        <v>2654</v>
      </c>
      <c r="E956" s="629" t="s">
        <v>263</v>
      </c>
      <c r="F956" s="630">
        <v>64.933599999999998</v>
      </c>
      <c r="G956" s="630">
        <v>69.093100000000007</v>
      </c>
      <c r="H956" s="630">
        <v>17.04</v>
      </c>
      <c r="I956" s="627">
        <v>2703</v>
      </c>
      <c r="J956" s="629" t="s">
        <v>2656</v>
      </c>
    </row>
    <row r="957" spans="1:10">
      <c r="A957" s="627">
        <v>777</v>
      </c>
      <c r="B957" s="628" t="s">
        <v>709</v>
      </c>
      <c r="C957" s="629" t="s">
        <v>710</v>
      </c>
      <c r="D957" s="629" t="s">
        <v>2654</v>
      </c>
      <c r="E957" s="629" t="s">
        <v>263</v>
      </c>
      <c r="F957" s="630">
        <v>69.702799999999996</v>
      </c>
      <c r="G957" s="630">
        <v>71.349699999999999</v>
      </c>
      <c r="H957" s="630">
        <v>17.07</v>
      </c>
      <c r="I957" s="627">
        <v>3905</v>
      </c>
      <c r="J957" s="629" t="s">
        <v>2656</v>
      </c>
    </row>
    <row r="958" spans="1:10">
      <c r="A958" s="627">
        <v>778</v>
      </c>
      <c r="B958" s="628" t="s">
        <v>711</v>
      </c>
      <c r="C958" s="629" t="s">
        <v>475</v>
      </c>
      <c r="D958" s="629" t="s">
        <v>2654</v>
      </c>
      <c r="E958" s="629" t="s">
        <v>263</v>
      </c>
      <c r="F958" s="630">
        <v>70.484300000000005</v>
      </c>
      <c r="G958" s="630">
        <v>78.526200000000003</v>
      </c>
      <c r="H958" s="630">
        <v>17.079999999999998</v>
      </c>
      <c r="I958" s="627">
        <v>4058</v>
      </c>
      <c r="J958" s="629" t="s">
        <v>2656</v>
      </c>
    </row>
    <row r="959" spans="1:10">
      <c r="A959" s="627">
        <v>779</v>
      </c>
      <c r="B959" s="628" t="s">
        <v>712</v>
      </c>
      <c r="C959" s="629" t="s">
        <v>53</v>
      </c>
      <c r="D959" s="629" t="s">
        <v>2654</v>
      </c>
      <c r="E959" s="629" t="s">
        <v>263</v>
      </c>
      <c r="F959" s="630">
        <v>81.726799999999997</v>
      </c>
      <c r="G959" s="630">
        <v>81.741500000000002</v>
      </c>
      <c r="H959" s="630">
        <v>16.809999999999999</v>
      </c>
      <c r="I959" s="627">
        <v>719</v>
      </c>
      <c r="J959" s="629" t="s">
        <v>2656</v>
      </c>
    </row>
    <row r="960" spans="1:10">
      <c r="A960" s="627">
        <v>780</v>
      </c>
      <c r="B960" s="628" t="s">
        <v>713</v>
      </c>
      <c r="C960" s="629" t="s">
        <v>60</v>
      </c>
      <c r="D960" s="629" t="s">
        <v>2654</v>
      </c>
      <c r="E960" s="629" t="s">
        <v>263</v>
      </c>
      <c r="F960" s="630">
        <v>77.265900000000002</v>
      </c>
      <c r="G960" s="630">
        <v>79.793700000000001</v>
      </c>
      <c r="H960" s="630">
        <v>16.850000000000001</v>
      </c>
      <c r="I960" s="627">
        <v>898</v>
      </c>
      <c r="J960" s="629" t="s">
        <v>2656</v>
      </c>
    </row>
    <row r="961" spans="1:10">
      <c r="A961" s="627">
        <v>781</v>
      </c>
      <c r="B961" s="628" t="s">
        <v>714</v>
      </c>
      <c r="C961" s="629" t="s">
        <v>66</v>
      </c>
      <c r="D961" s="629" t="s">
        <v>2654</v>
      </c>
      <c r="E961" s="629" t="s">
        <v>263</v>
      </c>
      <c r="F961" s="630">
        <v>75.308999999999997</v>
      </c>
      <c r="G961" s="630">
        <v>75.767300000000006</v>
      </c>
      <c r="H961" s="630">
        <v>16.89</v>
      </c>
      <c r="I961" s="627">
        <v>1050</v>
      </c>
      <c r="J961" s="629" t="s">
        <v>2656</v>
      </c>
    </row>
    <row r="962" spans="1:10">
      <c r="A962" s="627">
        <v>782</v>
      </c>
      <c r="B962" s="628" t="s">
        <v>715</v>
      </c>
      <c r="C962" s="629" t="s">
        <v>93</v>
      </c>
      <c r="D962" s="629" t="s">
        <v>2654</v>
      </c>
      <c r="E962" s="629" t="s">
        <v>263</v>
      </c>
      <c r="F962" s="630">
        <v>58.757399999999997</v>
      </c>
      <c r="G962" s="630">
        <v>60.641800000000003</v>
      </c>
      <c r="H962" s="630">
        <v>17.07</v>
      </c>
      <c r="I962" s="627">
        <v>3880</v>
      </c>
      <c r="J962" s="629" t="s">
        <v>2656</v>
      </c>
    </row>
    <row r="963" spans="1:10">
      <c r="A963" s="627">
        <v>783</v>
      </c>
      <c r="B963" s="628" t="s">
        <v>716</v>
      </c>
      <c r="C963" s="629" t="s">
        <v>94</v>
      </c>
      <c r="D963" s="629" t="s">
        <v>2654</v>
      </c>
      <c r="E963" s="629" t="s">
        <v>263</v>
      </c>
      <c r="F963" s="630">
        <v>58.986499999999999</v>
      </c>
      <c r="G963" s="630">
        <v>65.004000000000005</v>
      </c>
      <c r="H963" s="630">
        <v>17.100000000000001</v>
      </c>
      <c r="I963" s="627">
        <v>4071</v>
      </c>
      <c r="J963" s="629" t="s">
        <v>2656</v>
      </c>
    </row>
    <row r="964" spans="1:10">
      <c r="A964" s="627">
        <v>784</v>
      </c>
      <c r="B964" s="628" t="s">
        <v>717</v>
      </c>
      <c r="C964" s="629" t="s">
        <v>61</v>
      </c>
      <c r="D964" s="629" t="s">
        <v>2654</v>
      </c>
      <c r="E964" s="629" t="s">
        <v>263</v>
      </c>
      <c r="F964" s="630">
        <v>56.507199999999997</v>
      </c>
      <c r="G964" s="630">
        <v>59.196100000000001</v>
      </c>
      <c r="H964" s="630">
        <v>17.03</v>
      </c>
      <c r="I964" s="627">
        <v>2344</v>
      </c>
      <c r="J964" s="629" t="s">
        <v>2656</v>
      </c>
    </row>
    <row r="965" spans="1:10">
      <c r="A965" s="627">
        <v>785</v>
      </c>
      <c r="B965" s="628" t="s">
        <v>718</v>
      </c>
      <c r="C965" s="629" t="s">
        <v>74</v>
      </c>
      <c r="D965" s="629" t="s">
        <v>2654</v>
      </c>
      <c r="E965" s="629" t="s">
        <v>263</v>
      </c>
      <c r="F965" s="630">
        <v>60.849699999999999</v>
      </c>
      <c r="G965" s="630">
        <v>64.391499999999994</v>
      </c>
      <c r="H965" s="630">
        <v>17.05</v>
      </c>
      <c r="I965" s="627">
        <v>3082</v>
      </c>
      <c r="J965" s="629" t="s">
        <v>2656</v>
      </c>
    </row>
    <row r="966" spans="1:10">
      <c r="A966" s="627">
        <v>786</v>
      </c>
      <c r="B966" s="628" t="s">
        <v>719</v>
      </c>
      <c r="C966" s="629" t="s">
        <v>81</v>
      </c>
      <c r="D966" s="629" t="s">
        <v>2654</v>
      </c>
      <c r="E966" s="629" t="s">
        <v>263</v>
      </c>
      <c r="F966" s="630">
        <v>59.360199999999999</v>
      </c>
      <c r="G966" s="630">
        <v>65.210999999999999</v>
      </c>
      <c r="H966" s="630">
        <v>17.07</v>
      </c>
      <c r="I966" s="627">
        <v>3339</v>
      </c>
      <c r="J966" s="629" t="s">
        <v>2656</v>
      </c>
    </row>
    <row r="967" spans="1:10">
      <c r="A967" s="627">
        <v>787</v>
      </c>
      <c r="B967" s="628" t="s">
        <v>720</v>
      </c>
      <c r="C967" s="629" t="s">
        <v>72</v>
      </c>
      <c r="D967" s="629" t="s">
        <v>2654</v>
      </c>
      <c r="E967" s="629" t="s">
        <v>263</v>
      </c>
      <c r="F967" s="630">
        <v>52.858400000000003</v>
      </c>
      <c r="G967" s="630">
        <v>59.441699999999997</v>
      </c>
      <c r="H967" s="630">
        <v>17.09</v>
      </c>
      <c r="I967" s="627">
        <v>4740</v>
      </c>
      <c r="J967" s="629" t="s">
        <v>2656</v>
      </c>
    </row>
    <row r="968" spans="1:10">
      <c r="A968" s="627">
        <v>788</v>
      </c>
      <c r="B968" s="628" t="s">
        <v>721</v>
      </c>
      <c r="C968" s="629" t="s">
        <v>722</v>
      </c>
      <c r="D968" s="629" t="s">
        <v>2654</v>
      </c>
      <c r="E968" s="629" t="s">
        <v>263</v>
      </c>
      <c r="F968" s="630">
        <v>54.579599999999999</v>
      </c>
      <c r="G968" s="630">
        <v>56.551099999999998</v>
      </c>
      <c r="H968" s="630">
        <v>17.09</v>
      </c>
      <c r="I968" s="627">
        <v>4955</v>
      </c>
      <c r="J968" s="629" t="s">
        <v>2656</v>
      </c>
    </row>
    <row r="969" spans="1:10">
      <c r="A969" s="627">
        <v>789</v>
      </c>
      <c r="B969" s="628" t="s">
        <v>723</v>
      </c>
      <c r="C969" s="629" t="s">
        <v>724</v>
      </c>
      <c r="D969" s="629" t="s">
        <v>2654</v>
      </c>
      <c r="E969" s="629" t="s">
        <v>263</v>
      </c>
      <c r="F969" s="630">
        <v>54.0809</v>
      </c>
      <c r="G969" s="630">
        <v>59.5214</v>
      </c>
      <c r="H969" s="630">
        <v>17.100000000000001</v>
      </c>
      <c r="I969" s="627">
        <v>5166</v>
      </c>
      <c r="J969" s="629" t="s">
        <v>2656</v>
      </c>
    </row>
    <row r="970" spans="1:10">
      <c r="A970" s="627">
        <v>790</v>
      </c>
      <c r="B970" s="628" t="s">
        <v>725</v>
      </c>
      <c r="C970" s="629" t="s">
        <v>726</v>
      </c>
      <c r="D970" s="629" t="s">
        <v>2654</v>
      </c>
      <c r="E970" s="629" t="s">
        <v>263</v>
      </c>
      <c r="F970" s="630">
        <v>53.0199</v>
      </c>
      <c r="G970" s="630">
        <v>53.596600000000002</v>
      </c>
      <c r="H970" s="630">
        <v>17.100000000000001</v>
      </c>
      <c r="I970" s="627">
        <v>6816</v>
      </c>
      <c r="J970" s="629" t="s">
        <v>2656</v>
      </c>
    </row>
    <row r="971" spans="1:10">
      <c r="A971" s="627">
        <v>791</v>
      </c>
      <c r="B971" s="628" t="s">
        <v>1096</v>
      </c>
      <c r="C971" s="629" t="s">
        <v>1097</v>
      </c>
      <c r="D971" s="629" t="s">
        <v>2654</v>
      </c>
      <c r="E971" s="629" t="s">
        <v>263</v>
      </c>
      <c r="F971" s="630">
        <v>99.723100000000002</v>
      </c>
      <c r="G971" s="630">
        <v>99.723100000000002</v>
      </c>
      <c r="H971" s="630">
        <v>15.515000000000001</v>
      </c>
      <c r="I971" s="627">
        <v>1960</v>
      </c>
      <c r="J971" s="629" t="s">
        <v>2656</v>
      </c>
    </row>
    <row r="972" spans="1:10">
      <c r="A972" s="627">
        <v>792</v>
      </c>
      <c r="B972" s="628" t="s">
        <v>2049</v>
      </c>
      <c r="C972" s="629" t="s">
        <v>2050</v>
      </c>
      <c r="D972" s="629" t="s">
        <v>2651</v>
      </c>
      <c r="E972" s="629" t="s">
        <v>2051</v>
      </c>
      <c r="F972" s="630">
        <v>108001.02960000002</v>
      </c>
      <c r="G972" s="630">
        <v>108001.02960000002</v>
      </c>
      <c r="H972" s="630">
        <v>0</v>
      </c>
      <c r="I972" s="627">
        <v>0</v>
      </c>
      <c r="J972" s="629" t="s">
        <v>2653</v>
      </c>
    </row>
    <row r="973" spans="1:10">
      <c r="A973" s="627">
        <v>793</v>
      </c>
      <c r="B973" s="628" t="s">
        <v>2052</v>
      </c>
      <c r="C973" s="629" t="s">
        <v>2053</v>
      </c>
      <c r="D973" s="629" t="s">
        <v>2651</v>
      </c>
      <c r="E973" s="629" t="s">
        <v>2777</v>
      </c>
      <c r="F973" s="630">
        <v>490.7490208000001</v>
      </c>
      <c r="G973" s="630">
        <v>490.7490208000001</v>
      </c>
      <c r="H973" s="630">
        <v>0</v>
      </c>
      <c r="I973" s="627">
        <v>1988</v>
      </c>
      <c r="J973" s="629" t="s">
        <v>2653</v>
      </c>
    </row>
    <row r="974" spans="1:10">
      <c r="A974" s="627">
        <v>794</v>
      </c>
      <c r="B974" s="628" t="s">
        <v>2054</v>
      </c>
      <c r="C974" s="629" t="s">
        <v>2055</v>
      </c>
      <c r="D974" s="629" t="s">
        <v>2651</v>
      </c>
      <c r="E974" s="629" t="s">
        <v>2056</v>
      </c>
      <c r="F974" s="630">
        <v>9585.5720000000019</v>
      </c>
      <c r="G974" s="630">
        <v>9585.5720000000019</v>
      </c>
      <c r="H974" s="630">
        <v>0</v>
      </c>
      <c r="I974" s="627">
        <v>0</v>
      </c>
      <c r="J974" s="629" t="s">
        <v>2653</v>
      </c>
    </row>
    <row r="975" spans="1:10">
      <c r="A975" s="627">
        <v>795</v>
      </c>
      <c r="B975" s="628" t="s">
        <v>727</v>
      </c>
      <c r="C975" s="629" t="s">
        <v>728</v>
      </c>
      <c r="D975" s="629" t="s">
        <v>2654</v>
      </c>
      <c r="E975" s="629" t="s">
        <v>729</v>
      </c>
      <c r="F975" s="630">
        <v>81.051025157451775</v>
      </c>
      <c r="G975" s="630">
        <v>84.784325157451775</v>
      </c>
      <c r="H975" s="630">
        <v>19.399999999999999</v>
      </c>
      <c r="I975" s="627">
        <v>1328</v>
      </c>
      <c r="J975" s="629" t="s">
        <v>2656</v>
      </c>
    </row>
    <row r="976" spans="1:10">
      <c r="A976" s="627">
        <v>796</v>
      </c>
      <c r="B976" s="628" t="s">
        <v>730</v>
      </c>
      <c r="C976" s="629" t="s">
        <v>731</v>
      </c>
      <c r="D976" s="629" t="s">
        <v>2654</v>
      </c>
      <c r="E976" s="629" t="s">
        <v>729</v>
      </c>
      <c r="F976" s="630">
        <v>99.765600000000006</v>
      </c>
      <c r="G976" s="630">
        <v>100.2281</v>
      </c>
      <c r="H976" s="630">
        <v>18.989999999999998</v>
      </c>
      <c r="I976" s="627">
        <v>171</v>
      </c>
      <c r="J976" s="629" t="s">
        <v>2656</v>
      </c>
    </row>
    <row r="977" spans="1:10">
      <c r="A977" s="627">
        <v>797</v>
      </c>
      <c r="B977" s="628" t="s">
        <v>1098</v>
      </c>
      <c r="C977" s="629" t="s">
        <v>1099</v>
      </c>
      <c r="D977" s="629" t="s">
        <v>2654</v>
      </c>
      <c r="E977" s="629" t="s">
        <v>729</v>
      </c>
      <c r="F977" s="630">
        <v>99.79125855692881</v>
      </c>
      <c r="G977" s="630">
        <v>102.14405855692881</v>
      </c>
      <c r="H977" s="630">
        <v>11.62</v>
      </c>
      <c r="I977" s="627">
        <v>103</v>
      </c>
      <c r="J977" s="629" t="s">
        <v>2656</v>
      </c>
    </row>
    <row r="978" spans="1:10">
      <c r="A978" s="627">
        <v>798</v>
      </c>
      <c r="B978" s="628" t="s">
        <v>2510</v>
      </c>
      <c r="C978" s="629" t="s">
        <v>2511</v>
      </c>
      <c r="D978" s="629" t="s">
        <v>2654</v>
      </c>
      <c r="E978" s="629" t="s">
        <v>729</v>
      </c>
      <c r="F978" s="630">
        <v>99.837857180674362</v>
      </c>
      <c r="G978" s="630">
        <v>104.39065718067437</v>
      </c>
      <c r="H978" s="630">
        <v>11.25</v>
      </c>
      <c r="I978" s="627">
        <v>211</v>
      </c>
      <c r="J978" s="629" t="s">
        <v>2656</v>
      </c>
    </row>
    <row r="979" spans="1:10">
      <c r="A979" s="627">
        <v>799</v>
      </c>
      <c r="B979" s="628" t="s">
        <v>3044</v>
      </c>
      <c r="C979" s="629" t="s">
        <v>3045</v>
      </c>
      <c r="D979" s="629" t="s">
        <v>2654</v>
      </c>
      <c r="E979" s="629" t="s">
        <v>729</v>
      </c>
      <c r="F979" s="630">
        <v>99.979100000000003</v>
      </c>
      <c r="G979" s="630">
        <v>101.018</v>
      </c>
      <c r="H979" s="630">
        <v>11</v>
      </c>
      <c r="I979" s="627">
        <v>326</v>
      </c>
      <c r="J979" s="629" t="s">
        <v>2656</v>
      </c>
    </row>
    <row r="980" spans="1:10">
      <c r="A980" s="627">
        <v>800</v>
      </c>
      <c r="B980" s="628" t="s">
        <v>2057</v>
      </c>
      <c r="C980" s="629" t="s">
        <v>2058</v>
      </c>
      <c r="D980" s="629" t="s">
        <v>2654</v>
      </c>
      <c r="E980" s="629" t="s">
        <v>729</v>
      </c>
      <c r="F980" s="630">
        <v>99.819462582580542</v>
      </c>
      <c r="G980" s="630">
        <v>103.66946258258055</v>
      </c>
      <c r="H980" s="630">
        <v>11.68</v>
      </c>
      <c r="I980" s="627">
        <v>48</v>
      </c>
      <c r="J980" s="629" t="s">
        <v>2656</v>
      </c>
    </row>
    <row r="981" spans="1:10">
      <c r="A981" s="627">
        <v>801</v>
      </c>
      <c r="B981" s="628" t="s">
        <v>2059</v>
      </c>
      <c r="C981" s="629" t="s">
        <v>2060</v>
      </c>
      <c r="D981" s="629" t="s">
        <v>2654</v>
      </c>
      <c r="E981" s="629" t="s">
        <v>729</v>
      </c>
      <c r="F981" s="630">
        <v>97.045123150282862</v>
      </c>
      <c r="G981" s="630">
        <v>100.43402315028287</v>
      </c>
      <c r="H981" s="630">
        <v>10.99</v>
      </c>
      <c r="I981" s="627">
        <v>1318</v>
      </c>
      <c r="J981" s="629" t="s">
        <v>2656</v>
      </c>
    </row>
    <row r="982" spans="1:10">
      <c r="A982" s="627">
        <v>802</v>
      </c>
      <c r="B982" s="628" t="s">
        <v>2061</v>
      </c>
      <c r="C982" s="629" t="s">
        <v>2062</v>
      </c>
      <c r="D982" s="629" t="s">
        <v>2651</v>
      </c>
      <c r="E982" s="629" t="s">
        <v>2063</v>
      </c>
      <c r="F982" s="630">
        <v>49788.509600000012</v>
      </c>
      <c r="G982" s="630">
        <v>49788.509600000012</v>
      </c>
      <c r="H982" s="630">
        <v>0</v>
      </c>
      <c r="I982" s="627">
        <v>0</v>
      </c>
      <c r="J982" s="629" t="s">
        <v>2653</v>
      </c>
    </row>
    <row r="983" spans="1:10">
      <c r="A983" s="627">
        <v>803</v>
      </c>
      <c r="B983" s="628" t="s">
        <v>2064</v>
      </c>
      <c r="C983" s="629" t="s">
        <v>2065</v>
      </c>
      <c r="D983" s="629" t="s">
        <v>2651</v>
      </c>
      <c r="E983" s="629" t="s">
        <v>2066</v>
      </c>
      <c r="F983" s="630">
        <v>642628.57760000008</v>
      </c>
      <c r="G983" s="630">
        <v>642628.57760000008</v>
      </c>
      <c r="H983" s="630">
        <v>0</v>
      </c>
      <c r="I983" s="627">
        <v>0</v>
      </c>
      <c r="J983" s="629" t="s">
        <v>2653</v>
      </c>
    </row>
    <row r="984" spans="1:10">
      <c r="A984" s="627">
        <v>804</v>
      </c>
      <c r="B984" s="628" t="s">
        <v>2067</v>
      </c>
      <c r="C984" s="629" t="s">
        <v>2068</v>
      </c>
      <c r="D984" s="629" t="s">
        <v>2654</v>
      </c>
      <c r="E984" s="629" t="s">
        <v>2778</v>
      </c>
      <c r="F984" s="630">
        <v>92.487007504431617</v>
      </c>
      <c r="G984" s="630">
        <v>98.450907504431612</v>
      </c>
      <c r="H984" s="630">
        <v>23.51</v>
      </c>
      <c r="I984" s="627">
        <v>787</v>
      </c>
      <c r="J984" s="629" t="s">
        <v>2656</v>
      </c>
    </row>
    <row r="985" spans="1:10">
      <c r="A985" s="627">
        <v>805</v>
      </c>
      <c r="B985" s="628" t="s">
        <v>2069</v>
      </c>
      <c r="C985" s="629" t="s">
        <v>2070</v>
      </c>
      <c r="D985" s="629" t="s">
        <v>2651</v>
      </c>
      <c r="E985" s="629" t="s">
        <v>2071</v>
      </c>
      <c r="F985" s="630">
        <v>36083.696000000004</v>
      </c>
      <c r="G985" s="630">
        <v>36083.696000000004</v>
      </c>
      <c r="H985" s="630">
        <v>0</v>
      </c>
      <c r="I985" s="627">
        <v>0</v>
      </c>
      <c r="J985" s="629" t="s">
        <v>2653</v>
      </c>
    </row>
    <row r="986" spans="1:10">
      <c r="A986" s="627">
        <v>806</v>
      </c>
      <c r="B986" s="628" t="s">
        <v>2072</v>
      </c>
      <c r="C986" s="629" t="s">
        <v>2073</v>
      </c>
      <c r="D986" s="629" t="s">
        <v>2651</v>
      </c>
      <c r="E986" s="629" t="s">
        <v>2779</v>
      </c>
      <c r="F986" s="630">
        <v>6751.38</v>
      </c>
      <c r="G986" s="630">
        <v>6751.38</v>
      </c>
      <c r="H986" s="630">
        <v>0</v>
      </c>
      <c r="I986" s="627">
        <v>0</v>
      </c>
      <c r="J986" s="629" t="s">
        <v>2653</v>
      </c>
    </row>
    <row r="987" spans="1:10">
      <c r="A987" s="627">
        <v>807</v>
      </c>
      <c r="B987" s="628" t="s">
        <v>2074</v>
      </c>
      <c r="C987" s="629" t="s">
        <v>2075</v>
      </c>
      <c r="D987" s="629" t="s">
        <v>2651</v>
      </c>
      <c r="E987" s="629" t="s">
        <v>2779</v>
      </c>
      <c r="F987" s="630">
        <v>88.363100000000003</v>
      </c>
      <c r="G987" s="630">
        <v>88.363100000000003</v>
      </c>
      <c r="H987" s="630">
        <v>0</v>
      </c>
      <c r="I987" s="627">
        <v>817</v>
      </c>
      <c r="J987" s="629" t="s">
        <v>2653</v>
      </c>
    </row>
    <row r="988" spans="1:10">
      <c r="A988" s="627">
        <v>808</v>
      </c>
      <c r="B988" s="628" t="s">
        <v>2076</v>
      </c>
      <c r="C988" s="629" t="s">
        <v>2077</v>
      </c>
      <c r="D988" s="629" t="s">
        <v>2651</v>
      </c>
      <c r="E988" s="629" t="s">
        <v>2779</v>
      </c>
      <c r="F988" s="630">
        <v>0.01</v>
      </c>
      <c r="G988" s="630">
        <v>0.01</v>
      </c>
      <c r="H988" s="630">
        <v>0</v>
      </c>
      <c r="I988" s="627">
        <v>0</v>
      </c>
      <c r="J988" s="629" t="s">
        <v>2653</v>
      </c>
    </row>
    <row r="989" spans="1:10">
      <c r="A989" s="627">
        <v>809</v>
      </c>
      <c r="B989" s="628" t="s">
        <v>2078</v>
      </c>
      <c r="C989" s="629" t="s">
        <v>2079</v>
      </c>
      <c r="D989" s="629" t="s">
        <v>2651</v>
      </c>
      <c r="E989" s="629" t="s">
        <v>2779</v>
      </c>
      <c r="F989" s="630">
        <v>0.01</v>
      </c>
      <c r="G989" s="630">
        <v>0.01</v>
      </c>
      <c r="H989" s="630">
        <v>0</v>
      </c>
      <c r="I989" s="627">
        <v>0</v>
      </c>
      <c r="J989" s="629" t="s">
        <v>2653</v>
      </c>
    </row>
    <row r="990" spans="1:10">
      <c r="A990" s="627">
        <v>810</v>
      </c>
      <c r="B990" s="628" t="s">
        <v>2080</v>
      </c>
      <c r="C990" s="629" t="s">
        <v>2081</v>
      </c>
      <c r="D990" s="629" t="s">
        <v>2654</v>
      </c>
      <c r="E990" s="629" t="s">
        <v>2779</v>
      </c>
      <c r="F990" s="630">
        <v>97.442911369064745</v>
      </c>
      <c r="G990" s="630">
        <v>99.055011369064744</v>
      </c>
      <c r="H990" s="630">
        <v>18.62</v>
      </c>
      <c r="I990" s="627">
        <v>127</v>
      </c>
      <c r="J990" s="629" t="s">
        <v>2656</v>
      </c>
    </row>
    <row r="991" spans="1:10">
      <c r="A991" s="627">
        <v>811</v>
      </c>
      <c r="B991" s="628" t="s">
        <v>2082</v>
      </c>
      <c r="C991" s="629" t="s">
        <v>2083</v>
      </c>
      <c r="D991" s="629" t="s">
        <v>2654</v>
      </c>
      <c r="E991" s="629" t="s">
        <v>2779</v>
      </c>
      <c r="F991" s="630">
        <v>35.372954815112834</v>
      </c>
      <c r="G991" s="630">
        <v>37.272954815112833</v>
      </c>
      <c r="H991" s="630">
        <v>19.309999999999999</v>
      </c>
      <c r="I991" s="627">
        <v>3429</v>
      </c>
      <c r="J991" s="629" t="s">
        <v>2656</v>
      </c>
    </row>
    <row r="992" spans="1:10">
      <c r="A992" s="627">
        <v>812</v>
      </c>
      <c r="B992" s="628" t="s">
        <v>2084</v>
      </c>
      <c r="C992" s="629" t="s">
        <v>2085</v>
      </c>
      <c r="D992" s="629" t="s">
        <v>2651</v>
      </c>
      <c r="E992" s="629" t="s">
        <v>2779</v>
      </c>
      <c r="F992" s="630">
        <v>11898.67</v>
      </c>
      <c r="G992" s="630">
        <v>11898.67</v>
      </c>
      <c r="H992" s="630">
        <v>0</v>
      </c>
      <c r="I992" s="627">
        <v>0</v>
      </c>
      <c r="J992" s="629" t="s">
        <v>2653</v>
      </c>
    </row>
    <row r="993" spans="1:10">
      <c r="A993" s="627">
        <v>813</v>
      </c>
      <c r="B993" s="628" t="s">
        <v>2086</v>
      </c>
      <c r="C993" s="629" t="s">
        <v>2087</v>
      </c>
      <c r="D993" s="629" t="s">
        <v>2654</v>
      </c>
      <c r="E993" s="629" t="s">
        <v>2682</v>
      </c>
      <c r="F993" s="630">
        <v>100</v>
      </c>
      <c r="G993" s="630">
        <v>106.9619</v>
      </c>
      <c r="H993" s="630">
        <v>7.08</v>
      </c>
      <c r="I993" s="627">
        <v>2137</v>
      </c>
      <c r="J993" s="629" t="s">
        <v>2656</v>
      </c>
    </row>
    <row r="994" spans="1:10">
      <c r="A994" s="627">
        <v>814</v>
      </c>
      <c r="B994" s="628" t="s">
        <v>2088</v>
      </c>
      <c r="C994" s="629" t="s">
        <v>2089</v>
      </c>
      <c r="D994" s="629" t="s">
        <v>2654</v>
      </c>
      <c r="E994" s="629" t="s">
        <v>2682</v>
      </c>
      <c r="F994" s="630">
        <v>100</v>
      </c>
      <c r="G994" s="630">
        <v>101.1183</v>
      </c>
      <c r="H994" s="630">
        <v>6.08</v>
      </c>
      <c r="I994" s="627">
        <v>2064</v>
      </c>
      <c r="J994" s="629" t="s">
        <v>2656</v>
      </c>
    </row>
    <row r="995" spans="1:10">
      <c r="A995" s="627">
        <v>815</v>
      </c>
      <c r="B995" s="628" t="s">
        <v>2090</v>
      </c>
      <c r="C995" s="629" t="s">
        <v>2091</v>
      </c>
      <c r="D995" s="629" t="s">
        <v>2654</v>
      </c>
      <c r="E995" s="629" t="s">
        <v>2682</v>
      </c>
      <c r="F995" s="630">
        <v>100</v>
      </c>
      <c r="G995" s="630">
        <v>106.06610000000001</v>
      </c>
      <c r="H995" s="630">
        <v>6.09</v>
      </c>
      <c r="I995" s="627">
        <v>2492</v>
      </c>
      <c r="J995" s="629" t="s">
        <v>2656</v>
      </c>
    </row>
    <row r="996" spans="1:10">
      <c r="A996" s="627">
        <v>816</v>
      </c>
      <c r="B996" s="628" t="s">
        <v>2092</v>
      </c>
      <c r="C996" s="629" t="s">
        <v>2093</v>
      </c>
      <c r="D996" s="629" t="s">
        <v>2654</v>
      </c>
      <c r="E996" s="629" t="s">
        <v>2682</v>
      </c>
      <c r="F996" s="630">
        <v>100</v>
      </c>
      <c r="G996" s="630">
        <v>106.06610000000001</v>
      </c>
      <c r="H996" s="630">
        <v>6.09</v>
      </c>
      <c r="I996" s="627">
        <v>2492</v>
      </c>
      <c r="J996" s="629" t="s">
        <v>2656</v>
      </c>
    </row>
    <row r="997" spans="1:10">
      <c r="A997" s="627">
        <v>817</v>
      </c>
      <c r="B997" s="628" t="s">
        <v>2094</v>
      </c>
      <c r="C997" s="629" t="s">
        <v>2095</v>
      </c>
      <c r="D997" s="629" t="s">
        <v>2654</v>
      </c>
      <c r="E997" s="629" t="s">
        <v>2682</v>
      </c>
      <c r="F997" s="630">
        <v>100</v>
      </c>
      <c r="G997" s="630">
        <v>104.9308</v>
      </c>
      <c r="H997" s="630">
        <v>6.08</v>
      </c>
      <c r="I997" s="627">
        <v>2559</v>
      </c>
      <c r="J997" s="629" t="s">
        <v>2656</v>
      </c>
    </row>
    <row r="998" spans="1:10">
      <c r="A998" s="627">
        <v>818</v>
      </c>
      <c r="B998" s="628" t="s">
        <v>3172</v>
      </c>
      <c r="C998" s="629" t="s">
        <v>3171</v>
      </c>
      <c r="D998" s="629" t="s">
        <v>2654</v>
      </c>
      <c r="E998" s="629" t="s">
        <v>732</v>
      </c>
      <c r="F998" s="630">
        <v>99.016400000000004</v>
      </c>
      <c r="G998" s="630">
        <v>99.016400000000004</v>
      </c>
      <c r="H998" s="630">
        <v>15.76</v>
      </c>
      <c r="I998" s="627">
        <v>23</v>
      </c>
      <c r="J998" s="629" t="s">
        <v>2656</v>
      </c>
    </row>
    <row r="999" spans="1:10">
      <c r="A999" s="627">
        <v>819</v>
      </c>
      <c r="B999" s="628" t="s">
        <v>2096</v>
      </c>
      <c r="C999" s="629" t="s">
        <v>2097</v>
      </c>
      <c r="D999" s="629" t="s">
        <v>2651</v>
      </c>
      <c r="E999" s="629" t="s">
        <v>2098</v>
      </c>
      <c r="F999" s="630">
        <v>98574.096800000014</v>
      </c>
      <c r="G999" s="630">
        <v>98574.096800000014</v>
      </c>
      <c r="H999" s="630">
        <v>0</v>
      </c>
      <c r="I999" s="627">
        <v>0</v>
      </c>
      <c r="J999" s="629" t="s">
        <v>2653</v>
      </c>
    </row>
    <row r="1000" spans="1:10">
      <c r="A1000" s="627">
        <v>820</v>
      </c>
      <c r="B1000" s="628" t="s">
        <v>2099</v>
      </c>
      <c r="C1000" s="629" t="s">
        <v>2100</v>
      </c>
      <c r="D1000" s="629" t="s">
        <v>2654</v>
      </c>
      <c r="E1000" s="629" t="s">
        <v>2780</v>
      </c>
      <c r="F1000" s="630">
        <v>101.60250905035802</v>
      </c>
      <c r="G1000" s="630">
        <v>105.81920905035803</v>
      </c>
      <c r="H1000" s="630">
        <v>5.68</v>
      </c>
      <c r="I1000" s="627">
        <v>2267</v>
      </c>
      <c r="J1000" s="629" t="s">
        <v>2656</v>
      </c>
    </row>
    <row r="1001" spans="1:10">
      <c r="A1001" s="627">
        <v>821</v>
      </c>
      <c r="B1001" s="628" t="s">
        <v>2101</v>
      </c>
      <c r="C1001" s="629" t="s">
        <v>2102</v>
      </c>
      <c r="D1001" s="629" t="s">
        <v>2654</v>
      </c>
      <c r="E1001" s="629" t="s">
        <v>2781</v>
      </c>
      <c r="F1001" s="630">
        <v>105.459</v>
      </c>
      <c r="G1001" s="630">
        <v>106.7757</v>
      </c>
      <c r="H1001" s="630">
        <v>4.41</v>
      </c>
      <c r="I1001" s="627">
        <v>1361</v>
      </c>
      <c r="J1001" s="629" t="s">
        <v>2656</v>
      </c>
    </row>
    <row r="1002" spans="1:10">
      <c r="A1002" s="627">
        <v>822</v>
      </c>
      <c r="B1002" s="628" t="s">
        <v>2103</v>
      </c>
      <c r="C1002" s="629" t="s">
        <v>2104</v>
      </c>
      <c r="D1002" s="629" t="s">
        <v>2654</v>
      </c>
      <c r="E1002" s="629" t="s">
        <v>2782</v>
      </c>
      <c r="F1002" s="630">
        <v>100.04817586470641</v>
      </c>
      <c r="G1002" s="630">
        <v>100.48147586470641</v>
      </c>
      <c r="H1002" s="630">
        <v>19.14</v>
      </c>
      <c r="I1002" s="627">
        <v>52</v>
      </c>
      <c r="J1002" s="629" t="s">
        <v>2656</v>
      </c>
    </row>
    <row r="1003" spans="1:10">
      <c r="A1003" s="627">
        <v>823</v>
      </c>
      <c r="B1003" s="628" t="s">
        <v>2105</v>
      </c>
      <c r="C1003" s="629" t="s">
        <v>2106</v>
      </c>
      <c r="D1003" s="629" t="s">
        <v>2654</v>
      </c>
      <c r="E1003" s="629" t="s">
        <v>2782</v>
      </c>
      <c r="F1003" s="630">
        <v>100.39239914688316</v>
      </c>
      <c r="G1003" s="630">
        <v>101.28129914688317</v>
      </c>
      <c r="H1003" s="630">
        <v>18.89</v>
      </c>
      <c r="I1003" s="627">
        <v>134</v>
      </c>
      <c r="J1003" s="629" t="s">
        <v>2656</v>
      </c>
    </row>
    <row r="1004" spans="1:10">
      <c r="A1004" s="627">
        <v>824</v>
      </c>
      <c r="B1004" s="628" t="s">
        <v>2504</v>
      </c>
      <c r="C1004" s="629" t="s">
        <v>2505</v>
      </c>
      <c r="D1004" s="629" t="s">
        <v>2654</v>
      </c>
      <c r="E1004" s="629" t="s">
        <v>2782</v>
      </c>
      <c r="F1004" s="630">
        <v>100.50808597618388</v>
      </c>
      <c r="G1004" s="630">
        <v>102.06368597618389</v>
      </c>
      <c r="H1004" s="630">
        <v>18.940000000000001</v>
      </c>
      <c r="I1004" s="627">
        <v>182</v>
      </c>
      <c r="J1004" s="629" t="s">
        <v>2656</v>
      </c>
    </row>
    <row r="1005" spans="1:10">
      <c r="A1005" s="627">
        <v>825</v>
      </c>
      <c r="B1005" s="628" t="s">
        <v>2107</v>
      </c>
      <c r="C1005" s="629" t="s">
        <v>2108</v>
      </c>
      <c r="D1005" s="629" t="s">
        <v>2651</v>
      </c>
      <c r="E1005" s="629" t="s">
        <v>2109</v>
      </c>
      <c r="F1005" s="630">
        <v>157383.53040000002</v>
      </c>
      <c r="G1005" s="630">
        <v>157383.53040000002</v>
      </c>
      <c r="H1005" s="630">
        <v>0</v>
      </c>
      <c r="I1005" s="627">
        <v>0</v>
      </c>
      <c r="J1005" s="629" t="s">
        <v>2653</v>
      </c>
    </row>
    <row r="1006" spans="1:10">
      <c r="A1006" s="627">
        <v>826</v>
      </c>
      <c r="B1006" s="628" t="s">
        <v>2110</v>
      </c>
      <c r="C1006" s="629" t="s">
        <v>2111</v>
      </c>
      <c r="D1006" s="629" t="s">
        <v>2654</v>
      </c>
      <c r="E1006" s="629" t="s">
        <v>2783</v>
      </c>
      <c r="F1006" s="630">
        <v>85.911616565125314</v>
      </c>
      <c r="G1006" s="630">
        <v>96.774116565125325</v>
      </c>
      <c r="H1006" s="630">
        <v>23.73</v>
      </c>
      <c r="I1006" s="627">
        <v>3105</v>
      </c>
      <c r="J1006" s="629" t="s">
        <v>2656</v>
      </c>
    </row>
    <row r="1007" spans="1:10">
      <c r="A1007" s="627">
        <v>827</v>
      </c>
      <c r="B1007" s="628" t="s">
        <v>2112</v>
      </c>
      <c r="C1007" s="629" t="s">
        <v>2113</v>
      </c>
      <c r="D1007" s="629" t="s">
        <v>2654</v>
      </c>
      <c r="E1007" s="629" t="s">
        <v>2784</v>
      </c>
      <c r="F1007" s="630">
        <v>95.766818117620389</v>
      </c>
      <c r="G1007" s="630">
        <v>98.450118117620391</v>
      </c>
      <c r="H1007" s="630">
        <v>16.7</v>
      </c>
      <c r="I1007" s="627">
        <v>268</v>
      </c>
      <c r="J1007" s="629" t="s">
        <v>2656</v>
      </c>
    </row>
    <row r="1008" spans="1:10">
      <c r="A1008" s="627">
        <v>828</v>
      </c>
      <c r="B1008" s="628" t="s">
        <v>2114</v>
      </c>
      <c r="C1008" s="629" t="s">
        <v>2115</v>
      </c>
      <c r="D1008" s="629" t="s">
        <v>2654</v>
      </c>
      <c r="E1008" s="629" t="s">
        <v>2784</v>
      </c>
      <c r="F1008" s="630">
        <v>89.730837511593734</v>
      </c>
      <c r="G1008" s="630">
        <v>94.776637511593734</v>
      </c>
      <c r="H1008" s="630">
        <v>16.690000000000001</v>
      </c>
      <c r="I1008" s="627">
        <v>727</v>
      </c>
      <c r="J1008" s="629" t="s">
        <v>2656</v>
      </c>
    </row>
    <row r="1009" spans="1:10">
      <c r="A1009" s="627">
        <v>829</v>
      </c>
      <c r="B1009" s="628" t="s">
        <v>2116</v>
      </c>
      <c r="C1009" s="629" t="s">
        <v>2117</v>
      </c>
      <c r="D1009" s="629" t="s">
        <v>2651</v>
      </c>
      <c r="E1009" s="629" t="s">
        <v>2118</v>
      </c>
      <c r="F1009" s="630">
        <v>21846.500000000004</v>
      </c>
      <c r="G1009" s="630">
        <v>21846.500000000004</v>
      </c>
      <c r="H1009" s="630">
        <v>0</v>
      </c>
      <c r="I1009" s="627">
        <v>0</v>
      </c>
      <c r="J1009" s="629" t="s">
        <v>2653</v>
      </c>
    </row>
    <row r="1010" spans="1:10">
      <c r="A1010" s="627">
        <v>830</v>
      </c>
      <c r="B1010" s="628" t="s">
        <v>2119</v>
      </c>
      <c r="C1010" s="629" t="s">
        <v>2120</v>
      </c>
      <c r="D1010" s="629" t="s">
        <v>2654</v>
      </c>
      <c r="E1010" s="629" t="s">
        <v>2785</v>
      </c>
      <c r="F1010" s="630">
        <v>100</v>
      </c>
      <c r="G1010" s="630">
        <v>101.2222</v>
      </c>
      <c r="H1010" s="630">
        <v>9.9700000000000006</v>
      </c>
      <c r="I1010" s="627">
        <v>316</v>
      </c>
      <c r="J1010" s="629" t="s">
        <v>2656</v>
      </c>
    </row>
    <row r="1011" spans="1:10">
      <c r="A1011" s="627">
        <v>831</v>
      </c>
      <c r="B1011" s="628" t="s">
        <v>2121</v>
      </c>
      <c r="C1011" s="629" t="s">
        <v>2122</v>
      </c>
      <c r="D1011" s="629" t="s">
        <v>2654</v>
      </c>
      <c r="E1011" s="629" t="s">
        <v>2786</v>
      </c>
      <c r="F1011" s="630">
        <v>100.53100000000001</v>
      </c>
      <c r="G1011" s="630">
        <v>101.16119999999999</v>
      </c>
      <c r="H1011" s="630">
        <v>3.82</v>
      </c>
      <c r="I1011" s="627">
        <v>665</v>
      </c>
      <c r="J1011" s="629" t="s">
        <v>2656</v>
      </c>
    </row>
    <row r="1012" spans="1:10">
      <c r="A1012" s="627">
        <v>832</v>
      </c>
      <c r="B1012" s="628" t="s">
        <v>2123</v>
      </c>
      <c r="C1012" s="629" t="s">
        <v>2124</v>
      </c>
      <c r="D1012" s="629" t="s">
        <v>2654</v>
      </c>
      <c r="E1012" s="629" t="s">
        <v>2786</v>
      </c>
      <c r="F1012" s="630">
        <v>99.434770391385683</v>
      </c>
      <c r="G1012" s="630">
        <v>100.01287039138569</v>
      </c>
      <c r="H1012" s="630">
        <v>4.5999999999999996</v>
      </c>
      <c r="I1012" s="627">
        <v>93</v>
      </c>
      <c r="J1012" s="629" t="s">
        <v>2656</v>
      </c>
    </row>
    <row r="1013" spans="1:10">
      <c r="A1013" s="627">
        <v>833</v>
      </c>
      <c r="B1013" s="628" t="s">
        <v>2125</v>
      </c>
      <c r="C1013" s="629" t="s">
        <v>2126</v>
      </c>
      <c r="D1013" s="629" t="s">
        <v>2651</v>
      </c>
      <c r="E1013" s="629" t="s">
        <v>2127</v>
      </c>
      <c r="F1013" s="630">
        <v>13046.057600000002</v>
      </c>
      <c r="G1013" s="630">
        <v>13046.057600000002</v>
      </c>
      <c r="H1013" s="630">
        <v>0</v>
      </c>
      <c r="I1013" s="627">
        <v>0</v>
      </c>
      <c r="J1013" s="629" t="s">
        <v>2653</v>
      </c>
    </row>
    <row r="1014" spans="1:10">
      <c r="A1014" s="627">
        <v>834</v>
      </c>
      <c r="B1014" s="628" t="s">
        <v>2128</v>
      </c>
      <c r="C1014" s="629" t="s">
        <v>2129</v>
      </c>
      <c r="D1014" s="629" t="s">
        <v>2697</v>
      </c>
      <c r="E1014" s="629" t="s">
        <v>2130</v>
      </c>
      <c r="F1014" s="630">
        <v>39200.015200000009</v>
      </c>
      <c r="G1014" s="630">
        <v>39200.015200000009</v>
      </c>
      <c r="H1014" s="630">
        <v>0</v>
      </c>
      <c r="I1014" s="627">
        <v>0</v>
      </c>
      <c r="J1014" s="629" t="s">
        <v>2653</v>
      </c>
    </row>
    <row r="1015" spans="1:10">
      <c r="A1015" s="627">
        <v>835</v>
      </c>
      <c r="B1015" s="628" t="s">
        <v>2131</v>
      </c>
      <c r="C1015" s="629" t="s">
        <v>2132</v>
      </c>
      <c r="D1015" s="629" t="s">
        <v>2651</v>
      </c>
      <c r="E1015" s="629" t="s">
        <v>2787</v>
      </c>
      <c r="F1015" s="630">
        <v>0.01</v>
      </c>
      <c r="G1015" s="630">
        <v>0.01</v>
      </c>
      <c r="H1015" s="630">
        <v>0</v>
      </c>
      <c r="I1015" s="627">
        <v>0</v>
      </c>
      <c r="J1015" s="629" t="s">
        <v>2653</v>
      </c>
    </row>
    <row r="1016" spans="1:10">
      <c r="A1016" s="627">
        <v>836</v>
      </c>
      <c r="B1016" s="628" t="s">
        <v>2133</v>
      </c>
      <c r="C1016" s="629" t="s">
        <v>2134</v>
      </c>
      <c r="D1016" s="629" t="s">
        <v>2654</v>
      </c>
      <c r="E1016" s="629" t="s">
        <v>2788</v>
      </c>
      <c r="F1016" s="630">
        <v>98.887</v>
      </c>
      <c r="G1016" s="630">
        <v>99.887</v>
      </c>
      <c r="H1016" s="630">
        <v>4.12</v>
      </c>
      <c r="I1016" s="627">
        <v>1164</v>
      </c>
      <c r="J1016" s="629" t="s">
        <v>2656</v>
      </c>
    </row>
    <row r="1017" spans="1:10">
      <c r="A1017" s="627">
        <v>837</v>
      </c>
      <c r="B1017" s="628" t="s">
        <v>2135</v>
      </c>
      <c r="C1017" s="629" t="s">
        <v>2136</v>
      </c>
      <c r="D1017" s="629" t="s">
        <v>2654</v>
      </c>
      <c r="E1017" s="629" t="s">
        <v>2788</v>
      </c>
      <c r="F1017" s="630">
        <v>97.683000000000007</v>
      </c>
      <c r="G1017" s="630">
        <v>98.341300000000004</v>
      </c>
      <c r="H1017" s="630">
        <v>4.07</v>
      </c>
      <c r="I1017" s="627">
        <v>821</v>
      </c>
      <c r="J1017" s="629" t="s">
        <v>2656</v>
      </c>
    </row>
    <row r="1018" spans="1:10">
      <c r="A1018" s="627">
        <v>838</v>
      </c>
      <c r="B1018" s="628" t="s">
        <v>2137</v>
      </c>
      <c r="C1018" s="629" t="s">
        <v>2138</v>
      </c>
      <c r="D1018" s="629" t="s">
        <v>2654</v>
      </c>
      <c r="E1018" s="629" t="s">
        <v>2789</v>
      </c>
      <c r="F1018" s="630">
        <v>100</v>
      </c>
      <c r="G1018" s="630">
        <v>102.45</v>
      </c>
      <c r="H1018" s="630">
        <v>14</v>
      </c>
      <c r="I1018" s="627">
        <v>1827</v>
      </c>
      <c r="J1018" s="629" t="s">
        <v>2656</v>
      </c>
    </row>
    <row r="1019" spans="1:10">
      <c r="A1019" s="627">
        <v>839</v>
      </c>
      <c r="B1019" s="628" t="s">
        <v>3115</v>
      </c>
      <c r="C1019" s="629" t="s">
        <v>3116</v>
      </c>
      <c r="D1019" s="629" t="s">
        <v>2654</v>
      </c>
      <c r="E1019" s="629" t="s">
        <v>2790</v>
      </c>
      <c r="F1019" s="630">
        <v>100.47917757382997</v>
      </c>
      <c r="G1019" s="630">
        <v>101.79857757382996</v>
      </c>
      <c r="H1019" s="630">
        <v>18.399999999999999</v>
      </c>
      <c r="I1019" s="627">
        <v>335</v>
      </c>
      <c r="J1019" s="629" t="s">
        <v>2656</v>
      </c>
    </row>
    <row r="1020" spans="1:10">
      <c r="A1020" s="627">
        <v>840</v>
      </c>
      <c r="B1020" s="628" t="s">
        <v>2139</v>
      </c>
      <c r="C1020" s="629" t="s">
        <v>2140</v>
      </c>
      <c r="D1020" s="629" t="s">
        <v>2654</v>
      </c>
      <c r="E1020" s="629" t="s">
        <v>2790</v>
      </c>
      <c r="F1020" s="630">
        <v>99.682492328708307</v>
      </c>
      <c r="G1020" s="630">
        <v>103.3324923287083</v>
      </c>
      <c r="H1020" s="630">
        <v>18.420000000000002</v>
      </c>
      <c r="I1020" s="627">
        <v>287</v>
      </c>
      <c r="J1020" s="629" t="s">
        <v>2656</v>
      </c>
    </row>
    <row r="1021" spans="1:10">
      <c r="A1021" s="627">
        <v>841</v>
      </c>
      <c r="B1021" s="628" t="s">
        <v>2141</v>
      </c>
      <c r="C1021" s="629" t="s">
        <v>2142</v>
      </c>
      <c r="D1021" s="629" t="s">
        <v>2654</v>
      </c>
      <c r="E1021" s="629" t="s">
        <v>2790</v>
      </c>
      <c r="F1021" s="630">
        <v>99.682492328708307</v>
      </c>
      <c r="G1021" s="630">
        <v>103.3324923287083</v>
      </c>
      <c r="H1021" s="630">
        <v>18.420000000000002</v>
      </c>
      <c r="I1021" s="627">
        <v>287</v>
      </c>
      <c r="J1021" s="629" t="s">
        <v>2656</v>
      </c>
    </row>
    <row r="1022" spans="1:10">
      <c r="A1022" s="627">
        <v>842</v>
      </c>
      <c r="B1022" s="628" t="s">
        <v>2143</v>
      </c>
      <c r="C1022" s="629" t="s">
        <v>2144</v>
      </c>
      <c r="D1022" s="629" t="s">
        <v>2651</v>
      </c>
      <c r="E1022" s="629" t="s">
        <v>2790</v>
      </c>
      <c r="F1022" s="630">
        <v>1689.67</v>
      </c>
      <c r="G1022" s="630">
        <v>1689.67</v>
      </c>
      <c r="H1022" s="630">
        <v>0</v>
      </c>
      <c r="I1022" s="627">
        <v>157</v>
      </c>
      <c r="J1022" s="629" t="s">
        <v>2653</v>
      </c>
    </row>
    <row r="1023" spans="1:10">
      <c r="A1023" s="627">
        <v>843</v>
      </c>
      <c r="B1023" s="628" t="s">
        <v>2145</v>
      </c>
      <c r="C1023" s="629" t="s">
        <v>2146</v>
      </c>
      <c r="D1023" s="629" t="s">
        <v>2654</v>
      </c>
      <c r="E1023" s="629" t="s">
        <v>2791</v>
      </c>
      <c r="F1023" s="630">
        <v>100</v>
      </c>
      <c r="G1023" s="630">
        <v>100.6965</v>
      </c>
      <c r="H1023" s="630">
        <v>4.24</v>
      </c>
      <c r="I1023" s="627">
        <v>241</v>
      </c>
      <c r="J1023" s="629" t="s">
        <v>2656</v>
      </c>
    </row>
    <row r="1024" spans="1:10">
      <c r="A1024" s="627">
        <v>844</v>
      </c>
      <c r="B1024" s="628" t="s">
        <v>2147</v>
      </c>
      <c r="C1024" s="629" t="s">
        <v>2148</v>
      </c>
      <c r="D1024" s="629" t="s">
        <v>2654</v>
      </c>
      <c r="E1024" s="629" t="s">
        <v>2791</v>
      </c>
      <c r="F1024" s="630">
        <v>100</v>
      </c>
      <c r="G1024" s="630">
        <v>100.1371</v>
      </c>
      <c r="H1024" s="630">
        <v>0.35</v>
      </c>
      <c r="I1024" s="627">
        <v>39</v>
      </c>
      <c r="J1024" s="629" t="s">
        <v>2656</v>
      </c>
    </row>
    <row r="1025" spans="1:10">
      <c r="A1025" s="627">
        <v>845</v>
      </c>
      <c r="B1025" s="628" t="s">
        <v>2149</v>
      </c>
      <c r="C1025" s="629" t="s">
        <v>2150</v>
      </c>
      <c r="D1025" s="629" t="s">
        <v>2654</v>
      </c>
      <c r="E1025" s="629" t="s">
        <v>2791</v>
      </c>
      <c r="F1025" s="630">
        <v>100</v>
      </c>
      <c r="G1025" s="630">
        <v>100.1332</v>
      </c>
      <c r="H1025" s="630">
        <v>0.35</v>
      </c>
      <c r="I1025" s="627">
        <v>223</v>
      </c>
      <c r="J1025" s="629" t="s">
        <v>2656</v>
      </c>
    </row>
    <row r="1026" spans="1:10">
      <c r="A1026" s="627">
        <v>846</v>
      </c>
      <c r="B1026" s="628" t="s">
        <v>2594</v>
      </c>
      <c r="C1026" s="629" t="s">
        <v>2595</v>
      </c>
      <c r="D1026" s="629" t="s">
        <v>2654</v>
      </c>
      <c r="E1026" s="629" t="s">
        <v>2791</v>
      </c>
      <c r="F1026" s="630">
        <v>100</v>
      </c>
      <c r="G1026" s="630">
        <v>100.139</v>
      </c>
      <c r="H1026" s="630">
        <v>0.35</v>
      </c>
      <c r="I1026" s="627">
        <v>577</v>
      </c>
      <c r="J1026" s="629" t="s">
        <v>2656</v>
      </c>
    </row>
    <row r="1027" spans="1:10">
      <c r="A1027" s="627">
        <v>847</v>
      </c>
      <c r="B1027" s="628" t="s">
        <v>2151</v>
      </c>
      <c r="C1027" s="629" t="s">
        <v>2152</v>
      </c>
      <c r="D1027" s="629" t="s">
        <v>2654</v>
      </c>
      <c r="E1027" s="629" t="s">
        <v>2791</v>
      </c>
      <c r="F1027" s="630">
        <v>100</v>
      </c>
      <c r="G1027" s="630">
        <v>100.0042</v>
      </c>
      <c r="H1027" s="630">
        <v>0.02</v>
      </c>
      <c r="I1027" s="627">
        <v>3040</v>
      </c>
      <c r="J1027" s="629" t="s">
        <v>2656</v>
      </c>
    </row>
    <row r="1028" spans="1:10">
      <c r="A1028" s="627">
        <v>848</v>
      </c>
      <c r="B1028" s="628" t="s">
        <v>2153</v>
      </c>
      <c r="C1028" s="629" t="s">
        <v>2154</v>
      </c>
      <c r="D1028" s="629" t="s">
        <v>2654</v>
      </c>
      <c r="E1028" s="629" t="s">
        <v>2791</v>
      </c>
      <c r="F1028" s="630">
        <v>100</v>
      </c>
      <c r="G1028" s="630">
        <v>101.9486</v>
      </c>
      <c r="H1028" s="630">
        <v>6.08</v>
      </c>
      <c r="I1028" s="627">
        <v>1655</v>
      </c>
      <c r="J1028" s="629" t="s">
        <v>2656</v>
      </c>
    </row>
    <row r="1029" spans="1:10">
      <c r="A1029" s="627">
        <v>849</v>
      </c>
      <c r="B1029" s="628" t="s">
        <v>2155</v>
      </c>
      <c r="C1029" s="629" t="s">
        <v>2156</v>
      </c>
      <c r="D1029" s="629" t="s">
        <v>2654</v>
      </c>
      <c r="E1029" s="629" t="s">
        <v>2791</v>
      </c>
      <c r="F1029" s="630">
        <v>100</v>
      </c>
      <c r="G1029" s="630">
        <v>106.9619</v>
      </c>
      <c r="H1029" s="630">
        <v>7.08</v>
      </c>
      <c r="I1029" s="627">
        <v>2137</v>
      </c>
      <c r="J1029" s="629" t="s">
        <v>2656</v>
      </c>
    </row>
    <row r="1030" spans="1:10">
      <c r="A1030" s="627">
        <v>850</v>
      </c>
      <c r="B1030" s="628" t="s">
        <v>2891</v>
      </c>
      <c r="C1030" s="629" t="s">
        <v>2892</v>
      </c>
      <c r="D1030" s="629" t="s">
        <v>2654</v>
      </c>
      <c r="E1030" s="629" t="s">
        <v>2791</v>
      </c>
      <c r="F1030" s="630">
        <v>90.103829909734245</v>
      </c>
      <c r="G1030" s="630">
        <v>94.754929909734244</v>
      </c>
      <c r="H1030" s="630">
        <v>20.55</v>
      </c>
      <c r="I1030" s="627">
        <v>3508</v>
      </c>
      <c r="J1030" s="629" t="s">
        <v>2656</v>
      </c>
    </row>
    <row r="1031" spans="1:10">
      <c r="A1031" s="627">
        <v>851</v>
      </c>
      <c r="B1031" s="628" t="s">
        <v>3009</v>
      </c>
      <c r="C1031" s="629" t="s">
        <v>3010</v>
      </c>
      <c r="D1031" s="629" t="s">
        <v>2654</v>
      </c>
      <c r="E1031" s="629" t="s">
        <v>2791</v>
      </c>
      <c r="F1031" s="630">
        <v>92.985701869636131</v>
      </c>
      <c r="G1031" s="630">
        <v>95.505701869636127</v>
      </c>
      <c r="H1031" s="630">
        <v>20.56</v>
      </c>
      <c r="I1031" s="627">
        <v>3552</v>
      </c>
      <c r="J1031" s="629" t="s">
        <v>2656</v>
      </c>
    </row>
    <row r="1032" spans="1:10">
      <c r="A1032" s="627">
        <v>852</v>
      </c>
      <c r="B1032" s="628" t="s">
        <v>3082</v>
      </c>
      <c r="C1032" s="629" t="s">
        <v>3083</v>
      </c>
      <c r="D1032" s="629" t="s">
        <v>2654</v>
      </c>
      <c r="E1032" s="629" t="s">
        <v>2791</v>
      </c>
      <c r="F1032" s="630">
        <v>93.07888885727705</v>
      </c>
      <c r="G1032" s="630">
        <v>94.338888857277055</v>
      </c>
      <c r="H1032" s="630">
        <v>20.56</v>
      </c>
      <c r="I1032" s="627">
        <v>3576</v>
      </c>
      <c r="J1032" s="629" t="s">
        <v>2656</v>
      </c>
    </row>
    <row r="1033" spans="1:10">
      <c r="A1033" s="627">
        <v>853</v>
      </c>
      <c r="B1033" s="628" t="s">
        <v>2157</v>
      </c>
      <c r="C1033" s="629" t="s">
        <v>2158</v>
      </c>
      <c r="D1033" s="629" t="s">
        <v>2654</v>
      </c>
      <c r="E1033" s="629" t="s">
        <v>2791</v>
      </c>
      <c r="F1033" s="630">
        <v>100</v>
      </c>
      <c r="G1033" s="630">
        <v>101.1183</v>
      </c>
      <c r="H1033" s="630">
        <v>6.08</v>
      </c>
      <c r="I1033" s="627">
        <v>2064</v>
      </c>
      <c r="J1033" s="629" t="s">
        <v>2656</v>
      </c>
    </row>
    <row r="1034" spans="1:10">
      <c r="A1034" s="627">
        <v>854</v>
      </c>
      <c r="B1034" s="628" t="s">
        <v>2159</v>
      </c>
      <c r="C1034" s="629" t="s">
        <v>2160</v>
      </c>
      <c r="D1034" s="629" t="s">
        <v>2654</v>
      </c>
      <c r="E1034" s="629" t="s">
        <v>2791</v>
      </c>
      <c r="F1034" s="630">
        <v>100</v>
      </c>
      <c r="G1034" s="630">
        <v>106.06610000000001</v>
      </c>
      <c r="H1034" s="630">
        <v>6.09</v>
      </c>
      <c r="I1034" s="627">
        <v>2492</v>
      </c>
      <c r="J1034" s="629" t="s">
        <v>2656</v>
      </c>
    </row>
    <row r="1035" spans="1:10">
      <c r="A1035" s="627">
        <v>855</v>
      </c>
      <c r="B1035" s="628" t="s">
        <v>2161</v>
      </c>
      <c r="C1035" s="629" t="s">
        <v>2162</v>
      </c>
      <c r="D1035" s="629" t="s">
        <v>2654</v>
      </c>
      <c r="E1035" s="629" t="s">
        <v>2791</v>
      </c>
      <c r="F1035" s="630">
        <v>100</v>
      </c>
      <c r="G1035" s="630">
        <v>106.06610000000001</v>
      </c>
      <c r="H1035" s="630">
        <v>6.09</v>
      </c>
      <c r="I1035" s="627">
        <v>2492</v>
      </c>
      <c r="J1035" s="629" t="s">
        <v>2656</v>
      </c>
    </row>
    <row r="1036" spans="1:10">
      <c r="A1036" s="627">
        <v>856</v>
      </c>
      <c r="B1036" s="628" t="s">
        <v>2163</v>
      </c>
      <c r="C1036" s="629" t="s">
        <v>2164</v>
      </c>
      <c r="D1036" s="629" t="s">
        <v>2654</v>
      </c>
      <c r="E1036" s="629" t="s">
        <v>2791</v>
      </c>
      <c r="F1036" s="630">
        <v>100</v>
      </c>
      <c r="G1036" s="630">
        <v>104.9308</v>
      </c>
      <c r="H1036" s="630">
        <v>6.08</v>
      </c>
      <c r="I1036" s="627">
        <v>2559</v>
      </c>
      <c r="J1036" s="629" t="s">
        <v>2656</v>
      </c>
    </row>
    <row r="1037" spans="1:10">
      <c r="A1037" s="627">
        <v>857</v>
      </c>
      <c r="B1037" s="628" t="s">
        <v>2165</v>
      </c>
      <c r="C1037" s="629" t="s">
        <v>2166</v>
      </c>
      <c r="D1037" s="629" t="s">
        <v>2651</v>
      </c>
      <c r="E1037" s="629" t="s">
        <v>2167</v>
      </c>
      <c r="F1037" s="630">
        <v>35752.973600000005</v>
      </c>
      <c r="G1037" s="630">
        <v>35752.973600000005</v>
      </c>
      <c r="H1037" s="630">
        <v>0</v>
      </c>
      <c r="I1037" s="627">
        <v>0</v>
      </c>
      <c r="J1037" s="629" t="s">
        <v>2653</v>
      </c>
    </row>
    <row r="1038" spans="1:10">
      <c r="A1038" s="627">
        <v>858</v>
      </c>
      <c r="B1038" s="628" t="s">
        <v>2168</v>
      </c>
      <c r="C1038" s="629" t="s">
        <v>2169</v>
      </c>
      <c r="D1038" s="629" t="s">
        <v>2651</v>
      </c>
      <c r="E1038" s="629" t="s">
        <v>2792</v>
      </c>
      <c r="F1038" s="630">
        <v>0.01</v>
      </c>
      <c r="G1038" s="630">
        <v>0.01</v>
      </c>
      <c r="H1038" s="630">
        <v>0</v>
      </c>
      <c r="I1038" s="627">
        <v>0</v>
      </c>
      <c r="J1038" s="629" t="s">
        <v>2653</v>
      </c>
    </row>
    <row r="1039" spans="1:10">
      <c r="A1039" s="627">
        <v>859</v>
      </c>
      <c r="B1039" s="628" t="s">
        <v>2170</v>
      </c>
      <c r="C1039" s="629" t="s">
        <v>2171</v>
      </c>
      <c r="D1039" s="629" t="s">
        <v>2654</v>
      </c>
      <c r="E1039" s="629" t="s">
        <v>2793</v>
      </c>
      <c r="F1039" s="630">
        <v>99.457999999999998</v>
      </c>
      <c r="G1039" s="630">
        <v>100.7038</v>
      </c>
      <c r="H1039" s="630">
        <v>4.1399999999999997</v>
      </c>
      <c r="I1039" s="627">
        <v>222</v>
      </c>
      <c r="J1039" s="629" t="s">
        <v>2656</v>
      </c>
    </row>
    <row r="1040" spans="1:10">
      <c r="A1040" s="627">
        <v>860</v>
      </c>
      <c r="B1040" s="628" t="s">
        <v>2172</v>
      </c>
      <c r="C1040" s="629" t="s">
        <v>2173</v>
      </c>
      <c r="D1040" s="629" t="s">
        <v>2654</v>
      </c>
      <c r="E1040" s="629" t="s">
        <v>2793</v>
      </c>
      <c r="F1040" s="630">
        <v>99.52</v>
      </c>
      <c r="G1040" s="630">
        <v>99.561700000000002</v>
      </c>
      <c r="H1040" s="630">
        <v>3.87</v>
      </c>
      <c r="I1040" s="627">
        <v>1616</v>
      </c>
      <c r="J1040" s="629" t="s">
        <v>2656</v>
      </c>
    </row>
    <row r="1041" spans="1:10">
      <c r="A1041" s="627">
        <v>861</v>
      </c>
      <c r="B1041" s="628" t="s">
        <v>2174</v>
      </c>
      <c r="C1041" s="629" t="s">
        <v>2175</v>
      </c>
      <c r="D1041" s="629" t="s">
        <v>2654</v>
      </c>
      <c r="E1041" s="629" t="s">
        <v>2793</v>
      </c>
      <c r="F1041" s="630">
        <v>100.617</v>
      </c>
      <c r="G1041" s="630">
        <v>101.017</v>
      </c>
      <c r="H1041" s="630">
        <v>3.8</v>
      </c>
      <c r="I1041" s="627">
        <v>1224</v>
      </c>
      <c r="J1041" s="629" t="s">
        <v>2656</v>
      </c>
    </row>
    <row r="1042" spans="1:10">
      <c r="A1042" s="627">
        <v>862</v>
      </c>
      <c r="B1042" s="628" t="s">
        <v>2176</v>
      </c>
      <c r="C1042" s="629" t="s">
        <v>2177</v>
      </c>
      <c r="D1042" s="629" t="s">
        <v>2654</v>
      </c>
      <c r="E1042" s="629" t="s">
        <v>2793</v>
      </c>
      <c r="F1042" s="630">
        <v>101.61247163011389</v>
      </c>
      <c r="G1042" s="630">
        <v>103.82497163011389</v>
      </c>
      <c r="H1042" s="630">
        <v>3.82</v>
      </c>
      <c r="I1042" s="627">
        <v>903</v>
      </c>
      <c r="J1042" s="629" t="s">
        <v>2656</v>
      </c>
    </row>
    <row r="1043" spans="1:10">
      <c r="A1043" s="627">
        <v>863</v>
      </c>
      <c r="B1043" s="628" t="s">
        <v>2178</v>
      </c>
      <c r="C1043" s="629" t="s">
        <v>2179</v>
      </c>
      <c r="D1043" s="629" t="s">
        <v>2651</v>
      </c>
      <c r="E1043" s="629" t="s">
        <v>2180</v>
      </c>
      <c r="F1043" s="630">
        <v>87504.30720000001</v>
      </c>
      <c r="G1043" s="630">
        <v>87504.30720000001</v>
      </c>
      <c r="H1043" s="630">
        <v>0</v>
      </c>
      <c r="I1043" s="627">
        <v>0</v>
      </c>
      <c r="J1043" s="629" t="s">
        <v>2653</v>
      </c>
    </row>
    <row r="1044" spans="1:10">
      <c r="A1044" s="627">
        <v>864</v>
      </c>
      <c r="B1044" s="628" t="s">
        <v>2181</v>
      </c>
      <c r="C1044" s="629" t="s">
        <v>2182</v>
      </c>
      <c r="D1044" s="629" t="s">
        <v>2697</v>
      </c>
      <c r="E1044" s="629" t="s">
        <v>2130</v>
      </c>
      <c r="F1044" s="630">
        <v>323876.71520000004</v>
      </c>
      <c r="G1044" s="630">
        <v>323876.71520000004</v>
      </c>
      <c r="H1044" s="630">
        <v>0</v>
      </c>
      <c r="I1044" s="627">
        <v>0</v>
      </c>
      <c r="J1044" s="629" t="s">
        <v>2653</v>
      </c>
    </row>
    <row r="1045" spans="1:10">
      <c r="A1045" s="627">
        <v>865</v>
      </c>
      <c r="B1045" s="628" t="s">
        <v>2183</v>
      </c>
      <c r="C1045" s="629" t="s">
        <v>2184</v>
      </c>
      <c r="D1045" s="629" t="s">
        <v>2651</v>
      </c>
      <c r="E1045" s="629" t="s">
        <v>2794</v>
      </c>
      <c r="F1045" s="630">
        <v>17000.39</v>
      </c>
      <c r="G1045" s="630">
        <v>17000.39</v>
      </c>
      <c r="H1045" s="630">
        <v>0</v>
      </c>
      <c r="I1045" s="627">
        <v>0</v>
      </c>
      <c r="J1045" s="629" t="s">
        <v>2653</v>
      </c>
    </row>
    <row r="1046" spans="1:10">
      <c r="A1046" s="627">
        <v>866</v>
      </c>
      <c r="B1046" s="628" t="s">
        <v>2185</v>
      </c>
      <c r="C1046" s="629" t="s">
        <v>2186</v>
      </c>
      <c r="D1046" s="629" t="s">
        <v>2654</v>
      </c>
      <c r="E1046" s="629" t="s">
        <v>2795</v>
      </c>
      <c r="F1046" s="630">
        <v>95.999234577736146</v>
      </c>
      <c r="G1046" s="630">
        <v>98.915934577736152</v>
      </c>
      <c r="H1046" s="630">
        <v>31.69</v>
      </c>
      <c r="I1046" s="627">
        <v>1585</v>
      </c>
      <c r="J1046" s="629" t="s">
        <v>2656</v>
      </c>
    </row>
    <row r="1047" spans="1:10">
      <c r="A1047" s="627">
        <v>867</v>
      </c>
      <c r="B1047" s="628" t="s">
        <v>2187</v>
      </c>
      <c r="C1047" s="629" t="s">
        <v>2188</v>
      </c>
      <c r="D1047" s="629" t="s">
        <v>2654</v>
      </c>
      <c r="E1047" s="629" t="s">
        <v>2796</v>
      </c>
      <c r="F1047" s="630">
        <v>73.520067593217419</v>
      </c>
      <c r="G1047" s="630">
        <v>80.631167593217413</v>
      </c>
      <c r="H1047" s="630">
        <v>29.94</v>
      </c>
      <c r="I1047" s="627">
        <v>2032</v>
      </c>
      <c r="J1047" s="629" t="s">
        <v>2656</v>
      </c>
    </row>
    <row r="1048" spans="1:10">
      <c r="A1048" s="627">
        <v>868</v>
      </c>
      <c r="B1048" s="628" t="s">
        <v>2189</v>
      </c>
      <c r="C1048" s="629" t="s">
        <v>2190</v>
      </c>
      <c r="D1048" s="629" t="s">
        <v>2654</v>
      </c>
      <c r="E1048" s="629" t="s">
        <v>2796</v>
      </c>
      <c r="F1048" s="630">
        <v>70.527722623651684</v>
      </c>
      <c r="G1048" s="630">
        <v>77.749922623651685</v>
      </c>
      <c r="H1048" s="630">
        <v>29.97</v>
      </c>
      <c r="I1048" s="627">
        <v>2750</v>
      </c>
      <c r="J1048" s="629" t="s">
        <v>2656</v>
      </c>
    </row>
    <row r="1049" spans="1:10">
      <c r="A1049" s="627">
        <v>869</v>
      </c>
      <c r="B1049" s="628" t="s">
        <v>2191</v>
      </c>
      <c r="C1049" s="629" t="s">
        <v>2192</v>
      </c>
      <c r="D1049" s="629" t="s">
        <v>2651</v>
      </c>
      <c r="E1049" s="629" t="s">
        <v>2797</v>
      </c>
      <c r="F1049" s="630">
        <v>0.01</v>
      </c>
      <c r="G1049" s="630">
        <v>0.01</v>
      </c>
      <c r="H1049" s="630">
        <v>0</v>
      </c>
      <c r="I1049" s="627">
        <v>0</v>
      </c>
      <c r="J1049" s="629" t="s">
        <v>2653</v>
      </c>
    </row>
    <row r="1050" spans="1:10">
      <c r="A1050" s="627">
        <v>870</v>
      </c>
      <c r="B1050" s="628" t="s">
        <v>2193</v>
      </c>
      <c r="C1050" s="629" t="s">
        <v>2194</v>
      </c>
      <c r="D1050" s="629" t="s">
        <v>2651</v>
      </c>
      <c r="E1050" s="629" t="s">
        <v>2797</v>
      </c>
      <c r="F1050" s="630">
        <v>0.01</v>
      </c>
      <c r="G1050" s="630">
        <v>0.01</v>
      </c>
      <c r="H1050" s="630">
        <v>0</v>
      </c>
      <c r="I1050" s="627">
        <v>0</v>
      </c>
      <c r="J1050" s="629" t="s">
        <v>2653</v>
      </c>
    </row>
    <row r="1051" spans="1:10">
      <c r="A1051" s="627">
        <v>871</v>
      </c>
      <c r="B1051" s="628" t="s">
        <v>2195</v>
      </c>
      <c r="C1051" s="629" t="s">
        <v>2196</v>
      </c>
      <c r="D1051" s="629" t="s">
        <v>2651</v>
      </c>
      <c r="E1051" s="629" t="s">
        <v>2798</v>
      </c>
      <c r="F1051" s="630">
        <v>34400</v>
      </c>
      <c r="G1051" s="630">
        <v>34400</v>
      </c>
      <c r="H1051" s="630">
        <v>0</v>
      </c>
      <c r="I1051" s="627">
        <v>0</v>
      </c>
      <c r="J1051" s="629" t="s">
        <v>2653</v>
      </c>
    </row>
    <row r="1052" spans="1:10">
      <c r="A1052" s="627">
        <v>872</v>
      </c>
      <c r="B1052" s="628" t="s">
        <v>2197</v>
      </c>
      <c r="C1052" s="629" t="s">
        <v>2198</v>
      </c>
      <c r="D1052" s="629" t="s">
        <v>2651</v>
      </c>
      <c r="E1052" s="629" t="s">
        <v>2798</v>
      </c>
      <c r="F1052" s="630">
        <v>17800</v>
      </c>
      <c r="G1052" s="630">
        <v>17800</v>
      </c>
      <c r="H1052" s="630">
        <v>0</v>
      </c>
      <c r="I1052" s="627">
        <v>0</v>
      </c>
      <c r="J1052" s="629" t="s">
        <v>2653</v>
      </c>
    </row>
    <row r="1053" spans="1:10">
      <c r="A1053" s="627">
        <v>873</v>
      </c>
      <c r="B1053" s="628" t="s">
        <v>2199</v>
      </c>
      <c r="C1053" s="629" t="s">
        <v>2200</v>
      </c>
      <c r="D1053" s="629" t="s">
        <v>2651</v>
      </c>
      <c r="E1053" s="629" t="s">
        <v>2799</v>
      </c>
      <c r="F1053" s="630">
        <v>1000</v>
      </c>
      <c r="G1053" s="630">
        <v>1000</v>
      </c>
      <c r="H1053" s="630">
        <v>0</v>
      </c>
      <c r="I1053" s="627">
        <v>186</v>
      </c>
      <c r="J1053" s="629" t="s">
        <v>2653</v>
      </c>
    </row>
    <row r="1054" spans="1:10">
      <c r="A1054" s="627">
        <v>874</v>
      </c>
      <c r="B1054" s="628" t="s">
        <v>2201</v>
      </c>
      <c r="C1054" s="629" t="s">
        <v>2202</v>
      </c>
      <c r="D1054" s="629" t="s">
        <v>2651</v>
      </c>
      <c r="E1054" s="629" t="s">
        <v>2800</v>
      </c>
      <c r="F1054" s="630">
        <v>0.01</v>
      </c>
      <c r="G1054" s="630">
        <v>0.01</v>
      </c>
      <c r="H1054" s="630">
        <v>0</v>
      </c>
      <c r="I1054" s="627">
        <v>0</v>
      </c>
      <c r="J1054" s="629" t="s">
        <v>2653</v>
      </c>
    </row>
    <row r="1055" spans="1:10">
      <c r="A1055" s="627">
        <v>875</v>
      </c>
      <c r="B1055" s="628" t="s">
        <v>2203</v>
      </c>
      <c r="C1055" s="629" t="s">
        <v>2204</v>
      </c>
      <c r="D1055" s="629" t="s">
        <v>2651</v>
      </c>
      <c r="E1055" s="629" t="s">
        <v>2801</v>
      </c>
      <c r="F1055" s="630">
        <v>0.01</v>
      </c>
      <c r="G1055" s="630">
        <v>0.01</v>
      </c>
      <c r="H1055" s="630">
        <v>0</v>
      </c>
      <c r="I1055" s="627">
        <v>0</v>
      </c>
      <c r="J1055" s="629" t="s">
        <v>2653</v>
      </c>
    </row>
    <row r="1056" spans="1:10">
      <c r="A1056" s="627">
        <v>876</v>
      </c>
      <c r="B1056" s="628" t="s">
        <v>2205</v>
      </c>
      <c r="C1056" s="629" t="s">
        <v>2206</v>
      </c>
      <c r="D1056" s="629" t="s">
        <v>2651</v>
      </c>
      <c r="E1056" s="629" t="s">
        <v>2801</v>
      </c>
      <c r="F1056" s="630">
        <v>0.01</v>
      </c>
      <c r="G1056" s="630">
        <v>0.01</v>
      </c>
      <c r="H1056" s="630">
        <v>0</v>
      </c>
      <c r="I1056" s="627">
        <v>0</v>
      </c>
      <c r="J1056" s="629" t="s">
        <v>2653</v>
      </c>
    </row>
    <row r="1057" spans="1:10">
      <c r="A1057" s="627">
        <v>877</v>
      </c>
      <c r="B1057" s="628" t="s">
        <v>2207</v>
      </c>
      <c r="C1057" s="629" t="s">
        <v>2208</v>
      </c>
      <c r="D1057" s="629" t="s">
        <v>2654</v>
      </c>
      <c r="E1057" s="629" t="s">
        <v>2802</v>
      </c>
      <c r="F1057" s="630">
        <v>99.10295720580821</v>
      </c>
      <c r="G1057" s="630">
        <v>99.56615720580821</v>
      </c>
      <c r="H1057" s="630">
        <v>4.0199999999999996</v>
      </c>
      <c r="I1057" s="627">
        <v>854</v>
      </c>
      <c r="J1057" s="629" t="s">
        <v>2656</v>
      </c>
    </row>
    <row r="1058" spans="1:10">
      <c r="A1058" s="627">
        <v>878</v>
      </c>
      <c r="B1058" s="628" t="s">
        <v>2209</v>
      </c>
      <c r="C1058" s="629" t="s">
        <v>2210</v>
      </c>
      <c r="D1058" s="629" t="s">
        <v>2654</v>
      </c>
      <c r="E1058" s="629" t="s">
        <v>2802</v>
      </c>
      <c r="F1058" s="630">
        <v>101.03400000000001</v>
      </c>
      <c r="G1058" s="630">
        <v>101.0826</v>
      </c>
      <c r="H1058" s="630">
        <v>4.05</v>
      </c>
      <c r="I1058" s="627">
        <v>1256</v>
      </c>
      <c r="J1058" s="629" t="s">
        <v>2656</v>
      </c>
    </row>
    <row r="1059" spans="1:10">
      <c r="A1059" s="627">
        <v>879</v>
      </c>
      <c r="B1059" s="628" t="s">
        <v>2211</v>
      </c>
      <c r="C1059" s="629" t="s">
        <v>2212</v>
      </c>
      <c r="D1059" s="629" t="s">
        <v>2654</v>
      </c>
      <c r="E1059" s="629" t="s">
        <v>2802</v>
      </c>
      <c r="F1059" s="630">
        <v>97.994</v>
      </c>
      <c r="G1059" s="630">
        <v>98.528700000000001</v>
      </c>
      <c r="H1059" s="630">
        <v>4.1100000000000003</v>
      </c>
      <c r="I1059" s="627">
        <v>463</v>
      </c>
      <c r="J1059" s="629" t="s">
        <v>2656</v>
      </c>
    </row>
    <row r="1060" spans="1:10">
      <c r="A1060" s="627">
        <v>880</v>
      </c>
      <c r="B1060" s="628" t="s">
        <v>2213</v>
      </c>
      <c r="C1060" s="629" t="s">
        <v>2214</v>
      </c>
      <c r="D1060" s="629" t="s">
        <v>2654</v>
      </c>
      <c r="E1060" s="629" t="s">
        <v>2802</v>
      </c>
      <c r="F1060" s="630">
        <v>99.123999999999995</v>
      </c>
      <c r="G1060" s="630">
        <v>100.6948</v>
      </c>
      <c r="H1060" s="630">
        <v>4.1399999999999997</v>
      </c>
      <c r="I1060" s="627">
        <v>366</v>
      </c>
      <c r="J1060" s="629" t="s">
        <v>2656</v>
      </c>
    </row>
    <row r="1061" spans="1:10">
      <c r="A1061" s="627">
        <v>881</v>
      </c>
      <c r="B1061" s="628" t="s">
        <v>2215</v>
      </c>
      <c r="C1061" s="629" t="s">
        <v>2216</v>
      </c>
      <c r="D1061" s="629" t="s">
        <v>2651</v>
      </c>
      <c r="E1061" s="629" t="s">
        <v>2802</v>
      </c>
      <c r="F1061" s="630">
        <v>534.15700800000013</v>
      </c>
      <c r="G1061" s="630">
        <v>534.15700800000013</v>
      </c>
      <c r="H1061" s="630">
        <v>0</v>
      </c>
      <c r="I1061" s="627">
        <v>540</v>
      </c>
      <c r="J1061" s="629" t="s">
        <v>2653</v>
      </c>
    </row>
    <row r="1062" spans="1:10">
      <c r="A1062" s="627">
        <v>882</v>
      </c>
      <c r="B1062" s="628" t="s">
        <v>2217</v>
      </c>
      <c r="C1062" s="629" t="s">
        <v>2218</v>
      </c>
      <c r="D1062" s="629" t="s">
        <v>2651</v>
      </c>
      <c r="E1062" s="629" t="s">
        <v>2219</v>
      </c>
      <c r="F1062" s="630">
        <v>45489.118400000007</v>
      </c>
      <c r="G1062" s="630">
        <v>45489.118400000007</v>
      </c>
      <c r="H1062" s="630">
        <v>0</v>
      </c>
      <c r="I1062" s="627">
        <v>0</v>
      </c>
      <c r="J1062" s="629" t="s">
        <v>2653</v>
      </c>
    </row>
    <row r="1063" spans="1:10">
      <c r="A1063" s="627">
        <v>883</v>
      </c>
      <c r="B1063" s="628" t="s">
        <v>2220</v>
      </c>
      <c r="C1063" s="629" t="s">
        <v>2221</v>
      </c>
      <c r="D1063" s="629" t="s">
        <v>2654</v>
      </c>
      <c r="E1063" s="629" t="s">
        <v>2803</v>
      </c>
      <c r="F1063" s="630">
        <v>96.946517063814667</v>
      </c>
      <c r="G1063" s="630">
        <v>101.44651706381467</v>
      </c>
      <c r="H1063" s="630">
        <v>21.98</v>
      </c>
      <c r="I1063" s="627">
        <v>820</v>
      </c>
      <c r="J1063" s="629" t="s">
        <v>2656</v>
      </c>
    </row>
    <row r="1064" spans="1:10">
      <c r="A1064" s="627">
        <v>884</v>
      </c>
      <c r="B1064" s="628" t="s">
        <v>2937</v>
      </c>
      <c r="C1064" s="629" t="s">
        <v>2938</v>
      </c>
      <c r="D1064" s="629" t="s">
        <v>2654</v>
      </c>
      <c r="E1064" s="629" t="s">
        <v>2803</v>
      </c>
      <c r="F1064" s="630">
        <v>95.918300000000002</v>
      </c>
      <c r="G1064" s="630">
        <v>100.1183</v>
      </c>
      <c r="H1064" s="630">
        <v>23.01</v>
      </c>
      <c r="I1064" s="627">
        <v>1008</v>
      </c>
      <c r="J1064" s="629" t="s">
        <v>2656</v>
      </c>
    </row>
    <row r="1065" spans="1:10">
      <c r="A1065" s="627">
        <v>885</v>
      </c>
      <c r="B1065" s="628" t="s">
        <v>3051</v>
      </c>
      <c r="C1065" s="629" t="s">
        <v>3052</v>
      </c>
      <c r="D1065" s="629" t="s">
        <v>2654</v>
      </c>
      <c r="E1065" s="629" t="s">
        <v>3053</v>
      </c>
      <c r="F1065" s="630">
        <v>79.882868195947381</v>
      </c>
      <c r="G1065" s="630">
        <v>84.434268195947382</v>
      </c>
      <c r="H1065" s="630">
        <v>18.510000000000002</v>
      </c>
      <c r="I1065" s="627">
        <v>5287</v>
      </c>
      <c r="J1065" s="629" t="s">
        <v>2656</v>
      </c>
    </row>
    <row r="1066" spans="1:10">
      <c r="A1066" s="627">
        <v>886</v>
      </c>
      <c r="B1066" s="628" t="s">
        <v>3173</v>
      </c>
      <c r="C1066" s="629" t="s">
        <v>3174</v>
      </c>
      <c r="D1066" s="629" t="s">
        <v>2651</v>
      </c>
      <c r="E1066" s="629" t="s">
        <v>3175</v>
      </c>
      <c r="F1066" s="630">
        <v>1000</v>
      </c>
      <c r="G1066" s="630">
        <v>1000</v>
      </c>
      <c r="H1066" s="630">
        <v>0</v>
      </c>
      <c r="I1066" s="627">
        <v>1609</v>
      </c>
      <c r="J1066" s="629" t="s">
        <v>2653</v>
      </c>
    </row>
    <row r="1067" spans="1:10">
      <c r="A1067" s="627">
        <v>887</v>
      </c>
      <c r="B1067" s="628" t="s">
        <v>2222</v>
      </c>
      <c r="C1067" s="629" t="s">
        <v>2223</v>
      </c>
      <c r="D1067" s="629" t="s">
        <v>2654</v>
      </c>
      <c r="E1067" s="629" t="s">
        <v>2804</v>
      </c>
      <c r="F1067" s="630">
        <v>100</v>
      </c>
      <c r="G1067" s="630">
        <v>101.0271</v>
      </c>
      <c r="H1067" s="630">
        <v>4.2300000000000004</v>
      </c>
      <c r="I1067" s="627">
        <v>213</v>
      </c>
      <c r="J1067" s="629" t="s">
        <v>2656</v>
      </c>
    </row>
    <row r="1068" spans="1:10">
      <c r="A1068" s="627">
        <v>888</v>
      </c>
      <c r="B1068" s="628" t="s">
        <v>2224</v>
      </c>
      <c r="C1068" s="629" t="s">
        <v>2225</v>
      </c>
      <c r="D1068" s="629" t="s">
        <v>2654</v>
      </c>
      <c r="E1068" s="629" t="s">
        <v>2804</v>
      </c>
      <c r="F1068" s="630">
        <v>100</v>
      </c>
      <c r="G1068" s="630">
        <v>100.0236</v>
      </c>
      <c r="H1068" s="630">
        <v>4.24</v>
      </c>
      <c r="I1068" s="627">
        <v>478</v>
      </c>
      <c r="J1068" s="629" t="s">
        <v>2656</v>
      </c>
    </row>
    <row r="1069" spans="1:10">
      <c r="A1069" s="627">
        <v>889</v>
      </c>
      <c r="B1069" s="628" t="s">
        <v>2226</v>
      </c>
      <c r="C1069" s="629" t="s">
        <v>2227</v>
      </c>
      <c r="D1069" s="629" t="s">
        <v>2654</v>
      </c>
      <c r="E1069" s="629" t="s">
        <v>2804</v>
      </c>
      <c r="F1069" s="630">
        <v>100</v>
      </c>
      <c r="G1069" s="630">
        <v>100.1293</v>
      </c>
      <c r="H1069" s="630">
        <v>0.35</v>
      </c>
      <c r="I1069" s="627">
        <v>227</v>
      </c>
      <c r="J1069" s="629" t="s">
        <v>2656</v>
      </c>
    </row>
    <row r="1070" spans="1:10">
      <c r="A1070" s="627">
        <v>890</v>
      </c>
      <c r="B1070" s="628" t="s">
        <v>2228</v>
      </c>
      <c r="C1070" s="629" t="s">
        <v>2229</v>
      </c>
      <c r="D1070" s="629" t="s">
        <v>2654</v>
      </c>
      <c r="E1070" s="629" t="s">
        <v>2804</v>
      </c>
      <c r="F1070" s="630">
        <v>96.671994962891802</v>
      </c>
      <c r="G1070" s="630">
        <v>97.601994962891808</v>
      </c>
      <c r="H1070" s="630">
        <v>19.46</v>
      </c>
      <c r="I1070" s="627">
        <v>149</v>
      </c>
      <c r="J1070" s="629" t="s">
        <v>2656</v>
      </c>
    </row>
    <row r="1071" spans="1:10">
      <c r="A1071" s="627">
        <v>891</v>
      </c>
      <c r="B1071" s="628" t="s">
        <v>2230</v>
      </c>
      <c r="C1071" s="629" t="s">
        <v>2231</v>
      </c>
      <c r="D1071" s="629" t="s">
        <v>2654</v>
      </c>
      <c r="E1071" s="629" t="s">
        <v>2804</v>
      </c>
      <c r="F1071" s="630">
        <v>100</v>
      </c>
      <c r="G1071" s="630">
        <v>100.0042</v>
      </c>
      <c r="H1071" s="630">
        <v>0.02</v>
      </c>
      <c r="I1071" s="627">
        <v>3040</v>
      </c>
      <c r="J1071" s="629" t="s">
        <v>2656</v>
      </c>
    </row>
    <row r="1072" spans="1:10">
      <c r="A1072" s="627">
        <v>892</v>
      </c>
      <c r="B1072" s="628" t="s">
        <v>2232</v>
      </c>
      <c r="C1072" s="629" t="s">
        <v>2233</v>
      </c>
      <c r="D1072" s="629" t="s">
        <v>2654</v>
      </c>
      <c r="E1072" s="629" t="s">
        <v>2804</v>
      </c>
      <c r="F1072" s="630">
        <v>100</v>
      </c>
      <c r="G1072" s="630">
        <v>101.9486</v>
      </c>
      <c r="H1072" s="630">
        <v>6.08</v>
      </c>
      <c r="I1072" s="627">
        <v>1655</v>
      </c>
      <c r="J1072" s="629" t="s">
        <v>2656</v>
      </c>
    </row>
    <row r="1073" spans="1:10">
      <c r="A1073" s="627">
        <v>893</v>
      </c>
      <c r="B1073" s="628" t="s">
        <v>2234</v>
      </c>
      <c r="C1073" s="629" t="s">
        <v>2235</v>
      </c>
      <c r="D1073" s="629" t="s">
        <v>2654</v>
      </c>
      <c r="E1073" s="629" t="s">
        <v>2804</v>
      </c>
      <c r="F1073" s="630">
        <v>100</v>
      </c>
      <c r="G1073" s="630">
        <v>106.9619</v>
      </c>
      <c r="H1073" s="630">
        <v>7.08</v>
      </c>
      <c r="I1073" s="627">
        <v>2137</v>
      </c>
      <c r="J1073" s="629" t="s">
        <v>2656</v>
      </c>
    </row>
    <row r="1074" spans="1:10">
      <c r="A1074" s="627">
        <v>894</v>
      </c>
      <c r="B1074" s="628" t="s">
        <v>3100</v>
      </c>
      <c r="C1074" s="629" t="s">
        <v>3101</v>
      </c>
      <c r="D1074" s="629" t="s">
        <v>2654</v>
      </c>
      <c r="E1074" s="629" t="s">
        <v>2804</v>
      </c>
      <c r="F1074" s="630">
        <v>93.091526621470734</v>
      </c>
      <c r="G1074" s="630">
        <v>94.194026621470726</v>
      </c>
      <c r="H1074" s="630">
        <v>20.56</v>
      </c>
      <c r="I1074" s="627">
        <v>3579</v>
      </c>
      <c r="J1074" s="629" t="s">
        <v>2656</v>
      </c>
    </row>
    <row r="1075" spans="1:10">
      <c r="A1075" s="627">
        <v>895</v>
      </c>
      <c r="B1075" s="628" t="s">
        <v>2236</v>
      </c>
      <c r="C1075" s="629" t="s">
        <v>2237</v>
      </c>
      <c r="D1075" s="629" t="s">
        <v>2654</v>
      </c>
      <c r="E1075" s="629" t="s">
        <v>2804</v>
      </c>
      <c r="F1075" s="630">
        <v>100</v>
      </c>
      <c r="G1075" s="630">
        <v>101.1183</v>
      </c>
      <c r="H1075" s="630">
        <v>6.08</v>
      </c>
      <c r="I1075" s="627">
        <v>2064</v>
      </c>
      <c r="J1075" s="629" t="s">
        <v>2656</v>
      </c>
    </row>
    <row r="1076" spans="1:10">
      <c r="A1076" s="627">
        <v>896</v>
      </c>
      <c r="B1076" s="628" t="s">
        <v>2238</v>
      </c>
      <c r="C1076" s="629" t="s">
        <v>2239</v>
      </c>
      <c r="D1076" s="629" t="s">
        <v>2654</v>
      </c>
      <c r="E1076" s="629" t="s">
        <v>2804</v>
      </c>
      <c r="F1076" s="630">
        <v>100</v>
      </c>
      <c r="G1076" s="630">
        <v>106.06610000000001</v>
      </c>
      <c r="H1076" s="630">
        <v>6.09</v>
      </c>
      <c r="I1076" s="627">
        <v>2492</v>
      </c>
      <c r="J1076" s="629" t="s">
        <v>2656</v>
      </c>
    </row>
    <row r="1077" spans="1:10">
      <c r="A1077" s="627">
        <v>897</v>
      </c>
      <c r="B1077" s="628" t="s">
        <v>2240</v>
      </c>
      <c r="C1077" s="629" t="s">
        <v>2241</v>
      </c>
      <c r="D1077" s="629" t="s">
        <v>2654</v>
      </c>
      <c r="E1077" s="629" t="s">
        <v>2804</v>
      </c>
      <c r="F1077" s="630">
        <v>100</v>
      </c>
      <c r="G1077" s="630">
        <v>106.06610000000001</v>
      </c>
      <c r="H1077" s="630">
        <v>6.09</v>
      </c>
      <c r="I1077" s="627">
        <v>2492</v>
      </c>
      <c r="J1077" s="629" t="s">
        <v>2656</v>
      </c>
    </row>
    <row r="1078" spans="1:10">
      <c r="A1078" s="627">
        <v>898</v>
      </c>
      <c r="B1078" s="628" t="s">
        <v>2242</v>
      </c>
      <c r="C1078" s="629" t="s">
        <v>2243</v>
      </c>
      <c r="D1078" s="629" t="s">
        <v>2654</v>
      </c>
      <c r="E1078" s="629" t="s">
        <v>2804</v>
      </c>
      <c r="F1078" s="630">
        <v>100</v>
      </c>
      <c r="G1078" s="630">
        <v>104.9308</v>
      </c>
      <c r="H1078" s="630">
        <v>6.08</v>
      </c>
      <c r="I1078" s="627">
        <v>2559</v>
      </c>
      <c r="J1078" s="629" t="s">
        <v>2656</v>
      </c>
    </row>
    <row r="1079" spans="1:10">
      <c r="A1079" s="627">
        <v>899</v>
      </c>
      <c r="B1079" s="628" t="s">
        <v>2244</v>
      </c>
      <c r="C1079" s="629" t="s">
        <v>2245</v>
      </c>
      <c r="D1079" s="629" t="s">
        <v>2651</v>
      </c>
      <c r="E1079" s="629" t="s">
        <v>2805</v>
      </c>
      <c r="F1079" s="630">
        <v>0.01</v>
      </c>
      <c r="G1079" s="630">
        <v>0.01</v>
      </c>
      <c r="H1079" s="630">
        <v>0</v>
      </c>
      <c r="I1079" s="627">
        <v>0</v>
      </c>
      <c r="J1079" s="629" t="s">
        <v>2653</v>
      </c>
    </row>
    <row r="1080" spans="1:10">
      <c r="A1080" s="627">
        <v>900</v>
      </c>
      <c r="B1080" s="628" t="s">
        <v>2246</v>
      </c>
      <c r="C1080" s="629" t="s">
        <v>2247</v>
      </c>
      <c r="D1080" s="629" t="s">
        <v>2651</v>
      </c>
      <c r="E1080" s="629" t="s">
        <v>2806</v>
      </c>
      <c r="F1080" s="630">
        <v>0.01</v>
      </c>
      <c r="G1080" s="630">
        <v>0.01</v>
      </c>
      <c r="H1080" s="630">
        <v>0</v>
      </c>
      <c r="I1080" s="627">
        <v>0</v>
      </c>
      <c r="J1080" s="629" t="s">
        <v>2653</v>
      </c>
    </row>
    <row r="1081" spans="1:10">
      <c r="A1081" s="627">
        <v>901</v>
      </c>
      <c r="B1081" s="628" t="s">
        <v>2248</v>
      </c>
      <c r="C1081" s="629" t="s">
        <v>2249</v>
      </c>
      <c r="D1081" s="629" t="s">
        <v>2654</v>
      </c>
      <c r="E1081" s="629" t="s">
        <v>2807</v>
      </c>
      <c r="F1081" s="630">
        <v>92.767167715137944</v>
      </c>
      <c r="G1081" s="630">
        <v>96.128267715137937</v>
      </c>
      <c r="H1081" s="630">
        <v>20.49</v>
      </c>
      <c r="I1081" s="627">
        <v>452</v>
      </c>
      <c r="J1081" s="629" t="s">
        <v>2656</v>
      </c>
    </row>
    <row r="1082" spans="1:10">
      <c r="A1082" s="627">
        <v>902</v>
      </c>
      <c r="B1082" s="628" t="s">
        <v>2250</v>
      </c>
      <c r="C1082" s="629" t="s">
        <v>2251</v>
      </c>
      <c r="D1082" s="629" t="s">
        <v>2654</v>
      </c>
      <c r="E1082" s="629" t="s">
        <v>2808</v>
      </c>
      <c r="F1082" s="630">
        <v>100</v>
      </c>
      <c r="G1082" s="630">
        <v>100.1371</v>
      </c>
      <c r="H1082" s="630">
        <v>0.35</v>
      </c>
      <c r="I1082" s="627">
        <v>39</v>
      </c>
      <c r="J1082" s="629" t="s">
        <v>2656</v>
      </c>
    </row>
    <row r="1083" spans="1:10">
      <c r="A1083" s="627">
        <v>903</v>
      </c>
      <c r="B1083" s="628" t="s">
        <v>2252</v>
      </c>
      <c r="C1083" s="629" t="s">
        <v>2253</v>
      </c>
      <c r="D1083" s="629" t="s">
        <v>2654</v>
      </c>
      <c r="E1083" s="629" t="s">
        <v>2808</v>
      </c>
      <c r="F1083" s="630">
        <v>100</v>
      </c>
      <c r="G1083" s="630">
        <v>100.1293</v>
      </c>
      <c r="H1083" s="630">
        <v>0.35</v>
      </c>
      <c r="I1083" s="627">
        <v>227</v>
      </c>
      <c r="J1083" s="629" t="s">
        <v>2656</v>
      </c>
    </row>
    <row r="1084" spans="1:10">
      <c r="A1084" s="627">
        <v>904</v>
      </c>
      <c r="B1084" s="628" t="s">
        <v>2254</v>
      </c>
      <c r="C1084" s="629" t="s">
        <v>2255</v>
      </c>
      <c r="D1084" s="629" t="s">
        <v>2654</v>
      </c>
      <c r="E1084" s="629" t="s">
        <v>2808</v>
      </c>
      <c r="F1084" s="630">
        <v>100</v>
      </c>
      <c r="G1084" s="630">
        <v>100.0194</v>
      </c>
      <c r="H1084" s="630">
        <v>0.02</v>
      </c>
      <c r="I1084" s="627">
        <v>3040</v>
      </c>
      <c r="J1084" s="629" t="s">
        <v>2656</v>
      </c>
    </row>
    <row r="1085" spans="1:10">
      <c r="A1085" s="627">
        <v>905</v>
      </c>
      <c r="B1085" s="628" t="s">
        <v>2256</v>
      </c>
      <c r="C1085" s="629" t="s">
        <v>2257</v>
      </c>
      <c r="D1085" s="629" t="s">
        <v>2654</v>
      </c>
      <c r="E1085" s="629" t="s">
        <v>2808</v>
      </c>
      <c r="F1085" s="630">
        <v>100</v>
      </c>
      <c r="G1085" s="630">
        <v>101.9486</v>
      </c>
      <c r="H1085" s="630">
        <v>6.08</v>
      </c>
      <c r="I1085" s="627">
        <v>1655</v>
      </c>
      <c r="J1085" s="629" t="s">
        <v>2656</v>
      </c>
    </row>
    <row r="1086" spans="1:10">
      <c r="A1086" s="627">
        <v>906</v>
      </c>
      <c r="B1086" s="628" t="s">
        <v>2258</v>
      </c>
      <c r="C1086" s="629" t="s">
        <v>2259</v>
      </c>
      <c r="D1086" s="629" t="s">
        <v>2654</v>
      </c>
      <c r="E1086" s="629" t="s">
        <v>2808</v>
      </c>
      <c r="F1086" s="630">
        <v>100</v>
      </c>
      <c r="G1086" s="630">
        <v>106.9619</v>
      </c>
      <c r="H1086" s="630">
        <v>7.08</v>
      </c>
      <c r="I1086" s="627">
        <v>2137</v>
      </c>
      <c r="J1086" s="629" t="s">
        <v>2656</v>
      </c>
    </row>
    <row r="1087" spans="1:10">
      <c r="A1087" s="627">
        <v>907</v>
      </c>
      <c r="B1087" s="628" t="s">
        <v>2893</v>
      </c>
      <c r="C1087" s="629" t="s">
        <v>2894</v>
      </c>
      <c r="D1087" s="629" t="s">
        <v>2654</v>
      </c>
      <c r="E1087" s="629" t="s">
        <v>2808</v>
      </c>
      <c r="F1087" s="630">
        <v>90.103829909734245</v>
      </c>
      <c r="G1087" s="630">
        <v>94.754929909734244</v>
      </c>
      <c r="H1087" s="630">
        <v>20.55</v>
      </c>
      <c r="I1087" s="627">
        <v>3508</v>
      </c>
      <c r="J1087" s="629" t="s">
        <v>2656</v>
      </c>
    </row>
    <row r="1088" spans="1:10">
      <c r="A1088" s="627">
        <v>908</v>
      </c>
      <c r="B1088" s="628" t="s">
        <v>2930</v>
      </c>
      <c r="C1088" s="629" t="s">
        <v>2931</v>
      </c>
      <c r="D1088" s="629" t="s">
        <v>2654</v>
      </c>
      <c r="E1088" s="629" t="s">
        <v>2808</v>
      </c>
      <c r="F1088" s="630">
        <v>90.081836475033526</v>
      </c>
      <c r="G1088" s="630">
        <v>94.126236475033522</v>
      </c>
      <c r="H1088" s="630">
        <v>20.56</v>
      </c>
      <c r="I1088" s="627">
        <v>3520</v>
      </c>
      <c r="J1088" s="629" t="s">
        <v>2656</v>
      </c>
    </row>
    <row r="1089" spans="1:10">
      <c r="A1089" s="627">
        <v>909</v>
      </c>
      <c r="B1089" s="628" t="s">
        <v>2993</v>
      </c>
      <c r="C1089" s="629" t="s">
        <v>2994</v>
      </c>
      <c r="D1089" s="629" t="s">
        <v>2654</v>
      </c>
      <c r="E1089" s="629" t="s">
        <v>2808</v>
      </c>
      <c r="F1089" s="630">
        <v>93.024053141473829</v>
      </c>
      <c r="G1089" s="630">
        <v>95.701553141473823</v>
      </c>
      <c r="H1089" s="630">
        <v>20.55</v>
      </c>
      <c r="I1089" s="627">
        <v>3549</v>
      </c>
      <c r="J1089" s="629" t="s">
        <v>2656</v>
      </c>
    </row>
    <row r="1090" spans="1:10">
      <c r="A1090" s="627">
        <v>910</v>
      </c>
      <c r="B1090" s="628" t="s">
        <v>3019</v>
      </c>
      <c r="C1090" s="629" t="s">
        <v>3020</v>
      </c>
      <c r="D1090" s="629" t="s">
        <v>2654</v>
      </c>
      <c r="E1090" s="629" t="s">
        <v>2808</v>
      </c>
      <c r="F1090" s="630">
        <v>92.989296467033995</v>
      </c>
      <c r="G1090" s="630">
        <v>95.456796467033996</v>
      </c>
      <c r="H1090" s="630">
        <v>20.56</v>
      </c>
      <c r="I1090" s="627">
        <v>3553</v>
      </c>
      <c r="J1090" s="629" t="s">
        <v>2656</v>
      </c>
    </row>
    <row r="1091" spans="1:10">
      <c r="A1091" s="627">
        <v>911</v>
      </c>
      <c r="B1091" s="628" t="s">
        <v>3084</v>
      </c>
      <c r="C1091" s="629" t="s">
        <v>3085</v>
      </c>
      <c r="D1091" s="629" t="s">
        <v>2654</v>
      </c>
      <c r="E1091" s="629" t="s">
        <v>2808</v>
      </c>
      <c r="F1091" s="630">
        <v>93.07888885727705</v>
      </c>
      <c r="G1091" s="630">
        <v>94.338888857277055</v>
      </c>
      <c r="H1091" s="630">
        <v>20.56</v>
      </c>
      <c r="I1091" s="627">
        <v>3576</v>
      </c>
      <c r="J1091" s="629" t="s">
        <v>2656</v>
      </c>
    </row>
    <row r="1092" spans="1:10">
      <c r="A1092" s="627">
        <v>912</v>
      </c>
      <c r="B1092" s="628" t="s">
        <v>2260</v>
      </c>
      <c r="C1092" s="629" t="s">
        <v>2261</v>
      </c>
      <c r="D1092" s="629" t="s">
        <v>2654</v>
      </c>
      <c r="E1092" s="629" t="s">
        <v>2808</v>
      </c>
      <c r="F1092" s="630">
        <v>100</v>
      </c>
      <c r="G1092" s="630">
        <v>101.1183</v>
      </c>
      <c r="H1092" s="630">
        <v>6.08</v>
      </c>
      <c r="I1092" s="627">
        <v>2064</v>
      </c>
      <c r="J1092" s="629" t="s">
        <v>2656</v>
      </c>
    </row>
    <row r="1093" spans="1:10">
      <c r="A1093" s="627">
        <v>913</v>
      </c>
      <c r="B1093" s="628" t="s">
        <v>2262</v>
      </c>
      <c r="C1093" s="629" t="s">
        <v>2263</v>
      </c>
      <c r="D1093" s="629" t="s">
        <v>2654</v>
      </c>
      <c r="E1093" s="629" t="s">
        <v>2808</v>
      </c>
      <c r="F1093" s="630">
        <v>100</v>
      </c>
      <c r="G1093" s="630">
        <v>106.06610000000001</v>
      </c>
      <c r="H1093" s="630">
        <v>6.09</v>
      </c>
      <c r="I1093" s="627">
        <v>2492</v>
      </c>
      <c r="J1093" s="629" t="s">
        <v>2656</v>
      </c>
    </row>
    <row r="1094" spans="1:10">
      <c r="A1094" s="627">
        <v>914</v>
      </c>
      <c r="B1094" s="628" t="s">
        <v>2264</v>
      </c>
      <c r="C1094" s="629" t="s">
        <v>2265</v>
      </c>
      <c r="D1094" s="629" t="s">
        <v>2654</v>
      </c>
      <c r="E1094" s="629" t="s">
        <v>2808</v>
      </c>
      <c r="F1094" s="630">
        <v>100</v>
      </c>
      <c r="G1094" s="630">
        <v>106.06610000000001</v>
      </c>
      <c r="H1094" s="630">
        <v>6.09</v>
      </c>
      <c r="I1094" s="627">
        <v>2492</v>
      </c>
      <c r="J1094" s="629" t="s">
        <v>2656</v>
      </c>
    </row>
    <row r="1095" spans="1:10">
      <c r="A1095" s="627">
        <v>915</v>
      </c>
      <c r="B1095" s="628" t="s">
        <v>2266</v>
      </c>
      <c r="C1095" s="629" t="s">
        <v>2267</v>
      </c>
      <c r="D1095" s="629" t="s">
        <v>2654</v>
      </c>
      <c r="E1095" s="629" t="s">
        <v>2808</v>
      </c>
      <c r="F1095" s="630">
        <v>100</v>
      </c>
      <c r="G1095" s="630">
        <v>104.9308</v>
      </c>
      <c r="H1095" s="630">
        <v>6.08</v>
      </c>
      <c r="I1095" s="627">
        <v>2559</v>
      </c>
      <c r="J1095" s="629" t="s">
        <v>2656</v>
      </c>
    </row>
    <row r="1096" spans="1:10">
      <c r="A1096" s="627">
        <v>916</v>
      </c>
      <c r="B1096" s="628" t="s">
        <v>3021</v>
      </c>
      <c r="C1096" s="629" t="s">
        <v>3022</v>
      </c>
      <c r="D1096" s="629" t="s">
        <v>2654</v>
      </c>
      <c r="E1096" s="629" t="s">
        <v>2808</v>
      </c>
      <c r="F1096" s="630">
        <v>92.118600314729008</v>
      </c>
      <c r="G1096" s="630">
        <v>94.586100314729009</v>
      </c>
      <c r="H1096" s="630">
        <v>20.59</v>
      </c>
      <c r="I1096" s="627">
        <v>5353</v>
      </c>
      <c r="J1096" s="629" t="s">
        <v>2656</v>
      </c>
    </row>
    <row r="1097" spans="1:10">
      <c r="A1097" s="627">
        <v>917</v>
      </c>
      <c r="B1097" s="628" t="s">
        <v>2268</v>
      </c>
      <c r="C1097" s="629" t="s">
        <v>138</v>
      </c>
      <c r="D1097" s="629" t="s">
        <v>2654</v>
      </c>
      <c r="E1097" s="629" t="s">
        <v>137</v>
      </c>
      <c r="F1097" s="630">
        <v>91.014690321604391</v>
      </c>
      <c r="G1097" s="630">
        <v>93.260490321604379</v>
      </c>
      <c r="H1097" s="630">
        <v>16.48</v>
      </c>
      <c r="I1097" s="627">
        <v>643</v>
      </c>
      <c r="J1097" s="629" t="s">
        <v>2656</v>
      </c>
    </row>
    <row r="1098" spans="1:10">
      <c r="A1098" s="627">
        <v>918</v>
      </c>
      <c r="B1098" s="628" t="s">
        <v>733</v>
      </c>
      <c r="C1098" s="629" t="s">
        <v>734</v>
      </c>
      <c r="D1098" s="629" t="s">
        <v>2654</v>
      </c>
      <c r="E1098" s="629" t="s">
        <v>137</v>
      </c>
      <c r="F1098" s="630">
        <v>97.361652319277027</v>
      </c>
      <c r="G1098" s="630">
        <v>98.317252319277031</v>
      </c>
      <c r="H1098" s="630">
        <v>4.67</v>
      </c>
      <c r="I1098" s="627">
        <v>368</v>
      </c>
      <c r="J1098" s="629" t="s">
        <v>2656</v>
      </c>
    </row>
    <row r="1099" spans="1:10">
      <c r="A1099" s="627">
        <v>919</v>
      </c>
      <c r="B1099" s="628" t="s">
        <v>2269</v>
      </c>
      <c r="C1099" s="629" t="s">
        <v>2270</v>
      </c>
      <c r="D1099" s="629" t="s">
        <v>2651</v>
      </c>
      <c r="E1099" s="629" t="s">
        <v>2809</v>
      </c>
      <c r="F1099" s="630">
        <v>0.01</v>
      </c>
      <c r="G1099" s="630">
        <v>0.01</v>
      </c>
      <c r="H1099" s="630">
        <v>0</v>
      </c>
      <c r="I1099" s="627">
        <v>0</v>
      </c>
      <c r="J1099" s="629" t="s">
        <v>2653</v>
      </c>
    </row>
    <row r="1100" spans="1:10">
      <c r="A1100" s="627">
        <v>920</v>
      </c>
      <c r="B1100" s="628" t="s">
        <v>2271</v>
      </c>
      <c r="C1100" s="629" t="s">
        <v>2272</v>
      </c>
      <c r="D1100" s="629" t="s">
        <v>2654</v>
      </c>
      <c r="E1100" s="629" t="s">
        <v>2810</v>
      </c>
      <c r="F1100" s="630">
        <v>99.328219074718703</v>
      </c>
      <c r="G1100" s="630">
        <v>103.6838190747187</v>
      </c>
      <c r="H1100" s="630">
        <v>17.18</v>
      </c>
      <c r="I1100" s="627">
        <v>40</v>
      </c>
      <c r="J1100" s="629" t="s">
        <v>2656</v>
      </c>
    </row>
    <row r="1101" spans="1:10">
      <c r="A1101" s="627">
        <v>921</v>
      </c>
      <c r="B1101" s="628" t="s">
        <v>2273</v>
      </c>
      <c r="C1101" s="629" t="s">
        <v>2274</v>
      </c>
      <c r="D1101" s="629" t="s">
        <v>2654</v>
      </c>
      <c r="E1101" s="629" t="s">
        <v>2811</v>
      </c>
      <c r="F1101" s="630">
        <v>94.747879747797157</v>
      </c>
      <c r="G1101" s="630">
        <v>99.497879747797157</v>
      </c>
      <c r="H1101" s="630">
        <v>30.2</v>
      </c>
      <c r="I1101" s="627">
        <v>3180</v>
      </c>
      <c r="J1101" s="629" t="s">
        <v>2656</v>
      </c>
    </row>
    <row r="1102" spans="1:10">
      <c r="A1102" s="627">
        <v>922</v>
      </c>
      <c r="B1102" s="628" t="s">
        <v>2275</v>
      </c>
      <c r="C1102" s="629" t="s">
        <v>2276</v>
      </c>
      <c r="D1102" s="629" t="s">
        <v>2697</v>
      </c>
      <c r="E1102" s="629" t="s">
        <v>2277</v>
      </c>
      <c r="F1102" s="630">
        <v>356306.33200000005</v>
      </c>
      <c r="G1102" s="630">
        <v>356306.33200000005</v>
      </c>
      <c r="H1102" s="630">
        <v>0</v>
      </c>
      <c r="I1102" s="627">
        <v>0</v>
      </c>
      <c r="J1102" s="629" t="s">
        <v>2653</v>
      </c>
    </row>
    <row r="1103" spans="1:10">
      <c r="A1103" s="627">
        <v>923</v>
      </c>
      <c r="B1103" s="628" t="s">
        <v>2278</v>
      </c>
      <c r="C1103" s="629" t="s">
        <v>2279</v>
      </c>
      <c r="D1103" s="629" t="s">
        <v>2651</v>
      </c>
      <c r="E1103" s="629" t="s">
        <v>2812</v>
      </c>
      <c r="F1103" s="630">
        <v>0.01</v>
      </c>
      <c r="G1103" s="630">
        <v>0.01</v>
      </c>
      <c r="H1103" s="630">
        <v>0</v>
      </c>
      <c r="I1103" s="627">
        <v>0</v>
      </c>
      <c r="J1103" s="629" t="s">
        <v>2653</v>
      </c>
    </row>
    <row r="1104" spans="1:10">
      <c r="A1104" s="627">
        <v>924</v>
      </c>
      <c r="B1104" s="628" t="s">
        <v>2596</v>
      </c>
      <c r="C1104" s="629" t="s">
        <v>2597</v>
      </c>
      <c r="D1104" s="629" t="s">
        <v>2654</v>
      </c>
      <c r="E1104" s="629" t="s">
        <v>2598</v>
      </c>
      <c r="F1104" s="630">
        <v>101.52049463264979</v>
      </c>
      <c r="G1104" s="630">
        <v>104.55379463264978</v>
      </c>
      <c r="H1104" s="630">
        <v>20.22</v>
      </c>
      <c r="I1104" s="627">
        <v>938</v>
      </c>
      <c r="J1104" s="629" t="s">
        <v>2656</v>
      </c>
    </row>
    <row r="1105" spans="1:10">
      <c r="A1105" s="627">
        <v>925</v>
      </c>
      <c r="B1105" s="628" t="s">
        <v>2280</v>
      </c>
      <c r="C1105" s="629" t="s">
        <v>2281</v>
      </c>
      <c r="D1105" s="629" t="s">
        <v>2654</v>
      </c>
      <c r="E1105" s="629" t="s">
        <v>2813</v>
      </c>
      <c r="F1105" s="630">
        <v>100</v>
      </c>
      <c r="G1105" s="630">
        <v>103.1944</v>
      </c>
      <c r="H1105" s="630">
        <v>11.49</v>
      </c>
      <c r="I1105" s="627">
        <v>2240</v>
      </c>
      <c r="J1105" s="629" t="s">
        <v>2656</v>
      </c>
    </row>
    <row r="1106" spans="1:10">
      <c r="A1106" s="627">
        <v>926</v>
      </c>
      <c r="B1106" s="628" t="s">
        <v>2282</v>
      </c>
      <c r="C1106" s="629" t="s">
        <v>2283</v>
      </c>
      <c r="D1106" s="629" t="s">
        <v>2654</v>
      </c>
      <c r="E1106" s="629" t="s">
        <v>2813</v>
      </c>
      <c r="F1106" s="630">
        <v>100</v>
      </c>
      <c r="G1106" s="630">
        <v>105.4528</v>
      </c>
      <c r="H1106" s="630">
        <v>12.99</v>
      </c>
      <c r="I1106" s="627">
        <v>1109</v>
      </c>
      <c r="J1106" s="629" t="s">
        <v>2656</v>
      </c>
    </row>
    <row r="1107" spans="1:10">
      <c r="A1107" s="627">
        <v>927</v>
      </c>
      <c r="B1107" s="628" t="s">
        <v>2284</v>
      </c>
      <c r="C1107" s="629" t="s">
        <v>2285</v>
      </c>
      <c r="D1107" s="629" t="s">
        <v>2654</v>
      </c>
      <c r="E1107" s="629" t="s">
        <v>2681</v>
      </c>
      <c r="F1107" s="630">
        <v>100</v>
      </c>
      <c r="G1107" s="630">
        <v>103.13330000000001</v>
      </c>
      <c r="H1107" s="630">
        <v>7.99</v>
      </c>
      <c r="I1107" s="627">
        <v>399</v>
      </c>
      <c r="J1107" s="629" t="s">
        <v>2656</v>
      </c>
    </row>
    <row r="1108" spans="1:10">
      <c r="A1108" s="627">
        <v>928</v>
      </c>
      <c r="B1108" s="628" t="s">
        <v>2286</v>
      </c>
      <c r="C1108" s="629" t="s">
        <v>2287</v>
      </c>
      <c r="D1108" s="629" t="s">
        <v>2654</v>
      </c>
      <c r="E1108" s="629" t="s">
        <v>2681</v>
      </c>
      <c r="F1108" s="630">
        <v>100</v>
      </c>
      <c r="G1108" s="630">
        <v>103.13330000000001</v>
      </c>
      <c r="H1108" s="630">
        <v>8</v>
      </c>
      <c r="I1108" s="627">
        <v>2199</v>
      </c>
      <c r="J1108" s="629" t="s">
        <v>2656</v>
      </c>
    </row>
    <row r="1109" spans="1:10">
      <c r="A1109" s="627">
        <v>929</v>
      </c>
      <c r="B1109" s="628" t="s">
        <v>2288</v>
      </c>
      <c r="C1109" s="629" t="s">
        <v>2289</v>
      </c>
      <c r="D1109" s="629" t="s">
        <v>2654</v>
      </c>
      <c r="E1109" s="629" t="s">
        <v>2681</v>
      </c>
      <c r="F1109" s="630">
        <v>100</v>
      </c>
      <c r="G1109" s="630">
        <v>100.13330000000001</v>
      </c>
      <c r="H1109" s="630">
        <v>7.99</v>
      </c>
      <c r="I1109" s="627">
        <v>174</v>
      </c>
      <c r="J1109" s="629" t="s">
        <v>2656</v>
      </c>
    </row>
    <row r="1110" spans="1:10">
      <c r="A1110" s="627">
        <v>930</v>
      </c>
      <c r="B1110" s="628" t="s">
        <v>2290</v>
      </c>
      <c r="C1110" s="629" t="s">
        <v>2291</v>
      </c>
      <c r="D1110" s="629" t="s">
        <v>2654</v>
      </c>
      <c r="E1110" s="629" t="s">
        <v>2681</v>
      </c>
      <c r="F1110" s="630">
        <v>100</v>
      </c>
      <c r="G1110" s="630">
        <v>100.13330000000001</v>
      </c>
      <c r="H1110" s="630">
        <v>7.99</v>
      </c>
      <c r="I1110" s="627">
        <v>174</v>
      </c>
      <c r="J1110" s="629" t="s">
        <v>2656</v>
      </c>
    </row>
    <row r="1111" spans="1:10">
      <c r="A1111" s="627">
        <v>931</v>
      </c>
      <c r="B1111" s="628" t="s">
        <v>2292</v>
      </c>
      <c r="C1111" s="629" t="s">
        <v>2293</v>
      </c>
      <c r="D1111" s="629" t="s">
        <v>2654</v>
      </c>
      <c r="E1111" s="629" t="s">
        <v>2681</v>
      </c>
      <c r="F1111" s="630">
        <v>100</v>
      </c>
      <c r="G1111" s="630">
        <v>100.13330000000001</v>
      </c>
      <c r="H1111" s="630">
        <v>8</v>
      </c>
      <c r="I1111" s="627">
        <v>534</v>
      </c>
      <c r="J1111" s="629" t="s">
        <v>2656</v>
      </c>
    </row>
    <row r="1112" spans="1:10">
      <c r="A1112" s="627">
        <v>932</v>
      </c>
      <c r="B1112" s="628" t="s">
        <v>2294</v>
      </c>
      <c r="C1112" s="629" t="s">
        <v>2295</v>
      </c>
      <c r="D1112" s="629" t="s">
        <v>2654</v>
      </c>
      <c r="E1112" s="629" t="s">
        <v>2681</v>
      </c>
      <c r="F1112" s="630">
        <v>100</v>
      </c>
      <c r="G1112" s="630">
        <v>100.13330000000001</v>
      </c>
      <c r="H1112" s="630">
        <v>8</v>
      </c>
      <c r="I1112" s="627">
        <v>534</v>
      </c>
      <c r="J1112" s="629" t="s">
        <v>2656</v>
      </c>
    </row>
    <row r="1113" spans="1:10">
      <c r="A1113" s="627">
        <v>933</v>
      </c>
      <c r="B1113" s="628" t="s">
        <v>2296</v>
      </c>
      <c r="C1113" s="629" t="s">
        <v>2297</v>
      </c>
      <c r="D1113" s="629" t="s">
        <v>2654</v>
      </c>
      <c r="E1113" s="629" t="s">
        <v>2814</v>
      </c>
      <c r="F1113" s="630">
        <v>90.796794434519924</v>
      </c>
      <c r="G1113" s="630">
        <v>94.143294434519916</v>
      </c>
      <c r="H1113" s="630">
        <v>23.47</v>
      </c>
      <c r="I1113" s="627">
        <v>1379</v>
      </c>
      <c r="J1113" s="629" t="s">
        <v>2656</v>
      </c>
    </row>
    <row r="1114" spans="1:10">
      <c r="A1114" s="627">
        <v>934</v>
      </c>
      <c r="B1114" s="628" t="s">
        <v>2298</v>
      </c>
      <c r="C1114" s="629" t="s">
        <v>2299</v>
      </c>
      <c r="D1114" s="629" t="s">
        <v>2654</v>
      </c>
      <c r="E1114" s="629" t="s">
        <v>2815</v>
      </c>
      <c r="F1114" s="630">
        <v>100</v>
      </c>
      <c r="G1114" s="630">
        <v>100.9208</v>
      </c>
      <c r="H1114" s="630">
        <v>4.2300000000000004</v>
      </c>
      <c r="I1114" s="627">
        <v>222</v>
      </c>
      <c r="J1114" s="629" t="s">
        <v>2656</v>
      </c>
    </row>
    <row r="1115" spans="1:10">
      <c r="A1115" s="627">
        <v>935</v>
      </c>
      <c r="B1115" s="628" t="s">
        <v>2300</v>
      </c>
      <c r="C1115" s="629" t="s">
        <v>2301</v>
      </c>
      <c r="D1115" s="629" t="s">
        <v>2654</v>
      </c>
      <c r="E1115" s="629" t="s">
        <v>2815</v>
      </c>
      <c r="F1115" s="630">
        <v>100</v>
      </c>
      <c r="G1115" s="630">
        <v>100.1439</v>
      </c>
      <c r="H1115" s="630">
        <v>0.35</v>
      </c>
      <c r="I1115" s="627">
        <v>32</v>
      </c>
      <c r="J1115" s="629" t="s">
        <v>2656</v>
      </c>
    </row>
    <row r="1116" spans="1:10">
      <c r="A1116" s="627">
        <v>936</v>
      </c>
      <c r="B1116" s="628" t="s">
        <v>2302</v>
      </c>
      <c r="C1116" s="629" t="s">
        <v>2303</v>
      </c>
      <c r="D1116" s="629" t="s">
        <v>2654</v>
      </c>
      <c r="E1116" s="629" t="s">
        <v>2815</v>
      </c>
      <c r="F1116" s="630">
        <v>100</v>
      </c>
      <c r="G1116" s="630">
        <v>100.1293</v>
      </c>
      <c r="H1116" s="630">
        <v>0.35</v>
      </c>
      <c r="I1116" s="627">
        <v>227</v>
      </c>
      <c r="J1116" s="629" t="s">
        <v>2656</v>
      </c>
    </row>
    <row r="1117" spans="1:10">
      <c r="A1117" s="627">
        <v>937</v>
      </c>
      <c r="B1117" s="628" t="s">
        <v>2553</v>
      </c>
      <c r="C1117" s="629" t="s">
        <v>2554</v>
      </c>
      <c r="D1117" s="629" t="s">
        <v>2654</v>
      </c>
      <c r="E1117" s="629" t="s">
        <v>2815</v>
      </c>
      <c r="F1117" s="630">
        <v>100</v>
      </c>
      <c r="G1117" s="630">
        <v>100.15170000000001</v>
      </c>
      <c r="H1117" s="630">
        <v>0.35</v>
      </c>
      <c r="I1117" s="627">
        <v>564</v>
      </c>
      <c r="J1117" s="629" t="s">
        <v>2656</v>
      </c>
    </row>
    <row r="1118" spans="1:10">
      <c r="A1118" s="627">
        <v>938</v>
      </c>
      <c r="B1118" s="628" t="s">
        <v>2304</v>
      </c>
      <c r="C1118" s="629" t="s">
        <v>2305</v>
      </c>
      <c r="D1118" s="629" t="s">
        <v>2654</v>
      </c>
      <c r="E1118" s="629" t="s">
        <v>2815</v>
      </c>
      <c r="F1118" s="630">
        <v>100</v>
      </c>
      <c r="G1118" s="630">
        <v>100.0168</v>
      </c>
      <c r="H1118" s="630">
        <v>0.02</v>
      </c>
      <c r="I1118" s="627">
        <v>3040</v>
      </c>
      <c r="J1118" s="629" t="s">
        <v>2656</v>
      </c>
    </row>
    <row r="1119" spans="1:10">
      <c r="A1119" s="627">
        <v>939</v>
      </c>
      <c r="B1119" s="628" t="s">
        <v>2306</v>
      </c>
      <c r="C1119" s="629" t="s">
        <v>2307</v>
      </c>
      <c r="D1119" s="629" t="s">
        <v>2654</v>
      </c>
      <c r="E1119" s="629" t="s">
        <v>2815</v>
      </c>
      <c r="F1119" s="630">
        <v>100</v>
      </c>
      <c r="G1119" s="630">
        <v>105.8378</v>
      </c>
      <c r="H1119" s="630">
        <v>7.05</v>
      </c>
      <c r="I1119" s="627">
        <v>2137</v>
      </c>
      <c r="J1119" s="629" t="s">
        <v>2656</v>
      </c>
    </row>
    <row r="1120" spans="1:10">
      <c r="A1120" s="627">
        <v>940</v>
      </c>
      <c r="B1120" s="628" t="s">
        <v>2308</v>
      </c>
      <c r="C1120" s="629" t="s">
        <v>2309</v>
      </c>
      <c r="D1120" s="629" t="s">
        <v>2654</v>
      </c>
      <c r="E1120" s="629" t="s">
        <v>2815</v>
      </c>
      <c r="F1120" s="630">
        <v>100</v>
      </c>
      <c r="G1120" s="630">
        <v>100.0067</v>
      </c>
      <c r="H1120" s="630">
        <v>0.02</v>
      </c>
      <c r="I1120" s="627">
        <v>3040</v>
      </c>
      <c r="J1120" s="629" t="s">
        <v>2656</v>
      </c>
    </row>
    <row r="1121" spans="1:10">
      <c r="A1121" s="627">
        <v>941</v>
      </c>
      <c r="B1121" s="628" t="s">
        <v>2310</v>
      </c>
      <c r="C1121" s="629" t="s">
        <v>2311</v>
      </c>
      <c r="D1121" s="629" t="s">
        <v>2654</v>
      </c>
      <c r="E1121" s="629" t="s">
        <v>2815</v>
      </c>
      <c r="F1121" s="630">
        <v>100</v>
      </c>
      <c r="G1121" s="630">
        <v>100.0072</v>
      </c>
      <c r="H1121" s="630">
        <v>0.02</v>
      </c>
      <c r="I1121" s="627">
        <v>3040</v>
      </c>
      <c r="J1121" s="629" t="s">
        <v>2656</v>
      </c>
    </row>
    <row r="1122" spans="1:10">
      <c r="A1122" s="627">
        <v>942</v>
      </c>
      <c r="B1122" s="628" t="s">
        <v>2312</v>
      </c>
      <c r="C1122" s="629" t="s">
        <v>2313</v>
      </c>
      <c r="D1122" s="629" t="s">
        <v>2654</v>
      </c>
      <c r="E1122" s="629" t="s">
        <v>2815</v>
      </c>
      <c r="F1122" s="630">
        <v>100</v>
      </c>
      <c r="G1122" s="630">
        <v>101.9486</v>
      </c>
      <c r="H1122" s="630">
        <v>6.08</v>
      </c>
      <c r="I1122" s="627">
        <v>1655</v>
      </c>
      <c r="J1122" s="629" t="s">
        <v>2656</v>
      </c>
    </row>
    <row r="1123" spans="1:10">
      <c r="A1123" s="627">
        <v>943</v>
      </c>
      <c r="B1123" s="628" t="s">
        <v>2314</v>
      </c>
      <c r="C1123" s="629" t="s">
        <v>2315</v>
      </c>
      <c r="D1123" s="629" t="s">
        <v>2654</v>
      </c>
      <c r="E1123" s="629" t="s">
        <v>2815</v>
      </c>
      <c r="F1123" s="630">
        <v>100</v>
      </c>
      <c r="G1123" s="630">
        <v>101.1183</v>
      </c>
      <c r="H1123" s="630">
        <v>6.08</v>
      </c>
      <c r="I1123" s="627">
        <v>2064</v>
      </c>
      <c r="J1123" s="629" t="s">
        <v>2656</v>
      </c>
    </row>
    <row r="1124" spans="1:10">
      <c r="A1124" s="627">
        <v>944</v>
      </c>
      <c r="B1124" s="628" t="s">
        <v>2316</v>
      </c>
      <c r="C1124" s="629" t="s">
        <v>2317</v>
      </c>
      <c r="D1124" s="629" t="s">
        <v>2654</v>
      </c>
      <c r="E1124" s="629" t="s">
        <v>2815</v>
      </c>
      <c r="F1124" s="630">
        <v>100</v>
      </c>
      <c r="G1124" s="630">
        <v>103.8633</v>
      </c>
      <c r="H1124" s="630">
        <v>6.06</v>
      </c>
      <c r="I1124" s="627">
        <v>2562</v>
      </c>
      <c r="J1124" s="629" t="s">
        <v>2656</v>
      </c>
    </row>
    <row r="1125" spans="1:10">
      <c r="A1125" s="627">
        <v>945</v>
      </c>
      <c r="B1125" s="628" t="s">
        <v>2318</v>
      </c>
      <c r="C1125" s="629" t="s">
        <v>2319</v>
      </c>
      <c r="D1125" s="629" t="s">
        <v>2654</v>
      </c>
      <c r="E1125" s="629" t="s">
        <v>2815</v>
      </c>
      <c r="F1125" s="630">
        <v>100</v>
      </c>
      <c r="G1125" s="630">
        <v>106.06610000000001</v>
      </c>
      <c r="H1125" s="630">
        <v>6.09</v>
      </c>
      <c r="I1125" s="627">
        <v>2492</v>
      </c>
      <c r="J1125" s="629" t="s">
        <v>2656</v>
      </c>
    </row>
    <row r="1126" spans="1:10">
      <c r="A1126" s="627">
        <v>946</v>
      </c>
      <c r="B1126" s="628" t="s">
        <v>2320</v>
      </c>
      <c r="C1126" s="629" t="s">
        <v>2321</v>
      </c>
      <c r="D1126" s="629" t="s">
        <v>2654</v>
      </c>
      <c r="E1126" s="629" t="s">
        <v>2815</v>
      </c>
      <c r="F1126" s="630">
        <v>100</v>
      </c>
      <c r="G1126" s="630">
        <v>106.06610000000001</v>
      </c>
      <c r="H1126" s="630">
        <v>6.09</v>
      </c>
      <c r="I1126" s="627">
        <v>2492</v>
      </c>
      <c r="J1126" s="629" t="s">
        <v>2656</v>
      </c>
    </row>
    <row r="1127" spans="1:10">
      <c r="A1127" s="627">
        <v>947</v>
      </c>
      <c r="B1127" s="628" t="s">
        <v>2322</v>
      </c>
      <c r="C1127" s="629" t="s">
        <v>2323</v>
      </c>
      <c r="D1127" s="629" t="s">
        <v>2654</v>
      </c>
      <c r="E1127" s="629" t="s">
        <v>2815</v>
      </c>
      <c r="F1127" s="630">
        <v>100</v>
      </c>
      <c r="G1127" s="630">
        <v>104.9308</v>
      </c>
      <c r="H1127" s="630">
        <v>6.08</v>
      </c>
      <c r="I1127" s="627">
        <v>2559</v>
      </c>
      <c r="J1127" s="629" t="s">
        <v>2656</v>
      </c>
    </row>
    <row r="1128" spans="1:10">
      <c r="A1128" s="627">
        <v>948</v>
      </c>
      <c r="B1128" s="628" t="s">
        <v>2324</v>
      </c>
      <c r="C1128" s="629" t="s">
        <v>2325</v>
      </c>
      <c r="D1128" s="629" t="s">
        <v>2697</v>
      </c>
      <c r="E1128" s="629" t="s">
        <v>1647</v>
      </c>
      <c r="F1128" s="630">
        <v>48906.583200000008</v>
      </c>
      <c r="G1128" s="630">
        <v>48906.583200000008</v>
      </c>
      <c r="H1128" s="630">
        <v>0</v>
      </c>
      <c r="I1128" s="627">
        <v>0</v>
      </c>
      <c r="J1128" s="629" t="s">
        <v>2653</v>
      </c>
    </row>
    <row r="1129" spans="1:10">
      <c r="A1129" s="627">
        <v>949</v>
      </c>
      <c r="B1129" s="628" t="s">
        <v>2326</v>
      </c>
      <c r="C1129" s="629" t="s">
        <v>2327</v>
      </c>
      <c r="D1129" s="629" t="s">
        <v>2654</v>
      </c>
      <c r="E1129" s="629" t="s">
        <v>134</v>
      </c>
      <c r="F1129" s="630">
        <v>95.636998371151734</v>
      </c>
      <c r="G1129" s="630">
        <v>101.18839837115173</v>
      </c>
      <c r="H1129" s="630">
        <v>20.62</v>
      </c>
      <c r="I1129" s="627">
        <v>185</v>
      </c>
      <c r="J1129" s="629" t="s">
        <v>2656</v>
      </c>
    </row>
    <row r="1130" spans="1:10">
      <c r="A1130" s="627">
        <v>950</v>
      </c>
      <c r="B1130" s="628" t="s">
        <v>2328</v>
      </c>
      <c r="C1130" s="629" t="s">
        <v>2329</v>
      </c>
      <c r="D1130" s="629" t="s">
        <v>2654</v>
      </c>
      <c r="E1130" s="629" t="s">
        <v>134</v>
      </c>
      <c r="F1130" s="630">
        <v>87.690910411459541</v>
      </c>
      <c r="G1130" s="630">
        <v>90.257610411459552</v>
      </c>
      <c r="H1130" s="630">
        <v>19.54</v>
      </c>
      <c r="I1130" s="627">
        <v>634</v>
      </c>
      <c r="J1130" s="629" t="s">
        <v>2656</v>
      </c>
    </row>
    <row r="1131" spans="1:10">
      <c r="A1131" s="627">
        <v>951</v>
      </c>
      <c r="B1131" s="628" t="s">
        <v>2330</v>
      </c>
      <c r="C1131" s="629" t="s">
        <v>2331</v>
      </c>
      <c r="D1131" s="629" t="s">
        <v>2654</v>
      </c>
      <c r="E1131" s="629" t="s">
        <v>134</v>
      </c>
      <c r="F1131" s="630">
        <v>27.022849481919831</v>
      </c>
      <c r="G1131" s="630">
        <v>27.356149481919832</v>
      </c>
      <c r="H1131" s="630">
        <v>19.82</v>
      </c>
      <c r="I1131" s="627">
        <v>3180</v>
      </c>
      <c r="J1131" s="629" t="s">
        <v>2656</v>
      </c>
    </row>
    <row r="1132" spans="1:10">
      <c r="A1132" s="627">
        <v>952</v>
      </c>
      <c r="B1132" s="628" t="s">
        <v>2332</v>
      </c>
      <c r="C1132" s="629" t="s">
        <v>156</v>
      </c>
      <c r="D1132" s="629" t="s">
        <v>2654</v>
      </c>
      <c r="E1132" s="629" t="s">
        <v>134</v>
      </c>
      <c r="F1132" s="630">
        <v>65.893619620883428</v>
      </c>
      <c r="G1132" s="630">
        <v>66.436719620883423</v>
      </c>
      <c r="H1132" s="630">
        <v>19.77</v>
      </c>
      <c r="I1132" s="627">
        <v>3223</v>
      </c>
      <c r="J1132" s="629" t="s">
        <v>2656</v>
      </c>
    </row>
    <row r="1133" spans="1:10">
      <c r="A1133" s="627">
        <v>953</v>
      </c>
      <c r="B1133" s="628" t="s">
        <v>2333</v>
      </c>
      <c r="C1133" s="629" t="s">
        <v>157</v>
      </c>
      <c r="D1133" s="629" t="s">
        <v>2654</v>
      </c>
      <c r="E1133" s="629" t="s">
        <v>134</v>
      </c>
      <c r="F1133" s="630">
        <v>65.960296907617035</v>
      </c>
      <c r="G1133" s="630">
        <v>67.174196907617045</v>
      </c>
      <c r="H1133" s="630">
        <v>19.760000000000002</v>
      </c>
      <c r="I1133" s="627">
        <v>3202</v>
      </c>
      <c r="J1133" s="629" t="s">
        <v>2656</v>
      </c>
    </row>
    <row r="1134" spans="1:10">
      <c r="A1134" s="627">
        <v>954</v>
      </c>
      <c r="B1134" s="628" t="s">
        <v>2334</v>
      </c>
      <c r="C1134" s="629" t="s">
        <v>2335</v>
      </c>
      <c r="D1134" s="629" t="s">
        <v>2651</v>
      </c>
      <c r="E1134" s="629" t="s">
        <v>2816</v>
      </c>
      <c r="F1134" s="630">
        <v>0.01</v>
      </c>
      <c r="G1134" s="630">
        <v>0.01</v>
      </c>
      <c r="H1134" s="630">
        <v>0</v>
      </c>
      <c r="I1134" s="627">
        <v>0</v>
      </c>
      <c r="J1134" s="629" t="s">
        <v>2653</v>
      </c>
    </row>
    <row r="1135" spans="1:10">
      <c r="A1135" s="627">
        <v>955</v>
      </c>
      <c r="B1135" s="628" t="s">
        <v>2336</v>
      </c>
      <c r="C1135" s="629" t="s">
        <v>2337</v>
      </c>
      <c r="D1135" s="629" t="s">
        <v>2651</v>
      </c>
      <c r="E1135" s="629" t="s">
        <v>2817</v>
      </c>
      <c r="F1135" s="630">
        <v>2740</v>
      </c>
      <c r="G1135" s="630">
        <v>2740</v>
      </c>
      <c r="H1135" s="630">
        <v>0</v>
      </c>
      <c r="I1135" s="627">
        <v>0</v>
      </c>
      <c r="J1135" s="629" t="s">
        <v>2653</v>
      </c>
    </row>
    <row r="1136" spans="1:10">
      <c r="A1136" s="627">
        <v>956</v>
      </c>
      <c r="B1136" s="628" t="s">
        <v>2338</v>
      </c>
      <c r="C1136" s="629" t="s">
        <v>2339</v>
      </c>
      <c r="D1136" s="629" t="s">
        <v>2654</v>
      </c>
      <c r="E1136" s="629" t="s">
        <v>2818</v>
      </c>
      <c r="F1136" s="630">
        <v>106.22859551020755</v>
      </c>
      <c r="G1136" s="630">
        <v>109.91399551020756</v>
      </c>
      <c r="H1136" s="630">
        <v>5.65</v>
      </c>
      <c r="I1136" s="627">
        <v>1266</v>
      </c>
      <c r="J1136" s="629" t="s">
        <v>2656</v>
      </c>
    </row>
    <row r="1137" spans="1:10">
      <c r="A1137" s="627">
        <v>957</v>
      </c>
      <c r="B1137" s="628" t="s">
        <v>2340</v>
      </c>
      <c r="C1137" s="629" t="s">
        <v>2341</v>
      </c>
      <c r="D1137" s="629" t="s">
        <v>2651</v>
      </c>
      <c r="E1137" s="629" t="s">
        <v>2650</v>
      </c>
      <c r="F1137" s="630">
        <v>0.01</v>
      </c>
      <c r="G1137" s="630">
        <v>0.01</v>
      </c>
      <c r="H1137" s="630">
        <v>0</v>
      </c>
      <c r="I1137" s="627">
        <v>0</v>
      </c>
      <c r="J1137" s="629" t="s">
        <v>2653</v>
      </c>
    </row>
    <row r="1138" spans="1:10">
      <c r="A1138" s="627">
        <v>958</v>
      </c>
      <c r="B1138" s="628" t="s">
        <v>2342</v>
      </c>
      <c r="C1138" s="629" t="s">
        <v>2343</v>
      </c>
      <c r="D1138" s="629" t="s">
        <v>2654</v>
      </c>
      <c r="E1138" s="629" t="s">
        <v>2650</v>
      </c>
      <c r="F1138" s="630">
        <v>83.987943254266469</v>
      </c>
      <c r="G1138" s="630">
        <v>87.387943254266474</v>
      </c>
      <c r="H1138" s="630">
        <v>16.78</v>
      </c>
      <c r="I1138" s="627">
        <v>944</v>
      </c>
      <c r="J1138" s="629" t="s">
        <v>2656</v>
      </c>
    </row>
    <row r="1139" spans="1:10">
      <c r="A1139" s="627">
        <v>959</v>
      </c>
      <c r="B1139" s="628" t="s">
        <v>2344</v>
      </c>
      <c r="C1139" s="629" t="s">
        <v>2345</v>
      </c>
      <c r="D1139" s="629" t="s">
        <v>2654</v>
      </c>
      <c r="E1139" s="629" t="s">
        <v>2650</v>
      </c>
      <c r="F1139" s="630">
        <v>9.0577219339853858</v>
      </c>
      <c r="G1139" s="630">
        <v>9.1144219339853851</v>
      </c>
      <c r="H1139" s="630">
        <v>17.2</v>
      </c>
      <c r="I1139" s="627">
        <v>5411</v>
      </c>
      <c r="J1139" s="629" t="s">
        <v>2656</v>
      </c>
    </row>
    <row r="1140" spans="1:10">
      <c r="A1140" s="627">
        <v>960</v>
      </c>
      <c r="B1140" s="628" t="s">
        <v>2346</v>
      </c>
      <c r="C1140" s="629" t="s">
        <v>2347</v>
      </c>
      <c r="D1140" s="629" t="s">
        <v>2654</v>
      </c>
      <c r="E1140" s="629" t="s">
        <v>2650</v>
      </c>
      <c r="F1140" s="630">
        <v>26.357697833508084</v>
      </c>
      <c r="G1140" s="630">
        <v>26.430497833508085</v>
      </c>
      <c r="H1140" s="630">
        <v>17.72</v>
      </c>
      <c r="I1140" s="627">
        <v>2978</v>
      </c>
      <c r="J1140" s="629" t="s">
        <v>2656</v>
      </c>
    </row>
    <row r="1141" spans="1:10">
      <c r="A1141" s="627">
        <v>961</v>
      </c>
      <c r="B1141" s="628" t="s">
        <v>2348</v>
      </c>
      <c r="C1141" s="629" t="s">
        <v>2349</v>
      </c>
      <c r="D1141" s="629" t="s">
        <v>2654</v>
      </c>
      <c r="E1141" s="629" t="s">
        <v>2650</v>
      </c>
      <c r="F1141" s="630">
        <v>26.357697833508084</v>
      </c>
      <c r="G1141" s="630">
        <v>26.430497833508085</v>
      </c>
      <c r="H1141" s="630">
        <v>17.72</v>
      </c>
      <c r="I1141" s="627">
        <v>2978</v>
      </c>
      <c r="J1141" s="629" t="s">
        <v>2656</v>
      </c>
    </row>
    <row r="1142" spans="1:10">
      <c r="A1142" s="627">
        <v>962</v>
      </c>
      <c r="B1142" s="628" t="s">
        <v>2350</v>
      </c>
      <c r="C1142" s="629" t="s">
        <v>2351</v>
      </c>
      <c r="D1142" s="629" t="s">
        <v>2654</v>
      </c>
      <c r="E1142" s="629" t="s">
        <v>2650</v>
      </c>
      <c r="F1142" s="630">
        <v>4.2985760033473381</v>
      </c>
      <c r="G1142" s="630">
        <v>4.3693760033473383</v>
      </c>
      <c r="H1142" s="630">
        <v>17.43</v>
      </c>
      <c r="I1142" s="627">
        <v>7211</v>
      </c>
      <c r="J1142" s="629" t="s">
        <v>2656</v>
      </c>
    </row>
    <row r="1143" spans="1:10">
      <c r="A1143" s="627">
        <v>963</v>
      </c>
      <c r="B1143" s="628" t="s">
        <v>2352</v>
      </c>
      <c r="C1143" s="629" t="s">
        <v>2353</v>
      </c>
      <c r="D1143" s="629" t="s">
        <v>2654</v>
      </c>
      <c r="E1143" s="629" t="s">
        <v>2650</v>
      </c>
      <c r="F1143" s="630">
        <v>9.0591472942591391</v>
      </c>
      <c r="G1143" s="630">
        <v>9.1577472942591385</v>
      </c>
      <c r="H1143" s="630">
        <v>16.41</v>
      </c>
      <c r="I1143" s="627">
        <v>5411</v>
      </c>
      <c r="J1143" s="629" t="s">
        <v>2656</v>
      </c>
    </row>
    <row r="1144" spans="1:10">
      <c r="A1144" s="627">
        <v>964</v>
      </c>
      <c r="B1144" s="628" t="s">
        <v>735</v>
      </c>
      <c r="C1144" s="629" t="s">
        <v>736</v>
      </c>
      <c r="D1144" s="629" t="s">
        <v>2654</v>
      </c>
      <c r="E1144" s="629" t="s">
        <v>2650</v>
      </c>
      <c r="F1144" s="630">
        <v>26.511089682339264</v>
      </c>
      <c r="G1144" s="630">
        <v>26.512489682339265</v>
      </c>
      <c r="H1144" s="630">
        <v>16.66</v>
      </c>
      <c r="I1144" s="627">
        <v>2965</v>
      </c>
      <c r="J1144" s="629" t="s">
        <v>2656</v>
      </c>
    </row>
    <row r="1145" spans="1:10">
      <c r="A1145" s="627">
        <v>965</v>
      </c>
      <c r="B1145" s="628" t="s">
        <v>2354</v>
      </c>
      <c r="C1145" s="629" t="s">
        <v>2355</v>
      </c>
      <c r="D1145" s="629" t="s">
        <v>2654</v>
      </c>
      <c r="E1145" s="629" t="s">
        <v>2650</v>
      </c>
      <c r="F1145" s="630">
        <v>26.42744635297338</v>
      </c>
      <c r="G1145" s="630">
        <v>26.501846352973381</v>
      </c>
      <c r="H1145" s="630">
        <v>17.72</v>
      </c>
      <c r="I1145" s="627">
        <v>2972</v>
      </c>
      <c r="J1145" s="629" t="s">
        <v>2656</v>
      </c>
    </row>
    <row r="1146" spans="1:10">
      <c r="A1146" s="627">
        <v>966</v>
      </c>
      <c r="B1146" s="628" t="s">
        <v>2356</v>
      </c>
      <c r="C1146" s="629" t="s">
        <v>2357</v>
      </c>
      <c r="D1146" s="629" t="s">
        <v>2654</v>
      </c>
      <c r="E1146" s="629" t="s">
        <v>2650</v>
      </c>
      <c r="F1146" s="630">
        <v>26.357697833508084</v>
      </c>
      <c r="G1146" s="630">
        <v>26.430497833508085</v>
      </c>
      <c r="H1146" s="630">
        <v>17.72</v>
      </c>
      <c r="I1146" s="627">
        <v>2978</v>
      </c>
      <c r="J1146" s="629" t="s">
        <v>2656</v>
      </c>
    </row>
    <row r="1147" spans="1:10">
      <c r="A1147" s="627">
        <v>967</v>
      </c>
      <c r="B1147" s="628" t="s">
        <v>737</v>
      </c>
      <c r="C1147" s="629" t="s">
        <v>738</v>
      </c>
      <c r="D1147" s="629" t="s">
        <v>2654</v>
      </c>
      <c r="E1147" s="629" t="s">
        <v>2650</v>
      </c>
      <c r="F1147" s="630">
        <v>26.42744635297338</v>
      </c>
      <c r="G1147" s="630">
        <v>26.501846352973381</v>
      </c>
      <c r="H1147" s="630">
        <v>17.72</v>
      </c>
      <c r="I1147" s="627">
        <v>2972</v>
      </c>
      <c r="J1147" s="629" t="s">
        <v>2656</v>
      </c>
    </row>
    <row r="1148" spans="1:10">
      <c r="A1148" s="627">
        <v>968</v>
      </c>
      <c r="B1148" s="628" t="s">
        <v>2358</v>
      </c>
      <c r="C1148" s="629" t="s">
        <v>2359</v>
      </c>
      <c r="D1148" s="629" t="s">
        <v>2654</v>
      </c>
      <c r="E1148" s="629" t="s">
        <v>2650</v>
      </c>
      <c r="F1148" s="630">
        <v>98.44298182408528</v>
      </c>
      <c r="G1148" s="630">
        <v>105.84298182408529</v>
      </c>
      <c r="H1148" s="630">
        <v>17.98</v>
      </c>
      <c r="I1148" s="627">
        <v>64</v>
      </c>
      <c r="J1148" s="629" t="s">
        <v>2656</v>
      </c>
    </row>
    <row r="1149" spans="1:10">
      <c r="A1149" s="627">
        <v>969</v>
      </c>
      <c r="B1149" s="628" t="s">
        <v>2360</v>
      </c>
      <c r="C1149" s="629" t="s">
        <v>2361</v>
      </c>
      <c r="D1149" s="629" t="s">
        <v>2654</v>
      </c>
      <c r="E1149" s="629" t="s">
        <v>2650</v>
      </c>
      <c r="F1149" s="630">
        <v>86.610834026493606</v>
      </c>
      <c r="G1149" s="630">
        <v>88.673334026493606</v>
      </c>
      <c r="H1149" s="630">
        <v>16.73</v>
      </c>
      <c r="I1149" s="627">
        <v>621</v>
      </c>
      <c r="J1149" s="629" t="s">
        <v>2656</v>
      </c>
    </row>
    <row r="1150" spans="1:10">
      <c r="A1150" s="627">
        <v>970</v>
      </c>
      <c r="B1150" s="628" t="s">
        <v>2362</v>
      </c>
      <c r="C1150" s="629" t="s">
        <v>2363</v>
      </c>
      <c r="D1150" s="629" t="s">
        <v>2651</v>
      </c>
      <c r="E1150" s="629" t="s">
        <v>2650</v>
      </c>
      <c r="F1150" s="630">
        <v>590</v>
      </c>
      <c r="G1150" s="630">
        <v>590</v>
      </c>
      <c r="H1150" s="630">
        <v>0</v>
      </c>
      <c r="I1150" s="627">
        <v>0</v>
      </c>
      <c r="J1150" s="629" t="s">
        <v>2653</v>
      </c>
    </row>
    <row r="1151" spans="1:10">
      <c r="A1151" s="627">
        <v>971</v>
      </c>
      <c r="B1151" s="628" t="s">
        <v>2364</v>
      </c>
      <c r="C1151" s="629" t="s">
        <v>2365</v>
      </c>
      <c r="D1151" s="629" t="s">
        <v>2651</v>
      </c>
      <c r="E1151" s="629" t="s">
        <v>2366</v>
      </c>
      <c r="F1151" s="630">
        <v>235735.16240000003</v>
      </c>
      <c r="G1151" s="630">
        <v>235735.16240000003</v>
      </c>
      <c r="H1151" s="630">
        <v>0</v>
      </c>
      <c r="I1151" s="627">
        <v>0</v>
      </c>
      <c r="J1151" s="629" t="s">
        <v>2653</v>
      </c>
    </row>
    <row r="1152" spans="1:10">
      <c r="A1152" s="627">
        <v>972</v>
      </c>
      <c r="B1152" s="628" t="s">
        <v>2875</v>
      </c>
      <c r="C1152" s="629" t="s">
        <v>2876</v>
      </c>
      <c r="D1152" s="629" t="s">
        <v>2654</v>
      </c>
      <c r="E1152" s="629" t="s">
        <v>2819</v>
      </c>
      <c r="F1152" s="630">
        <v>51.012804062444332</v>
      </c>
      <c r="G1152" s="630">
        <v>51.512804062444332</v>
      </c>
      <c r="H1152" s="630">
        <v>52.95</v>
      </c>
      <c r="I1152" s="627">
        <v>980</v>
      </c>
      <c r="J1152" s="629" t="s">
        <v>2656</v>
      </c>
    </row>
    <row r="1153" spans="1:10">
      <c r="A1153" s="627">
        <v>973</v>
      </c>
      <c r="B1153" s="628" t="s">
        <v>2367</v>
      </c>
      <c r="C1153" s="629" t="s">
        <v>2368</v>
      </c>
      <c r="D1153" s="629" t="s">
        <v>2654</v>
      </c>
      <c r="E1153" s="629" t="s">
        <v>2819</v>
      </c>
      <c r="F1153" s="630">
        <v>96.518433014730491</v>
      </c>
      <c r="G1153" s="630">
        <v>99.462833014730492</v>
      </c>
      <c r="H1153" s="630">
        <v>56.34</v>
      </c>
      <c r="I1153" s="627">
        <v>37</v>
      </c>
      <c r="J1153" s="629" t="s">
        <v>2656</v>
      </c>
    </row>
    <row r="1154" spans="1:10">
      <c r="A1154" s="627">
        <v>974</v>
      </c>
      <c r="B1154" s="628" t="s">
        <v>2369</v>
      </c>
      <c r="C1154" s="629" t="s">
        <v>2370</v>
      </c>
      <c r="D1154" s="629" t="s">
        <v>2654</v>
      </c>
      <c r="E1154" s="629" t="s">
        <v>2819</v>
      </c>
      <c r="F1154" s="630">
        <v>96.919013037574558</v>
      </c>
      <c r="G1154" s="630">
        <v>100.14121303757456</v>
      </c>
      <c r="H1154" s="630">
        <v>57.02</v>
      </c>
      <c r="I1154" s="627">
        <v>32</v>
      </c>
      <c r="J1154" s="629" t="s">
        <v>2656</v>
      </c>
    </row>
    <row r="1155" spans="1:10">
      <c r="A1155" s="627">
        <v>975</v>
      </c>
      <c r="B1155" s="628" t="s">
        <v>2371</v>
      </c>
      <c r="C1155" s="629" t="s">
        <v>2372</v>
      </c>
      <c r="D1155" s="629" t="s">
        <v>2651</v>
      </c>
      <c r="E1155" s="629" t="s">
        <v>2373</v>
      </c>
      <c r="F1155" s="630">
        <v>94492.498400000011</v>
      </c>
      <c r="G1155" s="630">
        <v>94492.498400000011</v>
      </c>
      <c r="H1155" s="630">
        <v>0</v>
      </c>
      <c r="I1155" s="627">
        <v>0</v>
      </c>
      <c r="J1155" s="629" t="s">
        <v>2653</v>
      </c>
    </row>
    <row r="1156" spans="1:10">
      <c r="A1156" s="627">
        <v>976</v>
      </c>
      <c r="B1156" s="628" t="s">
        <v>2374</v>
      </c>
      <c r="C1156" s="629" t="s">
        <v>2375</v>
      </c>
      <c r="D1156" s="629" t="s">
        <v>2651</v>
      </c>
      <c r="E1156" s="629" t="s">
        <v>2376</v>
      </c>
      <c r="F1156" s="630">
        <v>14178.042400000002</v>
      </c>
      <c r="G1156" s="630">
        <v>14178.042400000002</v>
      </c>
      <c r="H1156" s="630">
        <v>0</v>
      </c>
      <c r="I1156" s="627">
        <v>0</v>
      </c>
      <c r="J1156" s="629" t="s">
        <v>2653</v>
      </c>
    </row>
    <row r="1157" spans="1:10">
      <c r="A1157" s="627">
        <v>977</v>
      </c>
      <c r="B1157" s="628" t="s">
        <v>2377</v>
      </c>
      <c r="C1157" s="629" t="s">
        <v>2378</v>
      </c>
      <c r="D1157" s="629" t="s">
        <v>2651</v>
      </c>
      <c r="E1157" s="629" t="s">
        <v>2379</v>
      </c>
      <c r="F1157" s="630">
        <v>49718.600800000007</v>
      </c>
      <c r="G1157" s="630">
        <v>49718.600800000007</v>
      </c>
      <c r="H1157" s="630">
        <v>0</v>
      </c>
      <c r="I1157" s="627">
        <v>0</v>
      </c>
      <c r="J1157" s="629" t="s">
        <v>2653</v>
      </c>
    </row>
    <row r="1158" spans="1:10">
      <c r="A1158" s="627">
        <v>978</v>
      </c>
      <c r="B1158" s="628" t="s">
        <v>2380</v>
      </c>
      <c r="C1158" s="629" t="s">
        <v>2381</v>
      </c>
      <c r="D1158" s="629" t="s">
        <v>2651</v>
      </c>
      <c r="E1158" s="629" t="s">
        <v>2820</v>
      </c>
      <c r="F1158" s="630">
        <v>230803</v>
      </c>
      <c r="G1158" s="630">
        <v>230803</v>
      </c>
      <c r="H1158" s="630">
        <v>0</v>
      </c>
      <c r="I1158" s="627">
        <v>0</v>
      </c>
      <c r="J1158" s="629" t="s">
        <v>2653</v>
      </c>
    </row>
    <row r="1159" spans="1:10">
      <c r="A1159" s="627">
        <v>979</v>
      </c>
      <c r="B1159" s="628" t="s">
        <v>2382</v>
      </c>
      <c r="C1159" s="629" t="s">
        <v>2383</v>
      </c>
      <c r="D1159" s="629" t="s">
        <v>2697</v>
      </c>
      <c r="E1159" s="629" t="s">
        <v>1379</v>
      </c>
      <c r="F1159" s="630">
        <v>28926.110400000005</v>
      </c>
      <c r="G1159" s="630">
        <v>28926.110400000005</v>
      </c>
      <c r="H1159" s="630">
        <v>0</v>
      </c>
      <c r="I1159" s="627">
        <v>0</v>
      </c>
      <c r="J1159" s="629" t="s">
        <v>2653</v>
      </c>
    </row>
    <row r="1160" spans="1:10">
      <c r="A1160" s="627">
        <v>980</v>
      </c>
      <c r="B1160" s="628" t="s">
        <v>2384</v>
      </c>
      <c r="C1160" s="629" t="s">
        <v>2385</v>
      </c>
      <c r="D1160" s="629" t="s">
        <v>2654</v>
      </c>
      <c r="E1160" s="629" t="s">
        <v>2821</v>
      </c>
      <c r="F1160" s="630">
        <v>98.03125</v>
      </c>
      <c r="G1160" s="630">
        <v>98.664150000000006</v>
      </c>
      <c r="H1160" s="630">
        <v>3.81</v>
      </c>
      <c r="I1160" s="627">
        <v>2675</v>
      </c>
      <c r="J1160" s="629" t="s">
        <v>2656</v>
      </c>
    </row>
    <row r="1161" spans="1:10">
      <c r="A1161" s="627">
        <v>981</v>
      </c>
      <c r="B1161" s="628" t="s">
        <v>2386</v>
      </c>
      <c r="C1161" s="629" t="s">
        <v>2387</v>
      </c>
      <c r="D1161" s="629" t="s">
        <v>2654</v>
      </c>
      <c r="E1161" s="629" t="s">
        <v>2821</v>
      </c>
      <c r="F1161" s="630">
        <v>100.1875</v>
      </c>
      <c r="G1161" s="630">
        <v>100.8882</v>
      </c>
      <c r="H1161" s="630">
        <v>3.85</v>
      </c>
      <c r="I1161" s="627">
        <v>2856</v>
      </c>
      <c r="J1161" s="629" t="s">
        <v>2656</v>
      </c>
    </row>
    <row r="1162" spans="1:10">
      <c r="A1162" s="627">
        <v>982</v>
      </c>
      <c r="B1162" s="628" t="s">
        <v>2388</v>
      </c>
      <c r="C1162" s="629" t="s">
        <v>2389</v>
      </c>
      <c r="D1162" s="629" t="s">
        <v>2654</v>
      </c>
      <c r="E1162" s="629" t="s">
        <v>2821</v>
      </c>
      <c r="F1162" s="630">
        <v>108.5546875</v>
      </c>
      <c r="G1162" s="630">
        <v>109.52658750000001</v>
      </c>
      <c r="H1162" s="630">
        <v>3.59</v>
      </c>
      <c r="I1162" s="627">
        <v>1944</v>
      </c>
      <c r="J1162" s="629" t="s">
        <v>2656</v>
      </c>
    </row>
    <row r="1163" spans="1:10">
      <c r="A1163" s="627">
        <v>983</v>
      </c>
      <c r="B1163" s="628" t="s">
        <v>2390</v>
      </c>
      <c r="C1163" s="629" t="s">
        <v>2391</v>
      </c>
      <c r="D1163" s="629" t="s">
        <v>2654</v>
      </c>
      <c r="E1163" s="629" t="s">
        <v>2821</v>
      </c>
      <c r="F1163" s="630">
        <v>97.921875</v>
      </c>
      <c r="G1163" s="630">
        <v>98.458875000000006</v>
      </c>
      <c r="H1163" s="630">
        <v>3.54</v>
      </c>
      <c r="I1163" s="627">
        <v>437</v>
      </c>
      <c r="J1163" s="629" t="s">
        <v>2656</v>
      </c>
    </row>
    <row r="1164" spans="1:10">
      <c r="A1164" s="627">
        <v>984</v>
      </c>
      <c r="B1164" s="628" t="s">
        <v>2392</v>
      </c>
      <c r="C1164" s="629" t="s">
        <v>2393</v>
      </c>
      <c r="D1164" s="629" t="s">
        <v>2654</v>
      </c>
      <c r="E1164" s="629" t="s">
        <v>2821</v>
      </c>
      <c r="F1164" s="630">
        <v>93.703125</v>
      </c>
      <c r="G1164" s="630">
        <v>94.125024999999994</v>
      </c>
      <c r="H1164" s="630">
        <v>3.47</v>
      </c>
      <c r="I1164" s="627">
        <v>1168</v>
      </c>
      <c r="J1164" s="629" t="s">
        <v>2656</v>
      </c>
    </row>
    <row r="1165" spans="1:10">
      <c r="A1165" s="627">
        <v>985</v>
      </c>
      <c r="B1165" s="628" t="s">
        <v>2394</v>
      </c>
      <c r="C1165" s="629" t="s">
        <v>2395</v>
      </c>
      <c r="D1165" s="629" t="s">
        <v>2654</v>
      </c>
      <c r="E1165" s="629" t="s">
        <v>2821</v>
      </c>
      <c r="F1165" s="630">
        <v>88.234375</v>
      </c>
      <c r="G1165" s="630">
        <v>88.437775000000002</v>
      </c>
      <c r="H1165" s="630">
        <v>3.57</v>
      </c>
      <c r="I1165" s="627">
        <v>1944</v>
      </c>
      <c r="J1165" s="629" t="s">
        <v>2656</v>
      </c>
    </row>
    <row r="1166" spans="1:10">
      <c r="A1166" s="627">
        <v>986</v>
      </c>
      <c r="B1166" s="628" t="s">
        <v>2396</v>
      </c>
      <c r="C1166" s="629" t="s">
        <v>2397</v>
      </c>
      <c r="D1166" s="629" t="s">
        <v>2654</v>
      </c>
      <c r="E1166" s="629" t="s">
        <v>2821</v>
      </c>
      <c r="F1166" s="630">
        <v>99.2890625</v>
      </c>
      <c r="G1166" s="630">
        <v>99.388762499999999</v>
      </c>
      <c r="H1166" s="630">
        <v>0.95</v>
      </c>
      <c r="I1166" s="627">
        <v>452</v>
      </c>
      <c r="J1166" s="629" t="s">
        <v>2656</v>
      </c>
    </row>
    <row r="1167" spans="1:10">
      <c r="A1167" s="627">
        <v>987</v>
      </c>
      <c r="B1167" s="628" t="s">
        <v>2398</v>
      </c>
      <c r="C1167" s="629" t="s">
        <v>2399</v>
      </c>
      <c r="D1167" s="629" t="s">
        <v>2654</v>
      </c>
      <c r="E1167" s="629" t="s">
        <v>2821</v>
      </c>
      <c r="F1167" s="630">
        <v>100.1015625</v>
      </c>
      <c r="G1167" s="630">
        <v>101.99816250000001</v>
      </c>
      <c r="H1167" s="630">
        <v>3.92</v>
      </c>
      <c r="I1167" s="627">
        <v>41</v>
      </c>
      <c r="J1167" s="629" t="s">
        <v>2656</v>
      </c>
    </row>
    <row r="1168" spans="1:10">
      <c r="A1168" s="627">
        <v>988</v>
      </c>
      <c r="B1168" s="628" t="s">
        <v>2400</v>
      </c>
      <c r="C1168" s="629" t="s">
        <v>2401</v>
      </c>
      <c r="D1168" s="629" t="s">
        <v>2654</v>
      </c>
      <c r="E1168" s="629" t="s">
        <v>2821</v>
      </c>
      <c r="F1168" s="630">
        <v>101.09765625</v>
      </c>
      <c r="G1168" s="630">
        <v>103.09975625</v>
      </c>
      <c r="H1168" s="630">
        <v>3.57</v>
      </c>
      <c r="I1168" s="627">
        <v>391</v>
      </c>
      <c r="J1168" s="629" t="s">
        <v>2656</v>
      </c>
    </row>
    <row r="1169" spans="1:10">
      <c r="A1169" s="627">
        <v>989</v>
      </c>
      <c r="B1169" s="628" t="s">
        <v>2402</v>
      </c>
      <c r="C1169" s="629" t="s">
        <v>2403</v>
      </c>
      <c r="D1169" s="629" t="s">
        <v>2654</v>
      </c>
      <c r="E1169" s="629" t="s">
        <v>2821</v>
      </c>
      <c r="F1169" s="630">
        <v>104.859375</v>
      </c>
      <c r="G1169" s="630">
        <v>106.658675</v>
      </c>
      <c r="H1169" s="630">
        <v>3.66</v>
      </c>
      <c r="I1169" s="627">
        <v>2049</v>
      </c>
      <c r="J1169" s="629" t="s">
        <v>2656</v>
      </c>
    </row>
    <row r="1170" spans="1:10">
      <c r="A1170" s="627">
        <v>990</v>
      </c>
      <c r="B1170" s="628" t="s">
        <v>2404</v>
      </c>
      <c r="C1170" s="629" t="s">
        <v>2405</v>
      </c>
      <c r="D1170" s="629" t="s">
        <v>2654</v>
      </c>
      <c r="E1170" s="629" t="s">
        <v>2821</v>
      </c>
      <c r="F1170" s="630">
        <v>103.359375</v>
      </c>
      <c r="G1170" s="630">
        <v>105.253175</v>
      </c>
      <c r="H1170" s="630">
        <v>3.91</v>
      </c>
      <c r="I1170" s="627">
        <v>3129</v>
      </c>
      <c r="J1170" s="629" t="s">
        <v>2656</v>
      </c>
    </row>
    <row r="1171" spans="1:10">
      <c r="A1171" s="627">
        <v>991</v>
      </c>
      <c r="B1171" s="628" t="s">
        <v>2406</v>
      </c>
      <c r="C1171" s="629" t="s">
        <v>2407</v>
      </c>
      <c r="D1171" s="629" t="s">
        <v>2654</v>
      </c>
      <c r="E1171" s="629" t="s">
        <v>2821</v>
      </c>
      <c r="F1171" s="630">
        <v>100.27734375</v>
      </c>
      <c r="G1171" s="630">
        <v>100.91094375</v>
      </c>
      <c r="H1171" s="630">
        <v>3.83</v>
      </c>
      <c r="I1171" s="627">
        <v>131</v>
      </c>
      <c r="J1171" s="629" t="s">
        <v>2656</v>
      </c>
    </row>
    <row r="1172" spans="1:10">
      <c r="A1172" s="627">
        <v>992</v>
      </c>
      <c r="B1172" s="628" t="s">
        <v>2408</v>
      </c>
      <c r="C1172" s="629" t="s">
        <v>2409</v>
      </c>
      <c r="D1172" s="629" t="s">
        <v>2654</v>
      </c>
      <c r="E1172" s="629" t="s">
        <v>2821</v>
      </c>
      <c r="F1172" s="630">
        <v>100.10546875</v>
      </c>
      <c r="G1172" s="630">
        <v>101.04866875</v>
      </c>
      <c r="H1172" s="630">
        <v>3.85</v>
      </c>
      <c r="I1172" s="627">
        <v>103</v>
      </c>
      <c r="J1172" s="629" t="s">
        <v>2656</v>
      </c>
    </row>
    <row r="1173" spans="1:10">
      <c r="A1173" s="627">
        <v>993</v>
      </c>
      <c r="B1173" s="628" t="s">
        <v>2410</v>
      </c>
      <c r="C1173" s="629" t="s">
        <v>2411</v>
      </c>
      <c r="D1173" s="629" t="s">
        <v>2654</v>
      </c>
      <c r="E1173" s="629" t="s">
        <v>2821</v>
      </c>
      <c r="F1173" s="630">
        <v>98.0390625</v>
      </c>
      <c r="G1173" s="630">
        <v>98.809262500000003</v>
      </c>
      <c r="H1173" s="630">
        <v>3.58</v>
      </c>
      <c r="I1173" s="627">
        <v>376</v>
      </c>
      <c r="J1173" s="629" t="s">
        <v>2656</v>
      </c>
    </row>
    <row r="1174" spans="1:10">
      <c r="A1174" s="627">
        <v>994</v>
      </c>
      <c r="B1174" s="628" t="s">
        <v>2412</v>
      </c>
      <c r="C1174" s="629" t="s">
        <v>2413</v>
      </c>
      <c r="D1174" s="629" t="s">
        <v>2654</v>
      </c>
      <c r="E1174" s="629" t="s">
        <v>2821</v>
      </c>
      <c r="F1174" s="630">
        <v>102.6875</v>
      </c>
      <c r="G1174" s="630">
        <v>104.7437</v>
      </c>
      <c r="H1174" s="630">
        <v>4.53</v>
      </c>
      <c r="I1174" s="627">
        <v>6600</v>
      </c>
      <c r="J1174" s="629" t="s">
        <v>2656</v>
      </c>
    </row>
    <row r="1175" spans="1:10">
      <c r="A1175" s="627">
        <v>995</v>
      </c>
      <c r="B1175" s="628" t="s">
        <v>2569</v>
      </c>
      <c r="C1175" s="629" t="s">
        <v>2570</v>
      </c>
      <c r="D1175" s="629" t="s">
        <v>2654</v>
      </c>
      <c r="E1175" s="629" t="s">
        <v>2821</v>
      </c>
      <c r="F1175" s="630">
        <v>99.854593682296937</v>
      </c>
      <c r="G1175" s="630">
        <v>99.854593682296937</v>
      </c>
      <c r="H1175" s="630">
        <v>5.24</v>
      </c>
      <c r="I1175" s="627">
        <v>10</v>
      </c>
      <c r="J1175" s="629" t="s">
        <v>2656</v>
      </c>
    </row>
    <row r="1176" spans="1:10">
      <c r="A1176" s="627">
        <v>996</v>
      </c>
      <c r="B1176" s="628" t="s">
        <v>2571</v>
      </c>
      <c r="C1176" s="629" t="s">
        <v>2572</v>
      </c>
      <c r="D1176" s="629" t="s">
        <v>2654</v>
      </c>
      <c r="E1176" s="629" t="s">
        <v>2821</v>
      </c>
      <c r="F1176" s="630">
        <v>99.536656862305975</v>
      </c>
      <c r="G1176" s="630">
        <v>99.536656862305975</v>
      </c>
      <c r="H1176" s="630">
        <v>4.3</v>
      </c>
      <c r="I1176" s="627">
        <v>38</v>
      </c>
      <c r="J1176" s="629" t="s">
        <v>2656</v>
      </c>
    </row>
    <row r="1177" spans="1:10">
      <c r="A1177" s="627">
        <v>997</v>
      </c>
      <c r="B1177" s="628" t="s">
        <v>2573</v>
      </c>
      <c r="C1177" s="629" t="s">
        <v>2574</v>
      </c>
      <c r="D1177" s="629" t="s">
        <v>2654</v>
      </c>
      <c r="E1177" s="629" t="s">
        <v>2821</v>
      </c>
      <c r="F1177" s="630">
        <v>99.252162525416139</v>
      </c>
      <c r="G1177" s="630">
        <v>99.252162525416139</v>
      </c>
      <c r="H1177" s="630">
        <v>4.05</v>
      </c>
      <c r="I1177" s="627">
        <v>66</v>
      </c>
      <c r="J1177" s="629" t="s">
        <v>2656</v>
      </c>
    </row>
    <row r="1178" spans="1:10">
      <c r="A1178" s="627">
        <v>998</v>
      </c>
      <c r="B1178" s="628" t="s">
        <v>2575</v>
      </c>
      <c r="C1178" s="629" t="s">
        <v>2576</v>
      </c>
      <c r="D1178" s="629" t="s">
        <v>2654</v>
      </c>
      <c r="E1178" s="629" t="s">
        <v>2821</v>
      </c>
      <c r="F1178" s="630">
        <v>98.991108742351656</v>
      </c>
      <c r="G1178" s="630">
        <v>98.991108742351656</v>
      </c>
      <c r="H1178" s="630">
        <v>3.9</v>
      </c>
      <c r="I1178" s="627">
        <v>92</v>
      </c>
      <c r="J1178" s="629" t="s">
        <v>2656</v>
      </c>
    </row>
    <row r="1179" spans="1:10">
      <c r="A1179" s="627">
        <v>999</v>
      </c>
      <c r="B1179" s="628" t="s">
        <v>2580</v>
      </c>
      <c r="C1179" s="629" t="s">
        <v>2581</v>
      </c>
      <c r="D1179" s="629" t="s">
        <v>2654</v>
      </c>
      <c r="E1179" s="629" t="s">
        <v>2821</v>
      </c>
      <c r="F1179" s="630">
        <v>98.720721332685343</v>
      </c>
      <c r="G1179" s="630">
        <v>98.720721332685343</v>
      </c>
      <c r="H1179" s="630">
        <v>3.82</v>
      </c>
      <c r="I1179" s="627">
        <v>119</v>
      </c>
      <c r="J1179" s="629" t="s">
        <v>2656</v>
      </c>
    </row>
    <row r="1180" spans="1:10">
      <c r="A1180" s="627">
        <v>1000</v>
      </c>
      <c r="B1180" s="628" t="s">
        <v>2582</v>
      </c>
      <c r="C1180" s="629" t="s">
        <v>2583</v>
      </c>
      <c r="D1180" s="629" t="s">
        <v>2654</v>
      </c>
      <c r="E1180" s="629" t="s">
        <v>2821</v>
      </c>
      <c r="F1180" s="630">
        <v>98.453221309654325</v>
      </c>
      <c r="G1180" s="630">
        <v>98.453221309654325</v>
      </c>
      <c r="H1180" s="630">
        <v>3.77</v>
      </c>
      <c r="I1180" s="627">
        <v>149</v>
      </c>
      <c r="J1180" s="629" t="s">
        <v>2656</v>
      </c>
    </row>
    <row r="1181" spans="1:10">
      <c r="A1181" s="627">
        <v>1001</v>
      </c>
      <c r="B1181" s="628" t="s">
        <v>2862</v>
      </c>
      <c r="C1181" s="629" t="s">
        <v>2863</v>
      </c>
      <c r="D1181" s="629" t="s">
        <v>2654</v>
      </c>
      <c r="E1181" s="629" t="s">
        <v>2821</v>
      </c>
      <c r="F1181" s="630">
        <v>100.73046875</v>
      </c>
      <c r="G1181" s="630">
        <v>101.64586875000001</v>
      </c>
      <c r="H1181" s="630">
        <v>3.53</v>
      </c>
      <c r="I1181" s="627">
        <v>468</v>
      </c>
      <c r="J1181" s="629" t="s">
        <v>2656</v>
      </c>
    </row>
    <row r="1182" spans="1:10">
      <c r="A1182" s="627">
        <v>1002</v>
      </c>
      <c r="B1182" s="628" t="s">
        <v>2864</v>
      </c>
      <c r="C1182" s="629" t="s">
        <v>2865</v>
      </c>
      <c r="D1182" s="629" t="s">
        <v>2654</v>
      </c>
      <c r="E1182" s="629" t="s">
        <v>2821</v>
      </c>
      <c r="F1182" s="630">
        <v>98.184600822664223</v>
      </c>
      <c r="G1182" s="630">
        <v>98.184600822664223</v>
      </c>
      <c r="H1182" s="630">
        <v>3.74</v>
      </c>
      <c r="I1182" s="627">
        <v>176</v>
      </c>
      <c r="J1182" s="629" t="s">
        <v>2656</v>
      </c>
    </row>
    <row r="1183" spans="1:10">
      <c r="A1183" s="627">
        <v>1003</v>
      </c>
      <c r="B1183" s="628" t="s">
        <v>2866</v>
      </c>
      <c r="C1183" s="629" t="s">
        <v>2867</v>
      </c>
      <c r="D1183" s="629" t="s">
        <v>2654</v>
      </c>
      <c r="E1183" s="629" t="s">
        <v>2821</v>
      </c>
      <c r="F1183" s="630">
        <v>97.979252757146369</v>
      </c>
      <c r="G1183" s="630">
        <v>97.979252757146369</v>
      </c>
      <c r="H1183" s="630">
        <v>3.6</v>
      </c>
      <c r="I1183" s="627">
        <v>204</v>
      </c>
      <c r="J1183" s="629" t="s">
        <v>2656</v>
      </c>
    </row>
    <row r="1184" spans="1:10">
      <c r="A1184" s="627">
        <v>1004</v>
      </c>
      <c r="B1184" s="628" t="s">
        <v>2414</v>
      </c>
      <c r="C1184" s="629" t="s">
        <v>2415</v>
      </c>
      <c r="D1184" s="629" t="s">
        <v>2654</v>
      </c>
      <c r="E1184" s="629" t="s">
        <v>2821</v>
      </c>
      <c r="F1184" s="630">
        <v>109.4453125</v>
      </c>
      <c r="G1184" s="630">
        <v>110.5528125</v>
      </c>
      <c r="H1184" s="630">
        <v>3.46</v>
      </c>
      <c r="I1184" s="627">
        <v>1395</v>
      </c>
      <c r="J1184" s="629" t="s">
        <v>2656</v>
      </c>
    </row>
    <row r="1185" spans="1:10">
      <c r="A1185" s="627">
        <v>1005</v>
      </c>
      <c r="B1185" s="628" t="s">
        <v>2416</v>
      </c>
      <c r="C1185" s="629" t="s">
        <v>2417</v>
      </c>
      <c r="D1185" s="629" t="s">
        <v>2654</v>
      </c>
      <c r="E1185" s="629" t="s">
        <v>2821</v>
      </c>
      <c r="F1185" s="630">
        <v>87.5078125</v>
      </c>
      <c r="G1185" s="630">
        <v>87.886612499999998</v>
      </c>
      <c r="H1185" s="630">
        <v>3.59</v>
      </c>
      <c r="I1185" s="627">
        <v>1852</v>
      </c>
      <c r="J1185" s="629" t="s">
        <v>2656</v>
      </c>
    </row>
    <row r="1186" spans="1:10">
      <c r="A1186" s="627">
        <v>1006</v>
      </c>
      <c r="B1186" s="628" t="s">
        <v>2418</v>
      </c>
      <c r="C1186" s="629" t="s">
        <v>2419</v>
      </c>
      <c r="D1186" s="629" t="s">
        <v>2654</v>
      </c>
      <c r="E1186" s="629" t="s">
        <v>2821</v>
      </c>
      <c r="F1186" s="630">
        <v>79.703125</v>
      </c>
      <c r="G1186" s="630">
        <v>81.001724999999993</v>
      </c>
      <c r="H1186" s="630">
        <v>4.6100000000000003</v>
      </c>
      <c r="I1186" s="627">
        <v>6966</v>
      </c>
      <c r="J1186" s="629" t="s">
        <v>2656</v>
      </c>
    </row>
    <row r="1187" spans="1:10">
      <c r="A1187" s="627">
        <v>1007</v>
      </c>
      <c r="B1187" s="628" t="s">
        <v>2420</v>
      </c>
      <c r="C1187" s="629" t="s">
        <v>2421</v>
      </c>
      <c r="D1187" s="629" t="s">
        <v>2654</v>
      </c>
      <c r="E1187" s="629" t="s">
        <v>2821</v>
      </c>
      <c r="F1187" s="630">
        <v>75.375</v>
      </c>
      <c r="G1187" s="630">
        <v>76.349000000000004</v>
      </c>
      <c r="H1187" s="630">
        <v>4.46</v>
      </c>
      <c r="I1187" s="627">
        <v>5686</v>
      </c>
      <c r="J1187" s="629" t="s">
        <v>2656</v>
      </c>
    </row>
    <row r="1188" spans="1:10">
      <c r="A1188" s="627">
        <v>1008</v>
      </c>
      <c r="B1188" s="628" t="s">
        <v>2422</v>
      </c>
      <c r="C1188" s="629" t="s">
        <v>2423</v>
      </c>
      <c r="D1188" s="629" t="s">
        <v>2654</v>
      </c>
      <c r="E1188" s="629" t="s">
        <v>2821</v>
      </c>
      <c r="F1188" s="630">
        <v>99.012544702902417</v>
      </c>
      <c r="G1188" s="630">
        <v>99.095744702902422</v>
      </c>
      <c r="H1188" s="630">
        <v>3.93</v>
      </c>
      <c r="I1188" s="627">
        <v>103</v>
      </c>
      <c r="J1188" s="629" t="s">
        <v>2656</v>
      </c>
    </row>
    <row r="1189" spans="1:10">
      <c r="A1189" s="627">
        <v>1009</v>
      </c>
      <c r="B1189" s="628" t="s">
        <v>2424</v>
      </c>
      <c r="C1189" s="629" t="s">
        <v>2425</v>
      </c>
      <c r="D1189" s="629" t="s">
        <v>2654</v>
      </c>
      <c r="E1189" s="629" t="s">
        <v>2821</v>
      </c>
      <c r="F1189" s="630">
        <v>99.961441130057167</v>
      </c>
      <c r="G1189" s="630">
        <v>101.38334113005716</v>
      </c>
      <c r="H1189" s="630">
        <v>4.26</v>
      </c>
      <c r="I1189" s="627">
        <v>11</v>
      </c>
      <c r="J1189" s="629" t="s">
        <v>2656</v>
      </c>
    </row>
    <row r="1190" spans="1:10">
      <c r="A1190" s="627">
        <v>1010</v>
      </c>
      <c r="B1190" s="628" t="s">
        <v>2426</v>
      </c>
      <c r="C1190" s="629" t="s">
        <v>2427</v>
      </c>
      <c r="D1190" s="629" t="s">
        <v>2654</v>
      </c>
      <c r="E1190" s="629" t="s">
        <v>2821</v>
      </c>
      <c r="F1190" s="630">
        <v>90.234375</v>
      </c>
      <c r="G1190" s="630">
        <v>91.965874999999997</v>
      </c>
      <c r="H1190" s="630">
        <v>4.6399999999999997</v>
      </c>
      <c r="I1190" s="627">
        <v>9888</v>
      </c>
      <c r="J1190" s="629" t="s">
        <v>2656</v>
      </c>
    </row>
    <row r="1191" spans="1:10">
      <c r="A1191" s="627">
        <v>1011</v>
      </c>
      <c r="B1191" s="628" t="s">
        <v>2428</v>
      </c>
      <c r="C1191" s="629" t="s">
        <v>2429</v>
      </c>
      <c r="D1191" s="629" t="s">
        <v>2654</v>
      </c>
      <c r="E1191" s="629" t="s">
        <v>2821</v>
      </c>
      <c r="F1191" s="630">
        <v>98.673199437352707</v>
      </c>
      <c r="G1191" s="630">
        <v>98.714299437352707</v>
      </c>
      <c r="H1191" s="630">
        <v>3.79</v>
      </c>
      <c r="I1191" s="627">
        <v>162</v>
      </c>
      <c r="J1191" s="629" t="s">
        <v>2656</v>
      </c>
    </row>
    <row r="1192" spans="1:10">
      <c r="A1192" s="627">
        <v>1012</v>
      </c>
      <c r="B1192" s="628" t="s">
        <v>2430</v>
      </c>
      <c r="C1192" s="629" t="s">
        <v>2431</v>
      </c>
      <c r="D1192" s="629" t="s">
        <v>2654</v>
      </c>
      <c r="E1192" s="629" t="s">
        <v>2821</v>
      </c>
      <c r="F1192" s="630">
        <v>98.10546875</v>
      </c>
      <c r="G1192" s="630">
        <v>98.373968750000003</v>
      </c>
      <c r="H1192" s="630">
        <v>3.67</v>
      </c>
      <c r="I1192" s="627">
        <v>253</v>
      </c>
      <c r="J1192" s="629" t="s">
        <v>2656</v>
      </c>
    </row>
    <row r="1193" spans="1:10">
      <c r="A1193" s="627">
        <v>1013</v>
      </c>
      <c r="B1193" s="628" t="s">
        <v>2432</v>
      </c>
      <c r="C1193" s="629" t="s">
        <v>2433</v>
      </c>
      <c r="D1193" s="629" t="s">
        <v>2654</v>
      </c>
      <c r="E1193" s="629" t="s">
        <v>2821</v>
      </c>
      <c r="F1193" s="630">
        <v>100.01111603537584</v>
      </c>
      <c r="G1193" s="630">
        <v>101.40291603537584</v>
      </c>
      <c r="H1193" s="630">
        <v>3.9</v>
      </c>
      <c r="I1193" s="627">
        <v>56</v>
      </c>
      <c r="J1193" s="629" t="s">
        <v>2656</v>
      </c>
    </row>
    <row r="1194" spans="1:10">
      <c r="A1194" s="627">
        <v>1014</v>
      </c>
      <c r="B1194" s="628" t="s">
        <v>2434</v>
      </c>
      <c r="C1194" s="629" t="s">
        <v>2435</v>
      </c>
      <c r="D1194" s="629" t="s">
        <v>2654</v>
      </c>
      <c r="E1194" s="629" t="s">
        <v>2821</v>
      </c>
      <c r="F1194" s="630">
        <v>94.921875</v>
      </c>
      <c r="G1194" s="630">
        <v>96.166375000000002</v>
      </c>
      <c r="H1194" s="630">
        <v>3.75</v>
      </c>
      <c r="I1194" s="627">
        <v>2399</v>
      </c>
      <c r="J1194" s="629" t="s">
        <v>2656</v>
      </c>
    </row>
    <row r="1195" spans="1:10">
      <c r="A1195" s="627">
        <v>1015</v>
      </c>
      <c r="B1195" s="628" t="s">
        <v>2436</v>
      </c>
      <c r="C1195" s="629" t="s">
        <v>2437</v>
      </c>
      <c r="D1195" s="629" t="s">
        <v>2654</v>
      </c>
      <c r="E1195" s="629" t="s">
        <v>2822</v>
      </c>
      <c r="F1195" s="630">
        <v>100</v>
      </c>
      <c r="G1195" s="630">
        <v>100.0311</v>
      </c>
      <c r="H1195" s="630">
        <v>0.35</v>
      </c>
      <c r="I1195" s="627">
        <v>268</v>
      </c>
      <c r="J1195" s="629" t="s">
        <v>2656</v>
      </c>
    </row>
    <row r="1196" spans="1:10">
      <c r="A1196" s="627">
        <v>1016</v>
      </c>
      <c r="B1196" s="628" t="s">
        <v>2438</v>
      </c>
      <c r="C1196" s="629" t="s">
        <v>2439</v>
      </c>
      <c r="D1196" s="629" t="s">
        <v>2654</v>
      </c>
      <c r="E1196" s="629" t="s">
        <v>2822</v>
      </c>
      <c r="F1196" s="630">
        <v>100</v>
      </c>
      <c r="G1196" s="630">
        <v>100.1721</v>
      </c>
      <c r="H1196" s="630">
        <v>0.35</v>
      </c>
      <c r="I1196" s="627">
        <v>3</v>
      </c>
      <c r="J1196" s="629" t="s">
        <v>2656</v>
      </c>
    </row>
    <row r="1197" spans="1:10">
      <c r="A1197" s="627">
        <v>1017</v>
      </c>
      <c r="B1197" s="628" t="s">
        <v>2883</v>
      </c>
      <c r="C1197" s="629" t="s">
        <v>2884</v>
      </c>
      <c r="D1197" s="629" t="s">
        <v>2654</v>
      </c>
      <c r="E1197" s="629" t="s">
        <v>2822</v>
      </c>
      <c r="F1197" s="630">
        <v>100</v>
      </c>
      <c r="G1197" s="630">
        <v>100.09139999999999</v>
      </c>
      <c r="H1197" s="630">
        <v>0.35</v>
      </c>
      <c r="I1197" s="627">
        <v>626</v>
      </c>
      <c r="J1197" s="629" t="s">
        <v>2656</v>
      </c>
    </row>
    <row r="1198" spans="1:10">
      <c r="A1198" s="627">
        <v>1018</v>
      </c>
      <c r="B1198" s="628" t="s">
        <v>2440</v>
      </c>
      <c r="C1198" s="629" t="s">
        <v>2441</v>
      </c>
      <c r="D1198" s="629" t="s">
        <v>2654</v>
      </c>
      <c r="E1198" s="629" t="s">
        <v>2822</v>
      </c>
      <c r="F1198" s="630">
        <v>100</v>
      </c>
      <c r="G1198" s="630">
        <v>100.00530000000001</v>
      </c>
      <c r="H1198" s="630">
        <v>0.02</v>
      </c>
      <c r="I1198" s="627">
        <v>3040</v>
      </c>
      <c r="J1198" s="629" t="s">
        <v>2656</v>
      </c>
    </row>
    <row r="1199" spans="1:10">
      <c r="A1199" s="627">
        <v>1019</v>
      </c>
      <c r="B1199" s="628" t="s">
        <v>2932</v>
      </c>
      <c r="C1199" s="629" t="s">
        <v>2933</v>
      </c>
      <c r="D1199" s="629" t="s">
        <v>2654</v>
      </c>
      <c r="E1199" s="629" t="s">
        <v>2822</v>
      </c>
      <c r="F1199" s="630">
        <v>90.081836475033526</v>
      </c>
      <c r="G1199" s="630">
        <v>94.126236475033522</v>
      </c>
      <c r="H1199" s="630">
        <v>20.56</v>
      </c>
      <c r="I1199" s="627">
        <v>3520</v>
      </c>
      <c r="J1199" s="629" t="s">
        <v>2656</v>
      </c>
    </row>
    <row r="1200" spans="1:10">
      <c r="A1200" s="627">
        <v>1020</v>
      </c>
      <c r="B1200" s="628" t="s">
        <v>2995</v>
      </c>
      <c r="C1200" s="629" t="s">
        <v>2996</v>
      </c>
      <c r="D1200" s="629" t="s">
        <v>2654</v>
      </c>
      <c r="E1200" s="629" t="s">
        <v>2822</v>
      </c>
      <c r="F1200" s="630">
        <v>93.024053141473829</v>
      </c>
      <c r="G1200" s="630">
        <v>95.701553141473823</v>
      </c>
      <c r="H1200" s="630">
        <v>20.55</v>
      </c>
      <c r="I1200" s="627">
        <v>3549</v>
      </c>
      <c r="J1200" s="629" t="s">
        <v>2656</v>
      </c>
    </row>
    <row r="1201" spans="1:10">
      <c r="A1201" s="627">
        <v>1021</v>
      </c>
      <c r="B1201" s="628" t="s">
        <v>3023</v>
      </c>
      <c r="C1201" s="629" t="s">
        <v>3024</v>
      </c>
      <c r="D1201" s="629" t="s">
        <v>2654</v>
      </c>
      <c r="E1201" s="629" t="s">
        <v>2822</v>
      </c>
      <c r="F1201" s="630">
        <v>92.989296467033995</v>
      </c>
      <c r="G1201" s="630">
        <v>95.456796467033996</v>
      </c>
      <c r="H1201" s="630">
        <v>20.56</v>
      </c>
      <c r="I1201" s="627">
        <v>3553</v>
      </c>
      <c r="J1201" s="629" t="s">
        <v>2656</v>
      </c>
    </row>
    <row r="1202" spans="1:10">
      <c r="A1202" s="627">
        <v>1022</v>
      </c>
      <c r="B1202" s="628" t="s">
        <v>3086</v>
      </c>
      <c r="C1202" s="629" t="s">
        <v>3087</v>
      </c>
      <c r="D1202" s="629" t="s">
        <v>2654</v>
      </c>
      <c r="E1202" s="629" t="s">
        <v>2822</v>
      </c>
      <c r="F1202" s="630">
        <v>93.07888885727705</v>
      </c>
      <c r="G1202" s="630">
        <v>94.338888857277055</v>
      </c>
      <c r="H1202" s="630">
        <v>20.56</v>
      </c>
      <c r="I1202" s="627">
        <v>3576</v>
      </c>
      <c r="J1202" s="629" t="s">
        <v>2656</v>
      </c>
    </row>
    <row r="1203" spans="1:10">
      <c r="A1203" s="627">
        <v>1023</v>
      </c>
      <c r="B1203" s="628" t="s">
        <v>2442</v>
      </c>
      <c r="C1203" s="629" t="s">
        <v>2443</v>
      </c>
      <c r="D1203" s="629" t="s">
        <v>2651</v>
      </c>
      <c r="E1203" s="629" t="s">
        <v>2823</v>
      </c>
      <c r="F1203" s="630">
        <v>0.01</v>
      </c>
      <c r="G1203" s="630">
        <v>0.01</v>
      </c>
      <c r="H1203" s="630">
        <v>0</v>
      </c>
      <c r="I1203" s="627">
        <v>0</v>
      </c>
      <c r="J1203" s="629" t="s">
        <v>2653</v>
      </c>
    </row>
    <row r="1204" spans="1:10">
      <c r="A1204" s="627">
        <v>1024</v>
      </c>
      <c r="B1204" s="628" t="s">
        <v>2444</v>
      </c>
      <c r="C1204" s="629" t="s">
        <v>2445</v>
      </c>
      <c r="D1204" s="629" t="s">
        <v>2651</v>
      </c>
      <c r="E1204" s="629" t="s">
        <v>2823</v>
      </c>
      <c r="F1204" s="630">
        <v>28000</v>
      </c>
      <c r="G1204" s="630">
        <v>28000</v>
      </c>
      <c r="H1204" s="630">
        <v>0</v>
      </c>
      <c r="I1204" s="627">
        <v>0</v>
      </c>
      <c r="J1204" s="629" t="s">
        <v>2653</v>
      </c>
    </row>
    <row r="1205" spans="1:10">
      <c r="A1205" s="627">
        <v>1025</v>
      </c>
      <c r="B1205" s="628" t="s">
        <v>2613</v>
      </c>
      <c r="C1205" s="629" t="s">
        <v>2614</v>
      </c>
      <c r="D1205" s="629" t="s">
        <v>2654</v>
      </c>
      <c r="E1205" s="629" t="s">
        <v>2824</v>
      </c>
      <c r="F1205" s="630">
        <v>97.242535718777262</v>
      </c>
      <c r="G1205" s="630">
        <v>99.989735718777268</v>
      </c>
      <c r="H1205" s="630">
        <v>22.91</v>
      </c>
      <c r="I1205" s="627">
        <v>944</v>
      </c>
      <c r="J1205" s="629" t="s">
        <v>2656</v>
      </c>
    </row>
    <row r="1206" spans="1:10">
      <c r="A1206" s="627">
        <v>1026</v>
      </c>
      <c r="B1206" s="628" t="s">
        <v>2599</v>
      </c>
      <c r="C1206" s="629" t="s">
        <v>2600</v>
      </c>
      <c r="D1206" s="629" t="s">
        <v>2654</v>
      </c>
      <c r="E1206" s="629" t="s">
        <v>2825</v>
      </c>
      <c r="F1206" s="630">
        <v>100</v>
      </c>
      <c r="G1206" s="630">
        <v>100.139</v>
      </c>
      <c r="H1206" s="630">
        <v>0.35</v>
      </c>
      <c r="I1206" s="627">
        <v>577</v>
      </c>
      <c r="J1206" s="629" t="s">
        <v>2656</v>
      </c>
    </row>
    <row r="1207" spans="1:10">
      <c r="A1207" s="627">
        <v>1027</v>
      </c>
      <c r="B1207" s="628" t="s">
        <v>2446</v>
      </c>
      <c r="C1207" s="629" t="s">
        <v>2447</v>
      </c>
      <c r="D1207" s="629" t="s">
        <v>2654</v>
      </c>
      <c r="E1207" s="629" t="s">
        <v>2825</v>
      </c>
      <c r="F1207" s="630">
        <v>100</v>
      </c>
      <c r="G1207" s="630">
        <v>100.0067</v>
      </c>
      <c r="H1207" s="630">
        <v>0.02</v>
      </c>
      <c r="I1207" s="627">
        <v>3040</v>
      </c>
      <c r="J1207" s="629" t="s">
        <v>2656</v>
      </c>
    </row>
    <row r="1208" spans="1:10">
      <c r="A1208" s="627">
        <v>1028</v>
      </c>
      <c r="B1208" s="628" t="s">
        <v>2448</v>
      </c>
      <c r="C1208" s="629" t="s">
        <v>2449</v>
      </c>
      <c r="D1208" s="629" t="s">
        <v>2654</v>
      </c>
      <c r="E1208" s="629" t="s">
        <v>2825</v>
      </c>
      <c r="F1208" s="630">
        <v>100</v>
      </c>
      <c r="G1208" s="630">
        <v>100.00709999999999</v>
      </c>
      <c r="H1208" s="630">
        <v>0.02</v>
      </c>
      <c r="I1208" s="627">
        <v>3040</v>
      </c>
      <c r="J1208" s="629" t="s">
        <v>2656</v>
      </c>
    </row>
    <row r="1209" spans="1:10">
      <c r="A1209" s="627">
        <v>1029</v>
      </c>
      <c r="B1209" s="628" t="s">
        <v>2450</v>
      </c>
      <c r="C1209" s="629" t="s">
        <v>2451</v>
      </c>
      <c r="D1209" s="629" t="s">
        <v>2654</v>
      </c>
      <c r="E1209" s="629" t="s">
        <v>2825</v>
      </c>
      <c r="F1209" s="630">
        <v>100</v>
      </c>
      <c r="G1209" s="630">
        <v>101.9486</v>
      </c>
      <c r="H1209" s="630">
        <v>6.08</v>
      </c>
      <c r="I1209" s="627">
        <v>1655</v>
      </c>
      <c r="J1209" s="629" t="s">
        <v>2656</v>
      </c>
    </row>
    <row r="1210" spans="1:10">
      <c r="A1210" s="627">
        <v>1030</v>
      </c>
      <c r="B1210" s="628" t="s">
        <v>2452</v>
      </c>
      <c r="C1210" s="629" t="s">
        <v>2453</v>
      </c>
      <c r="D1210" s="629" t="s">
        <v>2654</v>
      </c>
      <c r="E1210" s="629" t="s">
        <v>2825</v>
      </c>
      <c r="F1210" s="630">
        <v>100</v>
      </c>
      <c r="G1210" s="630">
        <v>106.9619</v>
      </c>
      <c r="H1210" s="630">
        <v>7.08</v>
      </c>
      <c r="I1210" s="627">
        <v>2137</v>
      </c>
      <c r="J1210" s="629" t="s">
        <v>2656</v>
      </c>
    </row>
    <row r="1211" spans="1:10">
      <c r="A1211" s="627">
        <v>1031</v>
      </c>
      <c r="B1211" s="628" t="s">
        <v>2895</v>
      </c>
      <c r="C1211" s="629" t="s">
        <v>2896</v>
      </c>
      <c r="D1211" s="629" t="s">
        <v>2654</v>
      </c>
      <c r="E1211" s="629" t="s">
        <v>2825</v>
      </c>
      <c r="F1211" s="630">
        <v>90.103829909734245</v>
      </c>
      <c r="G1211" s="630">
        <v>94.754929909734244</v>
      </c>
      <c r="H1211" s="630">
        <v>20.55</v>
      </c>
      <c r="I1211" s="627">
        <v>3508</v>
      </c>
      <c r="J1211" s="629" t="s">
        <v>2656</v>
      </c>
    </row>
    <row r="1212" spans="1:10">
      <c r="A1212" s="627">
        <v>1032</v>
      </c>
      <c r="B1212" s="628" t="s">
        <v>2934</v>
      </c>
      <c r="C1212" s="629" t="s">
        <v>2935</v>
      </c>
      <c r="D1212" s="629" t="s">
        <v>2654</v>
      </c>
      <c r="E1212" s="629" t="s">
        <v>2825</v>
      </c>
      <c r="F1212" s="630">
        <v>90.081836475033526</v>
      </c>
      <c r="G1212" s="630">
        <v>94.126236475033522</v>
      </c>
      <c r="H1212" s="630">
        <v>20.56</v>
      </c>
      <c r="I1212" s="627">
        <v>3520</v>
      </c>
      <c r="J1212" s="629" t="s">
        <v>2656</v>
      </c>
    </row>
    <row r="1213" spans="1:10">
      <c r="A1213" s="627">
        <v>1033</v>
      </c>
      <c r="B1213" s="628" t="s">
        <v>2997</v>
      </c>
      <c r="C1213" s="629" t="s">
        <v>2998</v>
      </c>
      <c r="D1213" s="629" t="s">
        <v>2654</v>
      </c>
      <c r="E1213" s="629" t="s">
        <v>2825</v>
      </c>
      <c r="F1213" s="630">
        <v>93.024053141473829</v>
      </c>
      <c r="G1213" s="630">
        <v>95.701553141473823</v>
      </c>
      <c r="H1213" s="630">
        <v>20.55</v>
      </c>
      <c r="I1213" s="627">
        <v>3549</v>
      </c>
      <c r="J1213" s="629" t="s">
        <v>2656</v>
      </c>
    </row>
    <row r="1214" spans="1:10">
      <c r="A1214" s="627">
        <v>1034</v>
      </c>
      <c r="B1214" s="628" t="s">
        <v>2999</v>
      </c>
      <c r="C1214" s="629" t="s">
        <v>3000</v>
      </c>
      <c r="D1214" s="629" t="s">
        <v>2654</v>
      </c>
      <c r="E1214" s="629" t="s">
        <v>2825</v>
      </c>
      <c r="F1214" s="630">
        <v>93.024053141473829</v>
      </c>
      <c r="G1214" s="630">
        <v>95.701553141473823</v>
      </c>
      <c r="H1214" s="630">
        <v>20.55</v>
      </c>
      <c r="I1214" s="627">
        <v>3549</v>
      </c>
      <c r="J1214" s="629" t="s">
        <v>2656</v>
      </c>
    </row>
    <row r="1215" spans="1:10">
      <c r="A1215" s="627">
        <v>1035</v>
      </c>
      <c r="B1215" s="628" t="s">
        <v>3088</v>
      </c>
      <c r="C1215" s="629" t="s">
        <v>3089</v>
      </c>
      <c r="D1215" s="629" t="s">
        <v>2654</v>
      </c>
      <c r="E1215" s="629" t="s">
        <v>2825</v>
      </c>
      <c r="F1215" s="630">
        <v>93.07888885727705</v>
      </c>
      <c r="G1215" s="630">
        <v>94.338888857277055</v>
      </c>
      <c r="H1215" s="630">
        <v>20.56</v>
      </c>
      <c r="I1215" s="627">
        <v>3576</v>
      </c>
      <c r="J1215" s="629" t="s">
        <v>2656</v>
      </c>
    </row>
    <row r="1216" spans="1:10">
      <c r="A1216" s="627">
        <v>1036</v>
      </c>
      <c r="B1216" s="628" t="s">
        <v>3090</v>
      </c>
      <c r="C1216" s="629" t="s">
        <v>3091</v>
      </c>
      <c r="D1216" s="629" t="s">
        <v>2654</v>
      </c>
      <c r="E1216" s="629" t="s">
        <v>2825</v>
      </c>
      <c r="F1216" s="630">
        <v>93.07888885727705</v>
      </c>
      <c r="G1216" s="630">
        <v>94.338888857277055</v>
      </c>
      <c r="H1216" s="630">
        <v>20.56</v>
      </c>
      <c r="I1216" s="627">
        <v>3576</v>
      </c>
      <c r="J1216" s="629" t="s">
        <v>2656</v>
      </c>
    </row>
    <row r="1217" spans="1:10">
      <c r="A1217" s="627">
        <v>1037</v>
      </c>
      <c r="B1217" s="628" t="s">
        <v>2454</v>
      </c>
      <c r="C1217" s="629" t="s">
        <v>2455</v>
      </c>
      <c r="D1217" s="629" t="s">
        <v>2654</v>
      </c>
      <c r="E1217" s="629" t="s">
        <v>2825</v>
      </c>
      <c r="F1217" s="630">
        <v>100</v>
      </c>
      <c r="G1217" s="630">
        <v>101.1183</v>
      </c>
      <c r="H1217" s="630">
        <v>6.08</v>
      </c>
      <c r="I1217" s="627">
        <v>2064</v>
      </c>
      <c r="J1217" s="629" t="s">
        <v>2656</v>
      </c>
    </row>
    <row r="1218" spans="1:10">
      <c r="A1218" s="627">
        <v>1038</v>
      </c>
      <c r="B1218" s="628" t="s">
        <v>2456</v>
      </c>
      <c r="C1218" s="629" t="s">
        <v>2457</v>
      </c>
      <c r="D1218" s="629" t="s">
        <v>2654</v>
      </c>
      <c r="E1218" s="629" t="s">
        <v>2825</v>
      </c>
      <c r="F1218" s="630">
        <v>100</v>
      </c>
      <c r="G1218" s="630">
        <v>106.06610000000001</v>
      </c>
      <c r="H1218" s="630">
        <v>6.09</v>
      </c>
      <c r="I1218" s="627">
        <v>2492</v>
      </c>
      <c r="J1218" s="629" t="s">
        <v>2656</v>
      </c>
    </row>
    <row r="1219" spans="1:10">
      <c r="A1219" s="627">
        <v>1039</v>
      </c>
      <c r="B1219" s="628" t="s">
        <v>2458</v>
      </c>
      <c r="C1219" s="629" t="s">
        <v>2459</v>
      </c>
      <c r="D1219" s="629" t="s">
        <v>2654</v>
      </c>
      <c r="E1219" s="629" t="s">
        <v>2825</v>
      </c>
      <c r="F1219" s="630">
        <v>100</v>
      </c>
      <c r="G1219" s="630">
        <v>106.06610000000001</v>
      </c>
      <c r="H1219" s="630">
        <v>6.09</v>
      </c>
      <c r="I1219" s="627">
        <v>2492</v>
      </c>
      <c r="J1219" s="629" t="s">
        <v>2656</v>
      </c>
    </row>
    <row r="1220" spans="1:10">
      <c r="A1220" s="627">
        <v>1040</v>
      </c>
      <c r="B1220" s="628" t="s">
        <v>2460</v>
      </c>
      <c r="C1220" s="629" t="s">
        <v>2461</v>
      </c>
      <c r="D1220" s="629" t="s">
        <v>2654</v>
      </c>
      <c r="E1220" s="629" t="s">
        <v>2825</v>
      </c>
      <c r="F1220" s="630">
        <v>100</v>
      </c>
      <c r="G1220" s="630">
        <v>104.9308</v>
      </c>
      <c r="H1220" s="630">
        <v>6.08</v>
      </c>
      <c r="I1220" s="627">
        <v>2559</v>
      </c>
      <c r="J1220" s="629" t="s">
        <v>2656</v>
      </c>
    </row>
    <row r="1221" spans="1:10">
      <c r="A1221" s="627">
        <v>1041</v>
      </c>
      <c r="B1221" s="628" t="s">
        <v>2462</v>
      </c>
      <c r="C1221" s="629" t="s">
        <v>2463</v>
      </c>
      <c r="D1221" s="629" t="s">
        <v>2651</v>
      </c>
      <c r="E1221" s="629" t="s">
        <v>2464</v>
      </c>
      <c r="F1221" s="630">
        <v>21706.682400000005</v>
      </c>
      <c r="G1221" s="630">
        <v>21706.682400000005</v>
      </c>
      <c r="H1221" s="630">
        <v>0</v>
      </c>
      <c r="I1221" s="627">
        <v>0</v>
      </c>
      <c r="J1221" s="629" t="s">
        <v>2653</v>
      </c>
    </row>
    <row r="1222" spans="1:10">
      <c r="A1222" s="627">
        <v>1042</v>
      </c>
      <c r="B1222" s="628" t="s">
        <v>2465</v>
      </c>
      <c r="C1222" s="629" t="s">
        <v>2466</v>
      </c>
      <c r="D1222" s="629" t="s">
        <v>2697</v>
      </c>
      <c r="E1222" s="629" t="s">
        <v>2467</v>
      </c>
      <c r="F1222" s="630">
        <v>42655.123200000009</v>
      </c>
      <c r="G1222" s="630">
        <v>42655.123200000009</v>
      </c>
      <c r="H1222" s="630">
        <v>0</v>
      </c>
      <c r="I1222" s="627">
        <v>0</v>
      </c>
      <c r="J1222" s="629" t="s">
        <v>2653</v>
      </c>
    </row>
    <row r="1223" spans="1:10">
      <c r="A1223" s="627">
        <v>1043</v>
      </c>
      <c r="B1223" s="628" t="s">
        <v>2468</v>
      </c>
      <c r="C1223" s="629" t="s">
        <v>2469</v>
      </c>
      <c r="D1223" s="629" t="s">
        <v>2697</v>
      </c>
      <c r="E1223" s="629" t="s">
        <v>2467</v>
      </c>
      <c r="F1223" s="630">
        <v>49360.99040000001</v>
      </c>
      <c r="G1223" s="630">
        <v>49360.99040000001</v>
      </c>
      <c r="H1223" s="630">
        <v>0</v>
      </c>
      <c r="I1223" s="627">
        <v>0</v>
      </c>
      <c r="J1223" s="629" t="s">
        <v>2653</v>
      </c>
    </row>
    <row r="1224" spans="1:10">
      <c r="A1224" s="627">
        <v>1044</v>
      </c>
      <c r="B1224" s="628" t="s">
        <v>2470</v>
      </c>
      <c r="C1224" s="629" t="s">
        <v>2471</v>
      </c>
      <c r="D1224" s="629" t="s">
        <v>2651</v>
      </c>
      <c r="E1224" s="629" t="s">
        <v>2472</v>
      </c>
      <c r="F1224" s="630">
        <v>60229.12000000001</v>
      </c>
      <c r="G1224" s="630">
        <v>60229.12000000001</v>
      </c>
      <c r="H1224" s="630">
        <v>0</v>
      </c>
      <c r="I1224" s="627">
        <v>0</v>
      </c>
      <c r="J1224" s="629" t="s">
        <v>2653</v>
      </c>
    </row>
    <row r="1225" spans="1:10">
      <c r="A1225" s="627">
        <v>1045</v>
      </c>
      <c r="B1225" s="628" t="s">
        <v>2473</v>
      </c>
      <c r="C1225" s="629" t="s">
        <v>2474</v>
      </c>
      <c r="D1225" s="629" t="s">
        <v>2651</v>
      </c>
      <c r="E1225" s="629" t="s">
        <v>2826</v>
      </c>
      <c r="F1225" s="630">
        <v>1000</v>
      </c>
      <c r="G1225" s="630">
        <v>1000</v>
      </c>
      <c r="H1225" s="630">
        <v>0</v>
      </c>
      <c r="I1225" s="627">
        <v>0</v>
      </c>
      <c r="J1225" s="629" t="s">
        <v>2653</v>
      </c>
    </row>
    <row r="1226" spans="1:10">
      <c r="A1226" s="627">
        <v>1046</v>
      </c>
      <c r="B1226" s="628" t="s">
        <v>2475</v>
      </c>
      <c r="C1226" s="629" t="s">
        <v>2476</v>
      </c>
      <c r="D1226" s="629" t="s">
        <v>2651</v>
      </c>
      <c r="E1226" s="629" t="s">
        <v>2827</v>
      </c>
      <c r="F1226" s="630">
        <v>0.01</v>
      </c>
      <c r="G1226" s="630">
        <v>0.01</v>
      </c>
      <c r="H1226" s="630">
        <v>0</v>
      </c>
      <c r="I1226" s="627">
        <v>2765</v>
      </c>
      <c r="J1226" s="629" t="s">
        <v>2653</v>
      </c>
    </row>
    <row r="1227" spans="1:10">
      <c r="A1227" s="627">
        <v>1047</v>
      </c>
      <c r="B1227" s="628" t="s">
        <v>2477</v>
      </c>
      <c r="C1227" s="629" t="s">
        <v>2478</v>
      </c>
      <c r="D1227" s="629" t="s">
        <v>2651</v>
      </c>
      <c r="E1227" s="629" t="s">
        <v>2827</v>
      </c>
      <c r="F1227" s="630">
        <v>0.01</v>
      </c>
      <c r="G1227" s="630">
        <v>0.01</v>
      </c>
      <c r="H1227" s="630">
        <v>0</v>
      </c>
      <c r="I1227" s="627">
        <v>2604</v>
      </c>
      <c r="J1227" s="629" t="s">
        <v>2653</v>
      </c>
    </row>
    <row r="1228" spans="1:10">
      <c r="A1228" s="627">
        <v>1048</v>
      </c>
      <c r="B1228" s="628" t="s">
        <v>2479</v>
      </c>
      <c r="C1228" s="629" t="s">
        <v>2480</v>
      </c>
      <c r="D1228" s="629" t="s">
        <v>2654</v>
      </c>
      <c r="E1228" s="629" t="s">
        <v>2828</v>
      </c>
      <c r="F1228" s="630">
        <v>100</v>
      </c>
      <c r="G1228" s="630">
        <v>101.07429999999999</v>
      </c>
      <c r="H1228" s="630">
        <v>4.2300000000000004</v>
      </c>
      <c r="I1228" s="627">
        <v>209</v>
      </c>
      <c r="J1228" s="629" t="s">
        <v>2656</v>
      </c>
    </row>
    <row r="1229" spans="1:10">
      <c r="A1229" s="627">
        <v>1049</v>
      </c>
      <c r="B1229" s="628" t="s">
        <v>2481</v>
      </c>
      <c r="C1229" s="629" t="s">
        <v>2482</v>
      </c>
      <c r="D1229" s="629" t="s">
        <v>2654</v>
      </c>
      <c r="E1229" s="629" t="s">
        <v>2828</v>
      </c>
      <c r="F1229" s="630">
        <v>100</v>
      </c>
      <c r="G1229" s="630">
        <v>100.1371</v>
      </c>
      <c r="H1229" s="630">
        <v>0.35</v>
      </c>
      <c r="I1229" s="627">
        <v>39</v>
      </c>
      <c r="J1229" s="629" t="s">
        <v>2656</v>
      </c>
    </row>
    <row r="1230" spans="1:10">
      <c r="A1230" s="627">
        <v>1050</v>
      </c>
      <c r="B1230" s="628" t="s">
        <v>2483</v>
      </c>
      <c r="C1230" s="629" t="s">
        <v>2484</v>
      </c>
      <c r="D1230" s="629" t="s">
        <v>2654</v>
      </c>
      <c r="E1230" s="629" t="s">
        <v>2828</v>
      </c>
      <c r="F1230" s="630">
        <v>100</v>
      </c>
      <c r="G1230" s="630">
        <v>100.14879999999999</v>
      </c>
      <c r="H1230" s="630">
        <v>0.35</v>
      </c>
      <c r="I1230" s="627">
        <v>207</v>
      </c>
      <c r="J1230" s="629" t="s">
        <v>2656</v>
      </c>
    </row>
    <row r="1231" spans="1:10">
      <c r="A1231" s="627">
        <v>1051</v>
      </c>
      <c r="B1231" s="628" t="s">
        <v>2485</v>
      </c>
      <c r="C1231" s="629" t="s">
        <v>2486</v>
      </c>
      <c r="D1231" s="629" t="s">
        <v>2654</v>
      </c>
      <c r="E1231" s="629" t="s">
        <v>2828</v>
      </c>
      <c r="F1231" s="630">
        <v>100</v>
      </c>
      <c r="G1231" s="630">
        <v>100.00190000000001</v>
      </c>
      <c r="H1231" s="630">
        <v>0.35</v>
      </c>
      <c r="I1231" s="627">
        <v>538</v>
      </c>
      <c r="J1231" s="629" t="s">
        <v>2656</v>
      </c>
    </row>
    <row r="1232" spans="1:10">
      <c r="A1232" s="627">
        <v>1052</v>
      </c>
      <c r="B1232" s="628" t="s">
        <v>2885</v>
      </c>
      <c r="C1232" s="629" t="s">
        <v>2886</v>
      </c>
      <c r="D1232" s="629" t="s">
        <v>2654</v>
      </c>
      <c r="E1232" s="629" t="s">
        <v>2828</v>
      </c>
      <c r="F1232" s="630">
        <v>100</v>
      </c>
      <c r="G1232" s="630">
        <v>100.09139999999999</v>
      </c>
      <c r="H1232" s="630">
        <v>0.35</v>
      </c>
      <c r="I1232" s="627">
        <v>626</v>
      </c>
      <c r="J1232" s="629" t="s">
        <v>2656</v>
      </c>
    </row>
    <row r="1233" spans="1:10">
      <c r="A1233" s="627">
        <v>1053</v>
      </c>
      <c r="B1233" s="628" t="s">
        <v>2487</v>
      </c>
      <c r="C1233" s="629" t="s">
        <v>2488</v>
      </c>
      <c r="D1233" s="629" t="s">
        <v>2654</v>
      </c>
      <c r="E1233" s="629" t="s">
        <v>2828</v>
      </c>
      <c r="F1233" s="630">
        <v>100</v>
      </c>
      <c r="G1233" s="630">
        <v>100.0067</v>
      </c>
      <c r="H1233" s="630">
        <v>0.02</v>
      </c>
      <c r="I1233" s="627">
        <v>3040</v>
      </c>
      <c r="J1233" s="629" t="s">
        <v>2656</v>
      </c>
    </row>
    <row r="1234" spans="1:10">
      <c r="A1234" s="627">
        <v>1054</v>
      </c>
      <c r="B1234" s="628" t="s">
        <v>2489</v>
      </c>
      <c r="C1234" s="629" t="s">
        <v>2490</v>
      </c>
      <c r="D1234" s="629" t="s">
        <v>2654</v>
      </c>
      <c r="E1234" s="629" t="s">
        <v>2828</v>
      </c>
      <c r="F1234" s="630">
        <v>100</v>
      </c>
      <c r="G1234" s="630">
        <v>101.9486</v>
      </c>
      <c r="H1234" s="630">
        <v>6.08</v>
      </c>
      <c r="I1234" s="627">
        <v>1655</v>
      </c>
      <c r="J1234" s="629" t="s">
        <v>2656</v>
      </c>
    </row>
    <row r="1235" spans="1:10">
      <c r="A1235" s="627">
        <v>1055</v>
      </c>
      <c r="B1235" s="628" t="s">
        <v>2491</v>
      </c>
      <c r="C1235" s="629" t="s">
        <v>2492</v>
      </c>
      <c r="D1235" s="629" t="s">
        <v>2654</v>
      </c>
      <c r="E1235" s="629" t="s">
        <v>2828</v>
      </c>
      <c r="F1235" s="630">
        <v>100</v>
      </c>
      <c r="G1235" s="630">
        <v>106.9619</v>
      </c>
      <c r="H1235" s="630">
        <v>7.08</v>
      </c>
      <c r="I1235" s="627">
        <v>2137</v>
      </c>
      <c r="J1235" s="629" t="s">
        <v>2656</v>
      </c>
    </row>
    <row r="1236" spans="1:10">
      <c r="A1236" s="627">
        <v>1056</v>
      </c>
      <c r="B1236" s="628" t="s">
        <v>2897</v>
      </c>
      <c r="C1236" s="629" t="s">
        <v>2898</v>
      </c>
      <c r="D1236" s="629" t="s">
        <v>2654</v>
      </c>
      <c r="E1236" s="629" t="s">
        <v>2828</v>
      </c>
      <c r="F1236" s="630">
        <v>90.103829909734245</v>
      </c>
      <c r="G1236" s="630">
        <v>94.754929909734244</v>
      </c>
      <c r="H1236" s="630">
        <v>20.55</v>
      </c>
      <c r="I1236" s="627">
        <v>3508</v>
      </c>
      <c r="J1236" s="629" t="s">
        <v>2656</v>
      </c>
    </row>
    <row r="1237" spans="1:10">
      <c r="A1237" s="627">
        <v>1057</v>
      </c>
      <c r="B1237" s="628" t="s">
        <v>3001</v>
      </c>
      <c r="C1237" s="629" t="s">
        <v>3002</v>
      </c>
      <c r="D1237" s="629" t="s">
        <v>2654</v>
      </c>
      <c r="E1237" s="629" t="s">
        <v>2828</v>
      </c>
      <c r="F1237" s="630">
        <v>93.024053141473829</v>
      </c>
      <c r="G1237" s="630">
        <v>95.701553141473823</v>
      </c>
      <c r="H1237" s="630">
        <v>20.55</v>
      </c>
      <c r="I1237" s="627">
        <v>3549</v>
      </c>
      <c r="J1237" s="629" t="s">
        <v>2656</v>
      </c>
    </row>
    <row r="1238" spans="1:10">
      <c r="A1238" s="627">
        <v>1058</v>
      </c>
      <c r="B1238" s="628" t="s">
        <v>2493</v>
      </c>
      <c r="C1238" s="629" t="s">
        <v>2494</v>
      </c>
      <c r="D1238" s="629" t="s">
        <v>2654</v>
      </c>
      <c r="E1238" s="629" t="s">
        <v>2828</v>
      </c>
      <c r="F1238" s="630">
        <v>100</v>
      </c>
      <c r="G1238" s="630">
        <v>101.1183</v>
      </c>
      <c r="H1238" s="630">
        <v>6.08</v>
      </c>
      <c r="I1238" s="627">
        <v>2064</v>
      </c>
      <c r="J1238" s="629" t="s">
        <v>2656</v>
      </c>
    </row>
    <row r="1239" spans="1:10">
      <c r="A1239" s="627">
        <v>1059</v>
      </c>
      <c r="B1239" s="628" t="s">
        <v>2495</v>
      </c>
      <c r="C1239" s="629" t="s">
        <v>2496</v>
      </c>
      <c r="D1239" s="629" t="s">
        <v>2654</v>
      </c>
      <c r="E1239" s="629" t="s">
        <v>2828</v>
      </c>
      <c r="F1239" s="630">
        <v>100</v>
      </c>
      <c r="G1239" s="630">
        <v>106.06610000000001</v>
      </c>
      <c r="H1239" s="630">
        <v>6.09</v>
      </c>
      <c r="I1239" s="627">
        <v>2492</v>
      </c>
      <c r="J1239" s="629" t="s">
        <v>2656</v>
      </c>
    </row>
    <row r="1240" spans="1:10">
      <c r="A1240" s="627">
        <v>1060</v>
      </c>
      <c r="B1240" s="628" t="s">
        <v>2497</v>
      </c>
      <c r="C1240" s="629" t="s">
        <v>2498</v>
      </c>
      <c r="D1240" s="629" t="s">
        <v>2654</v>
      </c>
      <c r="E1240" s="629" t="s">
        <v>2828</v>
      </c>
      <c r="F1240" s="630">
        <v>100</v>
      </c>
      <c r="G1240" s="630">
        <v>106.06610000000001</v>
      </c>
      <c r="H1240" s="630">
        <v>6.09</v>
      </c>
      <c r="I1240" s="627">
        <v>2492</v>
      </c>
      <c r="J1240" s="629" t="s">
        <v>2656</v>
      </c>
    </row>
    <row r="1241" spans="1:10">
      <c r="A1241" s="627">
        <v>1061</v>
      </c>
      <c r="B1241" s="628" t="s">
        <v>3032</v>
      </c>
      <c r="C1241" s="629" t="s">
        <v>3033</v>
      </c>
      <c r="D1241" s="629" t="s">
        <v>2654</v>
      </c>
      <c r="E1241" s="629" t="s">
        <v>2828</v>
      </c>
      <c r="F1241" s="630">
        <v>92.118600314729008</v>
      </c>
      <c r="G1241" s="630">
        <v>94.586100314729009</v>
      </c>
      <c r="H1241" s="630">
        <v>20.59</v>
      </c>
      <c r="I1241" s="627">
        <v>5353</v>
      </c>
      <c r="J1241" s="629" t="s">
        <v>2656</v>
      </c>
    </row>
    <row r="1242" spans="1:10">
      <c r="A1242" s="627"/>
      <c r="B1242" s="628"/>
      <c r="C1242" s="629"/>
      <c r="D1242" s="629"/>
      <c r="E1242" s="629"/>
      <c r="F1242" s="630"/>
      <c r="G1242" s="630"/>
      <c r="H1242" s="630"/>
      <c r="I1242" s="627"/>
      <c r="J1242" s="629"/>
    </row>
  </sheetData>
  <conditionalFormatting sqref="A169:A170">
    <cfRule type="expression" dxfId="63" priority="180" stopIfTrue="1">
      <formula>С4&lt;&gt;""</formula>
    </cfRule>
  </conditionalFormatting>
  <conditionalFormatting sqref="A168:A170">
    <cfRule type="expression" dxfId="62" priority="179" stopIfTrue="1">
      <formula>A168&lt;&gt;""</formula>
    </cfRule>
  </conditionalFormatting>
  <conditionalFormatting sqref="A172">
    <cfRule type="expression" dxfId="61" priority="110" stopIfTrue="1">
      <formula>С4&lt;&gt;""</formula>
    </cfRule>
  </conditionalFormatting>
  <conditionalFormatting sqref="A171:A172">
    <cfRule type="expression" dxfId="60" priority="109" stopIfTrue="1">
      <formula>A171&lt;&gt;""</formula>
    </cfRule>
  </conditionalFormatting>
  <conditionalFormatting sqref="A174">
    <cfRule type="expression" dxfId="59" priority="100" stopIfTrue="1">
      <formula>С4&lt;&gt;""</formula>
    </cfRule>
  </conditionalFormatting>
  <conditionalFormatting sqref="A173:A174">
    <cfRule type="expression" dxfId="58" priority="99" stopIfTrue="1">
      <formula>A173&lt;&gt;""</formula>
    </cfRule>
  </conditionalFormatting>
  <conditionalFormatting sqref="F175">
    <cfRule type="expression" dxfId="57" priority="88" stopIfTrue="1">
      <formula>F175&lt;&gt;""</formula>
    </cfRule>
  </conditionalFormatting>
  <conditionalFormatting sqref="G175">
    <cfRule type="expression" dxfId="56" priority="83" stopIfTrue="1">
      <formula>G175&lt;&gt;""</formula>
    </cfRule>
    <cfRule type="expression" dxfId="55" priority="84" stopIfTrue="1">
      <formula>G&lt;&gt;""</formula>
    </cfRule>
    <cfRule type="expression" dxfId="54" priority="87" stopIfTrue="1">
      <formula>G&lt;&gt;""</formula>
    </cfRule>
  </conditionalFormatting>
  <conditionalFormatting sqref="H175">
    <cfRule type="expression" dxfId="53" priority="82" stopIfTrue="1">
      <formula>H175&lt;&gt;""</formula>
    </cfRule>
    <cfRule type="expression" dxfId="52" priority="86" stopIfTrue="1">
      <formula>H&lt;&gt;""</formula>
    </cfRule>
  </conditionalFormatting>
  <conditionalFormatting sqref="I175">
    <cfRule type="expression" dxfId="51" priority="81" stopIfTrue="1">
      <formula>I175&lt;&gt;""</formula>
    </cfRule>
    <cfRule type="expression" dxfId="50" priority="85" stopIfTrue="1">
      <formula>I&lt;&gt;""</formula>
    </cfRule>
  </conditionalFormatting>
  <conditionalFormatting sqref="A177">
    <cfRule type="expression" dxfId="49" priority="80" stopIfTrue="1">
      <formula>С4&lt;&gt;""</formula>
    </cfRule>
  </conditionalFormatting>
  <conditionalFormatting sqref="A175">
    <cfRule type="expression" dxfId="48" priority="89" stopIfTrue="1">
      <formula>A175&lt;&gt;""</formula>
    </cfRule>
  </conditionalFormatting>
  <conditionalFormatting sqref="A176:A177">
    <cfRule type="expression" dxfId="47" priority="79" stopIfTrue="1">
      <formula>A176&lt;&gt;""</formula>
    </cfRule>
  </conditionalFormatting>
  <conditionalFormatting sqref="F176:F177">
    <cfRule type="expression" dxfId="46" priority="78" stopIfTrue="1">
      <formula>F176&lt;&gt;""</formula>
    </cfRule>
  </conditionalFormatting>
  <conditionalFormatting sqref="G176:G177">
    <cfRule type="expression" dxfId="45" priority="73" stopIfTrue="1">
      <formula>G176&lt;&gt;""</formula>
    </cfRule>
    <cfRule type="expression" dxfId="44" priority="74" stopIfTrue="1">
      <formula>G&lt;&gt;""</formula>
    </cfRule>
    <cfRule type="expression" dxfId="43" priority="77" stopIfTrue="1">
      <formula>G&lt;&gt;""</formula>
    </cfRule>
  </conditionalFormatting>
  <conditionalFormatting sqref="H176:H177">
    <cfRule type="expression" dxfId="42" priority="72" stopIfTrue="1">
      <formula>H176&lt;&gt;""</formula>
    </cfRule>
    <cfRule type="expression" dxfId="41" priority="76" stopIfTrue="1">
      <formula>H&lt;&gt;""</formula>
    </cfRule>
  </conditionalFormatting>
  <conditionalFormatting sqref="I176:I177">
    <cfRule type="expression" dxfId="40" priority="71" stopIfTrue="1">
      <formula>I176&lt;&gt;""</formula>
    </cfRule>
    <cfRule type="expression" dxfId="39" priority="75" stopIfTrue="1">
      <formula>I&lt;&gt;""</formula>
    </cfRule>
  </conditionalFormatting>
  <conditionalFormatting sqref="A179:A180">
    <cfRule type="expression" dxfId="38" priority="30" stopIfTrue="1">
      <formula>С4&lt;&gt;""</formula>
    </cfRule>
  </conditionalFormatting>
  <conditionalFormatting sqref="A178:A180">
    <cfRule type="expression" dxfId="37" priority="29" stopIfTrue="1">
      <formula>A178&lt;&gt;""</formula>
    </cfRule>
  </conditionalFormatting>
  <conditionalFormatting sqref="F178:F180">
    <cfRule type="expression" dxfId="36" priority="28" stopIfTrue="1">
      <formula>F178&lt;&gt;""</formula>
    </cfRule>
  </conditionalFormatting>
  <conditionalFormatting sqref="G178:G180">
    <cfRule type="expression" dxfId="35" priority="23" stopIfTrue="1">
      <formula>G178&lt;&gt;""</formula>
    </cfRule>
    <cfRule type="expression" dxfId="34" priority="24" stopIfTrue="1">
      <formula>G&lt;&gt;""</formula>
    </cfRule>
    <cfRule type="expression" dxfId="33" priority="27" stopIfTrue="1">
      <formula>G&lt;&gt;""</formula>
    </cfRule>
  </conditionalFormatting>
  <conditionalFormatting sqref="H178:H180">
    <cfRule type="expression" dxfId="32" priority="22" stopIfTrue="1">
      <formula>H178&lt;&gt;""</formula>
    </cfRule>
    <cfRule type="expression" dxfId="31" priority="26" stopIfTrue="1">
      <formula>H&lt;&gt;""</formula>
    </cfRule>
  </conditionalFormatting>
  <conditionalFormatting sqref="I178:I180">
    <cfRule type="expression" dxfId="30" priority="21" stopIfTrue="1">
      <formula>I178&lt;&gt;""</formula>
    </cfRule>
    <cfRule type="expression" dxfId="29" priority="25" stopIfTrue="1">
      <formula>I&lt;&gt;""</formula>
    </cfRule>
  </conditionalFormatting>
  <conditionalFormatting sqref="A182:A1235">
    <cfRule type="expression" dxfId="28" priority="10" stopIfTrue="1">
      <formula>С4&lt;&gt;""</formula>
    </cfRule>
  </conditionalFormatting>
  <conditionalFormatting sqref="A181:A1235">
    <cfRule type="expression" dxfId="27" priority="9" stopIfTrue="1">
      <formula>A181&lt;&gt;""</formula>
    </cfRule>
  </conditionalFormatting>
  <conditionalFormatting sqref="F181:F1235">
    <cfRule type="expression" dxfId="26" priority="8" stopIfTrue="1">
      <formula>F181&lt;&gt;""</formula>
    </cfRule>
  </conditionalFormatting>
  <conditionalFormatting sqref="G181:G1235">
    <cfRule type="expression" dxfId="25" priority="3" stopIfTrue="1">
      <formula>G181&lt;&gt;""</formula>
    </cfRule>
    <cfRule type="expression" dxfId="24" priority="4" stopIfTrue="1">
      <formula>G&lt;&gt;""</formula>
    </cfRule>
    <cfRule type="expression" dxfId="23" priority="7" stopIfTrue="1">
      <formula>G&lt;&gt;""</formula>
    </cfRule>
  </conditionalFormatting>
  <conditionalFormatting sqref="H181:H1235">
    <cfRule type="expression" dxfId="22" priority="2" stopIfTrue="1">
      <formula>H181&lt;&gt;""</formula>
    </cfRule>
    <cfRule type="expression" dxfId="21" priority="6" stopIfTrue="1">
      <formula>H&lt;&gt;""</formula>
    </cfRule>
  </conditionalFormatting>
  <conditionalFormatting sqref="I181:I1235">
    <cfRule type="expression" dxfId="20" priority="1" stopIfTrue="1">
      <formula>I181&lt;&gt;""</formula>
    </cfRule>
    <cfRule type="expression" dxfId="19" priority="5" stopIfTrue="1">
      <formula>I&lt;&gt;""</formula>
    </cfRule>
  </conditionalFormatting>
  <hyperlinks>
    <hyperlink ref="B5" r:id="rId1" display="https://kase.kz/ru/investors/shares/AIRA" xr:uid="{42F43024-69D9-4BC9-98B4-71721958093E}"/>
    <hyperlink ref="E5" r:id="rId2" display="https://kase.kz/ru/listing/issuers/AIRA" xr:uid="{9DCC6730-5B70-4E36-9CDE-104D3D02714C}"/>
    <hyperlink ref="B6" r:id="rId3" display="https://kase.kz/ru/investors/shares/AKZM" xr:uid="{26929287-BAD1-4FFF-B86A-C68386902E8C}"/>
    <hyperlink ref="E6" r:id="rId4" display="https://kase.kz/ru/listing/issuers/AKZM" xr:uid="{C16F0C57-982F-417F-AECC-88269CACCFB4}"/>
    <hyperlink ref="B7" r:id="rId5" display="https://kase.kz/ru/investors/bonds/ALMSb1" xr:uid="{E514426F-9336-4773-AE22-92AA432E1638}"/>
    <hyperlink ref="E7" r:id="rId6" display="https://kase.kz/ru/listing/issuers/ALMS" xr:uid="{C28006D2-90EB-4050-83CB-C2011A2F374E}"/>
    <hyperlink ref="B8" r:id="rId7" display="https://kase.kz/ru/investors/mifs/BCCI_cc" xr:uid="{9441AC9C-DD06-4711-8027-83D99E29D336}"/>
    <hyperlink ref="E8" r:id="rId8" display="https://kase.kz/ru/listing/issuers/BCCI" xr:uid="{EA97C1C3-52AC-4348-BF48-337FCE5C70DF}"/>
    <hyperlink ref="B9" r:id="rId9" display="https://kase.kz/ru/investors/mifs/BCCIbe" xr:uid="{D5001D1E-1888-420C-A2FD-7B176E2132B2}"/>
    <hyperlink ref="E9" r:id="rId10" display="https://kase.kz/ru/listing/issuers/BCCI" xr:uid="{25908436-5B80-4F0A-A841-83B797032F6F}"/>
    <hyperlink ref="B10" r:id="rId11" display="https://kase.kz/ru/investors/mifs/BCCIrb" xr:uid="{F1D865C5-D233-4BC9-BC55-0F79ABF1961B}"/>
    <hyperlink ref="E10" r:id="rId12" display="https://kase.kz/ru/listing/issuers/BCCI" xr:uid="{CF0723AC-C669-4DB8-87B9-7110BCE88BD2}"/>
    <hyperlink ref="B11" r:id="rId13" display="https://kase.kz/ru/investors/mifs/BCCIwah" xr:uid="{8A357208-0DC9-4270-AA03-F081579CEE66}"/>
    <hyperlink ref="E11" r:id="rId14" display="https://kase.kz/ru/listing/issuers/BCCI" xr:uid="{D3097302-D927-45D1-8085-5A31E517C8AA}"/>
    <hyperlink ref="B12" r:id="rId15" display="https://kase.kz/ru/investors/bonds/BIGDb1" xr:uid="{77C590CB-5304-4AB0-9DC7-A04F89B4AB6B}"/>
    <hyperlink ref="E12" r:id="rId16" display="https://kase.kz/ru/listing/issuers/BIGD" xr:uid="{E4D397CA-A632-48DE-BEA5-F485B7D7E1DC}"/>
    <hyperlink ref="B13" r:id="rId17" display="https://kase.kz/ru/investors/bonds/BIGDb2" xr:uid="{712B779B-3AFE-4471-867A-74794ED17632}"/>
    <hyperlink ref="E13" r:id="rId18" display="https://kase.kz/ru/listing/issuers/BIGD" xr:uid="{E0E3E03D-BFCB-4D6F-9EFA-01188F15C1EF}"/>
    <hyperlink ref="B14" r:id="rId19" display="https://kase.kz/ru/investors/bonds/BIGDb5" xr:uid="{DD776058-88B6-4B37-A843-ADEFF88455C9}"/>
    <hyperlink ref="E14" r:id="rId20" display="https://kase.kz/ru/listing/issuers/BIGD" xr:uid="{DC6CC0FE-6D3C-498F-B6DA-D79F04C3AD14}"/>
    <hyperlink ref="B15" r:id="rId21" display="https://kase.kz/ru/investors/bonds/BIGDb6" xr:uid="{8EC7D690-4F60-4F90-8FE6-E68FA806D114}"/>
    <hyperlink ref="E15" r:id="rId22" display="https://kase.kz/ru/listing/issuers/BIGD" xr:uid="{07A27509-1FDB-4184-B8D5-B969E103E049}"/>
    <hyperlink ref="B16" r:id="rId23" display="https://kase.kz/ru/investors/bonds/BRKZe12" xr:uid="{EA310529-EE6A-4D76-8F64-D5512270776C}"/>
    <hyperlink ref="E16" r:id="rId24" display="https://kase.kz/ru/listing/issuers/BRKZ" xr:uid="{119CA879-3F7E-4DE5-B94A-D00E79134697}"/>
    <hyperlink ref="B17" r:id="rId25" display="https://kase.kz/ru/investors/bonds/BRKZe16" xr:uid="{18BA3B3D-A05D-4C7E-84FE-58AC7070ECD3}"/>
    <hyperlink ref="E17" r:id="rId26" display="https://kase.kz/ru/listing/issuers/BRKZ" xr:uid="{11E9955C-5D9E-4260-9F26-A3F2D2DDF132}"/>
    <hyperlink ref="B18" r:id="rId27" display="https://kase.kz/ru/investors/bonds/BRKZe18" xr:uid="{194E39A2-C7A4-4FA6-B8A3-C9707BD748EE}"/>
    <hyperlink ref="E18" r:id="rId28" display="https://kase.kz/ru/listing/issuers/BRKZ" xr:uid="{859AFDE8-B930-4AF3-BD4F-E82E8F2529D6}"/>
    <hyperlink ref="B19" r:id="rId29" display="https://kase.kz/ru/investors/bonds/BRKZe21" xr:uid="{C18A29E7-087F-416F-912C-AC11799C9007}"/>
    <hyperlink ref="E19" r:id="rId30" display="https://kase.kz/ru/listing/issuers/BRKZ" xr:uid="{694DD530-B490-40E5-9C0C-008EE88CDE90}"/>
    <hyperlink ref="B20" r:id="rId31" display="https://kase.kz/ru/investors/bonds/BTRKe1" xr:uid="{D0D5FF0B-4103-49B3-8D79-610A02488772}"/>
    <hyperlink ref="E20" r:id="rId32" display="https://kase.kz/ru/listing/issuers/BTRK" xr:uid="{2032E465-5DF4-4A9A-A667-9B489777AC43}"/>
    <hyperlink ref="B21" r:id="rId33" display="https://kase.kz/ru/investors/shares/CCBN" xr:uid="{357E2357-D160-4287-86A3-1DB4DE24083F}"/>
    <hyperlink ref="E21" r:id="rId34" display="https://kase.kz/ru/listing/issuers/CCBN" xr:uid="{0761C298-469D-462E-A772-AE5D8A0A8D13}"/>
    <hyperlink ref="B22" r:id="rId35" display="https://kase.kz/ru/investors/shares/CCBNp" xr:uid="{04260FE3-263F-4C34-ACDD-1D5D48625F43}"/>
    <hyperlink ref="E22" r:id="rId36" display="https://kase.kz/ru/listing/issuers/CCBN" xr:uid="{C523390F-56DB-47C3-94EC-11D0F1E52BAF}"/>
    <hyperlink ref="B23" r:id="rId37" display="https://kase.kz/ru/investors/mifs/CSECfe" xr:uid="{EF3DC10C-AD64-40D1-A7DD-963EB07DD8A6}"/>
    <hyperlink ref="E23" r:id="rId38" display="https://kase.kz/ru/listing/issuers/CSEC" xr:uid="{768A4E6E-4830-4BC6-8B54-E8327ECAFE70}"/>
    <hyperlink ref="B24" r:id="rId39" display="https://kase.kz/ru/investors/mifs/CSECtf" xr:uid="{165FBB5F-C3A5-4190-AE30-D0346AB64CCB}"/>
    <hyperlink ref="E24" r:id="rId40" display="https://kase.kz/ru/listing/issuers/CSEC" xr:uid="{CA188160-A27E-4A97-ABEA-60ED4D6D3042}"/>
    <hyperlink ref="B25" r:id="rId41" display="https://kase.kz/ru/investors/bonds/EABRb40" xr:uid="{5B959300-7660-4132-B116-AC3E110D094F}"/>
    <hyperlink ref="E25" r:id="rId42" display="https://kase.kz/ru/listing/issuers/EABR" xr:uid="{C3D6ABD5-42A7-4673-8A1F-DED7234D2A21}"/>
    <hyperlink ref="B26" r:id="rId43" display="https://kase.kz/ru/investors/bonds/EABRb42" xr:uid="{23B7805E-C318-4C12-AAEE-52C9E8C01C5E}"/>
    <hyperlink ref="E26" r:id="rId44" display="https://kase.kz/ru/listing/issuers/EABR" xr:uid="{CB2C4861-BBC7-4C02-9BB5-900BC578654B}"/>
    <hyperlink ref="B27" r:id="rId45" display="https://kase.kz/ru/investors/bonds/EABRb53" xr:uid="{2DDDDDE5-B905-4841-859E-F73FA78F40C3}"/>
    <hyperlink ref="E27" r:id="rId46" display="https://kase.kz/ru/listing/issuers/EABR" xr:uid="{4E0199EF-57DC-475A-97B1-042D917E3F34}"/>
    <hyperlink ref="B28" r:id="rId47" display="https://kase.kz/ru/investors/mifs/FFIN_or" xr:uid="{DA5BC465-01C3-498A-9FAE-759A35A7564F}"/>
    <hyperlink ref="E28" r:id="rId48" display="https://kase.kz/ru/listing/issuers/FFIN" xr:uid="{33F53A97-57CD-49F3-AE68-AC763696AF55}"/>
    <hyperlink ref="B29" r:id="rId49" display="https://kase.kz/ru/investors/mifs/FFINgw" xr:uid="{EAA000B5-6D75-4086-A30D-F9A67FDDFCE0}"/>
    <hyperlink ref="E29" r:id="rId50" display="https://kase.kz/ru/listing/issuers/FFIN" xr:uid="{6EF60BFF-B278-4385-A18A-721B6B617A06}"/>
    <hyperlink ref="B30" r:id="rId51" display="https://kase.kz/ru/investors/bonds/FPSTb5" xr:uid="{445E1766-E8BD-4A1D-8D44-41C1E3ED96D1}"/>
    <hyperlink ref="E30" r:id="rId52" display="https://kase.kz/ru/listing/issuers/FPST" xr:uid="{EFA5F535-CBF5-4093-8240-9CE23B918DB0}"/>
    <hyperlink ref="B31" r:id="rId53" display="https://kase.kz/ru/investors/bonds/HCBNb13" xr:uid="{1D6E02B5-3A94-4B3E-B4AA-451D0B9AA566}"/>
    <hyperlink ref="E31" r:id="rId54" display="https://kase.kz/ru/listing/issuers/HCBN" xr:uid="{4C7E9FCA-7F91-4BCB-80DE-BB14052E3DBF}"/>
    <hyperlink ref="B32" r:id="rId55" display="https://kase.kz/ru/investors/mifs/HFINhl" xr:uid="{57481417-A21B-46A3-83B4-E4BB8A12BE27}"/>
    <hyperlink ref="E32" r:id="rId56" display="https://kase.kz/ru/listing/issuers/HFIN" xr:uid="{E23AA9A6-CAFD-4F19-839C-782F45D9BEE7}"/>
    <hyperlink ref="B33" r:id="rId57" display="https://kase.kz/ru/investors/mifs/HFINhp" xr:uid="{D9D2DFA3-40FB-4BF0-80ED-84A75DB66AD3}"/>
    <hyperlink ref="E33" r:id="rId58" display="https://kase.kz/ru/listing/issuers/HFIN" xr:uid="{A8304390-DFFE-4D69-9A02-6D477AAEE10E}"/>
    <hyperlink ref="B34" r:id="rId59" display="https://kase.kz/ru/investors/mifs/HFINhs" xr:uid="{80384EEE-5095-49BD-9DBE-F1A7B5B24863}"/>
    <hyperlink ref="E34" r:id="rId60" display="https://kase.kz/ru/listing/issuers/HFIN" xr:uid="{012BC5A2-A36B-46B0-8446-B5D2C14A2CD6}"/>
    <hyperlink ref="B35" r:id="rId61" display="https://kase.kz/ru/investors/mifs/HFINhv" xr:uid="{8928C189-1838-48A3-870A-3F4F6C945CF1}"/>
    <hyperlink ref="E35" r:id="rId62" display="https://kase.kz/ru/listing/issuers/HFIN" xr:uid="{0DFDAD05-37E5-4E61-911D-16711A0970F1}"/>
    <hyperlink ref="B36" r:id="rId63" display="https://kase.kz/ru/investors/shares/HSBK" xr:uid="{B2204973-B1E5-4FA4-9A45-40447A8FF10B}"/>
    <hyperlink ref="E36" r:id="rId64" display="https://kase.kz/ru/listing/issuers/HSBK" xr:uid="{F446075B-1D86-41D6-AE8B-11EA74F2D085}"/>
    <hyperlink ref="B37" r:id="rId65" display="https://kase.kz/ru/investors/bonds/HSBKb22" xr:uid="{77C64227-9867-4576-9A2A-7C18DBE5AD1F}"/>
    <hyperlink ref="E37" r:id="rId66" display="https://kase.kz/ru/listing/issuers/HSBK" xr:uid="{01D3D6B7-CB7B-4AE2-9863-1096033A77CA}"/>
    <hyperlink ref="B38" r:id="rId67" display="https://kase.kz/ru/investors/depts/HSBKd" xr:uid="{FC174DC5-345D-45CB-95CF-04B173F7C576}"/>
    <hyperlink ref="E38" r:id="rId68" display="https://kase.kz/ru/listing/issuers/HSBK" xr:uid="{8F81671E-5C15-4094-AAB1-35373FFDBFD9}"/>
    <hyperlink ref="B39" r:id="rId69" display="https://kase.kz/ru/investors/shares/IFDR" xr:uid="{CBEB9CB6-EF15-4BEB-8CBF-EFFD338E41A6}"/>
    <hyperlink ref="E39" r:id="rId70" display="https://kase.kz/ru/listing/issuers/TCIB" xr:uid="{9E38B47F-320A-42AA-882F-3A85623FB445}"/>
    <hyperlink ref="B40" r:id="rId71" display="https://kase.kz/ru/investors/bonds/KAFIb16" xr:uid="{404FB336-9AB1-432C-AA3A-0906E1913445}"/>
    <hyperlink ref="E40" r:id="rId72" display="https://kase.kz/ru/listing/issuers/KAFI" xr:uid="{24B0F1C3-6C63-40B4-818E-0573A8E3F9CB}"/>
    <hyperlink ref="B41" r:id="rId73" display="https://kase.kz/ru/investors/bonds/KAFIb17" xr:uid="{280AB91F-8EFA-4694-953A-9DB8A74FB27B}"/>
    <hyperlink ref="E41" r:id="rId74" display="https://kase.kz/ru/listing/issuers/KAFI" xr:uid="{0EA6ED4F-4F70-4FF4-9E6A-111752DB9987}"/>
    <hyperlink ref="B42" r:id="rId75" display="https://kase.kz/ru/investors/bonds/KASAb1" xr:uid="{49DC1D41-F21B-423C-B89B-F798EC0F98F8}"/>
    <hyperlink ref="E42" r:id="rId76" display="https://kase.kz/ru/listing/issuers/KASA" xr:uid="{ED1627E9-AAAC-4E02-BBA1-BDE61C345BC0}"/>
    <hyperlink ref="B43" r:id="rId77" display="https://kase.kz/ru/investors/shares/KCEL" xr:uid="{EA49620B-FC05-46A6-A912-DE39A2E50C15}"/>
    <hyperlink ref="E43" r:id="rId78" display="https://kase.kz/ru/listing/issuers/KCEL" xr:uid="{8F752EA7-E8F4-45C6-B274-1CB50C8EEC60}"/>
    <hyperlink ref="B44" r:id="rId79" display="https://kase.kz/ru/investors/shares/KEGC" xr:uid="{B4F109BA-D30D-4EB0-8A97-A0FA27E982DD}"/>
    <hyperlink ref="E44" r:id="rId80" display="https://kase.kz/ru/listing/issuers/KEGC" xr:uid="{09FC74B6-EE14-436E-9D9A-FF25DFE2984C}"/>
    <hyperlink ref="B45" r:id="rId81" display="https://kase.kz/ru/investors/shares/KMGZ" xr:uid="{64686E59-8E1C-4F6D-8CB2-77F1F5274015}"/>
    <hyperlink ref="E45" r:id="rId82" display="https://kase.kz/ru/listing/issuers/KMGZ" xr:uid="{59742DFE-4BC6-4643-875B-A340CE2ED3CE}"/>
    <hyperlink ref="B46" r:id="rId83" display="https://kase.kz/ru/investors/bonds/KMGZe12" xr:uid="{F5BF8814-0F8F-4463-8D97-C5216805F0C2}"/>
    <hyperlink ref="E46" r:id="rId84" display="https://kase.kz/ru/listing/issuers/KMGZ" xr:uid="{BEB95B47-2EFB-40B5-BE7B-65B90D6C84FF}"/>
    <hyperlink ref="B47" r:id="rId85" display="https://kase.kz/ru/investors/bonds/KMGZe15" xr:uid="{88451166-524F-4C98-BF66-17722C3DA5BD}"/>
    <hyperlink ref="E47" r:id="rId86" display="https://kase.kz/ru/listing/issuers/KMGZ" xr:uid="{87654D1E-27B0-4400-846B-1EF054C8DBB5}"/>
    <hyperlink ref="B48" r:id="rId87" display="https://kase.kz/ru/investors/bonds/KMGZe16" xr:uid="{EEFB3858-6763-4582-BBE8-4FA2CFBB0F52}"/>
    <hyperlink ref="E48" r:id="rId88" display="https://kase.kz/ru/listing/issuers/KMGZ" xr:uid="{D0029040-FE9A-42BE-9CAC-26C6A19C9C5B}"/>
    <hyperlink ref="B49" r:id="rId89" display="https://kase.kz/ru/investors/depts/KSPId" xr:uid="{A385C597-42D7-4FF3-87DD-C710153CFFAC}"/>
    <hyperlink ref="E49" r:id="rId90" display="https://kase.kz/ru/listing/issuers/KSPI" xr:uid="{8F559994-E475-47A7-A9C7-622D12DA23FF}"/>
    <hyperlink ref="B50" r:id="rId91" display="https://kase.kz/ru/investors/shares/KZAP" xr:uid="{1109F458-51A4-46EE-A8E4-02487DA04CD0}"/>
    <hyperlink ref="E50" r:id="rId92" display="https://kase.kz/ru/listing/issuers/KZAP" xr:uid="{328EC5D2-D83B-4E49-969E-8E7371161243}"/>
    <hyperlink ref="B51" r:id="rId93" display="https://kase.kz/ru/investors/bonds/KZTCb3" xr:uid="{09068834-1ACA-45DF-A94B-F27C006B2A47}"/>
    <hyperlink ref="E51" r:id="rId94" display="https://kase.kz/ru/listing/issuers/KZTC" xr:uid="{5EF11060-028F-4B37-9FC5-00A60C2E796A}"/>
    <hyperlink ref="B52" r:id="rId95" display="https://kase.kz/ru/investors/shares/KZTK" xr:uid="{60BAFC3B-9AFF-4EE0-B4F1-8F2D3DF0E290}"/>
    <hyperlink ref="E52" r:id="rId96" display="https://kase.kz/ru/listing/issuers/KZTK" xr:uid="{FC582937-09C8-47F1-886E-8CEFD500B321}"/>
    <hyperlink ref="B53" r:id="rId97" display="https://kase.kz/ru/investors/shares/KZTKp" xr:uid="{A4B1D9FE-D81C-42E2-8A77-993197DA5024}"/>
    <hyperlink ref="E53" r:id="rId98" display="https://kase.kz/ru/listing/issuers/KZTK" xr:uid="{1DF893E6-BFC8-4CF1-B0CA-683C5DAE0CAB}"/>
    <hyperlink ref="B54" r:id="rId99" display="https://kase.kz/ru/investors/shares/KZTO" xr:uid="{4F9D51BF-29AF-466D-B672-D22F50203964}"/>
    <hyperlink ref="E54" r:id="rId100" display="https://kase.kz/ru/listing/issuers/KZTO" xr:uid="{7D213B90-5B23-4C25-90CE-9F33FE20F936}"/>
    <hyperlink ref="B55" r:id="rId101" display="https://kase.kz/ru/investors/gsecs/KZ_23_3504" xr:uid="{55DDF204-FAB0-41A7-B8AF-3FFCF209C9CB}"/>
    <hyperlink ref="E55" r:id="rId102" display="https://kase.kz/ru/listing/issuers/MFRK" xr:uid="{E2BAE860-592E-43F2-90EA-9476364E2C9E}"/>
    <hyperlink ref="B56" r:id="rId103" display="https://kase.kz/ru/investors/bonds/MFDFb1" xr:uid="{DC7F37D9-27F2-4022-8EA6-9C5BC5F875AE}"/>
    <hyperlink ref="E56" r:id="rId104" display="https://kase.kz/ru/listing/issuers/MFDF" xr:uid="{019106A8-30D0-472C-8192-ED108A8D1FA7}"/>
    <hyperlink ref="B57" r:id="rId105" display="https://kase.kz/ru/investors/bonds/MFDGb1" xr:uid="{AF90ECBE-2800-4356-9A50-5F2E66AD195F}"/>
    <hyperlink ref="E57" r:id="rId106" display="https://kase.kz/ru/listing/issuers/MFDG" xr:uid="{AC2BF661-7D07-4C46-8DA2-5F7D3504BDB5}"/>
    <hyperlink ref="B58" r:id="rId107" display="https://kase.kz/ru/investors/bonds/MFMCb2" xr:uid="{45CE9A63-DB58-441E-9381-37994AB50492}"/>
    <hyperlink ref="E58" r:id="rId108" display="https://kase.kz/ru/listing/issuers/MFMC" xr:uid="{73117641-0ED6-4383-9725-689307ED94BA}"/>
    <hyperlink ref="B59" r:id="rId109" display="https://kase.kz/ru/investors/bonds/MFMOb23" xr:uid="{F61868C5-2E4F-4CBA-B8B0-52AB96DA2EA3}"/>
    <hyperlink ref="E59" r:id="rId110" display="https://kase.kz/ru/listing/issuers/MFMO" xr:uid="{7DAC4305-2F77-470C-9E89-C8B8E7B78168}"/>
    <hyperlink ref="B60" r:id="rId111" display="https://kase.kz/ru/investors/bonds/MFMOb24" xr:uid="{2682C0FC-ADF4-44DA-83B8-73495FBCE533}"/>
    <hyperlink ref="E60" r:id="rId112" display="https://kase.kz/ru/listing/issuers/MFMO" xr:uid="{DAA495A7-72A0-406C-ABB9-E0628B33AF06}"/>
    <hyperlink ref="B61" r:id="rId113" display="https://kase.kz/ru/investors/bonds/MFMOb27" xr:uid="{BE4F0ED5-B995-40E9-AAF1-59F945CB78E9}"/>
    <hyperlink ref="E61" r:id="rId114" display="https://kase.kz/ru/listing/issuers/MFMO" xr:uid="{E3681E06-23D0-4061-BB99-00612422D60C}"/>
    <hyperlink ref="B62" r:id="rId115" display="https://kase.kz/ru/investors/bonds/MFMOb29" xr:uid="{DD84F718-D74F-4C1C-A38C-7BD990A89D30}"/>
    <hyperlink ref="E62" r:id="rId116" display="https://kase.kz/ru/listing/issuers/MFMO" xr:uid="{49E03511-80E1-4587-8AFE-90843330E88F}"/>
    <hyperlink ref="B63" r:id="rId117" display="https://kase.kz/ru/investors/bonds/MFOKb16" xr:uid="{561E2BC9-974F-4F2A-A130-92755E25DB95}"/>
    <hyperlink ref="E63" r:id="rId118" display="https://kase.kz/ru/listing/issuers/MFOK" xr:uid="{0C6A7503-D7C9-496D-9949-924179F7D372}"/>
    <hyperlink ref="B64" r:id="rId119" display="https://kase.kz/ru/investors/bonds/MFOKb18" xr:uid="{D7D8DB19-C016-425D-B25E-B1D4A41AED05}"/>
    <hyperlink ref="E64" r:id="rId120" display="https://kase.kz/ru/listing/issuers/MFOK" xr:uid="{2D24F78E-6235-4C2F-BAE9-51143021CC53}"/>
    <hyperlink ref="B65" r:id="rId121" display="https://kase.kz/ru/investors/bonds/MFOKb20" xr:uid="{DBFD15B1-9CF5-4A0E-B314-CC6E7B4B60C4}"/>
    <hyperlink ref="E65" r:id="rId122" display="https://kase.kz/ru/listing/issuers/MFOK" xr:uid="{7069AC4E-1196-4008-85A4-53B16DD7197F}"/>
    <hyperlink ref="B66" r:id="rId123" display="https://kase.kz/ru/investors/bonds/MFOKb21" xr:uid="{F5532CB9-F121-4C3E-A9DE-EDFCC392CF1C}"/>
    <hyperlink ref="E66" r:id="rId124" display="https://kase.kz/ru/listing/issuers/MFOK" xr:uid="{2F3FE6D5-6A81-4BD7-82E3-835F022CB89E}"/>
    <hyperlink ref="B67" r:id="rId125" display="https://kase.kz/ru/investors/bonds/MFOKb22" xr:uid="{B9936DF1-7364-457F-91C9-516AB7F77F96}"/>
    <hyperlink ref="E67" r:id="rId126" display="https://kase.kz/ru/listing/issuers/MFOK" xr:uid="{878BD219-DECE-4AD8-B385-5B049C40EF87}"/>
    <hyperlink ref="B68" r:id="rId127" display="https://kase.kz/ru/investors/bonds/MFOKb24" xr:uid="{1B691BF7-9423-4815-BCC8-40025ABE94B3}"/>
    <hyperlink ref="E68" r:id="rId128" display="https://kase.kz/ru/listing/issuers/MFOK" xr:uid="{46623F7E-27F3-4D2D-B157-ED26C88ED1C2}"/>
    <hyperlink ref="B69" r:id="rId129" display="https://kase.kz/ru/investors/bonds/MFOKb25" xr:uid="{07711A69-DD9C-492A-90E4-E389ABD40769}"/>
    <hyperlink ref="E69" r:id="rId130" display="https://kase.kz/ru/listing/issuers/MFOK" xr:uid="{47D2C80C-A7CA-4116-98D2-606D3517F00A}"/>
    <hyperlink ref="B70" r:id="rId131" display="https://kase.kz/ru/investors/bonds/MFOKb26" xr:uid="{7BC9E7E6-21DC-49B7-89DD-4540A68999C4}"/>
    <hyperlink ref="E70" r:id="rId132" display="https://kase.kz/ru/listing/issuers/MFOK" xr:uid="{C9EB6F58-5FC5-40ED-BD7C-28F7ADF13B12}"/>
    <hyperlink ref="B71" r:id="rId133" display="https://kase.kz/ru/investors/bonds/MFRFb11" xr:uid="{7DE864C6-5981-40CA-85E4-055DB789372B}"/>
    <hyperlink ref="E71" r:id="rId134" display="https://kase.kz/ru/listing/issuers/MFRF" xr:uid="{85CFA25F-3D79-4618-988F-57C0BF2AEE06}"/>
    <hyperlink ref="B72" r:id="rId135" display="https://kase.kz/ru/investors/bonds/MFRFb14" xr:uid="{FF282DB2-DBD1-4E9F-BB41-E4371A12D945}"/>
    <hyperlink ref="E72" r:id="rId136" display="https://kase.kz/ru/listing/issuers/MFRF" xr:uid="{71FAF839-3723-47BB-92FC-82949369F1EF}"/>
    <hyperlink ref="B73" r:id="rId137" display="https://kase.kz/ru/investors/bonds/MFRFb16" xr:uid="{D2589B50-46F6-46E0-B8EA-F568478BD5C9}"/>
    <hyperlink ref="E73" r:id="rId138" display="https://kase.kz/ru/listing/issuers/MFRF" xr:uid="{41464E44-05B5-4462-AD17-237ACE320765}"/>
    <hyperlink ref="B74" r:id="rId139" display="https://kase.kz/ru/investors/bonds/MFRFb19" xr:uid="{816983F4-AADD-4EEF-8383-CA9965820A89}"/>
    <hyperlink ref="E74" r:id="rId140" display="https://kase.kz/ru/listing/issuers/MFRF" xr:uid="{C90D53BB-0B04-45F0-9B51-B3A9798142EB}"/>
    <hyperlink ref="B75" r:id="rId141" display="https://kase.kz/ru/investors/bonds/MFRFb9" xr:uid="{321E5390-BBE4-40EC-8286-4E8A36DB857B}"/>
    <hyperlink ref="E75" r:id="rId142" display="https://kase.kz/ru/listing/issuers/MFRF" xr:uid="{FD020278-9260-42C9-8BC3-D2FCB4140A01}"/>
    <hyperlink ref="B76" r:id="rId143" display="https://kase.kz/ru/investors/bonds/MFTSb1" xr:uid="{40F577F9-99D3-4173-990B-261F90D7C13E}"/>
    <hyperlink ref="E76" r:id="rId144" display="https://kase.kz/ru/listing/issuers/MFTS" xr:uid="{CF35DC8C-1D6B-483A-81C2-692CCAA4FF69}"/>
    <hyperlink ref="B77" r:id="rId145" display="https://kase.kz/ru/investors/bonds/MFTSb2" xr:uid="{18025902-435B-46DD-8B64-B88CEE2FF704}"/>
    <hyperlink ref="E77" r:id="rId146" display="https://kase.kz/ru/listing/issuers/MFTS" xr:uid="{63EA6A0C-4435-40E1-A3E7-95614F7FDCE2}"/>
    <hyperlink ref="B78" r:id="rId147" display="https://kase.kz/ru/investors/bonds/MFTSb3" xr:uid="{C96ADAA1-7F32-45FE-9E1A-D0DAE3D4ACFF}"/>
    <hyperlink ref="E78" r:id="rId148" display="https://kase.kz/ru/listing/issuers/MFTS" xr:uid="{DB814927-B90E-40D2-9790-917A9FD4237A}"/>
    <hyperlink ref="B79" r:id="rId149" display="https://kase.kz/ru/investors/gsecs/MKM012_0159" xr:uid="{75366AE2-1DB7-4610-993C-0EF705438C21}"/>
    <hyperlink ref="E79" r:id="rId150" display="https://kase.kz/ru/listing/issuers/MFRK" xr:uid="{23E0CFBA-1450-4792-8CA8-E43FDF0F5025}"/>
    <hyperlink ref="B80" r:id="rId151" display="https://kase.kz/ru/investors/gsecs/MKM012_0160" xr:uid="{9D7E6D76-0BFF-4966-90F1-07529472C114}"/>
    <hyperlink ref="E80" r:id="rId152" display="https://kase.kz/ru/listing/issuers/MFRK" xr:uid="{08C0FE4A-D4AA-4E23-8FB7-7ACF20ED8950}"/>
    <hyperlink ref="B81" r:id="rId153" display="https://kase.kz/ru/investors/gsecs/MKM012_0161" xr:uid="{57BCCD7E-B843-4B06-8553-C2D26B802993}"/>
    <hyperlink ref="E81" r:id="rId154" display="https://kase.kz/ru/listing/issuers/MFRK" xr:uid="{77F11C54-6C93-4338-B9D6-29DC70CD369F}"/>
    <hyperlink ref="B82" r:id="rId155" display="https://kase.kz/ru/investors/gsecs/MOM048_0052" xr:uid="{79E53A2F-803B-49BC-80E8-6C8907C406DD}"/>
    <hyperlink ref="E82" r:id="rId156" display="https://kase.kz/ru/listing/issuers/MFRK" xr:uid="{E1FF9D01-8626-42EF-BD0C-849127ABF10A}"/>
    <hyperlink ref="B83" r:id="rId157" display="https://kase.kz/ru/investors/gsecs/MOM048_0053" xr:uid="{1E465B66-B945-4700-9532-38A0D67C781A}"/>
    <hyperlink ref="E83" r:id="rId158" display="https://kase.kz/ru/listing/issuers/MFRK" xr:uid="{1C5F1515-45A7-4DD9-BC68-CFE3BF1DD243}"/>
    <hyperlink ref="B84" r:id="rId159" display="https://kase.kz/ru/investors/gsecs/MOM048_0054" xr:uid="{F5336DC5-F65D-42E5-90DD-ED9F3A695778}"/>
    <hyperlink ref="E84" r:id="rId160" display="https://kase.kz/ru/listing/issuers/MFRK" xr:uid="{353FA06E-A449-4CE7-B81B-EFAE1CC4BF87}"/>
    <hyperlink ref="B85" r:id="rId161" display="https://kase.kz/ru/investors/gsecs/MOM048_0056" xr:uid="{B9CB58C3-0D94-4FCB-A3C7-DC87C3D01D9B}"/>
    <hyperlink ref="E85" r:id="rId162" display="https://kase.kz/ru/listing/issuers/MFRK" xr:uid="{260079CF-4E26-4EAE-BFFB-F13FF2D9E236}"/>
    <hyperlink ref="B86" r:id="rId163" display="https://kase.kz/ru/investors/gsecs/MOM060_0052" xr:uid="{0B80C9D4-9633-45C2-ACB7-FC0E1C2967EE}"/>
    <hyperlink ref="E86" r:id="rId164" display="https://kase.kz/ru/listing/issuers/MFRK" xr:uid="{F2942544-3B30-4F52-84C1-D030068C5700}"/>
    <hyperlink ref="B87" r:id="rId165" display="https://kase.kz/ru/investors/gsecs/MOM060_0054" xr:uid="{6F14EFA2-F20D-465B-8E77-E26439AA5BFB}"/>
    <hyperlink ref="E87" r:id="rId166" display="https://kase.kz/ru/listing/issuers/MFRK" xr:uid="{81302CB0-1ED7-4124-9977-A13006A29D9D}"/>
    <hyperlink ref="B88" r:id="rId167" display="https://kase.kz/ru/investors/gsecs/MOM060_0055" xr:uid="{67D84B81-B5FF-40CF-82CE-1051C455E879}"/>
    <hyperlink ref="E88" r:id="rId168" display="https://kase.kz/ru/listing/issuers/MFRK" xr:uid="{2BB714E8-8A93-4BB2-B07C-CB29D0BC096B}"/>
    <hyperlink ref="B89" r:id="rId169" display="https://kase.kz/ru/investors/gsecs/MTC048_0001" xr:uid="{F7C7636A-138F-4524-B8BE-692A1DE1A947}"/>
    <hyperlink ref="E89" r:id="rId170" display="https://kase.kz/ru/listing/issuers/MFRK" xr:uid="{92E3288F-78D1-4D4A-8EA0-971FBE8A49AE}"/>
    <hyperlink ref="B90" r:id="rId171" display="https://kase.kz/ru/investors/gsecs/MTM048_0001" xr:uid="{97EDFACD-ED78-41E6-A1F8-C06A6CAC2664}"/>
    <hyperlink ref="E90" r:id="rId172" display="https://kase.kz/ru/listing/issuers/MFRK" xr:uid="{8B1EE9A1-C9B7-4895-8D8D-2EB68BC89DA6}"/>
    <hyperlink ref="B91" r:id="rId173" display="https://kase.kz/ru/investors/gsecs/MTM060_0001" xr:uid="{28228B60-BEAD-4808-A6C6-6087BB601B65}"/>
    <hyperlink ref="E91" r:id="rId174" display="https://kase.kz/ru/listing/issuers/MFRK" xr:uid="{B76B3C65-2107-4A2C-844A-A2099D93471E}"/>
    <hyperlink ref="B92" r:id="rId175" display="https://kase.kz/ru/investors/gsecs/MTM072_0001" xr:uid="{C78419FB-7BB0-4798-BA5D-3756C3255F73}"/>
    <hyperlink ref="E92" r:id="rId176" display="https://kase.kz/ru/listing/issuers/MFRK" xr:uid="{F59EC7ED-3BE6-4D0E-A04A-1F72842B4F91}"/>
    <hyperlink ref="B93" r:id="rId177" display="https://kase.kz/ru/investors/gsecs/MTM084_0001" xr:uid="{26C57ED5-98AF-4F56-8BE4-643353947E2B}"/>
    <hyperlink ref="E93" r:id="rId178" display="https://kase.kz/ru/listing/issuers/MFRK" xr:uid="{D54ACB24-4DD0-4D6D-A42A-CB9CFAB22AD6}"/>
    <hyperlink ref="B94" r:id="rId179" display="https://kase.kz/ru/investors/gsecs/MTM096_0001" xr:uid="{DF9C3EB0-7F14-445C-82E7-DEACAADA5068}"/>
    <hyperlink ref="E94" r:id="rId180" display="https://kase.kz/ru/listing/issuers/MFRK" xr:uid="{8CFD48A2-18B2-47EF-B558-ED04D49A23FF}"/>
    <hyperlink ref="B95" r:id="rId181" display="https://kase.kz/ru/investors/gsecs/MUJ144_0005" xr:uid="{5E777652-BB85-49DB-9BE6-FE049E042ED6}"/>
    <hyperlink ref="E95" r:id="rId182" display="https://kase.kz/ru/listing/issuers/MFRK" xr:uid="{633A3D63-E1D7-4F89-BF69-89D2EA2F08D0}"/>
    <hyperlink ref="B96" r:id="rId183" display="https://kase.kz/ru/investors/gsecs/MUJ156_0004" xr:uid="{62D4B589-E797-4167-BC71-C370CBA8C0C9}"/>
    <hyperlink ref="E96" r:id="rId184" display="https://kase.kz/ru/listing/issuers/MFRK" xr:uid="{73CBBE56-4DDF-491D-9681-99902B520533}"/>
    <hyperlink ref="B97" r:id="rId185" display="https://kase.kz/ru/investors/gsecs/MUJ168_0004" xr:uid="{E58DB9FC-F79F-4CE0-A1B2-DA6357663F2C}"/>
    <hyperlink ref="E97" r:id="rId186" display="https://kase.kz/ru/listing/issuers/MFRK" xr:uid="{39D0AFB9-FEA3-4E69-89D1-C266E281C68D}"/>
    <hyperlink ref="B98" r:id="rId187" display="https://kase.kz/ru/investors/gsecs/MUJ168_0005" xr:uid="{E073BFDD-BE63-461B-B666-205D253309A2}"/>
    <hyperlink ref="E98" r:id="rId188" display="https://kase.kz/ru/listing/issuers/MFRK" xr:uid="{86EE79B8-887A-4B38-89D0-2D4FEFBF4F1C}"/>
    <hyperlink ref="B99" r:id="rId189" display="https://kase.kz/ru/investors/gsecs/MUJ180_0007" xr:uid="{4C7C4DA4-4C29-4FA3-B439-DCC3ADC79339}"/>
    <hyperlink ref="E99" r:id="rId190" display="https://kase.kz/ru/listing/issuers/MFRK" xr:uid="{40AB017D-AA21-4034-9526-CA448AB45D89}"/>
    <hyperlink ref="B100" r:id="rId191" display="https://kase.kz/ru/investors/gsecs/MUJ180_0008" xr:uid="{A815E55A-C3D3-4C7B-A44E-4B842BD1AB4F}"/>
    <hyperlink ref="E100" r:id="rId192" display="https://kase.kz/ru/listing/issuers/MFRK" xr:uid="{2EBE01BE-BF38-4D74-AE36-37E84CD0ED49}"/>
    <hyperlink ref="B101" r:id="rId193" display="https://kase.kz/ru/investors/gsecs/MUJ192_0002" xr:uid="{4D245273-6C49-4E60-ACBF-B4C6FC1D9CDD}"/>
    <hyperlink ref="E101" r:id="rId194" display="https://kase.kz/ru/listing/issuers/MFRK" xr:uid="{EC3F8859-8A03-47C5-8E42-951682F608B6}"/>
    <hyperlink ref="B102" r:id="rId195" display="https://kase.kz/ru/investors/gsecs/MUJ192_0003" xr:uid="{2B41ABDB-6B7A-4D84-A5C9-45E7624A0CDB}"/>
    <hyperlink ref="E102" r:id="rId196" display="https://kase.kz/ru/listing/issuers/MFRK" xr:uid="{8BCA56B0-8FC2-496D-B414-A9FD905B51F2}"/>
    <hyperlink ref="B103" r:id="rId197" display="https://kase.kz/ru/investors/gsecs/MUJ192_0004" xr:uid="{F5A84228-8596-4436-BAC5-AC81FD65369A}"/>
    <hyperlink ref="E103" r:id="rId198" display="https://kase.kz/ru/listing/issuers/MFRK" xr:uid="{D935C512-8B17-4BFA-A5C7-5379D9B1A8BE}"/>
    <hyperlink ref="B104" r:id="rId199" display="https://kase.kz/ru/investors/gsecs/MUJ204_0001" xr:uid="{5283C4A9-2E1D-4884-86F1-3862B3AA0443}"/>
    <hyperlink ref="E104" r:id="rId200" display="https://kase.kz/ru/listing/issuers/MFRK" xr:uid="{AC6833F3-C55B-4401-8D17-6C08C99D31D5}"/>
    <hyperlink ref="B105" r:id="rId201" display="https://kase.kz/ru/investors/gsecs/MUJ204_0002" xr:uid="{32A3DEBE-B89D-43ED-906A-C96EB9186F10}"/>
    <hyperlink ref="E105" r:id="rId202" display="https://kase.kz/ru/listing/issuers/MFRK" xr:uid="{BF15944D-1D19-46B5-8B82-51D1E54345C5}"/>
    <hyperlink ref="B106" r:id="rId203" display="https://kase.kz/ru/investors/gsecs/MUJ204_0003" xr:uid="{E90292E6-A729-4955-9F92-E67FDD24193A}"/>
    <hyperlink ref="E106" r:id="rId204" display="https://kase.kz/ru/listing/issuers/MFRK" xr:uid="{4EABD760-3A72-4170-9A7F-BCC59A921E39}"/>
    <hyperlink ref="B107" r:id="rId205" display="https://kase.kz/ru/investors/gsecs/MUJ204_0004" xr:uid="{3CDAD136-8D0D-495B-81E1-0BCDD8D5F2C6}"/>
    <hyperlink ref="E107" r:id="rId206" display="https://kase.kz/ru/listing/issuers/MFRK" xr:uid="{2D383007-BB80-485E-BF28-7146C9432914}"/>
    <hyperlink ref="B108" r:id="rId207" display="https://kase.kz/ru/investors/gsecs/MUJ204_0005" xr:uid="{47474B05-803E-45D5-8CE0-71FA9B8FDEA9}"/>
    <hyperlink ref="E108" r:id="rId208" display="https://kase.kz/ru/listing/issuers/MFRK" xr:uid="{BF689526-9771-4DAE-9CB6-2D2E69292FBA}"/>
    <hyperlink ref="B109" r:id="rId209" display="https://kase.kz/ru/investors/gsecs/MUJ204_0006" xr:uid="{004DEDEB-35AB-4EA0-81B4-9BF321CC7D4A}"/>
    <hyperlink ref="E109" r:id="rId210" display="https://kase.kz/ru/listing/issuers/MFRK" xr:uid="{76843F85-B545-4850-A548-46B4A6380276}"/>
    <hyperlink ref="B110" r:id="rId211" display="https://kase.kz/ru/investors/gsecs/MUJ216_0001" xr:uid="{20519143-619C-4721-8725-A97E9DFB5BB4}"/>
    <hyperlink ref="E110" r:id="rId212" display="https://kase.kz/ru/listing/issuers/MFRK" xr:uid="{56B956BE-F0C0-455D-8CF9-56616FBD3FAF}"/>
    <hyperlink ref="B111" r:id="rId213" display="https://kase.kz/ru/investors/gsecs/MUJ216_0002" xr:uid="{027D9BB7-9900-4996-9E38-C6D84E073CCE}"/>
    <hyperlink ref="E111" r:id="rId214" display="https://kase.kz/ru/listing/issuers/MFRK" xr:uid="{EA8988BD-16B0-44DE-9EBB-684A4B952A75}"/>
    <hyperlink ref="B112" r:id="rId215" display="https://kase.kz/ru/investors/gsecs/MUJ216_0003" xr:uid="{412A4B28-86E8-43A1-926B-7D170B0575EC}"/>
    <hyperlink ref="E112" r:id="rId216" display="https://kase.kz/ru/listing/issuers/MFRK" xr:uid="{9287F978-42A5-4ED6-AFBE-2CF01D7A73F2}"/>
    <hyperlink ref="B113" r:id="rId217" display="https://kase.kz/ru/investors/gsecs/MUJ216_0004" xr:uid="{81802959-252F-4818-AA91-E48E253D3856}"/>
    <hyperlink ref="E113" r:id="rId218" display="https://kase.kz/ru/listing/issuers/MFRK" xr:uid="{979489F5-A9BF-4AE5-A306-F3E9612DED64}"/>
    <hyperlink ref="B114" r:id="rId219" display="https://kase.kz/ru/investors/gsecs/MUJ216_0005" xr:uid="{ACEFCECA-C2DA-437A-8233-BAB80E2FBD71}"/>
    <hyperlink ref="E114" r:id="rId220" display="https://kase.kz/ru/listing/issuers/MFRK" xr:uid="{CB529D50-7E10-46F2-A421-B85FF7E99B0F}"/>
    <hyperlink ref="B115" r:id="rId221" display="https://kase.kz/ru/investors/gsecs/MUJ228_0001" xr:uid="{2B929CF6-BF68-4D49-A08B-5FE8EFC5EB1A}"/>
    <hyperlink ref="E115" r:id="rId222" display="https://kase.kz/ru/listing/issuers/MFRK" xr:uid="{E5A8D99C-EA62-4C7E-9E13-2D9B7876BEA8}"/>
    <hyperlink ref="B116" r:id="rId223" display="https://kase.kz/ru/investors/gsecs/MUJ228_0002" xr:uid="{C03EB2C9-1CCB-406E-8F21-1986DCF141F3}"/>
    <hyperlink ref="E116" r:id="rId224" display="https://kase.kz/ru/listing/issuers/MFRK" xr:uid="{642065D5-8784-4C0F-80A6-5C7695FECE1C}"/>
    <hyperlink ref="B117" r:id="rId225" display="https://kase.kz/ru/investors/gsecs/MUJ228_0003" xr:uid="{8EA8E9A1-EA51-4BA6-960F-9A0ACC78353E}"/>
    <hyperlink ref="E117" r:id="rId226" display="https://kase.kz/ru/listing/issuers/MFRK" xr:uid="{635CB028-3784-4C4C-B608-60E1B78A6457}"/>
    <hyperlink ref="B118" r:id="rId227" display="https://kase.kz/ru/investors/gsecs/MUJ228_0004" xr:uid="{379071C6-88D7-463C-8C3F-9C2371B3373D}"/>
    <hyperlink ref="E118" r:id="rId228" display="https://kase.kz/ru/listing/issuers/MFRK" xr:uid="{C8D76C13-F442-4832-82FC-C44BC2D3E892}"/>
    <hyperlink ref="B119" r:id="rId229" display="https://kase.kz/ru/investors/gsecs/MUJ228_0005" xr:uid="{58AC919C-A566-47EB-BF76-56200C8C09B0}"/>
    <hyperlink ref="E119" r:id="rId230" display="https://kase.kz/ru/listing/issuers/MFRK" xr:uid="{B3E9F809-0C25-49CA-B2D6-677F63A9F295}"/>
    <hyperlink ref="B120" r:id="rId231" display="https://kase.kz/ru/investors/gsecs/MUJ228_0006" xr:uid="{BA0CE4FC-AFD4-476A-BDFD-A49FD0FABD2B}"/>
    <hyperlink ref="E120" r:id="rId232" display="https://kase.kz/ru/listing/issuers/MFRK" xr:uid="{510BFCAF-1C83-449C-9702-E792C9FC0896}"/>
    <hyperlink ref="B121" r:id="rId233" display="https://kase.kz/ru/investors/gsecs/MUJ240_0001" xr:uid="{99EB05D6-4B9F-4684-9F77-CAE27204892A}"/>
    <hyperlink ref="E121" r:id="rId234" display="https://kase.kz/ru/listing/issuers/MFRK" xr:uid="{1C8E5FBA-E123-418E-8AFF-97C204F606CD}"/>
    <hyperlink ref="B122" r:id="rId235" display="https://kase.kz/ru/investors/gsecs/MUM072_0013" xr:uid="{5C5358A7-D629-406D-BC1E-CA4A28740554}"/>
    <hyperlink ref="E122" r:id="rId236" display="https://kase.kz/ru/listing/issuers/MFRK" xr:uid="{F10E6246-1193-4B3D-98D0-7001CAA89870}"/>
    <hyperlink ref="B123" r:id="rId237" display="https://kase.kz/ru/investors/gsecs/MUM072_0014" xr:uid="{D2F39C47-C3BC-4A29-955A-5807DE29F990}"/>
    <hyperlink ref="E123" r:id="rId238" display="https://kase.kz/ru/listing/issuers/MFRK" xr:uid="{F12F5515-F8E6-421C-8087-40F6D454648F}"/>
    <hyperlink ref="B124" r:id="rId239" display="https://kase.kz/ru/investors/gsecs/MUM072_0015" xr:uid="{6F5A15FF-5126-4F80-8B91-1AFAFF037B30}"/>
    <hyperlink ref="E124" r:id="rId240" display="https://kase.kz/ru/listing/issuers/MFRK" xr:uid="{5A013D64-D325-494D-8D0F-2732BE7585DF}"/>
    <hyperlink ref="B125" r:id="rId241" display="https://kase.kz/ru/investors/gsecs/MUM084_0018" xr:uid="{36B7A50C-C5D8-438E-A331-05EFEF01ADAD}"/>
    <hyperlink ref="E125" r:id="rId242" display="https://kase.kz/ru/listing/issuers/MFRK" xr:uid="{8912ED9C-B9B8-4606-9379-8CFFFAF884F4}"/>
    <hyperlink ref="B126" r:id="rId243" display="https://kase.kz/ru/investors/gsecs/MUM084_0019" xr:uid="{DB473FEC-18E8-450A-8AB1-FF9EA7191890}"/>
    <hyperlink ref="E126" r:id="rId244" display="https://kase.kz/ru/listing/issuers/MFRK" xr:uid="{1B773FF6-D1F5-486A-A129-4E1593411DEC}"/>
    <hyperlink ref="B127" r:id="rId245" display="https://kase.kz/ru/investors/gsecs/MUM084_0020" xr:uid="{36C1C09B-641D-4623-B893-5C9BA82A1D76}"/>
    <hyperlink ref="E127" r:id="rId246" display="https://kase.kz/ru/listing/issuers/MFRK" xr:uid="{01DD81BA-6C1D-4FA6-A18E-92BA385E2A13}"/>
    <hyperlink ref="B128" r:id="rId247" display="https://kase.kz/ru/investors/gsecs/MUM096_0011" xr:uid="{38755DAA-3010-458F-A46B-CACDBBCC67CC}"/>
    <hyperlink ref="E128" r:id="rId248" display="https://kase.kz/ru/listing/issuers/MFRK" xr:uid="{CECC389A-3C1C-4CB4-A2FD-DAF494F77D32}"/>
    <hyperlink ref="B129" r:id="rId249" display="https://kase.kz/ru/investors/gsecs/MUM096_0012" xr:uid="{214A2DB6-4A4B-444E-B297-E8C3A923DC91}"/>
    <hyperlink ref="E129" r:id="rId250" display="https://kase.kz/ru/listing/issuers/MFRK" xr:uid="{98DBE0D7-A572-4E53-BA81-830AA3E410C8}"/>
    <hyperlink ref="B130" r:id="rId251" display="https://kase.kz/ru/investors/gsecs/MUM096_0013" xr:uid="{A170DFEB-5261-46CD-8B70-F5F585220D2A}"/>
    <hyperlink ref="E130" r:id="rId252" display="https://kase.kz/ru/listing/issuers/MFRK" xr:uid="{846C75DC-17D0-4DCB-8E82-CE79C56244E7}"/>
    <hyperlink ref="B131" r:id="rId253" display="https://kase.kz/ru/investors/gsecs/MUM096_0014" xr:uid="{4C58B8A9-FAAC-43A1-89CB-E47EA0A3705F}"/>
    <hyperlink ref="E131" r:id="rId254" display="https://kase.kz/ru/listing/issuers/MFRK" xr:uid="{C5DC2207-205E-4020-A028-C647B9B4D648}"/>
    <hyperlink ref="B132" r:id="rId255" display="https://kase.kz/ru/investors/gsecs/MUM096_0015" xr:uid="{2FA14A6A-35C9-400F-9747-51FDBCDC0197}"/>
    <hyperlink ref="E132" r:id="rId256" display="https://kase.kz/ru/listing/issuers/MFRK" xr:uid="{C5F17F16-1B54-44B1-8531-3BD50F505DD3}"/>
    <hyperlink ref="B133" r:id="rId257" display="https://kase.kz/ru/investors/gsecs/MUM108_0012" xr:uid="{9A52E6BD-4CF3-46D8-907B-67FCAF28D3F5}"/>
    <hyperlink ref="E133" r:id="rId258" display="https://kase.kz/ru/listing/issuers/MFRK" xr:uid="{9B8ED579-D1E9-4701-ABAC-B0F1C009F594}"/>
    <hyperlink ref="B134" r:id="rId259" display="https://kase.kz/ru/investors/gsecs/MUM108_0013" xr:uid="{3A145141-A5FC-4CCF-AEB4-2B31F79EE4AD}"/>
    <hyperlink ref="E134" r:id="rId260" display="https://kase.kz/ru/listing/issuers/MFRK" xr:uid="{913B30CB-6F2F-4BFB-8F02-9136C1C60863}"/>
    <hyperlink ref="B135" r:id="rId261" display="https://kase.kz/ru/investors/gsecs/MUM108_0014" xr:uid="{63FEED86-68CF-4EED-ACAD-D0FE8702612B}"/>
    <hyperlink ref="E135" r:id="rId262" display="https://kase.kz/ru/listing/issuers/MFRK" xr:uid="{350712A7-8658-4CC4-8993-D6654AD21C6E}"/>
    <hyperlink ref="B136" r:id="rId263" display="https://kase.kz/ru/investors/gsecs/MUM108_0015" xr:uid="{7279DD40-9DB6-4E1A-882F-7F9ADD49B812}"/>
    <hyperlink ref="E136" r:id="rId264" display="https://kase.kz/ru/listing/issuers/MFRK" xr:uid="{12A3E6B1-DF13-4A67-93E0-FC284574930F}"/>
    <hyperlink ref="B137" r:id="rId265" display="https://kase.kz/ru/investors/gsecs/MUM120_0017" xr:uid="{A39C6958-130E-41B2-8DC5-F22744EABC29}"/>
    <hyperlink ref="E137" r:id="rId266" display="https://kase.kz/ru/listing/issuers/MFRK" xr:uid="{03126139-F079-4F43-B0E3-C0E4232CA8D1}"/>
    <hyperlink ref="B138" r:id="rId267" display="https://kase.kz/ru/investors/gsecs/MUM120_0018" xr:uid="{2C4621BD-B29C-4BB8-BD3F-67EDDA86EC97}"/>
    <hyperlink ref="E138" r:id="rId268" display="https://kase.kz/ru/listing/issuers/MFRK" xr:uid="{52FD84A0-B537-4FCE-A525-F125846E774E}"/>
    <hyperlink ref="B139" r:id="rId269" display="https://kase.kz/ru/investors/gsecs/MUM120_0019" xr:uid="{CE73CD60-2198-489A-BA88-D8BAB7FBBB28}"/>
    <hyperlink ref="E139" r:id="rId270" display="https://kase.kz/ru/listing/issuers/MFRK" xr:uid="{2CD04596-D9EE-4FD9-B9B8-4F6940533E35}"/>
    <hyperlink ref="B140" r:id="rId271" display="https://kase.kz/ru/investors/gsecs/MUM120_0020" xr:uid="{6F842975-9ED2-4692-8F61-1A37D86AA331}"/>
    <hyperlink ref="E140" r:id="rId272" display="https://kase.kz/ru/listing/issuers/MFRK" xr:uid="{0157AAAD-4F88-4651-A48D-00D0A55D145D}"/>
    <hyperlink ref="B141" r:id="rId273" display="https://kase.kz/ru/investors/gsecs/MUM132_0007" xr:uid="{08EEFFE0-2319-4FF2-B27F-3EE9EB4CF8AD}"/>
    <hyperlink ref="E141" r:id="rId274" display="https://kase.kz/ru/listing/issuers/MFRK" xr:uid="{2D691800-A8C0-43EA-B90E-F4D70E157688}"/>
    <hyperlink ref="B142" r:id="rId275" display="https://kase.kz/ru/investors/gsecs/MUM144_0009" xr:uid="{5879A38D-3780-4C3C-9A32-734370E4BAE6}"/>
    <hyperlink ref="E142" r:id="rId276" display="https://kase.kz/ru/listing/issuers/MFRK" xr:uid="{FD9E0900-1F88-4EE8-8E5E-ECA457DC7DAA}"/>
    <hyperlink ref="B143" r:id="rId277" display="https://kase.kz/ru/investors/gsecs/MUM156_0005" xr:uid="{5E025B01-FA80-4965-8F6D-7E2964F009F6}"/>
    <hyperlink ref="E143" r:id="rId278" display="https://kase.kz/ru/listing/issuers/MFRK" xr:uid="{D11D7868-25BF-4206-B71C-AA875E1C7C7A}"/>
    <hyperlink ref="B144" r:id="rId279" display="https://kase.kz/ru/investors/gsecs/MUM156_0006" xr:uid="{43A884D7-97F9-4931-B873-143E44A6025E}"/>
    <hyperlink ref="E144" r:id="rId280" display="https://kase.kz/ru/listing/issuers/MFRK" xr:uid="{CFBA2E07-044D-492D-B404-B8076BD2A277}"/>
    <hyperlink ref="B145" r:id="rId281" display="https://kase.kz/ru/investors/gsecs/MUM156_0007" xr:uid="{08626903-A9CF-42DC-992E-5D052DAFF662}"/>
    <hyperlink ref="E145" r:id="rId282" display="https://kase.kz/ru/listing/issuers/MFRK" xr:uid="{B6B7DAA6-C488-49EA-ACDB-AB8ED669097D}"/>
    <hyperlink ref="B146" r:id="rId283" display="https://kase.kz/ru/investors/gsecs/MUM156_0008" xr:uid="{E776D426-4C39-40B7-A638-C614720B4DCA}"/>
    <hyperlink ref="E146" r:id="rId284" display="https://kase.kz/ru/listing/issuers/MFRK" xr:uid="{04BB4548-24D6-4363-9448-8D7256A40DCF}"/>
    <hyperlink ref="B147" r:id="rId285" display="https://kase.kz/ru/investors/gsecs/MUM168_0002" xr:uid="{A223FF31-48D6-4E45-A024-681FEAB75A57}"/>
    <hyperlink ref="E147" r:id="rId286" display="https://kase.kz/ru/listing/issuers/MFRK" xr:uid="{1E5B0177-26AA-4D11-AED5-FBFB52038121}"/>
    <hyperlink ref="B148" r:id="rId287" display="https://kase.kz/ru/investors/gsecs/MUM168_0003" xr:uid="{ED4BD87B-88EB-4A5D-9F31-68A90632333F}"/>
    <hyperlink ref="E148" r:id="rId288" display="https://kase.kz/ru/listing/issuers/MFRK" xr:uid="{163035BD-A8CC-450E-A502-75F5AAC2BE1D}"/>
    <hyperlink ref="B149" r:id="rId289" display="https://kase.kz/ru/investors/gsecs/MUM168_0005" xr:uid="{20F0DC33-AEF1-4CD1-A87F-CFF34A6B93B3}"/>
    <hyperlink ref="E149" r:id="rId290" display="https://kase.kz/ru/listing/issuers/MFRK" xr:uid="{E139D408-FD50-4C5E-84BB-FAE07DC5AF54}"/>
    <hyperlink ref="B150" r:id="rId291" display="https://kase.kz/ru/investors/gsecs/MUM180_0003" xr:uid="{AC1EAD0F-6FCD-4567-9A5E-A02EFB707029}"/>
    <hyperlink ref="E150" r:id="rId292" display="https://kase.kz/ru/listing/issuers/MFRK" xr:uid="{EC1AE686-D065-4E04-A6A2-119908514CFA}"/>
    <hyperlink ref="B151" r:id="rId293" display="https://kase.kz/ru/investors/gsecs/MUM180_0004" xr:uid="{BBE97FD5-0338-4DDD-8A20-0CC1B2F076DC}"/>
    <hyperlink ref="E151" r:id="rId294" display="https://kase.kz/ru/listing/issuers/MFRK" xr:uid="{554F5EB8-3073-4EDE-B101-5A7AD3E85060}"/>
    <hyperlink ref="B152" r:id="rId295" display="https://kase.kz/ru/investors/gsecs/MUM180_0005" xr:uid="{F9BC7F54-2095-4D8E-AB94-B4451825E721}"/>
    <hyperlink ref="E152" r:id="rId296" display="https://kase.kz/ru/listing/issuers/MFRK" xr:uid="{896AF9CF-2FD0-4D06-9994-8D222059CEF0}"/>
    <hyperlink ref="B153" r:id="rId297" display="https://kase.kz/ru/investors/gsecs/MUM180_0006" xr:uid="{FB871E3B-B9DF-4763-B3FB-3EB83E5E2157}"/>
    <hyperlink ref="E153" r:id="rId298" display="https://kase.kz/ru/listing/issuers/MFRK" xr:uid="{87BDBE6A-1F86-4DB4-9832-DD15F5658F51}"/>
    <hyperlink ref="B154" r:id="rId299" display="https://kase.kz/ru/investors/gsecs/MUM180_0007" xr:uid="{56D20438-29EB-428A-8EFA-2715ECB1431D}"/>
    <hyperlink ref="E154" r:id="rId300" display="https://kase.kz/ru/listing/issuers/MFRK" xr:uid="{3285C198-DB3E-43EC-B275-CCFB76B0771D}"/>
    <hyperlink ref="B155" r:id="rId301" display="https://kase.kz/ru/investors/gsecs/MUM180_0008" xr:uid="{FAC4FCDD-E703-46B8-B4E0-2A29DADE9DE1}"/>
    <hyperlink ref="E155" r:id="rId302" display="https://kase.kz/ru/listing/issuers/MFRK" xr:uid="{27333985-65EA-400A-BBDC-D61BC05635D5}"/>
    <hyperlink ref="B156" r:id="rId303" display="https://kase.kz/ru/investors/gsecs/MUM180_0009" xr:uid="{FF0D9D6A-D134-4028-A0F4-F9C6847C2064}"/>
    <hyperlink ref="E156" r:id="rId304" display="https://kase.kz/ru/listing/issuers/MFRK" xr:uid="{AA154070-54E2-44CE-8726-77DCA6E93239}"/>
    <hyperlink ref="B157" r:id="rId305" display="https://kase.kz/ru/investors/gsecs/MUM180_0011" xr:uid="{96FDD600-BA15-42FC-92B6-41AAF187A782}"/>
    <hyperlink ref="E157" r:id="rId306" display="https://kase.kz/ru/listing/issuers/MFRK" xr:uid="{6FD6CF69-0A6A-4CE1-B0D3-00116C3EEF24}"/>
    <hyperlink ref="B158" r:id="rId307" display="https://kase.kz/ru/investors/gsecs/MUM180_0012" xr:uid="{1AB81788-FCD2-444F-8935-84A968594268}"/>
    <hyperlink ref="E158" r:id="rId308" display="https://kase.kz/ru/listing/issuers/MFRK" xr:uid="{DACFDD98-CD89-4291-B820-4C78325C93EC}"/>
    <hyperlink ref="B159" r:id="rId309" display="https://kase.kz/ru/investors/gsecs/MUM180_0013" xr:uid="{2A9EDFED-EE48-4FEC-BD32-EE177BE3694D}"/>
    <hyperlink ref="E159" r:id="rId310" display="https://kase.kz/ru/listing/issuers/MFRK" xr:uid="{4F15A4BD-C5C3-4487-B26A-A59A2CDC5FA4}"/>
    <hyperlink ref="B160" r:id="rId311" display="https://kase.kz/ru/investors/gsecs/MUM180_0014" xr:uid="{22B9E724-E3E8-4056-8571-83526328C250}"/>
    <hyperlink ref="E160" r:id="rId312" display="https://kase.kz/ru/listing/issuers/MFRK" xr:uid="{C108272B-2959-4DB7-ABA2-C4D843DEAE00}"/>
    <hyperlink ref="B161" r:id="rId313" display="https://kase.kz/ru/investors/gsecs/MUM180_0015" xr:uid="{F1C054AE-F011-4252-AF58-8498CC262BA4}"/>
    <hyperlink ref="E161" r:id="rId314" display="https://kase.kz/ru/listing/issuers/MFRK" xr:uid="{FD4E640B-9FCC-4E1B-AD6C-491896468CB0}"/>
    <hyperlink ref="B162" r:id="rId315" display="https://kase.kz/ru/investors/gsecs/MUM180_0016" xr:uid="{DD8E5C66-05C3-4767-987F-C42B752055D8}"/>
    <hyperlink ref="E162" r:id="rId316" display="https://kase.kz/ru/listing/issuers/MFRK" xr:uid="{1554E5EC-784C-4F73-BAC1-ECCC697C575D}"/>
    <hyperlink ref="B163" r:id="rId317" display="https://kase.kz/ru/investors/gsecs/MUM192_0001" xr:uid="{6EB58EEF-514D-4835-A10B-D68C24C1B815}"/>
    <hyperlink ref="E163" r:id="rId318" display="https://kase.kz/ru/listing/issuers/MFRK" xr:uid="{7247DE80-EE1E-4368-9383-BD658F615EB0}"/>
    <hyperlink ref="B164" r:id="rId319" display="https://kase.kz/ru/investors/gsecs/MUM192_0002" xr:uid="{C6221E3E-B35D-4E65-95BB-33A340513E04}"/>
    <hyperlink ref="E164" r:id="rId320" display="https://kase.kz/ru/listing/issuers/MFRK" xr:uid="{DE070BED-D043-4582-919C-CB11E857B3DE}"/>
    <hyperlink ref="B165" r:id="rId321" display="https://kase.kz/ru/investors/gsecs/MUM192_0003" xr:uid="{73CBB59D-3862-484D-82E3-9001B7A16F6B}"/>
    <hyperlink ref="E165" r:id="rId322" display="https://kase.kz/ru/listing/issuers/MFRK" xr:uid="{DCC3EB3D-7C55-4B52-A08E-010AED9EA69E}"/>
    <hyperlink ref="B166" r:id="rId323" display="https://kase.kz/ru/investors/gsecs/MUM216_0001" xr:uid="{262D3ED7-A17C-4D42-A3DF-5A3CE0D52CBE}"/>
    <hyperlink ref="E166" r:id="rId324" display="https://kase.kz/ru/listing/issuers/MFRK" xr:uid="{F289BBAD-98A6-44A0-BF41-77B67D616FE7}"/>
    <hyperlink ref="B167" r:id="rId325" display="https://kase.kz/ru/investors/gsecs/MUM216_0002" xr:uid="{E72BB9CC-7F54-47BC-B8B7-F04650E18A14}"/>
    <hyperlink ref="E167" r:id="rId326" display="https://kase.kz/ru/listing/issuers/MFRK" xr:uid="{8457EA13-EADC-4D7E-9B26-F976A7EB50E0}"/>
    <hyperlink ref="B168" r:id="rId327" display="https://kase.kz/ru/investors/gsecs/MUM240_0001" xr:uid="{69C7C012-9D9C-4DBC-B8B3-ED26884FB5DD}"/>
    <hyperlink ref="E168" r:id="rId328" display="https://kase.kz/ru/listing/issuers/MFRK" xr:uid="{79B54C36-4BC6-47E6-A8BB-0CE643EB6964}"/>
    <hyperlink ref="B169" r:id="rId329" display="https://kase.kz/ru/investors/gsecs/MUM240_0002" xr:uid="{C2318F51-A308-4549-906E-8E8AA39CE8D9}"/>
    <hyperlink ref="E169" r:id="rId330" display="https://kase.kz/ru/listing/issuers/MFRK" xr:uid="{6D4F2A89-F00C-402D-8EE8-BFF7B52A9FAC}"/>
    <hyperlink ref="B170" r:id="rId331" display="https://kase.kz/ru/investors/gsecs/MUM240_0004" xr:uid="{D1CFECB3-18A1-48E4-8B52-063E0288B163}"/>
    <hyperlink ref="E170" r:id="rId332" display="https://kase.kz/ru/listing/issuers/MFRK" xr:uid="{D2E9075E-B2DB-419D-8041-ABAB809D39AD}"/>
    <hyperlink ref="B171" r:id="rId333" display="https://kase.kz/ru/investors/gsecs/MUM300_0001" xr:uid="{A4156F92-5B13-4477-A6F7-45CC4394FB0F}"/>
    <hyperlink ref="E171" r:id="rId334" display="https://kase.kz/ru/listing/issuers/MFRK" xr:uid="{ADBDF4B5-90AD-439A-8605-92D014FE0D7E}"/>
    <hyperlink ref="B172" r:id="rId335" display="https://kase.kz/ru/investors/gsecs/MUM300_0002" xr:uid="{8E19639A-2116-4687-A3BB-CDC5577C4B21}"/>
    <hyperlink ref="E172" r:id="rId336" display="https://kase.kz/ru/listing/issuers/MFRK" xr:uid="{7EC68C4D-6524-4937-9F3B-817DDA9184B3}"/>
    <hyperlink ref="B173" r:id="rId337" display="https://kase.kz/ru/investors/gsecs/MUM300_0003" xr:uid="{06EE054E-1473-4E34-9114-B9BBF56B7D5C}"/>
    <hyperlink ref="E173" r:id="rId338" display="https://kase.kz/ru/listing/issuers/MFRK" xr:uid="{F85D1688-1F75-4EE4-8EC9-8FEFD35DEBF3}"/>
    <hyperlink ref="B174" r:id="rId339" display="https://kase.kz/ru/investors/gsecs/MUM360_0001" xr:uid="{7D3913D3-9205-4200-9E33-A5A56CC97591}"/>
    <hyperlink ref="E174" r:id="rId340" display="https://kase.kz/ru/listing/issuers/MFRK" xr:uid="{6CCBD9F3-0FC9-4A47-B3B7-E13C3C7B346B}"/>
    <hyperlink ref="B175" r:id="rId341" display="https://kase.kz/ru/investors/gsecs/MUX072_0003" xr:uid="{E697AFCF-9524-4EF2-BA1E-D1252912778C}"/>
    <hyperlink ref="E175" r:id="rId342" display="https://kase.kz/ru/listing/issuers/MFRK" xr:uid="{A649FE40-E558-48AF-9C6F-DF0E12F0C4E6}"/>
    <hyperlink ref="B176" r:id="rId343" display="https://kase.kz/ru/investors/bonds/NCOMb7" xr:uid="{5D8892B5-2F6C-445A-87A5-E952FE38082A}"/>
    <hyperlink ref="E176" r:id="rId344" display="https://kase.kz/ru/listing/issuers/NCOM" xr:uid="{93110BB3-6A76-4D8D-9300-5A2C165DEF86}"/>
    <hyperlink ref="B177" r:id="rId345" display="https://kase.kz/ru/investors/gsecs/NTK028_2868" xr:uid="{1B3A925E-A2AD-4147-A0C2-D032EC2B3FFD}"/>
    <hyperlink ref="E177" r:id="rId346" display="https://kase.kz/ru/listing/issuers/NBRK" xr:uid="{7C8D48B9-886C-45D1-AAB1-AA5FD5BBE451}"/>
    <hyperlink ref="B178" r:id="rId347" display="https://kase.kz/ru/investors/bonds/PRKRe1" xr:uid="{95D7FB0A-7D59-4FB3-8063-9178EEB923B3}"/>
    <hyperlink ref="E178" r:id="rId348" display="https://kase.kz/ru/listing/issuers/PRKR" xr:uid="{E57D133A-AFBE-415A-B9A4-C56ED1D5F064}"/>
    <hyperlink ref="B179" r:id="rId349" display="https://kase.kz/ru/investors/bonds/SKKZe1" xr:uid="{3F45D639-47B7-4D86-98F7-71539B6ABC7E}"/>
    <hyperlink ref="E179" r:id="rId350" display="https://kase.kz/ru/listing/issuers/SKKZ" xr:uid="{CB18F0A1-D1A6-4CD4-818B-38643E4C05B2}"/>
    <hyperlink ref="B180" r:id="rId351" display="https://kase.kz/ru/investors/shares/TPIB" xr:uid="{4DADEAEE-00E3-4F95-8CBE-74BF5AA32CB0}"/>
    <hyperlink ref="E180" r:id="rId352" display="https://kase.kz/ru/listing/issuers/TPIB" xr:uid="{12764642-7E96-467D-ACA3-9B4C8AA66E8F}"/>
  </hyperlinks>
  <pageMargins left="0.7" right="0.7" top="0.75" bottom="0.75" header="0.3" footer="0.3"/>
  <pageSetup paperSize="9" orientation="portrait" verticalDpi="0" r:id="rId35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E641-F572-4CEB-A4E6-AF554C947213}">
  <sheetPr codeName="Лист3">
    <tabColor rgb="FFC00000"/>
  </sheetPr>
  <dimension ref="A1:I2"/>
  <sheetViews>
    <sheetView workbookViewId="0">
      <selection activeCell="A3" sqref="A3:J178"/>
    </sheetView>
  </sheetViews>
  <sheetFormatPr defaultRowHeight="12.75"/>
  <sheetData>
    <row r="1" spans="1:9" ht="48">
      <c r="A1" s="470" t="s">
        <v>918</v>
      </c>
      <c r="B1" s="470" t="s">
        <v>105</v>
      </c>
      <c r="C1" s="470" t="s">
        <v>314</v>
      </c>
      <c r="D1" s="470" t="s">
        <v>919</v>
      </c>
      <c r="E1" s="469" t="s">
        <v>920</v>
      </c>
      <c r="F1" s="469" t="s">
        <v>921</v>
      </c>
      <c r="G1" s="469" t="s">
        <v>2586</v>
      </c>
      <c r="H1" s="469" t="s">
        <v>922</v>
      </c>
      <c r="I1" s="469" t="s">
        <v>132</v>
      </c>
    </row>
    <row r="2" spans="1:9" ht="24">
      <c r="A2" s="470" t="s">
        <v>520</v>
      </c>
      <c r="B2" s="470" t="s">
        <v>521</v>
      </c>
      <c r="C2" s="470" t="s">
        <v>923</v>
      </c>
      <c r="D2" s="470" t="s">
        <v>522</v>
      </c>
      <c r="E2" s="469">
        <v>749.88</v>
      </c>
      <c r="F2" s="469" t="s">
        <v>783</v>
      </c>
      <c r="G2" s="469" t="s">
        <v>783</v>
      </c>
      <c r="H2" s="469" t="s">
        <v>783</v>
      </c>
      <c r="I2" s="469" t="s">
        <v>924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>
    <tabColor rgb="FFC00000"/>
  </sheetPr>
  <dimension ref="A1:R287"/>
  <sheetViews>
    <sheetView workbookViewId="0">
      <pane xSplit="1" ySplit="1" topLeftCell="B264" activePane="bottomRight" state="frozen"/>
      <selection activeCell="E8" sqref="E8"/>
      <selection pane="topRight" activeCell="E8" sqref="E8"/>
      <selection pane="bottomLeft" activeCell="E8" sqref="E8"/>
      <selection pane="bottomRight" activeCell="A285" sqref="A285"/>
    </sheetView>
  </sheetViews>
  <sheetFormatPr defaultColWidth="9.140625" defaultRowHeight="12.75"/>
  <cols>
    <col min="1" max="1" width="16.7109375" style="443" customWidth="1"/>
    <col min="2" max="2" width="11.85546875" style="444" customWidth="1"/>
    <col min="3" max="3" width="11.85546875" style="183" customWidth="1"/>
    <col min="4" max="4" width="15.140625" style="484" bestFit="1" customWidth="1"/>
    <col min="5" max="5" width="17" style="484" bestFit="1" customWidth="1"/>
    <col min="6" max="6" width="17" style="484" customWidth="1"/>
    <col min="7" max="7" width="58.140625" style="443" bestFit="1" customWidth="1"/>
    <col min="8" max="8" width="50.140625" style="443" bestFit="1" customWidth="1"/>
    <col min="9" max="9" width="16.28515625" style="159" bestFit="1" customWidth="1"/>
    <col min="10" max="10" width="9.28515625" style="443" bestFit="1" customWidth="1"/>
    <col min="11" max="11" width="17.85546875" style="443" customWidth="1"/>
    <col min="12" max="12" width="38" style="443" bestFit="1" customWidth="1"/>
    <col min="13" max="13" width="16.7109375" style="443" customWidth="1"/>
    <col min="14" max="17" width="9.140625" style="443"/>
    <col min="18" max="18" width="15.5703125" style="443" customWidth="1"/>
    <col min="19" max="19" width="11.5703125" style="443" bestFit="1" customWidth="1"/>
    <col min="20" max="16384" width="9.140625" style="443"/>
  </cols>
  <sheetData>
    <row r="1" spans="1:17">
      <c r="A1" s="93" t="s">
        <v>105</v>
      </c>
      <c r="B1" s="94" t="s">
        <v>163</v>
      </c>
      <c r="C1" s="94" t="s">
        <v>256</v>
      </c>
      <c r="D1" s="94" t="s">
        <v>255</v>
      </c>
      <c r="E1" s="93" t="s">
        <v>246</v>
      </c>
      <c r="F1" s="93" t="s">
        <v>162</v>
      </c>
      <c r="G1" s="93" t="s">
        <v>243</v>
      </c>
      <c r="H1" s="93" t="s">
        <v>310</v>
      </c>
      <c r="I1" s="93" t="s">
        <v>2829</v>
      </c>
      <c r="J1" s="93" t="s">
        <v>2830</v>
      </c>
      <c r="K1" s="93" t="s">
        <v>2831</v>
      </c>
      <c r="L1" s="93" t="s">
        <v>2834</v>
      </c>
      <c r="M1" s="93"/>
    </row>
    <row r="2" spans="1:17">
      <c r="A2" s="443" t="s">
        <v>129</v>
      </c>
      <c r="B2" s="444">
        <v>44234</v>
      </c>
      <c r="C2" s="183">
        <v>8.9499999999999996E-2</v>
      </c>
      <c r="D2" s="484">
        <v>1</v>
      </c>
      <c r="E2" s="484" t="s">
        <v>247</v>
      </c>
      <c r="F2" s="484" t="s">
        <v>259</v>
      </c>
      <c r="G2" s="443" t="s">
        <v>130</v>
      </c>
      <c r="I2" s="443"/>
      <c r="L2" s="443" t="s">
        <v>278</v>
      </c>
      <c r="M2" s="443" t="s">
        <v>129</v>
      </c>
    </row>
    <row r="3" spans="1:17">
      <c r="A3" s="443" t="s">
        <v>114</v>
      </c>
      <c r="B3" s="444">
        <v>44359</v>
      </c>
      <c r="C3" s="183">
        <v>9.0999999999999998E-2</v>
      </c>
      <c r="D3" s="484">
        <v>2</v>
      </c>
      <c r="E3" s="484" t="s">
        <v>247</v>
      </c>
      <c r="F3" s="484" t="s">
        <v>245</v>
      </c>
      <c r="G3" s="443" t="s">
        <v>112</v>
      </c>
      <c r="I3" s="443"/>
      <c r="L3" s="443" t="s">
        <v>278</v>
      </c>
      <c r="M3" s="443" t="s">
        <v>114</v>
      </c>
    </row>
    <row r="4" spans="1:17">
      <c r="A4" s="443" t="s">
        <v>115</v>
      </c>
      <c r="B4" s="444">
        <v>44359</v>
      </c>
      <c r="C4" s="183">
        <v>9.0999999999999998E-2</v>
      </c>
      <c r="D4" s="484">
        <v>2</v>
      </c>
      <c r="E4" s="484" t="s">
        <v>247</v>
      </c>
      <c r="F4" s="484" t="s">
        <v>245</v>
      </c>
      <c r="G4" s="443" t="s">
        <v>112</v>
      </c>
      <c r="I4" s="18"/>
      <c r="L4" s="443" t="s">
        <v>278</v>
      </c>
      <c r="M4" s="443" t="s">
        <v>115</v>
      </c>
      <c r="N4" s="18"/>
      <c r="O4" s="18"/>
      <c r="Q4" s="92"/>
    </row>
    <row r="5" spans="1:17">
      <c r="A5" s="443" t="s">
        <v>116</v>
      </c>
      <c r="B5" s="444">
        <v>44359</v>
      </c>
      <c r="C5" s="183">
        <v>9.0999999999999998E-2</v>
      </c>
      <c r="D5" s="484">
        <v>2</v>
      </c>
      <c r="E5" s="484" t="s">
        <v>247</v>
      </c>
      <c r="F5" s="484" t="s">
        <v>245</v>
      </c>
      <c r="G5" s="443" t="s">
        <v>112</v>
      </c>
      <c r="I5" s="18"/>
      <c r="L5" s="443" t="s">
        <v>278</v>
      </c>
      <c r="M5" s="443" t="s">
        <v>116</v>
      </c>
      <c r="N5" s="18"/>
      <c r="O5" s="18"/>
      <c r="Q5" s="92"/>
    </row>
    <row r="6" spans="1:17">
      <c r="A6" s="443" t="s">
        <v>461</v>
      </c>
      <c r="B6" s="444">
        <v>44502</v>
      </c>
      <c r="G6" s="443" t="s">
        <v>112</v>
      </c>
      <c r="I6" s="18"/>
      <c r="L6" s="443" t="s">
        <v>278</v>
      </c>
      <c r="M6" s="443" t="s">
        <v>461</v>
      </c>
      <c r="N6" s="18"/>
      <c r="O6" s="18"/>
      <c r="Q6" s="92"/>
    </row>
    <row r="7" spans="1:17">
      <c r="A7" s="443" t="s">
        <v>253</v>
      </c>
      <c r="B7" s="444">
        <v>44521</v>
      </c>
      <c r="C7" s="183">
        <f>(0.025%+PRODUCT([4]CPI!D46:D48)-1)*D7</f>
        <v>0.19607212799999996</v>
      </c>
      <c r="D7" s="484">
        <v>4</v>
      </c>
      <c r="E7" s="484" t="s">
        <v>248</v>
      </c>
      <c r="F7" s="484" t="s">
        <v>245</v>
      </c>
      <c r="G7" s="443" t="s">
        <v>122</v>
      </c>
      <c r="H7" s="443" t="s">
        <v>363</v>
      </c>
      <c r="I7" s="18"/>
      <c r="L7" s="443" t="s">
        <v>278</v>
      </c>
      <c r="M7" s="443" t="s">
        <v>253</v>
      </c>
      <c r="N7" s="18"/>
      <c r="O7" s="18"/>
      <c r="Q7" s="92"/>
    </row>
    <row r="8" spans="1:17">
      <c r="A8" s="443" t="s">
        <v>252</v>
      </c>
      <c r="B8" s="444">
        <v>44545</v>
      </c>
      <c r="C8" s="183">
        <f>(0.025%+PRODUCT([4]CPI!D47:D49)-1)*D8</f>
        <v>0.19607212800000084</v>
      </c>
      <c r="D8" s="484">
        <v>4</v>
      </c>
      <c r="E8" s="484" t="s">
        <v>248</v>
      </c>
      <c r="F8" s="484" t="s">
        <v>245</v>
      </c>
      <c r="G8" s="443" t="s">
        <v>122</v>
      </c>
      <c r="H8" s="443" t="s">
        <v>364</v>
      </c>
      <c r="I8" s="443"/>
      <c r="L8" s="443" t="s">
        <v>278</v>
      </c>
      <c r="M8" s="443" t="s">
        <v>252</v>
      </c>
    </row>
    <row r="9" spans="1:17">
      <c r="A9" s="443" t="s">
        <v>117</v>
      </c>
      <c r="B9" s="444">
        <v>44614</v>
      </c>
      <c r="C9" s="183">
        <v>9.7000000000000003E-2</v>
      </c>
      <c r="D9" s="484">
        <v>2</v>
      </c>
      <c r="E9" s="484" t="s">
        <v>247</v>
      </c>
      <c r="F9" s="484" t="s">
        <v>245</v>
      </c>
      <c r="G9" s="443" t="s">
        <v>112</v>
      </c>
      <c r="I9" s="443"/>
      <c r="L9" s="443" t="s">
        <v>278</v>
      </c>
      <c r="M9" s="443" t="s">
        <v>117</v>
      </c>
    </row>
    <row r="10" spans="1:17">
      <c r="A10" s="443" t="s">
        <v>465</v>
      </c>
      <c r="B10" s="444">
        <v>44670</v>
      </c>
      <c r="G10" s="443" t="s">
        <v>112</v>
      </c>
      <c r="I10" s="443"/>
      <c r="L10" s="443" t="s">
        <v>278</v>
      </c>
      <c r="M10" s="443" t="s">
        <v>465</v>
      </c>
    </row>
    <row r="11" spans="1:17">
      <c r="A11" s="443" t="s">
        <v>469</v>
      </c>
      <c r="B11" s="444">
        <v>44698</v>
      </c>
      <c r="G11" s="443" t="s">
        <v>112</v>
      </c>
      <c r="I11" s="443"/>
      <c r="L11" s="443" t="s">
        <v>278</v>
      </c>
      <c r="M11" s="443" t="s">
        <v>469</v>
      </c>
    </row>
    <row r="12" spans="1:17">
      <c r="A12" s="443" t="s">
        <v>254</v>
      </c>
      <c r="B12" s="444">
        <v>44822</v>
      </c>
      <c r="C12" s="183">
        <v>8.3000000000000004E-2</v>
      </c>
      <c r="D12" s="484">
        <v>2</v>
      </c>
      <c r="E12" s="484" t="s">
        <v>247</v>
      </c>
      <c r="F12" s="484" t="s">
        <v>245</v>
      </c>
      <c r="G12" s="443" t="s">
        <v>130</v>
      </c>
      <c r="H12" s="443" t="s">
        <v>257</v>
      </c>
      <c r="I12" s="443"/>
      <c r="L12" s="443" t="s">
        <v>278</v>
      </c>
      <c r="M12" s="443" t="s">
        <v>254</v>
      </c>
    </row>
    <row r="13" spans="1:17">
      <c r="A13" s="443" t="s">
        <v>111</v>
      </c>
      <c r="B13" s="444">
        <v>44871</v>
      </c>
      <c r="C13" s="183">
        <v>9.7000000000000003E-2</v>
      </c>
      <c r="D13" s="484">
        <v>2</v>
      </c>
      <c r="E13" s="484" t="s">
        <v>247</v>
      </c>
      <c r="F13" s="484" t="s">
        <v>245</v>
      </c>
      <c r="G13" s="443" t="s">
        <v>112</v>
      </c>
      <c r="I13" s="18"/>
      <c r="L13" s="443" t="s">
        <v>278</v>
      </c>
      <c r="M13" s="443" t="s">
        <v>111</v>
      </c>
      <c r="N13" s="18"/>
      <c r="O13" s="18"/>
      <c r="Q13" s="92"/>
    </row>
    <row r="14" spans="1:17">
      <c r="A14" s="443" t="s">
        <v>113</v>
      </c>
      <c r="B14" s="444">
        <v>45210</v>
      </c>
      <c r="C14" s="183">
        <v>9.5000000000000001E-2</v>
      </c>
      <c r="D14" s="484">
        <v>2</v>
      </c>
      <c r="E14" s="484" t="s">
        <v>247</v>
      </c>
      <c r="F14" s="484" t="s">
        <v>245</v>
      </c>
      <c r="G14" s="443" t="s">
        <v>112</v>
      </c>
      <c r="I14" s="18"/>
      <c r="L14" s="443" t="s">
        <v>278</v>
      </c>
      <c r="M14" s="443" t="s">
        <v>113</v>
      </c>
      <c r="N14" s="18"/>
      <c r="O14" s="18"/>
      <c r="Q14" s="92"/>
    </row>
    <row r="15" spans="1:17">
      <c r="A15" s="443" t="s">
        <v>107</v>
      </c>
      <c r="B15" s="444">
        <v>45321</v>
      </c>
      <c r="C15" s="183">
        <f>(0.25%+PRODUCT([4]CPI!D45:D47)-1)*D15</f>
        <v>0.18442708799999963</v>
      </c>
      <c r="D15" s="484">
        <v>4</v>
      </c>
      <c r="E15" s="484" t="s">
        <v>248</v>
      </c>
      <c r="F15" s="484" t="s">
        <v>258</v>
      </c>
      <c r="G15" s="443" t="s">
        <v>108</v>
      </c>
      <c r="H15" s="443" t="s">
        <v>369</v>
      </c>
      <c r="I15" s="18"/>
      <c r="L15" s="443" t="s">
        <v>278</v>
      </c>
      <c r="M15" s="443" t="s">
        <v>107</v>
      </c>
      <c r="N15" s="18"/>
      <c r="O15" s="18"/>
      <c r="Q15" s="92"/>
    </row>
    <row r="16" spans="1:17">
      <c r="A16" s="443" t="s">
        <v>127</v>
      </c>
      <c r="B16" s="444">
        <v>45407</v>
      </c>
      <c r="C16" s="485">
        <f>(1+7.927)%</f>
        <v>8.9270000000000002E-2</v>
      </c>
      <c r="D16" s="484">
        <v>2</v>
      </c>
      <c r="E16" s="484" t="s">
        <v>248</v>
      </c>
      <c r="F16" s="484" t="s">
        <v>245</v>
      </c>
      <c r="G16" s="443" t="s">
        <v>122</v>
      </c>
      <c r="H16" s="443" t="s">
        <v>366</v>
      </c>
      <c r="I16" s="18"/>
      <c r="L16" s="443" t="s">
        <v>278</v>
      </c>
      <c r="M16" s="443" t="s">
        <v>127</v>
      </c>
      <c r="N16" s="18"/>
      <c r="O16" s="18"/>
      <c r="Q16" s="92"/>
    </row>
    <row r="17" spans="1:18">
      <c r="A17" s="443" t="s">
        <v>119</v>
      </c>
      <c r="B17" s="444">
        <v>45439</v>
      </c>
      <c r="C17" s="183">
        <v>9.5000000000000001E-2</v>
      </c>
      <c r="D17" s="484">
        <v>2</v>
      </c>
      <c r="E17" s="484" t="s">
        <v>247</v>
      </c>
      <c r="F17" s="486" t="s">
        <v>245</v>
      </c>
      <c r="G17" s="443" t="s">
        <v>112</v>
      </c>
      <c r="I17" s="18"/>
      <c r="L17" s="443" t="s">
        <v>278</v>
      </c>
      <c r="M17" s="443" t="s">
        <v>119</v>
      </c>
      <c r="N17" s="18"/>
      <c r="O17" s="18"/>
      <c r="Q17" s="92"/>
    </row>
    <row r="18" spans="1:18">
      <c r="A18" s="443" t="s">
        <v>120</v>
      </c>
      <c r="B18" s="444">
        <v>45439</v>
      </c>
      <c r="C18" s="183">
        <v>9.5000000000000001E-2</v>
      </c>
      <c r="D18" s="484">
        <v>2</v>
      </c>
      <c r="E18" s="484" t="s">
        <v>247</v>
      </c>
      <c r="F18" s="484" t="s">
        <v>245</v>
      </c>
      <c r="G18" s="443" t="s">
        <v>112</v>
      </c>
      <c r="I18" s="18"/>
      <c r="L18" s="443" t="s">
        <v>278</v>
      </c>
      <c r="M18" s="443" t="s">
        <v>120</v>
      </c>
      <c r="N18" s="18"/>
      <c r="O18" s="18"/>
      <c r="Q18" s="92"/>
    </row>
    <row r="19" spans="1:18">
      <c r="A19" s="443" t="s">
        <v>118</v>
      </c>
      <c r="B19" s="444">
        <v>45439</v>
      </c>
      <c r="C19" s="183">
        <v>9.5000000000000001E-2</v>
      </c>
      <c r="D19" s="484">
        <v>2</v>
      </c>
      <c r="E19" s="484" t="s">
        <v>247</v>
      </c>
      <c r="F19" s="484" t="s">
        <v>245</v>
      </c>
      <c r="G19" s="443" t="s">
        <v>112</v>
      </c>
      <c r="I19" s="18"/>
      <c r="L19" s="443" t="s">
        <v>278</v>
      </c>
      <c r="M19" s="443" t="s">
        <v>118</v>
      </c>
      <c r="N19" s="18"/>
      <c r="O19" s="18"/>
      <c r="Q19" s="92"/>
    </row>
    <row r="20" spans="1:18">
      <c r="A20" s="443" t="s">
        <v>110</v>
      </c>
      <c r="B20" s="444">
        <v>45503</v>
      </c>
      <c r="C20" s="183">
        <f>(0.375%+PRODUCT([4]CPI!D45:D47)-1)*D20</f>
        <v>0.18942708799999952</v>
      </c>
      <c r="D20" s="484">
        <v>4</v>
      </c>
      <c r="E20" s="484" t="s">
        <v>248</v>
      </c>
      <c r="F20" s="484" t="s">
        <v>258</v>
      </c>
      <c r="G20" s="443" t="s">
        <v>108</v>
      </c>
      <c r="H20" s="443" t="s">
        <v>372</v>
      </c>
      <c r="I20" s="18"/>
      <c r="L20" s="443" t="s">
        <v>278</v>
      </c>
      <c r="M20" s="443" t="s">
        <v>110</v>
      </c>
      <c r="N20" s="18"/>
      <c r="O20" s="18"/>
      <c r="Q20" s="92"/>
      <c r="R20" s="19"/>
    </row>
    <row r="21" spans="1:18">
      <c r="A21" s="443" t="s">
        <v>495</v>
      </c>
      <c r="B21" s="444">
        <v>45587</v>
      </c>
      <c r="C21" s="183">
        <v>0.14499999999999999</v>
      </c>
      <c r="D21" s="484">
        <v>4</v>
      </c>
      <c r="E21" s="484" t="s">
        <v>247</v>
      </c>
      <c r="F21" s="484" t="s">
        <v>258</v>
      </c>
      <c r="G21" s="443" t="s">
        <v>108</v>
      </c>
      <c r="I21" s="443"/>
      <c r="L21" s="443" t="s">
        <v>278</v>
      </c>
      <c r="M21" s="443" t="s">
        <v>495</v>
      </c>
      <c r="Q21" s="19"/>
      <c r="R21" s="19"/>
    </row>
    <row r="22" spans="1:18">
      <c r="A22" s="443" t="s">
        <v>394</v>
      </c>
      <c r="B22" s="444">
        <v>45608</v>
      </c>
      <c r="C22" s="183">
        <f>(1%+PRODUCT([4]CPI!D43:D48)-1)*D22</f>
        <v>0.20470224593231734</v>
      </c>
      <c r="D22" s="484">
        <v>2</v>
      </c>
      <c r="E22" s="484" t="s">
        <v>248</v>
      </c>
      <c r="F22" s="484" t="s">
        <v>258</v>
      </c>
      <c r="G22" s="443" t="s">
        <v>122</v>
      </c>
      <c r="H22" s="443" t="s">
        <v>395</v>
      </c>
      <c r="I22" s="443"/>
      <c r="L22" s="443" t="s">
        <v>278</v>
      </c>
      <c r="M22" s="443" t="s">
        <v>394</v>
      </c>
      <c r="Q22" s="19"/>
      <c r="R22" s="19"/>
    </row>
    <row r="23" spans="1:18">
      <c r="A23" s="443" t="s">
        <v>497</v>
      </c>
      <c r="B23" s="444">
        <v>45613</v>
      </c>
      <c r="C23" s="183">
        <v>0.1535</v>
      </c>
      <c r="D23" s="484">
        <v>1</v>
      </c>
      <c r="E23" s="484" t="s">
        <v>247</v>
      </c>
      <c r="F23" s="484" t="s">
        <v>259</v>
      </c>
      <c r="G23" s="443" t="s">
        <v>122</v>
      </c>
      <c r="I23" s="443"/>
      <c r="L23" s="443" t="s">
        <v>278</v>
      </c>
      <c r="M23" s="443" t="s">
        <v>497</v>
      </c>
      <c r="Q23" s="19"/>
      <c r="R23" s="19"/>
    </row>
    <row r="24" spans="1:18">
      <c r="A24" s="443" t="s">
        <v>121</v>
      </c>
      <c r="B24" s="444">
        <v>45792</v>
      </c>
      <c r="C24" s="183">
        <f>(0.5%+PRODUCT([4]CPI!D43:D48)-1)*D24</f>
        <v>0.19470224593231711</v>
      </c>
      <c r="D24" s="484">
        <v>2</v>
      </c>
      <c r="E24" s="484" t="s">
        <v>248</v>
      </c>
      <c r="F24" s="484" t="s">
        <v>245</v>
      </c>
      <c r="G24" s="443" t="s">
        <v>122</v>
      </c>
      <c r="H24" s="443" t="s">
        <v>370</v>
      </c>
      <c r="I24" s="443"/>
      <c r="L24" s="443" t="s">
        <v>278</v>
      </c>
      <c r="M24" s="443" t="s">
        <v>121</v>
      </c>
      <c r="Q24" s="19"/>
      <c r="R24" s="19"/>
    </row>
    <row r="25" spans="1:18">
      <c r="A25" s="443" t="s">
        <v>491</v>
      </c>
      <c r="B25" s="444">
        <v>45881</v>
      </c>
      <c r="C25" s="183">
        <v>0.14149999999999999</v>
      </c>
      <c r="D25" s="484">
        <v>2</v>
      </c>
      <c r="E25" s="484" t="s">
        <v>247</v>
      </c>
      <c r="F25" s="484" t="s">
        <v>258</v>
      </c>
      <c r="G25" s="443" t="s">
        <v>108</v>
      </c>
      <c r="I25" s="443"/>
      <c r="L25" s="443" t="s">
        <v>278</v>
      </c>
      <c r="M25" s="443" t="s">
        <v>491</v>
      </c>
    </row>
    <row r="26" spans="1:18">
      <c r="A26" s="443" t="s">
        <v>131</v>
      </c>
      <c r="B26" s="444">
        <v>46040</v>
      </c>
      <c r="C26" s="183">
        <v>8.3000000000000004E-2</v>
      </c>
      <c r="D26" s="484">
        <v>2</v>
      </c>
      <c r="E26" s="484" t="s">
        <v>247</v>
      </c>
      <c r="F26" s="484" t="s">
        <v>245</v>
      </c>
      <c r="G26" s="443" t="s">
        <v>130</v>
      </c>
      <c r="H26" s="443" t="s">
        <v>257</v>
      </c>
      <c r="I26" s="443"/>
      <c r="L26" s="443" t="s">
        <v>278</v>
      </c>
      <c r="M26" s="443" t="s">
        <v>131</v>
      </c>
    </row>
    <row r="27" spans="1:18">
      <c r="A27" s="443" t="s">
        <v>109</v>
      </c>
      <c r="B27" s="444">
        <v>46052</v>
      </c>
      <c r="C27" s="183">
        <f>1.3%+10.49%</f>
        <v>0.1179</v>
      </c>
      <c r="D27" s="484">
        <v>4</v>
      </c>
      <c r="E27" s="484" t="s">
        <v>248</v>
      </c>
      <c r="F27" s="484" t="s">
        <v>258</v>
      </c>
      <c r="G27" s="443" t="s">
        <v>108</v>
      </c>
      <c r="H27" s="443" t="s">
        <v>371</v>
      </c>
      <c r="I27" s="18"/>
      <c r="L27" s="443" t="s">
        <v>278</v>
      </c>
      <c r="M27" s="443" t="s">
        <v>109</v>
      </c>
    </row>
    <row r="28" spans="1:18">
      <c r="A28" s="443" t="s">
        <v>128</v>
      </c>
      <c r="B28" s="444">
        <v>46081</v>
      </c>
      <c r="C28" s="487">
        <f>(1+10.209)%</f>
        <v>0.11209</v>
      </c>
      <c r="D28" s="484">
        <v>2</v>
      </c>
      <c r="E28" s="484" t="s">
        <v>248</v>
      </c>
      <c r="F28" s="484" t="s">
        <v>245</v>
      </c>
      <c r="G28" s="443" t="s">
        <v>122</v>
      </c>
      <c r="H28" s="443" t="s">
        <v>365</v>
      </c>
      <c r="I28" s="18"/>
      <c r="J28" s="107"/>
      <c r="L28" s="443" t="s">
        <v>278</v>
      </c>
      <c r="M28" s="443" t="s">
        <v>128</v>
      </c>
    </row>
    <row r="29" spans="1:18">
      <c r="A29" s="443" t="s">
        <v>413</v>
      </c>
      <c r="B29" s="444">
        <v>46098</v>
      </c>
      <c r="C29" s="183">
        <v>9.9500000000000005E-2</v>
      </c>
      <c r="D29" s="484">
        <v>2</v>
      </c>
      <c r="E29" s="484" t="s">
        <v>247</v>
      </c>
      <c r="F29" s="484" t="s">
        <v>245</v>
      </c>
      <c r="G29" s="443" t="s">
        <v>108</v>
      </c>
      <c r="I29" s="18"/>
      <c r="L29" s="443" t="s">
        <v>278</v>
      </c>
      <c r="M29" s="443" t="s">
        <v>413</v>
      </c>
    </row>
    <row r="30" spans="1:18">
      <c r="A30" s="443" t="s">
        <v>126</v>
      </c>
      <c r="B30" s="444">
        <v>46194</v>
      </c>
      <c r="C30" s="183">
        <f>(9.34)%</f>
        <v>9.3399999999999997E-2</v>
      </c>
      <c r="D30" s="484">
        <v>2</v>
      </c>
      <c r="E30" s="484" t="s">
        <v>248</v>
      </c>
      <c r="F30" s="484" t="s">
        <v>245</v>
      </c>
      <c r="G30" s="443" t="s">
        <v>122</v>
      </c>
      <c r="H30" s="443" t="s">
        <v>367</v>
      </c>
      <c r="I30" s="183"/>
      <c r="L30" s="443" t="s">
        <v>278</v>
      </c>
      <c r="M30" s="443" t="s">
        <v>126</v>
      </c>
    </row>
    <row r="31" spans="1:18">
      <c r="A31" s="443" t="s">
        <v>124</v>
      </c>
      <c r="B31" s="444">
        <v>46375</v>
      </c>
      <c r="C31" s="183">
        <f>9.84%</f>
        <v>9.8400000000000001E-2</v>
      </c>
      <c r="D31" s="484">
        <v>2</v>
      </c>
      <c r="E31" s="484" t="s">
        <v>248</v>
      </c>
      <c r="F31" s="484" t="s">
        <v>245</v>
      </c>
      <c r="G31" s="443" t="s">
        <v>122</v>
      </c>
      <c r="H31" s="443" t="s">
        <v>373</v>
      </c>
      <c r="I31" s="183"/>
      <c r="L31" s="443" t="s">
        <v>278</v>
      </c>
      <c r="M31" s="443" t="s">
        <v>124</v>
      </c>
    </row>
    <row r="32" spans="1:18">
      <c r="A32" s="443" t="s">
        <v>123</v>
      </c>
      <c r="B32" s="444">
        <v>46586</v>
      </c>
      <c r="C32" s="183">
        <f>9.96%</f>
        <v>9.9600000000000008E-2</v>
      </c>
      <c r="D32" s="484">
        <v>2</v>
      </c>
      <c r="E32" s="484" t="s">
        <v>248</v>
      </c>
      <c r="F32" s="484" t="s">
        <v>245</v>
      </c>
      <c r="G32" s="443" t="s">
        <v>122</v>
      </c>
      <c r="H32" s="443" t="s">
        <v>368</v>
      </c>
      <c r="I32" s="443"/>
      <c r="L32" s="443" t="s">
        <v>278</v>
      </c>
      <c r="M32" s="443" t="s">
        <v>123</v>
      </c>
    </row>
    <row r="33" spans="1:14">
      <c r="A33" s="443" t="s">
        <v>125</v>
      </c>
      <c r="B33" s="444">
        <v>46740</v>
      </c>
      <c r="C33" s="183">
        <f>9.84%</f>
        <v>9.8400000000000001E-2</v>
      </c>
      <c r="D33" s="484">
        <v>2</v>
      </c>
      <c r="E33" s="484" t="s">
        <v>248</v>
      </c>
      <c r="F33" s="484" t="s">
        <v>245</v>
      </c>
      <c r="G33" s="443" t="s">
        <v>122</v>
      </c>
      <c r="H33" s="443" t="s">
        <v>373</v>
      </c>
      <c r="I33" s="443"/>
      <c r="L33" s="443" t="s">
        <v>278</v>
      </c>
      <c r="M33" s="443" t="s">
        <v>125</v>
      </c>
    </row>
    <row r="34" spans="1:14">
      <c r="A34" s="443" t="s">
        <v>356</v>
      </c>
      <c r="B34" s="444">
        <v>46984</v>
      </c>
      <c r="C34" s="183">
        <f>2%+9.377%</f>
        <v>0.11377000000000001</v>
      </c>
      <c r="D34" s="484">
        <v>2</v>
      </c>
      <c r="E34" s="484" t="s">
        <v>248</v>
      </c>
      <c r="F34" s="484" t="s">
        <v>245</v>
      </c>
      <c r="G34" s="443" t="s">
        <v>122</v>
      </c>
      <c r="H34" s="443" t="s">
        <v>374</v>
      </c>
      <c r="I34" s="443"/>
      <c r="L34" s="443" t="s">
        <v>278</v>
      </c>
      <c r="M34" s="443" t="s">
        <v>356</v>
      </c>
    </row>
    <row r="35" spans="1:14">
      <c r="A35" s="443" t="s">
        <v>399</v>
      </c>
      <c r="B35" s="444">
        <v>47460</v>
      </c>
      <c r="C35" s="183">
        <f>10.34%</f>
        <v>0.10339999999999999</v>
      </c>
      <c r="D35" s="484">
        <v>2</v>
      </c>
      <c r="E35" s="484" t="s">
        <v>248</v>
      </c>
      <c r="F35" s="484" t="s">
        <v>245</v>
      </c>
      <c r="G35" s="443" t="s">
        <v>122</v>
      </c>
      <c r="H35" s="443" t="s">
        <v>400</v>
      </c>
      <c r="I35" s="443"/>
      <c r="L35" s="443" t="s">
        <v>278</v>
      </c>
      <c r="M35" s="443" t="s">
        <v>399</v>
      </c>
    </row>
    <row r="36" spans="1:14">
      <c r="A36" s="443" t="s">
        <v>740</v>
      </c>
      <c r="B36" s="444">
        <v>46566</v>
      </c>
      <c r="C36" s="183">
        <f>14.2%</f>
        <v>0.14199999999999999</v>
      </c>
      <c r="D36" s="484">
        <v>1</v>
      </c>
      <c r="E36" s="484" t="s">
        <v>247</v>
      </c>
      <c r="F36" s="484" t="s">
        <v>245</v>
      </c>
      <c r="G36" s="443" t="s">
        <v>112</v>
      </c>
      <c r="I36" s="183"/>
      <c r="L36" s="443" t="s">
        <v>278</v>
      </c>
      <c r="M36" s="443" t="s">
        <v>740</v>
      </c>
    </row>
    <row r="37" spans="1:14">
      <c r="A37" s="443" t="s">
        <v>136</v>
      </c>
      <c r="B37" s="444">
        <v>44712</v>
      </c>
      <c r="C37" s="183">
        <v>0.105</v>
      </c>
      <c r="D37" s="484">
        <v>2</v>
      </c>
      <c r="E37" s="484" t="s">
        <v>247</v>
      </c>
      <c r="F37" s="484" t="s">
        <v>245</v>
      </c>
      <c r="G37" s="443" t="s">
        <v>133</v>
      </c>
      <c r="I37" s="18"/>
      <c r="L37" s="443" t="s">
        <v>2833</v>
      </c>
      <c r="M37" s="443" t="s">
        <v>136</v>
      </c>
    </row>
    <row r="38" spans="1:14">
      <c r="A38" s="443" t="s">
        <v>135</v>
      </c>
      <c r="B38" s="444">
        <v>45449</v>
      </c>
      <c r="C38" s="183">
        <v>0.105</v>
      </c>
      <c r="D38" s="484">
        <v>2</v>
      </c>
      <c r="E38" s="484" t="s">
        <v>247</v>
      </c>
      <c r="F38" s="484" t="s">
        <v>245</v>
      </c>
      <c r="G38" s="443" t="s">
        <v>133</v>
      </c>
      <c r="I38" s="18"/>
      <c r="L38" s="443" t="s">
        <v>2833</v>
      </c>
      <c r="M38" s="443" t="s">
        <v>135</v>
      </c>
    </row>
    <row r="39" spans="1:14">
      <c r="A39" s="443" t="s">
        <v>143</v>
      </c>
      <c r="B39" s="444">
        <v>48940</v>
      </c>
      <c r="C39" s="183">
        <v>9.5000000000000001E-2</v>
      </c>
      <c r="D39" s="484">
        <v>2</v>
      </c>
      <c r="E39" s="484" t="s">
        <v>247</v>
      </c>
      <c r="F39" s="484" t="s">
        <v>245</v>
      </c>
      <c r="G39" s="443" t="s">
        <v>144</v>
      </c>
      <c r="I39" s="18"/>
      <c r="L39" s="443" t="s">
        <v>2833</v>
      </c>
      <c r="M39" s="443" t="s">
        <v>143</v>
      </c>
    </row>
    <row r="40" spans="1:14">
      <c r="A40" s="443" t="s">
        <v>138</v>
      </c>
      <c r="B40" s="444">
        <v>46602</v>
      </c>
      <c r="C40" s="183">
        <v>0.105</v>
      </c>
      <c r="D40" s="484">
        <v>2</v>
      </c>
      <c r="E40" s="484" t="s">
        <v>247</v>
      </c>
      <c r="F40" s="484" t="s">
        <v>245</v>
      </c>
      <c r="G40" s="443" t="s">
        <v>137</v>
      </c>
      <c r="I40" s="18"/>
      <c r="L40" s="443" t="s">
        <v>2833</v>
      </c>
      <c r="M40" s="443" t="s">
        <v>138</v>
      </c>
    </row>
    <row r="41" spans="1:14">
      <c r="A41" s="443" t="s">
        <v>150</v>
      </c>
      <c r="B41" s="444">
        <v>48455</v>
      </c>
      <c r="C41" s="183">
        <v>0.115</v>
      </c>
      <c r="D41" s="484">
        <v>1</v>
      </c>
      <c r="E41" s="484" t="s">
        <v>247</v>
      </c>
      <c r="F41" s="484" t="s">
        <v>245</v>
      </c>
      <c r="G41" s="443" t="s">
        <v>149</v>
      </c>
      <c r="I41" s="18"/>
      <c r="L41" s="443" t="s">
        <v>2833</v>
      </c>
      <c r="M41" s="443" t="s">
        <v>150</v>
      </c>
    </row>
    <row r="42" spans="1:14">
      <c r="A42" s="443" t="s">
        <v>151</v>
      </c>
      <c r="B42" s="444">
        <v>46933</v>
      </c>
      <c r="C42" s="183">
        <v>0.17249999999999999</v>
      </c>
      <c r="D42" s="484">
        <v>1</v>
      </c>
      <c r="E42" s="484" t="s">
        <v>248</v>
      </c>
      <c r="F42" s="484" t="s">
        <v>245</v>
      </c>
      <c r="G42" s="443" t="s">
        <v>144</v>
      </c>
      <c r="H42" s="443" t="s">
        <v>375</v>
      </c>
      <c r="I42" s="18"/>
      <c r="L42" s="443" t="s">
        <v>2833</v>
      </c>
      <c r="M42" s="443" t="s">
        <v>151</v>
      </c>
      <c r="N42" s="29"/>
    </row>
    <row r="43" spans="1:14">
      <c r="A43" s="443" t="s">
        <v>143</v>
      </c>
      <c r="B43" s="444">
        <v>48940</v>
      </c>
      <c r="C43" s="183">
        <v>9.5000000000000001E-2</v>
      </c>
      <c r="D43" s="484">
        <v>2</v>
      </c>
      <c r="E43" s="484" t="s">
        <v>247</v>
      </c>
      <c r="F43" s="484" t="s">
        <v>245</v>
      </c>
      <c r="G43" s="443" t="s">
        <v>144</v>
      </c>
      <c r="I43" s="18"/>
      <c r="L43" s="443" t="s">
        <v>2833</v>
      </c>
      <c r="M43" s="443" t="s">
        <v>143</v>
      </c>
    </row>
    <row r="44" spans="1:14">
      <c r="A44" s="443" t="s">
        <v>143</v>
      </c>
      <c r="B44" s="444">
        <v>48940</v>
      </c>
      <c r="C44" s="183">
        <v>9.5000000000000001E-2</v>
      </c>
      <c r="D44" s="484">
        <v>2</v>
      </c>
      <c r="E44" s="484" t="s">
        <v>247</v>
      </c>
      <c r="F44" s="484" t="s">
        <v>245</v>
      </c>
      <c r="G44" s="443" t="s">
        <v>144</v>
      </c>
      <c r="I44" s="18"/>
      <c r="L44" s="443" t="s">
        <v>2833</v>
      </c>
      <c r="M44" s="443" t="s">
        <v>143</v>
      </c>
    </row>
    <row r="45" spans="1:14">
      <c r="A45" s="443" t="s">
        <v>150</v>
      </c>
      <c r="B45" s="444">
        <v>48455</v>
      </c>
      <c r="C45" s="183">
        <v>0.115</v>
      </c>
      <c r="D45" s="484">
        <v>1</v>
      </c>
      <c r="E45" s="484" t="s">
        <v>247</v>
      </c>
      <c r="F45" s="484" t="s">
        <v>245</v>
      </c>
      <c r="G45" s="443" t="s">
        <v>149</v>
      </c>
      <c r="I45" s="18"/>
      <c r="L45" s="443" t="s">
        <v>2833</v>
      </c>
      <c r="M45" s="443" t="s">
        <v>150</v>
      </c>
    </row>
    <row r="46" spans="1:14">
      <c r="A46" s="443" t="s">
        <v>143</v>
      </c>
      <c r="B46" s="444">
        <v>48940</v>
      </c>
      <c r="C46" s="183">
        <v>9.5000000000000001E-2</v>
      </c>
      <c r="D46" s="484">
        <v>2</v>
      </c>
      <c r="E46" s="484" t="s">
        <v>247</v>
      </c>
      <c r="F46" s="484" t="s">
        <v>245</v>
      </c>
      <c r="G46" s="443" t="s">
        <v>144</v>
      </c>
      <c r="H46" s="444">
        <v>45653</v>
      </c>
      <c r="I46" s="18"/>
      <c r="L46" s="443" t="s">
        <v>2833</v>
      </c>
      <c r="M46" s="443" t="s">
        <v>143</v>
      </c>
    </row>
    <row r="47" spans="1:14">
      <c r="A47" s="443" t="s">
        <v>141</v>
      </c>
      <c r="B47" s="444">
        <v>46191</v>
      </c>
      <c r="C47" s="183">
        <v>0.1</v>
      </c>
      <c r="D47" s="484">
        <v>2</v>
      </c>
      <c r="E47" s="484" t="s">
        <v>247</v>
      </c>
      <c r="F47" s="484" t="s">
        <v>245</v>
      </c>
      <c r="G47" s="443" t="s">
        <v>133</v>
      </c>
      <c r="H47" s="444">
        <v>45835</v>
      </c>
      <c r="I47" s="18"/>
      <c r="L47" s="443" t="s">
        <v>2833</v>
      </c>
      <c r="M47" s="443" t="s">
        <v>141</v>
      </c>
    </row>
    <row r="48" spans="1:14">
      <c r="A48" s="443" t="s">
        <v>145</v>
      </c>
      <c r="B48" s="444">
        <v>47297</v>
      </c>
      <c r="C48" s="183">
        <v>9.5000000000000001E-2</v>
      </c>
      <c r="D48" s="484">
        <v>2</v>
      </c>
      <c r="E48" s="484" t="s">
        <v>247</v>
      </c>
      <c r="F48" s="484" t="s">
        <v>245</v>
      </c>
      <c r="G48" s="443" t="s">
        <v>144</v>
      </c>
      <c r="H48" s="443">
        <f>H47-H46</f>
        <v>182</v>
      </c>
      <c r="I48" s="18"/>
      <c r="L48" s="443" t="s">
        <v>2833</v>
      </c>
      <c r="M48" s="443" t="s">
        <v>145</v>
      </c>
    </row>
    <row r="49" spans="1:13">
      <c r="A49" s="443" t="s">
        <v>142</v>
      </c>
      <c r="B49" s="444">
        <v>45489</v>
      </c>
      <c r="C49" s="183">
        <v>0.1027</v>
      </c>
      <c r="D49" s="484">
        <v>2</v>
      </c>
      <c r="E49" s="484" t="s">
        <v>247</v>
      </c>
      <c r="F49" s="484" t="s">
        <v>245</v>
      </c>
      <c r="G49" s="443" t="s">
        <v>133</v>
      </c>
      <c r="I49" s="18"/>
      <c r="L49" s="443" t="s">
        <v>2833</v>
      </c>
      <c r="M49" s="443" t="s">
        <v>142</v>
      </c>
    </row>
    <row r="50" spans="1:13">
      <c r="A50" s="443" t="s">
        <v>147</v>
      </c>
      <c r="B50" s="444">
        <v>46220</v>
      </c>
      <c r="C50" s="183">
        <v>0.1027</v>
      </c>
      <c r="D50" s="484">
        <v>2</v>
      </c>
      <c r="E50" s="484" t="s">
        <v>247</v>
      </c>
      <c r="F50" s="484" t="s">
        <v>245</v>
      </c>
      <c r="G50" s="443" t="s">
        <v>148</v>
      </c>
      <c r="I50" s="18"/>
      <c r="L50" s="443" t="s">
        <v>2833</v>
      </c>
      <c r="M50" s="443" t="s">
        <v>147</v>
      </c>
    </row>
    <row r="51" spans="1:13">
      <c r="A51" s="443" t="s">
        <v>146</v>
      </c>
      <c r="B51" s="444">
        <v>47359</v>
      </c>
      <c r="C51" s="183">
        <v>9.7500000000000003E-2</v>
      </c>
      <c r="D51" s="484">
        <v>2</v>
      </c>
      <c r="E51" s="484" t="s">
        <v>247</v>
      </c>
      <c r="F51" s="484" t="s">
        <v>245</v>
      </c>
      <c r="G51" s="443" t="s">
        <v>144</v>
      </c>
      <c r="I51" s="18"/>
      <c r="L51" s="443" t="s">
        <v>2833</v>
      </c>
      <c r="M51" s="443" t="s">
        <v>146</v>
      </c>
    </row>
    <row r="52" spans="1:13">
      <c r="A52" s="443" t="s">
        <v>157</v>
      </c>
      <c r="B52" s="444">
        <v>49199</v>
      </c>
      <c r="C52" s="183">
        <v>0.115</v>
      </c>
      <c r="D52" s="484">
        <v>2</v>
      </c>
      <c r="E52" s="484" t="s">
        <v>247</v>
      </c>
      <c r="F52" s="484" t="s">
        <v>245</v>
      </c>
      <c r="G52" s="443" t="s">
        <v>134</v>
      </c>
      <c r="I52" s="18"/>
      <c r="L52" s="443" t="s">
        <v>2833</v>
      </c>
      <c r="M52" s="443" t="s">
        <v>157</v>
      </c>
    </row>
    <row r="53" spans="1:13">
      <c r="A53" s="443" t="s">
        <v>156</v>
      </c>
      <c r="B53" s="444">
        <v>49220</v>
      </c>
      <c r="C53" s="183">
        <v>0.115</v>
      </c>
      <c r="D53" s="484">
        <v>2</v>
      </c>
      <c r="E53" s="484" t="s">
        <v>247</v>
      </c>
      <c r="F53" s="484" t="s">
        <v>245</v>
      </c>
      <c r="G53" s="443" t="s">
        <v>134</v>
      </c>
      <c r="I53" s="18"/>
      <c r="L53" s="443" t="s">
        <v>2833</v>
      </c>
      <c r="M53" s="443" t="s">
        <v>156</v>
      </c>
    </row>
    <row r="54" spans="1:13">
      <c r="A54" s="443" t="s">
        <v>156</v>
      </c>
      <c r="B54" s="444">
        <v>49220</v>
      </c>
      <c r="C54" s="183">
        <v>0.115</v>
      </c>
      <c r="D54" s="484">
        <v>2</v>
      </c>
      <c r="E54" s="484" t="s">
        <v>247</v>
      </c>
      <c r="F54" s="484" t="s">
        <v>245</v>
      </c>
      <c r="G54" s="443" t="s">
        <v>134</v>
      </c>
      <c r="I54" s="18"/>
      <c r="L54" s="443" t="s">
        <v>2833</v>
      </c>
      <c r="M54" s="443" t="s">
        <v>156</v>
      </c>
    </row>
    <row r="55" spans="1:13">
      <c r="A55" s="443" t="s">
        <v>156</v>
      </c>
      <c r="B55" s="444">
        <v>49220</v>
      </c>
      <c r="C55" s="183">
        <v>0.115</v>
      </c>
      <c r="D55" s="484">
        <v>2</v>
      </c>
      <c r="E55" s="484" t="s">
        <v>247</v>
      </c>
      <c r="F55" s="484" t="s">
        <v>245</v>
      </c>
      <c r="G55" s="443" t="s">
        <v>134</v>
      </c>
      <c r="I55" s="18"/>
      <c r="L55" s="443" t="s">
        <v>2833</v>
      </c>
      <c r="M55" s="443" t="s">
        <v>156</v>
      </c>
    </row>
    <row r="56" spans="1:13">
      <c r="A56" s="443" t="s">
        <v>140</v>
      </c>
      <c r="B56" s="444">
        <v>47455</v>
      </c>
      <c r="C56" s="183">
        <v>0.11</v>
      </c>
      <c r="D56" s="484">
        <v>2</v>
      </c>
      <c r="E56" s="484" t="s">
        <v>247</v>
      </c>
      <c r="F56" s="484" t="s">
        <v>245</v>
      </c>
      <c r="G56" s="443" t="s">
        <v>133</v>
      </c>
      <c r="I56" s="18"/>
      <c r="L56" s="443" t="s">
        <v>2833</v>
      </c>
      <c r="M56" s="443" t="s">
        <v>140</v>
      </c>
    </row>
    <row r="57" spans="1:13">
      <c r="A57" s="443" t="s">
        <v>154</v>
      </c>
      <c r="B57" s="444">
        <v>44305</v>
      </c>
      <c r="C57" s="183">
        <v>0.125</v>
      </c>
      <c r="D57" s="484">
        <v>1</v>
      </c>
      <c r="E57" s="484" t="s">
        <v>247</v>
      </c>
      <c r="F57" s="484" t="s">
        <v>245</v>
      </c>
      <c r="G57" s="443" t="s">
        <v>137</v>
      </c>
      <c r="I57" s="18"/>
      <c r="L57" s="443" t="s">
        <v>2833</v>
      </c>
      <c r="M57" s="443" t="s">
        <v>154</v>
      </c>
    </row>
    <row r="58" spans="1:13">
      <c r="A58" s="443" t="s">
        <v>153</v>
      </c>
      <c r="B58" s="444">
        <v>44305</v>
      </c>
      <c r="C58" s="183">
        <v>0.125</v>
      </c>
      <c r="D58" s="484">
        <v>1</v>
      </c>
      <c r="E58" s="484" t="s">
        <v>247</v>
      </c>
      <c r="F58" s="484" t="s">
        <v>245</v>
      </c>
      <c r="G58" s="443" t="s">
        <v>137</v>
      </c>
      <c r="I58" s="18"/>
      <c r="L58" s="443" t="s">
        <v>2833</v>
      </c>
      <c r="M58" s="443" t="s">
        <v>153</v>
      </c>
    </row>
    <row r="59" spans="1:13">
      <c r="A59" s="443" t="s">
        <v>155</v>
      </c>
      <c r="B59" s="444">
        <v>44305</v>
      </c>
      <c r="C59" s="183">
        <v>0.125</v>
      </c>
      <c r="D59" s="484">
        <v>1</v>
      </c>
      <c r="E59" s="484" t="s">
        <v>247</v>
      </c>
      <c r="F59" s="484" t="s">
        <v>245</v>
      </c>
      <c r="G59" s="443" t="s">
        <v>137</v>
      </c>
      <c r="I59" s="18"/>
      <c r="L59" s="443" t="s">
        <v>2833</v>
      </c>
      <c r="M59" s="443" t="s">
        <v>155</v>
      </c>
    </row>
    <row r="60" spans="1:13">
      <c r="A60" s="443" t="s">
        <v>152</v>
      </c>
      <c r="B60" s="444">
        <v>44305</v>
      </c>
      <c r="C60" s="183">
        <v>0.125</v>
      </c>
      <c r="D60" s="484">
        <v>1</v>
      </c>
      <c r="E60" s="484" t="s">
        <v>247</v>
      </c>
      <c r="F60" s="484" t="s">
        <v>245</v>
      </c>
      <c r="G60" s="443" t="s">
        <v>137</v>
      </c>
      <c r="I60" s="18"/>
      <c r="L60" s="443" t="s">
        <v>2833</v>
      </c>
      <c r="M60" s="443" t="s">
        <v>152</v>
      </c>
    </row>
    <row r="61" spans="1:13">
      <c r="A61" s="443" t="s">
        <v>244</v>
      </c>
      <c r="B61" s="444">
        <v>47652</v>
      </c>
      <c r="C61" s="183">
        <v>0.11</v>
      </c>
      <c r="D61" s="484">
        <v>2</v>
      </c>
      <c r="E61" s="484" t="s">
        <v>247</v>
      </c>
      <c r="F61" s="484" t="s">
        <v>245</v>
      </c>
      <c r="G61" s="443" t="s">
        <v>133</v>
      </c>
      <c r="I61" s="18"/>
      <c r="L61" s="443" t="s">
        <v>2833</v>
      </c>
      <c r="M61" s="443" t="s">
        <v>244</v>
      </c>
    </row>
    <row r="62" spans="1:13">
      <c r="A62" s="443" t="s">
        <v>401</v>
      </c>
      <c r="B62" s="444">
        <v>46730</v>
      </c>
      <c r="C62" s="183">
        <v>0.113</v>
      </c>
      <c r="D62" s="484">
        <v>2</v>
      </c>
      <c r="E62" s="484" t="s">
        <v>247</v>
      </c>
      <c r="F62" s="484" t="s">
        <v>245</v>
      </c>
      <c r="G62" s="443" t="s">
        <v>144</v>
      </c>
      <c r="I62" s="18"/>
      <c r="L62" s="443" t="s">
        <v>2833</v>
      </c>
      <c r="M62" s="443" t="s">
        <v>401</v>
      </c>
    </row>
    <row r="63" spans="1:13">
      <c r="A63" s="443" t="s">
        <v>402</v>
      </c>
      <c r="B63" s="444">
        <v>47826</v>
      </c>
      <c r="C63" s="183">
        <v>0.113</v>
      </c>
      <c r="D63" s="484">
        <v>2</v>
      </c>
      <c r="E63" s="484" t="s">
        <v>247</v>
      </c>
      <c r="F63" s="484" t="s">
        <v>245</v>
      </c>
      <c r="G63" s="443" t="s">
        <v>144</v>
      </c>
      <c r="I63" s="18"/>
      <c r="L63" s="443" t="s">
        <v>2833</v>
      </c>
      <c r="M63" s="443" t="s">
        <v>402</v>
      </c>
    </row>
    <row r="64" spans="1:13">
      <c r="A64" s="443" t="s">
        <v>418</v>
      </c>
      <c r="B64" s="444">
        <v>47926</v>
      </c>
      <c r="C64" s="183">
        <v>0.11</v>
      </c>
      <c r="D64" s="484">
        <v>2</v>
      </c>
      <c r="E64" s="484" t="s">
        <v>247</v>
      </c>
      <c r="F64" s="484" t="s">
        <v>245</v>
      </c>
      <c r="G64" s="443" t="s">
        <v>144</v>
      </c>
      <c r="I64" s="18"/>
      <c r="L64" s="443" t="s">
        <v>2833</v>
      </c>
      <c r="M64" s="443" t="s">
        <v>418</v>
      </c>
    </row>
    <row r="65" spans="1:13">
      <c r="A65" s="443" t="s">
        <v>499</v>
      </c>
      <c r="B65" s="444">
        <v>50395</v>
      </c>
      <c r="C65" s="487">
        <v>0.03</v>
      </c>
      <c r="D65" s="484">
        <v>2</v>
      </c>
      <c r="E65" s="484" t="s">
        <v>248</v>
      </c>
      <c r="F65" s="484" t="s">
        <v>501</v>
      </c>
      <c r="G65" s="443" t="s">
        <v>149</v>
      </c>
      <c r="H65" s="443" t="s">
        <v>500</v>
      </c>
      <c r="I65" s="18"/>
      <c r="L65" s="443" t="s">
        <v>2833</v>
      </c>
      <c r="M65" s="443" t="s">
        <v>499</v>
      </c>
    </row>
    <row r="66" spans="1:13">
      <c r="A66" s="443" t="s">
        <v>591</v>
      </c>
      <c r="B66" s="444">
        <v>46795</v>
      </c>
      <c r="C66" s="487">
        <v>9.5000000000000001E-2</v>
      </c>
      <c r="D66" s="484">
        <v>1</v>
      </c>
      <c r="E66" s="484" t="s">
        <v>247</v>
      </c>
      <c r="F66" s="484" t="s">
        <v>245</v>
      </c>
      <c r="G66" s="443" t="s">
        <v>527</v>
      </c>
      <c r="I66" s="18"/>
      <c r="L66" s="443" t="s">
        <v>2833</v>
      </c>
      <c r="M66" s="443" t="s">
        <v>591</v>
      </c>
    </row>
    <row r="67" spans="1:13">
      <c r="A67" s="443" t="s">
        <v>746</v>
      </c>
      <c r="B67" s="444">
        <v>47503</v>
      </c>
      <c r="C67" s="487">
        <v>0.17169999999999999</v>
      </c>
      <c r="D67" s="484">
        <v>2</v>
      </c>
      <c r="E67" s="484" t="s">
        <v>248</v>
      </c>
      <c r="F67" s="484" t="s">
        <v>510</v>
      </c>
      <c r="G67" s="443" t="s">
        <v>527</v>
      </c>
      <c r="H67" s="443" t="s">
        <v>754</v>
      </c>
      <c r="I67" s="18"/>
      <c r="L67" s="443" t="s">
        <v>2833</v>
      </c>
      <c r="M67" s="443" t="s">
        <v>746</v>
      </c>
    </row>
    <row r="68" spans="1:13">
      <c r="A68" s="443" t="s">
        <v>745</v>
      </c>
      <c r="B68" s="444">
        <v>45993</v>
      </c>
      <c r="C68" s="487">
        <v>0.15959999999999999</v>
      </c>
      <c r="D68" s="484">
        <v>2</v>
      </c>
      <c r="E68" s="484" t="s">
        <v>248</v>
      </c>
      <c r="F68" s="484" t="s">
        <v>510</v>
      </c>
      <c r="G68" s="443" t="s">
        <v>527</v>
      </c>
      <c r="H68" s="443" t="s">
        <v>758</v>
      </c>
      <c r="I68" s="18"/>
      <c r="L68" s="443" t="s">
        <v>2833</v>
      </c>
      <c r="M68" s="443" t="s">
        <v>745</v>
      </c>
    </row>
    <row r="69" spans="1:13">
      <c r="A69" s="443" t="s">
        <v>757</v>
      </c>
      <c r="B69" s="444">
        <v>45829</v>
      </c>
      <c r="C69" s="183">
        <v>0.14050000000000001</v>
      </c>
      <c r="D69" s="484">
        <v>2</v>
      </c>
      <c r="E69" s="484" t="s">
        <v>247</v>
      </c>
      <c r="F69" s="484" t="s">
        <v>245</v>
      </c>
      <c r="G69" s="443" t="s">
        <v>144</v>
      </c>
      <c r="H69" s="443" t="s">
        <v>900</v>
      </c>
      <c r="I69" s="443" t="s">
        <v>756</v>
      </c>
      <c r="J69" s="443">
        <v>1000</v>
      </c>
      <c r="K69" s="444">
        <v>45464</v>
      </c>
      <c r="L69" s="443" t="s">
        <v>2833</v>
      </c>
      <c r="M69" s="443" t="s">
        <v>757</v>
      </c>
    </row>
    <row r="70" spans="1:13">
      <c r="A70" s="443" t="s">
        <v>903</v>
      </c>
      <c r="B70" s="444">
        <v>45863</v>
      </c>
      <c r="C70" s="183">
        <v>0.125</v>
      </c>
      <c r="D70" s="484">
        <v>1</v>
      </c>
      <c r="E70" s="484" t="s">
        <v>247</v>
      </c>
      <c r="F70" s="484" t="s">
        <v>245</v>
      </c>
      <c r="G70" s="443" t="s">
        <v>527</v>
      </c>
      <c r="H70" s="443" t="s">
        <v>905</v>
      </c>
      <c r="I70" s="443" t="s">
        <v>1730</v>
      </c>
      <c r="J70" s="443">
        <v>1000</v>
      </c>
      <c r="L70" s="443" t="s">
        <v>2833</v>
      </c>
      <c r="M70" s="443" t="s">
        <v>903</v>
      </c>
    </row>
    <row r="71" spans="1:13">
      <c r="A71" s="443" t="s">
        <v>914</v>
      </c>
      <c r="B71" s="444">
        <v>46633</v>
      </c>
      <c r="C71" s="183">
        <v>0.14299999999999999</v>
      </c>
      <c r="D71" s="484">
        <v>1</v>
      </c>
      <c r="E71" s="484" t="s">
        <v>247</v>
      </c>
      <c r="F71" s="484" t="s">
        <v>245</v>
      </c>
      <c r="G71" s="443" t="s">
        <v>915</v>
      </c>
      <c r="H71" s="443" t="s">
        <v>905</v>
      </c>
      <c r="I71" s="443" t="s">
        <v>916</v>
      </c>
      <c r="J71" s="443">
        <v>1000</v>
      </c>
      <c r="K71" s="444">
        <v>45538</v>
      </c>
      <c r="L71" s="443" t="s">
        <v>2833</v>
      </c>
      <c r="M71" s="443" t="s">
        <v>914</v>
      </c>
    </row>
    <row r="72" spans="1:13" ht="14.25">
      <c r="A72" s="253" t="s">
        <v>1027</v>
      </c>
      <c r="B72" s="444">
        <v>46109</v>
      </c>
      <c r="C72" s="183">
        <v>0.1389</v>
      </c>
      <c r="D72" s="484">
        <v>2</v>
      </c>
      <c r="E72" s="484" t="s">
        <v>247</v>
      </c>
      <c r="F72" s="484" t="s">
        <v>245</v>
      </c>
      <c r="G72" s="443" t="s">
        <v>144</v>
      </c>
      <c r="I72" s="509" t="s">
        <v>1445</v>
      </c>
      <c r="J72" s="443">
        <v>1000</v>
      </c>
      <c r="K72" s="444">
        <v>45624</v>
      </c>
      <c r="L72" s="443" t="s">
        <v>2833</v>
      </c>
      <c r="M72" s="253" t="s">
        <v>1027</v>
      </c>
    </row>
    <row r="73" spans="1:13">
      <c r="A73" s="443" t="s">
        <v>925</v>
      </c>
      <c r="B73" s="444">
        <v>45910</v>
      </c>
      <c r="C73" s="183">
        <v>0.13869999999999999</v>
      </c>
      <c r="D73" s="484">
        <v>2</v>
      </c>
      <c r="E73" s="484" t="s">
        <v>247</v>
      </c>
      <c r="F73" s="484" t="s">
        <v>245</v>
      </c>
      <c r="G73" s="443" t="s">
        <v>144</v>
      </c>
      <c r="H73" s="443" t="s">
        <v>905</v>
      </c>
      <c r="I73" s="18"/>
      <c r="L73" s="443" t="s">
        <v>2833</v>
      </c>
      <c r="M73" s="443" t="s">
        <v>925</v>
      </c>
    </row>
    <row r="74" spans="1:13">
      <c r="A74" s="443" t="s">
        <v>1053</v>
      </c>
      <c r="B74" s="444">
        <v>46122</v>
      </c>
      <c r="C74" s="183">
        <v>0.16700000000000001</v>
      </c>
      <c r="D74" s="484">
        <v>2</v>
      </c>
      <c r="E74" s="484" t="s">
        <v>247</v>
      </c>
      <c r="F74" s="484" t="s">
        <v>245</v>
      </c>
      <c r="G74" s="443" t="s">
        <v>144</v>
      </c>
      <c r="I74" s="18"/>
      <c r="L74" s="443" t="s">
        <v>2833</v>
      </c>
      <c r="M74" s="443" t="s">
        <v>1053</v>
      </c>
    </row>
    <row r="75" spans="1:13" ht="14.25">
      <c r="A75" s="443" t="s">
        <v>2518</v>
      </c>
      <c r="B75" s="467">
        <v>47611</v>
      </c>
      <c r="C75" s="183">
        <v>0.16900000000000001</v>
      </c>
      <c r="D75" s="484">
        <v>1</v>
      </c>
      <c r="E75" s="484" t="s">
        <v>247</v>
      </c>
      <c r="F75" s="484" t="s">
        <v>245</v>
      </c>
      <c r="G75" s="443" t="s">
        <v>144</v>
      </c>
      <c r="I75" s="443" t="s">
        <v>2517</v>
      </c>
      <c r="J75" s="443">
        <v>1000</v>
      </c>
      <c r="K75" s="444">
        <v>45785</v>
      </c>
      <c r="L75" s="443" t="s">
        <v>2833</v>
      </c>
      <c r="M75" s="443" t="s">
        <v>2518</v>
      </c>
    </row>
    <row r="76" spans="1:13">
      <c r="A76" s="443" t="s">
        <v>2515</v>
      </c>
      <c r="B76" s="444">
        <v>46147</v>
      </c>
      <c r="C76" s="183">
        <v>0.17</v>
      </c>
      <c r="D76" s="484">
        <v>2</v>
      </c>
      <c r="E76" s="484" t="s">
        <v>247</v>
      </c>
      <c r="F76" s="484" t="s">
        <v>245</v>
      </c>
      <c r="G76" s="443" t="s">
        <v>133</v>
      </c>
      <c r="H76" s="443" t="s">
        <v>2516</v>
      </c>
      <c r="I76" s="18"/>
      <c r="L76" s="443" t="s">
        <v>2833</v>
      </c>
      <c r="M76" s="443" t="s">
        <v>2515</v>
      </c>
    </row>
    <row r="77" spans="1:13">
      <c r="A77" s="443" t="s">
        <v>2644</v>
      </c>
      <c r="B77" s="444">
        <v>46185</v>
      </c>
      <c r="C77" s="183">
        <v>0.125</v>
      </c>
      <c r="D77" s="484">
        <v>1</v>
      </c>
      <c r="E77" s="484" t="s">
        <v>247</v>
      </c>
      <c r="F77" s="484" t="s">
        <v>245</v>
      </c>
      <c r="G77" s="443" t="s">
        <v>527</v>
      </c>
      <c r="I77" s="443" t="s">
        <v>2643</v>
      </c>
      <c r="J77" s="443">
        <v>1000</v>
      </c>
      <c r="K77" s="444">
        <v>45820</v>
      </c>
      <c r="L77" s="443" t="s">
        <v>2833</v>
      </c>
      <c r="M77" s="443" t="s">
        <v>2644</v>
      </c>
    </row>
    <row r="78" spans="1:13">
      <c r="A78" s="443" t="s">
        <v>2900</v>
      </c>
      <c r="B78" s="444">
        <v>46229</v>
      </c>
      <c r="C78" s="183">
        <v>0.17699999999999999</v>
      </c>
      <c r="D78" s="484">
        <v>2</v>
      </c>
      <c r="E78" s="484" t="s">
        <v>247</v>
      </c>
      <c r="F78" s="484" t="s">
        <v>510</v>
      </c>
      <c r="G78" s="443" t="s">
        <v>144</v>
      </c>
      <c r="I78" s="443" t="s">
        <v>2899</v>
      </c>
      <c r="J78" s="443">
        <v>1000</v>
      </c>
      <c r="K78" s="444">
        <v>45859</v>
      </c>
      <c r="L78" s="443" t="s">
        <v>2833</v>
      </c>
      <c r="M78" s="443" t="str">
        <f>A78</f>
        <v>KZ2C00014520</v>
      </c>
    </row>
    <row r="79" spans="1:13">
      <c r="A79" s="443" t="s">
        <v>38</v>
      </c>
      <c r="B79" s="275">
        <v>44955</v>
      </c>
      <c r="C79" s="183">
        <v>0.20450987420400715</v>
      </c>
      <c r="D79" s="484">
        <v>1</v>
      </c>
      <c r="E79" s="484" t="s">
        <v>248</v>
      </c>
      <c r="F79" s="100" t="s">
        <v>245</v>
      </c>
      <c r="G79" s="443" t="s">
        <v>263</v>
      </c>
      <c r="H79" s="108">
        <v>0.1</v>
      </c>
      <c r="I79" s="18"/>
      <c r="L79" s="443" t="s">
        <v>2835</v>
      </c>
      <c r="M79" s="443" t="s">
        <v>38</v>
      </c>
    </row>
    <row r="80" spans="1:13">
      <c r="A80" s="443" t="s">
        <v>28</v>
      </c>
      <c r="B80" s="275">
        <v>44135</v>
      </c>
      <c r="C80" s="183">
        <v>0.20360987420400714</v>
      </c>
      <c r="D80" s="484">
        <v>1</v>
      </c>
      <c r="E80" s="484" t="s">
        <v>248</v>
      </c>
      <c r="F80" s="100" t="s">
        <v>245</v>
      </c>
      <c r="G80" s="443" t="s">
        <v>263</v>
      </c>
      <c r="H80" s="420">
        <v>0.01</v>
      </c>
      <c r="I80" s="18"/>
      <c r="L80" s="443" t="s">
        <v>2835</v>
      </c>
      <c r="M80" s="443" t="s">
        <v>28</v>
      </c>
    </row>
    <row r="81" spans="1:13">
      <c r="A81" s="443" t="s">
        <v>30</v>
      </c>
      <c r="B81" s="275">
        <v>44375</v>
      </c>
      <c r="C81" s="183">
        <v>0.20360987420400714</v>
      </c>
      <c r="D81" s="484">
        <v>1</v>
      </c>
      <c r="E81" s="484" t="s">
        <v>248</v>
      </c>
      <c r="F81" s="100" t="s">
        <v>245</v>
      </c>
      <c r="G81" s="443" t="s">
        <v>263</v>
      </c>
      <c r="H81" s="420">
        <v>0.01</v>
      </c>
      <c r="I81" s="18"/>
      <c r="L81" s="443" t="s">
        <v>2835</v>
      </c>
      <c r="M81" s="443" t="s">
        <v>30</v>
      </c>
    </row>
    <row r="82" spans="1:13">
      <c r="A82" s="443" t="s">
        <v>33</v>
      </c>
      <c r="B82" s="275">
        <v>44864</v>
      </c>
      <c r="C82" s="183">
        <v>0.20360987420400714</v>
      </c>
      <c r="D82" s="484">
        <v>1</v>
      </c>
      <c r="E82" s="484" t="s">
        <v>248</v>
      </c>
      <c r="F82" s="100" t="s">
        <v>245</v>
      </c>
      <c r="G82" s="443" t="s">
        <v>263</v>
      </c>
      <c r="H82" s="420">
        <v>0.01</v>
      </c>
      <c r="I82" s="18"/>
      <c r="L82" s="443" t="s">
        <v>2835</v>
      </c>
      <c r="M82" s="443" t="s">
        <v>33</v>
      </c>
    </row>
    <row r="83" spans="1:13">
      <c r="A83" s="443" t="s">
        <v>20</v>
      </c>
      <c r="B83" s="275">
        <v>44252</v>
      </c>
      <c r="C83" s="183">
        <v>0.20360987420400714</v>
      </c>
      <c r="D83" s="484">
        <v>1</v>
      </c>
      <c r="E83" s="484" t="s">
        <v>248</v>
      </c>
      <c r="F83" s="100" t="s">
        <v>245</v>
      </c>
      <c r="G83" s="443" t="s">
        <v>263</v>
      </c>
      <c r="H83" s="420">
        <v>0.01</v>
      </c>
      <c r="I83" s="18"/>
      <c r="L83" s="443" t="s">
        <v>2835</v>
      </c>
      <c r="M83" s="443" t="s">
        <v>20</v>
      </c>
    </row>
    <row r="84" spans="1:13">
      <c r="A84" s="443" t="s">
        <v>31</v>
      </c>
      <c r="B84" s="275">
        <v>45137</v>
      </c>
      <c r="C84" s="183">
        <v>0.20360987420400714</v>
      </c>
      <c r="D84" s="484">
        <v>1</v>
      </c>
      <c r="E84" s="484" t="s">
        <v>248</v>
      </c>
      <c r="F84" s="100" t="s">
        <v>245</v>
      </c>
      <c r="G84" s="443" t="s">
        <v>263</v>
      </c>
      <c r="H84" s="420">
        <v>0.01</v>
      </c>
      <c r="I84" s="18"/>
      <c r="L84" s="443" t="s">
        <v>2835</v>
      </c>
      <c r="M84" s="443" t="s">
        <v>31</v>
      </c>
    </row>
    <row r="85" spans="1:13">
      <c r="A85" s="443" t="s">
        <v>22</v>
      </c>
      <c r="B85" s="275">
        <v>44711</v>
      </c>
      <c r="C85" s="183">
        <v>0.20360987420400714</v>
      </c>
      <c r="D85" s="484">
        <v>1</v>
      </c>
      <c r="E85" s="484" t="s">
        <v>248</v>
      </c>
      <c r="F85" s="100" t="s">
        <v>245</v>
      </c>
      <c r="G85" s="443" t="s">
        <v>263</v>
      </c>
      <c r="H85" s="420">
        <v>0.01</v>
      </c>
      <c r="I85" s="18"/>
      <c r="L85" s="443" t="s">
        <v>2835</v>
      </c>
      <c r="M85" s="443" t="s">
        <v>22</v>
      </c>
    </row>
    <row r="86" spans="1:13">
      <c r="A86" s="443" t="s">
        <v>29</v>
      </c>
      <c r="B86" s="275">
        <v>45411</v>
      </c>
      <c r="C86" s="183">
        <v>0.20360987420400714</v>
      </c>
      <c r="D86" s="484">
        <v>1</v>
      </c>
      <c r="E86" s="484" t="s">
        <v>248</v>
      </c>
      <c r="F86" s="100" t="s">
        <v>245</v>
      </c>
      <c r="G86" s="443" t="s">
        <v>263</v>
      </c>
      <c r="H86" s="420">
        <v>0.01</v>
      </c>
      <c r="I86" s="18"/>
      <c r="L86" s="443" t="s">
        <v>2835</v>
      </c>
      <c r="M86" s="443" t="s">
        <v>29</v>
      </c>
    </row>
    <row r="87" spans="1:13">
      <c r="A87" s="443" t="s">
        <v>24</v>
      </c>
      <c r="B87" s="275">
        <v>44894</v>
      </c>
      <c r="C87" s="183">
        <v>0.20360987420400714</v>
      </c>
      <c r="D87" s="484">
        <v>1</v>
      </c>
      <c r="E87" s="484" t="s">
        <v>248</v>
      </c>
      <c r="F87" s="100" t="s">
        <v>245</v>
      </c>
      <c r="G87" s="443" t="s">
        <v>263</v>
      </c>
      <c r="H87" s="420">
        <v>0.01</v>
      </c>
      <c r="I87" s="18"/>
      <c r="L87" s="443" t="s">
        <v>2835</v>
      </c>
      <c r="M87" s="443" t="s">
        <v>24</v>
      </c>
    </row>
    <row r="88" spans="1:13">
      <c r="A88" s="443" t="s">
        <v>36</v>
      </c>
      <c r="B88" s="275">
        <v>45687</v>
      </c>
      <c r="C88" s="183">
        <v>0.20450987420400715</v>
      </c>
      <c r="D88" s="484">
        <v>1</v>
      </c>
      <c r="E88" s="484" t="s">
        <v>248</v>
      </c>
      <c r="F88" s="100" t="s">
        <v>245</v>
      </c>
      <c r="G88" s="443" t="s">
        <v>263</v>
      </c>
      <c r="H88" s="420">
        <v>0.1</v>
      </c>
      <c r="I88" s="18"/>
      <c r="L88" s="443" t="s">
        <v>2835</v>
      </c>
      <c r="M88" s="443" t="s">
        <v>36</v>
      </c>
    </row>
    <row r="89" spans="1:13">
      <c r="A89" s="443" t="s">
        <v>21</v>
      </c>
      <c r="B89" s="275">
        <v>45044</v>
      </c>
      <c r="C89" s="183">
        <v>0.20360987420400714</v>
      </c>
      <c r="D89" s="484">
        <v>1</v>
      </c>
      <c r="E89" s="484" t="s">
        <v>248</v>
      </c>
      <c r="F89" s="100" t="s">
        <v>245</v>
      </c>
      <c r="G89" s="443" t="s">
        <v>263</v>
      </c>
      <c r="H89" s="420">
        <v>0.01</v>
      </c>
      <c r="I89" s="18"/>
      <c r="L89" s="443" t="s">
        <v>2835</v>
      </c>
      <c r="M89" s="443" t="s">
        <v>21</v>
      </c>
    </row>
    <row r="90" spans="1:13">
      <c r="A90" s="443" t="s">
        <v>27</v>
      </c>
      <c r="B90" s="275">
        <v>45577</v>
      </c>
      <c r="C90" s="183">
        <v>0.20360987420400714</v>
      </c>
      <c r="D90" s="484">
        <v>1</v>
      </c>
      <c r="E90" s="484" t="s">
        <v>248</v>
      </c>
      <c r="F90" s="100" t="s">
        <v>245</v>
      </c>
      <c r="G90" s="443" t="s">
        <v>263</v>
      </c>
      <c r="H90" s="420">
        <v>0.01</v>
      </c>
      <c r="I90" s="18"/>
      <c r="L90" s="443" t="s">
        <v>2835</v>
      </c>
      <c r="M90" s="443" t="s">
        <v>27</v>
      </c>
    </row>
    <row r="91" spans="1:13">
      <c r="A91" s="443" t="s">
        <v>34</v>
      </c>
      <c r="B91" s="275">
        <v>45988</v>
      </c>
      <c r="C91" s="183">
        <v>0.20360987420400714</v>
      </c>
      <c r="D91" s="484">
        <v>1</v>
      </c>
      <c r="E91" s="484" t="s">
        <v>248</v>
      </c>
      <c r="F91" s="100" t="s">
        <v>245</v>
      </c>
      <c r="G91" s="443" t="s">
        <v>263</v>
      </c>
      <c r="H91" s="420">
        <v>0.01</v>
      </c>
      <c r="I91" s="18"/>
      <c r="L91" s="443" t="s">
        <v>2835</v>
      </c>
      <c r="M91" s="443" t="s">
        <v>34</v>
      </c>
    </row>
    <row r="92" spans="1:13">
      <c r="A92" s="443" t="s">
        <v>26</v>
      </c>
      <c r="B92" s="275">
        <v>45774</v>
      </c>
      <c r="C92" s="183">
        <v>0.20360987420400714</v>
      </c>
      <c r="D92" s="484">
        <v>1</v>
      </c>
      <c r="E92" s="484" t="s">
        <v>248</v>
      </c>
      <c r="F92" s="100" t="s">
        <v>245</v>
      </c>
      <c r="G92" s="443" t="s">
        <v>263</v>
      </c>
      <c r="H92" s="420">
        <v>0.01</v>
      </c>
      <c r="I92" s="18"/>
      <c r="L92" s="443" t="s">
        <v>2835</v>
      </c>
      <c r="M92" s="443" t="s">
        <v>26</v>
      </c>
    </row>
    <row r="93" spans="1:13">
      <c r="A93" s="443" t="s">
        <v>32</v>
      </c>
      <c r="B93" s="275">
        <v>46295</v>
      </c>
      <c r="C93" s="183">
        <v>0.20360987420400714</v>
      </c>
      <c r="D93" s="484">
        <v>1</v>
      </c>
      <c r="E93" s="484" t="s">
        <v>248</v>
      </c>
      <c r="F93" s="100" t="s">
        <v>245</v>
      </c>
      <c r="G93" s="443" t="s">
        <v>263</v>
      </c>
      <c r="H93" s="420">
        <v>0.01</v>
      </c>
      <c r="I93" s="18"/>
      <c r="L93" s="443" t="s">
        <v>2835</v>
      </c>
      <c r="M93" s="443" t="s">
        <v>32</v>
      </c>
    </row>
    <row r="94" spans="1:13">
      <c r="A94" s="443" t="s">
        <v>25</v>
      </c>
      <c r="B94" s="275">
        <v>46110</v>
      </c>
      <c r="C94" s="183">
        <v>0.20360987420400714</v>
      </c>
      <c r="D94" s="484">
        <v>1</v>
      </c>
      <c r="E94" s="484" t="s">
        <v>248</v>
      </c>
      <c r="F94" s="100" t="s">
        <v>245</v>
      </c>
      <c r="G94" s="443" t="s">
        <v>263</v>
      </c>
      <c r="H94" s="420">
        <v>0.01</v>
      </c>
      <c r="I94" s="18"/>
      <c r="L94" s="443" t="s">
        <v>2835</v>
      </c>
      <c r="M94" s="443" t="s">
        <v>25</v>
      </c>
    </row>
    <row r="95" spans="1:13">
      <c r="A95" s="443" t="s">
        <v>19</v>
      </c>
      <c r="B95" s="275">
        <v>45958</v>
      </c>
      <c r="C95" s="183">
        <v>0.20360987420400714</v>
      </c>
      <c r="D95" s="484">
        <v>1</v>
      </c>
      <c r="E95" s="484" t="s">
        <v>248</v>
      </c>
      <c r="F95" s="100" t="s">
        <v>245</v>
      </c>
      <c r="G95" s="443" t="s">
        <v>263</v>
      </c>
      <c r="H95" s="420">
        <v>0.01</v>
      </c>
      <c r="I95" s="18"/>
      <c r="L95" s="443" t="s">
        <v>2835</v>
      </c>
      <c r="M95" s="443" t="s">
        <v>19</v>
      </c>
    </row>
    <row r="96" spans="1:13">
      <c r="A96" s="443" t="s">
        <v>35</v>
      </c>
      <c r="B96" s="275">
        <v>47100</v>
      </c>
      <c r="C96" s="183">
        <v>0.20450987420400715</v>
      </c>
      <c r="D96" s="484">
        <v>1</v>
      </c>
      <c r="E96" s="484" t="s">
        <v>248</v>
      </c>
      <c r="F96" s="100" t="s">
        <v>245</v>
      </c>
      <c r="G96" s="443" t="s">
        <v>263</v>
      </c>
      <c r="H96" s="420">
        <v>0.1</v>
      </c>
      <c r="I96" s="18"/>
      <c r="L96" s="443" t="s">
        <v>2835</v>
      </c>
      <c r="M96" s="443" t="s">
        <v>35</v>
      </c>
    </row>
    <row r="97" spans="1:13">
      <c r="A97" s="443" t="s">
        <v>16</v>
      </c>
      <c r="B97" s="275">
        <v>46170</v>
      </c>
      <c r="C97" s="183">
        <v>0.20360987420400714</v>
      </c>
      <c r="D97" s="484">
        <v>1</v>
      </c>
      <c r="E97" s="484" t="s">
        <v>248</v>
      </c>
      <c r="F97" s="100" t="s">
        <v>245</v>
      </c>
      <c r="G97" s="443" t="s">
        <v>263</v>
      </c>
      <c r="H97" s="420">
        <v>0.01</v>
      </c>
      <c r="I97" s="18"/>
      <c r="L97" s="443" t="s">
        <v>2835</v>
      </c>
      <c r="M97" s="443" t="s">
        <v>16</v>
      </c>
    </row>
    <row r="98" spans="1:13">
      <c r="A98" s="443" t="s">
        <v>37</v>
      </c>
      <c r="B98" s="275">
        <v>47538</v>
      </c>
      <c r="C98" s="183">
        <v>0.20450987420400715</v>
      </c>
      <c r="D98" s="484">
        <v>1</v>
      </c>
      <c r="E98" s="484" t="s">
        <v>248</v>
      </c>
      <c r="F98" s="100" t="s">
        <v>245</v>
      </c>
      <c r="G98" s="443" t="s">
        <v>263</v>
      </c>
      <c r="H98" s="420">
        <v>0.1</v>
      </c>
      <c r="I98" s="18"/>
      <c r="L98" s="443" t="s">
        <v>2835</v>
      </c>
      <c r="M98" s="443" t="s">
        <v>37</v>
      </c>
    </row>
    <row r="99" spans="1:13">
      <c r="A99" s="443" t="s">
        <v>12</v>
      </c>
      <c r="B99" s="275">
        <v>46170</v>
      </c>
      <c r="C99" s="183">
        <v>0.20360987420400714</v>
      </c>
      <c r="D99" s="484">
        <v>1</v>
      </c>
      <c r="E99" s="484" t="s">
        <v>248</v>
      </c>
      <c r="F99" s="100" t="s">
        <v>245</v>
      </c>
      <c r="G99" s="443" t="s">
        <v>263</v>
      </c>
      <c r="H99" s="420">
        <v>0.01</v>
      </c>
      <c r="I99" s="18"/>
      <c r="L99" s="443" t="s">
        <v>2835</v>
      </c>
      <c r="M99" s="443" t="s">
        <v>12</v>
      </c>
    </row>
    <row r="100" spans="1:13">
      <c r="A100" s="443" t="s">
        <v>14</v>
      </c>
      <c r="B100" s="275">
        <v>46233</v>
      </c>
      <c r="C100" s="183">
        <v>0.20360987420400714</v>
      </c>
      <c r="D100" s="484">
        <v>1</v>
      </c>
      <c r="E100" s="484" t="s">
        <v>248</v>
      </c>
      <c r="F100" s="100" t="s">
        <v>245</v>
      </c>
      <c r="G100" s="443" t="s">
        <v>263</v>
      </c>
      <c r="H100" s="420">
        <v>0.01</v>
      </c>
      <c r="I100" s="18"/>
      <c r="L100" s="443" t="s">
        <v>2835</v>
      </c>
      <c r="M100" s="443" t="s">
        <v>14</v>
      </c>
    </row>
    <row r="101" spans="1:13">
      <c r="A101" s="443" t="s">
        <v>18</v>
      </c>
      <c r="B101" s="275">
        <v>46597</v>
      </c>
      <c r="C101" s="183">
        <v>0.20360987420400714</v>
      </c>
      <c r="D101" s="484">
        <v>1</v>
      </c>
      <c r="E101" s="484" t="s">
        <v>248</v>
      </c>
      <c r="F101" s="100" t="s">
        <v>245</v>
      </c>
      <c r="G101" s="443" t="s">
        <v>263</v>
      </c>
      <c r="H101" s="420">
        <v>0.01</v>
      </c>
      <c r="I101" s="18"/>
      <c r="L101" s="443" t="s">
        <v>2835</v>
      </c>
      <c r="M101" s="443" t="s">
        <v>18</v>
      </c>
    </row>
    <row r="102" spans="1:13">
      <c r="A102" s="443" t="s">
        <v>13</v>
      </c>
      <c r="B102" s="275">
        <v>46567</v>
      </c>
      <c r="C102" s="183">
        <v>0.20360987420400714</v>
      </c>
      <c r="D102" s="484">
        <v>1</v>
      </c>
      <c r="E102" s="484" t="s">
        <v>248</v>
      </c>
      <c r="F102" s="100" t="s">
        <v>245</v>
      </c>
      <c r="G102" s="443" t="s">
        <v>263</v>
      </c>
      <c r="H102" s="420">
        <v>0.01</v>
      </c>
      <c r="I102" s="18"/>
      <c r="L102" s="443" t="s">
        <v>2835</v>
      </c>
      <c r="M102" s="443" t="s">
        <v>13</v>
      </c>
    </row>
    <row r="103" spans="1:13">
      <c r="A103" s="443" t="s">
        <v>15</v>
      </c>
      <c r="B103" s="275">
        <v>47117</v>
      </c>
      <c r="C103" s="183">
        <v>0.20360987420400714</v>
      </c>
      <c r="D103" s="484">
        <v>1</v>
      </c>
      <c r="E103" s="484" t="s">
        <v>248</v>
      </c>
      <c r="F103" s="100" t="s">
        <v>245</v>
      </c>
      <c r="G103" s="443" t="s">
        <v>263</v>
      </c>
      <c r="H103" s="420">
        <v>0.01</v>
      </c>
      <c r="I103" s="18"/>
      <c r="L103" s="443" t="s">
        <v>2835</v>
      </c>
      <c r="M103" s="443" t="s">
        <v>15</v>
      </c>
    </row>
    <row r="104" spans="1:13">
      <c r="A104" s="443" t="s">
        <v>17</v>
      </c>
      <c r="B104" s="275">
        <v>47298</v>
      </c>
      <c r="C104" s="183">
        <v>0.20360987420400714</v>
      </c>
      <c r="D104" s="484">
        <v>1</v>
      </c>
      <c r="E104" s="484" t="s">
        <v>248</v>
      </c>
      <c r="F104" s="100" t="s">
        <v>245</v>
      </c>
      <c r="G104" s="443" t="s">
        <v>263</v>
      </c>
      <c r="H104" s="420">
        <v>0.01</v>
      </c>
      <c r="I104" s="18"/>
      <c r="L104" s="443" t="s">
        <v>2835</v>
      </c>
      <c r="M104" s="443" t="s">
        <v>17</v>
      </c>
    </row>
    <row r="105" spans="1:13">
      <c r="A105" s="443" t="s">
        <v>23</v>
      </c>
      <c r="B105" s="275">
        <v>47755</v>
      </c>
      <c r="C105" s="183">
        <v>0.20360987420400714</v>
      </c>
      <c r="D105" s="484">
        <v>1</v>
      </c>
      <c r="E105" s="484" t="s">
        <v>248</v>
      </c>
      <c r="F105" s="100" t="s">
        <v>245</v>
      </c>
      <c r="G105" s="443" t="s">
        <v>263</v>
      </c>
      <c r="H105" s="420">
        <v>0.01</v>
      </c>
      <c r="I105" s="18"/>
      <c r="L105" s="443" t="s">
        <v>2835</v>
      </c>
      <c r="M105" s="443" t="s">
        <v>23</v>
      </c>
    </row>
    <row r="106" spans="1:13">
      <c r="A106" s="2" t="s">
        <v>57</v>
      </c>
      <c r="B106" s="444">
        <v>44551</v>
      </c>
      <c r="C106" s="183">
        <v>5.2999999999999999E-2</v>
      </c>
      <c r="D106" s="484">
        <v>1</v>
      </c>
      <c r="E106" s="484" t="s">
        <v>247</v>
      </c>
      <c r="F106" s="100" t="s">
        <v>245</v>
      </c>
      <c r="G106" s="443" t="s">
        <v>263</v>
      </c>
      <c r="H106" s="317"/>
      <c r="I106" s="18"/>
      <c r="L106" s="443" t="s">
        <v>2835</v>
      </c>
      <c r="M106" s="2" t="s">
        <v>57</v>
      </c>
    </row>
    <row r="107" spans="1:13">
      <c r="A107" s="2" t="s">
        <v>58</v>
      </c>
      <c r="B107" s="444" t="s">
        <v>179</v>
      </c>
      <c r="C107" s="183">
        <v>5.2999999999999999E-2</v>
      </c>
      <c r="D107" s="484">
        <v>1</v>
      </c>
      <c r="E107" s="484" t="s">
        <v>247</v>
      </c>
      <c r="F107" s="100" t="s">
        <v>245</v>
      </c>
      <c r="G107" s="443" t="s">
        <v>263</v>
      </c>
      <c r="H107" s="317"/>
      <c r="I107" s="18"/>
      <c r="L107" s="443" t="s">
        <v>2835</v>
      </c>
      <c r="M107" s="2" t="s">
        <v>58</v>
      </c>
    </row>
    <row r="108" spans="1:13">
      <c r="A108" s="2" t="s">
        <v>46</v>
      </c>
      <c r="B108" s="444" t="s">
        <v>180</v>
      </c>
      <c r="C108" s="183">
        <v>5.5999999999999994E-2</v>
      </c>
      <c r="D108" s="484">
        <v>1</v>
      </c>
      <c r="E108" s="484" t="s">
        <v>247</v>
      </c>
      <c r="F108" s="100" t="s">
        <v>245</v>
      </c>
      <c r="G108" s="443" t="s">
        <v>263</v>
      </c>
      <c r="H108" s="317"/>
      <c r="I108" s="18"/>
      <c r="L108" s="443" t="s">
        <v>2835</v>
      </c>
      <c r="M108" s="2" t="s">
        <v>46</v>
      </c>
    </row>
    <row r="109" spans="1:13">
      <c r="A109" s="2" t="s">
        <v>62</v>
      </c>
      <c r="B109" s="444" t="s">
        <v>181</v>
      </c>
      <c r="C109" s="183">
        <v>0.05</v>
      </c>
      <c r="D109" s="484">
        <v>1</v>
      </c>
      <c r="E109" s="484" t="s">
        <v>247</v>
      </c>
      <c r="F109" s="100" t="s">
        <v>245</v>
      </c>
      <c r="G109" s="443" t="s">
        <v>263</v>
      </c>
      <c r="H109" s="317"/>
      <c r="I109" s="18"/>
      <c r="L109" s="443" t="s">
        <v>2835</v>
      </c>
      <c r="M109" s="2" t="s">
        <v>62</v>
      </c>
    </row>
    <row r="110" spans="1:13">
      <c r="A110" s="2" t="s">
        <v>47</v>
      </c>
      <c r="B110" s="444" t="s">
        <v>182</v>
      </c>
      <c r="C110" s="183">
        <v>5.2999999999999999E-2</v>
      </c>
      <c r="D110" s="484">
        <v>1</v>
      </c>
      <c r="E110" s="484" t="s">
        <v>247</v>
      </c>
      <c r="F110" s="100" t="s">
        <v>245</v>
      </c>
      <c r="G110" s="443" t="s">
        <v>263</v>
      </c>
      <c r="H110" s="317"/>
      <c r="I110" s="18"/>
      <c r="L110" s="443" t="s">
        <v>2835</v>
      </c>
      <c r="M110" s="2" t="s">
        <v>47</v>
      </c>
    </row>
    <row r="111" spans="1:13">
      <c r="A111" s="2" t="s">
        <v>49</v>
      </c>
      <c r="B111" s="444" t="s">
        <v>183</v>
      </c>
      <c r="C111" s="183">
        <v>4.9699999999999994E-2</v>
      </c>
      <c r="D111" s="484">
        <v>1</v>
      </c>
      <c r="E111" s="484" t="s">
        <v>247</v>
      </c>
      <c r="F111" s="100" t="s">
        <v>245</v>
      </c>
      <c r="G111" s="443" t="s">
        <v>263</v>
      </c>
      <c r="H111" s="317"/>
      <c r="I111" s="18"/>
      <c r="L111" s="443" t="s">
        <v>2835</v>
      </c>
      <c r="M111" s="2" t="s">
        <v>49</v>
      </c>
    </row>
    <row r="112" spans="1:13">
      <c r="A112" s="2" t="s">
        <v>42</v>
      </c>
      <c r="B112" s="444" t="s">
        <v>184</v>
      </c>
      <c r="C112" s="183">
        <v>6.8000000000000005E-2</v>
      </c>
      <c r="D112" s="484">
        <v>1</v>
      </c>
      <c r="E112" s="484" t="s">
        <v>247</v>
      </c>
      <c r="F112" s="100" t="s">
        <v>245</v>
      </c>
      <c r="G112" s="443" t="s">
        <v>263</v>
      </c>
      <c r="H112" s="317"/>
      <c r="I112" s="18"/>
      <c r="L112" s="443" t="s">
        <v>2835</v>
      </c>
      <c r="M112" s="2" t="s">
        <v>42</v>
      </c>
    </row>
    <row r="113" spans="1:13">
      <c r="A113" s="2" t="s">
        <v>44</v>
      </c>
      <c r="B113" s="444" t="s">
        <v>185</v>
      </c>
      <c r="C113" s="183">
        <v>5.1500000000000004E-2</v>
      </c>
      <c r="D113" s="484">
        <v>1</v>
      </c>
      <c r="E113" s="484" t="s">
        <v>247</v>
      </c>
      <c r="F113" s="100" t="s">
        <v>245</v>
      </c>
      <c r="G113" s="443" t="s">
        <v>263</v>
      </c>
      <c r="H113" s="317"/>
      <c r="I113" s="18"/>
      <c r="L113" s="443" t="s">
        <v>2835</v>
      </c>
      <c r="M113" s="2" t="s">
        <v>44</v>
      </c>
    </row>
    <row r="114" spans="1:13">
      <c r="A114" s="2" t="s">
        <v>51</v>
      </c>
      <c r="B114" s="444" t="s">
        <v>186</v>
      </c>
      <c r="C114" s="183">
        <v>0.05</v>
      </c>
      <c r="D114" s="484">
        <v>1</v>
      </c>
      <c r="E114" s="484" t="s">
        <v>247</v>
      </c>
      <c r="F114" s="100" t="s">
        <v>245</v>
      </c>
      <c r="G114" s="443" t="s">
        <v>263</v>
      </c>
      <c r="H114" s="317"/>
      <c r="I114" s="18"/>
      <c r="L114" s="443" t="s">
        <v>2835</v>
      </c>
      <c r="M114" s="2" t="s">
        <v>51</v>
      </c>
    </row>
    <row r="115" spans="1:13">
      <c r="A115" s="2" t="s">
        <v>52</v>
      </c>
      <c r="B115" s="444" t="s">
        <v>187</v>
      </c>
      <c r="C115" s="183">
        <v>5.1500000000000004E-2</v>
      </c>
      <c r="D115" s="484">
        <v>1</v>
      </c>
      <c r="E115" s="484" t="s">
        <v>247</v>
      </c>
      <c r="F115" s="100" t="s">
        <v>245</v>
      </c>
      <c r="G115" s="443" t="s">
        <v>263</v>
      </c>
      <c r="H115" s="317"/>
      <c r="I115" s="18"/>
      <c r="L115" s="443" t="s">
        <v>2835</v>
      </c>
      <c r="M115" s="2" t="s">
        <v>52</v>
      </c>
    </row>
    <row r="116" spans="1:13">
      <c r="A116" s="2" t="s">
        <v>54</v>
      </c>
      <c r="B116" s="444" t="s">
        <v>188</v>
      </c>
      <c r="C116" s="183">
        <v>0.05</v>
      </c>
      <c r="D116" s="484">
        <v>1</v>
      </c>
      <c r="E116" s="484" t="s">
        <v>247</v>
      </c>
      <c r="F116" s="100" t="s">
        <v>245</v>
      </c>
      <c r="G116" s="443" t="s">
        <v>263</v>
      </c>
      <c r="H116" s="317"/>
      <c r="I116" s="18"/>
      <c r="L116" s="443" t="s">
        <v>2835</v>
      </c>
      <c r="M116" s="2" t="s">
        <v>54</v>
      </c>
    </row>
    <row r="117" spans="1:13">
      <c r="A117" s="2" t="s">
        <v>40</v>
      </c>
      <c r="B117" s="444" t="s">
        <v>189</v>
      </c>
      <c r="C117" s="183">
        <v>7.6499999999999999E-2</v>
      </c>
      <c r="D117" s="484">
        <v>1</v>
      </c>
      <c r="E117" s="484" t="s">
        <v>247</v>
      </c>
      <c r="F117" s="100" t="s">
        <v>245</v>
      </c>
      <c r="G117" s="443" t="s">
        <v>263</v>
      </c>
      <c r="H117" s="317"/>
      <c r="I117" s="18"/>
      <c r="L117" s="443" t="s">
        <v>2835</v>
      </c>
      <c r="M117" s="2" t="s">
        <v>40</v>
      </c>
    </row>
    <row r="118" spans="1:13">
      <c r="A118" s="2" t="s">
        <v>43</v>
      </c>
      <c r="B118" s="444" t="s">
        <v>190</v>
      </c>
      <c r="C118" s="183">
        <v>5.5999999999999994E-2</v>
      </c>
      <c r="D118" s="484">
        <v>1</v>
      </c>
      <c r="E118" s="484" t="s">
        <v>247</v>
      </c>
      <c r="F118" s="100" t="s">
        <v>245</v>
      </c>
      <c r="G118" s="443" t="s">
        <v>263</v>
      </c>
      <c r="H118" s="317"/>
      <c r="I118" s="18"/>
      <c r="L118" s="443" t="s">
        <v>2835</v>
      </c>
      <c r="M118" s="2" t="s">
        <v>43</v>
      </c>
    </row>
    <row r="119" spans="1:13">
      <c r="A119" s="2" t="s">
        <v>59</v>
      </c>
      <c r="B119" s="444" t="s">
        <v>191</v>
      </c>
      <c r="C119" s="183">
        <v>5.4900000000000004E-2</v>
      </c>
      <c r="D119" s="484">
        <v>1</v>
      </c>
      <c r="E119" s="484" t="s">
        <v>247</v>
      </c>
      <c r="F119" s="100" t="s">
        <v>245</v>
      </c>
      <c r="G119" s="443" t="s">
        <v>263</v>
      </c>
      <c r="H119" s="317"/>
      <c r="I119" s="18"/>
      <c r="L119" s="443" t="s">
        <v>2835</v>
      </c>
      <c r="M119" s="2" t="s">
        <v>59</v>
      </c>
    </row>
    <row r="120" spans="1:13">
      <c r="A120" s="2" t="s">
        <v>68</v>
      </c>
      <c r="B120" s="444" t="s">
        <v>192</v>
      </c>
      <c r="C120" s="183">
        <v>6.5000000000000002E-2</v>
      </c>
      <c r="D120" s="484">
        <v>1</v>
      </c>
      <c r="E120" s="484" t="s">
        <v>247</v>
      </c>
      <c r="F120" s="100" t="s">
        <v>245</v>
      </c>
      <c r="G120" s="443" t="s">
        <v>263</v>
      </c>
      <c r="H120" s="317"/>
      <c r="I120" s="18"/>
      <c r="L120" s="443" t="s">
        <v>2835</v>
      </c>
      <c r="M120" s="2" t="s">
        <v>68</v>
      </c>
    </row>
    <row r="121" spans="1:13">
      <c r="A121" s="2" t="s">
        <v>55</v>
      </c>
      <c r="B121" s="444" t="s">
        <v>193</v>
      </c>
      <c r="C121" s="183">
        <v>0.05</v>
      </c>
      <c r="D121" s="484">
        <v>1</v>
      </c>
      <c r="E121" s="484" t="s">
        <v>247</v>
      </c>
      <c r="F121" s="100" t="s">
        <v>245</v>
      </c>
      <c r="G121" s="443" t="s">
        <v>263</v>
      </c>
      <c r="H121" s="317"/>
      <c r="I121" s="18"/>
      <c r="L121" s="443" t="s">
        <v>2835</v>
      </c>
      <c r="M121" s="2" t="s">
        <v>55</v>
      </c>
    </row>
    <row r="122" spans="1:13">
      <c r="A122" s="2" t="s">
        <v>53</v>
      </c>
      <c r="B122" s="444" t="s">
        <v>194</v>
      </c>
      <c r="C122" s="183">
        <v>5.2999999999999999E-2</v>
      </c>
      <c r="D122" s="484">
        <v>1</v>
      </c>
      <c r="E122" s="484" t="s">
        <v>247</v>
      </c>
      <c r="F122" s="100" t="s">
        <v>245</v>
      </c>
      <c r="G122" s="443" t="s">
        <v>263</v>
      </c>
      <c r="H122" s="317"/>
      <c r="I122" s="443" t="s">
        <v>712</v>
      </c>
      <c r="J122" s="443">
        <v>1000</v>
      </c>
      <c r="K122" s="444">
        <v>40835</v>
      </c>
      <c r="L122" s="443" t="s">
        <v>2835</v>
      </c>
      <c r="M122" s="2" t="s">
        <v>53</v>
      </c>
    </row>
    <row r="123" spans="1:13">
      <c r="A123" s="2" t="s">
        <v>60</v>
      </c>
      <c r="B123" s="444" t="s">
        <v>195</v>
      </c>
      <c r="C123" s="183">
        <v>0.05</v>
      </c>
      <c r="D123" s="484">
        <v>1</v>
      </c>
      <c r="E123" s="484" t="s">
        <v>247</v>
      </c>
      <c r="F123" s="100" t="s">
        <v>245</v>
      </c>
      <c r="G123" s="443" t="s">
        <v>263</v>
      </c>
      <c r="H123" s="317"/>
      <c r="I123" s="18"/>
      <c r="L123" s="443" t="s">
        <v>2835</v>
      </c>
      <c r="M123" s="2" t="s">
        <v>60</v>
      </c>
    </row>
    <row r="124" spans="1:13">
      <c r="A124" s="2" t="s">
        <v>71</v>
      </c>
      <c r="B124" s="444" t="s">
        <v>197</v>
      </c>
      <c r="C124" s="183">
        <v>7.22E-2</v>
      </c>
      <c r="D124" s="484">
        <v>1</v>
      </c>
      <c r="E124" s="484" t="s">
        <v>247</v>
      </c>
      <c r="F124" s="100" t="s">
        <v>245</v>
      </c>
      <c r="G124" s="443" t="s">
        <v>263</v>
      </c>
      <c r="H124" s="317"/>
      <c r="I124" s="443" t="s">
        <v>704</v>
      </c>
      <c r="J124" s="443">
        <v>1000</v>
      </c>
      <c r="K124" s="444">
        <v>41618</v>
      </c>
      <c r="L124" s="443" t="s">
        <v>2835</v>
      </c>
      <c r="M124" s="2" t="s">
        <v>71</v>
      </c>
    </row>
    <row r="125" spans="1:13">
      <c r="A125" s="2" t="s">
        <v>72</v>
      </c>
      <c r="B125" s="444" t="s">
        <v>198</v>
      </c>
      <c r="C125" s="183">
        <v>7.9000000000000001E-2</v>
      </c>
      <c r="D125" s="484">
        <v>1</v>
      </c>
      <c r="E125" s="484" t="s">
        <v>247</v>
      </c>
      <c r="F125" s="100" t="s">
        <v>245</v>
      </c>
      <c r="G125" s="443" t="s">
        <v>263</v>
      </c>
      <c r="H125" s="317"/>
      <c r="I125" s="18"/>
      <c r="L125" s="443" t="s">
        <v>2835</v>
      </c>
      <c r="M125" s="2" t="s">
        <v>72</v>
      </c>
    </row>
    <row r="126" spans="1:13">
      <c r="A126" s="2" t="s">
        <v>50</v>
      </c>
      <c r="B126" s="444" t="s">
        <v>199</v>
      </c>
      <c r="C126" s="183">
        <v>5.5E-2</v>
      </c>
      <c r="D126" s="484">
        <v>1</v>
      </c>
      <c r="E126" s="484" t="s">
        <v>247</v>
      </c>
      <c r="F126" s="100" t="s">
        <v>245</v>
      </c>
      <c r="G126" s="443" t="s">
        <v>263</v>
      </c>
      <c r="H126" s="317"/>
      <c r="I126" s="18"/>
      <c r="L126" s="443" t="s">
        <v>2835</v>
      </c>
      <c r="M126" s="2" t="s">
        <v>50</v>
      </c>
    </row>
    <row r="127" spans="1:13">
      <c r="A127" s="2" t="s">
        <v>75</v>
      </c>
      <c r="B127" s="444" t="s">
        <v>200</v>
      </c>
      <c r="C127" s="183">
        <v>7.4700000000000003E-2</v>
      </c>
      <c r="D127" s="484">
        <v>1</v>
      </c>
      <c r="E127" s="484" t="s">
        <v>247</v>
      </c>
      <c r="F127" s="100" t="s">
        <v>245</v>
      </c>
      <c r="G127" s="443" t="s">
        <v>263</v>
      </c>
      <c r="H127" s="317"/>
      <c r="I127" s="18"/>
      <c r="L127" s="443" t="s">
        <v>2835</v>
      </c>
      <c r="M127" s="2" t="s">
        <v>75</v>
      </c>
    </row>
    <row r="128" spans="1:13">
      <c r="A128" s="2" t="s">
        <v>84</v>
      </c>
      <c r="B128" s="444" t="s">
        <v>201</v>
      </c>
      <c r="C128" s="183">
        <v>7.2499999999999995E-2</v>
      </c>
      <c r="D128" s="484">
        <v>1</v>
      </c>
      <c r="E128" s="484" t="s">
        <v>247</v>
      </c>
      <c r="F128" s="100" t="s">
        <v>245</v>
      </c>
      <c r="G128" s="443" t="s">
        <v>263</v>
      </c>
      <c r="H128" s="317"/>
      <c r="I128" s="18"/>
      <c r="L128" s="443" t="s">
        <v>2835</v>
      </c>
      <c r="M128" s="2" t="s">
        <v>84</v>
      </c>
    </row>
    <row r="129" spans="1:13">
      <c r="A129" s="2" t="s">
        <v>74</v>
      </c>
      <c r="B129" s="444" t="s">
        <v>202</v>
      </c>
      <c r="C129" s="183">
        <v>8.0700000000000008E-2</v>
      </c>
      <c r="D129" s="484">
        <v>1</v>
      </c>
      <c r="E129" s="484" t="s">
        <v>247</v>
      </c>
      <c r="F129" s="100" t="s">
        <v>245</v>
      </c>
      <c r="G129" s="443" t="s">
        <v>263</v>
      </c>
      <c r="H129" s="317"/>
      <c r="I129" s="18"/>
      <c r="L129" s="443" t="s">
        <v>2835</v>
      </c>
      <c r="M129" s="2" t="s">
        <v>74</v>
      </c>
    </row>
    <row r="130" spans="1:13">
      <c r="A130" s="2" t="s">
        <v>77</v>
      </c>
      <c r="B130" s="444" t="s">
        <v>203</v>
      </c>
      <c r="C130" s="183">
        <v>7.1300000000000002E-2</v>
      </c>
      <c r="D130" s="484">
        <v>1</v>
      </c>
      <c r="E130" s="484" t="s">
        <v>247</v>
      </c>
      <c r="F130" s="100" t="s">
        <v>245</v>
      </c>
      <c r="G130" s="443" t="s">
        <v>263</v>
      </c>
      <c r="H130" s="317"/>
      <c r="I130" s="18"/>
      <c r="L130" s="443" t="s">
        <v>2835</v>
      </c>
      <c r="M130" s="2" t="s">
        <v>77</v>
      </c>
    </row>
    <row r="131" spans="1:13">
      <c r="A131" s="2" t="s">
        <v>78</v>
      </c>
      <c r="B131" s="444" t="s">
        <v>204</v>
      </c>
      <c r="C131" s="183">
        <v>7.6799999999999993E-2</v>
      </c>
      <c r="D131" s="484">
        <v>1</v>
      </c>
      <c r="E131" s="484" t="s">
        <v>247</v>
      </c>
      <c r="F131" s="100" t="s">
        <v>245</v>
      </c>
      <c r="G131" s="443" t="s">
        <v>263</v>
      </c>
      <c r="H131" s="317"/>
      <c r="I131" s="443" t="s">
        <v>705</v>
      </c>
      <c r="J131" s="443">
        <v>1000</v>
      </c>
      <c r="K131" s="444">
        <v>41864</v>
      </c>
      <c r="L131" s="443" t="s">
        <v>2835</v>
      </c>
      <c r="M131" s="2" t="s">
        <v>78</v>
      </c>
    </row>
    <row r="132" spans="1:13">
      <c r="A132" s="2" t="s">
        <v>81</v>
      </c>
      <c r="B132" s="444" t="s">
        <v>205</v>
      </c>
      <c r="C132" s="183">
        <v>8.0700000000000008E-2</v>
      </c>
      <c r="D132" s="484">
        <v>1</v>
      </c>
      <c r="E132" s="484" t="s">
        <v>247</v>
      </c>
      <c r="F132" s="100" t="s">
        <v>245</v>
      </c>
      <c r="G132" s="443" t="s">
        <v>263</v>
      </c>
      <c r="H132" s="317"/>
      <c r="I132" s="18"/>
      <c r="L132" s="443" t="s">
        <v>2835</v>
      </c>
      <c r="M132" s="2" t="s">
        <v>81</v>
      </c>
    </row>
    <row r="133" spans="1:13">
      <c r="A133" s="2" t="s">
        <v>79</v>
      </c>
      <c r="B133" s="444" t="s">
        <v>206</v>
      </c>
      <c r="C133" s="183">
        <v>6.5000000000000002E-2</v>
      </c>
      <c r="D133" s="484">
        <v>1</v>
      </c>
      <c r="E133" s="484" t="s">
        <v>247</v>
      </c>
      <c r="F133" s="100" t="s">
        <v>245</v>
      </c>
      <c r="G133" s="443" t="s">
        <v>263</v>
      </c>
      <c r="H133" s="317"/>
      <c r="I133" s="18"/>
      <c r="L133" s="443" t="s">
        <v>2835</v>
      </c>
      <c r="M133" s="2" t="s">
        <v>79</v>
      </c>
    </row>
    <row r="134" spans="1:13">
      <c r="A134" s="2" t="s">
        <v>73</v>
      </c>
      <c r="B134" s="444" t="s">
        <v>207</v>
      </c>
      <c r="C134" s="183">
        <v>6.6500000000000004E-2</v>
      </c>
      <c r="D134" s="484">
        <v>1</v>
      </c>
      <c r="E134" s="484" t="s">
        <v>247</v>
      </c>
      <c r="F134" s="100" t="s">
        <v>245</v>
      </c>
      <c r="G134" s="443" t="s">
        <v>263</v>
      </c>
      <c r="H134" s="317"/>
      <c r="I134" s="18"/>
      <c r="L134" s="443" t="s">
        <v>2835</v>
      </c>
      <c r="M134" s="2" t="s">
        <v>73</v>
      </c>
    </row>
    <row r="135" spans="1:13">
      <c r="A135" s="2" t="s">
        <v>69</v>
      </c>
      <c r="B135" s="444" t="s">
        <v>208</v>
      </c>
      <c r="C135" s="183">
        <v>6.0999999999999999E-2</v>
      </c>
      <c r="D135" s="484">
        <v>1</v>
      </c>
      <c r="E135" s="484" t="s">
        <v>247</v>
      </c>
      <c r="F135" s="100" t="s">
        <v>245</v>
      </c>
      <c r="G135" s="443" t="s">
        <v>263</v>
      </c>
      <c r="H135" s="317"/>
      <c r="I135" s="18"/>
      <c r="L135" s="443" t="s">
        <v>2835</v>
      </c>
      <c r="M135" s="2" t="s">
        <v>69</v>
      </c>
    </row>
    <row r="136" spans="1:13">
      <c r="A136" s="2" t="s">
        <v>56</v>
      </c>
      <c r="B136" s="444" t="s">
        <v>209</v>
      </c>
      <c r="C136" s="183">
        <v>0.05</v>
      </c>
      <c r="D136" s="484">
        <v>1</v>
      </c>
      <c r="E136" s="484" t="s">
        <v>247</v>
      </c>
      <c r="F136" s="100" t="s">
        <v>245</v>
      </c>
      <c r="G136" s="443" t="s">
        <v>263</v>
      </c>
      <c r="H136" s="317"/>
      <c r="I136" s="18"/>
      <c r="L136" s="443" t="s">
        <v>2835</v>
      </c>
      <c r="M136" s="2" t="s">
        <v>56</v>
      </c>
    </row>
    <row r="137" spans="1:13">
      <c r="A137" s="2" t="s">
        <v>64</v>
      </c>
      <c r="B137" s="444" t="s">
        <v>210</v>
      </c>
      <c r="C137" s="183">
        <v>0.05</v>
      </c>
      <c r="D137" s="484">
        <v>1</v>
      </c>
      <c r="E137" s="484" t="s">
        <v>247</v>
      </c>
      <c r="F137" s="100" t="s">
        <v>245</v>
      </c>
      <c r="G137" s="443" t="s">
        <v>263</v>
      </c>
      <c r="H137" s="317"/>
      <c r="I137" s="18"/>
      <c r="L137" s="443" t="s">
        <v>2835</v>
      </c>
      <c r="M137" s="2" t="s">
        <v>64</v>
      </c>
    </row>
    <row r="138" spans="1:13">
      <c r="A138" s="2" t="s">
        <v>6</v>
      </c>
      <c r="B138" s="444" t="s">
        <v>211</v>
      </c>
      <c r="C138" s="183">
        <v>5.7999999999999996E-2</v>
      </c>
      <c r="D138" s="484">
        <v>1</v>
      </c>
      <c r="E138" s="484" t="s">
        <v>247</v>
      </c>
      <c r="F138" s="100" t="s">
        <v>245</v>
      </c>
      <c r="G138" s="443" t="s">
        <v>263</v>
      </c>
      <c r="H138" s="317"/>
      <c r="I138" s="18"/>
      <c r="L138" s="443" t="s">
        <v>2835</v>
      </c>
      <c r="M138" s="2" t="s">
        <v>6</v>
      </c>
    </row>
    <row r="139" spans="1:13">
      <c r="A139" s="2" t="s">
        <v>45</v>
      </c>
      <c r="B139" s="444" t="s">
        <v>212</v>
      </c>
      <c r="C139" s="183">
        <v>0.03</v>
      </c>
      <c r="D139" s="484">
        <v>1</v>
      </c>
      <c r="E139" s="484" t="s">
        <v>247</v>
      </c>
      <c r="F139" s="100" t="s">
        <v>245</v>
      </c>
      <c r="G139" s="443" t="s">
        <v>263</v>
      </c>
      <c r="H139" s="317"/>
      <c r="I139" s="18"/>
      <c r="L139" s="443" t="s">
        <v>2835</v>
      </c>
      <c r="M139" s="2" t="s">
        <v>45</v>
      </c>
    </row>
    <row r="140" spans="1:13">
      <c r="A140" s="2" t="s">
        <v>67</v>
      </c>
      <c r="B140" s="444" t="s">
        <v>213</v>
      </c>
      <c r="C140" s="183">
        <v>6.3500000000000001E-2</v>
      </c>
      <c r="D140" s="484">
        <v>1</v>
      </c>
      <c r="E140" s="484" t="s">
        <v>247</v>
      </c>
      <c r="F140" s="100" t="s">
        <v>245</v>
      </c>
      <c r="G140" s="443" t="s">
        <v>263</v>
      </c>
      <c r="H140" s="317"/>
      <c r="I140" s="18"/>
      <c r="L140" s="443" t="s">
        <v>2835</v>
      </c>
      <c r="M140" s="2" t="s">
        <v>67</v>
      </c>
    </row>
    <row r="141" spans="1:13">
      <c r="A141" s="2" t="s">
        <v>70</v>
      </c>
      <c r="B141" s="444" t="s">
        <v>214</v>
      </c>
      <c r="C141" s="183">
        <v>6.4000000000000001E-2</v>
      </c>
      <c r="D141" s="484">
        <v>1</v>
      </c>
      <c r="E141" s="484" t="s">
        <v>247</v>
      </c>
      <c r="F141" s="100" t="s">
        <v>245</v>
      </c>
      <c r="G141" s="443" t="s">
        <v>263</v>
      </c>
      <c r="H141" s="317"/>
      <c r="I141" s="18"/>
      <c r="L141" s="443" t="s">
        <v>2835</v>
      </c>
      <c r="M141" s="2" t="s">
        <v>70</v>
      </c>
    </row>
    <row r="142" spans="1:13">
      <c r="A142" s="2" t="s">
        <v>5</v>
      </c>
      <c r="B142" s="444" t="s">
        <v>183</v>
      </c>
      <c r="C142" s="183">
        <v>6.5000000000000002E-2</v>
      </c>
      <c r="D142" s="484">
        <v>1</v>
      </c>
      <c r="E142" s="484" t="s">
        <v>247</v>
      </c>
      <c r="F142" s="100" t="s">
        <v>245</v>
      </c>
      <c r="G142" s="443" t="s">
        <v>263</v>
      </c>
      <c r="H142" s="317"/>
      <c r="I142" s="18"/>
      <c r="L142" s="443" t="s">
        <v>2835</v>
      </c>
      <c r="M142" s="2" t="s">
        <v>5</v>
      </c>
    </row>
    <row r="143" spans="1:13">
      <c r="A143" s="2" t="s">
        <v>63</v>
      </c>
      <c r="B143" s="444" t="s">
        <v>215</v>
      </c>
      <c r="C143" s="183">
        <v>4.9000000000000002E-2</v>
      </c>
      <c r="D143" s="484">
        <v>1</v>
      </c>
      <c r="E143" s="484" t="s">
        <v>247</v>
      </c>
      <c r="F143" s="100" t="s">
        <v>245</v>
      </c>
      <c r="G143" s="443" t="s">
        <v>263</v>
      </c>
      <c r="H143" s="317"/>
      <c r="I143" s="18"/>
      <c r="L143" s="443" t="s">
        <v>2835</v>
      </c>
      <c r="M143" s="2" t="s">
        <v>63</v>
      </c>
    </row>
    <row r="144" spans="1:13">
      <c r="A144" s="2" t="s">
        <v>86</v>
      </c>
      <c r="B144" s="444" t="s">
        <v>216</v>
      </c>
      <c r="C144" s="183">
        <v>0.09</v>
      </c>
      <c r="D144" s="484">
        <v>1</v>
      </c>
      <c r="E144" s="484" t="s">
        <v>247</v>
      </c>
      <c r="F144" s="100" t="s">
        <v>245</v>
      </c>
      <c r="G144" s="443" t="s">
        <v>263</v>
      </c>
      <c r="H144" s="317"/>
      <c r="I144" s="18"/>
      <c r="L144" s="443" t="s">
        <v>2835</v>
      </c>
      <c r="M144" s="2" t="s">
        <v>86</v>
      </c>
    </row>
    <row r="145" spans="1:13">
      <c r="A145" s="2" t="s">
        <v>41</v>
      </c>
      <c r="B145" s="444" t="s">
        <v>217</v>
      </c>
      <c r="C145" s="183">
        <v>7.0000000000000007E-2</v>
      </c>
      <c r="D145" s="484">
        <v>1</v>
      </c>
      <c r="E145" s="484" t="s">
        <v>247</v>
      </c>
      <c r="F145" s="100" t="s">
        <v>245</v>
      </c>
      <c r="G145" s="443" t="s">
        <v>263</v>
      </c>
      <c r="H145" s="317"/>
      <c r="I145" s="18"/>
      <c r="L145" s="443" t="s">
        <v>2835</v>
      </c>
      <c r="M145" s="2" t="s">
        <v>41</v>
      </c>
    </row>
    <row r="146" spans="1:13">
      <c r="A146" s="2" t="s">
        <v>4</v>
      </c>
      <c r="B146" s="444" t="s">
        <v>218</v>
      </c>
      <c r="C146" s="183">
        <v>5.96E-2</v>
      </c>
      <c r="D146" s="484">
        <v>1</v>
      </c>
      <c r="E146" s="484" t="s">
        <v>247</v>
      </c>
      <c r="F146" s="100" t="s">
        <v>245</v>
      </c>
      <c r="G146" s="443" t="s">
        <v>263</v>
      </c>
      <c r="H146" s="317"/>
      <c r="I146" s="18"/>
      <c r="L146" s="443" t="s">
        <v>2835</v>
      </c>
      <c r="M146" s="2" t="s">
        <v>4</v>
      </c>
    </row>
    <row r="147" spans="1:13">
      <c r="A147" s="2" t="s">
        <v>8</v>
      </c>
      <c r="B147" s="444" t="s">
        <v>219</v>
      </c>
      <c r="C147" s="183">
        <v>9.6000000000000002E-2</v>
      </c>
      <c r="D147" s="484">
        <v>2</v>
      </c>
      <c r="E147" s="484" t="s">
        <v>247</v>
      </c>
      <c r="F147" s="100" t="s">
        <v>245</v>
      </c>
      <c r="G147" s="443" t="s">
        <v>263</v>
      </c>
      <c r="H147" s="317"/>
      <c r="I147" s="18"/>
      <c r="L147" s="443" t="s">
        <v>2835</v>
      </c>
      <c r="M147" s="2" t="s">
        <v>8</v>
      </c>
    </row>
    <row r="148" spans="1:13">
      <c r="A148" s="2" t="s">
        <v>80</v>
      </c>
      <c r="B148" s="444" t="s">
        <v>220</v>
      </c>
      <c r="C148" s="183">
        <v>7.0000000000000007E-2</v>
      </c>
      <c r="D148" s="484">
        <v>1</v>
      </c>
      <c r="E148" s="484" t="s">
        <v>247</v>
      </c>
      <c r="F148" s="100" t="s">
        <v>245</v>
      </c>
      <c r="G148" s="443" t="s">
        <v>263</v>
      </c>
      <c r="H148" s="317"/>
      <c r="I148" s="18"/>
      <c r="L148" s="443" t="s">
        <v>2835</v>
      </c>
      <c r="M148" s="2" t="s">
        <v>80</v>
      </c>
    </row>
    <row r="149" spans="1:13">
      <c r="A149" s="2" t="s">
        <v>7</v>
      </c>
      <c r="B149" s="444" t="s">
        <v>221</v>
      </c>
      <c r="C149" s="183">
        <v>9.6999999999999989E-2</v>
      </c>
      <c r="D149" s="484">
        <v>2</v>
      </c>
      <c r="E149" s="484" t="s">
        <v>247</v>
      </c>
      <c r="F149" s="100" t="s">
        <v>245</v>
      </c>
      <c r="G149" s="443" t="s">
        <v>263</v>
      </c>
      <c r="H149" s="317"/>
      <c r="I149" s="18"/>
      <c r="L149" s="443" t="s">
        <v>2835</v>
      </c>
      <c r="M149" s="2" t="s">
        <v>7</v>
      </c>
    </row>
    <row r="150" spans="1:13">
      <c r="A150" s="2" t="s">
        <v>89</v>
      </c>
      <c r="B150" s="444" t="s">
        <v>222</v>
      </c>
      <c r="C150" s="183">
        <v>8.6599999999999996E-2</v>
      </c>
      <c r="D150" s="484">
        <v>1</v>
      </c>
      <c r="E150" s="484" t="s">
        <v>247</v>
      </c>
      <c r="F150" s="100" t="s">
        <v>245</v>
      </c>
      <c r="G150" s="443" t="s">
        <v>263</v>
      </c>
      <c r="H150" s="317"/>
      <c r="I150" s="18"/>
      <c r="L150" s="443" t="s">
        <v>2835</v>
      </c>
      <c r="M150" s="2" t="s">
        <v>89</v>
      </c>
    </row>
    <row r="151" spans="1:13">
      <c r="A151" s="2" t="s">
        <v>90</v>
      </c>
      <c r="B151" s="444" t="s">
        <v>223</v>
      </c>
      <c r="C151" s="183">
        <v>8.4499999999999992E-2</v>
      </c>
      <c r="D151" s="484">
        <v>1</v>
      </c>
      <c r="E151" s="484" t="s">
        <v>247</v>
      </c>
      <c r="F151" s="100" t="s">
        <v>245</v>
      </c>
      <c r="G151" s="443" t="s">
        <v>263</v>
      </c>
      <c r="H151" s="317"/>
      <c r="I151" s="18"/>
      <c r="L151" s="443" t="s">
        <v>2835</v>
      </c>
      <c r="M151" s="2" t="s">
        <v>90</v>
      </c>
    </row>
    <row r="152" spans="1:13">
      <c r="A152" s="2" t="s">
        <v>91</v>
      </c>
      <c r="B152" s="444" t="s">
        <v>224</v>
      </c>
      <c r="C152" s="183">
        <v>8.4600000000000009E-2</v>
      </c>
      <c r="D152" s="484">
        <v>1</v>
      </c>
      <c r="E152" s="484" t="s">
        <v>247</v>
      </c>
      <c r="F152" s="100" t="s">
        <v>245</v>
      </c>
      <c r="G152" s="443" t="s">
        <v>263</v>
      </c>
      <c r="H152" s="317"/>
      <c r="I152" s="18"/>
      <c r="L152" s="443" t="s">
        <v>2835</v>
      </c>
      <c r="M152" s="2" t="s">
        <v>91</v>
      </c>
    </row>
    <row r="153" spans="1:13">
      <c r="A153" s="2" t="s">
        <v>82</v>
      </c>
      <c r="B153" s="444" t="s">
        <v>225</v>
      </c>
      <c r="C153" s="183">
        <v>7.6799999999999993E-2</v>
      </c>
      <c r="D153" s="484">
        <v>1</v>
      </c>
      <c r="E153" s="484" t="s">
        <v>247</v>
      </c>
      <c r="F153" s="100" t="s">
        <v>245</v>
      </c>
      <c r="G153" s="443" t="s">
        <v>263</v>
      </c>
      <c r="H153" s="317"/>
      <c r="I153" s="18"/>
      <c r="L153" s="443" t="s">
        <v>2835</v>
      </c>
      <c r="M153" s="2" t="s">
        <v>82</v>
      </c>
    </row>
    <row r="154" spans="1:13">
      <c r="A154" s="2" t="s">
        <v>92</v>
      </c>
      <c r="B154" s="444" t="s">
        <v>226</v>
      </c>
      <c r="C154" s="183">
        <v>8.4399999999999989E-2</v>
      </c>
      <c r="D154" s="484">
        <v>1</v>
      </c>
      <c r="E154" s="484" t="s">
        <v>247</v>
      </c>
      <c r="F154" s="100" t="s">
        <v>245</v>
      </c>
      <c r="G154" s="443" t="s">
        <v>263</v>
      </c>
      <c r="H154" s="317"/>
      <c r="I154" s="443" t="s">
        <v>692</v>
      </c>
      <c r="J154" s="443">
        <v>1000</v>
      </c>
      <c r="K154" s="444">
        <v>43230</v>
      </c>
      <c r="L154" s="443" t="s">
        <v>2835</v>
      </c>
      <c r="M154" s="2" t="s">
        <v>92</v>
      </c>
    </row>
    <row r="155" spans="1:13">
      <c r="A155" s="2" t="s">
        <v>76</v>
      </c>
      <c r="B155" s="444" t="s">
        <v>227</v>
      </c>
      <c r="C155" s="183">
        <v>6.6500000000000004E-2</v>
      </c>
      <c r="D155" s="484">
        <v>1</v>
      </c>
      <c r="E155" s="484" t="s">
        <v>247</v>
      </c>
      <c r="F155" s="100" t="s">
        <v>245</v>
      </c>
      <c r="G155" s="443" t="s">
        <v>263</v>
      </c>
      <c r="H155" s="317"/>
      <c r="I155" s="18"/>
      <c r="L155" s="443" t="s">
        <v>2835</v>
      </c>
      <c r="M155" s="2" t="s">
        <v>76</v>
      </c>
    </row>
    <row r="156" spans="1:13">
      <c r="A156" s="2" t="s">
        <v>10</v>
      </c>
      <c r="B156" s="444" t="s">
        <v>228</v>
      </c>
      <c r="C156" s="183">
        <v>8.4000000000000005E-2</v>
      </c>
      <c r="D156" s="484">
        <v>2</v>
      </c>
      <c r="E156" s="484" t="s">
        <v>247</v>
      </c>
      <c r="F156" s="100" t="s">
        <v>245</v>
      </c>
      <c r="G156" s="443" t="s">
        <v>263</v>
      </c>
      <c r="H156" s="317"/>
      <c r="I156" s="18"/>
      <c r="L156" s="443" t="s">
        <v>2835</v>
      </c>
      <c r="M156" s="2" t="s">
        <v>10</v>
      </c>
    </row>
    <row r="157" spans="1:13">
      <c r="A157" s="2" t="s">
        <v>11</v>
      </c>
      <c r="B157" s="444" t="s">
        <v>229</v>
      </c>
      <c r="C157" s="183">
        <v>8.9900000000000008E-2</v>
      </c>
      <c r="D157" s="484">
        <v>2</v>
      </c>
      <c r="E157" s="484" t="s">
        <v>247</v>
      </c>
      <c r="F157" s="100" t="s">
        <v>245</v>
      </c>
      <c r="G157" s="443" t="s">
        <v>263</v>
      </c>
      <c r="H157" s="317"/>
      <c r="I157" s="18"/>
      <c r="L157" s="443" t="s">
        <v>2835</v>
      </c>
      <c r="M157" s="2" t="s">
        <v>11</v>
      </c>
    </row>
    <row r="158" spans="1:13">
      <c r="A158" s="2" t="s">
        <v>48</v>
      </c>
      <c r="B158" s="444" t="s">
        <v>230</v>
      </c>
      <c r="C158" s="183">
        <v>4.9299999999999997E-2</v>
      </c>
      <c r="D158" s="484">
        <v>1</v>
      </c>
      <c r="E158" s="484" t="s">
        <v>247</v>
      </c>
      <c r="F158" s="100" t="s">
        <v>245</v>
      </c>
      <c r="G158" s="443" t="s">
        <v>263</v>
      </c>
      <c r="H158" s="317"/>
      <c r="I158" s="18"/>
      <c r="L158" s="443" t="s">
        <v>2835</v>
      </c>
      <c r="M158" s="2" t="s">
        <v>48</v>
      </c>
    </row>
    <row r="159" spans="1:13">
      <c r="A159" s="2" t="s">
        <v>93</v>
      </c>
      <c r="B159" s="444" t="s">
        <v>231</v>
      </c>
      <c r="C159" s="183">
        <v>8.48E-2</v>
      </c>
      <c r="D159" s="484">
        <v>1</v>
      </c>
      <c r="E159" s="484" t="s">
        <v>247</v>
      </c>
      <c r="F159" s="100" t="s">
        <v>245</v>
      </c>
      <c r="G159" s="443" t="s">
        <v>263</v>
      </c>
      <c r="H159" s="317"/>
      <c r="I159" s="18"/>
      <c r="L159" s="443" t="s">
        <v>2835</v>
      </c>
      <c r="M159" s="2" t="s">
        <v>93</v>
      </c>
    </row>
    <row r="160" spans="1:13">
      <c r="A160" s="2" t="s">
        <v>94</v>
      </c>
      <c r="B160" s="444" t="s">
        <v>232</v>
      </c>
      <c r="C160" s="183">
        <v>8.6999999999999994E-2</v>
      </c>
      <c r="D160" s="484">
        <v>1</v>
      </c>
      <c r="E160" s="484" t="s">
        <v>247</v>
      </c>
      <c r="F160" s="100" t="s">
        <v>245</v>
      </c>
      <c r="G160" s="443" t="s">
        <v>263</v>
      </c>
      <c r="H160" s="317"/>
      <c r="I160" s="443" t="s">
        <v>716</v>
      </c>
      <c r="J160" s="443">
        <v>1000</v>
      </c>
      <c r="K160" s="444">
        <v>43507</v>
      </c>
      <c r="L160" s="443" t="s">
        <v>2835</v>
      </c>
      <c r="M160" s="2" t="s">
        <v>94</v>
      </c>
    </row>
    <row r="161" spans="1:13">
      <c r="A161" s="2" t="s">
        <v>39</v>
      </c>
      <c r="B161" s="444" t="s">
        <v>233</v>
      </c>
      <c r="C161" s="183">
        <v>8.0500000000000002E-2</v>
      </c>
      <c r="D161" s="484">
        <v>1</v>
      </c>
      <c r="E161" s="484" t="s">
        <v>247</v>
      </c>
      <c r="F161" s="100" t="s">
        <v>245</v>
      </c>
      <c r="G161" s="443" t="s">
        <v>263</v>
      </c>
      <c r="H161" s="317"/>
      <c r="I161" s="18"/>
      <c r="L161" s="443" t="s">
        <v>2835</v>
      </c>
      <c r="M161" s="2" t="s">
        <v>39</v>
      </c>
    </row>
    <row r="162" spans="1:13">
      <c r="A162" s="2" t="s">
        <v>65</v>
      </c>
      <c r="B162" s="444" t="s">
        <v>234</v>
      </c>
      <c r="C162" s="183">
        <v>5.4900000000000004E-2</v>
      </c>
      <c r="D162" s="484">
        <v>1</v>
      </c>
      <c r="E162" s="484" t="s">
        <v>247</v>
      </c>
      <c r="F162" s="100" t="s">
        <v>245</v>
      </c>
      <c r="G162" s="443" t="s">
        <v>263</v>
      </c>
      <c r="H162" s="317"/>
      <c r="I162" s="18"/>
      <c r="L162" s="443" t="s">
        <v>2835</v>
      </c>
      <c r="M162" s="2" t="s">
        <v>65</v>
      </c>
    </row>
    <row r="163" spans="1:13">
      <c r="A163" s="2" t="s">
        <v>66</v>
      </c>
      <c r="B163" s="444" t="s">
        <v>235</v>
      </c>
      <c r="C163" s="183">
        <v>5.5E-2</v>
      </c>
      <c r="D163" s="484">
        <v>1</v>
      </c>
      <c r="E163" s="484" t="s">
        <v>247</v>
      </c>
      <c r="F163" s="100" t="s">
        <v>245</v>
      </c>
      <c r="G163" s="443" t="s">
        <v>263</v>
      </c>
      <c r="H163" s="317"/>
      <c r="I163" s="18"/>
      <c r="L163" s="443" t="s">
        <v>2835</v>
      </c>
      <c r="M163" s="2" t="s">
        <v>66</v>
      </c>
    </row>
    <row r="164" spans="1:13">
      <c r="A164" s="2" t="s">
        <v>9</v>
      </c>
      <c r="B164" s="444" t="s">
        <v>236</v>
      </c>
      <c r="C164" s="183">
        <v>9.5000000000000001E-2</v>
      </c>
      <c r="D164" s="484">
        <v>2</v>
      </c>
      <c r="E164" s="484" t="s">
        <v>247</v>
      </c>
      <c r="F164" s="100" t="s">
        <v>245</v>
      </c>
      <c r="G164" s="443" t="s">
        <v>263</v>
      </c>
      <c r="H164" s="317"/>
      <c r="I164" s="18"/>
      <c r="L164" s="443" t="s">
        <v>2835</v>
      </c>
      <c r="M164" s="2" t="s">
        <v>9</v>
      </c>
    </row>
    <row r="165" spans="1:13">
      <c r="A165" s="2" t="s">
        <v>88</v>
      </c>
      <c r="B165" s="444" t="s">
        <v>237</v>
      </c>
      <c r="C165" s="183">
        <v>9.0999999999999998E-2</v>
      </c>
      <c r="D165" s="484">
        <v>1</v>
      </c>
      <c r="E165" s="484" t="s">
        <v>247</v>
      </c>
      <c r="F165" s="100" t="s">
        <v>245</v>
      </c>
      <c r="G165" s="443" t="s">
        <v>263</v>
      </c>
      <c r="H165" s="317"/>
      <c r="I165" s="18"/>
      <c r="L165" s="443" t="s">
        <v>2835</v>
      </c>
      <c r="M165" s="2" t="s">
        <v>88</v>
      </c>
    </row>
    <row r="166" spans="1:13">
      <c r="A166" s="2" t="s">
        <v>87</v>
      </c>
      <c r="B166" s="444" t="s">
        <v>238</v>
      </c>
      <c r="C166" s="183">
        <v>0.09</v>
      </c>
      <c r="D166" s="484">
        <v>1</v>
      </c>
      <c r="E166" s="484" t="s">
        <v>247</v>
      </c>
      <c r="F166" s="100" t="s">
        <v>245</v>
      </c>
      <c r="G166" s="443" t="s">
        <v>263</v>
      </c>
      <c r="H166" s="317"/>
      <c r="I166" s="18"/>
      <c r="L166" s="443" t="s">
        <v>2835</v>
      </c>
      <c r="M166" s="2" t="s">
        <v>87</v>
      </c>
    </row>
    <row r="167" spans="1:13">
      <c r="A167" s="2" t="s">
        <v>95</v>
      </c>
      <c r="B167" s="444" t="s">
        <v>239</v>
      </c>
      <c r="C167" s="183">
        <v>0.11</v>
      </c>
      <c r="D167" s="484">
        <v>1</v>
      </c>
      <c r="E167" s="484" t="s">
        <v>247</v>
      </c>
      <c r="F167" s="100" t="s">
        <v>245</v>
      </c>
      <c r="G167" s="443" t="s">
        <v>263</v>
      </c>
      <c r="H167" s="317"/>
      <c r="I167" s="18"/>
      <c r="L167" s="443" t="s">
        <v>2835</v>
      </c>
      <c r="M167" s="2" t="s">
        <v>95</v>
      </c>
    </row>
    <row r="168" spans="1:13">
      <c r="A168" s="443" t="s">
        <v>139</v>
      </c>
      <c r="B168" s="444">
        <v>45579</v>
      </c>
      <c r="C168" s="183">
        <v>3.875E-2</v>
      </c>
      <c r="D168" s="484">
        <v>2</v>
      </c>
      <c r="E168" s="484" t="s">
        <v>247</v>
      </c>
      <c r="F168" s="484" t="s">
        <v>245</v>
      </c>
      <c r="G168" s="443" t="s">
        <v>263</v>
      </c>
      <c r="I168" s="18"/>
      <c r="L168" s="443" t="s">
        <v>2835</v>
      </c>
      <c r="M168" s="443" t="s">
        <v>139</v>
      </c>
    </row>
    <row r="169" spans="1:13">
      <c r="A169" s="443" t="s">
        <v>390</v>
      </c>
      <c r="B169" s="444">
        <v>47053</v>
      </c>
      <c r="C169" s="183">
        <v>0.1047</v>
      </c>
      <c r="D169" s="484">
        <v>1</v>
      </c>
      <c r="E169" s="484" t="s">
        <v>247</v>
      </c>
      <c r="F169" s="100" t="s">
        <v>245</v>
      </c>
      <c r="G169" s="443" t="s">
        <v>263</v>
      </c>
      <c r="I169" s="443" t="s">
        <v>675</v>
      </c>
      <c r="J169" s="443">
        <v>1000</v>
      </c>
      <c r="K169" s="444">
        <v>44131</v>
      </c>
      <c r="L169" s="443" t="s">
        <v>2835</v>
      </c>
      <c r="M169" s="443" t="s">
        <v>390</v>
      </c>
    </row>
    <row r="170" spans="1:13">
      <c r="A170" s="443" t="s">
        <v>82</v>
      </c>
      <c r="B170" s="444">
        <v>47518</v>
      </c>
      <c r="C170" s="183">
        <v>7.6799999999999993E-2</v>
      </c>
      <c r="D170" s="484">
        <v>1</v>
      </c>
      <c r="E170" s="484" t="s">
        <v>247</v>
      </c>
      <c r="F170" s="100" t="s">
        <v>245</v>
      </c>
      <c r="G170" s="443" t="s">
        <v>263</v>
      </c>
      <c r="I170" s="18"/>
      <c r="L170" s="443" t="s">
        <v>2835</v>
      </c>
      <c r="M170" s="443" t="s">
        <v>82</v>
      </c>
    </row>
    <row r="171" spans="1:13">
      <c r="A171" s="443" t="s">
        <v>414</v>
      </c>
      <c r="B171" s="444">
        <v>48992</v>
      </c>
      <c r="C171" s="183">
        <v>0.1012</v>
      </c>
      <c r="D171" s="484">
        <v>1</v>
      </c>
      <c r="E171" s="484" t="s">
        <v>247</v>
      </c>
      <c r="F171" s="100" t="s">
        <v>245</v>
      </c>
      <c r="G171" s="443" t="s">
        <v>263</v>
      </c>
      <c r="I171" s="18"/>
      <c r="L171" s="443" t="s">
        <v>2835</v>
      </c>
      <c r="M171" s="443" t="s">
        <v>414</v>
      </c>
    </row>
    <row r="172" spans="1:13">
      <c r="A172" s="443" t="s">
        <v>427</v>
      </c>
      <c r="B172" s="444">
        <v>46526</v>
      </c>
      <c r="C172" s="183">
        <v>0.104</v>
      </c>
      <c r="D172" s="484">
        <v>1</v>
      </c>
      <c r="E172" s="484" t="s">
        <v>247</v>
      </c>
      <c r="F172" s="100" t="s">
        <v>245</v>
      </c>
      <c r="G172" s="443" t="s">
        <v>263</v>
      </c>
      <c r="L172" s="443" t="s">
        <v>2835</v>
      </c>
      <c r="M172" s="443" t="s">
        <v>427</v>
      </c>
    </row>
    <row r="173" spans="1:13">
      <c r="A173" s="443" t="s">
        <v>83</v>
      </c>
      <c r="B173" s="444">
        <v>45804</v>
      </c>
      <c r="C173" s="183">
        <v>7.1999999999999995E-2</v>
      </c>
      <c r="D173" s="484">
        <v>1</v>
      </c>
      <c r="E173" s="484" t="s">
        <v>247</v>
      </c>
      <c r="F173" s="100" t="s">
        <v>245</v>
      </c>
      <c r="G173" s="443" t="s">
        <v>263</v>
      </c>
      <c r="L173" s="443" t="s">
        <v>2835</v>
      </c>
      <c r="M173" s="443" t="s">
        <v>83</v>
      </c>
    </row>
    <row r="174" spans="1:13">
      <c r="A174" s="443" t="s">
        <v>446</v>
      </c>
      <c r="B174" s="444">
        <v>48421</v>
      </c>
      <c r="C174" s="183">
        <v>0.1065</v>
      </c>
      <c r="D174" s="484">
        <v>1</v>
      </c>
      <c r="E174" s="484" t="s">
        <v>247</v>
      </c>
      <c r="F174" s="100" t="s">
        <v>245</v>
      </c>
      <c r="G174" s="443" t="s">
        <v>263</v>
      </c>
      <c r="I174" s="443" t="s">
        <v>689</v>
      </c>
      <c r="J174" s="443">
        <v>1000</v>
      </c>
      <c r="K174" s="444">
        <v>44403</v>
      </c>
      <c r="L174" s="443" t="s">
        <v>2835</v>
      </c>
      <c r="M174" s="443" t="s">
        <v>446</v>
      </c>
    </row>
    <row r="175" spans="1:13">
      <c r="A175" s="443" t="s">
        <v>448</v>
      </c>
      <c r="B175" s="444">
        <v>47327</v>
      </c>
      <c r="C175" s="183">
        <v>0.1055</v>
      </c>
      <c r="D175" s="484">
        <v>1</v>
      </c>
      <c r="E175" s="484" t="s">
        <v>247</v>
      </c>
      <c r="F175" s="100" t="s">
        <v>245</v>
      </c>
      <c r="G175" s="443" t="s">
        <v>263</v>
      </c>
      <c r="L175" s="443" t="s">
        <v>2835</v>
      </c>
      <c r="M175" s="443" t="s">
        <v>448</v>
      </c>
    </row>
    <row r="176" spans="1:13">
      <c r="A176" s="443" t="s">
        <v>422</v>
      </c>
      <c r="B176" s="444">
        <v>46855</v>
      </c>
      <c r="C176" s="183">
        <v>0.104</v>
      </c>
      <c r="D176" s="484">
        <v>1</v>
      </c>
      <c r="E176" s="484" t="s">
        <v>247</v>
      </c>
      <c r="F176" s="100" t="s">
        <v>245</v>
      </c>
      <c r="G176" s="443" t="s">
        <v>263</v>
      </c>
      <c r="L176" s="443" t="s">
        <v>2835</v>
      </c>
      <c r="M176" s="443" t="s">
        <v>422</v>
      </c>
    </row>
    <row r="177" spans="1:13">
      <c r="A177" s="443" t="s">
        <v>449</v>
      </c>
      <c r="B177" s="444">
        <v>46238</v>
      </c>
      <c r="C177" s="183">
        <v>0.105</v>
      </c>
      <c r="D177" s="484">
        <v>2</v>
      </c>
      <c r="E177" s="484" t="s">
        <v>247</v>
      </c>
      <c r="F177" s="100" t="s">
        <v>245</v>
      </c>
      <c r="G177" s="443" t="s">
        <v>263</v>
      </c>
      <c r="L177" s="443" t="s">
        <v>2835</v>
      </c>
      <c r="M177" s="443" t="s">
        <v>449</v>
      </c>
    </row>
    <row r="178" spans="1:13">
      <c r="A178" s="443" t="s">
        <v>453</v>
      </c>
      <c r="B178" s="444">
        <v>48814</v>
      </c>
      <c r="C178" s="183">
        <v>0.1069</v>
      </c>
      <c r="D178" s="484">
        <v>1</v>
      </c>
      <c r="E178" s="484" t="s">
        <v>247</v>
      </c>
      <c r="F178" s="100" t="s">
        <v>245</v>
      </c>
      <c r="G178" s="443" t="s">
        <v>263</v>
      </c>
      <c r="L178" s="443" t="s">
        <v>2835</v>
      </c>
      <c r="M178" s="443" t="s">
        <v>453</v>
      </c>
    </row>
    <row r="179" spans="1:13">
      <c r="A179" s="443" t="s">
        <v>417</v>
      </c>
      <c r="B179" s="444">
        <v>47924</v>
      </c>
      <c r="C179" s="183">
        <v>0.10299999999999999</v>
      </c>
      <c r="D179" s="484">
        <v>1</v>
      </c>
      <c r="E179" s="484" t="s">
        <v>247</v>
      </c>
      <c r="F179" s="100" t="s">
        <v>245</v>
      </c>
      <c r="G179" s="443" t="s">
        <v>263</v>
      </c>
      <c r="L179" s="443" t="s">
        <v>2835</v>
      </c>
      <c r="M179" s="443" t="s">
        <v>417</v>
      </c>
    </row>
    <row r="180" spans="1:13">
      <c r="A180" s="443" t="s">
        <v>473</v>
      </c>
      <c r="B180" s="444">
        <v>46043</v>
      </c>
      <c r="C180" s="183">
        <v>0.1067</v>
      </c>
      <c r="D180" s="484">
        <v>2</v>
      </c>
      <c r="E180" s="484" t="s">
        <v>247</v>
      </c>
      <c r="F180" s="100" t="s">
        <v>245</v>
      </c>
      <c r="G180" s="443" t="s">
        <v>263</v>
      </c>
      <c r="L180" s="443" t="s">
        <v>2835</v>
      </c>
      <c r="M180" s="443" t="s">
        <v>473</v>
      </c>
    </row>
    <row r="181" spans="1:13">
      <c r="A181" s="443" t="s">
        <v>475</v>
      </c>
      <c r="B181" s="444">
        <v>50068</v>
      </c>
      <c r="C181" s="183">
        <v>0.1105</v>
      </c>
      <c r="D181" s="484">
        <v>1</v>
      </c>
      <c r="E181" s="484" t="s">
        <v>247</v>
      </c>
      <c r="F181" s="100" t="s">
        <v>245</v>
      </c>
      <c r="G181" s="443" t="s">
        <v>263</v>
      </c>
      <c r="L181" s="443" t="s">
        <v>2835</v>
      </c>
      <c r="M181" s="443" t="s">
        <v>475</v>
      </c>
    </row>
    <row r="182" spans="1:13">
      <c r="A182" s="443" t="s">
        <v>476</v>
      </c>
      <c r="B182" s="444">
        <v>47518</v>
      </c>
      <c r="C182" s="183">
        <v>0.11</v>
      </c>
      <c r="D182" s="484">
        <v>1</v>
      </c>
      <c r="E182" s="484" t="s">
        <v>247</v>
      </c>
      <c r="F182" s="100" t="s">
        <v>245</v>
      </c>
      <c r="G182" s="443" t="s">
        <v>263</v>
      </c>
      <c r="I182" s="443" t="s">
        <v>677</v>
      </c>
      <c r="J182" s="443">
        <v>1000</v>
      </c>
      <c r="K182" s="444">
        <v>44596</v>
      </c>
      <c r="L182" s="443" t="s">
        <v>2835</v>
      </c>
      <c r="M182" s="443" t="s">
        <v>476</v>
      </c>
    </row>
    <row r="183" spans="1:13">
      <c r="A183" s="443" t="s">
        <v>478</v>
      </c>
      <c r="B183" s="444">
        <v>45699</v>
      </c>
      <c r="C183" s="183">
        <v>0.1075</v>
      </c>
      <c r="D183" s="484">
        <v>2</v>
      </c>
      <c r="E183" s="484" t="s">
        <v>247</v>
      </c>
      <c r="F183" s="100" t="s">
        <v>245</v>
      </c>
      <c r="G183" s="443" t="s">
        <v>263</v>
      </c>
      <c r="L183" s="443" t="s">
        <v>2835</v>
      </c>
      <c r="M183" s="443" t="s">
        <v>478</v>
      </c>
    </row>
    <row r="184" spans="1:13">
      <c r="A184" s="443" t="s">
        <v>474</v>
      </c>
      <c r="B184" s="444">
        <v>44950</v>
      </c>
      <c r="C184" s="183">
        <v>0.13669999999999999</v>
      </c>
      <c r="D184" s="484">
        <v>1</v>
      </c>
      <c r="E184" s="484" t="s">
        <v>247</v>
      </c>
      <c r="F184" s="100" t="s">
        <v>259</v>
      </c>
      <c r="G184" s="443" t="s">
        <v>263</v>
      </c>
      <c r="L184" s="443" t="s">
        <v>2835</v>
      </c>
      <c r="M184" s="443" t="s">
        <v>474</v>
      </c>
    </row>
    <row r="185" spans="1:13">
      <c r="A185" s="443" t="s">
        <v>485</v>
      </c>
      <c r="B185" s="444">
        <v>45832</v>
      </c>
      <c r="C185" s="183">
        <v>0.13850000000000001</v>
      </c>
      <c r="D185" s="484">
        <v>2</v>
      </c>
      <c r="E185" s="484" t="s">
        <v>247</v>
      </c>
      <c r="F185" s="100" t="s">
        <v>245</v>
      </c>
      <c r="G185" s="443" t="s">
        <v>263</v>
      </c>
      <c r="L185" s="443" t="s">
        <v>2835</v>
      </c>
      <c r="M185" s="443" t="s">
        <v>485</v>
      </c>
    </row>
    <row r="186" spans="1:13">
      <c r="A186" s="443" t="s">
        <v>494</v>
      </c>
      <c r="B186" s="444">
        <v>46281</v>
      </c>
      <c r="C186" s="183">
        <v>0.13900000000000001</v>
      </c>
      <c r="D186" s="484">
        <v>2</v>
      </c>
      <c r="E186" s="484" t="s">
        <v>247</v>
      </c>
      <c r="F186" s="100" t="s">
        <v>245</v>
      </c>
      <c r="G186" s="443" t="s">
        <v>263</v>
      </c>
      <c r="L186" s="443" t="s">
        <v>2835</v>
      </c>
      <c r="M186" s="443" t="s">
        <v>494</v>
      </c>
    </row>
    <row r="187" spans="1:13">
      <c r="A187" s="443" t="s">
        <v>85</v>
      </c>
      <c r="B187" s="444">
        <v>45321</v>
      </c>
      <c r="C187" s="183">
        <v>9.5000000000000001E-2</v>
      </c>
      <c r="D187" s="484">
        <v>1</v>
      </c>
      <c r="E187" s="484" t="s">
        <v>247</v>
      </c>
      <c r="F187" s="100" t="s">
        <v>245</v>
      </c>
      <c r="G187" s="443" t="s">
        <v>263</v>
      </c>
      <c r="L187" s="443" t="s">
        <v>2835</v>
      </c>
      <c r="M187" s="443" t="s">
        <v>85</v>
      </c>
    </row>
    <row r="188" spans="1:13" ht="14.25">
      <c r="A188" s="207" t="s">
        <v>498</v>
      </c>
      <c r="B188" s="444">
        <v>46709</v>
      </c>
      <c r="C188" s="488">
        <f>15.35/100</f>
        <v>0.1535</v>
      </c>
      <c r="D188" s="282">
        <v>2</v>
      </c>
      <c r="E188" s="282" t="s">
        <v>247</v>
      </c>
      <c r="F188" s="100" t="s">
        <v>245</v>
      </c>
      <c r="G188" s="443" t="s">
        <v>263</v>
      </c>
      <c r="I188" s="443" t="s">
        <v>658</v>
      </c>
      <c r="J188" s="443">
        <v>1000</v>
      </c>
      <c r="K188" s="444">
        <v>44883</v>
      </c>
      <c r="L188" s="443" t="s">
        <v>2835</v>
      </c>
      <c r="M188" s="207" t="s">
        <v>498</v>
      </c>
    </row>
    <row r="189" spans="1:13" ht="14.25">
      <c r="A189" s="207" t="s">
        <v>503</v>
      </c>
      <c r="B189" s="444">
        <v>47180</v>
      </c>
      <c r="C189" s="488">
        <v>0.153</v>
      </c>
      <c r="D189" s="484">
        <v>1</v>
      </c>
      <c r="E189" s="282" t="s">
        <v>247</v>
      </c>
      <c r="F189" s="100" t="s">
        <v>245</v>
      </c>
      <c r="G189" s="443" t="s">
        <v>263</v>
      </c>
      <c r="I189" s="443" t="s">
        <v>671</v>
      </c>
      <c r="J189" s="443">
        <v>1000</v>
      </c>
      <c r="K189" s="444">
        <v>44988</v>
      </c>
      <c r="L189" s="443" t="s">
        <v>2835</v>
      </c>
      <c r="M189" s="207" t="s">
        <v>503</v>
      </c>
    </row>
    <row r="190" spans="1:13">
      <c r="A190" s="443" t="s">
        <v>513</v>
      </c>
      <c r="B190" s="444">
        <v>47901</v>
      </c>
      <c r="C190" s="489">
        <v>0.12</v>
      </c>
      <c r="D190" s="282">
        <v>1</v>
      </c>
      <c r="E190" s="282" t="s">
        <v>247</v>
      </c>
      <c r="F190" s="100" t="s">
        <v>245</v>
      </c>
      <c r="G190" s="443" t="s">
        <v>263</v>
      </c>
      <c r="L190" s="443" t="s">
        <v>2835</v>
      </c>
      <c r="M190" s="443" t="s">
        <v>513</v>
      </c>
    </row>
    <row r="191" spans="1:13">
      <c r="A191" s="443" t="s">
        <v>516</v>
      </c>
      <c r="B191" s="444">
        <v>47549</v>
      </c>
      <c r="C191" s="490">
        <v>0.12</v>
      </c>
      <c r="D191" s="282">
        <v>1</v>
      </c>
      <c r="E191" s="282" t="s">
        <v>247</v>
      </c>
      <c r="F191" s="100" t="s">
        <v>245</v>
      </c>
      <c r="G191" s="443" t="s">
        <v>263</v>
      </c>
      <c r="I191" s="443" t="s">
        <v>672</v>
      </c>
      <c r="J191" s="443">
        <v>1000</v>
      </c>
      <c r="K191" s="444">
        <v>45358</v>
      </c>
      <c r="L191" s="443" t="s">
        <v>2835</v>
      </c>
      <c r="M191" s="443" t="s">
        <v>516</v>
      </c>
    </row>
    <row r="192" spans="1:13">
      <c r="A192" s="443" t="s">
        <v>634</v>
      </c>
      <c r="B192" s="444">
        <v>47685</v>
      </c>
      <c r="C192" s="490">
        <v>5.1249999999999997E-2</v>
      </c>
      <c r="D192" s="282">
        <v>1</v>
      </c>
      <c r="E192" s="282" t="s">
        <v>755</v>
      </c>
      <c r="F192" s="100" t="s">
        <v>245</v>
      </c>
      <c r="G192" s="443" t="s">
        <v>263</v>
      </c>
      <c r="L192" s="443" t="s">
        <v>2835</v>
      </c>
      <c r="M192" s="443" t="s">
        <v>634</v>
      </c>
    </row>
    <row r="193" spans="1:13">
      <c r="A193" s="443" t="s">
        <v>710</v>
      </c>
      <c r="B193" s="444">
        <v>49912</v>
      </c>
      <c r="C193" s="490">
        <v>0.10780000000000001</v>
      </c>
      <c r="D193" s="282">
        <v>1</v>
      </c>
      <c r="E193" s="282" t="s">
        <v>247</v>
      </c>
      <c r="F193" s="100" t="s">
        <v>245</v>
      </c>
      <c r="G193" s="443" t="s">
        <v>263</v>
      </c>
      <c r="L193" s="443" t="s">
        <v>2835</v>
      </c>
      <c r="M193" s="443" t="s">
        <v>710</v>
      </c>
    </row>
    <row r="194" spans="1:13">
      <c r="A194" s="443" t="s">
        <v>61</v>
      </c>
      <c r="B194" s="444">
        <v>48328</v>
      </c>
      <c r="C194" s="487">
        <v>5.5E-2</v>
      </c>
      <c r="D194" s="282">
        <v>1</v>
      </c>
      <c r="E194" s="282" t="s">
        <v>247</v>
      </c>
      <c r="F194" s="100" t="s">
        <v>245</v>
      </c>
      <c r="G194" s="443" t="s">
        <v>263</v>
      </c>
      <c r="I194" s="443" t="s">
        <v>717</v>
      </c>
      <c r="J194" s="443">
        <v>1000</v>
      </c>
      <c r="K194" s="444">
        <v>41023</v>
      </c>
      <c r="L194" s="443" t="s">
        <v>2835</v>
      </c>
      <c r="M194" s="443" t="s">
        <v>888</v>
      </c>
    </row>
    <row r="195" spans="1:13">
      <c r="A195" s="443" t="s">
        <v>679</v>
      </c>
      <c r="B195" s="444">
        <v>47980</v>
      </c>
      <c r="C195" s="490">
        <v>0.14000000000000001</v>
      </c>
      <c r="D195" s="282">
        <v>1</v>
      </c>
      <c r="E195" s="282" t="s">
        <v>247</v>
      </c>
      <c r="F195" s="100" t="s">
        <v>245</v>
      </c>
      <c r="G195" s="443" t="s">
        <v>263</v>
      </c>
      <c r="L195" s="443" t="s">
        <v>2835</v>
      </c>
      <c r="M195" s="443" t="s">
        <v>679</v>
      </c>
    </row>
    <row r="196" spans="1:13">
      <c r="A196" s="443" t="s">
        <v>1017</v>
      </c>
      <c r="B196" s="444">
        <v>45954</v>
      </c>
      <c r="C196" s="490"/>
      <c r="D196" s="282">
        <v>1</v>
      </c>
      <c r="E196" s="282" t="s">
        <v>247</v>
      </c>
      <c r="F196" s="100" t="s">
        <v>259</v>
      </c>
      <c r="G196" s="443" t="s">
        <v>263</v>
      </c>
      <c r="L196" s="443" t="s">
        <v>2835</v>
      </c>
      <c r="M196" s="443" t="s">
        <v>1017</v>
      </c>
    </row>
    <row r="197" spans="1:13">
      <c r="A197" s="443" t="s">
        <v>683</v>
      </c>
      <c r="B197" s="444">
        <v>48353</v>
      </c>
      <c r="C197" s="490">
        <v>0.14000000000000001</v>
      </c>
      <c r="D197" s="282">
        <v>1</v>
      </c>
      <c r="E197" s="282" t="s">
        <v>247</v>
      </c>
      <c r="F197" s="100" t="s">
        <v>245</v>
      </c>
      <c r="G197" s="443" t="s">
        <v>263</v>
      </c>
      <c r="L197" s="443" t="s">
        <v>2835</v>
      </c>
      <c r="M197" s="443" t="s">
        <v>683</v>
      </c>
    </row>
    <row r="198" spans="1:13">
      <c r="A198" s="443" t="s">
        <v>1041</v>
      </c>
      <c r="B198" s="444">
        <v>46059</v>
      </c>
      <c r="C198" s="490"/>
      <c r="D198" s="282">
        <v>1</v>
      </c>
      <c r="E198" s="282" t="s">
        <v>247</v>
      </c>
      <c r="F198" s="100" t="s">
        <v>259</v>
      </c>
      <c r="G198" s="443" t="s">
        <v>263</v>
      </c>
      <c r="L198" s="443" t="s">
        <v>2835</v>
      </c>
      <c r="M198" s="443" t="s">
        <v>1041</v>
      </c>
    </row>
    <row r="199" spans="1:13">
      <c r="A199" s="443" t="s">
        <v>722</v>
      </c>
      <c r="B199" s="444">
        <v>50976</v>
      </c>
      <c r="C199" s="491">
        <v>8.3500000000000005E-2</v>
      </c>
      <c r="D199" s="282">
        <v>1</v>
      </c>
      <c r="E199" s="282" t="s">
        <v>247</v>
      </c>
      <c r="F199" s="100" t="s">
        <v>245</v>
      </c>
      <c r="G199" s="443" t="s">
        <v>263</v>
      </c>
      <c r="L199" s="443" t="s">
        <v>2835</v>
      </c>
      <c r="M199" s="443" t="s">
        <v>722</v>
      </c>
    </row>
    <row r="200" spans="1:13">
      <c r="A200" s="2" t="s">
        <v>451</v>
      </c>
      <c r="B200" s="444">
        <v>45156</v>
      </c>
      <c r="C200" s="183">
        <v>9.9000000000000005E-2</v>
      </c>
      <c r="D200" s="484">
        <v>2</v>
      </c>
      <c r="E200" s="484" t="s">
        <v>247</v>
      </c>
      <c r="F200" s="100" t="s">
        <v>245</v>
      </c>
      <c r="G200" s="443" t="s">
        <v>320</v>
      </c>
      <c r="H200" s="317"/>
      <c r="L200" s="443" t="s">
        <v>2836</v>
      </c>
      <c r="M200" s="2" t="s">
        <v>451</v>
      </c>
    </row>
    <row r="201" spans="1:13">
      <c r="A201" s="443" t="s">
        <v>96</v>
      </c>
      <c r="B201" s="444" t="s">
        <v>324</v>
      </c>
      <c r="G201" s="443" t="s">
        <v>2647</v>
      </c>
      <c r="H201" s="317"/>
      <c r="I201" s="18"/>
      <c r="L201" s="443" t="s">
        <v>2837</v>
      </c>
      <c r="M201" s="443" t="s">
        <v>96</v>
      </c>
    </row>
    <row r="202" spans="1:13">
      <c r="A202" s="443" t="s">
        <v>98</v>
      </c>
      <c r="B202" s="444" t="s">
        <v>325</v>
      </c>
      <c r="G202" s="443" t="s">
        <v>2647</v>
      </c>
      <c r="I202" s="18"/>
      <c r="L202" s="443" t="s">
        <v>2837</v>
      </c>
      <c r="M202" s="443" t="s">
        <v>98</v>
      </c>
    </row>
    <row r="203" spans="1:13">
      <c r="A203" s="443" t="s">
        <v>97</v>
      </c>
      <c r="B203" s="444" t="s">
        <v>326</v>
      </c>
      <c r="G203" s="443" t="s">
        <v>2647</v>
      </c>
      <c r="L203" s="443" t="s">
        <v>2837</v>
      </c>
      <c r="M203" s="443" t="s">
        <v>97</v>
      </c>
    </row>
    <row r="204" spans="1:13">
      <c r="A204" s="443" t="s">
        <v>99</v>
      </c>
      <c r="B204" s="444" t="s">
        <v>327</v>
      </c>
      <c r="G204" s="443" t="s">
        <v>2647</v>
      </c>
      <c r="L204" s="443" t="s">
        <v>2837</v>
      </c>
      <c r="M204" s="443" t="s">
        <v>99</v>
      </c>
    </row>
    <row r="205" spans="1:13">
      <c r="A205" s="443" t="s">
        <v>100</v>
      </c>
      <c r="B205" s="444" t="s">
        <v>328</v>
      </c>
      <c r="G205" s="443" t="s">
        <v>2647</v>
      </c>
      <c r="L205" s="443" t="s">
        <v>2837</v>
      </c>
      <c r="M205" s="443" t="s">
        <v>100</v>
      </c>
    </row>
    <row r="206" spans="1:13">
      <c r="A206" s="443" t="s">
        <v>101</v>
      </c>
      <c r="B206" s="444" t="s">
        <v>329</v>
      </c>
      <c r="G206" s="443" t="s">
        <v>2647</v>
      </c>
      <c r="L206" s="443" t="s">
        <v>2837</v>
      </c>
      <c r="M206" s="443" t="s">
        <v>101</v>
      </c>
    </row>
    <row r="207" spans="1:13">
      <c r="A207" s="443" t="s">
        <v>102</v>
      </c>
      <c r="B207" s="444" t="s">
        <v>330</v>
      </c>
      <c r="G207" s="443" t="s">
        <v>2647</v>
      </c>
      <c r="L207" s="443" t="s">
        <v>2837</v>
      </c>
      <c r="M207" s="443" t="s">
        <v>102</v>
      </c>
    </row>
    <row r="208" spans="1:13">
      <c r="A208" s="443" t="s">
        <v>103</v>
      </c>
      <c r="B208" s="444" t="s">
        <v>331</v>
      </c>
      <c r="G208" s="443" t="s">
        <v>2647</v>
      </c>
      <c r="L208" s="443" t="s">
        <v>2837</v>
      </c>
      <c r="M208" s="443" t="s">
        <v>103</v>
      </c>
    </row>
    <row r="209" spans="1:13">
      <c r="A209" s="443" t="s">
        <v>104</v>
      </c>
      <c r="B209" s="444" t="s">
        <v>332</v>
      </c>
      <c r="G209" s="443" t="s">
        <v>2647</v>
      </c>
      <c r="L209" s="443" t="s">
        <v>2837</v>
      </c>
      <c r="M209" s="443" t="s">
        <v>104</v>
      </c>
    </row>
    <row r="210" spans="1:13">
      <c r="A210" s="443" t="s">
        <v>240</v>
      </c>
      <c r="B210" s="444">
        <v>44062</v>
      </c>
      <c r="G210" s="443" t="s">
        <v>2647</v>
      </c>
      <c r="L210" s="443" t="s">
        <v>2837</v>
      </c>
      <c r="M210" s="443" t="s">
        <v>240</v>
      </c>
    </row>
    <row r="211" spans="1:13">
      <c r="A211" s="443" t="s">
        <v>272</v>
      </c>
      <c r="B211" s="444" t="s">
        <v>333</v>
      </c>
      <c r="G211" s="443" t="s">
        <v>2647</v>
      </c>
      <c r="L211" s="443" t="s">
        <v>2837</v>
      </c>
      <c r="M211" s="443" t="s">
        <v>272</v>
      </c>
    </row>
    <row r="212" spans="1:13">
      <c r="A212" s="443" t="s">
        <v>321</v>
      </c>
      <c r="B212" s="444" t="s">
        <v>334</v>
      </c>
      <c r="G212" s="443" t="s">
        <v>2647</v>
      </c>
      <c r="L212" s="443" t="s">
        <v>2837</v>
      </c>
      <c r="M212" s="443" t="s">
        <v>321</v>
      </c>
    </row>
    <row r="213" spans="1:13">
      <c r="A213" s="443" t="s">
        <v>323</v>
      </c>
      <c r="B213" s="444" t="s">
        <v>335</v>
      </c>
      <c r="G213" s="443" t="s">
        <v>2647</v>
      </c>
      <c r="L213" s="443" t="s">
        <v>2837</v>
      </c>
      <c r="M213" s="443" t="s">
        <v>323</v>
      </c>
    </row>
    <row r="214" spans="1:13">
      <c r="A214" s="443" t="s">
        <v>339</v>
      </c>
      <c r="B214" s="444">
        <v>44141</v>
      </c>
      <c r="G214" s="443" t="s">
        <v>2647</v>
      </c>
      <c r="L214" s="443" t="s">
        <v>2837</v>
      </c>
      <c r="M214" s="443" t="s">
        <v>339</v>
      </c>
    </row>
    <row r="215" spans="1:13">
      <c r="A215" s="443" t="s">
        <v>340</v>
      </c>
      <c r="B215" s="444">
        <v>44083</v>
      </c>
      <c r="G215" s="443" t="s">
        <v>2647</v>
      </c>
      <c r="L215" s="443" t="s">
        <v>2837</v>
      </c>
      <c r="M215" s="443" t="s">
        <v>340</v>
      </c>
    </row>
    <row r="216" spans="1:13">
      <c r="A216" s="443" t="s">
        <v>355</v>
      </c>
      <c r="B216" s="444">
        <v>44090</v>
      </c>
      <c r="G216" s="443" t="s">
        <v>2647</v>
      </c>
      <c r="L216" s="443" t="s">
        <v>2837</v>
      </c>
      <c r="M216" s="443" t="s">
        <v>355</v>
      </c>
    </row>
    <row r="217" spans="1:13">
      <c r="A217" s="443" t="s">
        <v>376</v>
      </c>
      <c r="B217" s="444">
        <v>44111</v>
      </c>
      <c r="G217" s="443" t="s">
        <v>2647</v>
      </c>
      <c r="L217" s="443" t="s">
        <v>2837</v>
      </c>
      <c r="M217" s="443" t="s">
        <v>376</v>
      </c>
    </row>
    <row r="218" spans="1:13">
      <c r="A218" s="443" t="s">
        <v>377</v>
      </c>
      <c r="B218" s="444">
        <v>44176</v>
      </c>
      <c r="G218" s="443" t="s">
        <v>2647</v>
      </c>
      <c r="L218" s="443" t="s">
        <v>2837</v>
      </c>
      <c r="M218" s="443" t="s">
        <v>377</v>
      </c>
    </row>
    <row r="219" spans="1:13">
      <c r="A219" s="443" t="s">
        <v>378</v>
      </c>
      <c r="B219" s="444">
        <v>44118</v>
      </c>
      <c r="G219" s="443" t="s">
        <v>2647</v>
      </c>
      <c r="L219" s="443" t="s">
        <v>2837</v>
      </c>
      <c r="M219" s="443" t="s">
        <v>378</v>
      </c>
    </row>
    <row r="220" spans="1:13">
      <c r="A220" s="443" t="s">
        <v>379</v>
      </c>
      <c r="B220" s="444">
        <v>44125</v>
      </c>
      <c r="G220" s="443" t="s">
        <v>2647</v>
      </c>
      <c r="L220" s="443" t="s">
        <v>2837</v>
      </c>
      <c r="M220" s="443" t="s">
        <v>379</v>
      </c>
    </row>
    <row r="221" spans="1:13">
      <c r="A221" s="443" t="s">
        <v>387</v>
      </c>
      <c r="B221" s="444">
        <v>44139</v>
      </c>
      <c r="G221" s="443" t="s">
        <v>2647</v>
      </c>
      <c r="L221" s="443" t="s">
        <v>2837</v>
      </c>
      <c r="M221" s="443" t="s">
        <v>387</v>
      </c>
    </row>
    <row r="222" spans="1:13">
      <c r="A222" s="443" t="s">
        <v>389</v>
      </c>
      <c r="B222" s="444">
        <v>44146</v>
      </c>
      <c r="G222" s="443" t="s">
        <v>2647</v>
      </c>
      <c r="L222" s="443" t="s">
        <v>2837</v>
      </c>
      <c r="M222" s="443" t="s">
        <v>389</v>
      </c>
    </row>
    <row r="223" spans="1:13">
      <c r="A223" s="443" t="s">
        <v>391</v>
      </c>
      <c r="B223" s="444">
        <v>44167</v>
      </c>
      <c r="G223" s="443" t="s">
        <v>2647</v>
      </c>
      <c r="L223" s="443" t="s">
        <v>2837</v>
      </c>
      <c r="M223" s="443" t="s">
        <v>391</v>
      </c>
    </row>
    <row r="224" spans="1:13">
      <c r="A224" s="443" t="s">
        <v>392</v>
      </c>
      <c r="B224" s="444">
        <v>44232</v>
      </c>
      <c r="G224" s="443" t="s">
        <v>2647</v>
      </c>
      <c r="L224" s="443" t="s">
        <v>2837</v>
      </c>
      <c r="M224" s="443" t="s">
        <v>392</v>
      </c>
    </row>
    <row r="225" spans="1:13">
      <c r="A225" s="443" t="s">
        <v>393</v>
      </c>
      <c r="B225" s="444">
        <v>44174</v>
      </c>
      <c r="G225" s="443" t="s">
        <v>2647</v>
      </c>
      <c r="L225" s="443" t="s">
        <v>2837</v>
      </c>
      <c r="M225" s="443" t="s">
        <v>393</v>
      </c>
    </row>
    <row r="226" spans="1:13">
      <c r="A226" s="443" t="s">
        <v>398</v>
      </c>
      <c r="B226" s="444">
        <v>44202</v>
      </c>
      <c r="G226" s="443" t="s">
        <v>2647</v>
      </c>
      <c r="L226" s="443" t="s">
        <v>2837</v>
      </c>
      <c r="M226" s="443" t="s">
        <v>398</v>
      </c>
    </row>
    <row r="227" spans="1:13">
      <c r="A227" s="443" t="s">
        <v>405</v>
      </c>
      <c r="B227" s="444">
        <v>44209</v>
      </c>
      <c r="G227" s="443" t="s">
        <v>2647</v>
      </c>
      <c r="L227" s="443" t="s">
        <v>2837</v>
      </c>
      <c r="M227" s="443" t="s">
        <v>405</v>
      </c>
    </row>
    <row r="228" spans="1:13">
      <c r="A228" s="443" t="s">
        <v>408</v>
      </c>
      <c r="B228" s="444">
        <v>44216</v>
      </c>
      <c r="G228" s="443" t="s">
        <v>2647</v>
      </c>
      <c r="L228" s="443" t="s">
        <v>2837</v>
      </c>
      <c r="M228" s="443" t="s">
        <v>408</v>
      </c>
    </row>
    <row r="229" spans="1:13">
      <c r="A229" s="443" t="s">
        <v>409</v>
      </c>
      <c r="B229" s="444">
        <v>44237</v>
      </c>
      <c r="G229" s="443" t="s">
        <v>2647</v>
      </c>
      <c r="L229" s="443" t="s">
        <v>2837</v>
      </c>
      <c r="M229" s="443" t="s">
        <v>409</v>
      </c>
    </row>
    <row r="230" spans="1:13">
      <c r="A230" s="443" t="s">
        <v>410</v>
      </c>
      <c r="B230" s="444">
        <v>44251</v>
      </c>
      <c r="G230" s="443" t="s">
        <v>2647</v>
      </c>
      <c r="L230" s="443" t="s">
        <v>2837</v>
      </c>
      <c r="M230" s="443" t="s">
        <v>410</v>
      </c>
    </row>
    <row r="231" spans="1:13">
      <c r="A231" s="443" t="s">
        <v>411</v>
      </c>
      <c r="B231" s="444">
        <v>44322</v>
      </c>
      <c r="G231" s="443" t="s">
        <v>2647</v>
      </c>
      <c r="L231" s="443" t="s">
        <v>2837</v>
      </c>
      <c r="M231" s="443" t="s">
        <v>411</v>
      </c>
    </row>
    <row r="232" spans="1:13">
      <c r="A232" s="443" t="s">
        <v>412</v>
      </c>
      <c r="B232" s="444">
        <v>44272</v>
      </c>
      <c r="G232" s="443" t="s">
        <v>2647</v>
      </c>
      <c r="L232" s="443" t="s">
        <v>2837</v>
      </c>
      <c r="M232" s="443" t="s">
        <v>412</v>
      </c>
    </row>
    <row r="233" spans="1:13">
      <c r="A233" s="443" t="s">
        <v>415</v>
      </c>
      <c r="B233" s="444">
        <v>44280</v>
      </c>
      <c r="G233" s="443" t="s">
        <v>2647</v>
      </c>
      <c r="L233" s="443" t="s">
        <v>2837</v>
      </c>
      <c r="M233" s="443" t="s">
        <v>415</v>
      </c>
    </row>
    <row r="234" spans="1:13">
      <c r="A234" s="443" t="s">
        <v>416</v>
      </c>
      <c r="B234" s="444">
        <v>44300</v>
      </c>
      <c r="G234" s="443" t="s">
        <v>2647</v>
      </c>
      <c r="L234" s="443" t="s">
        <v>2837</v>
      </c>
      <c r="M234" s="443" t="s">
        <v>416</v>
      </c>
    </row>
    <row r="235" spans="1:13">
      <c r="A235" s="443" t="s">
        <v>419</v>
      </c>
      <c r="B235" s="444">
        <v>44307</v>
      </c>
      <c r="G235" s="443" t="s">
        <v>2647</v>
      </c>
      <c r="L235" s="443" t="s">
        <v>2837</v>
      </c>
      <c r="M235" s="443" t="s">
        <v>419</v>
      </c>
    </row>
    <row r="236" spans="1:13">
      <c r="A236" s="443" t="s">
        <v>420</v>
      </c>
      <c r="B236" s="444">
        <v>44321</v>
      </c>
      <c r="G236" s="443" t="s">
        <v>2647</v>
      </c>
      <c r="L236" s="443" t="s">
        <v>2837</v>
      </c>
      <c r="M236" s="443" t="s">
        <v>420</v>
      </c>
    </row>
    <row r="237" spans="1:13">
      <c r="A237" s="443" t="s">
        <v>421</v>
      </c>
      <c r="B237" s="444">
        <v>44328</v>
      </c>
      <c r="G237" s="443" t="s">
        <v>2647</v>
      </c>
      <c r="L237" s="443" t="s">
        <v>2837</v>
      </c>
      <c r="M237" s="443" t="s">
        <v>421</v>
      </c>
    </row>
    <row r="238" spans="1:13">
      <c r="A238" s="443" t="s">
        <v>423</v>
      </c>
      <c r="B238" s="444">
        <v>44335</v>
      </c>
      <c r="G238" s="443" t="s">
        <v>2647</v>
      </c>
      <c r="L238" s="443" t="s">
        <v>2837</v>
      </c>
      <c r="M238" s="443" t="s">
        <v>423</v>
      </c>
    </row>
    <row r="239" spans="1:13">
      <c r="A239" s="443" t="s">
        <v>424</v>
      </c>
      <c r="B239" s="444">
        <v>44414</v>
      </c>
      <c r="G239" s="443" t="s">
        <v>2647</v>
      </c>
      <c r="L239" s="443" t="s">
        <v>2837</v>
      </c>
      <c r="M239" s="443" t="s">
        <v>424</v>
      </c>
    </row>
    <row r="240" spans="1:13">
      <c r="A240" s="443" t="s">
        <v>426</v>
      </c>
      <c r="B240" s="444">
        <v>44363</v>
      </c>
      <c r="G240" s="443" t="s">
        <v>2647</v>
      </c>
      <c r="L240" s="443" t="s">
        <v>2837</v>
      </c>
      <c r="M240" s="443" t="s">
        <v>426</v>
      </c>
    </row>
    <row r="241" spans="1:13">
      <c r="A241" s="443" t="s">
        <v>428</v>
      </c>
      <c r="B241" s="444">
        <v>44377</v>
      </c>
      <c r="G241" s="443" t="s">
        <v>2647</v>
      </c>
      <c r="L241" s="443" t="s">
        <v>2837</v>
      </c>
      <c r="M241" s="443" t="s">
        <v>428</v>
      </c>
    </row>
    <row r="242" spans="1:13">
      <c r="A242" s="443" t="s">
        <v>429</v>
      </c>
      <c r="B242" s="444">
        <v>44449</v>
      </c>
      <c r="G242" s="443" t="s">
        <v>2647</v>
      </c>
      <c r="L242" s="443" t="s">
        <v>2837</v>
      </c>
      <c r="M242" s="443" t="s">
        <v>429</v>
      </c>
    </row>
    <row r="243" spans="1:13">
      <c r="A243" s="443" t="s">
        <v>430</v>
      </c>
      <c r="B243" s="444">
        <v>44391</v>
      </c>
      <c r="G243" s="443" t="s">
        <v>2647</v>
      </c>
      <c r="L243" s="443" t="s">
        <v>2837</v>
      </c>
      <c r="M243" s="443" t="s">
        <v>430</v>
      </c>
    </row>
    <row r="244" spans="1:13">
      <c r="A244" s="443" t="s">
        <v>433</v>
      </c>
      <c r="B244" s="444">
        <v>44405</v>
      </c>
      <c r="G244" s="443" t="s">
        <v>2647</v>
      </c>
      <c r="L244" s="443" t="s">
        <v>2837</v>
      </c>
      <c r="M244" s="443" t="s">
        <v>433</v>
      </c>
    </row>
    <row r="245" spans="1:13">
      <c r="A245" s="443" t="s">
        <v>445</v>
      </c>
      <c r="B245" s="444">
        <v>44419</v>
      </c>
      <c r="G245" s="443" t="s">
        <v>2647</v>
      </c>
      <c r="L245" s="443" t="s">
        <v>2837</v>
      </c>
      <c r="M245" s="443" t="s">
        <v>445</v>
      </c>
    </row>
    <row r="246" spans="1:13">
      <c r="A246" s="443" t="s">
        <v>447</v>
      </c>
      <c r="B246" s="444">
        <v>44433</v>
      </c>
      <c r="G246" s="443" t="s">
        <v>2647</v>
      </c>
      <c r="L246" s="443" t="s">
        <v>2837</v>
      </c>
      <c r="M246" s="443" t="s">
        <v>447</v>
      </c>
    </row>
    <row r="247" spans="1:13">
      <c r="A247" s="443" t="s">
        <v>450</v>
      </c>
      <c r="B247" s="444">
        <v>44447</v>
      </c>
      <c r="G247" s="443" t="s">
        <v>2647</v>
      </c>
      <c r="L247" s="443" t="s">
        <v>2837</v>
      </c>
      <c r="M247" s="443" t="s">
        <v>450</v>
      </c>
    </row>
    <row r="248" spans="1:13">
      <c r="A248" s="443" t="s">
        <v>454</v>
      </c>
      <c r="B248" s="444">
        <v>44461</v>
      </c>
      <c r="G248" s="443" t="s">
        <v>2647</v>
      </c>
      <c r="L248" s="443" t="s">
        <v>2837</v>
      </c>
      <c r="M248" s="443" t="s">
        <v>454</v>
      </c>
    </row>
    <row r="249" spans="1:13">
      <c r="A249" s="443" t="s">
        <v>456</v>
      </c>
      <c r="B249" s="444">
        <v>44469</v>
      </c>
      <c r="G249" s="443" t="s">
        <v>2647</v>
      </c>
      <c r="L249" s="443" t="s">
        <v>2837</v>
      </c>
      <c r="M249" s="443" t="s">
        <v>456</v>
      </c>
    </row>
    <row r="250" spans="1:13">
      <c r="A250" s="443" t="s">
        <v>457</v>
      </c>
      <c r="B250" s="444">
        <v>44475</v>
      </c>
      <c r="G250" s="443" t="s">
        <v>2647</v>
      </c>
      <c r="L250" s="443" t="s">
        <v>2837</v>
      </c>
      <c r="M250" s="443" t="s">
        <v>457</v>
      </c>
    </row>
    <row r="251" spans="1:13">
      <c r="A251" s="443" t="s">
        <v>458</v>
      </c>
      <c r="B251" s="444">
        <v>44540</v>
      </c>
      <c r="G251" s="443" t="s">
        <v>2647</v>
      </c>
      <c r="L251" s="443" t="s">
        <v>2837</v>
      </c>
      <c r="M251" s="443" t="s">
        <v>458</v>
      </c>
    </row>
    <row r="252" spans="1:13">
      <c r="A252" s="443" t="s">
        <v>459</v>
      </c>
      <c r="B252" s="4">
        <v>44489</v>
      </c>
      <c r="G252" s="443" t="s">
        <v>2647</v>
      </c>
      <c r="L252" s="443" t="s">
        <v>2837</v>
      </c>
      <c r="M252" s="443" t="s">
        <v>459</v>
      </c>
    </row>
    <row r="253" spans="1:13">
      <c r="A253" s="443" t="s">
        <v>460</v>
      </c>
      <c r="B253" s="444">
        <v>44503</v>
      </c>
      <c r="G253" s="443" t="s">
        <v>2647</v>
      </c>
      <c r="L253" s="443" t="s">
        <v>2837</v>
      </c>
      <c r="M253" s="443" t="s">
        <v>460</v>
      </c>
    </row>
    <row r="254" spans="1:13">
      <c r="A254" s="443" t="s">
        <v>464</v>
      </c>
      <c r="B254" s="444">
        <v>44517</v>
      </c>
      <c r="G254" s="443" t="s">
        <v>2647</v>
      </c>
      <c r="L254" s="443" t="s">
        <v>2837</v>
      </c>
      <c r="M254" s="443" t="s">
        <v>464</v>
      </c>
    </row>
    <row r="255" spans="1:13">
      <c r="A255" s="443" t="s">
        <v>467</v>
      </c>
      <c r="B255" s="444">
        <v>44538</v>
      </c>
      <c r="G255" s="443" t="s">
        <v>2647</v>
      </c>
      <c r="L255" s="443" t="s">
        <v>2837</v>
      </c>
      <c r="M255" s="443" t="s">
        <v>467</v>
      </c>
    </row>
    <row r="256" spans="1:13">
      <c r="A256" s="443" t="s">
        <v>468</v>
      </c>
      <c r="B256" s="444">
        <v>44545</v>
      </c>
      <c r="G256" s="443" t="s">
        <v>2647</v>
      </c>
      <c r="L256" s="443" t="s">
        <v>2837</v>
      </c>
      <c r="M256" s="443" t="s">
        <v>468</v>
      </c>
    </row>
    <row r="257" spans="1:13">
      <c r="A257" s="443" t="s">
        <v>470</v>
      </c>
      <c r="B257" s="444">
        <v>44566</v>
      </c>
      <c r="G257" s="443" t="s">
        <v>2647</v>
      </c>
      <c r="L257" s="443" t="s">
        <v>2837</v>
      </c>
      <c r="M257" s="443" t="s">
        <v>470</v>
      </c>
    </row>
    <row r="258" spans="1:13">
      <c r="A258" s="443" t="s">
        <v>471</v>
      </c>
      <c r="B258" s="444">
        <v>44601</v>
      </c>
      <c r="G258" s="443" t="s">
        <v>2647</v>
      </c>
      <c r="L258" s="443" t="s">
        <v>2837</v>
      </c>
      <c r="M258" s="443" t="s">
        <v>471</v>
      </c>
    </row>
    <row r="259" spans="1:13">
      <c r="A259" s="443" t="s">
        <v>477</v>
      </c>
      <c r="B259" s="444">
        <v>44629</v>
      </c>
      <c r="G259" s="443" t="s">
        <v>2647</v>
      </c>
      <c r="L259" s="443" t="s">
        <v>2837</v>
      </c>
      <c r="M259" s="443" t="s">
        <v>477</v>
      </c>
    </row>
    <row r="260" spans="1:13">
      <c r="A260" s="443" t="s">
        <v>466</v>
      </c>
      <c r="B260" s="444">
        <v>44673</v>
      </c>
      <c r="G260" s="443" t="s">
        <v>2647</v>
      </c>
      <c r="L260" s="443" t="s">
        <v>2837</v>
      </c>
      <c r="M260" s="443" t="s">
        <v>466</v>
      </c>
    </row>
    <row r="261" spans="1:13">
      <c r="A261" s="443" t="s">
        <v>479</v>
      </c>
      <c r="B261" s="444">
        <v>44636</v>
      </c>
      <c r="G261" s="443" t="s">
        <v>2647</v>
      </c>
      <c r="L261" s="443" t="s">
        <v>2837</v>
      </c>
      <c r="M261" s="443" t="s">
        <v>479</v>
      </c>
    </row>
    <row r="262" spans="1:13">
      <c r="A262" s="443" t="s">
        <v>480</v>
      </c>
      <c r="B262" s="444">
        <v>44657</v>
      </c>
      <c r="G262" s="443" t="s">
        <v>2647</v>
      </c>
      <c r="L262" s="443" t="s">
        <v>2837</v>
      </c>
      <c r="M262" s="443" t="s">
        <v>480</v>
      </c>
    </row>
    <row r="263" spans="1:13">
      <c r="A263" s="443" t="s">
        <v>481</v>
      </c>
      <c r="B263" s="444">
        <v>44664</v>
      </c>
      <c r="G263" s="443" t="s">
        <v>2647</v>
      </c>
      <c r="L263" s="443" t="s">
        <v>2837</v>
      </c>
      <c r="M263" s="443" t="s">
        <v>481</v>
      </c>
    </row>
    <row r="264" spans="1:13">
      <c r="A264" s="443" t="s">
        <v>482</v>
      </c>
      <c r="B264" s="444">
        <v>44692</v>
      </c>
      <c r="G264" s="443" t="s">
        <v>2647</v>
      </c>
      <c r="L264" s="443" t="s">
        <v>2837</v>
      </c>
      <c r="M264" s="443" t="s">
        <v>482</v>
      </c>
    </row>
    <row r="265" spans="1:13">
      <c r="A265" s="443" t="s">
        <v>483</v>
      </c>
      <c r="B265" s="444">
        <v>44720</v>
      </c>
      <c r="G265" s="443" t="s">
        <v>2647</v>
      </c>
      <c r="L265" s="443" t="s">
        <v>2837</v>
      </c>
      <c r="M265" s="443" t="s">
        <v>483</v>
      </c>
    </row>
    <row r="266" spans="1:13">
      <c r="A266" s="443" t="s">
        <v>484</v>
      </c>
      <c r="B266" s="444">
        <v>44749</v>
      </c>
      <c r="G266" s="443" t="s">
        <v>2647</v>
      </c>
      <c r="L266" s="443" t="s">
        <v>2837</v>
      </c>
      <c r="M266" s="443" t="s">
        <v>484</v>
      </c>
    </row>
    <row r="267" spans="1:13">
      <c r="A267" s="443" t="s">
        <v>486</v>
      </c>
      <c r="B267" s="444">
        <v>44776</v>
      </c>
      <c r="G267" s="443" t="s">
        <v>2647</v>
      </c>
      <c r="L267" s="443" t="s">
        <v>2837</v>
      </c>
      <c r="M267" s="443" t="s">
        <v>486</v>
      </c>
    </row>
    <row r="268" spans="1:13">
      <c r="A268" s="443" t="s">
        <v>490</v>
      </c>
      <c r="B268" s="444">
        <v>44783</v>
      </c>
      <c r="G268" s="443" t="s">
        <v>2647</v>
      </c>
      <c r="L268" s="443" t="s">
        <v>2837</v>
      </c>
      <c r="M268" s="443" t="s">
        <v>490</v>
      </c>
    </row>
    <row r="269" spans="1:13">
      <c r="A269" s="443" t="s">
        <v>492</v>
      </c>
      <c r="B269" s="444">
        <v>44811</v>
      </c>
      <c r="G269" s="443" t="s">
        <v>2647</v>
      </c>
      <c r="L269" s="443" t="s">
        <v>2837</v>
      </c>
      <c r="M269" s="443" t="s">
        <v>492</v>
      </c>
    </row>
    <row r="270" spans="1:13">
      <c r="A270" s="443" t="s">
        <v>493</v>
      </c>
      <c r="B270" s="444">
        <v>44846</v>
      </c>
      <c r="G270" s="443" t="s">
        <v>2647</v>
      </c>
      <c r="L270" s="443" t="s">
        <v>2837</v>
      </c>
      <c r="M270" s="443" t="s">
        <v>493</v>
      </c>
    </row>
    <row r="271" spans="1:13">
      <c r="A271" s="443" t="s">
        <v>496</v>
      </c>
      <c r="B271" s="444">
        <v>44909</v>
      </c>
      <c r="G271" s="443" t="s">
        <v>2647</v>
      </c>
      <c r="L271" s="443" t="s">
        <v>2837</v>
      </c>
      <c r="M271" s="443" t="s">
        <v>496</v>
      </c>
    </row>
    <row r="272" spans="1:13">
      <c r="A272" s="443" t="s">
        <v>502</v>
      </c>
      <c r="B272" s="444">
        <v>44965</v>
      </c>
      <c r="G272" s="443" t="s">
        <v>2647</v>
      </c>
      <c r="L272" s="443" t="s">
        <v>2837</v>
      </c>
      <c r="M272" s="443" t="s">
        <v>502</v>
      </c>
    </row>
    <row r="273" spans="1:13">
      <c r="A273" s="443" t="s">
        <v>890</v>
      </c>
      <c r="B273" s="444">
        <v>45525</v>
      </c>
      <c r="G273" s="443" t="s">
        <v>2647</v>
      </c>
      <c r="L273" s="443" t="s">
        <v>2837</v>
      </c>
      <c r="M273" s="443" t="s">
        <v>890</v>
      </c>
    </row>
    <row r="274" spans="1:13">
      <c r="A274" s="451" t="s">
        <v>504</v>
      </c>
      <c r="B274" s="444" t="s">
        <v>508</v>
      </c>
      <c r="C274" s="183">
        <v>5.4447333100000002E-2</v>
      </c>
      <c r="D274" s="484">
        <v>1</v>
      </c>
      <c r="E274" s="484" t="s">
        <v>247</v>
      </c>
      <c r="F274" s="484" t="s">
        <v>510</v>
      </c>
      <c r="G274" s="443" t="s">
        <v>506</v>
      </c>
      <c r="L274" s="443" t="s">
        <v>507</v>
      </c>
      <c r="M274" s="451" t="s">
        <v>504</v>
      </c>
    </row>
    <row r="275" spans="1:13">
      <c r="A275" s="451" t="s">
        <v>505</v>
      </c>
      <c r="B275" s="444" t="s">
        <v>509</v>
      </c>
      <c r="C275" s="183">
        <v>5.3346996399999999E-2</v>
      </c>
      <c r="D275" s="484">
        <v>1</v>
      </c>
      <c r="E275" s="484" t="s">
        <v>247</v>
      </c>
      <c r="F275" s="484" t="s">
        <v>510</v>
      </c>
      <c r="G275" s="443" t="s">
        <v>506</v>
      </c>
      <c r="L275" s="443" t="s">
        <v>507</v>
      </c>
      <c r="M275" s="451" t="s">
        <v>505</v>
      </c>
    </row>
    <row r="276" spans="1:13">
      <c r="A276" s="451" t="s">
        <v>505</v>
      </c>
      <c r="B276" s="444" t="s">
        <v>509</v>
      </c>
      <c r="C276" s="183">
        <v>5.3179643499999998E-2</v>
      </c>
      <c r="D276" s="484">
        <v>1</v>
      </c>
      <c r="E276" s="484" t="s">
        <v>247</v>
      </c>
      <c r="F276" s="484" t="s">
        <v>510</v>
      </c>
      <c r="G276" s="443" t="s">
        <v>506</v>
      </c>
      <c r="L276" s="443" t="s">
        <v>507</v>
      </c>
      <c r="M276" s="451" t="s">
        <v>505</v>
      </c>
    </row>
    <row r="277" spans="1:13">
      <c r="A277" s="451" t="s">
        <v>505</v>
      </c>
      <c r="B277" s="444" t="s">
        <v>509</v>
      </c>
      <c r="C277" s="183">
        <v>5.4684288399999996E-2</v>
      </c>
      <c r="D277" s="484">
        <v>1</v>
      </c>
      <c r="E277" s="484" t="s">
        <v>247</v>
      </c>
      <c r="F277" s="484" t="s">
        <v>510</v>
      </c>
      <c r="G277" s="443" t="s">
        <v>506</v>
      </c>
      <c r="L277" s="443" t="s">
        <v>507</v>
      </c>
      <c r="M277" s="451" t="s">
        <v>505</v>
      </c>
    </row>
    <row r="278" spans="1:13">
      <c r="A278" s="420" t="s">
        <v>515</v>
      </c>
      <c r="B278" s="444">
        <v>45461</v>
      </c>
      <c r="C278" s="183">
        <f>(100-98.49)/100</f>
        <v>1.5100000000000051E-2</v>
      </c>
      <c r="D278" s="484">
        <v>1</v>
      </c>
      <c r="E278" s="484" t="s">
        <v>247</v>
      </c>
      <c r="F278" s="484" t="s">
        <v>510</v>
      </c>
      <c r="G278" s="443" t="s">
        <v>506</v>
      </c>
      <c r="L278" s="443" t="s">
        <v>507</v>
      </c>
      <c r="M278" s="420" t="s">
        <v>515</v>
      </c>
    </row>
    <row r="279" spans="1:13">
      <c r="A279" s="451" t="s">
        <v>749</v>
      </c>
      <c r="B279" s="444">
        <v>45435</v>
      </c>
      <c r="C279" s="183">
        <f>(100-99.64954)/100</f>
        <v>3.5045999999999823E-3</v>
      </c>
      <c r="D279" s="484">
        <v>1</v>
      </c>
      <c r="E279" s="484" t="s">
        <v>247</v>
      </c>
      <c r="F279" s="484" t="s">
        <v>510</v>
      </c>
      <c r="G279" s="443" t="s">
        <v>506</v>
      </c>
      <c r="L279" s="443" t="s">
        <v>507</v>
      </c>
      <c r="M279" s="451" t="s">
        <v>749</v>
      </c>
    </row>
    <row r="280" spans="1:13">
      <c r="A280" s="451" t="s">
        <v>752</v>
      </c>
      <c r="B280" s="444">
        <v>45620</v>
      </c>
      <c r="C280" s="183">
        <v>0</v>
      </c>
      <c r="D280" s="484">
        <v>1</v>
      </c>
      <c r="E280" s="484" t="s">
        <v>247</v>
      </c>
      <c r="F280" s="484" t="s">
        <v>258</v>
      </c>
      <c r="G280" s="443" t="s">
        <v>506</v>
      </c>
      <c r="L280" s="443" t="s">
        <v>507</v>
      </c>
      <c r="M280" s="451" t="s">
        <v>752</v>
      </c>
    </row>
    <row r="281" spans="1:13">
      <c r="A281" s="451" t="s">
        <v>753</v>
      </c>
      <c r="B281" s="444">
        <v>45638</v>
      </c>
      <c r="C281" s="183">
        <v>0</v>
      </c>
      <c r="D281" s="484">
        <v>1</v>
      </c>
      <c r="E281" s="484" t="s">
        <v>247</v>
      </c>
      <c r="F281" s="484" t="s">
        <v>258</v>
      </c>
      <c r="G281" s="443" t="s">
        <v>506</v>
      </c>
      <c r="L281" s="443" t="s">
        <v>507</v>
      </c>
      <c r="M281" s="451" t="s">
        <v>753</v>
      </c>
    </row>
    <row r="282" spans="1:13" ht="14.25">
      <c r="A282" s="253" t="s">
        <v>2617</v>
      </c>
      <c r="B282" s="444">
        <v>48735</v>
      </c>
      <c r="C282" s="183">
        <v>0.14449999999999999</v>
      </c>
      <c r="D282" s="484">
        <v>1</v>
      </c>
      <c r="E282" s="484" t="s">
        <v>247</v>
      </c>
      <c r="F282" s="100" t="s">
        <v>245</v>
      </c>
      <c r="G282" s="443" t="s">
        <v>263</v>
      </c>
      <c r="I282" s="443" t="s">
        <v>2616</v>
      </c>
      <c r="J282" s="443">
        <v>1000</v>
      </c>
      <c r="K282" s="444">
        <v>45813</v>
      </c>
      <c r="L282" s="443" t="s">
        <v>2835</v>
      </c>
      <c r="M282" s="451" t="s">
        <v>2617</v>
      </c>
    </row>
    <row r="283" spans="1:13">
      <c r="A283" s="451" t="s">
        <v>2940</v>
      </c>
      <c r="B283" s="444">
        <v>47337</v>
      </c>
      <c r="C283" s="183">
        <v>0.1701</v>
      </c>
      <c r="D283" s="484">
        <v>2</v>
      </c>
      <c r="E283" s="484" t="s">
        <v>247</v>
      </c>
      <c r="F283" s="100" t="s">
        <v>245</v>
      </c>
      <c r="G283" s="443" t="s">
        <v>263</v>
      </c>
      <c r="I283" s="443" t="s">
        <v>2939</v>
      </c>
      <c r="J283" s="443">
        <v>1000</v>
      </c>
      <c r="K283" s="444">
        <v>45876</v>
      </c>
      <c r="L283" s="443" t="s">
        <v>2835</v>
      </c>
      <c r="M283" s="451" t="s">
        <v>2940</v>
      </c>
    </row>
    <row r="284" spans="1:13">
      <c r="A284" s="451" t="s">
        <v>2969</v>
      </c>
      <c r="B284" s="444">
        <v>46992</v>
      </c>
      <c r="C284" s="183">
        <v>0.187</v>
      </c>
      <c r="D284" s="484">
        <v>1</v>
      </c>
      <c r="E284" s="484" t="s">
        <v>247</v>
      </c>
      <c r="F284" s="100" t="s">
        <v>245</v>
      </c>
      <c r="G284" s="443" t="s">
        <v>2702</v>
      </c>
      <c r="I284" s="508" t="s">
        <v>2968</v>
      </c>
      <c r="J284" s="443">
        <v>1000</v>
      </c>
      <c r="K284" s="444">
        <v>45896</v>
      </c>
      <c r="L284" s="443" t="s">
        <v>2833</v>
      </c>
      <c r="M284" s="451" t="s">
        <v>2969</v>
      </c>
    </row>
    <row r="285" spans="1:13">
      <c r="A285" s="451" t="s">
        <v>3062</v>
      </c>
      <c r="B285" s="444">
        <v>47020</v>
      </c>
      <c r="C285" s="183">
        <v>0.1885</v>
      </c>
      <c r="D285" s="484">
        <v>1</v>
      </c>
      <c r="E285" s="484" t="s">
        <v>247</v>
      </c>
      <c r="F285" s="100" t="s">
        <v>245</v>
      </c>
      <c r="G285" s="443" t="s">
        <v>2702</v>
      </c>
      <c r="I285" s="420" t="s">
        <v>3063</v>
      </c>
      <c r="J285" s="443">
        <v>1000</v>
      </c>
      <c r="K285" s="444">
        <v>45924</v>
      </c>
      <c r="L285" s="443" t="s">
        <v>2833</v>
      </c>
      <c r="M285" s="451" t="s">
        <v>3062</v>
      </c>
    </row>
    <row r="286" spans="1:13">
      <c r="A286" s="451"/>
      <c r="M286" s="451"/>
    </row>
    <row r="287" spans="1:13">
      <c r="A287" s="451"/>
      <c r="M287" s="451"/>
    </row>
  </sheetData>
  <autoFilter ref="A1:S284" xr:uid="{00000000-0001-0000-1300-000000000000}"/>
  <sortState xmlns:xlrd2="http://schemas.microsoft.com/office/spreadsheetml/2017/richdata2" ref="K22:L30">
    <sortCondition ref="L22:L30"/>
  </sortState>
  <phoneticPr fontId="115" type="noConversion"/>
  <conditionalFormatting sqref="A274:A277">
    <cfRule type="duplicateValues" dxfId="18" priority="22"/>
  </conditionalFormatting>
  <conditionalFormatting sqref="A279">
    <cfRule type="duplicateValues" dxfId="17" priority="12"/>
  </conditionalFormatting>
  <conditionalFormatting sqref="A280">
    <cfRule type="duplicateValues" dxfId="16" priority="9"/>
  </conditionalFormatting>
  <conditionalFormatting sqref="A281">
    <cfRule type="duplicateValues" dxfId="15" priority="8"/>
  </conditionalFormatting>
  <conditionalFormatting sqref="M274:M277">
    <cfRule type="duplicateValues" dxfId="14" priority="7"/>
  </conditionalFormatting>
  <conditionalFormatting sqref="M279">
    <cfRule type="duplicateValues" dxfId="13" priority="6"/>
  </conditionalFormatting>
  <conditionalFormatting sqref="M280">
    <cfRule type="duplicateValues" dxfId="12" priority="5"/>
  </conditionalFormatting>
  <conditionalFormatting sqref="M280:M287">
    <cfRule type="duplicateValues" dxfId="11" priority="4"/>
  </conditionalFormatting>
  <conditionalFormatting sqref="A283:A287">
    <cfRule type="duplicateValues" dxfId="10" priority="2"/>
  </conditionalFormatting>
  <conditionalFormatting sqref="M285">
    <cfRule type="duplicateValues" dxfId="9" priority="1"/>
  </conditionalFormatting>
  <hyperlinks>
    <hyperlink ref="G284" r:id="rId1" display="https://old.kase.kz/ru/issuers/KZIK/" xr:uid="{37FC383A-7D27-431C-BC9C-BFA8755B63B6}"/>
    <hyperlink ref="G285" r:id="rId2" display="https://old.kase.kz/ru/issuers/KZIK/" xr:uid="{3279EB32-F7DC-453B-9955-DD28D720DBDC}"/>
  </hyperlinks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>
    <tabColor rgb="FFFF0000"/>
  </sheetPr>
  <dimension ref="B1:J74"/>
  <sheetViews>
    <sheetView topLeftCell="A25" workbookViewId="0">
      <selection activeCell="I48" sqref="I48"/>
    </sheetView>
  </sheetViews>
  <sheetFormatPr defaultRowHeight="12.75"/>
  <cols>
    <col min="2" max="2" width="10.140625" bestFit="1" customWidth="1"/>
    <col min="5" max="5" width="15.42578125" bestFit="1" customWidth="1"/>
    <col min="9" max="9" width="10.140625" bestFit="1" customWidth="1"/>
    <col min="10" max="10" width="21.5703125" bestFit="1" customWidth="1"/>
  </cols>
  <sheetData>
    <row r="1" spans="2:10">
      <c r="B1" t="s">
        <v>358</v>
      </c>
    </row>
    <row r="2" spans="2:10">
      <c r="B2" t="s">
        <v>266</v>
      </c>
      <c r="C2" t="s">
        <v>357</v>
      </c>
      <c r="I2" t="s">
        <v>359</v>
      </c>
      <c r="J2" s="14">
        <v>43831</v>
      </c>
    </row>
    <row r="3" spans="2:10">
      <c r="B3" s="14">
        <v>43496</v>
      </c>
      <c r="C3">
        <v>0.5</v>
      </c>
      <c r="D3">
        <f>(C3+100)/100</f>
        <v>1.0049999999999999</v>
      </c>
      <c r="I3" t="s">
        <v>360</v>
      </c>
    </row>
    <row r="4" spans="2:10">
      <c r="B4" s="14">
        <v>43524</v>
      </c>
      <c r="C4">
        <v>0.3</v>
      </c>
      <c r="D4">
        <f t="shared" ref="D4:D49" si="0">(C4+100)/100</f>
        <v>1.0029999999999999</v>
      </c>
    </row>
    <row r="5" spans="2:10">
      <c r="B5" s="14">
        <v>43555</v>
      </c>
      <c r="C5">
        <v>0.5</v>
      </c>
      <c r="D5">
        <f t="shared" si="0"/>
        <v>1.0049999999999999</v>
      </c>
      <c r="J5" t="s">
        <v>358</v>
      </c>
    </row>
    <row r="6" spans="2:10">
      <c r="B6" s="14">
        <v>43585</v>
      </c>
      <c r="C6">
        <v>0.5</v>
      </c>
      <c r="D6">
        <f t="shared" si="0"/>
        <v>1.0049999999999999</v>
      </c>
      <c r="J6" t="e">
        <f ca="1">_xll.BFieldInfo(J$7)</f>
        <v>#NAME?</v>
      </c>
    </row>
    <row r="7" spans="2:10">
      <c r="B7" s="14">
        <v>43616</v>
      </c>
      <c r="C7">
        <v>0.6</v>
      </c>
      <c r="D7">
        <f t="shared" si="0"/>
        <v>1.006</v>
      </c>
      <c r="I7" t="s">
        <v>361</v>
      </c>
      <c r="J7" t="s">
        <v>362</v>
      </c>
    </row>
    <row r="8" spans="2:10">
      <c r="B8" s="14">
        <v>43646</v>
      </c>
      <c r="C8">
        <v>0.2</v>
      </c>
      <c r="D8">
        <f t="shared" si="0"/>
        <v>1.002</v>
      </c>
      <c r="I8" s="158" t="e">
        <f ca="1">_xll.BDH(J$5,J$7,$J2,$J3,"Dir=V","Per=M","Dts=S","cols=2;rows=34")</f>
        <v>#NAME?</v>
      </c>
      <c r="J8">
        <v>0.7</v>
      </c>
    </row>
    <row r="9" spans="2:10">
      <c r="B9" s="14">
        <v>43677</v>
      </c>
      <c r="C9">
        <v>0.2</v>
      </c>
      <c r="D9">
        <f t="shared" si="0"/>
        <v>1.002</v>
      </c>
      <c r="I9" s="158">
        <v>43890</v>
      </c>
      <c r="J9">
        <v>0.6</v>
      </c>
    </row>
    <row r="10" spans="2:10">
      <c r="B10" s="14">
        <v>43708</v>
      </c>
      <c r="C10">
        <v>0.2</v>
      </c>
      <c r="D10">
        <f t="shared" si="0"/>
        <v>1.002</v>
      </c>
      <c r="I10" s="158">
        <v>43921</v>
      </c>
      <c r="J10">
        <v>0.9</v>
      </c>
    </row>
    <row r="11" spans="2:10">
      <c r="B11" s="14">
        <v>43738</v>
      </c>
      <c r="C11">
        <v>0.3</v>
      </c>
      <c r="D11">
        <f t="shared" si="0"/>
        <v>1.0029999999999999</v>
      </c>
      <c r="I11" s="158">
        <v>43951</v>
      </c>
      <c r="J11">
        <v>0.9</v>
      </c>
    </row>
    <row r="12" spans="2:10">
      <c r="B12" s="14">
        <v>43769</v>
      </c>
      <c r="C12">
        <v>0.6</v>
      </c>
      <c r="D12">
        <f t="shared" si="0"/>
        <v>1.006</v>
      </c>
      <c r="I12" s="158">
        <v>43982</v>
      </c>
      <c r="J12">
        <v>0.5</v>
      </c>
    </row>
    <row r="13" spans="2:10">
      <c r="B13" s="14">
        <v>43799</v>
      </c>
      <c r="C13">
        <v>0.7</v>
      </c>
      <c r="D13">
        <f t="shared" si="0"/>
        <v>1.0070000000000001</v>
      </c>
      <c r="I13" s="158">
        <v>44012</v>
      </c>
      <c r="J13">
        <v>0.4</v>
      </c>
    </row>
    <row r="14" spans="2:10">
      <c r="B14" s="14">
        <v>43830</v>
      </c>
      <c r="C14">
        <v>0.7</v>
      </c>
      <c r="D14">
        <f t="shared" si="0"/>
        <v>1.0070000000000001</v>
      </c>
      <c r="F14" s="159"/>
      <c r="I14" s="158">
        <v>44043</v>
      </c>
      <c r="J14">
        <v>0.3</v>
      </c>
    </row>
    <row r="15" spans="2:10">
      <c r="B15" s="14">
        <v>43861</v>
      </c>
      <c r="C15">
        <v>0.7</v>
      </c>
      <c r="D15">
        <f t="shared" si="0"/>
        <v>1.0070000000000001</v>
      </c>
      <c r="I15" s="158">
        <v>44074</v>
      </c>
      <c r="J15">
        <v>0.1</v>
      </c>
    </row>
    <row r="16" spans="2:10">
      <c r="B16" s="14">
        <v>43890</v>
      </c>
      <c r="C16">
        <v>0.6</v>
      </c>
      <c r="D16">
        <f t="shared" si="0"/>
        <v>1.006</v>
      </c>
      <c r="I16" s="158">
        <v>44104</v>
      </c>
      <c r="J16">
        <v>0.3</v>
      </c>
    </row>
    <row r="17" spans="2:10">
      <c r="B17" s="14">
        <v>43921</v>
      </c>
      <c r="C17">
        <v>0.9</v>
      </c>
      <c r="D17">
        <f t="shared" si="0"/>
        <v>1.0090000000000001</v>
      </c>
      <c r="I17" s="158">
        <v>44135</v>
      </c>
      <c r="J17">
        <v>0.6</v>
      </c>
    </row>
    <row r="18" spans="2:10">
      <c r="B18" s="14">
        <v>43951</v>
      </c>
      <c r="C18">
        <v>0.9</v>
      </c>
      <c r="D18">
        <f t="shared" si="0"/>
        <v>1.0090000000000001</v>
      </c>
      <c r="I18" s="158">
        <v>44165</v>
      </c>
      <c r="J18">
        <v>0.9</v>
      </c>
    </row>
    <row r="19" spans="2:10">
      <c r="B19" s="14">
        <v>43982</v>
      </c>
      <c r="C19">
        <v>0.5</v>
      </c>
      <c r="D19">
        <f t="shared" si="0"/>
        <v>1.0049999999999999</v>
      </c>
      <c r="I19" s="158">
        <v>44196</v>
      </c>
      <c r="J19">
        <v>0.9</v>
      </c>
    </row>
    <row r="20" spans="2:10">
      <c r="B20" s="14">
        <v>44012</v>
      </c>
      <c r="C20">
        <v>0.4</v>
      </c>
      <c r="D20">
        <f t="shared" si="0"/>
        <v>1.004</v>
      </c>
      <c r="I20" s="158">
        <v>44227</v>
      </c>
      <c r="J20">
        <v>0.6</v>
      </c>
    </row>
    <row r="21" spans="2:10">
      <c r="B21" s="14">
        <v>44043</v>
      </c>
      <c r="C21">
        <v>0.3</v>
      </c>
      <c r="D21">
        <f t="shared" si="0"/>
        <v>1.0029999999999999</v>
      </c>
      <c r="I21" s="158">
        <v>44255</v>
      </c>
      <c r="J21">
        <v>0.7</v>
      </c>
    </row>
    <row r="22" spans="2:10">
      <c r="B22" s="158">
        <v>44074</v>
      </c>
      <c r="C22">
        <v>0.1</v>
      </c>
      <c r="D22">
        <f t="shared" si="0"/>
        <v>1.0009999999999999</v>
      </c>
      <c r="F22" s="1"/>
      <c r="I22" s="158">
        <v>44286</v>
      </c>
      <c r="J22">
        <v>0.6</v>
      </c>
    </row>
    <row r="23" spans="2:10">
      <c r="B23" s="158">
        <v>44104</v>
      </c>
      <c r="C23">
        <v>0.3</v>
      </c>
      <c r="D23">
        <f t="shared" si="0"/>
        <v>1.0029999999999999</v>
      </c>
      <c r="I23" s="158">
        <v>44316</v>
      </c>
      <c r="J23">
        <v>0.9</v>
      </c>
    </row>
    <row r="24" spans="2:10">
      <c r="B24" s="158">
        <v>44135</v>
      </c>
      <c r="C24">
        <v>0.6</v>
      </c>
      <c r="D24">
        <f t="shared" si="0"/>
        <v>1.006</v>
      </c>
      <c r="F24" s="159"/>
      <c r="I24" s="158">
        <v>44347</v>
      </c>
      <c r="J24">
        <v>0.7</v>
      </c>
    </row>
    <row r="25" spans="2:10">
      <c r="B25" s="158">
        <v>44165</v>
      </c>
      <c r="C25">
        <v>0.9</v>
      </c>
      <c r="D25">
        <f t="shared" si="0"/>
        <v>1.0090000000000001</v>
      </c>
      <c r="F25" s="159"/>
      <c r="I25" s="158">
        <v>44377</v>
      </c>
      <c r="J25">
        <v>1.1000000000000001</v>
      </c>
    </row>
    <row r="26" spans="2:10">
      <c r="B26" s="158">
        <v>44196</v>
      </c>
      <c r="C26">
        <v>0.9</v>
      </c>
      <c r="D26">
        <f t="shared" si="0"/>
        <v>1.0090000000000001</v>
      </c>
      <c r="I26" s="158">
        <v>44408</v>
      </c>
      <c r="J26">
        <v>0.7</v>
      </c>
    </row>
    <row r="27" spans="2:10">
      <c r="B27" s="158">
        <v>44227</v>
      </c>
      <c r="C27">
        <v>0.6</v>
      </c>
      <c r="D27">
        <f t="shared" si="0"/>
        <v>1.006</v>
      </c>
      <c r="F27" s="161"/>
      <c r="I27" s="158">
        <v>44439</v>
      </c>
      <c r="J27">
        <v>0.5</v>
      </c>
    </row>
    <row r="28" spans="2:10">
      <c r="B28" s="158">
        <v>44255</v>
      </c>
      <c r="C28">
        <v>0.7</v>
      </c>
      <c r="D28">
        <f t="shared" si="0"/>
        <v>1.0070000000000001</v>
      </c>
      <c r="F28" s="159"/>
      <c r="I28" s="158">
        <v>44469</v>
      </c>
      <c r="J28">
        <v>0.4</v>
      </c>
    </row>
    <row r="29" spans="2:10">
      <c r="B29" s="158">
        <v>44286</v>
      </c>
      <c r="C29">
        <v>0.6</v>
      </c>
      <c r="D29">
        <f t="shared" si="0"/>
        <v>1.006</v>
      </c>
      <c r="I29" s="158">
        <v>44500</v>
      </c>
      <c r="J29" s="172">
        <v>0.7</v>
      </c>
    </row>
    <row r="30" spans="2:10">
      <c r="B30" s="158">
        <v>44316</v>
      </c>
      <c r="C30">
        <v>0.9</v>
      </c>
      <c r="D30">
        <f t="shared" si="0"/>
        <v>1.0090000000000001</v>
      </c>
      <c r="I30" s="158">
        <v>44530</v>
      </c>
      <c r="J30">
        <v>0.7</v>
      </c>
    </row>
    <row r="31" spans="2:10">
      <c r="B31" s="158">
        <v>44347</v>
      </c>
      <c r="C31">
        <v>0.7</v>
      </c>
      <c r="D31">
        <f t="shared" si="0"/>
        <v>1.0070000000000001</v>
      </c>
      <c r="I31" s="158">
        <v>44561</v>
      </c>
      <c r="J31">
        <v>0.6</v>
      </c>
    </row>
    <row r="32" spans="2:10">
      <c r="B32" s="158">
        <v>44377</v>
      </c>
      <c r="C32">
        <v>1.1000000000000001</v>
      </c>
      <c r="D32">
        <f t="shared" si="0"/>
        <v>1.0109999999999999</v>
      </c>
      <c r="I32" s="158">
        <v>44592</v>
      </c>
      <c r="J32">
        <v>0.7</v>
      </c>
    </row>
    <row r="33" spans="2:10">
      <c r="B33" s="158">
        <v>44408</v>
      </c>
      <c r="C33">
        <v>0.7</v>
      </c>
      <c r="D33">
        <f t="shared" si="0"/>
        <v>1.0070000000000001</v>
      </c>
      <c r="I33" s="158">
        <v>44620</v>
      </c>
      <c r="J33">
        <v>0.8</v>
      </c>
    </row>
    <row r="34" spans="2:10">
      <c r="B34" s="158">
        <v>44439</v>
      </c>
      <c r="C34">
        <v>0.5</v>
      </c>
      <c r="D34">
        <f t="shared" si="0"/>
        <v>1.0049999999999999</v>
      </c>
      <c r="I34" s="158">
        <v>44651</v>
      </c>
      <c r="J34">
        <v>3.7</v>
      </c>
    </row>
    <row r="35" spans="2:10">
      <c r="B35" s="158">
        <v>44469</v>
      </c>
      <c r="C35">
        <v>0.4</v>
      </c>
      <c r="D35">
        <f t="shared" si="0"/>
        <v>1.004</v>
      </c>
      <c r="I35" s="158">
        <v>44681</v>
      </c>
      <c r="J35">
        <v>2</v>
      </c>
    </row>
    <row r="36" spans="2:10">
      <c r="B36" s="158">
        <v>44500</v>
      </c>
      <c r="C36">
        <v>0.7</v>
      </c>
      <c r="D36">
        <f t="shared" si="0"/>
        <v>1.0070000000000001</v>
      </c>
      <c r="I36" s="158">
        <v>44712</v>
      </c>
      <c r="J36" s="172">
        <v>1.4</v>
      </c>
    </row>
    <row r="37" spans="2:10">
      <c r="B37" s="158">
        <v>44530</v>
      </c>
      <c r="C37">
        <v>0.7</v>
      </c>
      <c r="D37">
        <f t="shared" si="0"/>
        <v>1.0070000000000001</v>
      </c>
      <c r="I37" s="158">
        <v>44742</v>
      </c>
      <c r="J37">
        <v>1.6</v>
      </c>
    </row>
    <row r="38" spans="2:10">
      <c r="B38" s="158">
        <v>44561</v>
      </c>
      <c r="C38">
        <v>0.6</v>
      </c>
      <c r="D38">
        <f t="shared" si="0"/>
        <v>1.006</v>
      </c>
      <c r="E38" s="162"/>
      <c r="I38" s="158">
        <v>44773</v>
      </c>
      <c r="J38">
        <v>1.1000000000000001</v>
      </c>
    </row>
    <row r="39" spans="2:10">
      <c r="B39" s="158">
        <v>44592</v>
      </c>
      <c r="C39">
        <v>0.7</v>
      </c>
      <c r="D39">
        <f t="shared" si="0"/>
        <v>1.0070000000000001</v>
      </c>
      <c r="E39" s="162"/>
      <c r="I39" s="158">
        <v>44804</v>
      </c>
      <c r="J39">
        <v>1.4</v>
      </c>
    </row>
    <row r="40" spans="2:10">
      <c r="B40" s="158">
        <v>44620</v>
      </c>
      <c r="C40">
        <v>0.8</v>
      </c>
      <c r="D40">
        <f t="shared" si="0"/>
        <v>1.008</v>
      </c>
      <c r="E40" s="162"/>
      <c r="I40" s="158">
        <v>44834</v>
      </c>
      <c r="J40">
        <v>1.8</v>
      </c>
    </row>
    <row r="41" spans="2:10">
      <c r="B41" s="158">
        <v>44651</v>
      </c>
      <c r="C41">
        <v>3.7</v>
      </c>
      <c r="D41">
        <f t="shared" si="0"/>
        <v>1.0369999999999999</v>
      </c>
      <c r="E41" s="162"/>
      <c r="I41" s="158">
        <v>44865</v>
      </c>
      <c r="J41">
        <v>1.6</v>
      </c>
    </row>
    <row r="42" spans="2:10">
      <c r="B42" s="158">
        <v>44681</v>
      </c>
      <c r="C42">
        <v>2</v>
      </c>
      <c r="D42">
        <f t="shared" si="0"/>
        <v>1.02</v>
      </c>
      <c r="E42" s="162"/>
      <c r="I42" s="158">
        <v>44895</v>
      </c>
      <c r="J42">
        <v>1.4</v>
      </c>
    </row>
    <row r="43" spans="2:10">
      <c r="B43" s="158">
        <v>44712</v>
      </c>
      <c r="C43">
        <v>1.4</v>
      </c>
      <c r="D43">
        <f t="shared" si="0"/>
        <v>1.014</v>
      </c>
      <c r="E43" s="162"/>
      <c r="I43" s="158">
        <v>44926</v>
      </c>
      <c r="J43">
        <v>1.2</v>
      </c>
    </row>
    <row r="44" spans="2:10">
      <c r="B44" s="158">
        <v>44742</v>
      </c>
      <c r="C44">
        <v>1.6</v>
      </c>
      <c r="D44">
        <f t="shared" si="0"/>
        <v>1.016</v>
      </c>
      <c r="E44" s="162"/>
      <c r="I44" s="158"/>
    </row>
    <row r="45" spans="2:10">
      <c r="B45" s="158">
        <v>44773</v>
      </c>
      <c r="C45">
        <v>1.1000000000000001</v>
      </c>
      <c r="D45">
        <f t="shared" si="0"/>
        <v>1.0109999999999999</v>
      </c>
      <c r="E45" s="162"/>
      <c r="I45" s="158"/>
    </row>
    <row r="46" spans="2:10">
      <c r="B46" s="158">
        <v>44804</v>
      </c>
      <c r="C46">
        <v>1.4</v>
      </c>
      <c r="D46">
        <f t="shared" si="0"/>
        <v>1.014</v>
      </c>
      <c r="E46" s="162"/>
      <c r="I46" s="158"/>
    </row>
    <row r="47" spans="2:10">
      <c r="B47" s="158">
        <v>44834</v>
      </c>
      <c r="C47">
        <v>1.8</v>
      </c>
      <c r="D47">
        <f t="shared" si="0"/>
        <v>1.018</v>
      </c>
      <c r="E47" s="162"/>
      <c r="I47" s="158"/>
    </row>
    <row r="48" spans="2:10">
      <c r="B48" s="158">
        <v>44865</v>
      </c>
      <c r="C48">
        <v>1.6</v>
      </c>
      <c r="D48">
        <f t="shared" si="0"/>
        <v>1.016</v>
      </c>
      <c r="E48" s="162"/>
      <c r="I48" s="158"/>
    </row>
    <row r="49" spans="2:9">
      <c r="B49" s="158">
        <v>44895</v>
      </c>
      <c r="C49">
        <v>1.4</v>
      </c>
      <c r="D49">
        <f t="shared" si="0"/>
        <v>1.014</v>
      </c>
      <c r="E49" s="162"/>
      <c r="I49" s="158"/>
    </row>
    <row r="50" spans="2:9">
      <c r="B50" s="158">
        <v>44926</v>
      </c>
      <c r="C50">
        <v>1.2</v>
      </c>
      <c r="D50">
        <f>(C50+100)/100</f>
        <v>1.012</v>
      </c>
      <c r="E50" s="162">
        <f>(PRODUCT(D39:D50)-1)*100</f>
        <v>20.350987420400713</v>
      </c>
      <c r="I50" s="158"/>
    </row>
    <row r="51" spans="2:9">
      <c r="I51" s="158"/>
    </row>
    <row r="52" spans="2:9">
      <c r="I52" s="158"/>
    </row>
    <row r="53" spans="2:9">
      <c r="I53" s="158"/>
    </row>
    <row r="54" spans="2:9">
      <c r="I54" s="158"/>
    </row>
    <row r="55" spans="2:9">
      <c r="I55" s="158"/>
    </row>
    <row r="56" spans="2:9">
      <c r="I56" s="158"/>
    </row>
    <row r="57" spans="2:9">
      <c r="I57" s="158"/>
    </row>
    <row r="58" spans="2:9">
      <c r="I58" s="158"/>
    </row>
    <row r="59" spans="2:9">
      <c r="I59" s="158"/>
    </row>
    <row r="60" spans="2:9">
      <c r="I60" s="158"/>
    </row>
    <row r="61" spans="2:9">
      <c r="I61" s="158"/>
    </row>
    <row r="62" spans="2:9">
      <c r="I62" s="158"/>
    </row>
    <row r="63" spans="2:9">
      <c r="I63" s="158"/>
    </row>
    <row r="64" spans="2:9">
      <c r="I64" s="158"/>
    </row>
    <row r="65" spans="9:9">
      <c r="I65" s="158"/>
    </row>
    <row r="66" spans="9:9">
      <c r="I66" s="158"/>
    </row>
    <row r="67" spans="9:9">
      <c r="I67" s="158"/>
    </row>
    <row r="68" spans="9:9">
      <c r="I68" s="158"/>
    </row>
    <row r="69" spans="9:9">
      <c r="I69" s="158"/>
    </row>
    <row r="70" spans="9:9">
      <c r="I70" s="158"/>
    </row>
    <row r="71" spans="9:9">
      <c r="I71" s="158"/>
    </row>
    <row r="72" spans="9:9">
      <c r="I72" s="158"/>
    </row>
    <row r="73" spans="9:9">
      <c r="I73" s="158"/>
    </row>
    <row r="74" spans="9:9">
      <c r="I74" s="1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A245A-55F5-4090-8105-6CFBD39036D1}">
  <sheetPr codeName="Лист1"/>
  <dimension ref="A1:H20"/>
  <sheetViews>
    <sheetView workbookViewId="0">
      <selection activeCell="F3" sqref="F3"/>
    </sheetView>
  </sheetViews>
  <sheetFormatPr defaultRowHeight="12.75"/>
  <cols>
    <col min="1" max="1" width="11.42578125" style="420" bestFit="1" customWidth="1"/>
    <col min="2" max="2" width="16" style="420" bestFit="1" customWidth="1"/>
    <col min="3" max="3" width="23.42578125" style="420" bestFit="1" customWidth="1"/>
    <col min="4" max="4" width="42.5703125" style="420" bestFit="1" customWidth="1"/>
    <col min="5" max="5" width="33.42578125" style="420" bestFit="1" customWidth="1"/>
    <col min="6" max="6" width="25.7109375" style="420" bestFit="1" customWidth="1"/>
    <col min="7" max="7" width="30.5703125" style="420" bestFit="1" customWidth="1"/>
    <col min="8" max="8" width="12.140625" style="420" bestFit="1" customWidth="1"/>
    <col min="9" max="16384" width="9.140625" style="420"/>
  </cols>
  <sheetData>
    <row r="1" spans="1:8">
      <c r="A1" s="420" t="s">
        <v>775</v>
      </c>
      <c r="B1" s="420" t="s">
        <v>776</v>
      </c>
      <c r="C1" s="420" t="s">
        <v>777</v>
      </c>
      <c r="D1" s="420" t="s">
        <v>778</v>
      </c>
      <c r="E1" s="420" t="s">
        <v>779</v>
      </c>
      <c r="F1" s="420" t="s">
        <v>780</v>
      </c>
      <c r="G1" s="420" t="s">
        <v>781</v>
      </c>
      <c r="H1" s="420" t="s">
        <v>1037</v>
      </c>
    </row>
    <row r="2" spans="1:8">
      <c r="A2" s="420" t="s">
        <v>782</v>
      </c>
      <c r="B2" s="275">
        <f>Report!$B$2</f>
        <v>45950</v>
      </c>
      <c r="C2" s="420">
        <f>VLOOKUP(Table_0252[[#This Row],[Дата расчёта]],MBM_index___с_1_апреля_2024_г__по_29_ноября_2200_г5[[Дата расчетов]:[MBM index]],2,0)</f>
        <v>1083.98</v>
      </c>
      <c r="D2" s="420">
        <v>0.13</v>
      </c>
      <c r="E2" s="420">
        <v>0.52</v>
      </c>
      <c r="F2" s="420">
        <v>1.6</v>
      </c>
      <c r="G2" s="420" t="s">
        <v>3127</v>
      </c>
      <c r="H2" s="420">
        <v>1000</v>
      </c>
    </row>
    <row r="3" spans="1:8">
      <c r="A3" s="420" t="s">
        <v>308</v>
      </c>
      <c r="B3" s="275">
        <f>Report!$B$2</f>
        <v>45950</v>
      </c>
      <c r="C3" s="420">
        <f>VLOOKUP(Table_0252[[#This Row],[Дата расчёта]],MBM_index___с_1_апреля_2024_г__по_29_ноября_2200_г5[[Дата расчетов]:[Duration]],3,0)</f>
        <v>2.48</v>
      </c>
      <c r="D3" s="420">
        <v>0</v>
      </c>
      <c r="E3" s="420">
        <v>-0.79</v>
      </c>
      <c r="F3" s="420">
        <v>-1.95</v>
      </c>
      <c r="G3" s="420" t="s">
        <v>3121</v>
      </c>
    </row>
    <row r="4" spans="1:8">
      <c r="A4" s="420" t="s">
        <v>784</v>
      </c>
      <c r="B4" s="275">
        <f>Report!$B$2</f>
        <v>45950</v>
      </c>
      <c r="C4" s="420">
        <f>VLOOKUP(Table_0252[[#This Row],[Дата расчёта]],MBM_index___с_1_апреля_2024_г__по_29_ноября_2200_г5[],4,0)</f>
        <v>2.13</v>
      </c>
      <c r="D4" s="420">
        <v>0</v>
      </c>
      <c r="E4" s="420">
        <v>-0.92</v>
      </c>
      <c r="F4" s="420">
        <v>-1.83</v>
      </c>
      <c r="G4" s="420" t="s">
        <v>3122</v>
      </c>
    </row>
    <row r="11" spans="1:8">
      <c r="F11" s="278"/>
    </row>
    <row r="14" spans="1:8">
      <c r="E14" s="278"/>
    </row>
    <row r="15" spans="1:8">
      <c r="E15" s="1"/>
    </row>
    <row r="16" spans="1:8">
      <c r="E16" s="462"/>
    </row>
    <row r="20" spans="2:4" ht="14.25">
      <c r="B20" s="466"/>
      <c r="C20" s="466"/>
      <c r="D20" s="466"/>
    </row>
  </sheetData>
  <phoneticPr fontId="11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E6DEC-41F1-445B-BC55-AE16D362ABB4}">
  <sheetPr codeName="Лист5"/>
  <dimension ref="A1:D387"/>
  <sheetViews>
    <sheetView topLeftCell="A357" workbookViewId="0">
      <selection activeCell="B387" sqref="B387"/>
    </sheetView>
  </sheetViews>
  <sheetFormatPr defaultRowHeight="12.75"/>
  <cols>
    <col min="1" max="1" width="17.140625" style="420" bestFit="1" customWidth="1"/>
    <col min="2" max="2" width="13.42578125" style="420" bestFit="1" customWidth="1"/>
    <col min="3" max="3" width="11" style="420" bestFit="1" customWidth="1"/>
    <col min="4" max="4" width="14.85546875" style="420" bestFit="1" customWidth="1"/>
    <col min="5" max="16384" width="9.140625" style="420"/>
  </cols>
  <sheetData>
    <row r="1" spans="1:4">
      <c r="A1" s="420" t="s">
        <v>1026</v>
      </c>
      <c r="B1" s="420" t="s">
        <v>782</v>
      </c>
      <c r="C1" s="420" t="s">
        <v>308</v>
      </c>
      <c r="D1" s="420" t="s">
        <v>784</v>
      </c>
    </row>
    <row r="2" spans="1:4">
      <c r="A2" s="275">
        <v>45383</v>
      </c>
      <c r="B2" s="420">
        <v>1000</v>
      </c>
      <c r="C2" s="420">
        <v>3</v>
      </c>
      <c r="D2" s="420">
        <v>2.69</v>
      </c>
    </row>
    <row r="3" spans="1:4">
      <c r="A3" s="275">
        <v>45384</v>
      </c>
      <c r="B3" s="420">
        <v>1000.53</v>
      </c>
      <c r="C3" s="420">
        <v>3.02</v>
      </c>
      <c r="D3" s="420">
        <v>2.7</v>
      </c>
    </row>
    <row r="4" spans="1:4">
      <c r="A4" s="275">
        <v>45385</v>
      </c>
      <c r="B4" s="420">
        <v>1000.08</v>
      </c>
      <c r="C4" s="420">
        <v>3</v>
      </c>
      <c r="D4" s="420">
        <v>2.69</v>
      </c>
    </row>
    <row r="5" spans="1:4">
      <c r="A5" s="275">
        <v>45386</v>
      </c>
      <c r="B5" s="420">
        <v>1001.37</v>
      </c>
      <c r="C5" s="420">
        <v>3.01</v>
      </c>
      <c r="D5" s="420">
        <v>2.7</v>
      </c>
    </row>
    <row r="6" spans="1:4">
      <c r="A6" s="275">
        <v>45387</v>
      </c>
      <c r="B6" s="420">
        <v>1002.38</v>
      </c>
      <c r="C6" s="420">
        <v>3.02</v>
      </c>
      <c r="D6" s="420">
        <v>2.71</v>
      </c>
    </row>
    <row r="7" spans="1:4">
      <c r="A7" s="275">
        <v>45390</v>
      </c>
      <c r="B7" s="420">
        <v>1003.82</v>
      </c>
      <c r="C7" s="420">
        <v>3.02</v>
      </c>
      <c r="D7" s="420">
        <v>2.71</v>
      </c>
    </row>
    <row r="8" spans="1:4">
      <c r="A8" s="275">
        <v>45391</v>
      </c>
      <c r="B8" s="420">
        <v>1003.32</v>
      </c>
      <c r="C8" s="420">
        <v>3.01</v>
      </c>
      <c r="D8" s="420">
        <v>2.69</v>
      </c>
    </row>
    <row r="9" spans="1:4">
      <c r="A9" s="275">
        <v>45392</v>
      </c>
      <c r="B9" s="420">
        <v>1002.7</v>
      </c>
      <c r="C9" s="420">
        <v>2.99</v>
      </c>
      <c r="D9" s="420">
        <v>2.69</v>
      </c>
    </row>
    <row r="10" spans="1:4">
      <c r="A10" s="275">
        <v>45393</v>
      </c>
      <c r="B10" s="420">
        <v>1002.81</v>
      </c>
      <c r="C10" s="420">
        <v>2.99</v>
      </c>
      <c r="D10" s="420">
        <v>2.68</v>
      </c>
    </row>
    <row r="11" spans="1:4">
      <c r="A11" s="275">
        <v>45394</v>
      </c>
      <c r="B11" s="420">
        <v>1002.87</v>
      </c>
      <c r="C11" s="420">
        <v>3</v>
      </c>
      <c r="D11" s="420">
        <v>2.69</v>
      </c>
    </row>
    <row r="12" spans="1:4">
      <c r="A12" s="275">
        <v>45397</v>
      </c>
      <c r="B12" s="420">
        <v>1003.3</v>
      </c>
      <c r="C12" s="420">
        <v>3</v>
      </c>
      <c r="D12" s="420">
        <v>2.69</v>
      </c>
    </row>
    <row r="13" spans="1:4">
      <c r="A13" s="275">
        <v>45398</v>
      </c>
      <c r="B13" s="420">
        <v>1003.43</v>
      </c>
      <c r="C13" s="420">
        <v>3.01</v>
      </c>
      <c r="D13" s="420">
        <v>2.69</v>
      </c>
    </row>
    <row r="14" spans="1:4">
      <c r="A14" s="275">
        <v>45399</v>
      </c>
      <c r="B14" s="420">
        <v>1003.68</v>
      </c>
      <c r="C14" s="420">
        <v>3.01</v>
      </c>
      <c r="D14" s="420">
        <v>2.69</v>
      </c>
    </row>
    <row r="15" spans="1:4">
      <c r="A15" s="275">
        <v>45400</v>
      </c>
      <c r="B15" s="420">
        <v>1003.56</v>
      </c>
      <c r="C15" s="420">
        <v>3</v>
      </c>
      <c r="D15" s="420">
        <v>2.69</v>
      </c>
    </row>
    <row r="16" spans="1:4">
      <c r="A16" s="275">
        <v>45401</v>
      </c>
      <c r="B16" s="420">
        <v>1004.33</v>
      </c>
      <c r="C16" s="420">
        <v>3</v>
      </c>
      <c r="D16" s="420">
        <v>2.69</v>
      </c>
    </row>
    <row r="17" spans="1:4">
      <c r="A17" s="275">
        <v>45404</v>
      </c>
      <c r="B17" s="420">
        <v>1004.66</v>
      </c>
      <c r="C17" s="420">
        <v>2.99</v>
      </c>
      <c r="D17" s="420">
        <v>2.68</v>
      </c>
    </row>
    <row r="18" spans="1:4">
      <c r="A18" s="275">
        <v>45405</v>
      </c>
      <c r="B18" s="420">
        <v>1004.75</v>
      </c>
      <c r="C18" s="420">
        <v>3</v>
      </c>
      <c r="D18" s="420">
        <v>2.69</v>
      </c>
    </row>
    <row r="19" spans="1:4">
      <c r="A19" s="275">
        <v>45406</v>
      </c>
      <c r="B19" s="420">
        <v>1003.02</v>
      </c>
      <c r="C19" s="420">
        <v>2.99</v>
      </c>
      <c r="D19" s="420">
        <v>2.67</v>
      </c>
    </row>
    <row r="20" spans="1:4">
      <c r="A20" s="275">
        <v>45407</v>
      </c>
      <c r="B20" s="420">
        <v>1002.48</v>
      </c>
      <c r="C20" s="420">
        <v>2.99</v>
      </c>
      <c r="D20" s="420">
        <v>2.67</v>
      </c>
    </row>
    <row r="21" spans="1:4">
      <c r="A21" s="275">
        <v>45408</v>
      </c>
      <c r="B21" s="420">
        <v>1002.88</v>
      </c>
      <c r="C21" s="420">
        <v>2.98</v>
      </c>
      <c r="D21" s="420">
        <v>2.67</v>
      </c>
    </row>
    <row r="22" spans="1:4">
      <c r="A22" s="275">
        <v>45411</v>
      </c>
      <c r="B22" s="420">
        <v>1003.02</v>
      </c>
      <c r="C22" s="420">
        <v>2.97</v>
      </c>
      <c r="D22" s="420">
        <v>2.66</v>
      </c>
    </row>
    <row r="23" spans="1:4">
      <c r="A23" s="275">
        <v>45412</v>
      </c>
      <c r="B23" s="420">
        <v>1003.63</v>
      </c>
      <c r="C23" s="420">
        <v>2.97</v>
      </c>
      <c r="D23" s="420">
        <v>2.66</v>
      </c>
    </row>
    <row r="24" spans="1:4">
      <c r="A24" s="275">
        <v>45414</v>
      </c>
      <c r="B24" s="420">
        <v>1003.44</v>
      </c>
      <c r="C24" s="420">
        <v>3.05</v>
      </c>
      <c r="D24" s="420">
        <v>2.73</v>
      </c>
    </row>
    <row r="25" spans="1:4">
      <c r="A25" s="275">
        <v>45415</v>
      </c>
      <c r="B25" s="420">
        <v>1006.28</v>
      </c>
      <c r="C25" s="420">
        <v>3.07</v>
      </c>
      <c r="D25" s="420">
        <v>2.75</v>
      </c>
    </row>
    <row r="26" spans="1:4">
      <c r="A26" s="275">
        <v>45416</v>
      </c>
      <c r="B26" s="420">
        <v>1006.26</v>
      </c>
      <c r="C26" s="420">
        <v>3.07</v>
      </c>
      <c r="D26" s="420">
        <v>2.75</v>
      </c>
    </row>
    <row r="27" spans="1:4">
      <c r="A27" s="275">
        <v>45418</v>
      </c>
      <c r="B27" s="420">
        <v>1007.35</v>
      </c>
      <c r="C27" s="420">
        <v>3.07</v>
      </c>
      <c r="D27" s="420">
        <v>2.75</v>
      </c>
    </row>
    <row r="28" spans="1:4">
      <c r="A28" s="275">
        <v>45422</v>
      </c>
      <c r="B28" s="420">
        <v>1005.06</v>
      </c>
      <c r="C28" s="420">
        <v>3.04</v>
      </c>
      <c r="D28" s="420">
        <v>2.72</v>
      </c>
    </row>
    <row r="29" spans="1:4">
      <c r="A29" s="275">
        <v>45425</v>
      </c>
      <c r="B29" s="420">
        <v>1006.89</v>
      </c>
      <c r="C29" s="420">
        <v>3.05</v>
      </c>
      <c r="D29" s="420">
        <v>2.73</v>
      </c>
    </row>
    <row r="30" spans="1:4">
      <c r="A30" s="275">
        <v>45426</v>
      </c>
      <c r="B30" s="420">
        <v>1007.37</v>
      </c>
      <c r="C30" s="420">
        <v>3.05</v>
      </c>
      <c r="D30" s="420">
        <v>2.73</v>
      </c>
    </row>
    <row r="31" spans="1:4">
      <c r="A31" s="275">
        <v>45427</v>
      </c>
      <c r="B31" s="420">
        <v>1002.7</v>
      </c>
      <c r="C31" s="420">
        <v>3.04</v>
      </c>
      <c r="D31" s="420">
        <v>2.71</v>
      </c>
    </row>
    <row r="32" spans="1:4">
      <c r="A32" s="275">
        <v>45428</v>
      </c>
      <c r="B32" s="420">
        <v>1003.24</v>
      </c>
      <c r="C32" s="420">
        <v>3.04</v>
      </c>
      <c r="D32" s="420">
        <v>2.71</v>
      </c>
    </row>
    <row r="33" spans="1:4">
      <c r="A33" s="275">
        <v>45429</v>
      </c>
      <c r="B33" s="420">
        <v>1003.29</v>
      </c>
      <c r="C33" s="420">
        <v>3.03</v>
      </c>
      <c r="D33" s="420">
        <v>2.7</v>
      </c>
    </row>
    <row r="34" spans="1:4">
      <c r="A34" s="275">
        <v>45432</v>
      </c>
      <c r="B34" s="420">
        <v>1004.11</v>
      </c>
      <c r="C34" s="420">
        <v>3.05</v>
      </c>
      <c r="D34" s="420">
        <v>2.72</v>
      </c>
    </row>
    <row r="35" spans="1:4">
      <c r="A35" s="275">
        <v>45433</v>
      </c>
      <c r="B35" s="420">
        <v>1004.64</v>
      </c>
      <c r="C35" s="420">
        <v>3.05</v>
      </c>
      <c r="D35" s="420">
        <v>2.72</v>
      </c>
    </row>
    <row r="36" spans="1:4">
      <c r="A36" s="275">
        <v>45434</v>
      </c>
      <c r="B36" s="420">
        <v>1000.3</v>
      </c>
      <c r="C36" s="420">
        <v>3.04</v>
      </c>
      <c r="D36" s="420">
        <v>2.71</v>
      </c>
    </row>
    <row r="37" spans="1:4">
      <c r="A37" s="275">
        <v>45435</v>
      </c>
      <c r="B37" s="420">
        <v>999.68</v>
      </c>
      <c r="C37" s="420">
        <v>3.03</v>
      </c>
      <c r="D37" s="420">
        <v>2.7</v>
      </c>
    </row>
    <row r="38" spans="1:4">
      <c r="A38" s="275">
        <v>45436</v>
      </c>
      <c r="B38" s="420">
        <v>999.97</v>
      </c>
      <c r="C38" s="420">
        <v>3.03</v>
      </c>
      <c r="D38" s="420">
        <v>2.7</v>
      </c>
    </row>
    <row r="39" spans="1:4">
      <c r="A39" s="275">
        <v>45439</v>
      </c>
      <c r="B39" s="420">
        <v>1001.4</v>
      </c>
      <c r="C39" s="420">
        <v>3.03</v>
      </c>
      <c r="D39" s="420">
        <v>2.7</v>
      </c>
    </row>
    <row r="40" spans="1:4">
      <c r="A40" s="275">
        <v>45440</v>
      </c>
      <c r="B40" s="420">
        <v>1005.44</v>
      </c>
      <c r="C40" s="420">
        <v>3.05</v>
      </c>
      <c r="D40" s="420">
        <v>2.72</v>
      </c>
    </row>
    <row r="41" spans="1:4">
      <c r="A41" s="275">
        <v>45441</v>
      </c>
      <c r="B41" s="420">
        <v>1003.45</v>
      </c>
      <c r="C41" s="420">
        <v>3.03</v>
      </c>
      <c r="D41" s="420">
        <v>2.71</v>
      </c>
    </row>
    <row r="42" spans="1:4">
      <c r="A42" s="275">
        <v>45442</v>
      </c>
      <c r="B42" s="420">
        <v>1006.3</v>
      </c>
      <c r="C42" s="420">
        <v>3.05</v>
      </c>
      <c r="D42" s="420">
        <v>2.72</v>
      </c>
    </row>
    <row r="43" spans="1:4">
      <c r="A43" s="275">
        <v>45443</v>
      </c>
      <c r="B43" s="420">
        <v>1008.13</v>
      </c>
      <c r="C43" s="420">
        <v>3.06</v>
      </c>
      <c r="D43" s="420">
        <v>2.73</v>
      </c>
    </row>
    <row r="44" spans="1:4">
      <c r="A44" s="275">
        <v>45446</v>
      </c>
      <c r="B44" s="420">
        <v>1013</v>
      </c>
      <c r="C44" s="420">
        <v>3.14</v>
      </c>
      <c r="D44" s="420">
        <v>2.81</v>
      </c>
    </row>
    <row r="45" spans="1:4">
      <c r="A45" s="275">
        <v>45447</v>
      </c>
      <c r="B45" s="420">
        <v>1013.25</v>
      </c>
      <c r="C45" s="420">
        <v>3.14</v>
      </c>
      <c r="D45" s="420">
        <v>2.8</v>
      </c>
    </row>
    <row r="46" spans="1:4">
      <c r="A46" s="275">
        <v>45448</v>
      </c>
      <c r="B46" s="420">
        <v>1001.96</v>
      </c>
      <c r="C46" s="420">
        <v>3.09</v>
      </c>
      <c r="D46" s="420">
        <v>2.75</v>
      </c>
    </row>
    <row r="47" spans="1:4">
      <c r="A47" s="275">
        <v>45449</v>
      </c>
      <c r="B47" s="420">
        <v>1000.36</v>
      </c>
      <c r="C47" s="420">
        <v>3.09</v>
      </c>
      <c r="D47" s="420">
        <v>2.75</v>
      </c>
    </row>
    <row r="48" spans="1:4">
      <c r="A48" s="275">
        <v>45450</v>
      </c>
      <c r="B48" s="420">
        <v>1003.3</v>
      </c>
      <c r="C48" s="420">
        <v>3.1</v>
      </c>
      <c r="D48" s="420">
        <v>2.76</v>
      </c>
    </row>
    <row r="49" spans="1:4">
      <c r="A49" s="275">
        <v>45453</v>
      </c>
      <c r="B49" s="420">
        <v>1004.85</v>
      </c>
      <c r="C49" s="420">
        <v>3.09</v>
      </c>
      <c r="D49" s="420">
        <v>2.75</v>
      </c>
    </row>
    <row r="50" spans="1:4">
      <c r="A50" s="275">
        <v>45454</v>
      </c>
      <c r="B50" s="420">
        <v>1010.75</v>
      </c>
      <c r="C50" s="420">
        <v>3.11</v>
      </c>
      <c r="D50" s="420">
        <v>2.77</v>
      </c>
    </row>
    <row r="51" spans="1:4">
      <c r="A51" s="275">
        <v>45455</v>
      </c>
      <c r="B51" s="420">
        <v>999.04</v>
      </c>
      <c r="C51" s="420">
        <v>3.06</v>
      </c>
      <c r="D51" s="420">
        <v>2.72</v>
      </c>
    </row>
    <row r="52" spans="1:4">
      <c r="A52" s="275">
        <v>45456</v>
      </c>
      <c r="B52" s="420">
        <v>993.16</v>
      </c>
      <c r="C52" s="420">
        <v>3.04</v>
      </c>
      <c r="D52" s="420">
        <v>2.7</v>
      </c>
    </row>
    <row r="53" spans="1:4">
      <c r="A53" s="275">
        <v>45457</v>
      </c>
      <c r="B53" s="420">
        <v>993.76</v>
      </c>
      <c r="C53" s="420">
        <v>3.04</v>
      </c>
      <c r="D53" s="420">
        <v>2.69</v>
      </c>
    </row>
    <row r="54" spans="1:4">
      <c r="A54" s="275">
        <v>45460</v>
      </c>
      <c r="B54" s="420">
        <v>1004.88</v>
      </c>
      <c r="C54" s="420">
        <v>3.07</v>
      </c>
      <c r="D54" s="420">
        <v>2.73</v>
      </c>
    </row>
    <row r="55" spans="1:4">
      <c r="A55" s="275">
        <v>45461</v>
      </c>
      <c r="B55" s="420">
        <v>1008.27</v>
      </c>
      <c r="C55" s="420">
        <v>3.08</v>
      </c>
      <c r="D55" s="420">
        <v>2.74</v>
      </c>
    </row>
    <row r="56" spans="1:4">
      <c r="A56" s="275">
        <v>45462</v>
      </c>
      <c r="B56" s="420">
        <v>998.5</v>
      </c>
      <c r="C56" s="420">
        <v>3.04</v>
      </c>
      <c r="D56" s="420">
        <v>2.7</v>
      </c>
    </row>
    <row r="57" spans="1:4">
      <c r="A57" s="275">
        <v>45463</v>
      </c>
      <c r="B57" s="420">
        <v>991.92</v>
      </c>
      <c r="C57" s="420">
        <v>3.02</v>
      </c>
      <c r="D57" s="420">
        <v>2.67</v>
      </c>
    </row>
    <row r="58" spans="1:4">
      <c r="A58" s="275">
        <v>45464</v>
      </c>
      <c r="B58" s="420">
        <v>992.24</v>
      </c>
      <c r="C58" s="420">
        <v>3.02</v>
      </c>
      <c r="D58" s="420">
        <v>2.67</v>
      </c>
    </row>
    <row r="59" spans="1:4">
      <c r="A59" s="275">
        <v>45467</v>
      </c>
      <c r="B59" s="420">
        <v>1005.74</v>
      </c>
      <c r="C59" s="420">
        <v>3.05</v>
      </c>
      <c r="D59" s="420">
        <v>2.72</v>
      </c>
    </row>
    <row r="60" spans="1:4">
      <c r="A60" s="275">
        <v>45468</v>
      </c>
      <c r="B60" s="420">
        <v>1007.34</v>
      </c>
      <c r="C60" s="420">
        <v>3.05</v>
      </c>
      <c r="D60" s="420">
        <v>2.72</v>
      </c>
    </row>
    <row r="61" spans="1:4">
      <c r="A61" s="275">
        <v>45469</v>
      </c>
      <c r="B61" s="420">
        <v>999.26</v>
      </c>
      <c r="C61" s="420">
        <v>3.02</v>
      </c>
      <c r="D61" s="420">
        <v>2.69</v>
      </c>
    </row>
    <row r="62" spans="1:4">
      <c r="A62" s="275">
        <v>45470</v>
      </c>
      <c r="B62" s="420">
        <v>989.1</v>
      </c>
      <c r="C62" s="420">
        <v>3.01</v>
      </c>
      <c r="D62" s="420">
        <v>2.66</v>
      </c>
    </row>
    <row r="63" spans="1:4">
      <c r="A63" s="275">
        <v>45471</v>
      </c>
      <c r="B63" s="420">
        <v>1003.24</v>
      </c>
      <c r="C63" s="420">
        <v>3.05</v>
      </c>
      <c r="D63" s="420">
        <v>2.7</v>
      </c>
    </row>
    <row r="64" spans="1:4">
      <c r="A64" s="275">
        <v>45474</v>
      </c>
      <c r="B64" s="420">
        <v>1008.02</v>
      </c>
      <c r="C64" s="420">
        <v>3.05</v>
      </c>
      <c r="D64" s="420">
        <v>2.72</v>
      </c>
    </row>
    <row r="65" spans="1:4">
      <c r="A65" s="275">
        <v>45475</v>
      </c>
      <c r="B65" s="420">
        <v>1009.52</v>
      </c>
      <c r="C65" s="420">
        <v>3.05</v>
      </c>
      <c r="D65" s="420">
        <v>2.72</v>
      </c>
    </row>
    <row r="66" spans="1:4">
      <c r="A66" s="275">
        <v>45476</v>
      </c>
      <c r="B66" s="420">
        <v>1001.56</v>
      </c>
      <c r="C66" s="420">
        <v>3.04</v>
      </c>
      <c r="D66" s="420">
        <v>2.69</v>
      </c>
    </row>
    <row r="67" spans="1:4">
      <c r="A67" s="275">
        <v>45477</v>
      </c>
      <c r="B67" s="420">
        <v>1004.22</v>
      </c>
      <c r="C67" s="420">
        <v>3.05</v>
      </c>
      <c r="D67" s="420">
        <v>2.71</v>
      </c>
    </row>
    <row r="68" spans="1:4">
      <c r="A68" s="275">
        <v>45478</v>
      </c>
      <c r="B68" s="420">
        <v>1008.81</v>
      </c>
      <c r="C68" s="420">
        <v>3.07</v>
      </c>
      <c r="D68" s="420">
        <v>2.73</v>
      </c>
    </row>
    <row r="69" spans="1:4">
      <c r="A69" s="275">
        <v>45482</v>
      </c>
      <c r="B69" s="420">
        <v>1011.45</v>
      </c>
      <c r="C69" s="420">
        <v>3.06</v>
      </c>
      <c r="D69" s="420">
        <v>2.72</v>
      </c>
    </row>
    <row r="70" spans="1:4">
      <c r="A70" s="275">
        <v>45483</v>
      </c>
      <c r="B70" s="420">
        <v>1004.63</v>
      </c>
      <c r="C70" s="420">
        <v>3.04</v>
      </c>
      <c r="D70" s="420">
        <v>2.69</v>
      </c>
    </row>
    <row r="71" spans="1:4">
      <c r="A71" s="275">
        <v>45484</v>
      </c>
      <c r="B71" s="420">
        <v>1006.44</v>
      </c>
      <c r="C71" s="420">
        <v>3.05</v>
      </c>
      <c r="D71" s="420">
        <v>2.7</v>
      </c>
    </row>
    <row r="72" spans="1:4">
      <c r="A72" s="275">
        <v>45485</v>
      </c>
      <c r="B72" s="420">
        <v>1008.64</v>
      </c>
      <c r="C72" s="420">
        <v>3.05</v>
      </c>
      <c r="D72" s="420">
        <v>2.71</v>
      </c>
    </row>
    <row r="73" spans="1:4">
      <c r="A73" s="275">
        <v>45488</v>
      </c>
      <c r="B73" s="420">
        <v>1010.49</v>
      </c>
      <c r="C73" s="420">
        <v>3.05</v>
      </c>
      <c r="D73" s="420">
        <v>2.71</v>
      </c>
    </row>
    <row r="74" spans="1:4">
      <c r="A74" s="275">
        <v>45489</v>
      </c>
      <c r="B74" s="420">
        <v>1010.73</v>
      </c>
      <c r="C74" s="420">
        <v>3.05</v>
      </c>
      <c r="D74" s="420">
        <v>2.71</v>
      </c>
    </row>
    <row r="75" spans="1:4">
      <c r="A75" s="275">
        <v>45490</v>
      </c>
      <c r="B75" s="420">
        <v>1002.83</v>
      </c>
      <c r="C75" s="420">
        <v>3.01</v>
      </c>
      <c r="D75" s="420">
        <v>2.67</v>
      </c>
    </row>
    <row r="76" spans="1:4">
      <c r="A76" s="275">
        <v>45491</v>
      </c>
      <c r="B76" s="420">
        <v>996.56</v>
      </c>
      <c r="C76" s="420">
        <v>2.99</v>
      </c>
      <c r="D76" s="420">
        <v>2.64</v>
      </c>
    </row>
    <row r="77" spans="1:4">
      <c r="A77" s="275">
        <v>45492</v>
      </c>
      <c r="B77" s="420">
        <v>1007.36</v>
      </c>
      <c r="C77" s="420">
        <v>3.02</v>
      </c>
      <c r="D77" s="420">
        <v>2.68</v>
      </c>
    </row>
    <row r="78" spans="1:4">
      <c r="A78" s="275">
        <v>45495</v>
      </c>
      <c r="B78" s="420">
        <v>1010.13</v>
      </c>
      <c r="C78" s="420">
        <v>3.02</v>
      </c>
      <c r="D78" s="420">
        <v>2.69</v>
      </c>
    </row>
    <row r="79" spans="1:4">
      <c r="A79" s="275">
        <v>45496</v>
      </c>
      <c r="B79" s="420">
        <v>1012.79</v>
      </c>
      <c r="C79" s="420">
        <v>3.03</v>
      </c>
      <c r="D79" s="420">
        <v>2.69</v>
      </c>
    </row>
    <row r="80" spans="1:4">
      <c r="A80" s="275">
        <v>45497</v>
      </c>
      <c r="B80" s="420">
        <v>1008.12</v>
      </c>
      <c r="C80" s="420">
        <v>3.01</v>
      </c>
      <c r="D80" s="420">
        <v>2.66</v>
      </c>
    </row>
    <row r="81" spans="1:4">
      <c r="A81" s="275">
        <v>45498</v>
      </c>
      <c r="B81" s="420">
        <v>1008.14</v>
      </c>
      <c r="C81" s="420">
        <v>3.01</v>
      </c>
      <c r="D81" s="420">
        <v>2.67</v>
      </c>
    </row>
    <row r="82" spans="1:4">
      <c r="A82" s="275">
        <v>45499</v>
      </c>
      <c r="B82" s="420">
        <v>1009.9</v>
      </c>
      <c r="C82" s="420">
        <v>3.02</v>
      </c>
      <c r="D82" s="420">
        <v>2.68</v>
      </c>
    </row>
    <row r="83" spans="1:4">
      <c r="A83" s="275">
        <v>45502</v>
      </c>
      <c r="B83" s="420">
        <v>1012.52</v>
      </c>
      <c r="C83" s="420">
        <v>3.02</v>
      </c>
      <c r="D83" s="420">
        <v>2.68</v>
      </c>
    </row>
    <row r="84" spans="1:4">
      <c r="A84" s="275">
        <v>45503</v>
      </c>
      <c r="B84" s="420">
        <v>1016.28</v>
      </c>
      <c r="C84" s="420">
        <v>3.04</v>
      </c>
      <c r="D84" s="420">
        <v>2.7</v>
      </c>
    </row>
    <row r="85" spans="1:4">
      <c r="A85" s="275">
        <v>45504</v>
      </c>
      <c r="B85" s="420">
        <v>1019.14</v>
      </c>
      <c r="C85" s="420">
        <v>3.04</v>
      </c>
      <c r="D85" s="420">
        <v>2.7</v>
      </c>
    </row>
    <row r="86" spans="1:4">
      <c r="A86" s="275">
        <v>45505</v>
      </c>
      <c r="B86" s="420">
        <v>1027.0999999999999</v>
      </c>
      <c r="C86" s="420">
        <v>3.1</v>
      </c>
      <c r="D86" s="420">
        <v>2.77</v>
      </c>
    </row>
    <row r="87" spans="1:4">
      <c r="A87" s="275">
        <v>45506</v>
      </c>
      <c r="B87" s="420">
        <v>1023.36</v>
      </c>
      <c r="C87" s="420">
        <v>3.08</v>
      </c>
      <c r="D87" s="420">
        <v>2.74</v>
      </c>
    </row>
    <row r="88" spans="1:4">
      <c r="A88" s="275">
        <v>45509</v>
      </c>
      <c r="B88" s="420">
        <v>1024.52</v>
      </c>
      <c r="C88" s="420">
        <v>3.08</v>
      </c>
      <c r="D88" s="420">
        <v>2.74</v>
      </c>
    </row>
    <row r="89" spans="1:4">
      <c r="A89" s="275">
        <v>45510</v>
      </c>
      <c r="B89" s="420">
        <v>1025.52</v>
      </c>
      <c r="C89" s="420">
        <v>3.08</v>
      </c>
      <c r="D89" s="420">
        <v>2.74</v>
      </c>
    </row>
    <row r="90" spans="1:4">
      <c r="A90" s="275">
        <v>45511</v>
      </c>
      <c r="B90" s="420">
        <v>1023.1</v>
      </c>
      <c r="C90" s="420">
        <v>3.07</v>
      </c>
      <c r="D90" s="420">
        <v>2.73</v>
      </c>
    </row>
    <row r="91" spans="1:4">
      <c r="A91" s="275">
        <v>45512</v>
      </c>
      <c r="B91" s="420">
        <v>1023.92</v>
      </c>
      <c r="C91" s="420">
        <v>3.07</v>
      </c>
      <c r="D91" s="420">
        <v>2.73</v>
      </c>
    </row>
    <row r="92" spans="1:4">
      <c r="A92" s="275">
        <v>45513</v>
      </c>
      <c r="B92" s="420">
        <v>1024.58</v>
      </c>
      <c r="C92" s="420">
        <v>3.07</v>
      </c>
      <c r="D92" s="420">
        <v>2.73</v>
      </c>
    </row>
    <row r="93" spans="1:4">
      <c r="A93" s="275">
        <v>45516</v>
      </c>
      <c r="B93" s="420">
        <v>1028.22</v>
      </c>
      <c r="C93" s="420">
        <v>3.08</v>
      </c>
      <c r="D93" s="420">
        <v>2.75</v>
      </c>
    </row>
    <row r="94" spans="1:4">
      <c r="A94" s="275">
        <v>45517</v>
      </c>
      <c r="B94" s="420">
        <v>1028.8599999999999</v>
      </c>
      <c r="C94" s="420">
        <v>3.08</v>
      </c>
      <c r="D94" s="420">
        <v>2.75</v>
      </c>
    </row>
    <row r="95" spans="1:4">
      <c r="A95" s="275">
        <v>45518</v>
      </c>
      <c r="B95" s="420">
        <v>1031.31</v>
      </c>
      <c r="C95" s="420">
        <v>3.09</v>
      </c>
      <c r="D95" s="420">
        <v>2.76</v>
      </c>
    </row>
    <row r="96" spans="1:4">
      <c r="A96" s="275">
        <v>45519</v>
      </c>
      <c r="B96" s="420">
        <v>1031.42</v>
      </c>
      <c r="C96" s="420">
        <v>3.09</v>
      </c>
      <c r="D96" s="420">
        <v>2.75</v>
      </c>
    </row>
    <row r="97" spans="1:4">
      <c r="A97" s="275">
        <v>45520</v>
      </c>
      <c r="B97" s="420">
        <v>1032.47</v>
      </c>
      <c r="C97" s="420">
        <v>3.09</v>
      </c>
      <c r="D97" s="420">
        <v>2.75</v>
      </c>
    </row>
    <row r="98" spans="1:4">
      <c r="A98" s="275">
        <v>45523</v>
      </c>
      <c r="B98" s="420">
        <v>1034.6500000000001</v>
      </c>
      <c r="C98" s="420">
        <v>3.09</v>
      </c>
      <c r="D98" s="420">
        <v>2.75</v>
      </c>
    </row>
    <row r="99" spans="1:4">
      <c r="A99" s="275">
        <v>45524</v>
      </c>
      <c r="B99" s="420">
        <v>1035.3499999999999</v>
      </c>
      <c r="C99" s="420">
        <v>3.09</v>
      </c>
      <c r="D99" s="420">
        <v>2.75</v>
      </c>
    </row>
    <row r="100" spans="1:4">
      <c r="A100" s="275">
        <v>45525</v>
      </c>
      <c r="B100" s="420">
        <v>1027.06</v>
      </c>
      <c r="C100" s="420">
        <v>3.05</v>
      </c>
      <c r="D100" s="420">
        <v>2.72</v>
      </c>
    </row>
    <row r="101" spans="1:4">
      <c r="A101" s="275">
        <v>45526</v>
      </c>
      <c r="B101" s="420">
        <v>1023.96</v>
      </c>
      <c r="C101" s="420">
        <v>3.03</v>
      </c>
      <c r="D101" s="420">
        <v>2.69</v>
      </c>
    </row>
    <row r="102" spans="1:4">
      <c r="A102" s="275">
        <v>45527</v>
      </c>
      <c r="B102" s="420">
        <v>1026.98</v>
      </c>
      <c r="C102" s="420">
        <v>3.05</v>
      </c>
      <c r="D102" s="420">
        <v>2.71</v>
      </c>
    </row>
    <row r="103" spans="1:4">
      <c r="A103" s="275">
        <v>45530</v>
      </c>
      <c r="B103" s="420">
        <v>1038.18</v>
      </c>
      <c r="C103" s="420">
        <v>3.1</v>
      </c>
      <c r="D103" s="420">
        <v>2.76</v>
      </c>
    </row>
    <row r="104" spans="1:4">
      <c r="A104" s="275">
        <v>45531</v>
      </c>
      <c r="B104" s="420">
        <v>1041.3699999999999</v>
      </c>
      <c r="C104" s="420">
        <v>3.1</v>
      </c>
      <c r="D104" s="420">
        <v>2.77</v>
      </c>
    </row>
    <row r="105" spans="1:4">
      <c r="A105" s="275">
        <v>45532</v>
      </c>
      <c r="B105" s="420">
        <v>1029.04</v>
      </c>
      <c r="C105" s="420">
        <v>3.05</v>
      </c>
      <c r="D105" s="420">
        <v>2.72</v>
      </c>
    </row>
    <row r="106" spans="1:4">
      <c r="A106" s="275">
        <v>45533</v>
      </c>
      <c r="B106" s="420">
        <v>1031.4000000000001</v>
      </c>
      <c r="C106" s="420">
        <v>3.06</v>
      </c>
      <c r="D106" s="420">
        <v>2.72</v>
      </c>
    </row>
    <row r="107" spans="1:4">
      <c r="A107" s="275">
        <v>45537</v>
      </c>
      <c r="B107" s="420">
        <v>1042.83</v>
      </c>
      <c r="C107" s="420">
        <v>3.09</v>
      </c>
      <c r="D107" s="420">
        <v>2.76</v>
      </c>
    </row>
    <row r="108" spans="1:4">
      <c r="A108" s="275">
        <v>45538</v>
      </c>
      <c r="B108" s="420">
        <v>1043.28</v>
      </c>
      <c r="C108" s="420">
        <v>3.09</v>
      </c>
      <c r="D108" s="420">
        <v>2.76</v>
      </c>
    </row>
    <row r="109" spans="1:4">
      <c r="A109" s="275">
        <v>45539</v>
      </c>
      <c r="B109" s="420">
        <v>1033.96</v>
      </c>
      <c r="C109" s="420">
        <v>3.06</v>
      </c>
      <c r="D109" s="420">
        <v>2.72</v>
      </c>
    </row>
    <row r="110" spans="1:4">
      <c r="A110" s="275">
        <v>45540</v>
      </c>
      <c r="B110" s="420">
        <v>1035.05</v>
      </c>
      <c r="C110" s="420">
        <v>3.06</v>
      </c>
      <c r="D110" s="420">
        <v>2.72</v>
      </c>
    </row>
    <row r="111" spans="1:4">
      <c r="A111" s="275">
        <v>45541</v>
      </c>
      <c r="B111" s="420">
        <v>1036.54</v>
      </c>
      <c r="C111" s="420">
        <v>3.06</v>
      </c>
      <c r="D111" s="420">
        <v>2.72</v>
      </c>
    </row>
    <row r="112" spans="1:4">
      <c r="A112" s="275">
        <v>45544</v>
      </c>
      <c r="B112" s="420">
        <v>1036.6199999999999</v>
      </c>
      <c r="C112" s="420">
        <v>3.05</v>
      </c>
      <c r="D112" s="420">
        <v>2.72</v>
      </c>
    </row>
    <row r="113" spans="1:4">
      <c r="A113" s="275">
        <v>45545</v>
      </c>
      <c r="B113" s="420">
        <v>1037.3499999999999</v>
      </c>
      <c r="C113" s="420">
        <v>3.05</v>
      </c>
      <c r="D113" s="420">
        <v>2.71</v>
      </c>
    </row>
    <row r="114" spans="1:4">
      <c r="A114" s="275">
        <v>45546</v>
      </c>
      <c r="B114" s="420">
        <v>1038.44</v>
      </c>
      <c r="C114" s="420">
        <v>3.04</v>
      </c>
      <c r="D114" s="420">
        <v>2.71</v>
      </c>
    </row>
    <row r="115" spans="1:4">
      <c r="A115" s="275">
        <v>45547</v>
      </c>
      <c r="B115" s="420">
        <v>1039.4000000000001</v>
      </c>
      <c r="C115" s="420">
        <v>3.05</v>
      </c>
      <c r="D115" s="420">
        <v>2.71</v>
      </c>
    </row>
    <row r="116" spans="1:4">
      <c r="A116" s="275">
        <v>45548</v>
      </c>
      <c r="B116" s="420">
        <v>1043.52</v>
      </c>
      <c r="C116" s="420">
        <v>3.05</v>
      </c>
      <c r="D116" s="420">
        <v>2.73</v>
      </c>
    </row>
    <row r="117" spans="1:4">
      <c r="A117" s="275">
        <v>45551</v>
      </c>
      <c r="B117" s="420">
        <v>1044.58</v>
      </c>
      <c r="C117" s="420">
        <v>3.05</v>
      </c>
      <c r="D117" s="420">
        <v>2.72</v>
      </c>
    </row>
    <row r="118" spans="1:4">
      <c r="A118" s="275">
        <v>45552</v>
      </c>
      <c r="B118" s="420">
        <v>1044.83</v>
      </c>
      <c r="C118" s="420">
        <v>3.05</v>
      </c>
      <c r="D118" s="420">
        <v>2.72</v>
      </c>
    </row>
    <row r="119" spans="1:4">
      <c r="A119" s="275">
        <v>45553</v>
      </c>
      <c r="B119" s="420">
        <v>1037.8900000000001</v>
      </c>
      <c r="C119" s="420">
        <v>3.02</v>
      </c>
      <c r="D119" s="420">
        <v>2.69</v>
      </c>
    </row>
    <row r="120" spans="1:4">
      <c r="A120" s="275">
        <v>45554</v>
      </c>
      <c r="B120" s="420">
        <v>1035.6099999999999</v>
      </c>
      <c r="C120" s="420">
        <v>3</v>
      </c>
      <c r="D120" s="420">
        <v>2.67</v>
      </c>
    </row>
    <row r="121" spans="1:4">
      <c r="A121" s="275">
        <v>45555</v>
      </c>
      <c r="B121" s="420">
        <v>1036.17</v>
      </c>
      <c r="C121" s="420">
        <v>3</v>
      </c>
      <c r="D121" s="420">
        <v>2.67</v>
      </c>
    </row>
    <row r="122" spans="1:4">
      <c r="A122" s="275">
        <v>45558</v>
      </c>
      <c r="B122" s="420">
        <v>1036.97</v>
      </c>
      <c r="C122" s="420">
        <v>2.99</v>
      </c>
      <c r="D122" s="420">
        <v>2.66</v>
      </c>
    </row>
    <row r="123" spans="1:4">
      <c r="A123" s="275">
        <v>45559</v>
      </c>
      <c r="B123" s="420">
        <v>1036.51</v>
      </c>
      <c r="C123" s="420">
        <v>2.99</v>
      </c>
      <c r="D123" s="420">
        <v>2.66</v>
      </c>
    </row>
    <row r="124" spans="1:4">
      <c r="A124" s="275">
        <v>45560</v>
      </c>
      <c r="B124" s="420">
        <v>1042.7</v>
      </c>
      <c r="C124" s="420">
        <v>3.02</v>
      </c>
      <c r="D124" s="420">
        <v>2.69</v>
      </c>
    </row>
    <row r="125" spans="1:4">
      <c r="A125" s="275">
        <v>45561</v>
      </c>
      <c r="B125" s="420">
        <v>1041.19</v>
      </c>
      <c r="C125" s="420">
        <v>2.99</v>
      </c>
      <c r="D125" s="420">
        <v>2.66</v>
      </c>
    </row>
    <row r="126" spans="1:4">
      <c r="A126" s="275">
        <v>45562</v>
      </c>
      <c r="B126" s="420">
        <v>1045.58</v>
      </c>
      <c r="C126" s="420">
        <v>3</v>
      </c>
      <c r="D126" s="420">
        <v>2.67</v>
      </c>
    </row>
    <row r="127" spans="1:4">
      <c r="A127" s="275">
        <v>45565</v>
      </c>
      <c r="B127" s="420">
        <v>1047</v>
      </c>
      <c r="C127" s="420">
        <v>3</v>
      </c>
      <c r="D127" s="420">
        <v>2.68</v>
      </c>
    </row>
    <row r="128" spans="1:4">
      <c r="A128" s="275">
        <v>45566</v>
      </c>
      <c r="B128" s="420">
        <v>1052.08</v>
      </c>
      <c r="C128" s="420">
        <v>3.01</v>
      </c>
      <c r="D128" s="420">
        <v>2.69</v>
      </c>
    </row>
    <row r="129" spans="1:4">
      <c r="A129" s="275">
        <v>45567</v>
      </c>
      <c r="B129" s="420">
        <v>1052.5999999999999</v>
      </c>
      <c r="C129" s="420">
        <v>3.01</v>
      </c>
      <c r="D129" s="420">
        <v>2.69</v>
      </c>
    </row>
    <row r="130" spans="1:4">
      <c r="A130" s="275">
        <v>45568</v>
      </c>
      <c r="B130" s="420">
        <v>1053.1199999999999</v>
      </c>
      <c r="C130" s="420">
        <v>3.01</v>
      </c>
      <c r="D130" s="420">
        <v>2.69</v>
      </c>
    </row>
    <row r="131" spans="1:4">
      <c r="A131" s="275">
        <v>45569</v>
      </c>
      <c r="B131" s="420">
        <v>1053.5999999999999</v>
      </c>
      <c r="C131" s="420">
        <v>3.01</v>
      </c>
      <c r="D131" s="420">
        <v>2.69</v>
      </c>
    </row>
    <row r="132" spans="1:4">
      <c r="A132" s="275">
        <v>45572</v>
      </c>
      <c r="B132" s="420">
        <v>1054.0999999999999</v>
      </c>
      <c r="C132" s="420">
        <v>3</v>
      </c>
      <c r="D132" s="420">
        <v>2.68</v>
      </c>
    </row>
    <row r="133" spans="1:4">
      <c r="A133" s="275">
        <v>45573</v>
      </c>
      <c r="B133" s="420">
        <v>1054.3900000000001</v>
      </c>
      <c r="C133" s="420">
        <v>2.99</v>
      </c>
      <c r="D133" s="420">
        <v>2.67</v>
      </c>
    </row>
    <row r="134" spans="1:4">
      <c r="A134" s="275">
        <v>45574</v>
      </c>
      <c r="B134" s="420">
        <v>1055.45</v>
      </c>
      <c r="C134" s="420">
        <v>2.99</v>
      </c>
      <c r="D134" s="420">
        <v>2.67</v>
      </c>
    </row>
    <row r="135" spans="1:4">
      <c r="A135" s="275">
        <v>45575</v>
      </c>
      <c r="B135" s="420">
        <v>1056.76</v>
      </c>
      <c r="C135" s="420">
        <v>2.99</v>
      </c>
      <c r="D135" s="420">
        <v>2.68</v>
      </c>
    </row>
    <row r="136" spans="1:4">
      <c r="A136" s="275">
        <v>45576</v>
      </c>
      <c r="B136" s="420">
        <v>1054.54</v>
      </c>
      <c r="C136" s="420">
        <v>2.99</v>
      </c>
      <c r="D136" s="420">
        <v>2.66</v>
      </c>
    </row>
    <row r="137" spans="1:4">
      <c r="A137" s="275">
        <v>45579</v>
      </c>
      <c r="B137" s="420">
        <v>1056.32</v>
      </c>
      <c r="C137" s="420">
        <v>2.99</v>
      </c>
      <c r="D137" s="420">
        <v>2.66</v>
      </c>
    </row>
    <row r="138" spans="1:4">
      <c r="A138" s="275">
        <v>45580</v>
      </c>
      <c r="B138" s="420">
        <v>1056.53</v>
      </c>
      <c r="C138" s="420">
        <v>2.98</v>
      </c>
      <c r="D138" s="420">
        <v>2.66</v>
      </c>
    </row>
    <row r="139" spans="1:4">
      <c r="A139" s="275">
        <v>45581</v>
      </c>
      <c r="B139" s="420">
        <v>1052.9000000000001</v>
      </c>
      <c r="C139" s="420">
        <v>2.96</v>
      </c>
      <c r="D139" s="420">
        <v>2.65</v>
      </c>
    </row>
    <row r="140" spans="1:4">
      <c r="A140" s="275">
        <v>45582</v>
      </c>
      <c r="B140" s="420">
        <v>1051.68</v>
      </c>
      <c r="C140" s="420">
        <v>2.96</v>
      </c>
      <c r="D140" s="420">
        <v>2.64</v>
      </c>
    </row>
    <row r="141" spans="1:4">
      <c r="A141" s="275">
        <v>45583</v>
      </c>
      <c r="B141" s="420">
        <v>1052.6300000000001</v>
      </c>
      <c r="C141" s="420">
        <v>2.97</v>
      </c>
      <c r="D141" s="420">
        <v>2.65</v>
      </c>
    </row>
    <row r="142" spans="1:4">
      <c r="A142" s="275">
        <v>45586</v>
      </c>
      <c r="B142" s="420">
        <v>1054.46</v>
      </c>
      <c r="C142" s="420">
        <v>2.97</v>
      </c>
      <c r="D142" s="420">
        <v>2.65</v>
      </c>
    </row>
    <row r="143" spans="1:4">
      <c r="A143" s="275">
        <v>45587</v>
      </c>
      <c r="B143" s="420">
        <v>1055.7</v>
      </c>
      <c r="C143" s="420">
        <v>2.97</v>
      </c>
      <c r="D143" s="420">
        <v>2.65</v>
      </c>
    </row>
    <row r="144" spans="1:4">
      <c r="A144" s="275">
        <v>45588</v>
      </c>
      <c r="B144" s="420">
        <v>1053.75</v>
      </c>
      <c r="C144" s="420">
        <v>2.96</v>
      </c>
      <c r="D144" s="420">
        <v>2.63</v>
      </c>
    </row>
    <row r="145" spans="1:4">
      <c r="A145" s="275">
        <v>45589</v>
      </c>
      <c r="B145" s="420">
        <v>1057.02</v>
      </c>
      <c r="C145" s="420">
        <v>2.97</v>
      </c>
      <c r="D145" s="420">
        <v>2.65</v>
      </c>
    </row>
    <row r="146" spans="1:4">
      <c r="A146" s="275">
        <v>45593</v>
      </c>
      <c r="B146" s="420">
        <v>1060.6600000000001</v>
      </c>
      <c r="C146" s="420">
        <v>2.97</v>
      </c>
      <c r="D146" s="420">
        <v>2.66</v>
      </c>
    </row>
    <row r="147" spans="1:4">
      <c r="A147" s="275">
        <v>45594</v>
      </c>
      <c r="B147" s="420">
        <v>1064.3699999999999</v>
      </c>
      <c r="C147" s="420">
        <v>2.99</v>
      </c>
      <c r="D147" s="420">
        <v>2.66</v>
      </c>
    </row>
    <row r="148" spans="1:4">
      <c r="A148" s="275">
        <v>45595</v>
      </c>
      <c r="B148" s="420">
        <v>1064.7</v>
      </c>
      <c r="C148" s="420">
        <v>2.98</v>
      </c>
      <c r="D148" s="420">
        <v>2.66</v>
      </c>
    </row>
    <row r="149" spans="1:4">
      <c r="A149" s="275">
        <v>45596</v>
      </c>
      <c r="B149" s="420">
        <v>1067.27</v>
      </c>
      <c r="C149" s="420">
        <v>2.99</v>
      </c>
      <c r="D149" s="420">
        <v>2.67</v>
      </c>
    </row>
    <row r="150" spans="1:4">
      <c r="A150" s="275">
        <v>45597</v>
      </c>
      <c r="B150" s="420">
        <v>1072.93</v>
      </c>
      <c r="C150" s="420">
        <v>2.99</v>
      </c>
      <c r="D150" s="420">
        <v>2.68</v>
      </c>
    </row>
    <row r="151" spans="1:4">
      <c r="A151" s="275">
        <v>45600</v>
      </c>
      <c r="B151" s="420">
        <v>1073.6500000000001</v>
      </c>
      <c r="C151" s="420">
        <v>2.98</v>
      </c>
      <c r="D151" s="420">
        <v>2.66</v>
      </c>
    </row>
    <row r="152" spans="1:4">
      <c r="A152" s="275">
        <v>45601</v>
      </c>
      <c r="B152" s="420">
        <v>1073.48</v>
      </c>
      <c r="C152" s="420">
        <v>2.97</v>
      </c>
      <c r="D152" s="420">
        <v>2.66</v>
      </c>
    </row>
    <row r="153" spans="1:4">
      <c r="A153" s="275">
        <v>45602</v>
      </c>
      <c r="B153" s="420">
        <v>1071.55</v>
      </c>
      <c r="C153" s="420">
        <v>2.96</v>
      </c>
      <c r="D153" s="420">
        <v>2.64</v>
      </c>
    </row>
    <row r="154" spans="1:4">
      <c r="A154" s="275">
        <v>45603</v>
      </c>
      <c r="B154" s="420">
        <v>1071.9100000000001</v>
      </c>
      <c r="C154" s="420">
        <v>2.96</v>
      </c>
      <c r="D154" s="420">
        <v>2.64</v>
      </c>
    </row>
    <row r="155" spans="1:4">
      <c r="A155" s="275">
        <v>45604</v>
      </c>
      <c r="B155" s="420">
        <v>1070.1600000000001</v>
      </c>
      <c r="C155" s="420">
        <v>2.95</v>
      </c>
      <c r="D155" s="420">
        <v>2.63</v>
      </c>
    </row>
    <row r="156" spans="1:4">
      <c r="A156" s="275">
        <v>45607</v>
      </c>
      <c r="B156" s="420">
        <v>1071.78</v>
      </c>
      <c r="C156" s="420">
        <v>2.94</v>
      </c>
      <c r="D156" s="420">
        <v>2.63</v>
      </c>
    </row>
    <row r="157" spans="1:4">
      <c r="A157" s="275">
        <v>45608</v>
      </c>
      <c r="B157" s="420">
        <v>1071.97</v>
      </c>
      <c r="C157" s="420">
        <v>2.94</v>
      </c>
      <c r="D157" s="420">
        <v>2.63</v>
      </c>
    </row>
    <row r="158" spans="1:4">
      <c r="A158" s="275">
        <v>45609</v>
      </c>
      <c r="B158" s="420">
        <v>1072.6099999999999</v>
      </c>
      <c r="C158" s="420">
        <v>2.94</v>
      </c>
      <c r="D158" s="420">
        <v>2.63</v>
      </c>
    </row>
    <row r="159" spans="1:4">
      <c r="A159" s="275">
        <v>45610</v>
      </c>
      <c r="B159" s="420">
        <v>1076.8699999999999</v>
      </c>
      <c r="C159" s="420">
        <v>2.96</v>
      </c>
      <c r="D159" s="420">
        <v>2.64</v>
      </c>
    </row>
    <row r="160" spans="1:4">
      <c r="A160" s="275">
        <v>45611</v>
      </c>
      <c r="B160" s="420">
        <v>1078.6500000000001</v>
      </c>
      <c r="C160" s="420">
        <v>2.96</v>
      </c>
      <c r="D160" s="420">
        <v>2.65</v>
      </c>
    </row>
    <row r="161" spans="1:4">
      <c r="A161" s="275">
        <v>45614</v>
      </c>
      <c r="B161" s="420">
        <v>1078.98</v>
      </c>
      <c r="C161" s="420">
        <v>2.96</v>
      </c>
      <c r="D161" s="420">
        <v>2.65</v>
      </c>
    </row>
    <row r="162" spans="1:4">
      <c r="A162" s="275">
        <v>45615</v>
      </c>
      <c r="B162" s="420">
        <v>1075.3599999999999</v>
      </c>
      <c r="C162" s="420">
        <v>2.93</v>
      </c>
      <c r="D162" s="420">
        <v>2.62</v>
      </c>
    </row>
    <row r="163" spans="1:4">
      <c r="A163" s="275">
        <v>45616</v>
      </c>
      <c r="B163" s="420">
        <v>1071.3900000000001</v>
      </c>
      <c r="C163" s="420">
        <v>2.92</v>
      </c>
      <c r="D163" s="420">
        <v>2.6</v>
      </c>
    </row>
    <row r="164" spans="1:4">
      <c r="A164" s="275">
        <v>45617</v>
      </c>
      <c r="B164" s="420">
        <v>1073.6600000000001</v>
      </c>
      <c r="C164" s="420">
        <v>2.92</v>
      </c>
      <c r="D164" s="420">
        <v>2.61</v>
      </c>
    </row>
    <row r="165" spans="1:4">
      <c r="A165" s="275">
        <v>45618</v>
      </c>
      <c r="B165" s="420">
        <v>1074.0899999999999</v>
      </c>
      <c r="C165" s="420">
        <v>2.92</v>
      </c>
      <c r="D165" s="420">
        <v>2.61</v>
      </c>
    </row>
    <row r="166" spans="1:4">
      <c r="A166" s="275">
        <v>45621</v>
      </c>
      <c r="B166" s="420">
        <v>1071.96</v>
      </c>
      <c r="C166" s="420">
        <v>2.9</v>
      </c>
      <c r="D166" s="420">
        <v>2.59</v>
      </c>
    </row>
    <row r="167" spans="1:4">
      <c r="A167" s="275">
        <v>45622</v>
      </c>
      <c r="B167" s="420">
        <v>1075.9000000000001</v>
      </c>
      <c r="C167" s="420">
        <v>2.91</v>
      </c>
      <c r="D167" s="420">
        <v>2.6</v>
      </c>
    </row>
    <row r="168" spans="1:4">
      <c r="A168" s="275">
        <v>45623</v>
      </c>
      <c r="B168" s="420">
        <v>1076.68</v>
      </c>
      <c r="C168" s="420">
        <v>2.91</v>
      </c>
      <c r="D168" s="420">
        <v>2.6</v>
      </c>
    </row>
    <row r="169" spans="1:4">
      <c r="A169" s="275">
        <v>45624</v>
      </c>
      <c r="B169" s="420">
        <v>1076</v>
      </c>
      <c r="C169" s="420">
        <v>2.9</v>
      </c>
      <c r="D169" s="420">
        <v>2.6</v>
      </c>
    </row>
    <row r="170" spans="1:4">
      <c r="A170" s="275">
        <v>45625</v>
      </c>
      <c r="B170" s="420">
        <v>1078.29</v>
      </c>
      <c r="C170" s="420">
        <v>2.91</v>
      </c>
      <c r="D170" s="420">
        <v>2.6</v>
      </c>
    </row>
    <row r="171" spans="1:4">
      <c r="A171" s="275">
        <v>45628</v>
      </c>
      <c r="B171" s="420">
        <v>1082.55</v>
      </c>
      <c r="C171" s="420">
        <v>2.91</v>
      </c>
      <c r="D171" s="420">
        <v>2.6</v>
      </c>
    </row>
    <row r="172" spans="1:4">
      <c r="A172" s="275">
        <v>45629</v>
      </c>
      <c r="B172" s="420">
        <v>1077.79</v>
      </c>
      <c r="C172" s="420">
        <v>2.9</v>
      </c>
      <c r="D172" s="420">
        <v>2.59</v>
      </c>
    </row>
    <row r="173" spans="1:4">
      <c r="A173" s="275">
        <v>45630</v>
      </c>
      <c r="B173" s="420">
        <v>1072.5</v>
      </c>
      <c r="C173" s="420">
        <v>2.88</v>
      </c>
      <c r="D173" s="420">
        <v>2.57</v>
      </c>
    </row>
    <row r="174" spans="1:4">
      <c r="A174" s="275">
        <v>45631</v>
      </c>
      <c r="B174" s="420">
        <v>1073.52</v>
      </c>
      <c r="C174" s="420">
        <v>2.88</v>
      </c>
      <c r="D174" s="420">
        <v>2.57</v>
      </c>
    </row>
    <row r="175" spans="1:4">
      <c r="A175" s="275">
        <v>45632</v>
      </c>
      <c r="B175" s="420">
        <v>1076.5999999999999</v>
      </c>
      <c r="C175" s="420">
        <v>2.89</v>
      </c>
      <c r="D175" s="420">
        <v>2.57</v>
      </c>
    </row>
    <row r="176" spans="1:4">
      <c r="A176" s="275">
        <v>45635</v>
      </c>
      <c r="B176" s="420">
        <v>1079.93</v>
      </c>
      <c r="C176" s="420">
        <v>2.88</v>
      </c>
      <c r="D176" s="420">
        <v>2.57</v>
      </c>
    </row>
    <row r="177" spans="1:4">
      <c r="A177" s="275">
        <v>45636</v>
      </c>
      <c r="B177" s="420">
        <v>1081.6099999999999</v>
      </c>
      <c r="C177" s="420">
        <v>2.88</v>
      </c>
      <c r="D177" s="420">
        <v>2.57</v>
      </c>
    </row>
    <row r="178" spans="1:4">
      <c r="A178" s="275">
        <v>45637</v>
      </c>
      <c r="B178" s="420">
        <v>1083.6500000000001</v>
      </c>
      <c r="C178" s="420">
        <v>2.88</v>
      </c>
      <c r="D178" s="420">
        <v>2.58</v>
      </c>
    </row>
    <row r="179" spans="1:4">
      <c r="A179" s="275">
        <v>45638</v>
      </c>
      <c r="B179" s="420">
        <v>1087.1400000000001</v>
      </c>
      <c r="C179" s="420">
        <v>2.89</v>
      </c>
      <c r="D179" s="420">
        <v>2.58</v>
      </c>
    </row>
    <row r="180" spans="1:4">
      <c r="A180" s="275">
        <v>45639</v>
      </c>
      <c r="B180" s="420">
        <v>1099.19</v>
      </c>
      <c r="C180" s="420">
        <v>2.93</v>
      </c>
      <c r="D180" s="420">
        <v>2.63</v>
      </c>
    </row>
    <row r="181" spans="1:4">
      <c r="A181" s="275">
        <v>45643</v>
      </c>
      <c r="B181" s="420">
        <v>1101.58</v>
      </c>
      <c r="C181" s="420">
        <v>2.92</v>
      </c>
      <c r="D181" s="420">
        <v>2.62</v>
      </c>
    </row>
    <row r="182" spans="1:4">
      <c r="A182" s="275">
        <v>45644</v>
      </c>
      <c r="B182" s="420">
        <v>1093.56</v>
      </c>
      <c r="C182" s="420">
        <v>2.9</v>
      </c>
      <c r="D182" s="420">
        <v>2.6</v>
      </c>
    </row>
    <row r="183" spans="1:4">
      <c r="A183" s="275">
        <v>45645</v>
      </c>
      <c r="B183" s="420">
        <v>1096.27</v>
      </c>
      <c r="C183" s="420">
        <v>2.9</v>
      </c>
      <c r="D183" s="420">
        <v>2.6</v>
      </c>
    </row>
    <row r="184" spans="1:4">
      <c r="A184" s="275">
        <v>45646</v>
      </c>
      <c r="B184" s="420">
        <v>1102.8399999999999</v>
      </c>
      <c r="C184" s="420">
        <v>2.92</v>
      </c>
      <c r="D184" s="420">
        <v>2.63</v>
      </c>
    </row>
    <row r="185" spans="1:4">
      <c r="A185" s="275">
        <v>45649</v>
      </c>
      <c r="B185" s="420">
        <v>1103.08</v>
      </c>
      <c r="C185" s="420">
        <v>2.9</v>
      </c>
      <c r="D185" s="420">
        <v>2.61</v>
      </c>
    </row>
    <row r="186" spans="1:4">
      <c r="A186" s="275">
        <v>45650</v>
      </c>
      <c r="B186" s="420">
        <v>1104.06</v>
      </c>
      <c r="C186" s="420">
        <v>2.9</v>
      </c>
      <c r="D186" s="420">
        <v>2.61</v>
      </c>
    </row>
    <row r="187" spans="1:4">
      <c r="A187" s="275">
        <v>45651</v>
      </c>
      <c r="B187" s="420">
        <v>1105.4000000000001</v>
      </c>
      <c r="C187" s="420">
        <v>2.91</v>
      </c>
      <c r="D187" s="420">
        <v>2.61</v>
      </c>
    </row>
    <row r="188" spans="1:4">
      <c r="A188" s="275">
        <v>45652</v>
      </c>
      <c r="B188" s="420">
        <v>1105.32</v>
      </c>
      <c r="C188" s="420">
        <v>2.9</v>
      </c>
      <c r="D188" s="420">
        <v>2.6</v>
      </c>
    </row>
    <row r="189" spans="1:4">
      <c r="A189" s="275">
        <v>45653</v>
      </c>
      <c r="B189" s="420">
        <v>1106.2</v>
      </c>
      <c r="C189" s="420">
        <v>2.9</v>
      </c>
      <c r="D189" s="420">
        <v>2.61</v>
      </c>
    </row>
    <row r="190" spans="1:4">
      <c r="A190" s="275">
        <v>45656</v>
      </c>
      <c r="B190" s="420">
        <v>1105.95</v>
      </c>
      <c r="C190" s="420">
        <v>2.9</v>
      </c>
      <c r="D190" s="420">
        <v>2.6</v>
      </c>
    </row>
    <row r="191" spans="1:4">
      <c r="A191" s="275">
        <v>45657</v>
      </c>
      <c r="B191" s="420">
        <v>1106.71</v>
      </c>
      <c r="C191" s="420">
        <v>2.9</v>
      </c>
      <c r="D191" s="420">
        <v>2.6</v>
      </c>
    </row>
    <row r="192" spans="1:4">
      <c r="A192" s="275">
        <v>45662</v>
      </c>
      <c r="B192" s="420">
        <v>1109.1400000000001</v>
      </c>
      <c r="C192" s="420">
        <v>2.93</v>
      </c>
      <c r="D192" s="420">
        <v>2.63</v>
      </c>
    </row>
    <row r="193" spans="1:4">
      <c r="A193" s="275">
        <v>45663</v>
      </c>
      <c r="B193" s="420">
        <v>1108.8499999999999</v>
      </c>
      <c r="C193" s="420">
        <v>2.92</v>
      </c>
      <c r="D193" s="420">
        <v>2.63</v>
      </c>
    </row>
    <row r="194" spans="1:4">
      <c r="A194" s="275">
        <v>45665</v>
      </c>
      <c r="B194" s="420">
        <v>1109.21</v>
      </c>
      <c r="C194" s="420">
        <v>2.92</v>
      </c>
      <c r="D194" s="420">
        <v>2.62</v>
      </c>
    </row>
    <row r="195" spans="1:4">
      <c r="A195" s="275">
        <v>45666</v>
      </c>
      <c r="B195" s="420">
        <v>1097.19</v>
      </c>
      <c r="C195" s="420">
        <v>2.89</v>
      </c>
      <c r="D195" s="420">
        <v>2.59</v>
      </c>
    </row>
    <row r="196" spans="1:4">
      <c r="A196" s="275">
        <v>45667</v>
      </c>
      <c r="B196" s="420">
        <v>1095.3900000000001</v>
      </c>
      <c r="C196" s="420">
        <v>2.89</v>
      </c>
      <c r="D196" s="420">
        <v>2.58</v>
      </c>
    </row>
    <row r="197" spans="1:4">
      <c r="A197" s="275">
        <v>45670</v>
      </c>
      <c r="B197" s="420">
        <v>1091.8699999999999</v>
      </c>
      <c r="C197" s="420">
        <v>2.86</v>
      </c>
      <c r="D197" s="420">
        <v>2.56</v>
      </c>
    </row>
    <row r="198" spans="1:4">
      <c r="A198" s="275">
        <v>45671</v>
      </c>
      <c r="B198" s="420">
        <v>1093.47</v>
      </c>
      <c r="C198" s="420">
        <v>2.87</v>
      </c>
      <c r="D198" s="420">
        <v>2.56</v>
      </c>
    </row>
    <row r="199" spans="1:4">
      <c r="A199" s="275">
        <v>45672</v>
      </c>
      <c r="B199" s="420">
        <v>1084.7</v>
      </c>
      <c r="C199" s="420">
        <v>2.84</v>
      </c>
      <c r="D199" s="420">
        <v>2.5299999999999998</v>
      </c>
    </row>
    <row r="200" spans="1:4">
      <c r="A200" s="275">
        <v>45673</v>
      </c>
      <c r="B200" s="420">
        <v>1080.22</v>
      </c>
      <c r="C200" s="420">
        <v>2.81</v>
      </c>
      <c r="D200" s="420">
        <v>2.5099999999999998</v>
      </c>
    </row>
    <row r="201" spans="1:4">
      <c r="A201" s="275">
        <v>45674</v>
      </c>
      <c r="B201" s="420">
        <v>1077.3900000000001</v>
      </c>
      <c r="C201" s="420">
        <v>2.81</v>
      </c>
      <c r="D201" s="420">
        <v>2.4900000000000002</v>
      </c>
    </row>
    <row r="202" spans="1:4">
      <c r="A202" s="275">
        <v>45677</v>
      </c>
      <c r="B202" s="420">
        <v>1077.33</v>
      </c>
      <c r="C202" s="420">
        <v>2.8</v>
      </c>
      <c r="D202" s="420">
        <v>2.4900000000000002</v>
      </c>
    </row>
    <row r="203" spans="1:4">
      <c r="A203" s="275">
        <v>45678</v>
      </c>
      <c r="B203" s="420">
        <v>1088.5899999999999</v>
      </c>
      <c r="C203" s="420">
        <v>2.83</v>
      </c>
      <c r="D203" s="420">
        <v>2.52</v>
      </c>
    </row>
    <row r="204" spans="1:4">
      <c r="A204" s="275">
        <v>45679</v>
      </c>
      <c r="B204" s="420">
        <v>1077.83</v>
      </c>
      <c r="C204" s="420">
        <v>2.79</v>
      </c>
      <c r="D204" s="420">
        <v>2.48</v>
      </c>
    </row>
    <row r="205" spans="1:4">
      <c r="A205" s="275">
        <v>45680</v>
      </c>
      <c r="B205" s="420">
        <v>1080.45</v>
      </c>
      <c r="C205" s="420">
        <v>2.79</v>
      </c>
      <c r="D205" s="420">
        <v>2.48</v>
      </c>
    </row>
    <row r="206" spans="1:4">
      <c r="A206" s="275">
        <v>45681</v>
      </c>
      <c r="B206" s="420">
        <v>1079.46</v>
      </c>
      <c r="C206" s="420">
        <v>2.79</v>
      </c>
      <c r="D206" s="420">
        <v>2.48</v>
      </c>
    </row>
    <row r="207" spans="1:4">
      <c r="A207" s="275">
        <v>45684</v>
      </c>
      <c r="B207" s="420">
        <v>1084.58</v>
      </c>
      <c r="C207" s="420">
        <v>2.79</v>
      </c>
      <c r="D207" s="420">
        <v>2.48</v>
      </c>
    </row>
    <row r="208" spans="1:4">
      <c r="A208" s="275">
        <v>45685</v>
      </c>
      <c r="B208" s="420">
        <v>1096.6400000000001</v>
      </c>
      <c r="C208" s="420">
        <v>2.84</v>
      </c>
      <c r="D208" s="420">
        <v>2.54</v>
      </c>
    </row>
    <row r="209" spans="1:4">
      <c r="A209" s="275">
        <v>45686</v>
      </c>
      <c r="B209" s="420">
        <v>1090.1500000000001</v>
      </c>
      <c r="C209" s="420">
        <v>2.83</v>
      </c>
      <c r="D209" s="420">
        <v>2.5099999999999998</v>
      </c>
    </row>
    <row r="210" spans="1:4">
      <c r="A210" s="275">
        <v>45687</v>
      </c>
      <c r="B210" s="420">
        <v>1096.29</v>
      </c>
      <c r="C210" s="420">
        <v>2.83</v>
      </c>
      <c r="D210" s="420">
        <v>2.52</v>
      </c>
    </row>
    <row r="211" spans="1:4">
      <c r="A211" s="275">
        <v>45688</v>
      </c>
      <c r="B211" s="420">
        <v>1096.75</v>
      </c>
      <c r="C211" s="420">
        <v>2.83</v>
      </c>
      <c r="D211" s="420">
        <v>2.52</v>
      </c>
    </row>
    <row r="212" spans="1:4">
      <c r="A212" s="275">
        <v>45691</v>
      </c>
      <c r="B212" s="420">
        <v>1093.74</v>
      </c>
      <c r="C212" s="420">
        <v>2.87</v>
      </c>
      <c r="D212" s="420">
        <v>2.56</v>
      </c>
    </row>
    <row r="213" spans="1:4">
      <c r="A213" s="275">
        <v>45692</v>
      </c>
      <c r="B213" s="420">
        <v>1098.99</v>
      </c>
      <c r="C213" s="420">
        <v>2.91</v>
      </c>
      <c r="D213" s="420">
        <v>2.6</v>
      </c>
    </row>
    <row r="214" spans="1:4">
      <c r="A214" s="275">
        <v>45693</v>
      </c>
      <c r="B214" s="420">
        <v>1094.56</v>
      </c>
      <c r="C214" s="420">
        <v>2.91</v>
      </c>
      <c r="D214" s="420">
        <v>2.6</v>
      </c>
    </row>
    <row r="215" spans="1:4">
      <c r="A215" s="275">
        <v>45694</v>
      </c>
      <c r="B215" s="420">
        <v>1081.75</v>
      </c>
      <c r="C215" s="420">
        <v>2.87</v>
      </c>
      <c r="D215" s="420">
        <v>2.54</v>
      </c>
    </row>
    <row r="216" spans="1:4">
      <c r="A216" s="275">
        <v>45695</v>
      </c>
      <c r="B216" s="420">
        <v>1087.5999999999999</v>
      </c>
      <c r="C216" s="420">
        <v>2.87</v>
      </c>
      <c r="D216" s="420">
        <v>2.56</v>
      </c>
    </row>
    <row r="217" spans="1:4">
      <c r="A217" s="275">
        <v>45698</v>
      </c>
      <c r="B217" s="420">
        <v>1090.73</v>
      </c>
      <c r="C217" s="420">
        <v>2.87</v>
      </c>
      <c r="D217" s="420">
        <v>2.5499999999999998</v>
      </c>
    </row>
    <row r="218" spans="1:4">
      <c r="A218" s="275">
        <v>45699</v>
      </c>
      <c r="B218" s="420">
        <v>1100.8</v>
      </c>
      <c r="C218" s="420">
        <v>2.91</v>
      </c>
      <c r="D218" s="420">
        <v>2.6</v>
      </c>
    </row>
    <row r="219" spans="1:4">
      <c r="A219" s="275">
        <v>45700</v>
      </c>
      <c r="B219" s="420">
        <v>1090.33</v>
      </c>
      <c r="C219" s="420">
        <v>2.87</v>
      </c>
      <c r="D219" s="420">
        <v>2.5499999999999998</v>
      </c>
    </row>
    <row r="220" spans="1:4">
      <c r="A220" s="275">
        <v>45701</v>
      </c>
      <c r="B220" s="420">
        <v>1085.8</v>
      </c>
      <c r="C220" s="420">
        <v>2.85</v>
      </c>
      <c r="D220" s="420">
        <v>2.54</v>
      </c>
    </row>
    <row r="221" spans="1:4">
      <c r="A221" s="275">
        <v>45702</v>
      </c>
      <c r="B221" s="420">
        <v>1090.08</v>
      </c>
      <c r="C221" s="420">
        <v>2.86</v>
      </c>
      <c r="D221" s="420">
        <v>2.54</v>
      </c>
    </row>
    <row r="222" spans="1:4">
      <c r="A222" s="275">
        <v>45705</v>
      </c>
      <c r="B222" s="420">
        <v>1094.47</v>
      </c>
      <c r="C222" s="420">
        <v>2.89</v>
      </c>
      <c r="D222" s="420">
        <v>2.57</v>
      </c>
    </row>
    <row r="223" spans="1:4">
      <c r="A223" s="275">
        <v>45706</v>
      </c>
      <c r="B223" s="420">
        <v>1096.28</v>
      </c>
      <c r="C223" s="420">
        <v>2.87</v>
      </c>
      <c r="D223" s="420">
        <v>2.56</v>
      </c>
    </row>
    <row r="224" spans="1:4">
      <c r="A224" s="275">
        <v>45707</v>
      </c>
      <c r="B224" s="420">
        <v>1084.47</v>
      </c>
      <c r="C224" s="420">
        <v>2.84</v>
      </c>
      <c r="D224" s="420">
        <v>2.5099999999999998</v>
      </c>
    </row>
    <row r="225" spans="1:4">
      <c r="A225" s="275">
        <v>45708</v>
      </c>
      <c r="B225" s="420">
        <v>1086.3399999999999</v>
      </c>
      <c r="C225" s="420">
        <v>2.84</v>
      </c>
      <c r="D225" s="420">
        <v>2.5099999999999998</v>
      </c>
    </row>
    <row r="226" spans="1:4">
      <c r="A226" s="275">
        <v>45709</v>
      </c>
      <c r="B226" s="420">
        <v>1090.75</v>
      </c>
      <c r="C226" s="420">
        <v>2.84</v>
      </c>
      <c r="D226" s="420">
        <v>2.5299999999999998</v>
      </c>
    </row>
    <row r="227" spans="1:4">
      <c r="A227" s="275">
        <v>45712</v>
      </c>
      <c r="B227" s="420">
        <v>1089.8399999999999</v>
      </c>
      <c r="C227" s="420">
        <v>2.84</v>
      </c>
      <c r="D227" s="420">
        <v>2.52</v>
      </c>
    </row>
    <row r="228" spans="1:4">
      <c r="A228" s="275">
        <v>45713</v>
      </c>
      <c r="B228" s="420">
        <v>1092.51</v>
      </c>
      <c r="C228" s="420">
        <v>2.84</v>
      </c>
      <c r="D228" s="420">
        <v>2.5299999999999998</v>
      </c>
    </row>
    <row r="229" spans="1:4">
      <c r="A229" s="275">
        <v>45714</v>
      </c>
      <c r="B229" s="420">
        <v>1084.5999999999999</v>
      </c>
      <c r="C229" s="420">
        <v>2.84</v>
      </c>
      <c r="D229" s="420">
        <v>2.52</v>
      </c>
    </row>
    <row r="230" spans="1:4">
      <c r="A230" s="275">
        <v>45715</v>
      </c>
      <c r="B230" s="420">
        <v>1093.6199999999999</v>
      </c>
      <c r="C230" s="420">
        <v>2.85</v>
      </c>
      <c r="D230" s="420">
        <v>2.54</v>
      </c>
    </row>
    <row r="231" spans="1:4">
      <c r="A231" s="275">
        <v>45716</v>
      </c>
      <c r="B231" s="420">
        <v>1097.1600000000001</v>
      </c>
      <c r="C231" s="420">
        <v>2.86</v>
      </c>
      <c r="D231" s="420">
        <v>2.54</v>
      </c>
    </row>
    <row r="232" spans="1:4">
      <c r="A232" s="275">
        <v>45719</v>
      </c>
      <c r="B232" s="420">
        <v>1102.26</v>
      </c>
      <c r="C232" s="420">
        <v>2.9</v>
      </c>
      <c r="D232" s="420">
        <v>2.58</v>
      </c>
    </row>
    <row r="233" spans="1:4">
      <c r="A233" s="275">
        <v>45720</v>
      </c>
      <c r="B233" s="420">
        <v>1101.6600000000001</v>
      </c>
      <c r="C233" s="420">
        <v>2.88</v>
      </c>
      <c r="D233" s="420">
        <v>2.57</v>
      </c>
    </row>
    <row r="234" spans="1:4">
      <c r="A234" s="275">
        <v>45721</v>
      </c>
      <c r="B234" s="420">
        <v>1095.24</v>
      </c>
      <c r="C234" s="420">
        <v>2.87</v>
      </c>
      <c r="D234" s="420">
        <v>2.5499999999999998</v>
      </c>
    </row>
    <row r="235" spans="1:4">
      <c r="A235" s="275">
        <v>45722</v>
      </c>
      <c r="B235" s="420">
        <v>1090.99</v>
      </c>
      <c r="C235" s="420">
        <v>2.88</v>
      </c>
      <c r="D235" s="420">
        <v>2.56</v>
      </c>
    </row>
    <row r="236" spans="1:4">
      <c r="A236" s="275">
        <v>45723</v>
      </c>
      <c r="B236" s="420">
        <v>1095.21</v>
      </c>
      <c r="C236" s="420">
        <v>2.92</v>
      </c>
      <c r="D236" s="420">
        <v>2.59</v>
      </c>
    </row>
    <row r="237" spans="1:4">
      <c r="A237" s="275">
        <v>45727</v>
      </c>
      <c r="B237" s="420">
        <v>1096.8399999999999</v>
      </c>
      <c r="C237" s="420">
        <v>2.9</v>
      </c>
      <c r="D237" s="420">
        <v>2.57</v>
      </c>
    </row>
    <row r="238" spans="1:4">
      <c r="A238" s="275">
        <v>45728</v>
      </c>
      <c r="B238" s="420">
        <v>1097.31</v>
      </c>
      <c r="C238" s="420">
        <v>2.89</v>
      </c>
      <c r="D238" s="420">
        <v>2.57</v>
      </c>
    </row>
    <row r="239" spans="1:4">
      <c r="A239" s="275">
        <v>45729</v>
      </c>
      <c r="B239" s="420">
        <v>1069.28</v>
      </c>
      <c r="C239" s="420">
        <v>2.83</v>
      </c>
      <c r="D239" s="420">
        <v>2.4900000000000002</v>
      </c>
    </row>
    <row r="240" spans="1:4">
      <c r="A240" s="275">
        <v>45730</v>
      </c>
      <c r="B240" s="420">
        <v>1070.03</v>
      </c>
      <c r="C240" s="420">
        <v>2.83</v>
      </c>
      <c r="D240" s="420">
        <v>2.4900000000000002</v>
      </c>
    </row>
    <row r="241" spans="1:4">
      <c r="A241" s="275">
        <v>45733</v>
      </c>
      <c r="B241" s="420">
        <v>1069.23</v>
      </c>
      <c r="C241" s="420">
        <v>2.84</v>
      </c>
      <c r="D241" s="420">
        <v>2.5</v>
      </c>
    </row>
    <row r="242" spans="1:4">
      <c r="A242" s="275">
        <v>45734</v>
      </c>
      <c r="B242" s="420">
        <v>1071.52</v>
      </c>
      <c r="C242" s="420">
        <v>2.83</v>
      </c>
      <c r="D242" s="420">
        <v>2.4900000000000002</v>
      </c>
    </row>
    <row r="243" spans="1:4">
      <c r="A243" s="275">
        <v>45735</v>
      </c>
      <c r="B243" s="420">
        <v>1052.4100000000001</v>
      </c>
      <c r="C243" s="420">
        <v>2.75</v>
      </c>
      <c r="D243" s="420">
        <v>2.41</v>
      </c>
    </row>
    <row r="244" spans="1:4">
      <c r="A244" s="275">
        <v>45736</v>
      </c>
      <c r="B244" s="420">
        <v>1049.9100000000001</v>
      </c>
      <c r="C244" s="420">
        <v>2.75</v>
      </c>
      <c r="D244" s="420">
        <v>2.4</v>
      </c>
    </row>
    <row r="245" spans="1:4">
      <c r="A245" s="275">
        <v>45742</v>
      </c>
      <c r="B245" s="420">
        <v>1055.51</v>
      </c>
      <c r="C245" s="420">
        <v>2.74</v>
      </c>
      <c r="D245" s="420">
        <v>2.39</v>
      </c>
    </row>
    <row r="246" spans="1:4">
      <c r="A246" s="275">
        <v>45743</v>
      </c>
      <c r="B246" s="420">
        <v>1055.6199999999999</v>
      </c>
      <c r="C246" s="420">
        <v>2.75</v>
      </c>
      <c r="D246" s="420">
        <v>2.4</v>
      </c>
    </row>
    <row r="247" spans="1:4">
      <c r="A247" s="275">
        <v>45744</v>
      </c>
      <c r="B247" s="420">
        <v>1054.93</v>
      </c>
      <c r="C247" s="420">
        <v>2.74</v>
      </c>
      <c r="D247" s="420">
        <v>2.39</v>
      </c>
    </row>
    <row r="248" spans="1:4">
      <c r="A248" s="275">
        <v>45747</v>
      </c>
      <c r="B248" s="420">
        <v>1055.77</v>
      </c>
      <c r="C248" s="420">
        <v>2.75</v>
      </c>
      <c r="D248" s="420">
        <v>2.4</v>
      </c>
    </row>
    <row r="249" spans="1:4">
      <c r="A249" s="275">
        <v>45748</v>
      </c>
      <c r="B249" s="420">
        <v>1063.83</v>
      </c>
      <c r="C249" s="420">
        <v>2.77</v>
      </c>
      <c r="D249" s="420">
        <v>2.42</v>
      </c>
    </row>
    <row r="250" spans="1:4">
      <c r="A250" s="275">
        <v>45749</v>
      </c>
      <c r="B250" s="420">
        <v>1060.8399999999999</v>
      </c>
      <c r="C250" s="420">
        <v>2.75</v>
      </c>
      <c r="D250" s="420">
        <v>2.42</v>
      </c>
    </row>
    <row r="251" spans="1:4">
      <c r="A251" s="275">
        <v>45750</v>
      </c>
      <c r="B251" s="420">
        <v>1067.0999999999999</v>
      </c>
      <c r="C251" s="420">
        <v>2.78</v>
      </c>
      <c r="D251" s="420">
        <v>2.4300000000000002</v>
      </c>
    </row>
    <row r="252" spans="1:4">
      <c r="A252" s="275">
        <v>45751</v>
      </c>
      <c r="B252" s="420">
        <v>1068.27</v>
      </c>
      <c r="C252" s="420">
        <v>2.79</v>
      </c>
      <c r="D252" s="420">
        <v>2.4500000000000002</v>
      </c>
    </row>
    <row r="253" spans="1:4">
      <c r="A253" s="275">
        <v>45754</v>
      </c>
      <c r="B253" s="420">
        <v>1067.6400000000001</v>
      </c>
      <c r="C253" s="420">
        <v>2.78</v>
      </c>
      <c r="D253" s="420">
        <v>2.4300000000000002</v>
      </c>
    </row>
    <row r="254" spans="1:4">
      <c r="A254" s="275">
        <v>45755</v>
      </c>
      <c r="B254" s="420">
        <v>1068.43</v>
      </c>
      <c r="C254" s="420">
        <v>2.78</v>
      </c>
      <c r="D254" s="420">
        <v>2.4300000000000002</v>
      </c>
    </row>
    <row r="255" spans="1:4">
      <c r="A255" s="275">
        <v>45756</v>
      </c>
      <c r="B255" s="420">
        <v>1065.25</v>
      </c>
      <c r="C255" s="420">
        <v>2.75</v>
      </c>
      <c r="D255" s="420">
        <v>2.41</v>
      </c>
    </row>
    <row r="256" spans="1:4">
      <c r="A256" s="275">
        <v>45757</v>
      </c>
      <c r="B256" s="420">
        <v>1067.2</v>
      </c>
      <c r="C256" s="420">
        <v>2.76</v>
      </c>
      <c r="D256" s="420">
        <v>2.42</v>
      </c>
    </row>
    <row r="257" spans="1:4">
      <c r="A257" s="275">
        <v>45758</v>
      </c>
      <c r="B257" s="420">
        <v>1067.69</v>
      </c>
      <c r="C257" s="420">
        <v>2.76</v>
      </c>
      <c r="D257" s="420">
        <v>2.42</v>
      </c>
    </row>
    <row r="258" spans="1:4">
      <c r="A258" s="275">
        <v>45761</v>
      </c>
      <c r="B258" s="420">
        <v>1068.8900000000001</v>
      </c>
      <c r="C258" s="420">
        <v>2.76</v>
      </c>
      <c r="D258" s="420">
        <v>2.42</v>
      </c>
    </row>
    <row r="259" spans="1:4">
      <c r="A259" s="275">
        <v>45762</v>
      </c>
      <c r="B259" s="420">
        <v>1070.1400000000001</v>
      </c>
      <c r="C259" s="420">
        <v>2.77</v>
      </c>
      <c r="D259" s="420">
        <v>2.42</v>
      </c>
    </row>
    <row r="260" spans="1:4">
      <c r="A260" s="275">
        <v>45763</v>
      </c>
      <c r="B260" s="420">
        <v>1065.08</v>
      </c>
      <c r="C260" s="420">
        <v>2.77</v>
      </c>
      <c r="D260" s="420">
        <v>2.42</v>
      </c>
    </row>
    <row r="261" spans="1:4">
      <c r="A261" s="275">
        <v>45764</v>
      </c>
      <c r="B261" s="420">
        <v>1065.3699999999999</v>
      </c>
      <c r="C261" s="420">
        <v>2.76</v>
      </c>
      <c r="D261" s="420">
        <v>2.42</v>
      </c>
    </row>
    <row r="262" spans="1:4">
      <c r="A262" s="275">
        <v>45765</v>
      </c>
      <c r="B262" s="420">
        <v>1065.31</v>
      </c>
      <c r="C262" s="420">
        <v>2.76</v>
      </c>
      <c r="D262" s="420">
        <v>2.42</v>
      </c>
    </row>
    <row r="263" spans="1:4">
      <c r="A263" s="275">
        <v>45768</v>
      </c>
      <c r="B263" s="420">
        <v>1066.6099999999999</v>
      </c>
      <c r="C263" s="420">
        <v>2.75</v>
      </c>
      <c r="D263" s="420">
        <v>2.41</v>
      </c>
    </row>
    <row r="264" spans="1:4">
      <c r="A264" s="275">
        <v>45769</v>
      </c>
      <c r="B264" s="420">
        <v>1065.8800000000001</v>
      </c>
      <c r="C264" s="420">
        <v>2.75</v>
      </c>
      <c r="D264" s="420">
        <v>2.4</v>
      </c>
    </row>
    <row r="265" spans="1:4">
      <c r="A265" s="275">
        <v>45770</v>
      </c>
      <c r="B265" s="420">
        <v>1064.33</v>
      </c>
      <c r="C265" s="420">
        <v>2.75</v>
      </c>
      <c r="D265" s="420">
        <v>2.41</v>
      </c>
    </row>
    <row r="266" spans="1:4">
      <c r="A266" s="275">
        <v>45771</v>
      </c>
      <c r="B266" s="420">
        <v>1064.1300000000001</v>
      </c>
      <c r="C266" s="420">
        <v>2.75</v>
      </c>
      <c r="D266" s="420">
        <v>2.4</v>
      </c>
    </row>
    <row r="267" spans="1:4">
      <c r="A267" s="275">
        <v>45772</v>
      </c>
      <c r="B267" s="420">
        <v>1063.53</v>
      </c>
      <c r="C267" s="420">
        <v>2.74</v>
      </c>
      <c r="D267" s="420">
        <v>2.39</v>
      </c>
    </row>
    <row r="268" spans="1:4">
      <c r="A268" s="275">
        <v>45775</v>
      </c>
      <c r="B268" s="420">
        <v>1064</v>
      </c>
      <c r="C268" s="420">
        <v>2.75</v>
      </c>
      <c r="D268" s="420">
        <v>2.41</v>
      </c>
    </row>
    <row r="269" spans="1:4">
      <c r="A269" s="275">
        <v>45776</v>
      </c>
      <c r="B269" s="420">
        <v>1066.1600000000001</v>
      </c>
      <c r="C269" s="420">
        <v>2.75</v>
      </c>
      <c r="D269" s="420">
        <v>2.41</v>
      </c>
    </row>
    <row r="270" spans="1:4">
      <c r="A270" s="275">
        <v>45777</v>
      </c>
      <c r="B270" s="420">
        <v>1067.1600000000001</v>
      </c>
      <c r="C270" s="420">
        <v>2.75</v>
      </c>
      <c r="D270" s="420">
        <v>2.41</v>
      </c>
    </row>
    <row r="271" spans="1:4">
      <c r="A271" s="275">
        <v>45779</v>
      </c>
      <c r="B271" s="420">
        <v>1065.17</v>
      </c>
      <c r="C271" s="420">
        <v>2.86</v>
      </c>
      <c r="D271" s="420">
        <v>2.5</v>
      </c>
    </row>
    <row r="272" spans="1:4">
      <c r="A272" s="275">
        <v>45782</v>
      </c>
      <c r="B272" s="420">
        <v>1066.28</v>
      </c>
      <c r="C272" s="420">
        <v>2.85</v>
      </c>
      <c r="D272" s="420">
        <v>2.4900000000000002</v>
      </c>
    </row>
    <row r="273" spans="1:4">
      <c r="A273" s="275">
        <v>45783</v>
      </c>
      <c r="B273" s="420">
        <v>1062.5999999999999</v>
      </c>
      <c r="C273" s="420">
        <v>2.84</v>
      </c>
      <c r="D273" s="420">
        <v>2.48</v>
      </c>
    </row>
    <row r="274" spans="1:4">
      <c r="A274" s="275">
        <v>45785</v>
      </c>
      <c r="B274" s="420">
        <v>1067.81</v>
      </c>
      <c r="C274" s="420">
        <v>2.84</v>
      </c>
      <c r="D274" s="420">
        <v>2.48</v>
      </c>
    </row>
    <row r="275" spans="1:4">
      <c r="A275" s="275">
        <v>45789</v>
      </c>
      <c r="B275" s="420">
        <v>1068.78</v>
      </c>
      <c r="C275" s="420">
        <v>2.88</v>
      </c>
      <c r="D275" s="420">
        <v>2.5099999999999998</v>
      </c>
    </row>
    <row r="276" spans="1:4">
      <c r="A276" s="275">
        <v>45790</v>
      </c>
      <c r="B276" s="420">
        <v>1071.75</v>
      </c>
      <c r="C276" s="420">
        <v>2.86</v>
      </c>
      <c r="D276" s="420">
        <v>2.5</v>
      </c>
    </row>
    <row r="277" spans="1:4">
      <c r="A277" s="275">
        <v>45791</v>
      </c>
      <c r="B277" s="420">
        <v>1068.98</v>
      </c>
      <c r="C277" s="420">
        <v>2.86</v>
      </c>
      <c r="D277" s="420">
        <v>2.4900000000000002</v>
      </c>
    </row>
    <row r="278" spans="1:4">
      <c r="A278" s="275">
        <v>45792</v>
      </c>
      <c r="B278" s="420">
        <v>1069.3699999999999</v>
      </c>
      <c r="C278" s="420">
        <v>2.85</v>
      </c>
      <c r="D278" s="420">
        <v>2.4900000000000002</v>
      </c>
    </row>
    <row r="279" spans="1:4">
      <c r="A279" s="275">
        <v>45793</v>
      </c>
      <c r="B279" s="420">
        <v>1069.6500000000001</v>
      </c>
      <c r="C279" s="420">
        <v>2.85</v>
      </c>
      <c r="D279" s="420">
        <v>2.4900000000000002</v>
      </c>
    </row>
    <row r="280" spans="1:4">
      <c r="A280" s="275">
        <v>45796</v>
      </c>
      <c r="B280" s="420">
        <v>1072.01</v>
      </c>
      <c r="C280" s="420">
        <v>2.88</v>
      </c>
      <c r="D280" s="420">
        <v>2.52</v>
      </c>
    </row>
    <row r="281" spans="1:4">
      <c r="A281" s="275">
        <v>45797</v>
      </c>
      <c r="B281" s="420">
        <v>1072.29</v>
      </c>
      <c r="C281" s="420">
        <v>2.87</v>
      </c>
      <c r="D281" s="420">
        <v>2.5</v>
      </c>
    </row>
    <row r="282" spans="1:4">
      <c r="A282" s="275">
        <v>45798</v>
      </c>
      <c r="B282" s="420">
        <v>1068.92</v>
      </c>
      <c r="C282" s="420">
        <v>2.86</v>
      </c>
      <c r="D282" s="420">
        <v>2.4900000000000002</v>
      </c>
    </row>
    <row r="283" spans="1:4">
      <c r="A283" s="275">
        <v>45799</v>
      </c>
      <c r="B283" s="420">
        <v>1068.97</v>
      </c>
      <c r="C283" s="420">
        <v>2.86</v>
      </c>
      <c r="D283" s="420">
        <v>2.4900000000000002</v>
      </c>
    </row>
    <row r="284" spans="1:4">
      <c r="A284" s="275">
        <v>45800</v>
      </c>
      <c r="B284" s="420">
        <v>1069.23</v>
      </c>
      <c r="C284" s="420">
        <v>2.85</v>
      </c>
      <c r="D284" s="420">
        <v>2.4900000000000002</v>
      </c>
    </row>
    <row r="285" spans="1:4">
      <c r="A285" s="275">
        <v>45803</v>
      </c>
      <c r="B285" s="420">
        <v>1071.3599999999999</v>
      </c>
      <c r="C285" s="420">
        <v>2.84</v>
      </c>
      <c r="D285" s="420">
        <v>2.48</v>
      </c>
    </row>
    <row r="286" spans="1:4">
      <c r="A286" s="275">
        <v>45804</v>
      </c>
      <c r="B286" s="420">
        <v>1072.03</v>
      </c>
      <c r="C286" s="420">
        <v>2.84</v>
      </c>
      <c r="D286" s="420">
        <v>2.48</v>
      </c>
    </row>
    <row r="287" spans="1:4">
      <c r="A287" s="275">
        <v>45805</v>
      </c>
      <c r="B287" s="420">
        <v>1073.68</v>
      </c>
      <c r="C287" s="420">
        <v>2.84</v>
      </c>
      <c r="D287" s="420">
        <v>2.48</v>
      </c>
    </row>
    <row r="288" spans="1:4">
      <c r="A288" s="275">
        <v>45806</v>
      </c>
      <c r="B288" s="420">
        <v>1073.4100000000001</v>
      </c>
      <c r="C288" s="420">
        <v>2.84</v>
      </c>
      <c r="D288" s="420">
        <v>2.48</v>
      </c>
    </row>
    <row r="289" spans="1:4">
      <c r="A289" s="275">
        <v>45807</v>
      </c>
      <c r="B289" s="420">
        <v>1071.24</v>
      </c>
      <c r="C289" s="420">
        <v>2.84</v>
      </c>
      <c r="D289" s="420">
        <v>2.48</v>
      </c>
    </row>
    <row r="290" spans="1:4">
      <c r="A290" s="275">
        <v>45810</v>
      </c>
      <c r="B290" s="420">
        <v>1072.29</v>
      </c>
      <c r="C290" s="420">
        <v>2.88</v>
      </c>
      <c r="D290" s="420">
        <v>2.5099999999999998</v>
      </c>
    </row>
    <row r="291" spans="1:4">
      <c r="A291" s="275">
        <v>45811</v>
      </c>
      <c r="B291" s="420">
        <v>1070.92</v>
      </c>
      <c r="C291" s="420">
        <v>2.88</v>
      </c>
      <c r="D291" s="420">
        <v>2.5099999999999998</v>
      </c>
    </row>
    <row r="292" spans="1:4">
      <c r="A292" s="275">
        <v>45812</v>
      </c>
      <c r="B292" s="420">
        <v>1071.21</v>
      </c>
      <c r="C292" s="420">
        <v>2.88</v>
      </c>
      <c r="D292" s="420">
        <v>2.5099999999999998</v>
      </c>
    </row>
    <row r="293" spans="1:4">
      <c r="A293" s="275">
        <v>45813</v>
      </c>
      <c r="B293" s="420">
        <v>1069.6099999999999</v>
      </c>
      <c r="C293" s="420">
        <v>2.88</v>
      </c>
      <c r="D293" s="420">
        <v>2.5099999999999998</v>
      </c>
    </row>
    <row r="294" spans="1:4">
      <c r="A294" s="275">
        <v>45817</v>
      </c>
      <c r="B294" s="420">
        <v>1071.2</v>
      </c>
      <c r="C294" s="420">
        <v>2.87</v>
      </c>
      <c r="D294" s="420">
        <v>2.5</v>
      </c>
    </row>
    <row r="295" spans="1:4">
      <c r="A295" s="275">
        <v>45818</v>
      </c>
      <c r="B295" s="420">
        <v>1072.28</v>
      </c>
      <c r="C295" s="420">
        <v>2.87</v>
      </c>
      <c r="D295" s="420">
        <v>2.5</v>
      </c>
    </row>
    <row r="296" spans="1:4">
      <c r="A296" s="275">
        <v>45819</v>
      </c>
      <c r="B296" s="420">
        <v>1073.4000000000001</v>
      </c>
      <c r="C296" s="420">
        <v>2.87</v>
      </c>
      <c r="D296" s="420">
        <v>2.5</v>
      </c>
    </row>
    <row r="297" spans="1:4">
      <c r="A297" s="275">
        <v>45820</v>
      </c>
      <c r="B297" s="420">
        <v>1075.22</v>
      </c>
      <c r="C297" s="420">
        <v>2.87</v>
      </c>
      <c r="D297" s="420">
        <v>2.5</v>
      </c>
    </row>
    <row r="298" spans="1:4">
      <c r="A298" s="275">
        <v>45821</v>
      </c>
      <c r="B298" s="420">
        <v>1075.27</v>
      </c>
      <c r="C298" s="420">
        <v>2.87</v>
      </c>
      <c r="D298" s="420">
        <v>2.5</v>
      </c>
    </row>
    <row r="299" spans="1:4">
      <c r="A299" s="275">
        <v>45824</v>
      </c>
      <c r="B299" s="420">
        <v>1076.43</v>
      </c>
      <c r="C299" s="420">
        <v>2.86</v>
      </c>
      <c r="D299" s="420">
        <v>2.4900000000000002</v>
      </c>
    </row>
    <row r="300" spans="1:4">
      <c r="A300" s="275">
        <v>45825</v>
      </c>
      <c r="B300" s="420">
        <v>1076.6500000000001</v>
      </c>
      <c r="C300" s="420">
        <v>2.86</v>
      </c>
      <c r="D300" s="420">
        <v>2.4900000000000002</v>
      </c>
    </row>
    <row r="301" spans="1:4">
      <c r="A301" s="275">
        <v>45826</v>
      </c>
      <c r="B301" s="420">
        <v>1077.2</v>
      </c>
      <c r="C301" s="420">
        <v>2.86</v>
      </c>
      <c r="D301" s="420">
        <v>2.4900000000000002</v>
      </c>
    </row>
    <row r="302" spans="1:4">
      <c r="A302" s="275">
        <v>45827</v>
      </c>
      <c r="B302" s="420">
        <v>1077.6099999999999</v>
      </c>
      <c r="C302" s="420">
        <v>2.86</v>
      </c>
      <c r="D302" s="420">
        <v>2.4900000000000002</v>
      </c>
    </row>
    <row r="303" spans="1:4">
      <c r="A303" s="275">
        <v>45828</v>
      </c>
      <c r="B303" s="420">
        <v>1078.26</v>
      </c>
      <c r="C303" s="420">
        <v>2.87</v>
      </c>
      <c r="D303" s="420">
        <v>2.5</v>
      </c>
    </row>
    <row r="304" spans="1:4">
      <c r="A304" s="275">
        <v>45831</v>
      </c>
      <c r="B304" s="420">
        <v>1078.0999999999999</v>
      </c>
      <c r="C304" s="420">
        <v>2.85</v>
      </c>
      <c r="D304" s="420">
        <v>2.4900000000000002</v>
      </c>
    </row>
    <row r="305" spans="1:4">
      <c r="A305" s="275">
        <v>45832</v>
      </c>
      <c r="B305" s="420">
        <v>1073.99</v>
      </c>
      <c r="C305" s="420">
        <v>2.85</v>
      </c>
      <c r="D305" s="420">
        <v>2.48</v>
      </c>
    </row>
    <row r="306" spans="1:4">
      <c r="A306" s="275">
        <v>45833</v>
      </c>
      <c r="B306" s="420">
        <v>1073.19</v>
      </c>
      <c r="C306" s="420">
        <v>2.85</v>
      </c>
      <c r="D306" s="420">
        <v>2.48</v>
      </c>
    </row>
    <row r="307" spans="1:4">
      <c r="A307" s="275">
        <v>45834</v>
      </c>
      <c r="B307" s="420">
        <v>1076.1500000000001</v>
      </c>
      <c r="C307" s="420">
        <v>2.85</v>
      </c>
      <c r="D307" s="420">
        <v>2.48</v>
      </c>
    </row>
    <row r="308" spans="1:4">
      <c r="A308" s="275">
        <v>45835</v>
      </c>
      <c r="B308" s="420">
        <v>1079.24</v>
      </c>
      <c r="C308" s="420">
        <v>2.84</v>
      </c>
      <c r="D308" s="420">
        <v>2.48</v>
      </c>
    </row>
    <row r="309" spans="1:4">
      <c r="A309" s="275">
        <v>45838</v>
      </c>
      <c r="B309" s="420">
        <v>1080.4000000000001</v>
      </c>
      <c r="C309" s="420">
        <v>2.84</v>
      </c>
      <c r="D309" s="420">
        <v>2.4700000000000002</v>
      </c>
    </row>
    <row r="310" spans="1:4">
      <c r="A310" s="275">
        <v>45839</v>
      </c>
      <c r="B310" s="420">
        <v>1080.69</v>
      </c>
      <c r="C310" s="420">
        <v>2.83</v>
      </c>
      <c r="D310" s="420">
        <v>2.46</v>
      </c>
    </row>
    <row r="311" spans="1:4">
      <c r="A311" s="275">
        <v>45840</v>
      </c>
      <c r="B311" s="420">
        <v>1066.6300000000001</v>
      </c>
      <c r="C311" s="420">
        <v>2.78</v>
      </c>
      <c r="D311" s="420">
        <v>2.41</v>
      </c>
    </row>
    <row r="312" spans="1:4">
      <c r="A312" s="275">
        <v>45841</v>
      </c>
      <c r="B312" s="420">
        <v>1070.33</v>
      </c>
      <c r="C312" s="420">
        <v>2.81</v>
      </c>
      <c r="D312" s="420">
        <v>2.4300000000000002</v>
      </c>
    </row>
    <row r="313" spans="1:4">
      <c r="A313" s="275">
        <v>45842</v>
      </c>
      <c r="B313" s="420">
        <v>1071.3399999999999</v>
      </c>
      <c r="C313" s="420">
        <v>2.8</v>
      </c>
      <c r="D313" s="420">
        <v>2.4300000000000002</v>
      </c>
    </row>
    <row r="314" spans="1:4">
      <c r="A314" s="275">
        <v>45846</v>
      </c>
      <c r="B314" s="420">
        <v>1073.3399999999999</v>
      </c>
      <c r="C314" s="420">
        <v>2.79</v>
      </c>
      <c r="D314" s="420">
        <v>2.42</v>
      </c>
    </row>
    <row r="315" spans="1:4">
      <c r="A315" s="275">
        <v>45847</v>
      </c>
      <c r="B315" s="420">
        <v>1053.54</v>
      </c>
      <c r="C315" s="420">
        <v>2.72</v>
      </c>
      <c r="D315" s="420">
        <v>2.35</v>
      </c>
    </row>
    <row r="316" spans="1:4">
      <c r="A316" s="275">
        <v>45848</v>
      </c>
      <c r="B316" s="420">
        <v>1054.33</v>
      </c>
      <c r="C316" s="420">
        <v>2.72</v>
      </c>
      <c r="D316" s="420">
        <v>2.35</v>
      </c>
    </row>
    <row r="317" spans="1:4">
      <c r="A317" s="275">
        <v>45849</v>
      </c>
      <c r="B317" s="420">
        <v>1055.1099999999999</v>
      </c>
      <c r="C317" s="420">
        <v>2.72</v>
      </c>
      <c r="D317" s="420">
        <v>2.35</v>
      </c>
    </row>
    <row r="318" spans="1:4">
      <c r="A318" s="275">
        <v>45852</v>
      </c>
      <c r="B318" s="420">
        <v>1056.75</v>
      </c>
      <c r="C318" s="420">
        <v>2.72</v>
      </c>
      <c r="D318" s="420">
        <v>2.34</v>
      </c>
    </row>
    <row r="319" spans="1:4">
      <c r="A319" s="275">
        <v>45853</v>
      </c>
      <c r="B319" s="420">
        <v>1057.53</v>
      </c>
      <c r="C319" s="420">
        <v>2.72</v>
      </c>
      <c r="D319" s="420">
        <v>2.35</v>
      </c>
    </row>
    <row r="320" spans="1:4">
      <c r="A320" s="275">
        <v>45854</v>
      </c>
      <c r="B320" s="420">
        <v>1058.24</v>
      </c>
      <c r="C320" s="420">
        <v>2.72</v>
      </c>
      <c r="D320" s="420">
        <v>2.35</v>
      </c>
    </row>
    <row r="321" spans="1:4">
      <c r="A321" s="275">
        <v>45855</v>
      </c>
      <c r="B321" s="420">
        <v>1058.93</v>
      </c>
      <c r="C321" s="420">
        <v>2.72</v>
      </c>
      <c r="D321" s="420">
        <v>2.35</v>
      </c>
    </row>
    <row r="322" spans="1:4">
      <c r="A322" s="275">
        <v>45856</v>
      </c>
      <c r="B322" s="420">
        <v>1059.58</v>
      </c>
      <c r="C322" s="420">
        <v>2.72</v>
      </c>
      <c r="D322" s="420">
        <v>2.35</v>
      </c>
    </row>
    <row r="323" spans="1:4">
      <c r="A323" s="275">
        <v>45859</v>
      </c>
      <c r="B323" s="420">
        <v>1060.6199999999999</v>
      </c>
      <c r="C323" s="420">
        <v>2.72</v>
      </c>
      <c r="D323" s="420">
        <v>2.35</v>
      </c>
    </row>
    <row r="324" spans="1:4">
      <c r="A324" s="275">
        <v>45860</v>
      </c>
      <c r="B324" s="420">
        <v>1061.74</v>
      </c>
      <c r="C324" s="420">
        <v>2.72</v>
      </c>
      <c r="D324" s="420">
        <v>2.35</v>
      </c>
    </row>
    <row r="325" spans="1:4">
      <c r="A325" s="275">
        <v>45861</v>
      </c>
      <c r="B325" s="420">
        <v>1052.5899999999999</v>
      </c>
      <c r="C325" s="420">
        <v>2.66</v>
      </c>
      <c r="D325" s="420">
        <v>2.29</v>
      </c>
    </row>
    <row r="326" spans="1:4">
      <c r="A326" s="275">
        <v>45862</v>
      </c>
      <c r="B326" s="420">
        <v>1053.1500000000001</v>
      </c>
      <c r="C326" s="420">
        <v>2.66</v>
      </c>
      <c r="D326" s="420">
        <v>2.29</v>
      </c>
    </row>
    <row r="327" spans="1:4">
      <c r="A327" s="275">
        <v>45863</v>
      </c>
      <c r="B327" s="420">
        <v>1053.78</v>
      </c>
      <c r="C327" s="420">
        <v>2.67</v>
      </c>
      <c r="D327" s="420">
        <v>2.2999999999999998</v>
      </c>
    </row>
    <row r="328" spans="1:4">
      <c r="A328" s="275">
        <v>45866</v>
      </c>
      <c r="B328" s="420">
        <v>1055.5</v>
      </c>
      <c r="C328" s="420">
        <v>2.69</v>
      </c>
      <c r="D328" s="420">
        <v>2.31</v>
      </c>
    </row>
    <row r="329" spans="1:4">
      <c r="A329" s="275">
        <v>45867</v>
      </c>
      <c r="B329" s="420">
        <v>1056.73</v>
      </c>
      <c r="C329" s="420">
        <v>2.68</v>
      </c>
      <c r="D329" s="420">
        <v>2.2999999999999998</v>
      </c>
    </row>
    <row r="330" spans="1:4">
      <c r="A330" s="275">
        <v>45868</v>
      </c>
      <c r="B330" s="420">
        <v>1056.8699999999999</v>
      </c>
      <c r="C330" s="420">
        <v>2.69</v>
      </c>
      <c r="D330" s="420">
        <v>2.31</v>
      </c>
    </row>
    <row r="331" spans="1:4">
      <c r="A331" s="275">
        <v>45869</v>
      </c>
      <c r="B331" s="420">
        <v>1058.02</v>
      </c>
      <c r="C331" s="420">
        <v>2.68</v>
      </c>
      <c r="D331" s="420">
        <v>2.2999999999999998</v>
      </c>
    </row>
    <row r="332" spans="1:4">
      <c r="A332" s="275">
        <v>45870</v>
      </c>
      <c r="B332" s="420">
        <v>1059.4100000000001</v>
      </c>
      <c r="C332" s="420">
        <v>2.67</v>
      </c>
      <c r="D332" s="420">
        <v>2.2999999999999998</v>
      </c>
    </row>
    <row r="333" spans="1:4">
      <c r="A333" s="275">
        <v>45873</v>
      </c>
      <c r="B333" s="420">
        <v>1060.8800000000001</v>
      </c>
      <c r="C333" s="420">
        <v>2.67</v>
      </c>
      <c r="D333" s="420">
        <v>2.2999999999999998</v>
      </c>
    </row>
    <row r="334" spans="1:4">
      <c r="A334" s="275">
        <v>45874</v>
      </c>
      <c r="B334" s="420">
        <v>1061.73</v>
      </c>
      <c r="C334" s="420">
        <v>2.67</v>
      </c>
      <c r="D334" s="420">
        <v>2.2999999999999998</v>
      </c>
    </row>
    <row r="335" spans="1:4">
      <c r="A335" s="275">
        <v>45875</v>
      </c>
      <c r="B335" s="420">
        <v>1057.02</v>
      </c>
      <c r="C335" s="420">
        <v>2.65</v>
      </c>
      <c r="D335" s="420">
        <v>2.27</v>
      </c>
    </row>
    <row r="336" spans="1:4">
      <c r="A336" s="275">
        <v>45876</v>
      </c>
      <c r="B336" s="420">
        <v>1057.58</v>
      </c>
      <c r="C336" s="420">
        <v>2.64</v>
      </c>
      <c r="D336" s="420">
        <v>2.27</v>
      </c>
    </row>
    <row r="337" spans="1:4">
      <c r="A337" s="275">
        <v>45877</v>
      </c>
      <c r="B337" s="420">
        <v>1058.68</v>
      </c>
      <c r="C337" s="420">
        <v>2.64</v>
      </c>
      <c r="D337" s="420">
        <v>2.27</v>
      </c>
    </row>
    <row r="338" spans="1:4">
      <c r="A338" s="275">
        <v>45880</v>
      </c>
      <c r="B338" s="420">
        <v>1060.18</v>
      </c>
      <c r="C338" s="420">
        <v>2.63</v>
      </c>
      <c r="D338" s="420">
        <v>2.27</v>
      </c>
    </row>
    <row r="339" spans="1:4">
      <c r="A339" s="275">
        <v>45881</v>
      </c>
      <c r="B339" s="420">
        <v>1060.79</v>
      </c>
      <c r="C339" s="420">
        <v>2.63</v>
      </c>
      <c r="D339" s="420">
        <v>2.27</v>
      </c>
    </row>
    <row r="340" spans="1:4">
      <c r="A340" s="275">
        <v>45882</v>
      </c>
      <c r="B340" s="420">
        <v>1054.8499999999999</v>
      </c>
      <c r="C340" s="420">
        <v>2.63</v>
      </c>
      <c r="D340" s="420">
        <v>2.2599999999999998</v>
      </c>
    </row>
    <row r="341" spans="1:4">
      <c r="A341" s="275">
        <v>45883</v>
      </c>
      <c r="B341" s="420">
        <v>1055.74</v>
      </c>
      <c r="C341" s="420">
        <v>2.63</v>
      </c>
      <c r="D341" s="420">
        <v>2.2599999999999998</v>
      </c>
    </row>
    <row r="342" spans="1:4">
      <c r="A342" s="275">
        <v>45884</v>
      </c>
      <c r="B342" s="420">
        <v>1056.32</v>
      </c>
      <c r="C342" s="420">
        <v>2.63</v>
      </c>
      <c r="D342" s="420">
        <v>2.25</v>
      </c>
    </row>
    <row r="343" spans="1:4">
      <c r="A343" s="275">
        <v>45887</v>
      </c>
      <c r="B343" s="420">
        <v>1057.52</v>
      </c>
      <c r="C343" s="420">
        <v>2.63</v>
      </c>
      <c r="D343" s="420">
        <v>2.25</v>
      </c>
    </row>
    <row r="344" spans="1:4">
      <c r="A344" s="275">
        <v>45888</v>
      </c>
      <c r="B344" s="420">
        <v>1057.3900000000001</v>
      </c>
      <c r="C344" s="420">
        <v>2.62</v>
      </c>
      <c r="D344" s="420">
        <v>2.2400000000000002</v>
      </c>
    </row>
    <row r="345" spans="1:4">
      <c r="A345" s="275">
        <v>45889</v>
      </c>
      <c r="B345" s="420">
        <v>1058.54</v>
      </c>
      <c r="C345" s="420">
        <v>2.61</v>
      </c>
      <c r="D345" s="420">
        <v>2.2400000000000002</v>
      </c>
    </row>
    <row r="346" spans="1:4">
      <c r="A346" s="275">
        <v>45890</v>
      </c>
      <c r="B346" s="420">
        <v>1059.1099999999999</v>
      </c>
      <c r="C346" s="420">
        <v>2.61</v>
      </c>
      <c r="D346" s="420">
        <v>2.2400000000000002</v>
      </c>
    </row>
    <row r="347" spans="1:4">
      <c r="A347" s="275">
        <v>45891</v>
      </c>
      <c r="B347" s="420">
        <v>1062.56</v>
      </c>
      <c r="C347" s="420">
        <v>2.61</v>
      </c>
      <c r="D347" s="420">
        <v>2.2400000000000002</v>
      </c>
    </row>
    <row r="348" spans="1:4">
      <c r="A348" s="275">
        <v>45894</v>
      </c>
      <c r="B348" s="420">
        <v>1063.8699999999999</v>
      </c>
      <c r="C348" s="420">
        <v>2.62</v>
      </c>
      <c r="D348" s="420">
        <v>2.2400000000000002</v>
      </c>
    </row>
    <row r="349" spans="1:4">
      <c r="A349" s="275">
        <v>45895</v>
      </c>
      <c r="B349" s="420">
        <v>1064.3</v>
      </c>
      <c r="C349" s="420">
        <v>2.61</v>
      </c>
      <c r="D349" s="420">
        <v>2.2400000000000002</v>
      </c>
    </row>
    <row r="350" spans="1:4">
      <c r="A350" s="275">
        <v>45896</v>
      </c>
      <c r="B350" s="420">
        <v>1060.94</v>
      </c>
      <c r="C350" s="420">
        <v>2.6</v>
      </c>
      <c r="D350" s="420">
        <v>2.23</v>
      </c>
    </row>
    <row r="351" spans="1:4">
      <c r="A351" s="275">
        <v>45897</v>
      </c>
      <c r="B351" s="420">
        <v>1061.3900000000001</v>
      </c>
      <c r="C351" s="420">
        <v>2.61</v>
      </c>
      <c r="D351" s="420">
        <v>2.2400000000000002</v>
      </c>
    </row>
    <row r="352" spans="1:4">
      <c r="A352" s="275">
        <v>45898</v>
      </c>
      <c r="B352" s="420">
        <v>1061.8599999999999</v>
      </c>
      <c r="C352" s="420">
        <v>2.6</v>
      </c>
      <c r="D352" s="420">
        <v>2.2400000000000002</v>
      </c>
    </row>
    <row r="353" spans="1:4">
      <c r="A353" s="275">
        <v>45902</v>
      </c>
      <c r="B353" s="420">
        <v>1063.73</v>
      </c>
      <c r="C353" s="420">
        <v>2.59</v>
      </c>
      <c r="D353" s="420">
        <v>2.2200000000000002</v>
      </c>
    </row>
    <row r="354" spans="1:4">
      <c r="A354" s="275">
        <v>45903</v>
      </c>
      <c r="B354" s="420">
        <v>1062.6199999999999</v>
      </c>
      <c r="C354" s="420">
        <v>2.58</v>
      </c>
      <c r="D354" s="420">
        <v>2.21</v>
      </c>
    </row>
    <row r="355" spans="1:4">
      <c r="A355" s="275">
        <v>45904</v>
      </c>
      <c r="B355" s="420">
        <v>1064.9000000000001</v>
      </c>
      <c r="C355" s="420">
        <v>2.58</v>
      </c>
      <c r="D355" s="420">
        <v>2.21</v>
      </c>
    </row>
    <row r="356" spans="1:4">
      <c r="A356" s="275">
        <v>45905</v>
      </c>
      <c r="B356" s="420">
        <v>1065.32</v>
      </c>
      <c r="C356" s="420">
        <v>2.58</v>
      </c>
      <c r="D356" s="420">
        <v>2.21</v>
      </c>
    </row>
    <row r="357" spans="1:4">
      <c r="A357" s="275">
        <v>45908</v>
      </c>
      <c r="B357" s="420">
        <v>1067.69</v>
      </c>
      <c r="C357" s="420">
        <v>2.57</v>
      </c>
      <c r="D357" s="420">
        <v>2.21</v>
      </c>
    </row>
    <row r="358" spans="1:4">
      <c r="A358" s="275">
        <v>45909</v>
      </c>
      <c r="B358" s="420">
        <v>1069.69</v>
      </c>
      <c r="C358" s="420">
        <v>2.57</v>
      </c>
      <c r="D358" s="420">
        <v>2.21</v>
      </c>
    </row>
    <row r="359" spans="1:4">
      <c r="A359" s="275">
        <v>45910</v>
      </c>
      <c r="B359" s="420">
        <v>1066.03</v>
      </c>
      <c r="C359" s="420">
        <v>2.57</v>
      </c>
      <c r="D359" s="420">
        <v>2.21</v>
      </c>
    </row>
    <row r="360" spans="1:4">
      <c r="A360" s="275">
        <v>45911</v>
      </c>
      <c r="B360" s="420">
        <v>1064.8900000000001</v>
      </c>
      <c r="C360" s="420">
        <v>2.57</v>
      </c>
      <c r="D360" s="420">
        <v>2.2000000000000002</v>
      </c>
    </row>
    <row r="361" spans="1:4">
      <c r="A361" s="275">
        <v>45912</v>
      </c>
      <c r="B361" s="420">
        <v>1065.3399999999999</v>
      </c>
      <c r="C361" s="420">
        <v>2.56</v>
      </c>
      <c r="D361" s="420">
        <v>2.19</v>
      </c>
    </row>
    <row r="362" spans="1:4">
      <c r="A362" s="275">
        <v>45915</v>
      </c>
      <c r="B362" s="420">
        <v>1066.81</v>
      </c>
      <c r="C362" s="420">
        <v>2.56</v>
      </c>
      <c r="D362" s="420">
        <v>2.19</v>
      </c>
    </row>
    <row r="363" spans="1:4">
      <c r="A363" s="275">
        <v>45916</v>
      </c>
      <c r="B363" s="420">
        <v>1067.24</v>
      </c>
      <c r="C363" s="420">
        <v>2.56</v>
      </c>
      <c r="D363" s="420">
        <v>2.19</v>
      </c>
    </row>
    <row r="364" spans="1:4">
      <c r="A364" s="275">
        <v>45917</v>
      </c>
      <c r="B364" s="420">
        <v>1070.1300000000001</v>
      </c>
      <c r="C364" s="420">
        <v>2.5499999999999998</v>
      </c>
      <c r="D364" s="420">
        <v>2.19</v>
      </c>
    </row>
    <row r="365" spans="1:4">
      <c r="A365" s="275">
        <v>45918</v>
      </c>
      <c r="B365" s="420">
        <v>1070.17</v>
      </c>
      <c r="C365" s="420">
        <v>2.5499999999999998</v>
      </c>
      <c r="D365" s="420">
        <v>2.1800000000000002</v>
      </c>
    </row>
    <row r="366" spans="1:4">
      <c r="A366" s="275">
        <v>45919</v>
      </c>
      <c r="B366" s="420">
        <v>1071.3399999999999</v>
      </c>
      <c r="C366" s="420">
        <v>2.54</v>
      </c>
      <c r="D366" s="420">
        <v>2.1800000000000002</v>
      </c>
    </row>
    <row r="367" spans="1:4">
      <c r="A367" s="275">
        <v>45922</v>
      </c>
      <c r="B367" s="420">
        <v>1072.72</v>
      </c>
      <c r="C367" s="420">
        <v>2.54</v>
      </c>
      <c r="D367" s="420">
        <v>2.1800000000000002</v>
      </c>
    </row>
    <row r="368" spans="1:4">
      <c r="A368" s="275">
        <v>45923</v>
      </c>
      <c r="B368" s="420">
        <v>1072.94</v>
      </c>
      <c r="C368" s="420">
        <v>2.54</v>
      </c>
      <c r="D368" s="420">
        <v>2.1800000000000002</v>
      </c>
    </row>
    <row r="369" spans="1:4">
      <c r="A369" s="275">
        <v>45924</v>
      </c>
      <c r="B369" s="420">
        <v>1071.52</v>
      </c>
      <c r="C369" s="420">
        <v>2.5499999999999998</v>
      </c>
      <c r="D369" s="420">
        <v>2.1800000000000002</v>
      </c>
    </row>
    <row r="370" spans="1:4">
      <c r="A370" s="275">
        <v>45925</v>
      </c>
      <c r="B370" s="420">
        <v>1071.97</v>
      </c>
      <c r="C370" s="420">
        <v>2.54</v>
      </c>
      <c r="D370" s="420">
        <v>2.1800000000000002</v>
      </c>
    </row>
    <row r="371" spans="1:4">
      <c r="A371" s="275">
        <v>45926</v>
      </c>
      <c r="B371" s="420">
        <v>1072.57</v>
      </c>
      <c r="C371" s="420">
        <v>2.5499999999999998</v>
      </c>
      <c r="D371" s="420">
        <v>2.1800000000000002</v>
      </c>
    </row>
    <row r="372" spans="1:4">
      <c r="A372" s="275">
        <v>45929</v>
      </c>
      <c r="B372" s="420">
        <v>1074.75</v>
      </c>
      <c r="C372" s="420">
        <v>2.54</v>
      </c>
      <c r="D372" s="420">
        <v>2.17</v>
      </c>
    </row>
    <row r="373" spans="1:4">
      <c r="A373" s="275">
        <v>45930</v>
      </c>
      <c r="B373" s="420">
        <v>1076.76</v>
      </c>
      <c r="C373" s="420">
        <v>2.5299999999999998</v>
      </c>
      <c r="D373" s="420">
        <v>2.17</v>
      </c>
    </row>
    <row r="374" spans="1:4">
      <c r="A374" s="275">
        <v>45931</v>
      </c>
      <c r="B374" s="420">
        <v>1077.22</v>
      </c>
      <c r="C374" s="420">
        <v>2.54</v>
      </c>
      <c r="D374" s="420">
        <v>2.1800000000000002</v>
      </c>
    </row>
    <row r="375" spans="1:4">
      <c r="A375" s="275">
        <v>45932</v>
      </c>
      <c r="B375" s="420">
        <v>1077.68</v>
      </c>
      <c r="C375" s="420">
        <v>2.5299999999999998</v>
      </c>
      <c r="D375" s="420">
        <v>2.17</v>
      </c>
    </row>
    <row r="376" spans="1:4">
      <c r="A376" s="275">
        <v>45933</v>
      </c>
      <c r="B376" s="420">
        <v>1077.5</v>
      </c>
      <c r="C376" s="420">
        <v>2.5299999999999998</v>
      </c>
      <c r="D376" s="420">
        <v>2.17</v>
      </c>
    </row>
    <row r="377" spans="1:4">
      <c r="A377" s="275">
        <v>45936</v>
      </c>
      <c r="B377" s="420">
        <v>1078.9000000000001</v>
      </c>
      <c r="C377" s="420">
        <v>2.52</v>
      </c>
      <c r="D377" s="420">
        <v>2.16</v>
      </c>
    </row>
    <row r="378" spans="1:4">
      <c r="A378" s="275">
        <v>45937</v>
      </c>
      <c r="B378" s="420">
        <v>1079.4100000000001</v>
      </c>
      <c r="C378" s="420">
        <v>2.52</v>
      </c>
      <c r="D378" s="420">
        <v>2.16</v>
      </c>
    </row>
    <row r="379" spans="1:4">
      <c r="A379" s="275">
        <v>45938</v>
      </c>
      <c r="B379" s="420">
        <v>1080.08</v>
      </c>
      <c r="C379" s="420">
        <v>2.52</v>
      </c>
      <c r="D379" s="420">
        <v>2.16</v>
      </c>
    </row>
    <row r="380" spans="1:4">
      <c r="A380" s="275">
        <v>45939</v>
      </c>
      <c r="B380" s="420">
        <v>1080.54</v>
      </c>
      <c r="C380" s="420">
        <v>2.5099999999999998</v>
      </c>
      <c r="D380" s="420">
        <v>2.16</v>
      </c>
    </row>
    <row r="381" spans="1:4">
      <c r="A381" s="275">
        <v>45940</v>
      </c>
      <c r="B381" s="420">
        <v>1081</v>
      </c>
      <c r="C381" s="420">
        <v>2.5099999999999998</v>
      </c>
      <c r="D381" s="420">
        <v>2.15</v>
      </c>
    </row>
    <row r="382" spans="1:4">
      <c r="A382" s="275">
        <v>45943</v>
      </c>
      <c r="B382" s="420">
        <v>1082.4100000000001</v>
      </c>
      <c r="C382" s="420">
        <v>2.5099999999999998</v>
      </c>
      <c r="D382" s="420">
        <v>2.15</v>
      </c>
    </row>
    <row r="383" spans="1:4">
      <c r="A383" s="275">
        <v>45944</v>
      </c>
      <c r="B383" s="420">
        <v>1083.17</v>
      </c>
      <c r="C383" s="420">
        <v>2.5099999999999998</v>
      </c>
      <c r="D383" s="420">
        <v>2.15</v>
      </c>
    </row>
    <row r="384" spans="1:4">
      <c r="A384" s="275">
        <v>45945</v>
      </c>
      <c r="B384" s="420">
        <v>1079.68</v>
      </c>
      <c r="C384" s="420">
        <v>2.4900000000000002</v>
      </c>
      <c r="D384" s="420">
        <v>2.14</v>
      </c>
    </row>
    <row r="385" spans="1:4">
      <c r="A385" s="275">
        <v>45946</v>
      </c>
      <c r="B385" s="420">
        <v>1080.6500000000001</v>
      </c>
      <c r="C385" s="420">
        <v>2.4900000000000002</v>
      </c>
      <c r="D385" s="420">
        <v>2.13</v>
      </c>
    </row>
    <row r="386" spans="1:4">
      <c r="A386" s="275">
        <v>45947</v>
      </c>
      <c r="B386" s="420">
        <v>1081.2</v>
      </c>
      <c r="C386" s="420">
        <v>2.4900000000000002</v>
      </c>
      <c r="D386" s="420">
        <v>2.13</v>
      </c>
    </row>
    <row r="387" spans="1:4">
      <c r="A387" s="275">
        <v>45950</v>
      </c>
      <c r="B387" s="420">
        <v>1083.98</v>
      </c>
      <c r="C387" s="420">
        <v>2.48</v>
      </c>
      <c r="D387" s="420">
        <v>2.13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6CC58-9376-4CC8-BD3C-E9402ACC1F0E}">
  <sheetPr codeName="Лист9"/>
  <dimension ref="A1:A4"/>
  <sheetViews>
    <sheetView workbookViewId="0">
      <selection activeCell="A4" sqref="A4"/>
    </sheetView>
  </sheetViews>
  <sheetFormatPr defaultRowHeight="12.75"/>
  <cols>
    <col min="1" max="1" width="13.7109375" bestFit="1" customWidth="1"/>
  </cols>
  <sheetData>
    <row r="1" spans="1:1">
      <c r="A1" t="s">
        <v>1027</v>
      </c>
    </row>
    <row r="2" spans="1:1">
      <c r="A2" s="275">
        <v>45805</v>
      </c>
    </row>
    <row r="3" spans="1:1">
      <c r="A3" s="275">
        <v>45989</v>
      </c>
    </row>
    <row r="4" spans="1:1">
      <c r="A4" s="275">
        <v>46109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9A9D3-07BE-4DF6-9768-8DDDC527E9F6}">
  <sheetPr codeName="Лист23"/>
  <dimension ref="A1:J368"/>
  <sheetViews>
    <sheetView workbookViewId="0">
      <selection activeCell="S11" sqref="S11"/>
    </sheetView>
  </sheetViews>
  <sheetFormatPr defaultRowHeight="12.75"/>
  <cols>
    <col min="1" max="1" width="10.140625" bestFit="1" customWidth="1"/>
    <col min="2" max="2" width="7.5703125" style="420" bestFit="1" customWidth="1"/>
    <col min="3" max="3" width="13.7109375" style="420" bestFit="1" customWidth="1"/>
    <col min="4" max="4" width="38" bestFit="1" customWidth="1"/>
    <col min="5" max="5" width="15.28515625" bestFit="1" customWidth="1"/>
  </cols>
  <sheetData>
    <row r="1" spans="1:10">
      <c r="A1" t="s">
        <v>519</v>
      </c>
      <c r="B1" t="s">
        <v>517</v>
      </c>
      <c r="C1" t="s">
        <v>518</v>
      </c>
      <c r="D1" s="577" t="s">
        <v>1037</v>
      </c>
      <c r="E1" s="420" t="s">
        <v>3036</v>
      </c>
      <c r="F1" s="420"/>
      <c r="G1" s="577"/>
      <c r="H1" s="578"/>
      <c r="I1" s="275"/>
      <c r="J1" s="579"/>
    </row>
    <row r="2" spans="1:10">
      <c r="A2" s="275">
        <v>45292</v>
      </c>
      <c r="B2">
        <v>454.56</v>
      </c>
      <c r="C2">
        <v>0</v>
      </c>
      <c r="D2" s="275">
        <v>45909</v>
      </c>
      <c r="E2" s="420" t="s">
        <v>302</v>
      </c>
      <c r="F2" s="579">
        <v>216156901691.15915</v>
      </c>
      <c r="G2" s="579"/>
      <c r="H2" s="580"/>
      <c r="I2" s="580"/>
      <c r="J2" s="579"/>
    </row>
    <row r="3" spans="1:10">
      <c r="A3" s="275">
        <v>45293</v>
      </c>
      <c r="B3">
        <v>454.56</v>
      </c>
      <c r="C3">
        <v>0</v>
      </c>
      <c r="D3" s="581"/>
      <c r="E3" s="579"/>
      <c r="F3" s="582">
        <v>215423699967.59915</v>
      </c>
      <c r="G3" s="420"/>
      <c r="H3" s="420"/>
      <c r="I3" s="579"/>
      <c r="J3" s="579"/>
    </row>
    <row r="4" spans="1:10">
      <c r="A4" s="275">
        <v>45294</v>
      </c>
      <c r="B4">
        <v>454.56</v>
      </c>
      <c r="C4">
        <v>0</v>
      </c>
      <c r="D4" s="581"/>
      <c r="E4" s="583"/>
      <c r="F4" s="583"/>
      <c r="G4" s="579"/>
      <c r="H4" s="580"/>
      <c r="I4" s="580"/>
      <c r="J4" s="579"/>
    </row>
    <row r="5" spans="1:10">
      <c r="A5" s="275">
        <v>45295</v>
      </c>
      <c r="B5">
        <v>457.06</v>
      </c>
      <c r="C5">
        <v>2.5</v>
      </c>
      <c r="D5" s="581"/>
      <c r="E5" s="583"/>
      <c r="F5" s="583"/>
      <c r="G5" s="579"/>
      <c r="H5" s="580"/>
      <c r="I5" s="580"/>
      <c r="J5" s="579"/>
    </row>
    <row r="6" spans="1:10">
      <c r="A6" s="275">
        <v>45296</v>
      </c>
      <c r="B6">
        <v>456.09</v>
      </c>
      <c r="C6">
        <v>-0.97</v>
      </c>
      <c r="D6" s="420" t="s">
        <v>759</v>
      </c>
      <c r="E6" s="420"/>
      <c r="F6" s="420"/>
      <c r="G6" s="420"/>
      <c r="H6" s="420"/>
      <c r="I6" s="420"/>
      <c r="J6" s="579"/>
    </row>
    <row r="7" spans="1:10">
      <c r="A7" s="275">
        <v>45297</v>
      </c>
      <c r="B7">
        <v>453.43</v>
      </c>
      <c r="C7">
        <v>-2.66</v>
      </c>
      <c r="D7" s="420" t="s">
        <v>275</v>
      </c>
      <c r="E7" s="420" t="s">
        <v>268</v>
      </c>
      <c r="F7" s="420" t="s">
        <v>322</v>
      </c>
      <c r="G7" s="420" t="s">
        <v>301</v>
      </c>
      <c r="H7" s="420" t="s">
        <v>280</v>
      </c>
      <c r="I7" s="420" t="s">
        <v>303</v>
      </c>
      <c r="J7" s="579" t="s">
        <v>308</v>
      </c>
    </row>
    <row r="8" spans="1:10">
      <c r="A8" s="275">
        <v>45298</v>
      </c>
      <c r="B8">
        <v>453.43</v>
      </c>
      <c r="C8">
        <v>0</v>
      </c>
      <c r="D8" s="275" t="s">
        <v>277</v>
      </c>
      <c r="E8" s="194">
        <v>458358.43</v>
      </c>
      <c r="F8" s="582">
        <v>0</v>
      </c>
      <c r="G8" s="579">
        <v>458358.43</v>
      </c>
      <c r="H8" s="161">
        <v>8.5055220199930492E-6</v>
      </c>
      <c r="I8" s="161">
        <v>0</v>
      </c>
      <c r="J8" s="579">
        <v>0</v>
      </c>
    </row>
    <row r="9" spans="1:10">
      <c r="A9" s="275">
        <v>45299</v>
      </c>
      <c r="B9">
        <v>453.43</v>
      </c>
      <c r="C9">
        <v>0</v>
      </c>
      <c r="D9" s="275" t="s">
        <v>276</v>
      </c>
      <c r="E9" s="194">
        <v>0</v>
      </c>
      <c r="F9" s="582">
        <v>40090097166.666672</v>
      </c>
      <c r="G9" s="194">
        <v>40090097166.666672</v>
      </c>
      <c r="H9" s="161">
        <v>0.74393134699135866</v>
      </c>
      <c r="I9" s="161">
        <v>0.16693098661830011</v>
      </c>
      <c r="J9" s="579">
        <v>2.7363692804007993</v>
      </c>
    </row>
    <row r="10" spans="1:10">
      <c r="A10" s="275">
        <v>45300</v>
      </c>
      <c r="B10">
        <v>453.4</v>
      </c>
      <c r="C10">
        <v>-0.03</v>
      </c>
      <c r="D10" s="275" t="s">
        <v>455</v>
      </c>
      <c r="E10" s="194">
        <v>0</v>
      </c>
      <c r="F10" s="582">
        <v>11524902803.75</v>
      </c>
      <c r="G10" s="194">
        <v>11524902803.75</v>
      </c>
      <c r="H10" s="161">
        <v>0.21386170333024149</v>
      </c>
      <c r="I10" s="161">
        <v>0.16125568751058775</v>
      </c>
      <c r="J10" s="579">
        <v>1.3890209092602369E-2</v>
      </c>
    </row>
    <row r="11" spans="1:10">
      <c r="A11" s="275">
        <v>45301</v>
      </c>
      <c r="B11">
        <v>453.19</v>
      </c>
      <c r="C11">
        <v>-0.21</v>
      </c>
      <c r="D11" s="275" t="s">
        <v>353</v>
      </c>
      <c r="E11" s="194">
        <v>0</v>
      </c>
      <c r="F11" s="582">
        <v>1988053557.9704194</v>
      </c>
      <c r="G11" s="194">
        <v>1988053557.9704194</v>
      </c>
      <c r="H11" s="161">
        <v>3.6891289016420907E-2</v>
      </c>
      <c r="I11" s="161">
        <v>0.14806723305752795</v>
      </c>
      <c r="J11" s="579">
        <v>1.618144769321046</v>
      </c>
    </row>
    <row r="12" spans="1:10">
      <c r="A12" s="275">
        <v>45302</v>
      </c>
      <c r="B12">
        <v>453.34</v>
      </c>
      <c r="C12">
        <v>0.15</v>
      </c>
      <c r="D12" s="275" t="s">
        <v>354</v>
      </c>
      <c r="E12" s="194">
        <v>0</v>
      </c>
      <c r="F12" s="582">
        <v>0</v>
      </c>
      <c r="G12" s="194">
        <v>0</v>
      </c>
      <c r="H12" s="161">
        <v>0</v>
      </c>
      <c r="I12" s="161">
        <v>0</v>
      </c>
      <c r="J12" s="579">
        <v>0</v>
      </c>
    </row>
    <row r="13" spans="1:10">
      <c r="A13" s="275">
        <v>45303</v>
      </c>
      <c r="B13">
        <v>453.12</v>
      </c>
      <c r="C13">
        <v>-0.22</v>
      </c>
      <c r="D13" s="275" t="s">
        <v>893</v>
      </c>
      <c r="E13" s="194">
        <v>286000000</v>
      </c>
      <c r="F13" s="582"/>
      <c r="G13" s="194">
        <v>286000000</v>
      </c>
      <c r="H13" s="161">
        <v>5.3071551399589446E-3</v>
      </c>
      <c r="I13" s="161">
        <v>0</v>
      </c>
      <c r="J13" s="579">
        <v>0</v>
      </c>
    </row>
    <row r="14" spans="1:10">
      <c r="A14" s="275">
        <v>45304</v>
      </c>
      <c r="B14">
        <v>451.33</v>
      </c>
      <c r="C14">
        <v>-1.79</v>
      </c>
      <c r="D14" s="275" t="s">
        <v>279</v>
      </c>
      <c r="E14" s="194">
        <v>286458358.43000001</v>
      </c>
      <c r="F14" s="194">
        <v>53603053528.387093</v>
      </c>
      <c r="G14" s="194">
        <v>53889511886.817093</v>
      </c>
      <c r="H14" s="584">
        <v>1</v>
      </c>
      <c r="I14" s="584">
        <v>0.16413400082083893</v>
      </c>
      <c r="J14" s="580">
        <v>2.0983369147659312</v>
      </c>
    </row>
    <row r="15" spans="1:10">
      <c r="A15" s="275">
        <v>45305</v>
      </c>
      <c r="B15">
        <v>451.33</v>
      </c>
      <c r="C15">
        <v>0</v>
      </c>
      <c r="D15" s="275"/>
      <c r="E15" s="194"/>
      <c r="F15" s="194"/>
      <c r="G15" s="194">
        <v>53889511886.817093</v>
      </c>
      <c r="H15" s="579"/>
      <c r="I15" s="579"/>
      <c r="J15" s="579"/>
    </row>
    <row r="16" spans="1:10">
      <c r="A16" s="275">
        <v>45306</v>
      </c>
      <c r="B16">
        <v>451.33</v>
      </c>
      <c r="C16">
        <v>0</v>
      </c>
      <c r="D16" s="161">
        <v>0.24930738489124626</v>
      </c>
      <c r="E16" s="420"/>
      <c r="F16" s="420"/>
      <c r="G16" s="579">
        <v>0</v>
      </c>
      <c r="H16" s="420"/>
      <c r="I16" s="161"/>
      <c r="J16" s="579"/>
    </row>
    <row r="17" spans="1:10">
      <c r="A17" s="275">
        <v>45307</v>
      </c>
      <c r="B17">
        <v>451.37</v>
      </c>
      <c r="C17">
        <v>0.04</v>
      </c>
      <c r="D17" s="581" t="s">
        <v>759</v>
      </c>
      <c r="E17" s="585" t="s">
        <v>308</v>
      </c>
      <c r="F17" s="585" t="s">
        <v>772</v>
      </c>
      <c r="G17" s="586">
        <v>-0.2</v>
      </c>
      <c r="H17" s="586" t="s">
        <v>773</v>
      </c>
      <c r="I17" s="586" t="s">
        <v>774</v>
      </c>
      <c r="J17" s="579"/>
    </row>
    <row r="18" spans="1:10">
      <c r="A18" s="275">
        <v>45308</v>
      </c>
      <c r="B18">
        <v>451.25</v>
      </c>
      <c r="C18">
        <v>-0.12</v>
      </c>
      <c r="D18" s="581"/>
      <c r="E18" s="161">
        <v>2.0983369147659314E-2</v>
      </c>
      <c r="F18" s="161">
        <v>2.2099999999999998E-2</v>
      </c>
      <c r="G18" s="161">
        <v>1.7679999999999998E-2</v>
      </c>
      <c r="H18" s="161">
        <v>3.3149999999999999E-2</v>
      </c>
      <c r="I18" s="161" t="s">
        <v>787</v>
      </c>
      <c r="J18" s="579"/>
    </row>
    <row r="19" spans="1:10">
      <c r="A19" s="275">
        <v>45309</v>
      </c>
      <c r="B19">
        <v>452.95</v>
      </c>
      <c r="C19">
        <v>1.7</v>
      </c>
      <c r="D19" s="420"/>
      <c r="E19" s="420"/>
      <c r="F19" s="420"/>
      <c r="G19" s="579"/>
      <c r="H19" s="420"/>
      <c r="I19" s="420"/>
      <c r="J19" s="579"/>
    </row>
    <row r="20" spans="1:10">
      <c r="A20" s="275">
        <v>45310</v>
      </c>
      <c r="B20">
        <v>451.8</v>
      </c>
      <c r="C20">
        <v>-1.1499999999999999</v>
      </c>
      <c r="D20" s="420" t="s">
        <v>762</v>
      </c>
      <c r="E20" s="420"/>
      <c r="F20" s="420"/>
      <c r="G20" s="420"/>
      <c r="H20" s="420"/>
      <c r="I20" s="420"/>
      <c r="J20" s="579"/>
    </row>
    <row r="21" spans="1:10">
      <c r="A21" s="275">
        <v>45311</v>
      </c>
      <c r="B21">
        <v>450.04</v>
      </c>
      <c r="C21">
        <v>-1.76</v>
      </c>
      <c r="D21" s="420" t="s">
        <v>275</v>
      </c>
      <c r="E21" s="420" t="s">
        <v>268</v>
      </c>
      <c r="F21" s="420" t="s">
        <v>322</v>
      </c>
      <c r="G21" s="420" t="s">
        <v>301</v>
      </c>
      <c r="H21" s="420" t="s">
        <v>280</v>
      </c>
      <c r="I21" s="420" t="s">
        <v>303</v>
      </c>
      <c r="J21" s="579" t="s">
        <v>308</v>
      </c>
    </row>
    <row r="22" spans="1:10">
      <c r="A22" s="275">
        <v>45312</v>
      </c>
      <c r="B22">
        <v>450.04</v>
      </c>
      <c r="C22">
        <v>0</v>
      </c>
      <c r="D22" s="275" t="s">
        <v>277</v>
      </c>
      <c r="E22" s="194">
        <v>4421914.16</v>
      </c>
      <c r="F22" s="582">
        <v>0</v>
      </c>
      <c r="G22" s="579">
        <v>4421914.16</v>
      </c>
      <c r="H22" s="161">
        <v>8.4618101560960835E-5</v>
      </c>
      <c r="I22" s="161">
        <v>0</v>
      </c>
      <c r="J22" s="579">
        <v>0</v>
      </c>
    </row>
    <row r="23" spans="1:10">
      <c r="A23" s="275">
        <v>45313</v>
      </c>
      <c r="B23">
        <v>450.04</v>
      </c>
      <c r="C23">
        <v>0</v>
      </c>
      <c r="D23" s="275" t="s">
        <v>276</v>
      </c>
      <c r="E23" s="194">
        <v>0</v>
      </c>
      <c r="F23" s="582">
        <v>42400306244.444443</v>
      </c>
      <c r="G23" s="194">
        <v>42400306244.444443</v>
      </c>
      <c r="H23" s="161">
        <v>0.8113756373796821</v>
      </c>
      <c r="I23" s="161">
        <v>0.16698872469088172</v>
      </c>
      <c r="J23" s="579">
        <v>2.4776107523884012</v>
      </c>
    </row>
    <row r="24" spans="1:10">
      <c r="A24" s="275">
        <v>45314</v>
      </c>
      <c r="B24">
        <v>448.61</v>
      </c>
      <c r="C24">
        <v>-1.43</v>
      </c>
      <c r="D24" s="275" t="s">
        <v>455</v>
      </c>
      <c r="E24" s="194">
        <v>0</v>
      </c>
      <c r="F24" s="582">
        <v>3052696318.6785717</v>
      </c>
      <c r="G24" s="194">
        <v>3052696318.6785717</v>
      </c>
      <c r="H24" s="161">
        <v>5.8416639894410483E-2</v>
      </c>
      <c r="I24" s="161">
        <v>0.15843319557288302</v>
      </c>
      <c r="J24" s="579">
        <v>4.7300544181018769E-3</v>
      </c>
    </row>
    <row r="25" spans="1:10">
      <c r="A25" s="275">
        <v>45315</v>
      </c>
      <c r="B25">
        <v>446.03</v>
      </c>
      <c r="C25">
        <v>-2.58</v>
      </c>
      <c r="D25" s="275" t="s">
        <v>788</v>
      </c>
      <c r="E25" s="194">
        <v>0</v>
      </c>
      <c r="F25" s="582">
        <v>2982080336.9556289</v>
      </c>
      <c r="G25" s="194">
        <v>2982080336.9556289</v>
      </c>
      <c r="H25" s="161">
        <v>5.7065326843761185E-2</v>
      </c>
      <c r="I25" s="161">
        <v>0.14806723305752795</v>
      </c>
      <c r="J25" s="579">
        <v>1.618144769321046</v>
      </c>
    </row>
    <row r="26" spans="1:10">
      <c r="A26" s="275">
        <v>45316</v>
      </c>
      <c r="B26">
        <v>445.43</v>
      </c>
      <c r="C26">
        <v>-0.6</v>
      </c>
      <c r="D26" s="275" t="s">
        <v>354</v>
      </c>
      <c r="E26" s="194">
        <v>0</v>
      </c>
      <c r="F26" s="582">
        <v>3388802764.4991121</v>
      </c>
      <c r="G26" s="194">
        <v>3388802764.4991121</v>
      </c>
      <c r="H26" s="161">
        <v>6.484839961173075E-2</v>
      </c>
      <c r="I26" s="161">
        <v>0.18080607850843555</v>
      </c>
      <c r="J26" s="579">
        <v>0.2563225673998123</v>
      </c>
    </row>
    <row r="27" spans="1:10">
      <c r="A27" s="275">
        <v>45317</v>
      </c>
      <c r="B27">
        <v>446.03</v>
      </c>
      <c r="C27">
        <v>0.6</v>
      </c>
      <c r="D27" s="275" t="s">
        <v>893</v>
      </c>
      <c r="E27" s="194">
        <v>428999999.99999994</v>
      </c>
      <c r="F27" s="582"/>
      <c r="G27" s="194">
        <v>428999999.99999994</v>
      </c>
      <c r="H27" s="161">
        <v>8.2093781688544112E-3</v>
      </c>
      <c r="I27" s="161">
        <v>0</v>
      </c>
      <c r="J27" s="579">
        <v>0</v>
      </c>
    </row>
    <row r="28" spans="1:10">
      <c r="A28" s="275">
        <v>45318</v>
      </c>
      <c r="B28">
        <v>449.74</v>
      </c>
      <c r="C28">
        <v>3.71</v>
      </c>
      <c r="D28" s="275" t="s">
        <v>279</v>
      </c>
      <c r="E28" s="194">
        <v>433421914.15999997</v>
      </c>
      <c r="F28" s="194">
        <v>51823885664.577759</v>
      </c>
      <c r="G28" s="194">
        <v>52257307578.737762</v>
      </c>
      <c r="H28" s="584">
        <v>0.99999999999999978</v>
      </c>
      <c r="I28" s="584">
        <v>0.16492020774501043</v>
      </c>
      <c r="J28" s="580">
        <v>2.1195113857055916</v>
      </c>
    </row>
    <row r="29" spans="1:10">
      <c r="A29" s="275">
        <v>45319</v>
      </c>
      <c r="B29">
        <v>449.74</v>
      </c>
      <c r="C29">
        <v>0</v>
      </c>
      <c r="D29" s="275"/>
      <c r="E29" s="194"/>
      <c r="F29" s="194"/>
      <c r="G29" s="194">
        <v>52257307578.737762</v>
      </c>
      <c r="H29" s="579"/>
      <c r="I29" s="579"/>
      <c r="J29" s="579"/>
    </row>
    <row r="30" spans="1:10">
      <c r="A30" s="275">
        <v>45320</v>
      </c>
      <c r="B30">
        <v>449.74</v>
      </c>
      <c r="C30">
        <v>0</v>
      </c>
      <c r="D30" s="275"/>
      <c r="E30" s="579"/>
      <c r="F30" s="579"/>
      <c r="G30" s="579">
        <v>0</v>
      </c>
      <c r="H30" s="420"/>
      <c r="I30" s="579"/>
      <c r="J30" s="579"/>
    </row>
    <row r="31" spans="1:10">
      <c r="A31" s="275">
        <v>45321</v>
      </c>
      <c r="B31">
        <v>449.98</v>
      </c>
      <c r="C31">
        <v>0.24</v>
      </c>
      <c r="D31" s="161">
        <v>0.24175636849848081</v>
      </c>
      <c r="E31" s="580"/>
      <c r="F31" s="420"/>
      <c r="G31" s="420"/>
      <c r="H31" s="420"/>
      <c r="I31" s="420"/>
      <c r="J31" s="580"/>
    </row>
    <row r="32" spans="1:10">
      <c r="A32" s="275">
        <v>45322</v>
      </c>
      <c r="B32">
        <v>448.17</v>
      </c>
      <c r="C32">
        <v>-1.81</v>
      </c>
      <c r="D32" s="581" t="s">
        <v>762</v>
      </c>
      <c r="E32" s="585" t="s">
        <v>308</v>
      </c>
      <c r="F32" s="585" t="s">
        <v>772</v>
      </c>
      <c r="G32" s="586">
        <v>-0.2</v>
      </c>
      <c r="H32" s="586" t="s">
        <v>773</v>
      </c>
      <c r="I32" s="586" t="s">
        <v>774</v>
      </c>
      <c r="J32" s="580"/>
    </row>
    <row r="33" spans="1:10">
      <c r="A33" s="275">
        <v>45323</v>
      </c>
      <c r="B33">
        <v>447.74</v>
      </c>
      <c r="C33">
        <v>-0.43</v>
      </c>
      <c r="D33" s="581"/>
      <c r="E33" s="161">
        <v>2.1195113857055921E-2</v>
      </c>
      <c r="F33" s="161">
        <v>2.2099999999999998E-2</v>
      </c>
      <c r="G33" s="161">
        <v>1.7679999999999998E-2</v>
      </c>
      <c r="H33" s="161">
        <v>3.3149999999999999E-2</v>
      </c>
      <c r="I33" s="161" t="s">
        <v>787</v>
      </c>
      <c r="J33" s="580"/>
    </row>
    <row r="34" spans="1:10">
      <c r="A34" s="275">
        <v>45324</v>
      </c>
      <c r="B34">
        <v>449.64</v>
      </c>
      <c r="C34">
        <v>1.9</v>
      </c>
      <c r="D34" s="420"/>
      <c r="E34" s="420"/>
      <c r="F34" s="420"/>
      <c r="G34" s="194"/>
      <c r="H34" s="161"/>
      <c r="I34" s="161"/>
      <c r="J34" s="161"/>
    </row>
    <row r="35" spans="1:10">
      <c r="A35" s="275">
        <v>45325</v>
      </c>
      <c r="B35">
        <v>451.24</v>
      </c>
      <c r="C35">
        <v>1.6</v>
      </c>
      <c r="D35" s="420" t="s">
        <v>760</v>
      </c>
      <c r="E35" s="420"/>
      <c r="F35" s="420"/>
      <c r="G35" s="420"/>
      <c r="H35" s="420"/>
      <c r="I35" s="420"/>
      <c r="J35" s="579"/>
    </row>
    <row r="36" spans="1:10">
      <c r="A36" s="275">
        <v>45326</v>
      </c>
      <c r="B36">
        <v>451.24</v>
      </c>
      <c r="C36">
        <v>0</v>
      </c>
      <c r="D36" s="420" t="s">
        <v>275</v>
      </c>
      <c r="E36" s="420" t="s">
        <v>268</v>
      </c>
      <c r="F36" s="420" t="s">
        <v>322</v>
      </c>
      <c r="G36" s="420" t="s">
        <v>301</v>
      </c>
      <c r="H36" s="420" t="s">
        <v>280</v>
      </c>
      <c r="I36" s="420" t="s">
        <v>303</v>
      </c>
      <c r="J36" s="579" t="s">
        <v>308</v>
      </c>
    </row>
    <row r="37" spans="1:10">
      <c r="A37" s="275">
        <v>45327</v>
      </c>
      <c r="B37">
        <v>451.24</v>
      </c>
      <c r="C37">
        <v>0</v>
      </c>
      <c r="D37" s="275" t="s">
        <v>277</v>
      </c>
      <c r="E37" s="194">
        <v>11390436.390000001</v>
      </c>
      <c r="F37" s="582">
        <v>0</v>
      </c>
      <c r="G37" s="579">
        <v>11390436.390000001</v>
      </c>
      <c r="H37" s="161">
        <v>3.5159026320474965E-4</v>
      </c>
      <c r="I37" s="161">
        <v>0</v>
      </c>
      <c r="J37" s="579">
        <v>2.7322404371584699E-3</v>
      </c>
    </row>
    <row r="38" spans="1:10">
      <c r="A38" s="275">
        <v>45328</v>
      </c>
      <c r="B38">
        <v>453.16</v>
      </c>
      <c r="C38">
        <v>1.92</v>
      </c>
      <c r="D38" s="275" t="s">
        <v>276</v>
      </c>
      <c r="E38" s="194">
        <v>0</v>
      </c>
      <c r="F38" s="582">
        <v>25916515463.267387</v>
      </c>
      <c r="G38" s="194">
        <v>25916515463.267387</v>
      </c>
      <c r="H38" s="161">
        <v>0.79996886695928815</v>
      </c>
      <c r="I38" s="161">
        <v>0.1667340938076228</v>
      </c>
      <c r="J38" s="579">
        <v>2.7731088269398869</v>
      </c>
    </row>
    <row r="39" spans="1:10">
      <c r="A39" s="275">
        <v>45329</v>
      </c>
      <c r="B39">
        <v>454.59</v>
      </c>
      <c r="C39">
        <v>1.43</v>
      </c>
      <c r="D39" s="275" t="s">
        <v>455</v>
      </c>
      <c r="E39" s="194">
        <v>0</v>
      </c>
      <c r="F39" s="582">
        <v>1721310139.0799999</v>
      </c>
      <c r="G39" s="194">
        <v>1721310139.0799999</v>
      </c>
      <c r="H39" s="161">
        <v>5.3131931397067518E-2</v>
      </c>
      <c r="I39" s="161">
        <v>0.15981434179375742</v>
      </c>
      <c r="J39" s="579">
        <v>2.362210936091192E-3</v>
      </c>
    </row>
    <row r="40" spans="1:10">
      <c r="A40" s="275">
        <v>45330</v>
      </c>
      <c r="B40">
        <v>452.14</v>
      </c>
      <c r="C40">
        <v>-2.4500000000000002</v>
      </c>
      <c r="D40" s="275" t="s">
        <v>788</v>
      </c>
      <c r="E40" s="194">
        <v>0</v>
      </c>
      <c r="F40" s="582">
        <v>2087456235.8689404</v>
      </c>
      <c r="G40" s="194">
        <v>2087456235.8689404</v>
      </c>
      <c r="H40" s="161">
        <v>6.443381642883278E-2</v>
      </c>
      <c r="I40" s="161">
        <v>0.14806723305752795</v>
      </c>
      <c r="J40" s="579">
        <v>1.618144769321046</v>
      </c>
    </row>
    <row r="41" spans="1:10">
      <c r="A41" s="275">
        <v>45331</v>
      </c>
      <c r="B41">
        <v>450.34</v>
      </c>
      <c r="C41">
        <v>-1.8</v>
      </c>
      <c r="D41" s="275" t="s">
        <v>354</v>
      </c>
      <c r="E41" s="194">
        <v>0</v>
      </c>
      <c r="F41" s="582">
        <v>2359932822.1845474</v>
      </c>
      <c r="G41" s="194">
        <v>2359932822.1845474</v>
      </c>
      <c r="H41" s="161">
        <v>7.2844391003828141E-2</v>
      </c>
      <c r="I41" s="161">
        <v>0.18155037732766011</v>
      </c>
      <c r="J41" s="579">
        <v>0.25616494393647538</v>
      </c>
    </row>
    <row r="42" spans="1:10">
      <c r="A42" s="275">
        <v>45332</v>
      </c>
      <c r="B42">
        <v>447.1</v>
      </c>
      <c r="C42">
        <v>-3.24</v>
      </c>
      <c r="D42" s="275" t="s">
        <v>893</v>
      </c>
      <c r="E42" s="194">
        <v>0</v>
      </c>
      <c r="F42" s="582"/>
      <c r="G42" s="579">
        <v>300300000</v>
      </c>
      <c r="H42" s="161">
        <v>9.2694039477785387E-3</v>
      </c>
      <c r="I42" s="161">
        <v>0</v>
      </c>
      <c r="J42" s="579">
        <v>0</v>
      </c>
    </row>
    <row r="43" spans="1:10">
      <c r="A43" s="275">
        <v>45333</v>
      </c>
      <c r="B43">
        <v>447.1</v>
      </c>
      <c r="C43">
        <v>0</v>
      </c>
      <c r="D43" s="275" t="s">
        <v>279</v>
      </c>
      <c r="E43" s="194">
        <v>11390436.390000001</v>
      </c>
      <c r="F43" s="194">
        <v>32385514660.400879</v>
      </c>
      <c r="G43" s="194">
        <v>32396905096.790878</v>
      </c>
      <c r="H43" s="584">
        <v>0.99999999999999978</v>
      </c>
      <c r="I43" s="584">
        <v>0.16367927743688979</v>
      </c>
      <c r="J43" s="580">
        <v>2.3414506180597283</v>
      </c>
    </row>
    <row r="44" spans="1:10">
      <c r="A44" s="275">
        <v>45334</v>
      </c>
      <c r="B44">
        <v>447.1</v>
      </c>
      <c r="C44">
        <v>0</v>
      </c>
      <c r="D44" s="275"/>
      <c r="E44" s="194"/>
      <c r="F44" s="194"/>
      <c r="G44" s="194">
        <v>32396905096.790878</v>
      </c>
      <c r="H44" s="579"/>
      <c r="I44" s="579"/>
      <c r="J44" s="579"/>
    </row>
    <row r="45" spans="1:10">
      <c r="A45" s="275">
        <v>45335</v>
      </c>
      <c r="B45">
        <v>446.72</v>
      </c>
      <c r="C45">
        <v>-0.38</v>
      </c>
      <c r="D45" s="161">
        <v>0.14987680172747367</v>
      </c>
      <c r="E45" s="420"/>
      <c r="F45" s="420"/>
      <c r="G45" s="579">
        <v>0</v>
      </c>
      <c r="H45" s="420"/>
      <c r="I45" s="161"/>
      <c r="J45" s="579"/>
    </row>
    <row r="46" spans="1:10">
      <c r="A46" s="275">
        <v>45336</v>
      </c>
      <c r="B46">
        <v>447.99</v>
      </c>
      <c r="C46">
        <v>1.27</v>
      </c>
      <c r="D46" s="581" t="s">
        <v>760</v>
      </c>
      <c r="E46" s="585" t="s">
        <v>308</v>
      </c>
      <c r="F46" s="585" t="s">
        <v>772</v>
      </c>
      <c r="G46" s="586">
        <v>-0.2</v>
      </c>
      <c r="H46" s="586" t="s">
        <v>773</v>
      </c>
      <c r="I46" s="586" t="s">
        <v>774</v>
      </c>
      <c r="J46" s="420"/>
    </row>
    <row r="47" spans="1:10">
      <c r="A47" s="275">
        <v>45337</v>
      </c>
      <c r="B47">
        <v>447.17</v>
      </c>
      <c r="C47">
        <v>-0.82</v>
      </c>
      <c r="D47" s="581"/>
      <c r="E47" s="161">
        <v>2.3414506180597289E-2</v>
      </c>
      <c r="F47" s="161">
        <v>2.2099999999999998E-2</v>
      </c>
      <c r="G47" s="161">
        <v>1.7679999999999998E-2</v>
      </c>
      <c r="H47" s="161">
        <v>3.3149999999999999E-2</v>
      </c>
      <c r="I47" s="161" t="s">
        <v>787</v>
      </c>
      <c r="J47" s="420"/>
    </row>
    <row r="48" spans="1:10">
      <c r="A48" s="275">
        <v>45338</v>
      </c>
      <c r="B48">
        <v>448.06</v>
      </c>
      <c r="C48">
        <v>0.89</v>
      </c>
      <c r="D48" s="420"/>
      <c r="E48" s="420"/>
      <c r="F48" s="420"/>
      <c r="G48" s="194"/>
      <c r="H48" s="161"/>
      <c r="I48" s="161"/>
      <c r="J48" s="161"/>
    </row>
    <row r="49" spans="1:10">
      <c r="A49" s="275">
        <v>45339</v>
      </c>
      <c r="B49">
        <v>448.68</v>
      </c>
      <c r="C49">
        <v>0.62</v>
      </c>
      <c r="D49" s="420" t="s">
        <v>761</v>
      </c>
      <c r="E49" s="420"/>
      <c r="F49" s="420"/>
      <c r="G49" s="420"/>
      <c r="H49" s="420"/>
      <c r="I49" s="420"/>
      <c r="J49" s="579"/>
    </row>
    <row r="50" spans="1:10">
      <c r="A50" s="275">
        <v>45340</v>
      </c>
      <c r="B50">
        <v>448.68</v>
      </c>
      <c r="C50">
        <v>0</v>
      </c>
      <c r="D50" s="420" t="s">
        <v>275</v>
      </c>
      <c r="E50" s="420" t="s">
        <v>268</v>
      </c>
      <c r="F50" s="420" t="s">
        <v>322</v>
      </c>
      <c r="G50" s="420" t="s">
        <v>301</v>
      </c>
      <c r="H50" s="420" t="s">
        <v>280</v>
      </c>
      <c r="I50" s="420" t="s">
        <v>303</v>
      </c>
      <c r="J50" s="579" t="s">
        <v>308</v>
      </c>
    </row>
    <row r="51" spans="1:10">
      <c r="A51" s="275">
        <v>45341</v>
      </c>
      <c r="B51">
        <v>448.68</v>
      </c>
      <c r="C51">
        <v>0</v>
      </c>
      <c r="D51" s="275" t="s">
        <v>277</v>
      </c>
      <c r="E51" s="194">
        <v>904495.4</v>
      </c>
      <c r="F51" s="582">
        <v>0</v>
      </c>
      <c r="G51" s="579">
        <v>904495.4</v>
      </c>
      <c r="H51" s="161">
        <v>3.2506822780676981E-5</v>
      </c>
      <c r="I51" s="161">
        <v>0</v>
      </c>
      <c r="J51" s="579">
        <v>2.7322404371584699E-3</v>
      </c>
    </row>
    <row r="52" spans="1:10">
      <c r="A52" s="275">
        <v>45342</v>
      </c>
      <c r="B52">
        <v>450.14</v>
      </c>
      <c r="C52">
        <v>1.46</v>
      </c>
      <c r="D52" s="275" t="s">
        <v>276</v>
      </c>
      <c r="E52" s="194">
        <v>0</v>
      </c>
      <c r="F52" s="582">
        <v>23176646691.43634</v>
      </c>
      <c r="G52" s="194">
        <v>23176646691.43634</v>
      </c>
      <c r="H52" s="161">
        <v>0.83294967188211755</v>
      </c>
      <c r="I52" s="161">
        <v>0.16775529458289468</v>
      </c>
      <c r="J52" s="579">
        <v>3.2544417056330492</v>
      </c>
    </row>
    <row r="53" spans="1:10">
      <c r="A53" s="275">
        <v>45343</v>
      </c>
      <c r="B53">
        <v>452.94</v>
      </c>
      <c r="C53">
        <v>2.8</v>
      </c>
      <c r="D53" s="275" t="s">
        <v>455</v>
      </c>
      <c r="E53" s="194">
        <v>0</v>
      </c>
      <c r="F53" s="582">
        <v>1163032841.6100001</v>
      </c>
      <c r="G53" s="194">
        <v>1163032841.6100001</v>
      </c>
      <c r="H53" s="161">
        <v>4.1798446371671363E-2</v>
      </c>
      <c r="I53" s="161">
        <v>0.15993698635580977</v>
      </c>
      <c r="J53" s="579">
        <v>2.3619610889422382E-3</v>
      </c>
    </row>
    <row r="54" spans="1:10">
      <c r="A54" s="275">
        <v>45344</v>
      </c>
      <c r="B54">
        <v>450.8</v>
      </c>
      <c r="C54">
        <v>-2.14</v>
      </c>
      <c r="D54" s="275" t="s">
        <v>788</v>
      </c>
      <c r="E54" s="194">
        <v>0</v>
      </c>
      <c r="F54" s="582">
        <v>1689845524.2748566</v>
      </c>
      <c r="G54" s="194">
        <v>1689845524.2748566</v>
      </c>
      <c r="H54" s="161">
        <v>6.073166207846159E-2</v>
      </c>
      <c r="I54" s="161">
        <v>0.14806723305752795</v>
      </c>
      <c r="J54" s="579">
        <v>1.618144769321046</v>
      </c>
    </row>
    <row r="55" spans="1:10">
      <c r="A55" s="275">
        <v>45345</v>
      </c>
      <c r="B55">
        <v>450.47</v>
      </c>
      <c r="C55">
        <v>-0.33</v>
      </c>
      <c r="D55" s="275" t="s">
        <v>354</v>
      </c>
      <c r="E55" s="194">
        <v>0</v>
      </c>
      <c r="F55" s="582">
        <v>1551256834.5125248</v>
      </c>
      <c r="G55" s="194">
        <v>1551256834.5125248</v>
      </c>
      <c r="H55" s="161">
        <v>5.5750898243166973E-2</v>
      </c>
      <c r="I55" s="161">
        <v>0.17701350957168546</v>
      </c>
      <c r="J55" s="579">
        <v>1.0622476105965146</v>
      </c>
    </row>
    <row r="56" spans="1:10">
      <c r="A56" s="275">
        <v>45346</v>
      </c>
      <c r="B56">
        <v>449.88</v>
      </c>
      <c r="C56">
        <v>-0.59</v>
      </c>
      <c r="D56" s="275" t="s">
        <v>893</v>
      </c>
      <c r="E56" s="194">
        <v>0</v>
      </c>
      <c r="F56" s="582"/>
      <c r="G56" s="194">
        <v>243099999.99999997</v>
      </c>
      <c r="H56" s="161">
        <v>8.7368146018018157E-3</v>
      </c>
      <c r="I56" s="161">
        <v>0</v>
      </c>
      <c r="J56" s="579">
        <v>0</v>
      </c>
    </row>
    <row r="57" spans="1:10">
      <c r="A57" s="275">
        <v>45347</v>
      </c>
      <c r="B57">
        <v>449.88</v>
      </c>
      <c r="C57">
        <v>0</v>
      </c>
      <c r="D57" s="275" t="s">
        <v>279</v>
      </c>
      <c r="E57" s="194">
        <v>904495.4</v>
      </c>
      <c r="F57" s="194">
        <v>27823881891.833721</v>
      </c>
      <c r="G57" s="194">
        <v>27824786387.233723</v>
      </c>
      <c r="H57" s="584">
        <v>1</v>
      </c>
      <c r="I57" s="161">
        <v>0.16446520968013109</v>
      </c>
      <c r="J57" s="580">
        <v>2.8683788457587407</v>
      </c>
    </row>
    <row r="58" spans="1:10">
      <c r="A58" s="275">
        <v>45348</v>
      </c>
      <c r="B58">
        <v>449.88</v>
      </c>
      <c r="C58">
        <v>0</v>
      </c>
      <c r="D58" s="275"/>
      <c r="E58" s="194"/>
      <c r="F58" s="194"/>
      <c r="G58" s="194">
        <v>27824786387.233723</v>
      </c>
      <c r="H58" s="579"/>
      <c r="I58" s="579"/>
      <c r="J58" s="579"/>
    </row>
    <row r="59" spans="1:10">
      <c r="A59" s="275">
        <v>45349</v>
      </c>
      <c r="B59">
        <v>449.96</v>
      </c>
      <c r="C59">
        <v>0.08</v>
      </c>
      <c r="D59" s="161">
        <v>0.12872495011512167</v>
      </c>
      <c r="E59" s="420"/>
      <c r="F59" s="420"/>
      <c r="G59" s="579">
        <v>0</v>
      </c>
      <c r="H59" s="420"/>
      <c r="I59" s="161"/>
      <c r="J59" s="579"/>
    </row>
    <row r="60" spans="1:10">
      <c r="A60" s="275">
        <v>45350</v>
      </c>
      <c r="B60">
        <v>448.89</v>
      </c>
      <c r="C60">
        <v>-1.07</v>
      </c>
      <c r="D60" s="581" t="s">
        <v>761</v>
      </c>
      <c r="E60" s="585" t="s">
        <v>308</v>
      </c>
      <c r="F60" s="585" t="s">
        <v>772</v>
      </c>
      <c r="G60" s="586">
        <v>-0.2</v>
      </c>
      <c r="H60" s="586" t="s">
        <v>773</v>
      </c>
      <c r="I60" s="586" t="s">
        <v>774</v>
      </c>
      <c r="J60" s="420"/>
    </row>
    <row r="61" spans="1:10">
      <c r="A61" s="275">
        <v>45351</v>
      </c>
      <c r="B61">
        <v>451.31</v>
      </c>
      <c r="C61">
        <v>2.42</v>
      </c>
      <c r="D61" s="581"/>
      <c r="E61" s="161">
        <v>2.8683788457587407E-2</v>
      </c>
      <c r="F61" s="161">
        <v>2.2099999999999998E-2</v>
      </c>
      <c r="G61" s="161">
        <v>1.7679999999999998E-2</v>
      </c>
      <c r="H61" s="161">
        <v>3.3149999999999999E-2</v>
      </c>
      <c r="I61" s="161" t="s">
        <v>787</v>
      </c>
      <c r="J61" s="420"/>
    </row>
    <row r="62" spans="1:10">
      <c r="A62" s="275">
        <v>45352</v>
      </c>
      <c r="B62">
        <v>450.61</v>
      </c>
      <c r="C62">
        <v>-0.7</v>
      </c>
      <c r="D62" s="420"/>
      <c r="E62" s="420"/>
      <c r="F62" s="420"/>
      <c r="G62" s="194"/>
      <c r="H62" s="161"/>
      <c r="I62" s="161"/>
      <c r="J62" s="161"/>
    </row>
    <row r="63" spans="1:10">
      <c r="A63" s="275">
        <v>45353</v>
      </c>
      <c r="B63">
        <v>451.03</v>
      </c>
      <c r="C63">
        <v>0.42</v>
      </c>
      <c r="D63" s="420" t="s">
        <v>763</v>
      </c>
      <c r="E63" s="420"/>
      <c r="F63" s="420"/>
      <c r="G63" s="420"/>
      <c r="H63" s="420"/>
      <c r="I63" s="420"/>
      <c r="J63" s="579"/>
    </row>
    <row r="64" spans="1:10">
      <c r="A64" s="275">
        <v>45354</v>
      </c>
      <c r="B64">
        <v>451.03</v>
      </c>
      <c r="C64">
        <v>0</v>
      </c>
      <c r="D64" s="420" t="s">
        <v>275</v>
      </c>
      <c r="E64" s="420" t="s">
        <v>268</v>
      </c>
      <c r="F64" s="420" t="s">
        <v>322</v>
      </c>
      <c r="G64" s="420" t="s">
        <v>301</v>
      </c>
      <c r="H64" s="420" t="s">
        <v>280</v>
      </c>
      <c r="I64" s="420" t="s">
        <v>303</v>
      </c>
      <c r="J64" s="579" t="s">
        <v>308</v>
      </c>
    </row>
    <row r="65" spans="1:10">
      <c r="A65" s="275">
        <v>45355</v>
      </c>
      <c r="B65">
        <v>451.03</v>
      </c>
      <c r="C65">
        <v>0</v>
      </c>
      <c r="D65" s="275" t="s">
        <v>277</v>
      </c>
      <c r="E65" s="194">
        <v>121568.48</v>
      </c>
      <c r="F65" s="582">
        <v>0</v>
      </c>
      <c r="G65" s="579">
        <v>121568.48</v>
      </c>
      <c r="H65" s="161">
        <v>4.3908636201669099E-6</v>
      </c>
      <c r="I65" s="161">
        <v>0</v>
      </c>
      <c r="J65" s="579">
        <v>2.7322404371584699E-3</v>
      </c>
    </row>
    <row r="66" spans="1:10">
      <c r="A66" s="275">
        <v>45356</v>
      </c>
      <c r="B66">
        <v>453.35</v>
      </c>
      <c r="C66">
        <v>2.3199999999999998</v>
      </c>
      <c r="D66" s="275" t="s">
        <v>276</v>
      </c>
      <c r="E66" s="194">
        <v>0</v>
      </c>
      <c r="F66" s="582">
        <v>24613419523.855556</v>
      </c>
      <c r="G66" s="194">
        <v>24613419523.855556</v>
      </c>
      <c r="H66" s="161">
        <v>0.88899826957779926</v>
      </c>
      <c r="I66" s="161">
        <v>0.16661582363574309</v>
      </c>
      <c r="J66" s="579">
        <v>2.4234488388259758</v>
      </c>
    </row>
    <row r="67" spans="1:10">
      <c r="A67" s="275">
        <v>45357</v>
      </c>
      <c r="B67">
        <v>450.53</v>
      </c>
      <c r="C67">
        <v>-2.82</v>
      </c>
      <c r="D67" s="275" t="s">
        <v>455</v>
      </c>
      <c r="E67" s="194">
        <v>0</v>
      </c>
      <c r="F67" s="582">
        <v>1944952305.1000001</v>
      </c>
      <c r="G67" s="194">
        <v>1944952305.1000001</v>
      </c>
      <c r="H67" s="161">
        <v>7.0248639445219377E-2</v>
      </c>
      <c r="I67" s="161">
        <v>0.15910574620700269</v>
      </c>
      <c r="J67" s="579">
        <v>2.3636549473303155E-3</v>
      </c>
    </row>
    <row r="68" spans="1:10">
      <c r="A68" s="275">
        <v>45358</v>
      </c>
      <c r="B68">
        <v>447.52</v>
      </c>
      <c r="C68">
        <v>-3.01</v>
      </c>
      <c r="D68" s="275" t="s">
        <v>789</v>
      </c>
      <c r="E68" s="194">
        <v>0</v>
      </c>
      <c r="F68" s="582">
        <v>986307167.01961052</v>
      </c>
      <c r="G68" s="194">
        <v>986307167.01961052</v>
      </c>
      <c r="H68" s="161">
        <v>3.562387436263327E-2</v>
      </c>
      <c r="I68" s="161">
        <v>0.14806723305752795</v>
      </c>
      <c r="J68" s="579">
        <v>1.618144769321046</v>
      </c>
    </row>
    <row r="69" spans="1:10">
      <c r="A69" s="275">
        <v>45359</v>
      </c>
      <c r="B69">
        <v>447.29</v>
      </c>
      <c r="C69">
        <v>-0.23</v>
      </c>
      <c r="D69" s="275" t="s">
        <v>354</v>
      </c>
      <c r="E69" s="194">
        <v>0</v>
      </c>
      <c r="F69" s="582">
        <v>0</v>
      </c>
      <c r="G69" s="194">
        <v>0</v>
      </c>
      <c r="H69" s="161">
        <v>0</v>
      </c>
      <c r="I69" s="161">
        <v>0</v>
      </c>
      <c r="J69" s="579">
        <v>0</v>
      </c>
    </row>
    <row r="70" spans="1:10">
      <c r="A70" s="275">
        <v>45360</v>
      </c>
      <c r="B70">
        <v>447.29</v>
      </c>
      <c r="C70">
        <v>0</v>
      </c>
      <c r="D70" s="275" t="s">
        <v>893</v>
      </c>
      <c r="E70" s="194">
        <v>0</v>
      </c>
      <c r="F70" s="582"/>
      <c r="G70" s="194">
        <v>141889462</v>
      </c>
      <c r="H70" s="161">
        <v>5.1248257507279446E-3</v>
      </c>
      <c r="I70" s="161">
        <v>0</v>
      </c>
      <c r="J70" s="579">
        <v>0</v>
      </c>
    </row>
    <row r="71" spans="1:10">
      <c r="A71" s="275">
        <v>45361</v>
      </c>
      <c r="B71">
        <v>447.29</v>
      </c>
      <c r="C71">
        <v>0</v>
      </c>
      <c r="D71" s="275" t="s">
        <v>279</v>
      </c>
      <c r="E71" s="194">
        <v>121568.48</v>
      </c>
      <c r="F71" s="194">
        <v>27686568457.975166</v>
      </c>
      <c r="G71" s="194">
        <v>27686690026.455166</v>
      </c>
      <c r="H71" s="584">
        <v>1</v>
      </c>
      <c r="I71" s="161">
        <v>0.16343975108945871</v>
      </c>
      <c r="J71" s="580">
        <v>2.2122524656305278</v>
      </c>
    </row>
    <row r="72" spans="1:10">
      <c r="A72" s="275">
        <v>45362</v>
      </c>
      <c r="B72">
        <v>447.29</v>
      </c>
      <c r="C72">
        <v>0</v>
      </c>
      <c r="D72" s="275"/>
      <c r="E72" s="194"/>
      <c r="F72" s="194"/>
      <c r="G72" s="194">
        <v>27686690026.455166</v>
      </c>
      <c r="H72" s="579"/>
      <c r="I72" s="579"/>
      <c r="J72" s="579"/>
    </row>
    <row r="73" spans="1:10">
      <c r="A73" s="275">
        <v>45363</v>
      </c>
      <c r="B73">
        <v>448.91</v>
      </c>
      <c r="C73">
        <v>1.62</v>
      </c>
      <c r="D73" s="161">
        <v>0.12808607918526413</v>
      </c>
      <c r="E73" s="420"/>
      <c r="F73" s="420"/>
      <c r="G73" s="579">
        <v>0</v>
      </c>
      <c r="H73" s="420"/>
      <c r="I73" s="161"/>
      <c r="J73" s="420"/>
    </row>
    <row r="74" spans="1:10">
      <c r="A74" s="275">
        <v>45364</v>
      </c>
      <c r="B74">
        <v>449.3</v>
      </c>
      <c r="C74">
        <v>0.39</v>
      </c>
      <c r="D74" s="581" t="s">
        <v>763</v>
      </c>
      <c r="E74" s="585" t="s">
        <v>308</v>
      </c>
      <c r="F74" s="585" t="s">
        <v>772</v>
      </c>
      <c r="G74" s="586">
        <v>-0.2</v>
      </c>
      <c r="H74" s="586" t="s">
        <v>773</v>
      </c>
      <c r="I74" s="586" t="s">
        <v>774</v>
      </c>
      <c r="J74" s="420"/>
    </row>
    <row r="75" spans="1:10">
      <c r="A75" s="275">
        <v>45365</v>
      </c>
      <c r="B75">
        <v>449.89</v>
      </c>
      <c r="C75">
        <v>0.59</v>
      </c>
      <c r="D75" s="581"/>
      <c r="E75" s="161">
        <v>2.2122524656305279E-2</v>
      </c>
      <c r="F75" s="161">
        <v>2.2099999999999998E-2</v>
      </c>
      <c r="G75" s="161">
        <v>1.7679999999999998E-2</v>
      </c>
      <c r="H75" s="161">
        <v>3.3149999999999999E-2</v>
      </c>
      <c r="I75" s="161" t="s">
        <v>787</v>
      </c>
      <c r="J75" s="420"/>
    </row>
    <row r="76" spans="1:10">
      <c r="A76" s="275">
        <v>45366</v>
      </c>
      <c r="B76">
        <v>449.16</v>
      </c>
      <c r="C76">
        <v>-0.73</v>
      </c>
      <c r="D76" s="420"/>
      <c r="E76" s="420"/>
      <c r="F76" s="420"/>
      <c r="G76" s="194"/>
      <c r="H76" s="161"/>
      <c r="I76" s="161"/>
      <c r="J76" s="161"/>
    </row>
    <row r="77" spans="1:10">
      <c r="A77" s="275">
        <v>45367</v>
      </c>
      <c r="B77">
        <v>448.58</v>
      </c>
      <c r="C77">
        <v>-0.57999999999999996</v>
      </c>
      <c r="D77" s="420" t="s">
        <v>764</v>
      </c>
      <c r="E77" s="420"/>
      <c r="F77" s="420"/>
      <c r="G77" s="420"/>
      <c r="H77" s="420"/>
      <c r="I77" s="420"/>
      <c r="J77" s="579"/>
    </row>
    <row r="78" spans="1:10">
      <c r="A78" s="275">
        <v>45368</v>
      </c>
      <c r="B78">
        <v>448.58</v>
      </c>
      <c r="C78">
        <v>0</v>
      </c>
      <c r="D78" s="420" t="s">
        <v>275</v>
      </c>
      <c r="E78" s="420" t="s">
        <v>268</v>
      </c>
      <c r="F78" s="420" t="s">
        <v>322</v>
      </c>
      <c r="G78" s="420" t="s">
        <v>301</v>
      </c>
      <c r="H78" s="420" t="s">
        <v>280</v>
      </c>
      <c r="I78" s="420" t="s">
        <v>303</v>
      </c>
      <c r="J78" s="579" t="s">
        <v>308</v>
      </c>
    </row>
    <row r="79" spans="1:10">
      <c r="A79" s="275">
        <v>45369</v>
      </c>
      <c r="B79">
        <v>448.58</v>
      </c>
      <c r="C79">
        <v>0</v>
      </c>
      <c r="D79" s="275" t="s">
        <v>277</v>
      </c>
      <c r="E79" s="194">
        <v>904950.7</v>
      </c>
      <c r="F79" s="582">
        <v>0</v>
      </c>
      <c r="G79" s="579">
        <v>904950.7</v>
      </c>
      <c r="H79" s="161">
        <v>4.0944844546769622E-5</v>
      </c>
      <c r="I79" s="161">
        <v>0</v>
      </c>
      <c r="J79" s="579">
        <v>2.7322404371584699E-3</v>
      </c>
    </row>
    <row r="80" spans="1:10">
      <c r="A80" s="275">
        <v>45370</v>
      </c>
      <c r="B80">
        <v>449.3</v>
      </c>
      <c r="C80">
        <v>0.72</v>
      </c>
      <c r="D80" s="275" t="s">
        <v>276</v>
      </c>
      <c r="E80" s="194">
        <v>0</v>
      </c>
      <c r="F80" s="582">
        <v>15689986397.926334</v>
      </c>
      <c r="G80" s="194">
        <v>15689986397.926334</v>
      </c>
      <c r="H80" s="161">
        <v>0.70989950502720611</v>
      </c>
      <c r="I80" s="161">
        <v>0.16645018539190037</v>
      </c>
      <c r="J80" s="579">
        <v>2.5544876200064572</v>
      </c>
    </row>
    <row r="81" spans="1:10">
      <c r="A81" s="275">
        <v>45371</v>
      </c>
      <c r="B81">
        <v>451.08</v>
      </c>
      <c r="C81">
        <v>1.78</v>
      </c>
      <c r="D81" s="275" t="s">
        <v>455</v>
      </c>
      <c r="E81" s="194">
        <v>0</v>
      </c>
      <c r="F81" s="582">
        <v>4878513428.4128571</v>
      </c>
      <c r="G81" s="194">
        <v>4878513428.4128571</v>
      </c>
      <c r="H81" s="161">
        <v>0.22073022756454308</v>
      </c>
      <c r="I81" s="161">
        <v>0.15943561644121351</v>
      </c>
      <c r="J81" s="579">
        <v>7.0889473858150882E-3</v>
      </c>
    </row>
    <row r="82" spans="1:10">
      <c r="A82" s="275">
        <v>45372</v>
      </c>
      <c r="B82">
        <v>451.27</v>
      </c>
      <c r="C82">
        <v>0.19</v>
      </c>
      <c r="D82" s="275" t="s">
        <v>789</v>
      </c>
      <c r="E82" s="194">
        <v>0</v>
      </c>
      <c r="F82" s="582">
        <v>0</v>
      </c>
      <c r="G82" s="194">
        <v>0</v>
      </c>
      <c r="H82" s="161">
        <v>0</v>
      </c>
      <c r="I82" s="161">
        <v>0</v>
      </c>
      <c r="J82" s="579">
        <v>0</v>
      </c>
    </row>
    <row r="83" spans="1:10">
      <c r="A83" s="275">
        <v>45373</v>
      </c>
      <c r="B83">
        <v>451.27</v>
      </c>
      <c r="C83">
        <v>0</v>
      </c>
      <c r="D83" s="275" t="s">
        <v>354</v>
      </c>
      <c r="E83" s="194">
        <v>0</v>
      </c>
      <c r="F83" s="582">
        <v>1532295938.0853148</v>
      </c>
      <c r="G83" s="194">
        <v>1532295938.0853148</v>
      </c>
      <c r="H83" s="161">
        <v>6.9329322563704013E-2</v>
      </c>
      <c r="I83" s="161">
        <v>0.17562472095711174</v>
      </c>
      <c r="J83" s="579">
        <v>0.57590099651236115</v>
      </c>
    </row>
    <row r="84" spans="1:10">
      <c r="A84" s="275">
        <v>45374</v>
      </c>
      <c r="B84">
        <v>451.27</v>
      </c>
      <c r="C84">
        <v>0</v>
      </c>
      <c r="D84" s="275" t="s">
        <v>893</v>
      </c>
      <c r="E84" s="194">
        <v>0</v>
      </c>
      <c r="F84" s="582"/>
      <c r="G84" s="194">
        <v>0</v>
      </c>
      <c r="H84" s="161">
        <v>0</v>
      </c>
      <c r="I84" s="161">
        <v>0</v>
      </c>
      <c r="J84" s="579">
        <v>0</v>
      </c>
    </row>
    <row r="85" spans="1:10">
      <c r="A85" s="275">
        <v>45375</v>
      </c>
      <c r="B85">
        <v>451.27</v>
      </c>
      <c r="C85">
        <v>0</v>
      </c>
      <c r="D85" s="420"/>
      <c r="E85" s="194">
        <v>904950.7</v>
      </c>
      <c r="F85" s="194">
        <v>22100795764.424507</v>
      </c>
      <c r="G85" s="194">
        <v>22101700715.124508</v>
      </c>
      <c r="H85" s="584">
        <v>1</v>
      </c>
      <c r="I85" s="584">
        <v>0.15792468312918279</v>
      </c>
      <c r="J85" s="580">
        <v>1.8549211798334975</v>
      </c>
    </row>
    <row r="86" spans="1:10">
      <c r="A86" s="275">
        <v>45376</v>
      </c>
      <c r="B86">
        <v>451.27</v>
      </c>
      <c r="C86">
        <v>0</v>
      </c>
      <c r="D86" s="275"/>
      <c r="E86" s="194"/>
      <c r="F86" s="194"/>
      <c r="G86" s="194">
        <v>22101700715.124508</v>
      </c>
      <c r="H86" s="579"/>
      <c r="I86" s="579"/>
      <c r="J86" s="579"/>
    </row>
    <row r="87" spans="1:10">
      <c r="A87" s="275">
        <v>45377</v>
      </c>
      <c r="B87">
        <v>451.27</v>
      </c>
      <c r="C87">
        <v>0</v>
      </c>
      <c r="D87" s="161">
        <v>0.10224841558241335</v>
      </c>
      <c r="E87" s="420"/>
      <c r="F87" s="420"/>
      <c r="G87" s="579">
        <v>0</v>
      </c>
      <c r="H87" s="420"/>
      <c r="I87" s="161"/>
      <c r="J87" s="579"/>
    </row>
    <row r="88" spans="1:10">
      <c r="A88" s="275">
        <v>45378</v>
      </c>
      <c r="B88">
        <v>450.07</v>
      </c>
      <c r="C88">
        <v>-1.2</v>
      </c>
      <c r="D88" s="581" t="s">
        <v>764</v>
      </c>
      <c r="E88" s="585" t="s">
        <v>308</v>
      </c>
      <c r="F88" s="585" t="s">
        <v>772</v>
      </c>
      <c r="G88" s="586">
        <v>-0.2</v>
      </c>
      <c r="H88" s="586" t="s">
        <v>773</v>
      </c>
      <c r="I88" s="586" t="s">
        <v>774</v>
      </c>
      <c r="J88" s="420"/>
    </row>
    <row r="89" spans="1:10">
      <c r="A89" s="275">
        <v>45379</v>
      </c>
      <c r="B89">
        <v>449.58</v>
      </c>
      <c r="C89">
        <v>-0.49</v>
      </c>
      <c r="D89" s="581"/>
      <c r="E89" s="161">
        <v>1.8549211798334977E-2</v>
      </c>
      <c r="F89" s="161">
        <v>2.2099999999999998E-2</v>
      </c>
      <c r="G89" s="161">
        <v>1.7679999999999998E-2</v>
      </c>
      <c r="H89" s="161">
        <v>3.3149999999999999E-2</v>
      </c>
      <c r="I89" s="161" t="s">
        <v>787</v>
      </c>
      <c r="J89" s="420"/>
    </row>
    <row r="90" spans="1:10">
      <c r="A90" s="275">
        <v>45380</v>
      </c>
      <c r="B90">
        <v>448.15</v>
      </c>
      <c r="C90">
        <v>-1.43</v>
      </c>
      <c r="D90" s="420"/>
      <c r="E90" s="420"/>
      <c r="F90" s="420" t="s">
        <v>336</v>
      </c>
      <c r="G90" s="420" t="s">
        <v>337</v>
      </c>
      <c r="H90" s="579" t="s">
        <v>338</v>
      </c>
      <c r="I90" s="420"/>
      <c r="J90" s="579"/>
    </row>
    <row r="91" spans="1:10">
      <c r="A91" s="275">
        <v>45381</v>
      </c>
      <c r="B91">
        <v>446.78</v>
      </c>
      <c r="C91">
        <v>-1.37</v>
      </c>
      <c r="D91" s="420"/>
      <c r="E91" s="420"/>
      <c r="F91" s="420" t="s">
        <v>266</v>
      </c>
      <c r="G91" s="420" t="s">
        <v>266</v>
      </c>
      <c r="H91" s="420" t="s">
        <v>266</v>
      </c>
      <c r="I91" s="420"/>
      <c r="J91" s="579"/>
    </row>
    <row r="92" spans="1:10">
      <c r="A92" s="275">
        <v>45382</v>
      </c>
      <c r="B92">
        <v>446.78</v>
      </c>
      <c r="C92">
        <v>0</v>
      </c>
      <c r="D92" s="420"/>
      <c r="E92" s="420"/>
      <c r="F92" s="275" t="s">
        <v>2970</v>
      </c>
      <c r="G92" s="275" t="s">
        <v>3034</v>
      </c>
      <c r="H92" s="275" t="s">
        <v>2853</v>
      </c>
      <c r="I92" s="420"/>
      <c r="J92" s="579"/>
    </row>
    <row r="93" spans="1:10">
      <c r="A93" s="275">
        <v>45383</v>
      </c>
      <c r="B93">
        <v>446.78</v>
      </c>
      <c r="C93">
        <v>0</v>
      </c>
      <c r="D93" s="420"/>
      <c r="E93" s="420"/>
      <c r="F93" s="420"/>
      <c r="G93" s="420"/>
      <c r="H93" s="420"/>
      <c r="I93" s="420"/>
      <c r="J93" s="579"/>
    </row>
    <row r="94" spans="1:10">
      <c r="A94" s="275">
        <v>45384</v>
      </c>
      <c r="B94">
        <v>446.56</v>
      </c>
      <c r="C94">
        <v>-0.22</v>
      </c>
      <c r="D94" s="420"/>
      <c r="E94" s="420"/>
      <c r="F94" s="420" t="s">
        <v>462</v>
      </c>
      <c r="G94" s="420" t="s">
        <v>337</v>
      </c>
      <c r="H94" s="420" t="s">
        <v>463</v>
      </c>
      <c r="I94" s="420"/>
      <c r="J94" s="579"/>
    </row>
    <row r="95" spans="1:10">
      <c r="A95" s="275">
        <v>45385</v>
      </c>
      <c r="B95">
        <v>447.53</v>
      </c>
      <c r="C95">
        <v>0.97</v>
      </c>
      <c r="D95" s="420"/>
      <c r="E95" s="420"/>
      <c r="F95" s="420" t="s">
        <v>266</v>
      </c>
      <c r="G95" s="420" t="s">
        <v>266</v>
      </c>
      <c r="H95" s="420" t="s">
        <v>266</v>
      </c>
      <c r="I95" s="420"/>
      <c r="J95" s="579"/>
    </row>
    <row r="96" spans="1:10">
      <c r="A96" s="275">
        <v>45386</v>
      </c>
      <c r="B96">
        <v>446.91</v>
      </c>
      <c r="C96">
        <v>-0.62</v>
      </c>
      <c r="D96" s="420"/>
      <c r="E96" s="420"/>
      <c r="F96" s="275" t="s">
        <v>3035</v>
      </c>
      <c r="G96" s="275" t="s">
        <v>3034</v>
      </c>
      <c r="H96" s="275" t="s">
        <v>1038</v>
      </c>
      <c r="I96" s="420"/>
      <c r="J96" s="579"/>
    </row>
    <row r="97" spans="1:10">
      <c r="A97" s="275">
        <v>45387</v>
      </c>
      <c r="B97">
        <v>446.49</v>
      </c>
      <c r="C97">
        <v>-0.42</v>
      </c>
      <c r="D97" s="420"/>
      <c r="E97" s="420"/>
      <c r="F97" s="420"/>
      <c r="G97" s="579"/>
      <c r="H97" s="420"/>
      <c r="I97" s="420"/>
      <c r="J97" s="579"/>
    </row>
    <row r="98" spans="1:10">
      <c r="A98" s="275">
        <v>45388</v>
      </c>
      <c r="B98">
        <v>446.78</v>
      </c>
      <c r="C98">
        <v>0.28999999999999998</v>
      </c>
      <c r="D98" s="420"/>
      <c r="E98" s="420"/>
      <c r="F98" s="579"/>
      <c r="G98" s="161"/>
      <c r="H98" s="161"/>
      <c r="I98" s="420"/>
      <c r="J98" s="579"/>
    </row>
    <row r="99" spans="1:10">
      <c r="A99" s="275">
        <v>45389</v>
      </c>
      <c r="B99">
        <v>446.78</v>
      </c>
      <c r="C99">
        <v>0</v>
      </c>
      <c r="D99" s="420"/>
      <c r="E99" s="420"/>
      <c r="F99" s="420"/>
      <c r="G99" s="420"/>
      <c r="H99" s="420"/>
      <c r="I99" s="420"/>
      <c r="J99" s="579"/>
    </row>
    <row r="100" spans="1:10">
      <c r="A100" s="275">
        <v>45390</v>
      </c>
      <c r="B100">
        <v>446.78</v>
      </c>
      <c r="C100">
        <v>0</v>
      </c>
      <c r="D100" s="420"/>
      <c r="E100" s="420"/>
      <c r="F100" s="420"/>
      <c r="G100" s="420"/>
      <c r="H100" s="420"/>
      <c r="I100" s="420"/>
      <c r="J100" s="579"/>
    </row>
    <row r="101" spans="1:10">
      <c r="A101" s="275">
        <v>45391</v>
      </c>
      <c r="B101">
        <v>445.95</v>
      </c>
      <c r="C101">
        <v>-0.83</v>
      </c>
      <c r="D101" s="420"/>
      <c r="E101" s="420"/>
      <c r="F101" s="420"/>
      <c r="G101" s="420"/>
      <c r="H101" s="420"/>
      <c r="I101" s="420"/>
      <c r="J101" s="579"/>
    </row>
    <row r="102" spans="1:10">
      <c r="A102" s="275">
        <v>45392</v>
      </c>
      <c r="B102">
        <v>446.14</v>
      </c>
      <c r="C102">
        <v>0.19</v>
      </c>
      <c r="D102" s="420"/>
      <c r="E102" s="420"/>
      <c r="F102" s="420"/>
      <c r="G102" s="420"/>
      <c r="H102" s="420"/>
      <c r="I102" s="420"/>
      <c r="J102" s="579"/>
    </row>
    <row r="103" spans="1:10">
      <c r="A103" s="275">
        <v>45393</v>
      </c>
      <c r="B103">
        <v>447.15</v>
      </c>
      <c r="C103">
        <v>1.01</v>
      </c>
      <c r="D103" s="420"/>
      <c r="E103" s="420"/>
      <c r="F103" s="420"/>
      <c r="G103" s="420"/>
      <c r="H103" s="420"/>
      <c r="I103" s="420"/>
      <c r="J103" s="579"/>
    </row>
    <row r="104" spans="1:10">
      <c r="A104" s="275">
        <v>45394</v>
      </c>
      <c r="B104">
        <v>448.41</v>
      </c>
      <c r="C104">
        <v>1.26</v>
      </c>
      <c r="D104" s="420"/>
      <c r="E104" s="420"/>
      <c r="F104" s="420"/>
      <c r="G104" s="420"/>
      <c r="H104" s="420"/>
      <c r="I104" s="420"/>
      <c r="J104" s="579"/>
    </row>
    <row r="105" spans="1:10">
      <c r="A105" s="275">
        <v>45395</v>
      </c>
      <c r="B105">
        <v>447.89</v>
      </c>
      <c r="C105">
        <v>-0.52</v>
      </c>
      <c r="D105" s="420"/>
      <c r="E105" s="420"/>
      <c r="F105" s="420"/>
      <c r="G105" s="420"/>
      <c r="H105" s="420"/>
      <c r="I105" s="420"/>
      <c r="J105" s="579"/>
    </row>
    <row r="106" spans="1:10">
      <c r="A106" s="275">
        <v>45396</v>
      </c>
      <c r="B106">
        <v>447.89</v>
      </c>
      <c r="C106">
        <v>0</v>
      </c>
      <c r="D106" s="420"/>
      <c r="E106" s="420"/>
      <c r="F106" s="420"/>
      <c r="G106" s="420"/>
      <c r="H106" s="420"/>
      <c r="I106" s="420"/>
      <c r="J106" s="579"/>
    </row>
    <row r="107" spans="1:10">
      <c r="A107" s="275">
        <v>45397</v>
      </c>
      <c r="B107">
        <v>447.89</v>
      </c>
      <c r="C107">
        <v>0</v>
      </c>
      <c r="D107" s="420"/>
      <c r="E107" s="420"/>
      <c r="F107" s="420"/>
      <c r="G107" s="420"/>
      <c r="H107" s="420"/>
      <c r="I107" s="420"/>
      <c r="J107" s="579"/>
    </row>
    <row r="108" spans="1:10">
      <c r="A108" s="275">
        <v>45398</v>
      </c>
      <c r="B108">
        <v>448.56</v>
      </c>
      <c r="C108">
        <v>0.67</v>
      </c>
      <c r="D108" s="420"/>
      <c r="E108" s="420"/>
      <c r="F108" s="420"/>
      <c r="G108" s="420"/>
      <c r="H108" s="420"/>
      <c r="I108" s="420"/>
      <c r="J108" s="579"/>
    </row>
    <row r="109" spans="1:10">
      <c r="A109" s="275">
        <v>45399</v>
      </c>
      <c r="B109">
        <v>448.81</v>
      </c>
      <c r="C109">
        <v>0.25</v>
      </c>
      <c r="D109" s="420"/>
      <c r="E109" s="420"/>
      <c r="F109" s="420"/>
      <c r="G109" s="420"/>
      <c r="H109" s="420"/>
      <c r="I109" s="420"/>
      <c r="J109" s="579"/>
    </row>
    <row r="110" spans="1:10">
      <c r="A110" s="275">
        <v>45400</v>
      </c>
      <c r="B110">
        <v>448.89</v>
      </c>
      <c r="C110">
        <v>0.08</v>
      </c>
      <c r="D110" s="420"/>
      <c r="E110" s="420"/>
      <c r="F110" s="420"/>
      <c r="G110" s="420"/>
      <c r="H110" s="420"/>
      <c r="I110" s="420"/>
      <c r="J110" s="579"/>
    </row>
    <row r="111" spans="1:10">
      <c r="A111" s="275">
        <v>45401</v>
      </c>
      <c r="B111">
        <v>447.4</v>
      </c>
      <c r="C111">
        <v>-1.49</v>
      </c>
      <c r="D111" s="420"/>
      <c r="E111" s="420"/>
      <c r="F111" s="420"/>
      <c r="G111" s="420"/>
      <c r="H111" s="420"/>
      <c r="I111" s="420"/>
      <c r="J111" s="579"/>
    </row>
    <row r="112" spans="1:10">
      <c r="A112" s="275">
        <v>45402</v>
      </c>
      <c r="B112">
        <v>446.49</v>
      </c>
      <c r="C112">
        <v>-0.91</v>
      </c>
      <c r="D112" s="420"/>
      <c r="E112" s="420"/>
      <c r="F112" s="420"/>
      <c r="G112" s="420"/>
      <c r="H112" s="420"/>
      <c r="I112" s="420"/>
      <c r="J112" s="579"/>
    </row>
    <row r="113" spans="1:10">
      <c r="A113" s="275">
        <v>45403</v>
      </c>
      <c r="B113">
        <v>446.49</v>
      </c>
      <c r="C113">
        <v>0</v>
      </c>
      <c r="D113" s="420"/>
      <c r="E113" s="420"/>
      <c r="F113" s="420"/>
      <c r="G113" s="420"/>
      <c r="H113" s="420"/>
      <c r="I113" s="420"/>
      <c r="J113" s="579"/>
    </row>
    <row r="114" spans="1:10">
      <c r="A114" s="275">
        <v>45404</v>
      </c>
      <c r="B114">
        <v>446.49</v>
      </c>
      <c r="C114">
        <v>0</v>
      </c>
      <c r="D114" s="420"/>
      <c r="E114" s="420"/>
      <c r="F114" s="420"/>
      <c r="G114" s="420"/>
      <c r="H114" s="420"/>
      <c r="I114" s="420"/>
      <c r="J114" s="579"/>
    </row>
    <row r="115" spans="1:10">
      <c r="A115" s="275">
        <v>45405</v>
      </c>
      <c r="B115">
        <v>445.66</v>
      </c>
      <c r="C115">
        <v>-0.83</v>
      </c>
      <c r="D115" s="420"/>
      <c r="E115" s="420"/>
      <c r="F115" s="420"/>
      <c r="G115" s="420"/>
      <c r="H115" s="420"/>
      <c r="I115" s="420"/>
      <c r="J115" s="579"/>
    </row>
    <row r="116" spans="1:10">
      <c r="A116" s="275">
        <v>45406</v>
      </c>
      <c r="B116">
        <v>444.32</v>
      </c>
      <c r="C116">
        <v>-1.34</v>
      </c>
      <c r="D116" s="420"/>
      <c r="E116" s="420"/>
      <c r="F116" s="420"/>
      <c r="G116" s="420"/>
      <c r="H116" s="420"/>
      <c r="I116" s="420"/>
      <c r="J116" s="579"/>
    </row>
    <row r="117" spans="1:10">
      <c r="A117" s="275">
        <v>45407</v>
      </c>
      <c r="B117">
        <v>443.85</v>
      </c>
      <c r="C117">
        <v>-0.47</v>
      </c>
      <c r="D117" s="420"/>
      <c r="E117" s="420"/>
      <c r="F117" s="420"/>
      <c r="G117" s="420"/>
      <c r="H117" s="420"/>
      <c r="I117" s="420"/>
      <c r="J117" s="579"/>
    </row>
    <row r="118" spans="1:10">
      <c r="A118" s="275">
        <v>45408</v>
      </c>
      <c r="B118">
        <v>444.22</v>
      </c>
      <c r="C118">
        <v>0.37</v>
      </c>
      <c r="D118" s="420"/>
      <c r="E118" s="420"/>
      <c r="F118" s="420"/>
      <c r="G118" s="420"/>
      <c r="H118" s="420"/>
      <c r="I118" s="420"/>
      <c r="J118" s="579"/>
    </row>
    <row r="119" spans="1:10">
      <c r="A119" s="275">
        <v>45409</v>
      </c>
      <c r="B119">
        <v>443.35</v>
      </c>
      <c r="C119">
        <v>-0.87</v>
      </c>
      <c r="D119" s="420"/>
      <c r="E119" s="420"/>
      <c r="F119" s="420"/>
      <c r="G119" s="420"/>
      <c r="H119" s="420"/>
      <c r="I119" s="420"/>
      <c r="J119" s="579"/>
    </row>
    <row r="120" spans="1:10">
      <c r="A120" s="275">
        <v>45410</v>
      </c>
      <c r="B120">
        <v>443.35</v>
      </c>
      <c r="C120">
        <v>0</v>
      </c>
      <c r="D120" s="420"/>
      <c r="E120" s="420"/>
      <c r="F120" s="420"/>
      <c r="G120" s="420"/>
      <c r="H120" s="420"/>
      <c r="I120" s="420"/>
      <c r="J120" s="579"/>
    </row>
    <row r="121" spans="1:10">
      <c r="A121" s="275">
        <v>45411</v>
      </c>
      <c r="B121">
        <v>443.35</v>
      </c>
      <c r="C121">
        <v>0</v>
      </c>
      <c r="D121" s="420"/>
      <c r="E121" s="420"/>
      <c r="F121" s="420"/>
      <c r="G121" s="420"/>
      <c r="H121" s="420"/>
      <c r="I121" s="420"/>
      <c r="J121" s="579"/>
    </row>
    <row r="122" spans="1:10">
      <c r="A122" s="275">
        <v>45412</v>
      </c>
      <c r="B122">
        <v>441.44</v>
      </c>
      <c r="C122">
        <v>-1.91</v>
      </c>
      <c r="D122" s="420"/>
      <c r="E122" s="420"/>
      <c r="F122" s="420"/>
      <c r="G122" s="420"/>
      <c r="H122" s="420"/>
      <c r="I122" s="420"/>
      <c r="J122" s="579"/>
    </row>
    <row r="123" spans="1:10">
      <c r="A123" s="275">
        <v>45413</v>
      </c>
      <c r="B123">
        <v>442.05</v>
      </c>
      <c r="C123">
        <v>0.61</v>
      </c>
      <c r="D123" s="420"/>
      <c r="E123" s="420"/>
      <c r="F123" s="420"/>
      <c r="G123" s="420"/>
      <c r="H123" s="420"/>
      <c r="I123" s="420"/>
      <c r="J123" s="579"/>
    </row>
    <row r="124" spans="1:10">
      <c r="A124" s="275">
        <v>45414</v>
      </c>
      <c r="B124">
        <v>442.05</v>
      </c>
      <c r="C124">
        <v>0</v>
      </c>
      <c r="D124" s="420"/>
      <c r="E124" s="420"/>
      <c r="F124" s="420"/>
      <c r="G124" s="420"/>
      <c r="H124" s="420"/>
      <c r="I124" s="420"/>
      <c r="J124" s="579"/>
    </row>
    <row r="125" spans="1:10">
      <c r="A125" s="275">
        <v>45415</v>
      </c>
      <c r="B125">
        <v>443.37</v>
      </c>
      <c r="C125">
        <v>1.32</v>
      </c>
      <c r="D125" s="420"/>
      <c r="E125" s="420"/>
      <c r="F125" s="420"/>
      <c r="G125" s="420"/>
      <c r="H125" s="420"/>
      <c r="I125" s="420"/>
      <c r="J125" s="579"/>
    </row>
    <row r="126" spans="1:10">
      <c r="A126" s="275">
        <v>45416</v>
      </c>
      <c r="B126">
        <v>444.14</v>
      </c>
      <c r="C126">
        <v>0.77</v>
      </c>
      <c r="D126" s="420"/>
      <c r="E126" s="420"/>
      <c r="F126" s="420"/>
      <c r="G126" s="420"/>
      <c r="H126" s="420"/>
      <c r="I126" s="420"/>
      <c r="J126" s="579"/>
    </row>
    <row r="127" spans="1:10">
      <c r="A127" s="275">
        <v>45417</v>
      </c>
      <c r="B127">
        <v>441.66</v>
      </c>
      <c r="C127">
        <v>-2.48</v>
      </c>
      <c r="D127" s="420"/>
      <c r="E127" s="420"/>
      <c r="F127" s="420"/>
      <c r="G127" s="420"/>
      <c r="H127" s="420"/>
      <c r="I127" s="420"/>
      <c r="J127" s="579"/>
    </row>
    <row r="128" spans="1:10">
      <c r="A128" s="275">
        <v>45418</v>
      </c>
      <c r="B128">
        <v>441.66</v>
      </c>
      <c r="C128">
        <v>0</v>
      </c>
      <c r="D128" s="420"/>
      <c r="E128" s="420"/>
      <c r="F128" s="420"/>
      <c r="G128" s="420"/>
      <c r="H128" s="420"/>
      <c r="I128" s="420"/>
      <c r="J128" s="579"/>
    </row>
    <row r="129" spans="1:10">
      <c r="A129" s="275">
        <v>45419</v>
      </c>
      <c r="B129">
        <v>439.43</v>
      </c>
      <c r="C129">
        <v>-2.23</v>
      </c>
      <c r="D129" s="420"/>
      <c r="E129" s="420"/>
      <c r="F129" s="420"/>
      <c r="G129" s="420"/>
      <c r="H129" s="420"/>
      <c r="I129" s="420"/>
      <c r="J129" s="579"/>
    </row>
    <row r="130" spans="1:10">
      <c r="A130" s="275">
        <v>45420</v>
      </c>
      <c r="B130">
        <v>439.43</v>
      </c>
      <c r="C130">
        <v>0</v>
      </c>
      <c r="D130" s="420"/>
      <c r="E130" s="420"/>
      <c r="F130" s="420"/>
      <c r="G130" s="420"/>
      <c r="H130" s="420"/>
      <c r="I130" s="420"/>
      <c r="J130" s="579"/>
    </row>
    <row r="131" spans="1:10">
      <c r="A131" s="275">
        <v>45421</v>
      </c>
      <c r="B131">
        <v>439.43</v>
      </c>
      <c r="C131">
        <v>0</v>
      </c>
      <c r="D131" s="420"/>
      <c r="E131" s="420"/>
      <c r="F131" s="420"/>
      <c r="G131" s="420"/>
      <c r="H131" s="420"/>
      <c r="I131" s="420"/>
      <c r="J131" s="579"/>
    </row>
    <row r="132" spans="1:10">
      <c r="A132" s="275">
        <v>45422</v>
      </c>
      <c r="B132">
        <v>439.43</v>
      </c>
      <c r="C132">
        <v>0</v>
      </c>
      <c r="D132" s="420"/>
      <c r="E132" s="420"/>
      <c r="F132" s="420"/>
      <c r="G132" s="420"/>
      <c r="H132" s="420"/>
      <c r="I132" s="420"/>
      <c r="J132" s="579"/>
    </row>
    <row r="133" spans="1:10">
      <c r="A133" s="275">
        <v>45423</v>
      </c>
      <c r="B133">
        <v>439.4</v>
      </c>
      <c r="C133">
        <v>-0.03</v>
      </c>
      <c r="D133" s="420"/>
      <c r="E133" s="420"/>
      <c r="F133" s="420"/>
      <c r="G133" s="420"/>
      <c r="H133" s="420"/>
      <c r="I133" s="420"/>
      <c r="J133" s="579"/>
    </row>
    <row r="134" spans="1:10">
      <c r="A134" s="275">
        <v>45424</v>
      </c>
      <c r="B134">
        <v>439.4</v>
      </c>
      <c r="C134">
        <v>0</v>
      </c>
      <c r="D134" s="420"/>
      <c r="E134" s="420"/>
      <c r="F134" s="420"/>
      <c r="G134" s="420"/>
      <c r="H134" s="420"/>
      <c r="I134" s="420"/>
      <c r="J134" s="579"/>
    </row>
    <row r="135" spans="1:10">
      <c r="A135" s="275">
        <v>45425</v>
      </c>
      <c r="B135">
        <v>439.4</v>
      </c>
      <c r="C135">
        <v>0</v>
      </c>
      <c r="D135" s="420"/>
      <c r="E135" s="420"/>
      <c r="F135" s="420"/>
      <c r="G135" s="420"/>
      <c r="H135" s="420"/>
      <c r="I135" s="420"/>
      <c r="J135" s="579"/>
    </row>
    <row r="136" spans="1:10">
      <c r="A136" s="275">
        <v>45426</v>
      </c>
      <c r="B136">
        <v>440.92</v>
      </c>
      <c r="C136">
        <v>1.52</v>
      </c>
      <c r="D136" s="420"/>
      <c r="E136" s="420"/>
      <c r="F136" s="420"/>
      <c r="G136" s="420"/>
      <c r="H136" s="420"/>
      <c r="I136" s="420"/>
      <c r="J136" s="579"/>
    </row>
    <row r="137" spans="1:10">
      <c r="A137" s="275">
        <v>45427</v>
      </c>
      <c r="B137">
        <v>440.9</v>
      </c>
      <c r="C137">
        <v>-0.02</v>
      </c>
      <c r="D137" s="420"/>
      <c r="E137" s="420"/>
      <c r="F137" s="420"/>
      <c r="G137" s="420"/>
      <c r="H137" s="420"/>
      <c r="I137" s="420"/>
      <c r="J137" s="579"/>
    </row>
    <row r="138" spans="1:10">
      <c r="A138" s="275">
        <v>45428</v>
      </c>
      <c r="B138">
        <v>441.41</v>
      </c>
      <c r="C138">
        <v>0.51</v>
      </c>
      <c r="D138" s="420"/>
      <c r="E138" s="420"/>
      <c r="F138" s="420"/>
      <c r="G138" s="420"/>
      <c r="H138" s="420"/>
      <c r="I138" s="420"/>
      <c r="J138" s="579"/>
    </row>
    <row r="139" spans="1:10">
      <c r="A139" s="275">
        <v>45429</v>
      </c>
      <c r="B139">
        <v>441.58</v>
      </c>
      <c r="C139">
        <v>0.17</v>
      </c>
      <c r="D139" s="420"/>
      <c r="E139" s="420"/>
      <c r="F139" s="420"/>
      <c r="G139" s="420"/>
      <c r="H139" s="420"/>
      <c r="I139" s="420"/>
      <c r="J139" s="579"/>
    </row>
    <row r="140" spans="1:10">
      <c r="A140" s="275">
        <v>45430</v>
      </c>
      <c r="B140">
        <v>443.44</v>
      </c>
      <c r="C140">
        <v>1.86</v>
      </c>
      <c r="D140" s="420"/>
      <c r="E140" s="420"/>
      <c r="F140" s="420"/>
      <c r="G140" s="420"/>
      <c r="H140" s="420"/>
      <c r="I140" s="420"/>
      <c r="J140" s="579"/>
    </row>
    <row r="141" spans="1:10">
      <c r="A141" s="275">
        <v>45431</v>
      </c>
      <c r="B141">
        <v>443.44</v>
      </c>
      <c r="C141">
        <v>0</v>
      </c>
      <c r="D141" s="420"/>
      <c r="E141" s="420"/>
      <c r="F141" s="420"/>
      <c r="G141" s="420"/>
      <c r="H141" s="420"/>
      <c r="I141" s="420"/>
      <c r="J141" s="579"/>
    </row>
    <row r="142" spans="1:10">
      <c r="A142" s="275">
        <v>45432</v>
      </c>
      <c r="B142">
        <v>443.44</v>
      </c>
      <c r="C142">
        <v>0</v>
      </c>
      <c r="D142" s="420"/>
      <c r="E142" s="420"/>
      <c r="F142" s="420"/>
      <c r="G142" s="420"/>
      <c r="H142" s="420"/>
      <c r="I142" s="420"/>
      <c r="J142" s="579"/>
    </row>
    <row r="143" spans="1:10">
      <c r="A143" s="275">
        <v>45433</v>
      </c>
      <c r="B143">
        <v>443.72</v>
      </c>
      <c r="C143">
        <v>0.28000000000000003</v>
      </c>
      <c r="D143" s="420"/>
      <c r="E143" s="420"/>
      <c r="F143" s="420"/>
      <c r="G143" s="420"/>
      <c r="H143" s="420"/>
      <c r="I143" s="420"/>
      <c r="J143" s="579"/>
    </row>
    <row r="144" spans="1:10">
      <c r="A144" s="275">
        <v>45434</v>
      </c>
      <c r="B144">
        <v>441.8</v>
      </c>
      <c r="C144">
        <v>-1.92</v>
      </c>
      <c r="D144" s="420"/>
      <c r="E144" s="420"/>
      <c r="F144" s="420"/>
      <c r="G144" s="420"/>
      <c r="H144" s="420"/>
      <c r="I144" s="420"/>
      <c r="J144" s="579"/>
    </row>
    <row r="145" spans="1:10">
      <c r="A145" s="275">
        <v>45435</v>
      </c>
      <c r="B145">
        <v>441.79</v>
      </c>
      <c r="C145">
        <v>-0.01</v>
      </c>
      <c r="D145" s="420"/>
      <c r="E145" s="420"/>
      <c r="F145" s="420"/>
      <c r="G145" s="420"/>
      <c r="H145" s="420"/>
      <c r="I145" s="420"/>
      <c r="J145" s="579"/>
    </row>
    <row r="146" spans="1:10">
      <c r="A146" s="275">
        <v>45436</v>
      </c>
      <c r="B146">
        <v>443.03</v>
      </c>
      <c r="C146">
        <v>1.24</v>
      </c>
      <c r="D146" s="420"/>
      <c r="E146" s="420"/>
      <c r="F146" s="420"/>
      <c r="G146" s="420"/>
      <c r="H146" s="420"/>
      <c r="I146" s="420"/>
      <c r="J146" s="579"/>
    </row>
    <row r="147" spans="1:10">
      <c r="A147" s="275">
        <v>45437</v>
      </c>
      <c r="B147">
        <v>443.16</v>
      </c>
      <c r="C147">
        <v>0.13</v>
      </c>
      <c r="D147" s="420"/>
      <c r="E147" s="420"/>
      <c r="F147" s="420"/>
      <c r="G147" s="420"/>
      <c r="H147" s="420"/>
      <c r="I147" s="420"/>
      <c r="J147" s="579"/>
    </row>
    <row r="148" spans="1:10">
      <c r="A148" s="275">
        <v>45438</v>
      </c>
      <c r="B148">
        <v>443.16</v>
      </c>
      <c r="C148">
        <v>0</v>
      </c>
      <c r="D148" s="420"/>
      <c r="E148" s="420"/>
      <c r="F148" s="420"/>
      <c r="G148" s="420"/>
      <c r="H148" s="420"/>
      <c r="I148" s="420"/>
      <c r="J148" s="579"/>
    </row>
    <row r="149" spans="1:10">
      <c r="A149" s="275">
        <v>45439</v>
      </c>
      <c r="B149">
        <v>443.16</v>
      </c>
      <c r="C149">
        <v>0</v>
      </c>
      <c r="D149" s="420"/>
      <c r="E149" s="420"/>
      <c r="F149" s="420"/>
      <c r="G149" s="420"/>
      <c r="H149" s="420"/>
      <c r="I149" s="420"/>
      <c r="J149" s="579"/>
    </row>
    <row r="150" spans="1:10">
      <c r="A150" s="275">
        <v>45440</v>
      </c>
      <c r="B150">
        <v>442.84</v>
      </c>
      <c r="C150">
        <v>-0.32</v>
      </c>
      <c r="D150" s="420"/>
      <c r="E150" s="420"/>
      <c r="F150" s="420"/>
      <c r="G150" s="420"/>
      <c r="H150" s="420"/>
      <c r="I150" s="420"/>
      <c r="J150" s="579"/>
    </row>
    <row r="151" spans="1:10">
      <c r="A151" s="275">
        <v>45441</v>
      </c>
      <c r="B151">
        <v>441.59</v>
      </c>
      <c r="C151">
        <v>-1.25</v>
      </c>
      <c r="D151" s="420"/>
      <c r="E151" s="420"/>
      <c r="F151" s="420"/>
      <c r="G151" s="420"/>
      <c r="H151" s="420"/>
      <c r="I151" s="420"/>
      <c r="J151" s="579"/>
    </row>
    <row r="152" spans="1:10">
      <c r="A152" s="275">
        <v>45442</v>
      </c>
      <c r="B152">
        <v>442.85</v>
      </c>
      <c r="C152">
        <v>1.26</v>
      </c>
      <c r="D152" s="420"/>
      <c r="E152" s="420"/>
      <c r="F152" s="420"/>
      <c r="G152" s="420"/>
      <c r="H152" s="420"/>
      <c r="I152" s="420"/>
      <c r="J152" s="579"/>
    </row>
    <row r="153" spans="1:10">
      <c r="A153" s="275">
        <v>45443</v>
      </c>
      <c r="B153">
        <v>444.79</v>
      </c>
      <c r="C153">
        <v>1.94</v>
      </c>
      <c r="D153" s="420"/>
      <c r="E153" s="420"/>
      <c r="F153" s="420"/>
      <c r="G153" s="420"/>
      <c r="H153" s="420"/>
      <c r="I153" s="420"/>
      <c r="J153" s="579"/>
    </row>
    <row r="154" spans="1:10">
      <c r="A154" s="275">
        <v>45444</v>
      </c>
      <c r="B154">
        <v>447.25</v>
      </c>
      <c r="C154">
        <v>2.46</v>
      </c>
      <c r="D154" s="420"/>
      <c r="E154" s="420"/>
      <c r="F154" s="420"/>
      <c r="G154" s="420"/>
      <c r="H154" s="420"/>
      <c r="I154" s="420"/>
      <c r="J154" s="579"/>
    </row>
    <row r="155" spans="1:10">
      <c r="A155" s="275">
        <v>45445</v>
      </c>
      <c r="B155">
        <v>447.25</v>
      </c>
      <c r="C155">
        <v>0</v>
      </c>
      <c r="D155" s="420"/>
      <c r="E155" s="420"/>
      <c r="F155" s="420"/>
      <c r="G155" s="420"/>
      <c r="H155" s="420"/>
      <c r="I155" s="420"/>
      <c r="J155" s="579"/>
    </row>
    <row r="156" spans="1:10">
      <c r="A156" s="275">
        <v>45446</v>
      </c>
      <c r="B156">
        <v>447.25</v>
      </c>
      <c r="C156">
        <v>0</v>
      </c>
      <c r="D156" s="420"/>
      <c r="E156" s="420"/>
      <c r="F156" s="420"/>
      <c r="G156" s="420"/>
      <c r="H156" s="420"/>
      <c r="I156" s="420"/>
      <c r="J156" s="579"/>
    </row>
    <row r="157" spans="1:10">
      <c r="A157" s="275">
        <v>45447</v>
      </c>
      <c r="B157">
        <v>447.08</v>
      </c>
      <c r="C157">
        <v>-0.17</v>
      </c>
      <c r="D157" s="420"/>
      <c r="E157" s="420"/>
      <c r="F157" s="420"/>
      <c r="G157" s="420"/>
      <c r="H157" s="420"/>
      <c r="I157" s="420"/>
      <c r="J157" s="579"/>
    </row>
    <row r="158" spans="1:10">
      <c r="A158" s="275">
        <v>45448</v>
      </c>
      <c r="B158">
        <v>448.01</v>
      </c>
      <c r="C158">
        <v>0.93</v>
      </c>
      <c r="D158" s="420"/>
      <c r="E158" s="420"/>
      <c r="F158" s="420"/>
      <c r="G158" s="420"/>
      <c r="H158" s="420"/>
      <c r="I158" s="420"/>
      <c r="J158" s="579"/>
    </row>
    <row r="159" spans="1:10">
      <c r="A159" s="275">
        <v>45449</v>
      </c>
      <c r="B159">
        <v>448.64</v>
      </c>
      <c r="C159">
        <v>0.63</v>
      </c>
      <c r="D159" s="420"/>
      <c r="E159" s="420"/>
      <c r="F159" s="420"/>
      <c r="G159" s="420"/>
      <c r="H159" s="420"/>
      <c r="I159" s="420"/>
      <c r="J159" s="579"/>
    </row>
    <row r="160" spans="1:10">
      <c r="A160" s="275">
        <v>45450</v>
      </c>
      <c r="B160">
        <v>446.89</v>
      </c>
      <c r="C160">
        <v>-1.75</v>
      </c>
      <c r="D160" s="420"/>
      <c r="E160" s="420"/>
      <c r="F160" s="420"/>
      <c r="G160" s="420"/>
      <c r="H160" s="420"/>
      <c r="I160" s="420"/>
      <c r="J160" s="579"/>
    </row>
    <row r="161" spans="1:10">
      <c r="A161" s="275">
        <v>45451</v>
      </c>
      <c r="B161">
        <v>447.37</v>
      </c>
      <c r="C161">
        <v>0.48</v>
      </c>
      <c r="D161" s="420"/>
      <c r="E161" s="420"/>
      <c r="F161" s="420"/>
      <c r="G161" s="420"/>
      <c r="H161" s="420"/>
      <c r="I161" s="420"/>
      <c r="J161" s="579"/>
    </row>
    <row r="162" spans="1:10">
      <c r="A162" s="275">
        <v>45452</v>
      </c>
      <c r="B162">
        <v>447.37</v>
      </c>
      <c r="C162">
        <v>0</v>
      </c>
      <c r="D162" s="420"/>
      <c r="E162" s="420"/>
      <c r="F162" s="420"/>
      <c r="G162" s="420"/>
      <c r="H162" s="420"/>
      <c r="I162" s="420"/>
      <c r="J162" s="579"/>
    </row>
    <row r="163" spans="1:10">
      <c r="A163" s="275">
        <v>45453</v>
      </c>
      <c r="B163">
        <v>447.37</v>
      </c>
      <c r="C163">
        <v>0</v>
      </c>
      <c r="D163" s="420"/>
      <c r="E163" s="420"/>
      <c r="F163" s="420"/>
      <c r="G163" s="420"/>
      <c r="H163" s="420"/>
      <c r="I163" s="420"/>
      <c r="J163" s="579"/>
    </row>
    <row r="164" spans="1:10">
      <c r="A164" s="275">
        <v>45454</v>
      </c>
      <c r="B164">
        <v>448.12</v>
      </c>
      <c r="C164">
        <v>0.75</v>
      </c>
      <c r="D164" s="420"/>
      <c r="E164" s="420"/>
      <c r="F164" s="420"/>
      <c r="G164" s="420"/>
      <c r="H164" s="420"/>
      <c r="I164" s="420"/>
      <c r="J164" s="579"/>
    </row>
    <row r="165" spans="1:10">
      <c r="A165" s="275">
        <v>45455</v>
      </c>
      <c r="B165">
        <v>449.76</v>
      </c>
      <c r="C165">
        <v>1.64</v>
      </c>
      <c r="D165" s="420"/>
      <c r="E165" s="420"/>
      <c r="F165" s="420"/>
      <c r="G165" s="420"/>
      <c r="H165" s="420"/>
      <c r="I165" s="420"/>
      <c r="J165" s="579"/>
    </row>
    <row r="166" spans="1:10">
      <c r="A166" s="275">
        <v>45456</v>
      </c>
      <c r="B166">
        <v>451.77</v>
      </c>
      <c r="C166">
        <v>2.0099999999999998</v>
      </c>
      <c r="D166" s="420"/>
      <c r="E166" s="420"/>
      <c r="F166" s="420"/>
      <c r="G166" s="420"/>
      <c r="H166" s="420"/>
      <c r="I166" s="420"/>
      <c r="J166" s="579"/>
    </row>
    <row r="167" spans="1:10">
      <c r="A167" s="275">
        <v>45457</v>
      </c>
      <c r="B167">
        <v>451.38</v>
      </c>
      <c r="C167">
        <v>-0.39</v>
      </c>
      <c r="D167" s="420"/>
      <c r="E167" s="420"/>
      <c r="F167" s="420"/>
      <c r="G167" s="420"/>
      <c r="H167" s="420"/>
      <c r="I167" s="420"/>
      <c r="J167" s="579"/>
    </row>
    <row r="168" spans="1:10">
      <c r="A168" s="275">
        <v>45458</v>
      </c>
      <c r="B168">
        <v>450.79</v>
      </c>
      <c r="C168">
        <v>-0.59</v>
      </c>
      <c r="D168" s="420"/>
      <c r="E168" s="420"/>
      <c r="F168" s="420"/>
      <c r="G168" s="420"/>
      <c r="H168" s="420"/>
      <c r="I168" s="420"/>
      <c r="J168" s="579"/>
    </row>
    <row r="169" spans="1:10">
      <c r="A169" s="275">
        <v>45459</v>
      </c>
      <c r="B169">
        <v>450.79</v>
      </c>
      <c r="C169">
        <v>0</v>
      </c>
      <c r="D169" s="420"/>
      <c r="E169" s="420"/>
      <c r="F169" s="420"/>
      <c r="G169" s="420"/>
      <c r="H169" s="420"/>
      <c r="I169" s="420"/>
      <c r="J169" s="579"/>
    </row>
    <row r="170" spans="1:10">
      <c r="A170" s="275">
        <v>45460</v>
      </c>
      <c r="B170">
        <v>450.79</v>
      </c>
      <c r="C170">
        <v>0</v>
      </c>
      <c r="D170" s="420"/>
      <c r="E170" s="420"/>
      <c r="F170" s="420"/>
      <c r="G170" s="420"/>
      <c r="H170" s="420"/>
      <c r="I170" s="420"/>
      <c r="J170" s="579"/>
    </row>
    <row r="171" spans="1:10">
      <c r="A171" s="275">
        <v>45461</v>
      </c>
      <c r="B171">
        <v>452.92</v>
      </c>
      <c r="C171">
        <v>2.13</v>
      </c>
      <c r="D171" s="420"/>
      <c r="E171" s="420"/>
      <c r="F171" s="420"/>
      <c r="G171" s="420"/>
      <c r="H171" s="420"/>
      <c r="I171" s="420"/>
      <c r="J171" s="579"/>
    </row>
    <row r="172" spans="1:10">
      <c r="A172" s="275">
        <v>45462</v>
      </c>
      <c r="B172">
        <v>457.98</v>
      </c>
      <c r="C172">
        <v>5.0599999999999996</v>
      </c>
      <c r="D172" s="420"/>
      <c r="E172" s="420"/>
      <c r="F172" s="420"/>
      <c r="G172" s="420"/>
      <c r="H172" s="420"/>
      <c r="I172" s="420"/>
      <c r="J172" s="579"/>
    </row>
    <row r="173" spans="1:10">
      <c r="A173" s="275">
        <v>45463</v>
      </c>
      <c r="B173">
        <v>459.75</v>
      </c>
      <c r="C173">
        <v>1.77</v>
      </c>
      <c r="D173" s="420"/>
      <c r="E173" s="420"/>
      <c r="F173" s="420"/>
      <c r="G173" s="420"/>
      <c r="H173" s="420"/>
      <c r="I173" s="420"/>
      <c r="J173" s="579"/>
    </row>
    <row r="174" spans="1:10">
      <c r="A174" s="275">
        <v>45464</v>
      </c>
      <c r="B174">
        <v>459.6</v>
      </c>
      <c r="C174">
        <v>-0.15</v>
      </c>
      <c r="D174" s="420"/>
      <c r="E174" s="420"/>
      <c r="F174" s="420"/>
      <c r="G174" s="420"/>
      <c r="H174" s="420"/>
      <c r="I174" s="420"/>
      <c r="J174" s="579"/>
    </row>
    <row r="175" spans="1:10">
      <c r="A175" s="275">
        <v>45465</v>
      </c>
      <c r="B175">
        <v>464.72</v>
      </c>
      <c r="C175">
        <v>5.12</v>
      </c>
      <c r="D175" s="420"/>
      <c r="E175" s="420"/>
      <c r="F175" s="420"/>
      <c r="G175" s="420"/>
      <c r="H175" s="420"/>
      <c r="I175" s="420"/>
      <c r="J175" s="579"/>
    </row>
    <row r="176" spans="1:10">
      <c r="A176" s="275">
        <v>45466</v>
      </c>
      <c r="B176">
        <v>464.72</v>
      </c>
      <c r="C176">
        <v>0</v>
      </c>
      <c r="D176" s="420"/>
      <c r="E176" s="420"/>
      <c r="F176" s="420"/>
      <c r="G176" s="420"/>
      <c r="H176" s="420"/>
      <c r="I176" s="420"/>
      <c r="J176" s="579"/>
    </row>
    <row r="177" spans="1:10">
      <c r="A177" s="275">
        <v>45467</v>
      </c>
      <c r="B177">
        <v>464.72</v>
      </c>
      <c r="C177">
        <v>0</v>
      </c>
      <c r="D177" s="420"/>
      <c r="E177" s="420"/>
      <c r="F177" s="420"/>
      <c r="G177" s="420"/>
      <c r="H177" s="420"/>
      <c r="I177" s="420"/>
      <c r="J177" s="579"/>
    </row>
    <row r="178" spans="1:10">
      <c r="A178" s="275">
        <v>45468</v>
      </c>
      <c r="B178">
        <v>465.28</v>
      </c>
      <c r="C178">
        <v>0.56000000000000005</v>
      </c>
      <c r="D178" s="420"/>
      <c r="E178" s="420"/>
      <c r="F178" s="420"/>
      <c r="G178" s="420"/>
      <c r="H178" s="420"/>
      <c r="I178" s="420"/>
      <c r="J178" s="579"/>
    </row>
    <row r="179" spans="1:10">
      <c r="A179" s="275">
        <v>45469</v>
      </c>
      <c r="B179">
        <v>467.29</v>
      </c>
      <c r="C179">
        <v>2.0099999999999998</v>
      </c>
      <c r="D179" s="420"/>
      <c r="E179" s="420"/>
      <c r="F179" s="420"/>
      <c r="G179" s="420"/>
      <c r="H179" s="420"/>
      <c r="I179" s="420"/>
      <c r="J179" s="579"/>
    </row>
    <row r="180" spans="1:10">
      <c r="A180" s="275">
        <v>45470</v>
      </c>
      <c r="B180">
        <v>463.77</v>
      </c>
      <c r="C180">
        <v>-3.52</v>
      </c>
      <c r="D180" s="420"/>
      <c r="E180" s="420"/>
      <c r="F180" s="420"/>
      <c r="G180" s="420"/>
      <c r="H180" s="420"/>
      <c r="I180" s="420"/>
      <c r="J180" s="579"/>
    </row>
    <row r="181" spans="1:10">
      <c r="A181" s="275">
        <v>45471</v>
      </c>
      <c r="B181">
        <v>465.52</v>
      </c>
      <c r="C181">
        <v>1.75</v>
      </c>
      <c r="D181" s="420"/>
      <c r="E181" s="420"/>
      <c r="F181" s="420"/>
      <c r="G181" s="420"/>
      <c r="H181" s="420"/>
      <c r="I181" s="420"/>
      <c r="J181" s="579"/>
    </row>
    <row r="182" spans="1:10">
      <c r="A182" s="275">
        <v>45472</v>
      </c>
      <c r="B182">
        <v>471.46</v>
      </c>
      <c r="C182">
        <v>5.94</v>
      </c>
      <c r="D182" s="420"/>
      <c r="E182" s="420"/>
      <c r="F182" s="420"/>
      <c r="G182" s="420"/>
      <c r="H182" s="420"/>
      <c r="I182" s="420"/>
      <c r="J182" s="579"/>
    </row>
    <row r="183" spans="1:10">
      <c r="A183" s="275">
        <v>45473</v>
      </c>
      <c r="B183">
        <v>471.46</v>
      </c>
      <c r="C183">
        <v>0</v>
      </c>
      <c r="D183" s="420"/>
      <c r="E183" s="420"/>
      <c r="F183" s="420"/>
      <c r="G183" s="420"/>
      <c r="H183" s="420"/>
      <c r="I183" s="420"/>
      <c r="J183" s="579"/>
    </row>
    <row r="184" spans="1:10">
      <c r="A184" s="275">
        <v>45474</v>
      </c>
      <c r="B184">
        <v>471.46</v>
      </c>
      <c r="C184">
        <v>0</v>
      </c>
      <c r="D184" s="420"/>
      <c r="E184" s="420"/>
      <c r="F184" s="420"/>
      <c r="G184" s="420"/>
      <c r="H184" s="420"/>
      <c r="I184" s="420"/>
      <c r="J184" s="579"/>
    </row>
    <row r="185" spans="1:10">
      <c r="A185" s="275">
        <v>45475</v>
      </c>
      <c r="B185">
        <v>475.18</v>
      </c>
      <c r="C185">
        <v>3.72</v>
      </c>
      <c r="D185" s="420"/>
      <c r="E185" s="420"/>
      <c r="F185" s="420"/>
      <c r="G185" s="420"/>
      <c r="H185" s="420"/>
      <c r="I185" s="420"/>
      <c r="J185" s="579"/>
    </row>
    <row r="186" spans="1:10">
      <c r="A186" s="275">
        <v>45476</v>
      </c>
      <c r="B186">
        <v>471.83</v>
      </c>
      <c r="C186">
        <v>-3.35</v>
      </c>
      <c r="D186" s="420"/>
      <c r="E186" s="420"/>
      <c r="F186" s="420"/>
      <c r="G186" s="420"/>
      <c r="H186" s="420"/>
      <c r="I186" s="420"/>
      <c r="J186" s="579"/>
    </row>
    <row r="187" spans="1:10">
      <c r="A187" s="275">
        <v>45477</v>
      </c>
      <c r="B187">
        <v>472.57</v>
      </c>
      <c r="C187">
        <v>0.74</v>
      </c>
      <c r="D187" s="420"/>
      <c r="E187" s="420"/>
      <c r="F187" s="420"/>
      <c r="G187" s="420"/>
      <c r="H187" s="420"/>
      <c r="I187" s="420"/>
      <c r="J187" s="579"/>
    </row>
    <row r="188" spans="1:10">
      <c r="A188" s="275">
        <v>45478</v>
      </c>
      <c r="B188">
        <v>475.39</v>
      </c>
      <c r="C188">
        <v>2.82</v>
      </c>
      <c r="D188" s="420"/>
      <c r="E188" s="420"/>
      <c r="F188" s="420"/>
      <c r="G188" s="420"/>
      <c r="H188" s="420"/>
      <c r="I188" s="420"/>
      <c r="J188" s="579"/>
    </row>
    <row r="189" spans="1:10">
      <c r="A189" s="275">
        <v>45479</v>
      </c>
      <c r="B189">
        <v>476.27</v>
      </c>
      <c r="C189">
        <v>0.88</v>
      </c>
      <c r="D189" s="420"/>
      <c r="E189" s="420"/>
      <c r="F189" s="420"/>
      <c r="G189" s="420"/>
      <c r="H189" s="420"/>
      <c r="I189" s="420"/>
      <c r="J189" s="579"/>
    </row>
    <row r="190" spans="1:10">
      <c r="A190" s="275">
        <v>45480</v>
      </c>
      <c r="B190">
        <v>476.27</v>
      </c>
      <c r="C190">
        <v>0</v>
      </c>
      <c r="D190" s="420"/>
      <c r="E190" s="420"/>
      <c r="F190" s="420"/>
      <c r="G190" s="420"/>
      <c r="H190" s="420"/>
      <c r="I190" s="420"/>
      <c r="J190" s="579"/>
    </row>
    <row r="191" spans="1:10">
      <c r="A191" s="275">
        <v>45481</v>
      </c>
      <c r="B191">
        <v>476.27</v>
      </c>
      <c r="C191">
        <v>0</v>
      </c>
      <c r="D191" s="420"/>
      <c r="E191" s="420"/>
      <c r="F191" s="420"/>
      <c r="G191" s="420"/>
      <c r="H191" s="420"/>
      <c r="I191" s="420"/>
      <c r="J191" s="579"/>
    </row>
    <row r="192" spans="1:10">
      <c r="A192" s="275">
        <v>45482</v>
      </c>
      <c r="B192">
        <v>476.27</v>
      </c>
      <c r="C192">
        <v>0</v>
      </c>
      <c r="D192" s="420"/>
      <c r="E192" s="420"/>
      <c r="F192" s="420"/>
      <c r="G192" s="420"/>
      <c r="H192" s="420"/>
      <c r="I192" s="420"/>
      <c r="J192" s="579"/>
    </row>
    <row r="193" spans="1:10">
      <c r="A193" s="275">
        <v>45483</v>
      </c>
      <c r="B193">
        <v>480.77</v>
      </c>
      <c r="C193">
        <v>4.5</v>
      </c>
      <c r="D193" s="420"/>
      <c r="E193" s="420"/>
      <c r="F193" s="420"/>
      <c r="G193" s="420"/>
      <c r="H193" s="420"/>
      <c r="I193" s="420"/>
      <c r="J193" s="579"/>
    </row>
    <row r="194" spans="1:10">
      <c r="A194" s="275">
        <v>45484</v>
      </c>
      <c r="B194">
        <v>478.48</v>
      </c>
      <c r="C194">
        <v>-2.29</v>
      </c>
      <c r="D194" s="420"/>
      <c r="E194" s="420"/>
      <c r="F194" s="420"/>
      <c r="G194" s="420"/>
      <c r="H194" s="420"/>
      <c r="I194" s="420"/>
      <c r="J194" s="579"/>
    </row>
    <row r="195" spans="1:10">
      <c r="A195" s="275">
        <v>45485</v>
      </c>
      <c r="B195">
        <v>474.26</v>
      </c>
      <c r="C195">
        <v>-4.22</v>
      </c>
      <c r="D195" s="420"/>
      <c r="E195" s="420"/>
      <c r="F195" s="420"/>
      <c r="G195" s="420"/>
      <c r="H195" s="420"/>
      <c r="I195" s="420"/>
      <c r="J195" s="579"/>
    </row>
    <row r="196" spans="1:10">
      <c r="A196" s="275">
        <v>45486</v>
      </c>
      <c r="B196">
        <v>475.03</v>
      </c>
      <c r="C196">
        <v>0.77</v>
      </c>
      <c r="D196" s="420"/>
      <c r="E196" s="420"/>
      <c r="F196" s="420"/>
      <c r="G196" s="420"/>
      <c r="H196" s="420"/>
      <c r="I196" s="420"/>
      <c r="J196" s="579"/>
    </row>
    <row r="197" spans="1:10">
      <c r="A197" s="275">
        <v>45487</v>
      </c>
      <c r="B197">
        <v>475.03</v>
      </c>
      <c r="C197">
        <v>0</v>
      </c>
      <c r="D197" s="420"/>
      <c r="E197" s="420"/>
      <c r="F197" s="420"/>
      <c r="G197" s="420"/>
      <c r="H197" s="420"/>
      <c r="I197" s="420"/>
      <c r="J197" s="579"/>
    </row>
    <row r="198" spans="1:10">
      <c r="A198" s="275">
        <v>45488</v>
      </c>
      <c r="B198">
        <v>475.03</v>
      </c>
      <c r="C198">
        <v>0</v>
      </c>
      <c r="D198" s="420"/>
      <c r="E198" s="420"/>
      <c r="F198" s="420"/>
      <c r="G198" s="420"/>
      <c r="H198" s="420"/>
      <c r="I198" s="420"/>
      <c r="J198" s="579"/>
    </row>
    <row r="199" spans="1:10">
      <c r="A199" s="275">
        <v>45489</v>
      </c>
      <c r="B199">
        <v>472.49</v>
      </c>
      <c r="C199">
        <v>-2.54</v>
      </c>
      <c r="D199" s="420"/>
      <c r="E199" s="420"/>
      <c r="F199" s="420"/>
      <c r="G199" s="420"/>
      <c r="H199" s="420"/>
      <c r="I199" s="420"/>
      <c r="J199" s="579"/>
    </row>
    <row r="200" spans="1:10">
      <c r="A200" s="275">
        <v>45490</v>
      </c>
      <c r="B200">
        <v>474.62</v>
      </c>
      <c r="C200">
        <v>2.13</v>
      </c>
      <c r="D200" s="420"/>
      <c r="E200" s="420"/>
      <c r="F200" s="420"/>
      <c r="G200" s="420"/>
      <c r="H200" s="420"/>
      <c r="I200" s="420"/>
      <c r="J200" s="579"/>
    </row>
    <row r="201" spans="1:10">
      <c r="A201" s="275">
        <v>45491</v>
      </c>
      <c r="B201">
        <v>474.83</v>
      </c>
      <c r="C201">
        <v>0.21</v>
      </c>
      <c r="D201" s="420"/>
      <c r="E201" s="420"/>
      <c r="F201" s="420"/>
      <c r="G201" s="420"/>
      <c r="H201" s="420"/>
      <c r="I201" s="420"/>
      <c r="J201" s="579"/>
    </row>
    <row r="202" spans="1:10">
      <c r="A202" s="275">
        <v>45492</v>
      </c>
      <c r="B202">
        <v>477.03</v>
      </c>
      <c r="C202">
        <v>2.2000000000000002</v>
      </c>
      <c r="D202" s="420"/>
      <c r="E202" s="420"/>
      <c r="F202" s="420"/>
      <c r="G202" s="420"/>
      <c r="H202" s="420"/>
      <c r="I202" s="420"/>
      <c r="J202" s="579"/>
    </row>
    <row r="203" spans="1:10">
      <c r="A203" s="275">
        <v>45493</v>
      </c>
      <c r="B203">
        <v>478.58</v>
      </c>
      <c r="C203">
        <v>1.55</v>
      </c>
      <c r="D203" s="420"/>
      <c r="E203" s="420"/>
      <c r="F203" s="420"/>
      <c r="G203" s="420"/>
      <c r="H203" s="420"/>
      <c r="I203" s="420"/>
      <c r="J203" s="579"/>
    </row>
    <row r="204" spans="1:10">
      <c r="A204" s="275">
        <v>45494</v>
      </c>
      <c r="B204">
        <v>478.58</v>
      </c>
      <c r="C204">
        <v>0</v>
      </c>
      <c r="D204" s="420"/>
      <c r="E204" s="420"/>
      <c r="F204" s="420"/>
      <c r="G204" s="420"/>
      <c r="H204" s="420"/>
      <c r="I204" s="420"/>
      <c r="J204" s="579"/>
    </row>
    <row r="205" spans="1:10">
      <c r="A205" s="275">
        <v>45495</v>
      </c>
      <c r="B205">
        <v>478.58</v>
      </c>
      <c r="C205">
        <v>0</v>
      </c>
      <c r="D205" s="420"/>
      <c r="E205" s="420"/>
      <c r="F205" s="420"/>
      <c r="G205" s="420"/>
      <c r="H205" s="420"/>
      <c r="I205" s="420"/>
      <c r="J205" s="579"/>
    </row>
    <row r="206" spans="1:10">
      <c r="A206" s="275">
        <v>45496</v>
      </c>
      <c r="B206">
        <v>473.15</v>
      </c>
      <c r="C206">
        <v>-5.43</v>
      </c>
      <c r="D206" s="420"/>
      <c r="E206" s="420"/>
      <c r="F206" s="420"/>
      <c r="G206" s="420"/>
      <c r="H206" s="420"/>
      <c r="I206" s="420"/>
      <c r="J206" s="579"/>
    </row>
    <row r="207" spans="1:10">
      <c r="A207" s="275">
        <v>45497</v>
      </c>
      <c r="B207">
        <v>472.62</v>
      </c>
      <c r="C207">
        <v>-0.53</v>
      </c>
      <c r="D207" s="420"/>
      <c r="E207" s="420"/>
      <c r="F207" s="420"/>
      <c r="G207" s="420"/>
      <c r="H207" s="420"/>
      <c r="I207" s="420"/>
      <c r="J207" s="579"/>
    </row>
    <row r="208" spans="1:10">
      <c r="A208" s="275">
        <v>45498</v>
      </c>
      <c r="B208">
        <v>474.09</v>
      </c>
      <c r="C208">
        <v>1.47</v>
      </c>
      <c r="D208" s="420"/>
      <c r="E208" s="420"/>
      <c r="F208" s="420"/>
      <c r="G208" s="420"/>
      <c r="H208" s="420"/>
      <c r="I208" s="420"/>
      <c r="J208" s="579"/>
    </row>
    <row r="209" spans="1:10">
      <c r="A209" s="275">
        <v>45499</v>
      </c>
      <c r="B209">
        <v>474.72</v>
      </c>
      <c r="C209">
        <v>0.63</v>
      </c>
      <c r="D209" s="420"/>
      <c r="E209" s="420"/>
      <c r="F209" s="420"/>
      <c r="G209" s="420"/>
      <c r="H209" s="420"/>
      <c r="I209" s="420"/>
      <c r="J209" s="579"/>
    </row>
    <row r="210" spans="1:10">
      <c r="A210" s="275">
        <v>45500</v>
      </c>
      <c r="B210">
        <v>474.83</v>
      </c>
      <c r="C210">
        <v>0.11</v>
      </c>
      <c r="D210" s="420"/>
      <c r="E210" s="420"/>
      <c r="F210" s="420"/>
      <c r="G210" s="420"/>
      <c r="H210" s="420"/>
      <c r="I210" s="420"/>
      <c r="J210" s="579"/>
    </row>
    <row r="211" spans="1:10">
      <c r="A211" s="275">
        <v>45501</v>
      </c>
      <c r="B211">
        <v>474.83</v>
      </c>
      <c r="C211">
        <v>0</v>
      </c>
      <c r="D211" s="420"/>
      <c r="E211" s="420"/>
      <c r="F211" s="420"/>
      <c r="G211" s="420"/>
      <c r="H211" s="420"/>
      <c r="I211" s="420"/>
      <c r="J211" s="579"/>
    </row>
    <row r="212" spans="1:10">
      <c r="A212" s="275">
        <v>45502</v>
      </c>
      <c r="B212">
        <v>474.83</v>
      </c>
      <c r="C212">
        <v>0</v>
      </c>
      <c r="D212" s="420"/>
      <c r="E212" s="420"/>
      <c r="F212" s="420"/>
      <c r="G212" s="420"/>
      <c r="H212" s="420"/>
      <c r="I212" s="420"/>
      <c r="J212" s="579"/>
    </row>
    <row r="213" spans="1:10">
      <c r="A213" s="275">
        <v>45503</v>
      </c>
      <c r="B213">
        <v>473.29</v>
      </c>
      <c r="C213">
        <v>-1.54</v>
      </c>
      <c r="D213" s="420"/>
      <c r="E213" s="420"/>
      <c r="F213" s="420"/>
      <c r="G213" s="420"/>
      <c r="H213" s="420"/>
      <c r="I213" s="420"/>
      <c r="J213" s="579"/>
    </row>
    <row r="214" spans="1:10">
      <c r="A214" s="275">
        <v>45504</v>
      </c>
      <c r="B214">
        <v>475.37</v>
      </c>
      <c r="C214">
        <v>2.08</v>
      </c>
      <c r="D214" s="420"/>
      <c r="E214" s="420"/>
      <c r="F214" s="420"/>
      <c r="G214" s="420"/>
      <c r="H214" s="420"/>
      <c r="I214" s="420"/>
      <c r="J214" s="579"/>
    </row>
    <row r="215" spans="1:10">
      <c r="A215" s="275">
        <v>45505</v>
      </c>
      <c r="B215">
        <v>473.95</v>
      </c>
      <c r="C215">
        <v>-1.42</v>
      </c>
      <c r="D215" s="420"/>
      <c r="E215" s="420"/>
      <c r="F215" s="420"/>
      <c r="G215" s="420"/>
      <c r="H215" s="420"/>
      <c r="I215" s="420"/>
      <c r="J215" s="579"/>
    </row>
    <row r="216" spans="1:10">
      <c r="A216" s="275">
        <v>45506</v>
      </c>
      <c r="B216">
        <v>474.71</v>
      </c>
      <c r="C216">
        <v>0.76</v>
      </c>
      <c r="D216" s="420"/>
      <c r="E216" s="420"/>
      <c r="F216" s="420"/>
      <c r="G216" s="420"/>
      <c r="H216" s="420"/>
      <c r="I216" s="420"/>
      <c r="J216" s="579"/>
    </row>
    <row r="217" spans="1:10">
      <c r="A217" s="275">
        <v>45507</v>
      </c>
      <c r="B217">
        <v>474.57</v>
      </c>
      <c r="C217">
        <v>-0.14000000000000001</v>
      </c>
      <c r="D217" s="420"/>
      <c r="E217" s="420"/>
      <c r="F217" s="420"/>
      <c r="G217" s="420"/>
      <c r="H217" s="420"/>
      <c r="I217" s="420"/>
      <c r="J217" s="579"/>
    </row>
    <row r="218" spans="1:10">
      <c r="A218" s="275">
        <v>45508</v>
      </c>
      <c r="B218">
        <v>474.57</v>
      </c>
      <c r="C218">
        <v>0</v>
      </c>
      <c r="D218" s="420"/>
      <c r="E218" s="420"/>
      <c r="F218" s="420"/>
      <c r="G218" s="420"/>
      <c r="H218" s="420"/>
      <c r="I218" s="420"/>
      <c r="J218" s="579"/>
    </row>
    <row r="219" spans="1:10">
      <c r="A219" s="275">
        <v>45509</v>
      </c>
      <c r="B219">
        <v>474.57</v>
      </c>
      <c r="C219">
        <v>0</v>
      </c>
      <c r="D219" s="420"/>
      <c r="E219" s="420"/>
      <c r="F219" s="420"/>
      <c r="G219" s="420"/>
      <c r="H219" s="420"/>
      <c r="I219" s="420"/>
      <c r="J219" s="579"/>
    </row>
    <row r="220" spans="1:10">
      <c r="A220" s="275">
        <v>45510</v>
      </c>
      <c r="B220">
        <v>477.15</v>
      </c>
      <c r="C220">
        <v>2.58</v>
      </c>
      <c r="D220" s="420"/>
      <c r="E220" s="420"/>
      <c r="F220" s="420"/>
      <c r="G220" s="420"/>
      <c r="H220" s="420"/>
      <c r="I220" s="420"/>
      <c r="J220" s="579"/>
    </row>
    <row r="221" spans="1:10">
      <c r="A221" s="275">
        <v>45511</v>
      </c>
      <c r="B221">
        <v>479.4</v>
      </c>
      <c r="C221">
        <v>2.25</v>
      </c>
      <c r="D221" s="420"/>
      <c r="E221" s="420"/>
      <c r="F221" s="420"/>
      <c r="G221" s="420"/>
      <c r="H221" s="420"/>
      <c r="I221" s="420"/>
      <c r="J221" s="579"/>
    </row>
    <row r="222" spans="1:10">
      <c r="A222" s="275">
        <v>45512</v>
      </c>
      <c r="B222">
        <v>475.62</v>
      </c>
      <c r="C222">
        <v>-3.78</v>
      </c>
      <c r="D222" s="420"/>
      <c r="E222" s="420"/>
      <c r="F222" s="420"/>
      <c r="G222" s="420"/>
      <c r="H222" s="420"/>
      <c r="I222" s="420"/>
      <c r="J222" s="579"/>
    </row>
    <row r="223" spans="1:10">
      <c r="A223" s="275">
        <v>45513</v>
      </c>
      <c r="B223">
        <v>477.14</v>
      </c>
      <c r="C223">
        <v>1.52</v>
      </c>
      <c r="D223" s="420"/>
      <c r="E223" s="420"/>
      <c r="F223" s="420"/>
      <c r="G223" s="420"/>
      <c r="H223" s="420"/>
      <c r="I223" s="420"/>
      <c r="J223" s="579"/>
    </row>
    <row r="224" spans="1:10">
      <c r="A224" s="275">
        <v>45514</v>
      </c>
      <c r="B224">
        <v>477.04</v>
      </c>
      <c r="C224">
        <v>-0.1</v>
      </c>
      <c r="D224" s="420"/>
      <c r="E224" s="420"/>
      <c r="F224" s="420"/>
      <c r="G224" s="420"/>
      <c r="H224" s="420"/>
      <c r="I224" s="420"/>
      <c r="J224" s="579"/>
    </row>
    <row r="225" spans="1:10">
      <c r="A225" s="275">
        <v>45515</v>
      </c>
      <c r="B225">
        <v>477.04</v>
      </c>
      <c r="C225">
        <v>0</v>
      </c>
      <c r="D225" s="420"/>
      <c r="E225" s="420"/>
      <c r="F225" s="420"/>
      <c r="G225" s="420"/>
      <c r="H225" s="420"/>
      <c r="I225" s="420"/>
      <c r="J225" s="579"/>
    </row>
    <row r="226" spans="1:10">
      <c r="A226" s="275">
        <v>45516</v>
      </c>
      <c r="B226">
        <v>477.04</v>
      </c>
      <c r="C226">
        <v>0</v>
      </c>
      <c r="D226" s="420"/>
      <c r="E226" s="420"/>
      <c r="F226" s="420"/>
      <c r="G226" s="420"/>
      <c r="H226" s="420"/>
      <c r="I226" s="420"/>
      <c r="J226" s="579"/>
    </row>
    <row r="227" spans="1:10">
      <c r="A227" s="275">
        <v>45517</v>
      </c>
      <c r="B227">
        <v>479.03</v>
      </c>
      <c r="C227">
        <v>1.99</v>
      </c>
      <c r="D227" s="420"/>
      <c r="E227" s="420"/>
      <c r="F227" s="420"/>
      <c r="G227" s="420"/>
      <c r="H227" s="420"/>
      <c r="I227" s="420"/>
      <c r="J227" s="579"/>
    </row>
    <row r="228" spans="1:10">
      <c r="A228" s="275">
        <v>45518</v>
      </c>
      <c r="B228">
        <v>479.44</v>
      </c>
      <c r="C228">
        <v>0.41</v>
      </c>
      <c r="D228" s="420"/>
      <c r="E228" s="420"/>
      <c r="F228" s="420"/>
      <c r="G228" s="420"/>
      <c r="H228" s="420"/>
      <c r="I228" s="420"/>
      <c r="J228" s="579"/>
    </row>
    <row r="229" spans="1:10">
      <c r="A229" s="275">
        <v>45519</v>
      </c>
      <c r="B229">
        <v>479.83</v>
      </c>
      <c r="C229">
        <v>0.39</v>
      </c>
      <c r="D229" s="420"/>
      <c r="E229" s="420"/>
      <c r="F229" s="420"/>
      <c r="G229" s="420"/>
      <c r="H229" s="420"/>
      <c r="I229" s="420"/>
      <c r="J229" s="579"/>
    </row>
    <row r="230" spans="1:10">
      <c r="A230" s="275">
        <v>45520</v>
      </c>
      <c r="B230">
        <v>478.57</v>
      </c>
      <c r="C230">
        <v>-1.26</v>
      </c>
      <c r="D230" s="420"/>
      <c r="E230" s="420"/>
      <c r="F230" s="420"/>
      <c r="G230" s="420"/>
      <c r="H230" s="420"/>
      <c r="I230" s="420"/>
      <c r="J230" s="579"/>
    </row>
    <row r="231" spans="1:10">
      <c r="A231" s="275">
        <v>45521</v>
      </c>
      <c r="B231">
        <v>478.91</v>
      </c>
      <c r="C231">
        <v>0.34</v>
      </c>
      <c r="D231" s="420"/>
      <c r="E231" s="420"/>
      <c r="F231" s="420"/>
      <c r="G231" s="420"/>
      <c r="H231" s="420"/>
      <c r="I231" s="420"/>
      <c r="J231" s="579"/>
    </row>
    <row r="232" spans="1:10">
      <c r="A232" s="275">
        <v>45522</v>
      </c>
      <c r="B232">
        <v>478.91</v>
      </c>
      <c r="C232">
        <v>0</v>
      </c>
      <c r="D232" s="420"/>
      <c r="E232" s="420"/>
      <c r="F232" s="420"/>
      <c r="G232" s="420"/>
      <c r="H232" s="420"/>
      <c r="I232" s="420"/>
      <c r="J232" s="579"/>
    </row>
    <row r="233" spans="1:10">
      <c r="A233" s="275">
        <v>45523</v>
      </c>
      <c r="B233">
        <v>478.91</v>
      </c>
      <c r="C233">
        <v>0</v>
      </c>
      <c r="D233" s="420"/>
      <c r="E233" s="420"/>
      <c r="F233" s="420"/>
      <c r="G233" s="420"/>
      <c r="H233" s="420"/>
      <c r="I233" s="420"/>
      <c r="J233" s="579"/>
    </row>
    <row r="234" spans="1:10">
      <c r="A234" s="275">
        <v>45524</v>
      </c>
      <c r="B234">
        <v>478.74</v>
      </c>
      <c r="C234">
        <v>-0.17</v>
      </c>
      <c r="D234" s="420"/>
      <c r="E234" s="420"/>
      <c r="F234" s="420"/>
      <c r="G234" s="420"/>
      <c r="H234" s="420"/>
      <c r="I234" s="420"/>
      <c r="J234" s="579"/>
    </row>
    <row r="235" spans="1:10">
      <c r="A235" s="275">
        <v>45525</v>
      </c>
      <c r="B235">
        <v>476.81</v>
      </c>
      <c r="C235">
        <v>-1.93</v>
      </c>
      <c r="D235" s="420"/>
      <c r="E235" s="420"/>
      <c r="F235" s="420"/>
      <c r="G235" s="420"/>
      <c r="H235" s="420"/>
      <c r="I235" s="420"/>
      <c r="J235" s="579"/>
    </row>
    <row r="236" spans="1:10">
      <c r="A236" s="275">
        <v>45526</v>
      </c>
      <c r="B236">
        <v>475.7</v>
      </c>
      <c r="C236">
        <v>-1.1100000000000001</v>
      </c>
      <c r="D236" s="420"/>
      <c r="E236" s="420"/>
      <c r="F236" s="420"/>
      <c r="G236" s="420"/>
      <c r="H236" s="420"/>
      <c r="I236" s="420"/>
      <c r="J236" s="579"/>
    </row>
    <row r="237" spans="1:10">
      <c r="A237" s="275">
        <v>45527</v>
      </c>
      <c r="B237">
        <v>479.08</v>
      </c>
      <c r="C237">
        <v>3.38</v>
      </c>
      <c r="D237" s="420"/>
      <c r="E237" s="420"/>
      <c r="F237" s="420"/>
      <c r="G237" s="420"/>
      <c r="H237" s="420"/>
      <c r="I237" s="420"/>
      <c r="J237" s="579"/>
    </row>
    <row r="238" spans="1:10">
      <c r="A238" s="275">
        <v>45528</v>
      </c>
      <c r="B238">
        <v>482.78</v>
      </c>
      <c r="C238">
        <v>3.7</v>
      </c>
      <c r="D238" s="420"/>
      <c r="E238" s="420"/>
      <c r="F238" s="420"/>
      <c r="G238" s="420"/>
      <c r="H238" s="420"/>
      <c r="I238" s="420"/>
      <c r="J238" s="579"/>
    </row>
    <row r="239" spans="1:10">
      <c r="A239" s="275">
        <v>45529</v>
      </c>
      <c r="B239">
        <v>482.78</v>
      </c>
      <c r="C239">
        <v>0</v>
      </c>
      <c r="D239" s="420"/>
      <c r="E239" s="420"/>
      <c r="F239" s="420"/>
      <c r="G239" s="420"/>
      <c r="H239" s="420"/>
      <c r="I239" s="420"/>
      <c r="J239" s="579"/>
    </row>
    <row r="240" spans="1:10">
      <c r="A240" s="275">
        <v>45530</v>
      </c>
      <c r="B240">
        <v>482.78</v>
      </c>
      <c r="C240">
        <v>0</v>
      </c>
      <c r="D240" s="420"/>
      <c r="E240" s="420"/>
      <c r="F240" s="420"/>
      <c r="G240" s="420"/>
      <c r="H240" s="420"/>
      <c r="I240" s="420"/>
      <c r="J240" s="579"/>
    </row>
    <row r="241" spans="1:10">
      <c r="A241" s="275">
        <v>45531</v>
      </c>
      <c r="B241">
        <v>483.65</v>
      </c>
      <c r="C241">
        <v>0.87</v>
      </c>
      <c r="D241" s="420"/>
      <c r="E241" s="420"/>
      <c r="F241" s="420"/>
      <c r="G241" s="420"/>
      <c r="H241" s="420"/>
      <c r="I241" s="420"/>
      <c r="J241" s="579"/>
    </row>
    <row r="242" spans="1:10">
      <c r="A242" s="275">
        <v>45532</v>
      </c>
      <c r="B242">
        <v>480.59</v>
      </c>
      <c r="C242">
        <v>-3.06</v>
      </c>
      <c r="D242" s="420"/>
      <c r="E242" s="420"/>
      <c r="F242" s="420"/>
      <c r="G242" s="420"/>
      <c r="H242" s="420"/>
      <c r="I242" s="420"/>
      <c r="J242" s="579"/>
    </row>
    <row r="243" spans="1:10">
      <c r="A243" s="275">
        <v>45533</v>
      </c>
      <c r="B243">
        <v>481.22</v>
      </c>
      <c r="C243">
        <v>0.63</v>
      </c>
      <c r="D243" s="420"/>
      <c r="E243" s="420"/>
      <c r="F243" s="420"/>
      <c r="G243" s="420"/>
      <c r="H243" s="420"/>
      <c r="I243" s="420"/>
      <c r="J243" s="579"/>
    </row>
    <row r="244" spans="1:10">
      <c r="A244" s="275">
        <v>45534</v>
      </c>
      <c r="B244">
        <v>481.63</v>
      </c>
      <c r="C244">
        <v>0.41</v>
      </c>
      <c r="D244" s="420"/>
      <c r="E244" s="420"/>
      <c r="F244" s="420"/>
      <c r="G244" s="420"/>
      <c r="H244" s="420"/>
      <c r="I244" s="420"/>
      <c r="J244" s="579"/>
    </row>
    <row r="245" spans="1:10">
      <c r="A245" s="275">
        <v>45535</v>
      </c>
      <c r="B245">
        <v>481.63</v>
      </c>
      <c r="C245">
        <v>0</v>
      </c>
      <c r="D245" s="420"/>
      <c r="E245" s="420"/>
      <c r="F245" s="420"/>
      <c r="G245" s="420"/>
      <c r="H245" s="420"/>
      <c r="I245" s="420"/>
      <c r="J245" s="579"/>
    </row>
    <row r="246" spans="1:10">
      <c r="A246" s="275">
        <v>45536</v>
      </c>
      <c r="B246">
        <v>481.63</v>
      </c>
      <c r="C246">
        <v>0</v>
      </c>
      <c r="D246" s="420"/>
      <c r="E246" s="420"/>
      <c r="F246" s="420"/>
      <c r="G246" s="420"/>
      <c r="H246" s="420"/>
      <c r="I246" s="420"/>
      <c r="J246" s="579"/>
    </row>
    <row r="247" spans="1:10">
      <c r="A247" s="275">
        <v>45537</v>
      </c>
      <c r="B247">
        <v>481.63</v>
      </c>
      <c r="C247">
        <v>0</v>
      </c>
      <c r="D247" s="420"/>
      <c r="E247" s="420"/>
      <c r="F247" s="420"/>
      <c r="G247" s="420"/>
      <c r="H247" s="420"/>
      <c r="I247" s="420"/>
      <c r="J247" s="579"/>
    </row>
    <row r="248" spans="1:10">
      <c r="A248" s="275">
        <v>45538</v>
      </c>
      <c r="B248">
        <v>482.53</v>
      </c>
      <c r="C248">
        <v>0.9</v>
      </c>
      <c r="D248" s="420"/>
      <c r="E248" s="420"/>
      <c r="F248" s="420"/>
      <c r="G248" s="420"/>
      <c r="H248" s="420"/>
      <c r="I248" s="420"/>
      <c r="J248" s="579"/>
    </row>
    <row r="249" spans="1:10">
      <c r="A249" s="275">
        <v>45539</v>
      </c>
      <c r="B249">
        <v>482.74</v>
      </c>
      <c r="C249">
        <v>0.21</v>
      </c>
      <c r="D249" s="420"/>
      <c r="E249" s="420"/>
      <c r="F249" s="420"/>
      <c r="G249" s="420"/>
      <c r="H249" s="420"/>
      <c r="I249" s="420"/>
      <c r="J249" s="579"/>
    </row>
    <row r="250" spans="1:10">
      <c r="A250" s="275">
        <v>45540</v>
      </c>
      <c r="B250">
        <v>483.57</v>
      </c>
      <c r="C250">
        <v>0.83</v>
      </c>
      <c r="D250" s="420"/>
      <c r="E250" s="420"/>
      <c r="F250" s="420"/>
      <c r="G250" s="420"/>
      <c r="H250" s="420"/>
      <c r="I250" s="420"/>
      <c r="J250" s="579"/>
    </row>
    <row r="251" spans="1:10">
      <c r="A251" s="275">
        <v>45541</v>
      </c>
      <c r="B251">
        <v>482.94</v>
      </c>
      <c r="C251">
        <v>-0.63</v>
      </c>
      <c r="D251" s="420"/>
      <c r="E251" s="420"/>
      <c r="F251" s="420"/>
      <c r="G251" s="420"/>
      <c r="H251" s="420"/>
      <c r="I251" s="420"/>
      <c r="J251" s="579"/>
    </row>
    <row r="252" spans="1:10">
      <c r="A252" s="275">
        <v>45542</v>
      </c>
      <c r="B252">
        <v>480.55</v>
      </c>
      <c r="C252">
        <v>-2.39</v>
      </c>
      <c r="D252" s="420"/>
      <c r="E252" s="420"/>
      <c r="F252" s="420"/>
      <c r="G252" s="420"/>
      <c r="H252" s="420"/>
      <c r="I252" s="420"/>
      <c r="J252" s="579"/>
    </row>
    <row r="253" spans="1:10">
      <c r="A253" s="275">
        <v>45543</v>
      </c>
      <c r="B253">
        <v>480.55</v>
      </c>
      <c r="C253">
        <v>0</v>
      </c>
      <c r="D253" s="420"/>
      <c r="E253" s="420"/>
      <c r="F253" s="420"/>
      <c r="G253" s="420"/>
      <c r="H253" s="420"/>
      <c r="I253" s="420"/>
      <c r="J253" s="579"/>
    </row>
    <row r="254" spans="1:10">
      <c r="A254" s="275">
        <v>45544</v>
      </c>
      <c r="B254">
        <v>480.55</v>
      </c>
      <c r="C254">
        <v>0</v>
      </c>
      <c r="D254" s="420"/>
      <c r="E254" s="420"/>
      <c r="F254" s="420"/>
      <c r="G254" s="420"/>
      <c r="H254" s="420"/>
      <c r="I254" s="420"/>
      <c r="J254" s="579"/>
    </row>
    <row r="255" spans="1:10">
      <c r="A255" s="275">
        <v>45545</v>
      </c>
      <c r="B255">
        <v>478.89</v>
      </c>
      <c r="C255">
        <v>-1.66</v>
      </c>
      <c r="D255" s="420"/>
      <c r="E255" s="420"/>
      <c r="F255" s="420"/>
      <c r="G255" s="420"/>
      <c r="H255" s="420"/>
      <c r="I255" s="420"/>
      <c r="J255" s="579"/>
    </row>
    <row r="256" spans="1:10">
      <c r="A256" s="275">
        <v>45546</v>
      </c>
      <c r="B256">
        <v>477.45</v>
      </c>
      <c r="C256">
        <v>-1.44</v>
      </c>
      <c r="D256" s="420"/>
      <c r="E256" s="420"/>
      <c r="F256" s="420"/>
      <c r="G256" s="420"/>
      <c r="H256" s="420"/>
      <c r="I256" s="420"/>
      <c r="J256" s="579"/>
    </row>
    <row r="257" spans="1:10">
      <c r="A257" s="275">
        <v>45547</v>
      </c>
      <c r="B257">
        <v>477.62</v>
      </c>
      <c r="C257">
        <v>0.17</v>
      </c>
      <c r="D257" s="420"/>
      <c r="E257" s="420"/>
      <c r="F257" s="420"/>
      <c r="G257" s="420"/>
      <c r="H257" s="420"/>
      <c r="I257" s="420"/>
      <c r="J257" s="579"/>
    </row>
    <row r="258" spans="1:10">
      <c r="A258" s="275">
        <v>45548</v>
      </c>
      <c r="B258">
        <v>477.13</v>
      </c>
      <c r="C258">
        <v>-0.49</v>
      </c>
      <c r="D258" s="420"/>
      <c r="E258" s="420"/>
      <c r="F258" s="420"/>
      <c r="G258" s="420"/>
      <c r="H258" s="420"/>
      <c r="I258" s="420"/>
      <c r="J258" s="579"/>
    </row>
    <row r="259" spans="1:10">
      <c r="A259" s="275">
        <v>45549</v>
      </c>
      <c r="B259">
        <v>479.38</v>
      </c>
      <c r="C259">
        <v>2.25</v>
      </c>
      <c r="D259" s="420"/>
      <c r="E259" s="420"/>
      <c r="F259" s="420"/>
      <c r="G259" s="420"/>
      <c r="H259" s="420"/>
      <c r="I259" s="420"/>
      <c r="J259" s="579"/>
    </row>
    <row r="260" spans="1:10">
      <c r="A260" s="275">
        <v>45550</v>
      </c>
      <c r="B260">
        <v>479.38</v>
      </c>
      <c r="C260">
        <v>0</v>
      </c>
      <c r="D260" s="420"/>
      <c r="E260" s="420"/>
      <c r="F260" s="420"/>
      <c r="G260" s="420"/>
      <c r="H260" s="420"/>
      <c r="I260" s="420"/>
      <c r="J260" s="579"/>
    </row>
    <row r="261" spans="1:10">
      <c r="A261" s="275">
        <v>45551</v>
      </c>
      <c r="B261">
        <v>479.38</v>
      </c>
      <c r="C261">
        <v>0</v>
      </c>
      <c r="D261" s="420"/>
      <c r="E261" s="420"/>
      <c r="F261" s="420"/>
      <c r="G261" s="420"/>
      <c r="H261" s="420"/>
      <c r="I261" s="420"/>
      <c r="J261" s="579"/>
    </row>
    <row r="262" spans="1:10">
      <c r="A262" s="275">
        <v>45552</v>
      </c>
      <c r="B262">
        <v>480.61</v>
      </c>
      <c r="C262">
        <v>1.23</v>
      </c>
      <c r="D262" s="420"/>
      <c r="E262" s="420"/>
      <c r="F262" s="420"/>
      <c r="G262" s="420"/>
      <c r="H262" s="420"/>
      <c r="I262" s="420"/>
      <c r="J262" s="579"/>
    </row>
    <row r="263" spans="1:10">
      <c r="A263" s="275">
        <v>45553</v>
      </c>
      <c r="B263">
        <v>480.63</v>
      </c>
      <c r="C263">
        <v>0.02</v>
      </c>
      <c r="D263" s="420"/>
      <c r="E263" s="420"/>
      <c r="F263" s="420"/>
      <c r="G263" s="420"/>
      <c r="H263" s="420"/>
      <c r="I263" s="420"/>
      <c r="J263" s="579"/>
    </row>
    <row r="264" spans="1:10">
      <c r="A264" s="275">
        <v>45554</v>
      </c>
      <c r="B264">
        <v>478.96</v>
      </c>
      <c r="C264">
        <v>-1.67</v>
      </c>
      <c r="D264" s="420"/>
      <c r="E264" s="420"/>
      <c r="F264" s="420"/>
      <c r="G264" s="420"/>
      <c r="H264" s="420"/>
      <c r="I264" s="420"/>
      <c r="J264" s="579"/>
    </row>
    <row r="265" spans="1:10">
      <c r="A265" s="275">
        <v>45555</v>
      </c>
      <c r="B265">
        <v>478.93</v>
      </c>
      <c r="C265">
        <v>-0.03</v>
      </c>
      <c r="D265" s="420"/>
      <c r="E265" s="420"/>
      <c r="F265" s="420"/>
      <c r="G265" s="420"/>
      <c r="H265" s="420"/>
      <c r="I265" s="420"/>
      <c r="J265" s="579"/>
    </row>
    <row r="266" spans="1:10">
      <c r="A266" s="275">
        <v>45556</v>
      </c>
      <c r="B266">
        <v>479.05</v>
      </c>
      <c r="C266">
        <v>0.12</v>
      </c>
      <c r="D266" s="420"/>
      <c r="E266" s="420"/>
      <c r="F266" s="420"/>
      <c r="G266" s="420"/>
      <c r="H266" s="420"/>
      <c r="I266" s="420"/>
      <c r="J266" s="579"/>
    </row>
    <row r="267" spans="1:10">
      <c r="A267" s="275">
        <v>45557</v>
      </c>
      <c r="B267">
        <v>479.05</v>
      </c>
      <c r="C267">
        <v>0</v>
      </c>
      <c r="D267" s="420"/>
      <c r="E267" s="420"/>
      <c r="F267" s="420"/>
      <c r="G267" s="420"/>
      <c r="H267" s="420"/>
      <c r="I267" s="420"/>
      <c r="J267" s="579"/>
    </row>
    <row r="268" spans="1:10">
      <c r="A268" s="275">
        <v>45558</v>
      </c>
      <c r="B268">
        <v>479.05</v>
      </c>
      <c r="C268">
        <v>0</v>
      </c>
      <c r="D268" s="420"/>
      <c r="E268" s="420"/>
      <c r="F268" s="420"/>
      <c r="G268" s="420"/>
      <c r="H268" s="420"/>
      <c r="I268" s="420"/>
      <c r="J268" s="579"/>
    </row>
    <row r="269" spans="1:10">
      <c r="A269" s="275">
        <v>45559</v>
      </c>
      <c r="B269">
        <v>480.5</v>
      </c>
      <c r="C269">
        <v>1.45</v>
      </c>
      <c r="D269" s="420"/>
      <c r="E269" s="420"/>
      <c r="F269" s="420"/>
      <c r="G269" s="420"/>
      <c r="H269" s="420"/>
      <c r="I269" s="420"/>
      <c r="J269" s="579"/>
    </row>
    <row r="270" spans="1:10">
      <c r="A270" s="275">
        <v>45560</v>
      </c>
      <c r="B270">
        <v>479.71</v>
      </c>
      <c r="C270">
        <v>-0.79</v>
      </c>
      <c r="D270" s="420"/>
      <c r="E270" s="420"/>
      <c r="F270" s="420"/>
      <c r="G270" s="420"/>
      <c r="H270" s="420"/>
      <c r="I270" s="420"/>
      <c r="J270" s="579"/>
    </row>
    <row r="271" spans="1:10">
      <c r="A271" s="275">
        <v>45561</v>
      </c>
      <c r="B271">
        <v>478.16</v>
      </c>
      <c r="C271">
        <v>-1.55</v>
      </c>
      <c r="D271" s="420"/>
      <c r="E271" s="420"/>
      <c r="F271" s="420"/>
      <c r="G271" s="420"/>
      <c r="H271" s="420"/>
      <c r="I271" s="420"/>
      <c r="J271" s="579"/>
    </row>
    <row r="272" spans="1:10">
      <c r="A272" s="275">
        <v>45562</v>
      </c>
      <c r="B272">
        <v>478.54</v>
      </c>
      <c r="C272">
        <v>0.38</v>
      </c>
      <c r="D272" s="420"/>
      <c r="E272" s="420"/>
      <c r="F272" s="420"/>
      <c r="G272" s="420"/>
      <c r="H272" s="420"/>
      <c r="I272" s="420"/>
      <c r="J272" s="579"/>
    </row>
    <row r="273" spans="1:10">
      <c r="A273" s="275">
        <v>45563</v>
      </c>
      <c r="B273">
        <v>479.23</v>
      </c>
      <c r="C273">
        <v>0.69</v>
      </c>
      <c r="D273" s="420"/>
      <c r="E273" s="420"/>
      <c r="F273" s="420"/>
      <c r="G273" s="420"/>
      <c r="H273" s="420"/>
      <c r="I273" s="420"/>
      <c r="J273" s="579"/>
    </row>
    <row r="274" spans="1:10">
      <c r="A274" s="275">
        <v>45564</v>
      </c>
      <c r="B274">
        <v>479.23</v>
      </c>
      <c r="C274">
        <v>0</v>
      </c>
      <c r="D274" s="420"/>
      <c r="E274" s="420"/>
      <c r="F274" s="420"/>
      <c r="G274" s="420"/>
      <c r="H274" s="420"/>
      <c r="I274" s="420"/>
      <c r="J274" s="579"/>
    </row>
    <row r="275" spans="1:10">
      <c r="A275" s="275">
        <v>45565</v>
      </c>
      <c r="B275">
        <v>479.23</v>
      </c>
      <c r="C275">
        <v>0</v>
      </c>
      <c r="D275" s="420"/>
      <c r="E275" s="420"/>
      <c r="F275" s="420"/>
      <c r="G275" s="420"/>
      <c r="H275" s="420"/>
      <c r="I275" s="420"/>
      <c r="J275" s="579"/>
    </row>
    <row r="276" spans="1:10">
      <c r="A276" s="275">
        <v>45566</v>
      </c>
      <c r="B276">
        <v>481.19</v>
      </c>
      <c r="C276">
        <v>1.96</v>
      </c>
      <c r="D276" s="420"/>
      <c r="E276" s="420"/>
      <c r="F276" s="420"/>
      <c r="G276" s="420"/>
      <c r="H276" s="420"/>
      <c r="I276" s="420"/>
      <c r="J276" s="579"/>
    </row>
    <row r="277" spans="1:10">
      <c r="A277" s="275">
        <v>45567</v>
      </c>
      <c r="B277">
        <v>480.11</v>
      </c>
      <c r="C277">
        <v>-1.08</v>
      </c>
      <c r="D277" s="420"/>
      <c r="E277" s="420"/>
      <c r="F277" s="420"/>
      <c r="G277" s="420"/>
      <c r="H277" s="420"/>
      <c r="I277" s="420"/>
      <c r="J277" s="579"/>
    </row>
    <row r="278" spans="1:10">
      <c r="A278" s="275">
        <v>45568</v>
      </c>
      <c r="B278">
        <v>483.23</v>
      </c>
      <c r="C278">
        <v>3.12</v>
      </c>
      <c r="D278" s="420"/>
      <c r="E278" s="420"/>
      <c r="F278" s="420"/>
      <c r="G278" s="420"/>
      <c r="H278" s="420"/>
      <c r="I278" s="420"/>
      <c r="J278" s="579"/>
    </row>
    <row r="279" spans="1:10">
      <c r="A279" s="275">
        <v>45569</v>
      </c>
      <c r="B279">
        <v>482.86</v>
      </c>
      <c r="C279">
        <v>-0.37</v>
      </c>
      <c r="D279" s="420"/>
      <c r="E279" s="420"/>
      <c r="F279" s="420"/>
      <c r="G279" s="420"/>
      <c r="H279" s="420"/>
      <c r="I279" s="420"/>
      <c r="J279" s="579"/>
    </row>
    <row r="280" spans="1:10">
      <c r="A280" s="275">
        <v>45570</v>
      </c>
      <c r="B280">
        <v>481.84</v>
      </c>
      <c r="C280">
        <v>-1.02</v>
      </c>
      <c r="D280" s="420"/>
      <c r="E280" s="420"/>
      <c r="F280" s="420"/>
      <c r="G280" s="420"/>
      <c r="H280" s="420"/>
      <c r="I280" s="420"/>
      <c r="J280" s="579"/>
    </row>
    <row r="281" spans="1:10">
      <c r="A281" s="275">
        <v>45571</v>
      </c>
      <c r="B281">
        <v>481.84</v>
      </c>
      <c r="C281">
        <v>0</v>
      </c>
      <c r="D281" s="420"/>
      <c r="E281" s="420"/>
      <c r="F281" s="420"/>
      <c r="G281" s="420"/>
      <c r="H281" s="420"/>
      <c r="I281" s="420"/>
      <c r="J281" s="579"/>
    </row>
    <row r="282" spans="1:10">
      <c r="A282" s="275">
        <v>45572</v>
      </c>
      <c r="B282">
        <v>481.84</v>
      </c>
      <c r="C282">
        <v>0</v>
      </c>
      <c r="D282" s="420"/>
      <c r="E282" s="420"/>
      <c r="F282" s="420"/>
      <c r="G282" s="420"/>
      <c r="H282" s="420"/>
      <c r="I282" s="420"/>
      <c r="J282" s="579"/>
    </row>
    <row r="283" spans="1:10">
      <c r="A283" s="275">
        <v>45573</v>
      </c>
      <c r="B283">
        <v>484.37</v>
      </c>
      <c r="C283">
        <v>2.5299999999999998</v>
      </c>
      <c r="D283" s="420"/>
      <c r="E283" s="420"/>
      <c r="F283" s="420"/>
      <c r="G283" s="420"/>
      <c r="H283" s="420"/>
      <c r="I283" s="420"/>
      <c r="J283" s="579"/>
    </row>
    <row r="284" spans="1:10">
      <c r="A284" s="275">
        <v>45574</v>
      </c>
      <c r="B284">
        <v>486.44</v>
      </c>
      <c r="C284">
        <v>2.0699999999999998</v>
      </c>
      <c r="D284" s="420"/>
      <c r="E284" s="420"/>
      <c r="F284" s="420"/>
      <c r="G284" s="420"/>
      <c r="H284" s="420"/>
      <c r="I284" s="420"/>
      <c r="J284" s="579"/>
    </row>
    <row r="285" spans="1:10">
      <c r="A285" s="275">
        <v>45575</v>
      </c>
      <c r="B285">
        <v>489.06</v>
      </c>
      <c r="C285">
        <v>2.62</v>
      </c>
      <c r="D285" s="420"/>
      <c r="E285" s="420"/>
      <c r="F285" s="420"/>
      <c r="G285" s="420"/>
      <c r="H285" s="420"/>
      <c r="I285" s="420"/>
      <c r="J285" s="579"/>
    </row>
    <row r="286" spans="1:10">
      <c r="A286" s="275">
        <v>45576</v>
      </c>
      <c r="B286">
        <v>490.84</v>
      </c>
      <c r="C286">
        <v>1.78</v>
      </c>
      <c r="D286" s="420"/>
      <c r="E286" s="420"/>
      <c r="F286" s="420"/>
      <c r="G286" s="420"/>
      <c r="H286" s="420"/>
      <c r="I286" s="420"/>
      <c r="J286" s="579"/>
    </row>
    <row r="287" spans="1:10">
      <c r="A287" s="275">
        <v>45577</v>
      </c>
      <c r="B287">
        <v>487.37</v>
      </c>
      <c r="C287">
        <v>-3.47</v>
      </c>
      <c r="D287" s="420"/>
      <c r="E287" s="420"/>
      <c r="F287" s="420"/>
      <c r="G287" s="420"/>
      <c r="H287" s="420"/>
      <c r="I287" s="420"/>
      <c r="J287" s="579"/>
    </row>
    <row r="288" spans="1:10">
      <c r="A288" s="275">
        <v>45578</v>
      </c>
      <c r="B288">
        <v>487.37</v>
      </c>
      <c r="C288">
        <v>0</v>
      </c>
      <c r="D288" s="420"/>
      <c r="E288" s="420"/>
      <c r="F288" s="420"/>
      <c r="G288" s="420"/>
      <c r="H288" s="420"/>
      <c r="I288" s="420"/>
      <c r="J288" s="579"/>
    </row>
    <row r="289" spans="1:10">
      <c r="A289" s="275">
        <v>45579</v>
      </c>
      <c r="B289">
        <v>487.37</v>
      </c>
      <c r="C289">
        <v>0</v>
      </c>
      <c r="D289" s="420"/>
      <c r="E289" s="420"/>
      <c r="F289" s="420"/>
      <c r="G289" s="420"/>
      <c r="H289" s="420"/>
      <c r="I289" s="420"/>
      <c r="J289" s="579"/>
    </row>
    <row r="290" spans="1:10">
      <c r="A290" s="275">
        <v>45580</v>
      </c>
      <c r="B290">
        <v>484.11</v>
      </c>
      <c r="C290">
        <v>-3.26</v>
      </c>
      <c r="D290" s="420"/>
      <c r="E290" s="420"/>
      <c r="F290" s="420"/>
      <c r="G290" s="420"/>
      <c r="H290" s="420"/>
      <c r="I290" s="420"/>
      <c r="J290" s="579"/>
    </row>
    <row r="291" spans="1:10">
      <c r="A291" s="275">
        <v>45581</v>
      </c>
      <c r="B291">
        <v>487.42</v>
      </c>
      <c r="C291">
        <v>3.31</v>
      </c>
      <c r="D291" s="420"/>
      <c r="E291" s="420"/>
      <c r="F291" s="420"/>
      <c r="G291" s="420"/>
      <c r="H291" s="420"/>
      <c r="I291" s="420"/>
      <c r="J291" s="579"/>
    </row>
    <row r="292" spans="1:10">
      <c r="A292" s="275">
        <v>45582</v>
      </c>
      <c r="B292">
        <v>488.93</v>
      </c>
      <c r="C292">
        <v>1.51</v>
      </c>
      <c r="D292" s="420"/>
      <c r="E292" s="420"/>
      <c r="F292" s="420"/>
      <c r="G292" s="420"/>
      <c r="H292" s="420"/>
      <c r="I292" s="420"/>
      <c r="J292" s="579"/>
    </row>
    <row r="293" spans="1:10">
      <c r="A293" s="275">
        <v>45583</v>
      </c>
      <c r="B293">
        <v>487.24</v>
      </c>
      <c r="C293">
        <v>-1.69</v>
      </c>
      <c r="D293" s="420"/>
      <c r="E293" s="420"/>
      <c r="F293" s="420"/>
      <c r="G293" s="420"/>
      <c r="H293" s="420"/>
      <c r="I293" s="420"/>
      <c r="J293" s="579"/>
    </row>
    <row r="294" spans="1:10">
      <c r="A294" s="275">
        <v>45584</v>
      </c>
      <c r="B294">
        <v>485.04</v>
      </c>
      <c r="C294">
        <v>-2.2000000000000002</v>
      </c>
      <c r="D294" s="420"/>
      <c r="E294" s="420"/>
      <c r="F294" s="420"/>
      <c r="G294" s="420"/>
      <c r="H294" s="420"/>
      <c r="I294" s="420"/>
      <c r="J294" s="579"/>
    </row>
    <row r="295" spans="1:10">
      <c r="A295" s="275">
        <v>45585</v>
      </c>
      <c r="B295">
        <v>485.04</v>
      </c>
      <c r="C295">
        <v>0</v>
      </c>
      <c r="D295" s="420"/>
      <c r="E295" s="420"/>
      <c r="F295" s="420"/>
      <c r="G295" s="420"/>
      <c r="H295" s="420"/>
      <c r="I295" s="420"/>
      <c r="J295" s="579"/>
    </row>
    <row r="296" spans="1:10">
      <c r="A296" s="275">
        <v>45586</v>
      </c>
      <c r="B296">
        <v>485.04</v>
      </c>
      <c r="C296">
        <v>0</v>
      </c>
      <c r="D296" s="420"/>
      <c r="E296" s="420"/>
      <c r="F296" s="420"/>
      <c r="G296" s="420"/>
      <c r="H296" s="420"/>
      <c r="I296" s="420"/>
      <c r="J296" s="579"/>
    </row>
    <row r="297" spans="1:10">
      <c r="A297" s="275">
        <v>45587</v>
      </c>
      <c r="B297">
        <v>481.68</v>
      </c>
      <c r="C297">
        <v>-3.36</v>
      </c>
      <c r="D297" s="420"/>
      <c r="E297" s="420"/>
      <c r="F297" s="420"/>
      <c r="G297" s="420"/>
      <c r="H297" s="420"/>
      <c r="I297" s="420"/>
      <c r="J297" s="579"/>
    </row>
    <row r="298" spans="1:10">
      <c r="A298" s="275">
        <v>45588</v>
      </c>
      <c r="B298">
        <v>484.19</v>
      </c>
      <c r="C298">
        <v>2.5099999999999998</v>
      </c>
      <c r="D298" s="420"/>
      <c r="E298" s="420"/>
      <c r="F298" s="420"/>
      <c r="G298" s="420"/>
      <c r="H298" s="420"/>
      <c r="I298" s="420"/>
      <c r="J298" s="579"/>
    </row>
    <row r="299" spans="1:10">
      <c r="A299" s="275">
        <v>45589</v>
      </c>
      <c r="B299">
        <v>486.65</v>
      </c>
      <c r="C299">
        <v>2.46</v>
      </c>
      <c r="D299" s="420"/>
      <c r="E299" s="420"/>
      <c r="F299" s="420"/>
      <c r="G299" s="420"/>
      <c r="H299" s="420"/>
      <c r="I299" s="420"/>
      <c r="J299" s="579"/>
    </row>
    <row r="300" spans="1:10">
      <c r="A300" s="275">
        <v>45590</v>
      </c>
      <c r="B300">
        <v>485.11</v>
      </c>
      <c r="C300">
        <v>-1.54</v>
      </c>
      <c r="D300" s="420"/>
      <c r="E300" s="420"/>
      <c r="F300" s="420"/>
      <c r="G300" s="420"/>
      <c r="H300" s="420"/>
      <c r="I300" s="420"/>
      <c r="J300" s="579"/>
    </row>
    <row r="301" spans="1:10">
      <c r="A301" s="275">
        <v>45591</v>
      </c>
      <c r="B301">
        <v>485.11</v>
      </c>
      <c r="C301">
        <v>0</v>
      </c>
      <c r="D301" s="420"/>
      <c r="E301" s="420"/>
      <c r="F301" s="420"/>
      <c r="G301" s="420"/>
      <c r="H301" s="420"/>
      <c r="I301" s="420"/>
      <c r="J301" s="579"/>
    </row>
    <row r="302" spans="1:10">
      <c r="A302" s="275">
        <v>45592</v>
      </c>
      <c r="B302">
        <v>485.11</v>
      </c>
      <c r="C302">
        <v>0</v>
      </c>
      <c r="D302" s="420"/>
      <c r="E302" s="420"/>
      <c r="F302" s="420"/>
      <c r="G302" s="420"/>
      <c r="H302" s="420"/>
      <c r="I302" s="420"/>
      <c r="J302" s="579"/>
    </row>
    <row r="303" spans="1:10">
      <c r="A303" s="275">
        <v>45593</v>
      </c>
      <c r="B303">
        <v>485.11</v>
      </c>
      <c r="C303">
        <v>0</v>
      </c>
      <c r="D303" s="420"/>
      <c r="E303" s="420"/>
      <c r="F303" s="420"/>
      <c r="G303" s="420"/>
      <c r="H303" s="420"/>
      <c r="I303" s="420"/>
      <c r="J303" s="579"/>
    </row>
    <row r="304" spans="1:10">
      <c r="A304" s="275">
        <v>45594</v>
      </c>
      <c r="B304">
        <v>487.81</v>
      </c>
      <c r="C304">
        <v>2.7</v>
      </c>
      <c r="D304" s="420"/>
      <c r="E304" s="420"/>
      <c r="F304" s="420"/>
      <c r="G304" s="420"/>
      <c r="H304" s="420"/>
      <c r="I304" s="420"/>
      <c r="J304" s="579"/>
    </row>
    <row r="305" spans="1:10">
      <c r="A305" s="275">
        <v>45595</v>
      </c>
      <c r="B305">
        <v>491.7</v>
      </c>
      <c r="C305">
        <v>3.89</v>
      </c>
      <c r="D305" s="420"/>
      <c r="E305" s="420"/>
      <c r="F305" s="420"/>
      <c r="G305" s="420"/>
      <c r="H305" s="420"/>
      <c r="I305" s="420"/>
      <c r="J305" s="579"/>
    </row>
    <row r="306" spans="1:10">
      <c r="A306" s="275">
        <v>45596</v>
      </c>
      <c r="B306">
        <v>488.45</v>
      </c>
      <c r="C306">
        <v>-3.25</v>
      </c>
      <c r="D306" s="420"/>
      <c r="E306" s="420"/>
      <c r="F306" s="420"/>
      <c r="G306" s="420"/>
      <c r="H306" s="420"/>
      <c r="I306" s="420"/>
      <c r="J306" s="579"/>
    </row>
    <row r="307" spans="1:10">
      <c r="A307" s="275">
        <v>45597</v>
      </c>
      <c r="B307">
        <v>488.26</v>
      </c>
      <c r="C307">
        <v>-0.19</v>
      </c>
      <c r="D307" s="420"/>
      <c r="E307" s="420"/>
      <c r="F307" s="420"/>
      <c r="G307" s="420"/>
      <c r="H307" s="420"/>
      <c r="I307" s="420"/>
      <c r="J307" s="579"/>
    </row>
    <row r="308" spans="1:10">
      <c r="A308" s="275">
        <v>45598</v>
      </c>
      <c r="B308">
        <v>488.11</v>
      </c>
      <c r="C308">
        <v>-0.15</v>
      </c>
      <c r="D308" s="420"/>
      <c r="E308" s="420"/>
      <c r="F308" s="420"/>
      <c r="G308" s="420"/>
      <c r="H308" s="420"/>
      <c r="I308" s="420"/>
      <c r="J308" s="579"/>
    </row>
    <row r="309" spans="1:10">
      <c r="A309" s="275">
        <v>45599</v>
      </c>
      <c r="B309">
        <v>488.11</v>
      </c>
      <c r="C309">
        <v>0</v>
      </c>
      <c r="D309" s="420"/>
      <c r="E309" s="420"/>
      <c r="F309" s="420"/>
      <c r="G309" s="420"/>
      <c r="H309" s="420"/>
      <c r="I309" s="420"/>
      <c r="J309" s="579"/>
    </row>
    <row r="310" spans="1:10">
      <c r="A310" s="275">
        <v>45600</v>
      </c>
      <c r="B310">
        <v>488.11</v>
      </c>
      <c r="C310">
        <v>0</v>
      </c>
      <c r="D310" s="420"/>
      <c r="E310" s="420"/>
      <c r="F310" s="420"/>
      <c r="G310" s="420"/>
      <c r="H310" s="420"/>
      <c r="I310" s="420"/>
      <c r="J310" s="579"/>
    </row>
    <row r="311" spans="1:10">
      <c r="A311" s="275">
        <v>45601</v>
      </c>
      <c r="B311">
        <v>489.36</v>
      </c>
      <c r="C311">
        <v>1.25</v>
      </c>
      <c r="D311" s="420"/>
      <c r="E311" s="420"/>
      <c r="F311" s="420"/>
      <c r="G311" s="420"/>
      <c r="H311" s="420"/>
      <c r="I311" s="420"/>
      <c r="J311" s="579"/>
    </row>
    <row r="312" spans="1:10">
      <c r="A312" s="275">
        <v>45602</v>
      </c>
      <c r="B312">
        <v>488.91</v>
      </c>
      <c r="C312">
        <v>-0.45</v>
      </c>
      <c r="D312" s="420"/>
      <c r="E312" s="420"/>
      <c r="F312" s="420"/>
      <c r="G312" s="420"/>
      <c r="H312" s="420"/>
      <c r="I312" s="420"/>
      <c r="J312" s="579"/>
    </row>
    <row r="313" spans="1:10">
      <c r="A313" s="275">
        <v>45603</v>
      </c>
      <c r="B313">
        <v>492.14</v>
      </c>
      <c r="C313">
        <v>3.23</v>
      </c>
      <c r="D313" s="420"/>
      <c r="E313" s="420"/>
      <c r="F313" s="420"/>
      <c r="G313" s="420"/>
      <c r="H313" s="420"/>
      <c r="I313" s="420"/>
      <c r="J313" s="579"/>
    </row>
    <row r="314" spans="1:10">
      <c r="A314" s="275">
        <v>45604</v>
      </c>
      <c r="B314">
        <v>492.22</v>
      </c>
      <c r="C314">
        <v>0.08</v>
      </c>
      <c r="D314" s="420"/>
      <c r="E314" s="420"/>
      <c r="F314" s="420"/>
      <c r="G314" s="420"/>
      <c r="H314" s="420"/>
      <c r="I314" s="420"/>
      <c r="J314" s="579"/>
    </row>
    <row r="315" spans="1:10">
      <c r="A315" s="275">
        <v>45605</v>
      </c>
      <c r="B315">
        <v>491.71</v>
      </c>
      <c r="C315">
        <v>-0.51</v>
      </c>
      <c r="D315" s="420"/>
      <c r="E315" s="420"/>
      <c r="F315" s="420"/>
      <c r="G315" s="420"/>
      <c r="H315" s="420"/>
      <c r="I315" s="420"/>
      <c r="J315" s="579"/>
    </row>
    <row r="316" spans="1:10">
      <c r="A316" s="275">
        <v>45606</v>
      </c>
      <c r="B316">
        <v>491.71</v>
      </c>
      <c r="C316">
        <v>0</v>
      </c>
      <c r="D316" s="420"/>
      <c r="E316" s="420"/>
      <c r="F316" s="420"/>
      <c r="G316" s="420"/>
      <c r="H316" s="420"/>
      <c r="I316" s="420"/>
      <c r="J316" s="579"/>
    </row>
    <row r="317" spans="1:10">
      <c r="A317" s="275">
        <v>45607</v>
      </c>
      <c r="B317">
        <v>491.71</v>
      </c>
      <c r="C317">
        <v>0</v>
      </c>
      <c r="D317" s="420"/>
      <c r="E317" s="420"/>
      <c r="F317" s="420"/>
      <c r="G317" s="420"/>
      <c r="H317" s="420"/>
      <c r="I317" s="420"/>
      <c r="J317" s="579"/>
    </row>
    <row r="318" spans="1:10">
      <c r="A318" s="275">
        <v>45608</v>
      </c>
      <c r="B318">
        <v>492.65</v>
      </c>
      <c r="C318">
        <v>0.94</v>
      </c>
      <c r="D318" s="420"/>
      <c r="E318" s="420"/>
      <c r="F318" s="420"/>
      <c r="G318" s="420"/>
      <c r="H318" s="420"/>
      <c r="I318" s="420"/>
      <c r="J318" s="579"/>
    </row>
    <row r="319" spans="1:10">
      <c r="A319" s="275">
        <v>45609</v>
      </c>
      <c r="B319">
        <v>494.95</v>
      </c>
      <c r="C319">
        <v>2.2999999999999998</v>
      </c>
      <c r="D319" s="420"/>
      <c r="E319" s="420"/>
      <c r="F319" s="420"/>
      <c r="G319" s="420"/>
      <c r="H319" s="420"/>
      <c r="I319" s="420"/>
      <c r="J319" s="579"/>
    </row>
    <row r="320" spans="1:10">
      <c r="A320" s="275">
        <v>45610</v>
      </c>
      <c r="B320">
        <v>492.17</v>
      </c>
      <c r="C320">
        <v>-2.78</v>
      </c>
      <c r="D320" s="420"/>
      <c r="E320" s="420"/>
      <c r="F320" s="420"/>
      <c r="G320" s="420"/>
      <c r="H320" s="420"/>
      <c r="I320" s="420"/>
      <c r="J320" s="579"/>
    </row>
    <row r="321" spans="1:10">
      <c r="A321" s="275">
        <v>45611</v>
      </c>
      <c r="B321">
        <v>493.85</v>
      </c>
      <c r="C321">
        <v>1.68</v>
      </c>
      <c r="D321" s="420"/>
      <c r="E321" s="420"/>
      <c r="F321" s="420"/>
      <c r="G321" s="420"/>
      <c r="H321" s="420"/>
      <c r="I321" s="420"/>
      <c r="J321" s="579"/>
    </row>
    <row r="322" spans="1:10">
      <c r="A322" s="275">
        <v>45612</v>
      </c>
      <c r="B322">
        <v>495.95</v>
      </c>
      <c r="C322">
        <v>2.1</v>
      </c>
      <c r="D322" s="420"/>
      <c r="E322" s="420"/>
      <c r="F322" s="420"/>
      <c r="G322" s="420"/>
      <c r="H322" s="420"/>
      <c r="I322" s="420"/>
      <c r="J322" s="579"/>
    </row>
    <row r="323" spans="1:10">
      <c r="A323" s="275">
        <v>45613</v>
      </c>
      <c r="B323">
        <v>495.95</v>
      </c>
      <c r="C323">
        <v>0</v>
      </c>
      <c r="D323" s="420"/>
      <c r="E323" s="420"/>
      <c r="F323" s="420"/>
      <c r="G323" s="420"/>
      <c r="H323" s="420"/>
      <c r="I323" s="420"/>
      <c r="J323" s="579"/>
    </row>
    <row r="324" spans="1:10">
      <c r="A324" s="275">
        <v>45614</v>
      </c>
      <c r="B324">
        <v>495.95</v>
      </c>
      <c r="C324">
        <v>0</v>
      </c>
      <c r="D324" s="420"/>
      <c r="E324" s="420"/>
      <c r="F324" s="420"/>
      <c r="G324" s="420"/>
      <c r="H324" s="420"/>
      <c r="I324" s="420"/>
      <c r="J324" s="579"/>
    </row>
    <row r="325" spans="1:10">
      <c r="A325" s="275">
        <v>45615</v>
      </c>
      <c r="B325">
        <v>497.89</v>
      </c>
      <c r="C325">
        <v>1.94</v>
      </c>
      <c r="D325" s="420"/>
      <c r="E325" s="420"/>
      <c r="F325" s="420"/>
      <c r="G325" s="420"/>
      <c r="H325" s="420"/>
      <c r="I325" s="420"/>
      <c r="J325" s="579"/>
    </row>
    <row r="326" spans="1:10">
      <c r="A326" s="275">
        <v>45616</v>
      </c>
      <c r="B326">
        <v>497.26</v>
      </c>
      <c r="C326">
        <v>-0.63</v>
      </c>
      <c r="D326" s="420"/>
      <c r="E326" s="420"/>
      <c r="F326" s="420"/>
      <c r="G326" s="420"/>
      <c r="H326" s="420"/>
      <c r="I326" s="420"/>
      <c r="J326" s="579"/>
    </row>
    <row r="327" spans="1:10">
      <c r="A327" s="275">
        <v>45617</v>
      </c>
      <c r="B327">
        <v>495.2</v>
      </c>
      <c r="C327">
        <v>-2.06</v>
      </c>
      <c r="D327" s="420"/>
      <c r="E327" s="420"/>
      <c r="F327" s="420"/>
      <c r="G327" s="420"/>
      <c r="H327" s="420"/>
      <c r="I327" s="420"/>
      <c r="J327" s="579"/>
    </row>
    <row r="328" spans="1:10">
      <c r="A328" s="275">
        <v>45618</v>
      </c>
      <c r="B328">
        <v>494.87</v>
      </c>
      <c r="C328">
        <v>-0.33</v>
      </c>
      <c r="D328" s="420"/>
      <c r="E328" s="420"/>
      <c r="F328" s="420"/>
      <c r="G328" s="420"/>
      <c r="H328" s="420"/>
      <c r="I328" s="420"/>
      <c r="J328" s="579"/>
    </row>
    <row r="329" spans="1:10">
      <c r="A329" s="275">
        <v>45619</v>
      </c>
      <c r="B329">
        <v>498.34</v>
      </c>
      <c r="C329">
        <v>3.47</v>
      </c>
      <c r="D329" s="420"/>
      <c r="E329" s="420"/>
      <c r="F329" s="420"/>
      <c r="G329" s="420"/>
      <c r="H329" s="420"/>
      <c r="I329" s="420"/>
      <c r="J329" s="579"/>
    </row>
    <row r="330" spans="1:10">
      <c r="A330" s="275">
        <v>45620</v>
      </c>
      <c r="B330">
        <v>498.34</v>
      </c>
      <c r="C330">
        <v>0</v>
      </c>
      <c r="D330" s="420"/>
      <c r="E330" s="420"/>
      <c r="F330" s="420"/>
      <c r="G330" s="420"/>
      <c r="H330" s="420"/>
      <c r="I330" s="420"/>
      <c r="J330" s="579"/>
    </row>
    <row r="331" spans="1:10">
      <c r="A331" s="275">
        <v>45621</v>
      </c>
      <c r="B331">
        <v>498.34</v>
      </c>
      <c r="C331">
        <v>0</v>
      </c>
      <c r="D331" s="420"/>
      <c r="E331" s="420"/>
      <c r="F331" s="420"/>
      <c r="G331" s="420"/>
      <c r="H331" s="420"/>
      <c r="I331" s="420"/>
      <c r="J331" s="579"/>
    </row>
    <row r="332" spans="1:10">
      <c r="A332" s="275">
        <v>45622</v>
      </c>
      <c r="B332">
        <v>498.51</v>
      </c>
      <c r="C332">
        <v>0.17</v>
      </c>
      <c r="D332" s="420"/>
      <c r="E332" s="420"/>
      <c r="F332" s="420"/>
      <c r="G332" s="420"/>
      <c r="H332" s="420"/>
      <c r="I332" s="420"/>
      <c r="J332" s="579"/>
    </row>
    <row r="333" spans="1:10">
      <c r="A333" s="275">
        <v>45623</v>
      </c>
      <c r="B333">
        <v>498.55</v>
      </c>
      <c r="C333">
        <v>0.04</v>
      </c>
      <c r="D333" s="420"/>
      <c r="E333" s="420"/>
      <c r="F333" s="420"/>
      <c r="G333" s="420"/>
      <c r="H333" s="420"/>
      <c r="I333" s="420"/>
      <c r="J333" s="579"/>
    </row>
    <row r="334" spans="1:10">
      <c r="A334" s="275">
        <v>45624</v>
      </c>
      <c r="B334">
        <v>499.51</v>
      </c>
      <c r="C334">
        <v>0.96</v>
      </c>
      <c r="D334" s="420"/>
      <c r="E334" s="420"/>
      <c r="F334" s="420"/>
      <c r="G334" s="420"/>
      <c r="H334" s="420"/>
      <c r="I334" s="420"/>
      <c r="J334" s="579"/>
    </row>
    <row r="335" spans="1:10">
      <c r="A335" s="275">
        <v>45625</v>
      </c>
      <c r="B335">
        <v>513</v>
      </c>
      <c r="C335">
        <v>13.49</v>
      </c>
      <c r="D335" s="420"/>
      <c r="E335" s="420"/>
      <c r="F335" s="420"/>
      <c r="G335" s="420"/>
      <c r="H335" s="420"/>
      <c r="I335" s="420"/>
      <c r="J335" s="579"/>
    </row>
    <row r="336" spans="1:10">
      <c r="A336" s="275">
        <v>45626</v>
      </c>
      <c r="B336">
        <v>511.22</v>
      </c>
      <c r="C336">
        <v>-1.78</v>
      </c>
      <c r="D336" s="420"/>
      <c r="E336" s="420"/>
      <c r="F336" s="420"/>
      <c r="G336" s="420"/>
      <c r="H336" s="420"/>
      <c r="I336" s="420"/>
      <c r="J336" s="579"/>
    </row>
    <row r="337" spans="1:10">
      <c r="A337" s="275">
        <v>45627</v>
      </c>
      <c r="B337">
        <v>511.22</v>
      </c>
      <c r="C337">
        <v>0</v>
      </c>
      <c r="D337" s="420"/>
      <c r="E337" s="420"/>
      <c r="F337" s="420"/>
      <c r="G337" s="420"/>
      <c r="H337" s="420"/>
      <c r="I337" s="420"/>
      <c r="J337" s="579"/>
    </row>
    <row r="338" spans="1:10">
      <c r="A338" s="275">
        <v>45628</v>
      </c>
      <c r="B338">
        <v>511.22</v>
      </c>
      <c r="C338">
        <v>0</v>
      </c>
      <c r="D338" s="420"/>
      <c r="E338" s="420"/>
      <c r="F338" s="420"/>
      <c r="G338" s="420"/>
      <c r="H338" s="420"/>
      <c r="I338" s="420"/>
      <c r="J338" s="579"/>
    </row>
    <row r="339" spans="1:10">
      <c r="A339" s="275">
        <v>45629</v>
      </c>
      <c r="B339">
        <v>524.58000000000004</v>
      </c>
      <c r="C339">
        <v>13.36</v>
      </c>
      <c r="D339" s="420"/>
      <c r="E339" s="420"/>
      <c r="F339" s="420"/>
      <c r="G339" s="420"/>
      <c r="H339" s="420"/>
      <c r="I339" s="420"/>
      <c r="J339" s="579"/>
    </row>
    <row r="340" spans="1:10">
      <c r="A340" s="275">
        <v>45630</v>
      </c>
      <c r="B340">
        <v>523.16999999999996</v>
      </c>
      <c r="C340">
        <v>-1.41</v>
      </c>
      <c r="D340" s="420"/>
      <c r="E340" s="420"/>
      <c r="F340" s="420"/>
      <c r="G340" s="420"/>
      <c r="H340" s="420"/>
      <c r="I340" s="420"/>
      <c r="J340" s="579"/>
    </row>
    <row r="341" spans="1:10">
      <c r="A341" s="275">
        <v>45631</v>
      </c>
      <c r="B341">
        <v>523.58000000000004</v>
      </c>
      <c r="C341">
        <v>0.41</v>
      </c>
      <c r="D341" s="420"/>
      <c r="E341" s="420"/>
      <c r="F341" s="420"/>
      <c r="G341" s="420"/>
      <c r="H341" s="420"/>
      <c r="I341" s="420"/>
      <c r="J341" s="579"/>
    </row>
    <row r="342" spans="1:10">
      <c r="A342" s="275">
        <v>45632</v>
      </c>
      <c r="B342">
        <v>524.65</v>
      </c>
      <c r="C342">
        <v>1.07</v>
      </c>
      <c r="D342" s="420"/>
      <c r="E342" s="420"/>
      <c r="F342" s="420"/>
      <c r="G342" s="420"/>
      <c r="H342" s="420"/>
      <c r="I342" s="420"/>
      <c r="J342" s="579"/>
    </row>
    <row r="343" spans="1:10">
      <c r="A343" s="275">
        <v>45633</v>
      </c>
      <c r="B343">
        <v>514.65</v>
      </c>
      <c r="C343">
        <v>-10</v>
      </c>
      <c r="D343" s="420"/>
      <c r="E343" s="420"/>
      <c r="F343" s="420"/>
      <c r="G343" s="420"/>
      <c r="H343" s="420"/>
      <c r="I343" s="420"/>
      <c r="J343" s="579"/>
    </row>
    <row r="344" spans="1:10">
      <c r="A344" s="275">
        <v>45634</v>
      </c>
      <c r="B344">
        <v>514.65</v>
      </c>
      <c r="C344">
        <v>0</v>
      </c>
      <c r="D344" s="420"/>
      <c r="E344" s="420"/>
      <c r="F344" s="420"/>
      <c r="G344" s="420"/>
      <c r="H344" s="420"/>
      <c r="I344" s="420"/>
      <c r="J344" s="579"/>
    </row>
    <row r="345" spans="1:10">
      <c r="A345" s="275">
        <v>45635</v>
      </c>
      <c r="B345">
        <v>514.65</v>
      </c>
      <c r="C345">
        <v>0</v>
      </c>
      <c r="D345" s="420"/>
      <c r="E345" s="420"/>
      <c r="F345" s="420"/>
      <c r="G345" s="420"/>
      <c r="H345" s="420"/>
      <c r="I345" s="420"/>
      <c r="J345" s="579"/>
    </row>
    <row r="346" spans="1:10">
      <c r="A346" s="275">
        <v>45636</v>
      </c>
      <c r="B346">
        <v>510.08</v>
      </c>
      <c r="C346">
        <v>-4.57</v>
      </c>
      <c r="D346" s="420"/>
      <c r="E346" s="420"/>
      <c r="F346" s="420"/>
      <c r="G346" s="420"/>
      <c r="H346" s="420"/>
      <c r="I346" s="420"/>
      <c r="J346" s="579"/>
    </row>
    <row r="347" spans="1:10">
      <c r="A347" s="275">
        <v>45637</v>
      </c>
      <c r="B347">
        <v>508.05</v>
      </c>
      <c r="C347">
        <v>-2.0299999999999998</v>
      </c>
      <c r="D347" s="420"/>
      <c r="E347" s="420"/>
      <c r="F347" s="420"/>
      <c r="G347" s="420"/>
      <c r="H347" s="420"/>
      <c r="I347" s="420"/>
      <c r="J347" s="579"/>
    </row>
    <row r="348" spans="1:10">
      <c r="A348" s="275">
        <v>45638</v>
      </c>
      <c r="B348">
        <v>516.92999999999995</v>
      </c>
      <c r="C348">
        <v>8.8800000000000008</v>
      </c>
      <c r="D348" s="420"/>
      <c r="E348" s="420"/>
      <c r="F348" s="420"/>
      <c r="G348" s="420"/>
      <c r="H348" s="420"/>
      <c r="I348" s="420"/>
      <c r="J348" s="579"/>
    </row>
    <row r="349" spans="1:10">
      <c r="A349" s="275">
        <v>45639</v>
      </c>
      <c r="B349">
        <v>522.91</v>
      </c>
      <c r="C349">
        <v>5.98</v>
      </c>
      <c r="D349" s="420"/>
      <c r="E349" s="420"/>
      <c r="F349" s="420"/>
      <c r="G349" s="420"/>
      <c r="H349" s="420"/>
      <c r="I349" s="420"/>
      <c r="J349" s="579"/>
    </row>
    <row r="350" spans="1:10">
      <c r="A350" s="275">
        <v>45640</v>
      </c>
      <c r="B350">
        <v>522.49</v>
      </c>
      <c r="C350">
        <v>-0.42</v>
      </c>
      <c r="D350" s="420"/>
      <c r="E350" s="420"/>
      <c r="F350" s="420"/>
      <c r="G350" s="420"/>
      <c r="H350" s="420"/>
      <c r="I350" s="420"/>
      <c r="J350" s="579"/>
    </row>
    <row r="351" spans="1:10">
      <c r="A351" s="275">
        <v>45641</v>
      </c>
      <c r="B351">
        <v>522.49</v>
      </c>
      <c r="C351">
        <v>0</v>
      </c>
      <c r="D351" s="420"/>
      <c r="E351" s="420"/>
      <c r="F351" s="420"/>
      <c r="G351" s="420"/>
      <c r="H351" s="420"/>
      <c r="I351" s="420"/>
      <c r="J351" s="579"/>
    </row>
    <row r="352" spans="1:10">
      <c r="A352" s="275">
        <v>45642</v>
      </c>
      <c r="B352">
        <v>522.49</v>
      </c>
      <c r="C352">
        <v>0</v>
      </c>
      <c r="D352" s="420"/>
      <c r="E352" s="420"/>
      <c r="F352" s="420"/>
      <c r="G352" s="420"/>
      <c r="H352" s="420"/>
      <c r="I352" s="420"/>
      <c r="J352" s="579"/>
    </row>
    <row r="353" spans="1:10">
      <c r="A353" s="275">
        <v>45643</v>
      </c>
      <c r="B353">
        <v>522.49</v>
      </c>
      <c r="C353">
        <v>0</v>
      </c>
      <c r="D353" s="420"/>
      <c r="E353" s="420"/>
      <c r="F353" s="420"/>
      <c r="G353" s="420"/>
      <c r="H353" s="420"/>
      <c r="I353" s="420"/>
      <c r="J353" s="579"/>
    </row>
    <row r="354" spans="1:10">
      <c r="A354" s="275">
        <v>45644</v>
      </c>
      <c r="B354">
        <v>524.66</v>
      </c>
      <c r="C354">
        <v>2.17</v>
      </c>
      <c r="D354" s="420"/>
      <c r="E354" s="420"/>
      <c r="F354" s="420"/>
      <c r="G354" s="420"/>
      <c r="H354" s="420"/>
      <c r="I354" s="420"/>
      <c r="J354" s="579"/>
    </row>
    <row r="355" spans="1:10">
      <c r="A355" s="275">
        <v>45645</v>
      </c>
      <c r="B355">
        <v>522.63</v>
      </c>
      <c r="C355">
        <v>-2.0299999999999998</v>
      </c>
      <c r="D355" s="420"/>
      <c r="E355" s="420"/>
      <c r="F355" s="420"/>
      <c r="G355" s="420"/>
      <c r="H355" s="420"/>
      <c r="I355" s="420"/>
      <c r="J355" s="579"/>
    </row>
    <row r="356" spans="1:10">
      <c r="A356" s="275">
        <v>45646</v>
      </c>
      <c r="B356">
        <v>524.02</v>
      </c>
      <c r="C356">
        <v>1.39</v>
      </c>
      <c r="D356" s="420"/>
      <c r="E356" s="420"/>
      <c r="F356" s="420"/>
      <c r="G356" s="420"/>
      <c r="H356" s="420"/>
      <c r="I356" s="420"/>
      <c r="J356" s="579"/>
    </row>
    <row r="357" spans="1:10">
      <c r="A357" s="275">
        <v>45647</v>
      </c>
      <c r="B357">
        <v>523.86</v>
      </c>
      <c r="C357">
        <v>-0.16</v>
      </c>
      <c r="D357" s="420"/>
      <c r="E357" s="420"/>
      <c r="F357" s="420"/>
      <c r="G357" s="420"/>
      <c r="H357" s="420"/>
      <c r="I357" s="420"/>
      <c r="J357" s="579"/>
    </row>
    <row r="358" spans="1:10">
      <c r="A358" s="275">
        <v>45648</v>
      </c>
      <c r="B358">
        <v>523.86</v>
      </c>
      <c r="C358">
        <v>0</v>
      </c>
      <c r="D358" s="420"/>
      <c r="E358" s="420"/>
      <c r="F358" s="420"/>
      <c r="G358" s="420"/>
      <c r="H358" s="420"/>
      <c r="I358" s="420"/>
      <c r="J358" s="579"/>
    </row>
    <row r="359" spans="1:10">
      <c r="A359" s="275">
        <v>45649</v>
      </c>
      <c r="B359">
        <v>523.86</v>
      </c>
      <c r="C359">
        <v>0</v>
      </c>
      <c r="D359" s="420"/>
      <c r="E359" s="420"/>
      <c r="F359" s="420"/>
      <c r="G359" s="420"/>
      <c r="H359" s="420"/>
      <c r="I359" s="420"/>
      <c r="J359" s="579"/>
    </row>
    <row r="360" spans="1:10">
      <c r="A360" s="275">
        <v>45650</v>
      </c>
      <c r="B360">
        <v>523.72</v>
      </c>
      <c r="C360">
        <v>-0.14000000000000001</v>
      </c>
      <c r="D360" s="420"/>
      <c r="E360" s="420"/>
      <c r="F360" s="420"/>
      <c r="G360" s="420"/>
      <c r="H360" s="420"/>
      <c r="I360" s="420"/>
      <c r="J360" s="579"/>
    </row>
    <row r="361" spans="1:10">
      <c r="A361" s="275">
        <v>45651</v>
      </c>
      <c r="B361">
        <v>515.89</v>
      </c>
      <c r="C361">
        <v>-7.83</v>
      </c>
      <c r="D361" s="420"/>
      <c r="E361" s="420"/>
      <c r="F361" s="420"/>
      <c r="G361" s="420"/>
      <c r="H361" s="420"/>
      <c r="I361" s="420"/>
      <c r="J361" s="579"/>
    </row>
    <row r="362" spans="1:10">
      <c r="A362" s="275">
        <v>45652</v>
      </c>
      <c r="B362">
        <v>514.92999999999995</v>
      </c>
      <c r="C362">
        <v>-0.96</v>
      </c>
      <c r="D362" s="420"/>
      <c r="E362" s="420"/>
      <c r="F362" s="420"/>
      <c r="G362" s="420"/>
      <c r="H362" s="420"/>
      <c r="I362" s="420"/>
      <c r="J362" s="579"/>
    </row>
    <row r="363" spans="1:10">
      <c r="A363" s="275">
        <v>45653</v>
      </c>
      <c r="B363">
        <v>515.25</v>
      </c>
      <c r="C363">
        <v>0.32</v>
      </c>
      <c r="D363" s="420"/>
      <c r="E363" s="420"/>
      <c r="F363" s="420"/>
      <c r="G363" s="420"/>
      <c r="H363" s="420"/>
      <c r="I363" s="420"/>
      <c r="J363" s="579"/>
    </row>
    <row r="364" spans="1:10">
      <c r="A364" s="275">
        <v>45654</v>
      </c>
      <c r="B364">
        <v>521.80999999999995</v>
      </c>
      <c r="C364">
        <v>6.56</v>
      </c>
      <c r="D364" s="420"/>
      <c r="E364" s="420"/>
      <c r="F364" s="420"/>
      <c r="G364" s="420"/>
      <c r="H364" s="420"/>
      <c r="I364" s="420"/>
      <c r="J364" s="579"/>
    </row>
    <row r="365" spans="1:10">
      <c r="A365" s="275">
        <v>45655</v>
      </c>
      <c r="B365">
        <v>521.80999999999995</v>
      </c>
      <c r="C365">
        <v>0</v>
      </c>
      <c r="D365" s="420"/>
      <c r="E365" s="420"/>
      <c r="F365" s="420"/>
      <c r="G365" s="420"/>
      <c r="H365" s="420"/>
      <c r="I365" s="420"/>
      <c r="J365" s="579"/>
    </row>
    <row r="366" spans="1:10">
      <c r="A366" s="275">
        <v>45656</v>
      </c>
      <c r="B366">
        <v>521.80999999999995</v>
      </c>
      <c r="C366">
        <v>0</v>
      </c>
      <c r="D366" s="420"/>
      <c r="E366" s="420"/>
      <c r="F366" s="420"/>
      <c r="G366" s="420"/>
      <c r="H366" s="420"/>
      <c r="I366" s="420"/>
      <c r="J366" s="579"/>
    </row>
    <row r="367" spans="1:10">
      <c r="A367" s="275">
        <v>45657</v>
      </c>
      <c r="B367">
        <v>523.54</v>
      </c>
      <c r="C367">
        <v>1.73</v>
      </c>
      <c r="D367" s="420"/>
      <c r="E367" s="420"/>
      <c r="F367" s="420"/>
      <c r="G367" s="420"/>
      <c r="H367" s="420"/>
      <c r="I367" s="420"/>
      <c r="J367" s="579"/>
    </row>
    <row r="368" spans="1:10">
      <c r="A368" s="275"/>
      <c r="B368" s="275"/>
      <c r="C368" s="275"/>
      <c r="D368" s="420"/>
      <c r="E368" s="420"/>
      <c r="F368" s="420"/>
      <c r="G368" s="420"/>
      <c r="H368" s="420"/>
      <c r="I368" s="420"/>
      <c r="J368" s="579"/>
    </row>
  </sheetData>
  <phoneticPr fontId="115" type="noConversion"/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6CB0-73CB-44EE-8876-D481C6BCD806}">
  <sheetPr codeName="Лист4">
    <tabColor rgb="FF00B050"/>
  </sheetPr>
  <dimension ref="A1:L20"/>
  <sheetViews>
    <sheetView workbookViewId="0">
      <selection activeCell="A4" sqref="A4"/>
    </sheetView>
  </sheetViews>
  <sheetFormatPr defaultRowHeight="12.75"/>
  <cols>
    <col min="2" max="2" width="9.85546875" style="420" bestFit="1" customWidth="1"/>
    <col min="3" max="3" width="25.140625" bestFit="1" customWidth="1"/>
    <col min="4" max="4" width="14" style="420" customWidth="1"/>
    <col min="6" max="6" width="10.140625" bestFit="1" customWidth="1"/>
    <col min="7" max="8" width="18.28515625" bestFit="1" customWidth="1"/>
    <col min="10" max="10" width="18.28515625" bestFit="1" customWidth="1"/>
    <col min="11" max="11" width="10.85546875" bestFit="1" customWidth="1"/>
    <col min="12" max="12" width="13.7109375" bestFit="1" customWidth="1"/>
  </cols>
  <sheetData>
    <row r="1" spans="1:12" ht="34.5" thickBot="1">
      <c r="A1" s="623" t="s">
        <v>0</v>
      </c>
      <c r="B1" s="623" t="s">
        <v>899</v>
      </c>
      <c r="C1" s="623" t="s">
        <v>894</v>
      </c>
      <c r="D1" s="623" t="s">
        <v>105</v>
      </c>
      <c r="E1" s="623" t="s">
        <v>895</v>
      </c>
      <c r="F1" s="623" t="s">
        <v>896</v>
      </c>
      <c r="G1" s="623" t="s">
        <v>897</v>
      </c>
      <c r="H1" s="623" t="s">
        <v>898</v>
      </c>
      <c r="J1" s="420"/>
    </row>
    <row r="2" spans="1:12" ht="76.5">
      <c r="A2" s="617">
        <v>1</v>
      </c>
      <c r="B2" s="618" t="s">
        <v>761</v>
      </c>
      <c r="C2" s="619" t="s">
        <v>3126</v>
      </c>
      <c r="D2" s="237" t="s">
        <v>1053</v>
      </c>
      <c r="E2" s="620" t="s">
        <v>770</v>
      </c>
      <c r="F2" s="621">
        <v>45940</v>
      </c>
      <c r="G2" s="622">
        <v>16700000</v>
      </c>
      <c r="H2" s="622">
        <v>16700000</v>
      </c>
      <c r="I2" s="420"/>
      <c r="J2" s="420"/>
      <c r="K2" s="502"/>
      <c r="L2" s="100"/>
    </row>
    <row r="3" spans="1:12">
      <c r="A3" s="482"/>
      <c r="B3" s="500"/>
      <c r="C3" s="619"/>
      <c r="D3" s="237"/>
      <c r="E3" s="620"/>
      <c r="F3" s="483"/>
      <c r="G3" s="519"/>
      <c r="H3" s="519"/>
      <c r="I3" s="420"/>
      <c r="J3" s="420"/>
      <c r="K3" s="502"/>
      <c r="L3" s="100"/>
    </row>
    <row r="4" spans="1:12">
      <c r="A4" s="482"/>
      <c r="B4" s="500"/>
      <c r="C4" s="619"/>
      <c r="D4" s="237"/>
      <c r="E4" s="620"/>
      <c r="F4" s="483"/>
      <c r="G4" s="519"/>
      <c r="H4" s="519"/>
      <c r="I4" s="420"/>
      <c r="J4" s="420"/>
      <c r="K4" s="502"/>
      <c r="L4" s="100"/>
    </row>
    <row r="5" spans="1:12">
      <c r="A5" s="482"/>
      <c r="B5" s="482"/>
      <c r="C5" s="520"/>
      <c r="D5" s="482"/>
      <c r="E5" s="482"/>
      <c r="F5" s="483"/>
      <c r="G5" s="501"/>
      <c r="H5" s="482"/>
      <c r="I5" s="420"/>
      <c r="J5" s="501"/>
      <c r="K5" s="502"/>
      <c r="L5" s="100"/>
    </row>
    <row r="6" spans="1:12">
      <c r="A6" s="482"/>
      <c r="B6" s="482"/>
      <c r="C6" s="482"/>
      <c r="D6" s="482"/>
      <c r="E6" s="482"/>
      <c r="F6" s="482"/>
      <c r="G6" s="482"/>
      <c r="H6" s="482"/>
      <c r="I6" s="420"/>
    </row>
    <row r="7" spans="1:12">
      <c r="A7" s="482"/>
      <c r="B7" s="482"/>
      <c r="C7" s="482"/>
      <c r="D7" s="482"/>
      <c r="E7" s="482"/>
      <c r="F7" s="482"/>
      <c r="G7" s="482"/>
      <c r="H7" s="482"/>
      <c r="I7" s="420"/>
    </row>
    <row r="8" spans="1:12">
      <c r="A8" s="482"/>
      <c r="B8" s="482"/>
      <c r="C8" s="482"/>
      <c r="D8" s="482"/>
      <c r="E8" s="482"/>
      <c r="F8" s="482"/>
      <c r="G8" s="482"/>
      <c r="H8" s="482"/>
      <c r="I8" s="420"/>
    </row>
    <row r="9" spans="1:12">
      <c r="A9" s="482"/>
      <c r="B9" s="482"/>
      <c r="C9" s="482"/>
      <c r="D9" s="482"/>
      <c r="E9" s="482"/>
      <c r="F9" s="482"/>
      <c r="G9" s="482"/>
      <c r="H9" s="482"/>
      <c r="I9" s="420"/>
    </row>
    <row r="10" spans="1:12">
      <c r="A10" s="482"/>
      <c r="B10" s="482"/>
      <c r="C10" s="482"/>
      <c r="D10" s="482"/>
      <c r="E10" s="482"/>
      <c r="F10" s="482"/>
      <c r="G10" s="482"/>
      <c r="H10" s="482"/>
      <c r="I10" s="420"/>
    </row>
    <row r="11" spans="1:12">
      <c r="A11" s="482"/>
      <c r="B11" s="482"/>
      <c r="C11" s="482"/>
      <c r="D11" s="482"/>
      <c r="E11" s="482"/>
      <c r="F11" s="482"/>
      <c r="G11" s="482"/>
      <c r="H11" s="482"/>
      <c r="I11" s="420"/>
    </row>
    <row r="12" spans="1:12">
      <c r="A12" s="482"/>
      <c r="B12" s="482"/>
      <c r="C12" s="482"/>
      <c r="D12" s="482"/>
      <c r="E12" s="482"/>
      <c r="F12" s="482"/>
      <c r="G12" s="482"/>
      <c r="H12" s="482"/>
      <c r="I12" s="420"/>
    </row>
    <row r="13" spans="1:12">
      <c r="A13" s="482"/>
      <c r="B13" s="482"/>
      <c r="C13" s="482"/>
      <c r="D13" s="482"/>
      <c r="E13" s="482"/>
      <c r="F13" s="482"/>
      <c r="G13" s="482"/>
      <c r="H13" s="482"/>
      <c r="I13" s="420"/>
    </row>
    <row r="14" spans="1:12">
      <c r="A14" s="482"/>
      <c r="B14" s="482"/>
      <c r="C14" s="482"/>
      <c r="D14" s="482"/>
      <c r="E14" s="482"/>
      <c r="F14" s="482"/>
      <c r="G14" s="482"/>
      <c r="H14" s="482"/>
      <c r="I14" s="420"/>
    </row>
    <row r="15" spans="1:12">
      <c r="A15" s="482"/>
      <c r="B15" s="482"/>
      <c r="C15" s="482"/>
      <c r="D15" s="482"/>
      <c r="E15" s="482"/>
      <c r="F15" s="482"/>
      <c r="G15" s="482"/>
      <c r="H15" s="482"/>
      <c r="I15" s="420"/>
    </row>
    <row r="16" spans="1:12">
      <c r="A16" s="482"/>
      <c r="B16" s="482"/>
      <c r="C16" s="482"/>
      <c r="D16" s="482"/>
      <c r="E16" s="482"/>
      <c r="F16" s="482"/>
      <c r="G16" s="482"/>
      <c r="H16" s="482"/>
      <c r="I16" s="420"/>
    </row>
    <row r="17" spans="1:9">
      <c r="A17" s="482"/>
      <c r="B17" s="482"/>
      <c r="C17" s="482"/>
      <c r="D17" s="482"/>
      <c r="E17" s="482"/>
      <c r="F17" s="482"/>
      <c r="G17" s="482"/>
      <c r="H17" s="482"/>
      <c r="I17" s="420"/>
    </row>
    <row r="18" spans="1:9">
      <c r="A18" s="482"/>
      <c r="B18" s="482"/>
      <c r="C18" s="482"/>
      <c r="D18" s="482"/>
      <c r="E18" s="482"/>
      <c r="F18" s="482"/>
      <c r="G18" s="482"/>
      <c r="H18" s="482"/>
      <c r="I18" s="420"/>
    </row>
    <row r="19" spans="1:9">
      <c r="A19" s="482"/>
      <c r="B19" s="482"/>
      <c r="C19" s="482"/>
      <c r="D19" s="482"/>
      <c r="E19" s="482"/>
      <c r="F19" s="482"/>
      <c r="G19" s="482"/>
      <c r="H19" s="482"/>
    </row>
    <row r="20" spans="1:9">
      <c r="A20" s="482"/>
      <c r="B20" s="482"/>
      <c r="C20" s="482"/>
      <c r="D20" s="482"/>
      <c r="E20" s="482"/>
      <c r="F20" s="482"/>
      <c r="G20" s="482"/>
      <c r="H20" s="482"/>
    </row>
  </sheetData>
  <conditionalFormatting sqref="G5">
    <cfRule type="cellIs" dxfId="3" priority="4" operator="lessThan">
      <formula>0</formula>
    </cfRule>
  </conditionalFormatting>
  <conditionalFormatting sqref="G5">
    <cfRule type="cellIs" dxfId="2" priority="3" operator="lessThan">
      <formula>0</formula>
    </cfRule>
  </conditionalFormatting>
  <conditionalFormatting sqref="J5">
    <cfRule type="cellIs" dxfId="1" priority="2" operator="lessThan">
      <formula>0</formula>
    </cfRule>
  </conditionalFormatting>
  <conditionalFormatting sqref="J5">
    <cfRule type="cellIs" dxfId="0" priority="1" operator="less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B6A36F-E1DB-4560-8A25-6E2B315EA5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1</vt:i4>
      </vt:variant>
    </vt:vector>
  </HeadingPairs>
  <TitlesOfParts>
    <vt:vector size="20" baseType="lpstr">
      <vt:lpstr>Report</vt:lpstr>
      <vt:lpstr>Report (t-1)</vt:lpstr>
      <vt:lpstr>Report all funds</vt:lpstr>
      <vt:lpstr>Cash</vt:lpstr>
      <vt:lpstr>MV</vt:lpstr>
      <vt:lpstr>ГЦБ</vt:lpstr>
      <vt:lpstr>Агентсткие</vt:lpstr>
      <vt:lpstr>МФО</vt:lpstr>
      <vt:lpstr>Repo</vt:lpstr>
      <vt:lpstr>Trades</vt:lpstr>
      <vt:lpstr>Цены</vt:lpstr>
      <vt:lpstr>Рыночная оценка</vt:lpstr>
      <vt:lpstr>Справочник</vt:lpstr>
      <vt:lpstr>CPI</vt:lpstr>
      <vt:lpstr>MBM Index</vt:lpstr>
      <vt:lpstr>MBM index - с 1 апреля 2024 г  </vt:lpstr>
      <vt:lpstr>Лист1</vt:lpstr>
      <vt:lpstr>Нацбанк Казахстана, Доллар США_</vt:lpstr>
      <vt:lpstr>Accounts receivable</vt:lpstr>
      <vt:lpstr>Report!Область_печати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Кенес Жанузаков</dc:creator>
  <cp:lastModifiedBy>Юрий Чипликов</cp:lastModifiedBy>
  <cp:lastPrinted>2024-11-29T11:27:39Z</cp:lastPrinted>
  <dcterms:created xsi:type="dcterms:W3CDTF">2020-07-23T08:48:19Z</dcterms:created>
  <dcterms:modified xsi:type="dcterms:W3CDTF">2026-04-08T04:42:49Z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